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395" yWindow="-15" windowWidth="16020" windowHeight="12075" tabRatio="725" activeTab="5"/>
  </bookViews>
  <sheets>
    <sheet name="Итоговая" sheetId="3" r:id="rId1"/>
    <sheet name="Интерактивная карта" sheetId="28" r:id="rId2"/>
    <sheet name="Информация ТП" sheetId="31" r:id="rId3"/>
    <sheet name="СводТекДефицитЗимаЛето" sheetId="19" r:id="rId4"/>
    <sheet name="СводТекущийДефицит III квартал" sheetId="20" r:id="rId5"/>
    <sheet name="Приоритет" sheetId="32" r:id="rId6"/>
    <sheet name="Зона БЭс" sheetId="4" state="veryHidden" r:id="rId7"/>
    <sheet name="Зона ВЭс" sheetId="5" state="veryHidden" r:id="rId8"/>
    <sheet name="Зона КиЭс  " sheetId="6" state="veryHidden" r:id="rId9"/>
    <sheet name="Зона РжЭс" sheetId="8" state="veryHidden" r:id="rId10"/>
    <sheet name="Зона НЭс" sheetId="7" state="veryHidden" r:id="rId11"/>
    <sheet name="Зона ТвЭС" sheetId="10" state="veryHidden" r:id="rId12"/>
    <sheet name="Зона ТоЭс" sheetId="9" state="veryHidden" r:id="rId13"/>
  </sheets>
  <definedNames>
    <definedName name="_xlnm._FilterDatabase" localSheetId="10" hidden="1">'Зона НЭс'!$A$6:$L$130</definedName>
    <definedName name="_xlnm._FilterDatabase" localSheetId="9" hidden="1">'Зона РжЭс'!$A$6:$L$234</definedName>
    <definedName name="_xlnm._FilterDatabase" localSheetId="2" hidden="1">'Информация ТП'!$A$2:$F$9881</definedName>
    <definedName name="_xlnm._FilterDatabase" localSheetId="0" hidden="1">Итоговая!$A$8:$AX$465</definedName>
    <definedName name="_xlnm._FilterDatabase" localSheetId="5" hidden="1">Приоритет!$A$2:$I$173</definedName>
    <definedName name="_xlnm._FilterDatabase" localSheetId="3" hidden="1">СводТекДефицитЗимаЛето!$A$7:$M$434</definedName>
    <definedName name="_xlnm._FilterDatabase" localSheetId="4" hidden="1">'СводТекущийДефицит III квартал'!$A$7:$L$434</definedName>
    <definedName name="_xlnm.Print_Area" localSheetId="4">'СводТекущийДефицит III квартал'!$A$1:$O$435</definedName>
  </definedNames>
  <calcPr calcId="145621"/>
</workbook>
</file>

<file path=xl/calcChain.xml><?xml version="1.0" encoding="utf-8"?>
<calcChain xmlns="http://schemas.openxmlformats.org/spreadsheetml/2006/main">
  <c r="J970" i="10" l="1"/>
  <c r="J1055" i="10"/>
  <c r="J1038" i="10"/>
  <c r="J1025" i="10"/>
  <c r="J1005" i="10"/>
  <c r="J1001" i="10"/>
  <c r="J1002" i="10"/>
  <c r="J982" i="10"/>
  <c r="J944" i="10"/>
  <c r="J909" i="10"/>
  <c r="J865" i="10"/>
  <c r="J860" i="10"/>
  <c r="J853" i="10"/>
  <c r="J847" i="10"/>
  <c r="J817" i="10"/>
  <c r="J810" i="10"/>
  <c r="J786" i="10"/>
  <c r="J789" i="10"/>
  <c r="J770" i="10"/>
  <c r="J765" i="10"/>
  <c r="J730" i="10"/>
  <c r="J725" i="10"/>
  <c r="J716" i="10"/>
  <c r="J694" i="10"/>
  <c r="J677" i="10"/>
  <c r="J674" i="10"/>
  <c r="J660" i="10"/>
  <c r="J639" i="10"/>
  <c r="J631" i="10"/>
  <c r="J613" i="10"/>
  <c r="J603" i="10"/>
  <c r="J586" i="10"/>
  <c r="J579" i="10"/>
  <c r="J574" i="10"/>
  <c r="J554" i="10"/>
  <c r="J542" i="10"/>
  <c r="J496" i="10"/>
  <c r="J493" i="10"/>
  <c r="J486" i="10"/>
  <c r="J476" i="10"/>
  <c r="J469" i="10"/>
  <c r="J450" i="10"/>
  <c r="J438" i="10"/>
  <c r="J423" i="10"/>
  <c r="J410" i="10"/>
  <c r="J392" i="10"/>
  <c r="J373" i="10"/>
  <c r="J361" i="10"/>
  <c r="J346" i="10"/>
  <c r="J284" i="10"/>
  <c r="J274" i="10"/>
  <c r="J258" i="10"/>
  <c r="J254" i="10"/>
  <c r="J242" i="10"/>
  <c r="J191" i="10"/>
  <c r="J179" i="10"/>
  <c r="J170" i="10"/>
  <c r="J157" i="10"/>
  <c r="J146" i="10"/>
  <c r="J129" i="10"/>
  <c r="J120" i="10"/>
  <c r="J111" i="10"/>
  <c r="J100" i="10"/>
  <c r="J75" i="10"/>
  <c r="J72" i="10"/>
  <c r="J67" i="10"/>
  <c r="J62" i="10"/>
  <c r="J44" i="10"/>
  <c r="J36" i="10"/>
  <c r="J25" i="10"/>
  <c r="J15" i="10"/>
  <c r="J130" i="7"/>
  <c r="J114" i="7"/>
  <c r="J102" i="7"/>
  <c r="J80" i="7"/>
  <c r="J75" i="7"/>
  <c r="J46" i="7"/>
  <c r="J22" i="7"/>
  <c r="J234" i="8"/>
  <c r="J217" i="8"/>
  <c r="J189" i="8"/>
  <c r="J177" i="8"/>
  <c r="J170" i="8"/>
  <c r="J159" i="8"/>
  <c r="J147" i="8"/>
  <c r="J142" i="8"/>
  <c r="J137" i="8"/>
  <c r="J120" i="8"/>
  <c r="J92" i="8"/>
  <c r="J82" i="8"/>
  <c r="J68" i="8"/>
  <c r="J56" i="8"/>
  <c r="J41" i="8"/>
  <c r="J36" i="8"/>
  <c r="J339" i="6"/>
  <c r="J326" i="6"/>
  <c r="J303" i="6"/>
  <c r="J286" i="6"/>
  <c r="J265" i="6"/>
  <c r="J259" i="6"/>
  <c r="J250" i="6"/>
  <c r="J231" i="6"/>
  <c r="J223" i="6"/>
  <c r="J209" i="6"/>
  <c r="J191" i="6"/>
  <c r="J188" i="6"/>
  <c r="J172" i="6"/>
  <c r="J160" i="6"/>
  <c r="J151" i="6"/>
  <c r="J141" i="6"/>
  <c r="J114" i="6"/>
  <c r="J80" i="6"/>
  <c r="J64" i="6"/>
  <c r="J42" i="6"/>
  <c r="J16" i="6"/>
  <c r="J188" i="5"/>
  <c r="J126" i="5"/>
  <c r="J121" i="5"/>
  <c r="J116" i="5"/>
  <c r="J87" i="5"/>
  <c r="J72" i="5"/>
  <c r="J66" i="5"/>
  <c r="J58" i="5"/>
  <c r="J52" i="5"/>
  <c r="J43" i="5"/>
  <c r="J21" i="5"/>
  <c r="J16" i="5"/>
  <c r="J13" i="5"/>
  <c r="J141" i="4"/>
  <c r="J26" i="4"/>
  <c r="J449" i="10" l="1"/>
  <c r="J24" i="10"/>
  <c r="J846" i="10"/>
  <c r="J485" i="10"/>
  <c r="J148" i="5"/>
  <c r="J147" i="5"/>
  <c r="J119" i="8"/>
  <c r="J602" i="10"/>
  <c r="J372" i="10"/>
  <c r="J969" i="10"/>
  <c r="J852" i="10"/>
  <c r="J118" i="8"/>
  <c r="J190" i="6"/>
  <c r="J541" i="10"/>
  <c r="J391" i="10"/>
  <c r="J845" i="10"/>
  <c r="J468" i="10"/>
  <c r="J465" i="10"/>
  <c r="J467" i="10"/>
  <c r="J252" i="10"/>
  <c r="J335" i="6" l="1"/>
  <c r="J21" i="7"/>
  <c r="J788" i="10"/>
  <c r="J171" i="9"/>
  <c r="J170" i="9"/>
  <c r="J187" i="6"/>
  <c r="J186" i="6"/>
  <c r="J115" i="5"/>
  <c r="J115" i="4"/>
  <c r="J114" i="4"/>
  <c r="J160" i="4"/>
  <c r="J159" i="4"/>
  <c r="J345" i="10"/>
  <c r="J344" i="10"/>
  <c r="J35" i="8"/>
  <c r="J192" i="5"/>
  <c r="J191" i="5"/>
  <c r="J448" i="10"/>
  <c r="J41" i="6" l="1"/>
  <c r="J787" i="10"/>
  <c r="J208" i="9"/>
  <c r="J207" i="9"/>
  <c r="J389" i="10" l="1"/>
  <c r="J388" i="10"/>
  <c r="J387" i="10"/>
  <c r="J536" i="10"/>
  <c r="J466" i="3"/>
  <c r="J467" i="3"/>
  <c r="AH435" i="3" l="1"/>
  <c r="AI435" i="3" s="1"/>
  <c r="J436" i="3"/>
  <c r="D436" i="3"/>
  <c r="M349" i="3" l="1"/>
  <c r="AM9" i="3" l="1"/>
  <c r="AK9" i="3"/>
  <c r="AJ9" i="3"/>
  <c r="AL9" i="3" s="1"/>
  <c r="AN9" i="3" s="1"/>
  <c r="AH9" i="3"/>
  <c r="AI9" i="3" s="1"/>
  <c r="M400" i="3"/>
  <c r="M10" i="3"/>
  <c r="M9" i="3"/>
  <c r="AH78" i="3" l="1"/>
  <c r="AH52" i="3"/>
  <c r="AH14" i="3"/>
  <c r="AH30" i="3" l="1"/>
  <c r="AH47" i="3" s="1"/>
  <c r="AH48" i="3"/>
  <c r="AH45" i="3"/>
  <c r="AH46" i="3" l="1"/>
  <c r="J208" i="6"/>
  <c r="J222" i="6" l="1"/>
  <c r="J241" i="10"/>
  <c r="J216" i="8"/>
  <c r="J51" i="9"/>
  <c r="J50" i="9"/>
  <c r="J153" i="9"/>
  <c r="J152" i="9"/>
  <c r="J409" i="10"/>
  <c r="J484" i="10"/>
  <c r="J475" i="10"/>
  <c r="J67" i="8"/>
  <c r="J1054" i="10"/>
  <c r="J323" i="6"/>
  <c r="J169" i="9"/>
  <c r="J136" i="8"/>
  <c r="J185" i="6"/>
  <c r="J194" i="9"/>
  <c r="J195" i="9"/>
  <c r="J171" i="6"/>
  <c r="J159" i="6"/>
  <c r="J148" i="6"/>
  <c r="J764" i="10"/>
  <c r="J15" i="6"/>
  <c r="J573" i="10"/>
  <c r="J1004" i="10"/>
  <c r="J343" i="10"/>
  <c r="J285" i="6"/>
  <c r="J1024" i="10"/>
  <c r="J35" i="10"/>
  <c r="J23" i="10"/>
  <c r="J34" i="8"/>
  <c r="J447" i="10"/>
  <c r="J92" i="6"/>
  <c r="J117" i="8"/>
  <c r="J25" i="4"/>
  <c r="J233" i="8"/>
  <c r="J657" i="10"/>
  <c r="J156" i="10"/>
  <c r="J540" i="10"/>
  <c r="J264" i="6"/>
  <c r="J360" i="10"/>
  <c r="J256" i="6"/>
  <c r="J79" i="6"/>
  <c r="J113" i="9"/>
  <c r="J98" i="9"/>
  <c r="J97" i="9"/>
  <c r="J249" i="6"/>
  <c r="J63" i="6"/>
  <c r="J492" i="10"/>
  <c r="J40" i="6"/>
  <c r="J612" i="10"/>
  <c r="J66" i="10"/>
  <c r="J630" i="10"/>
  <c r="J61" i="10"/>
  <c r="J59" i="10"/>
  <c r="J60" i="6"/>
  <c r="J122" i="4"/>
  <c r="O410" i="10" l="1"/>
  <c r="U383" i="10"/>
  <c r="U392" i="10" s="1"/>
  <c r="AE42" i="6"/>
  <c r="AE303" i="6"/>
  <c r="U95" i="4"/>
  <c r="U18" i="8"/>
  <c r="U15" i="8"/>
  <c r="U132" i="4"/>
  <c r="J227" i="5"/>
  <c r="U897" i="10"/>
  <c r="U909" i="10" s="1"/>
  <c r="U1025" i="10"/>
  <c r="AE326" i="6"/>
  <c r="AE315" i="6"/>
  <c r="U765" i="10"/>
  <c r="U754" i="10"/>
  <c r="J753" i="10"/>
  <c r="U944" i="10"/>
  <c r="J199" i="9"/>
  <c r="U51" i="9"/>
  <c r="U819" i="10"/>
  <c r="U847" i="10" s="1"/>
  <c r="J839" i="10"/>
  <c r="U33" i="7"/>
  <c r="U90" i="7"/>
  <c r="U810" i="10"/>
  <c r="U346" i="10"/>
  <c r="U542" i="10"/>
  <c r="U674" i="10"/>
  <c r="U191" i="10"/>
  <c r="J74" i="7" l="1"/>
  <c r="J359" i="10"/>
  <c r="J114" i="5"/>
  <c r="J968" i="10"/>
  <c r="J572" i="10"/>
  <c r="J96" i="9"/>
  <c r="J676" i="10"/>
  <c r="L677" i="10" s="1"/>
  <c r="J190" i="5"/>
  <c r="J168" i="9"/>
  <c r="J74" i="9"/>
  <c r="J68" i="9"/>
  <c r="J114" i="9"/>
  <c r="J206" i="9"/>
  <c r="J67" i="9"/>
  <c r="J69" i="9" s="1"/>
  <c r="J162" i="5"/>
  <c r="J113" i="5"/>
  <c r="J112" i="5"/>
  <c r="A26" i="10"/>
  <c r="A7" i="10"/>
  <c r="A16" i="10"/>
  <c r="J844" i="10" l="1"/>
  <c r="J1023" i="10"/>
  <c r="J113" i="6"/>
  <c r="J134" i="8"/>
  <c r="J601" i="10"/>
  <c r="J656" i="10"/>
  <c r="J140" i="8"/>
  <c r="J74" i="10"/>
  <c r="J116" i="8"/>
  <c r="J908" i="10"/>
  <c r="J906" i="10"/>
  <c r="J763" i="10"/>
  <c r="J342" i="10"/>
  <c r="J193" i="9"/>
  <c r="J205" i="9"/>
  <c r="J724" i="10"/>
  <c r="J279" i="10" l="1"/>
  <c r="J280" i="10"/>
  <c r="J277" i="10"/>
  <c r="J276" i="10"/>
  <c r="L284" i="10" l="1"/>
  <c r="AH313" i="3" s="1"/>
  <c r="U284" i="10"/>
  <c r="W284" i="10" s="1"/>
  <c r="O284" i="10"/>
  <c r="Q284" i="10" s="1"/>
  <c r="C275" i="10"/>
  <c r="D275" i="10"/>
  <c r="E275" i="10"/>
  <c r="F275" i="10"/>
  <c r="B275" i="10"/>
  <c r="A275" i="10"/>
  <c r="AM313" i="3"/>
  <c r="AK313" i="3"/>
  <c r="AJ313" i="3"/>
  <c r="AA313" i="3"/>
  <c r="M313" i="3"/>
  <c r="I313" i="3"/>
  <c r="P313" i="3"/>
  <c r="U313" i="3" s="1"/>
  <c r="AD313" i="3"/>
  <c r="AB313" i="3"/>
  <c r="Q313" i="3" l="1"/>
  <c r="R313" i="3" s="1"/>
  <c r="AN313" i="3"/>
  <c r="AI313" i="3"/>
  <c r="AL313" i="3" s="1"/>
  <c r="J151" i="9"/>
  <c r="J715" i="10"/>
  <c r="J571" i="10"/>
  <c r="J112" i="9"/>
  <c r="J111" i="5"/>
  <c r="J139" i="4"/>
  <c r="J140" i="4"/>
  <c r="J171" i="5"/>
  <c r="J170" i="5"/>
  <c r="J73" i="7"/>
  <c r="J539" i="10"/>
  <c r="J358" i="10"/>
  <c r="J843" i="10"/>
  <c r="J188" i="8"/>
  <c r="J215" i="8"/>
  <c r="J232" i="8"/>
  <c r="J55" i="8"/>
  <c r="J341" i="10"/>
  <c r="J158" i="6"/>
  <c r="J140" i="6"/>
  <c r="J66" i="8"/>
  <c r="J62" i="6"/>
  <c r="J100" i="9"/>
  <c r="J102" i="9" s="1"/>
  <c r="J139" i="6"/>
  <c r="J1022" i="10"/>
  <c r="J907" i="10"/>
  <c r="J693" i="10"/>
  <c r="J204" i="9"/>
  <c r="J785" i="10"/>
  <c r="J842" i="10"/>
  <c r="J302" i="6"/>
  <c r="T313" i="3" l="1"/>
  <c r="S313" i="3" s="1"/>
  <c r="AO313" i="3"/>
  <c r="AP313" i="3" s="1"/>
  <c r="AS313" i="3"/>
  <c r="J229" i="5"/>
  <c r="J228" i="5"/>
  <c r="J714" i="10"/>
  <c r="J214" i="8"/>
  <c r="J495" i="10"/>
  <c r="J54" i="8"/>
  <c r="J226" i="5"/>
  <c r="J129" i="7"/>
  <c r="J340" i="10"/>
  <c r="J673" i="10"/>
  <c r="J809" i="10"/>
  <c r="J240" i="10"/>
  <c r="J783" i="10"/>
  <c r="J78" i="6"/>
  <c r="J761" i="10"/>
  <c r="J248" i="6"/>
  <c r="J273" i="10"/>
  <c r="J611" i="10"/>
  <c r="J655" i="10"/>
  <c r="AR313" i="3" l="1"/>
  <c r="AQ313" i="3" s="1"/>
  <c r="U102" i="5"/>
  <c r="U55" i="5"/>
  <c r="U54" i="5"/>
  <c r="U72" i="5"/>
  <c r="U138" i="5"/>
  <c r="U115" i="9"/>
  <c r="AR41" i="3" l="1"/>
  <c r="AR42" i="3"/>
  <c r="AR44" i="3"/>
  <c r="AR45" i="3"/>
  <c r="AR47" i="3"/>
  <c r="AR48" i="3"/>
  <c r="AR50" i="3"/>
  <c r="AR51" i="3"/>
  <c r="AR352" i="3"/>
  <c r="AR353" i="3"/>
  <c r="T41" i="3"/>
  <c r="T42" i="3"/>
  <c r="T44" i="3"/>
  <c r="T45" i="3"/>
  <c r="T47" i="3"/>
  <c r="T48" i="3"/>
  <c r="T50" i="3"/>
  <c r="T51" i="3"/>
  <c r="T62" i="3"/>
  <c r="T63" i="3"/>
  <c r="T65" i="3"/>
  <c r="T66" i="3"/>
  <c r="T68" i="3"/>
  <c r="T69" i="3"/>
  <c r="T71" i="3"/>
  <c r="T72" i="3"/>
  <c r="T74" i="3"/>
  <c r="T75" i="3"/>
  <c r="T77" i="3"/>
  <c r="T78" i="3"/>
  <c r="T131" i="3"/>
  <c r="T132" i="3"/>
  <c r="T134" i="3"/>
  <c r="T135" i="3"/>
  <c r="T137" i="3"/>
  <c r="T138" i="3"/>
  <c r="T140" i="3"/>
  <c r="T141" i="3"/>
  <c r="T143" i="3"/>
  <c r="T144" i="3"/>
  <c r="T146" i="3"/>
  <c r="T147" i="3"/>
  <c r="T149" i="3"/>
  <c r="T150" i="3"/>
  <c r="T152" i="3"/>
  <c r="T153" i="3"/>
  <c r="T155" i="3"/>
  <c r="T156" i="3"/>
  <c r="T184" i="3"/>
  <c r="T185" i="3"/>
  <c r="T187" i="3"/>
  <c r="T188" i="3"/>
  <c r="T190" i="3"/>
  <c r="T191" i="3"/>
  <c r="T193" i="3"/>
  <c r="T194" i="3"/>
  <c r="T196" i="3"/>
  <c r="T197" i="3"/>
  <c r="T199" i="3"/>
  <c r="T200" i="3"/>
  <c r="T202" i="3"/>
  <c r="T203" i="3"/>
  <c r="T205" i="3"/>
  <c r="T206" i="3"/>
  <c r="T233" i="3"/>
  <c r="T234" i="3"/>
  <c r="T236" i="3"/>
  <c r="T237" i="3"/>
  <c r="T239" i="3"/>
  <c r="T240" i="3"/>
  <c r="T242" i="3"/>
  <c r="T243" i="3"/>
  <c r="T260" i="3"/>
  <c r="T261" i="3"/>
  <c r="T269" i="3"/>
  <c r="T270" i="3"/>
  <c r="T272" i="3"/>
  <c r="T273" i="3"/>
  <c r="T275" i="3"/>
  <c r="T276" i="3"/>
  <c r="T278" i="3"/>
  <c r="T279" i="3"/>
  <c r="T281" i="3"/>
  <c r="T282" i="3"/>
  <c r="T352" i="3"/>
  <c r="T353" i="3"/>
  <c r="T355" i="3"/>
  <c r="T356" i="3"/>
  <c r="T358" i="3"/>
  <c r="T359" i="3"/>
  <c r="T361" i="3"/>
  <c r="T362" i="3"/>
  <c r="T364" i="3"/>
  <c r="T365" i="3"/>
  <c r="T367" i="3"/>
  <c r="T368" i="3"/>
  <c r="T370" i="3"/>
  <c r="T371" i="3"/>
  <c r="T373" i="3"/>
  <c r="T374" i="3"/>
  <c r="T376" i="3"/>
  <c r="T377" i="3"/>
  <c r="T379" i="3"/>
  <c r="T380" i="3"/>
  <c r="T382" i="3"/>
  <c r="T383" i="3"/>
  <c r="T385" i="3"/>
  <c r="T386" i="3"/>
  <c r="T416" i="3"/>
  <c r="T417" i="3"/>
  <c r="T419" i="3"/>
  <c r="T420" i="3"/>
  <c r="T422" i="3"/>
  <c r="T423" i="3"/>
  <c r="T425" i="3"/>
  <c r="T426" i="3"/>
  <c r="T428" i="3"/>
  <c r="T429" i="3"/>
  <c r="T431" i="3"/>
  <c r="T432" i="3"/>
  <c r="T434" i="3"/>
  <c r="T435" i="3"/>
  <c r="J239" i="9" l="1"/>
  <c r="J141" i="9"/>
  <c r="J132" i="9"/>
  <c r="J121" i="9"/>
  <c r="J27" i="9"/>
  <c r="J217" i="10"/>
  <c r="J212" i="10"/>
  <c r="J184" i="10"/>
  <c r="J90" i="7"/>
  <c r="J33" i="7"/>
  <c r="J25" i="7"/>
  <c r="J152" i="8"/>
  <c r="J18" i="8"/>
  <c r="J199" i="5"/>
  <c r="J196" i="5"/>
  <c r="J166" i="5"/>
  <c r="J163" i="5"/>
  <c r="J158" i="5"/>
  <c r="J152" i="5"/>
  <c r="J138" i="5"/>
  <c r="J133" i="5"/>
  <c r="J125" i="5"/>
  <c r="J102" i="5"/>
  <c r="J75" i="5"/>
  <c r="J82" i="5"/>
  <c r="J167" i="4"/>
  <c r="J151" i="4"/>
  <c r="J147" i="4"/>
  <c r="J132" i="4"/>
  <c r="J123" i="4"/>
  <c r="J100" i="4"/>
  <c r="J81" i="4"/>
  <c r="J67" i="4"/>
  <c r="J60" i="4"/>
  <c r="J51" i="4"/>
  <c r="J48" i="4"/>
  <c r="J31" i="4"/>
  <c r="J14" i="9" l="1"/>
  <c r="J120" i="5"/>
  <c r="J672" i="10"/>
  <c r="J322" i="6"/>
  <c r="J851" i="10"/>
  <c r="O853" i="10"/>
  <c r="J51" i="5"/>
  <c r="J760" i="10"/>
  <c r="J729" i="10"/>
  <c r="J692" i="10"/>
  <c r="J254" i="9"/>
  <c r="J31" i="8"/>
  <c r="J110" i="5"/>
  <c r="J759" i="10"/>
  <c r="J167" i="9"/>
  <c r="J225" i="6"/>
  <c r="J226" i="6" s="1"/>
  <c r="J437" i="10"/>
  <c r="O429" i="10"/>
  <c r="J128" i="10"/>
  <c r="J139" i="8"/>
  <c r="AM10" i="3" l="1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38" i="3"/>
  <c r="AJ39" i="3"/>
  <c r="AJ40" i="3"/>
  <c r="AL40" i="3" s="1"/>
  <c r="AJ41" i="3"/>
  <c r="AL41" i="3" s="1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277" i="3"/>
  <c r="AJ278" i="3"/>
  <c r="AJ279" i="3"/>
  <c r="AJ280" i="3"/>
  <c r="AJ281" i="3"/>
  <c r="AJ282" i="3"/>
  <c r="AJ283" i="3"/>
  <c r="AJ284" i="3"/>
  <c r="AJ285" i="3"/>
  <c r="AJ286" i="3"/>
  <c r="AJ287" i="3"/>
  <c r="AJ288" i="3"/>
  <c r="AJ289" i="3"/>
  <c r="AJ290" i="3"/>
  <c r="AJ291" i="3"/>
  <c r="AJ292" i="3"/>
  <c r="AJ293" i="3"/>
  <c r="AJ294" i="3"/>
  <c r="AJ295" i="3"/>
  <c r="AJ296" i="3"/>
  <c r="AJ297" i="3"/>
  <c r="AJ298" i="3"/>
  <c r="AJ299" i="3"/>
  <c r="AJ300" i="3"/>
  <c r="AJ301" i="3"/>
  <c r="AJ302" i="3"/>
  <c r="AJ303" i="3"/>
  <c r="AJ304" i="3"/>
  <c r="AJ305" i="3"/>
  <c r="AJ306" i="3"/>
  <c r="AJ307" i="3"/>
  <c r="AJ308" i="3"/>
  <c r="AJ309" i="3"/>
  <c r="AJ310" i="3"/>
  <c r="AJ311" i="3"/>
  <c r="AJ312" i="3"/>
  <c r="AJ314" i="3"/>
  <c r="AJ315" i="3"/>
  <c r="AJ316" i="3"/>
  <c r="AJ317" i="3"/>
  <c r="AJ318" i="3"/>
  <c r="AJ319" i="3"/>
  <c r="AJ320" i="3"/>
  <c r="AJ321" i="3"/>
  <c r="AJ322" i="3"/>
  <c r="AJ323" i="3"/>
  <c r="AJ324" i="3"/>
  <c r="AJ325" i="3"/>
  <c r="AJ326" i="3"/>
  <c r="AJ327" i="3"/>
  <c r="AJ328" i="3"/>
  <c r="AJ329" i="3"/>
  <c r="AJ330" i="3"/>
  <c r="AJ331" i="3"/>
  <c r="AJ332" i="3"/>
  <c r="AJ333" i="3"/>
  <c r="AJ334" i="3"/>
  <c r="AJ335" i="3"/>
  <c r="AJ336" i="3"/>
  <c r="AJ337" i="3"/>
  <c r="AJ338" i="3"/>
  <c r="AJ339" i="3"/>
  <c r="AJ340" i="3"/>
  <c r="AJ341" i="3"/>
  <c r="AJ342" i="3"/>
  <c r="AJ343" i="3"/>
  <c r="AJ344" i="3"/>
  <c r="AJ345" i="3"/>
  <c r="AJ346" i="3"/>
  <c r="AJ347" i="3"/>
  <c r="AJ348" i="3"/>
  <c r="AJ349" i="3"/>
  <c r="AJ350" i="3"/>
  <c r="AJ351" i="3"/>
  <c r="AJ352" i="3"/>
  <c r="AJ353" i="3"/>
  <c r="AJ354" i="3"/>
  <c r="AJ355" i="3"/>
  <c r="AJ356" i="3"/>
  <c r="AJ357" i="3"/>
  <c r="AJ358" i="3"/>
  <c r="AJ359" i="3"/>
  <c r="AJ360" i="3"/>
  <c r="AJ361" i="3"/>
  <c r="AJ362" i="3"/>
  <c r="AJ363" i="3"/>
  <c r="AJ364" i="3"/>
  <c r="AJ365" i="3"/>
  <c r="AJ366" i="3"/>
  <c r="AJ367" i="3"/>
  <c r="AJ368" i="3"/>
  <c r="AJ369" i="3"/>
  <c r="AJ370" i="3"/>
  <c r="AJ371" i="3"/>
  <c r="AJ372" i="3"/>
  <c r="AJ373" i="3"/>
  <c r="AJ374" i="3"/>
  <c r="AJ375" i="3"/>
  <c r="AJ376" i="3"/>
  <c r="AJ377" i="3"/>
  <c r="AJ378" i="3"/>
  <c r="AJ379" i="3"/>
  <c r="AJ380" i="3"/>
  <c r="AJ381" i="3"/>
  <c r="AJ382" i="3"/>
  <c r="AJ383" i="3"/>
  <c r="AJ384" i="3"/>
  <c r="AJ385" i="3"/>
  <c r="AJ386" i="3"/>
  <c r="AJ387" i="3"/>
  <c r="AJ388" i="3"/>
  <c r="AJ389" i="3"/>
  <c r="AJ390" i="3"/>
  <c r="AJ391" i="3"/>
  <c r="AJ392" i="3"/>
  <c r="AJ393" i="3"/>
  <c r="AJ394" i="3"/>
  <c r="AJ395" i="3"/>
  <c r="AJ396" i="3"/>
  <c r="AJ397" i="3"/>
  <c r="AJ398" i="3"/>
  <c r="AJ399" i="3"/>
  <c r="AJ400" i="3"/>
  <c r="AJ401" i="3"/>
  <c r="AJ402" i="3"/>
  <c r="AJ403" i="3"/>
  <c r="AJ404" i="3"/>
  <c r="AJ405" i="3"/>
  <c r="AJ406" i="3"/>
  <c r="AJ407" i="3"/>
  <c r="AJ408" i="3"/>
  <c r="AJ409" i="3"/>
  <c r="AJ410" i="3"/>
  <c r="AJ411" i="3"/>
  <c r="AJ412" i="3"/>
  <c r="AJ413" i="3"/>
  <c r="AJ414" i="3"/>
  <c r="AJ415" i="3"/>
  <c r="AJ416" i="3"/>
  <c r="AJ417" i="3"/>
  <c r="AJ418" i="3"/>
  <c r="AJ419" i="3"/>
  <c r="AJ420" i="3"/>
  <c r="AJ421" i="3"/>
  <c r="AJ422" i="3"/>
  <c r="AJ423" i="3"/>
  <c r="AJ424" i="3"/>
  <c r="AJ425" i="3"/>
  <c r="AJ426" i="3"/>
  <c r="AJ427" i="3"/>
  <c r="AJ428" i="3"/>
  <c r="AJ429" i="3"/>
  <c r="AJ430" i="3"/>
  <c r="AJ431" i="3"/>
  <c r="AJ432" i="3"/>
  <c r="AJ433" i="3"/>
  <c r="AJ434" i="3"/>
  <c r="AJ435" i="3"/>
  <c r="J334" i="10" l="1"/>
  <c r="J331" i="10"/>
  <c r="J904" i="10"/>
  <c r="J903" i="10"/>
  <c r="J230" i="8" l="1"/>
  <c r="J229" i="8"/>
  <c r="J212" i="8"/>
  <c r="J211" i="8"/>
  <c r="J210" i="8"/>
  <c r="J209" i="8"/>
  <c r="J208" i="8"/>
  <c r="J207" i="8"/>
  <c r="J186" i="8"/>
  <c r="J185" i="8"/>
  <c r="J182" i="8"/>
  <c r="J146" i="8"/>
  <c r="J133" i="8"/>
  <c r="J132" i="8"/>
  <c r="J131" i="8"/>
  <c r="J128" i="8"/>
  <c r="J114" i="8"/>
  <c r="J113" i="8"/>
  <c r="J112" i="8"/>
  <c r="J81" i="8"/>
  <c r="J79" i="8"/>
  <c r="J78" i="8"/>
  <c r="J64" i="8"/>
  <c r="J40" i="8"/>
  <c r="J32" i="8"/>
  <c r="J30" i="8"/>
  <c r="J11" i="8"/>
  <c r="J37" i="6"/>
  <c r="J259" i="9"/>
  <c r="J261" i="9" s="1"/>
  <c r="J252" i="9"/>
  <c r="J255" i="9" s="1"/>
  <c r="J227" i="9"/>
  <c r="J226" i="9"/>
  <c r="J220" i="9"/>
  <c r="J219" i="9"/>
  <c r="J218" i="9"/>
  <c r="J214" i="9"/>
  <c r="J191" i="9"/>
  <c r="J190" i="9"/>
  <c r="J188" i="9"/>
  <c r="J149" i="9"/>
  <c r="J144" i="9"/>
  <c r="J109" i="9"/>
  <c r="J108" i="9"/>
  <c r="J115" i="9" s="1"/>
  <c r="J95" i="9"/>
  <c r="J93" i="9"/>
  <c r="J73" i="9"/>
  <c r="J75" i="9" s="1"/>
  <c r="J60" i="9"/>
  <c r="J61" i="9" s="1"/>
  <c r="J48" i="9"/>
  <c r="J12" i="9"/>
  <c r="J11" i="9"/>
  <c r="J15" i="9" s="1"/>
  <c r="J1052" i="10"/>
  <c r="J1033" i="10"/>
  <c r="J1020" i="10"/>
  <c r="J999" i="10"/>
  <c r="J998" i="10"/>
  <c r="J966" i="10"/>
  <c r="J965" i="10"/>
  <c r="J963" i="10"/>
  <c r="J962" i="10"/>
  <c r="J926" i="10"/>
  <c r="J925" i="10"/>
  <c r="J902" i="10"/>
  <c r="J901" i="10"/>
  <c r="J900" i="10"/>
  <c r="J896" i="10"/>
  <c r="J894" i="10"/>
  <c r="J893" i="10"/>
  <c r="J858" i="10"/>
  <c r="J849" i="10"/>
  <c r="J841" i="10"/>
  <c r="J835" i="10"/>
  <c r="J834" i="10"/>
  <c r="J807" i="10"/>
  <c r="J782" i="10"/>
  <c r="J758" i="10"/>
  <c r="J756" i="10"/>
  <c r="J755" i="10"/>
  <c r="J752" i="10"/>
  <c r="J751" i="10"/>
  <c r="J750" i="10"/>
  <c r="J749" i="10"/>
  <c r="J746" i="10"/>
  <c r="J745" i="10"/>
  <c r="J744" i="10"/>
  <c r="J722" i="10"/>
  <c r="J712" i="10"/>
  <c r="J711" i="10"/>
  <c r="J709" i="10"/>
  <c r="J708" i="10"/>
  <c r="J690" i="10"/>
  <c r="J688" i="10"/>
  <c r="J670" i="10"/>
  <c r="J653" i="10"/>
  <c r="J652" i="10"/>
  <c r="J651" i="10"/>
  <c r="J637" i="10"/>
  <c r="J636" i="10"/>
  <c r="J628" i="10"/>
  <c r="J626" i="10"/>
  <c r="J609" i="10"/>
  <c r="J599" i="10"/>
  <c r="J598" i="10"/>
  <c r="J596" i="10"/>
  <c r="J595" i="10"/>
  <c r="J594" i="10"/>
  <c r="J585" i="10"/>
  <c r="J569" i="10"/>
  <c r="J568" i="10"/>
  <c r="J567" i="10"/>
  <c r="J566" i="10"/>
  <c r="J553" i="10"/>
  <c r="J527" i="10"/>
  <c r="J535" i="10"/>
  <c r="J534" i="10"/>
  <c r="J533" i="10"/>
  <c r="J531" i="10"/>
  <c r="J530" i="10"/>
  <c r="J529" i="10"/>
  <c r="J528" i="10"/>
  <c r="J524" i="10"/>
  <c r="J523" i="10"/>
  <c r="J490" i="10"/>
  <c r="J482" i="10"/>
  <c r="J481" i="10"/>
  <c r="J478" i="10"/>
  <c r="J473" i="10"/>
  <c r="J444" i="10"/>
  <c r="J445" i="10"/>
  <c r="J435" i="10"/>
  <c r="J233" i="10"/>
  <c r="J431" i="10"/>
  <c r="J421" i="10"/>
  <c r="J422" i="10"/>
  <c r="J407" i="10"/>
  <c r="J405" i="10"/>
  <c r="J386" i="10"/>
  <c r="J370" i="10"/>
  <c r="J369" i="10"/>
  <c r="J368" i="10"/>
  <c r="J356" i="10"/>
  <c r="J354" i="10"/>
  <c r="J351" i="10"/>
  <c r="J339" i="10"/>
  <c r="J338" i="10"/>
  <c r="J337" i="10"/>
  <c r="J336" i="10"/>
  <c r="J335" i="10"/>
  <c r="J332" i="10"/>
  <c r="J330" i="10"/>
  <c r="J329" i="10"/>
  <c r="J328" i="10"/>
  <c r="J327" i="10"/>
  <c r="J326" i="10"/>
  <c r="J325" i="10"/>
  <c r="J324" i="10"/>
  <c r="J323" i="10"/>
  <c r="J322" i="10"/>
  <c r="J321" i="10"/>
  <c r="J320" i="10"/>
  <c r="J318" i="10"/>
  <c r="J317" i="10"/>
  <c r="J316" i="10"/>
  <c r="J315" i="10"/>
  <c r="J313" i="10"/>
  <c r="J271" i="10"/>
  <c r="L274" i="10" s="1"/>
  <c r="J256" i="10"/>
  <c r="J250" i="10"/>
  <c r="J238" i="10"/>
  <c r="J237" i="10"/>
  <c r="J236" i="10"/>
  <c r="J235" i="10"/>
  <c r="J232" i="10"/>
  <c r="J178" i="10"/>
  <c r="J176" i="10"/>
  <c r="J169" i="10"/>
  <c r="J166" i="10"/>
  <c r="J165" i="10"/>
  <c r="J164" i="10"/>
  <c r="J154" i="10"/>
  <c r="J152" i="10"/>
  <c r="J151" i="10"/>
  <c r="J150" i="10"/>
  <c r="J149" i="10"/>
  <c r="J148" i="10"/>
  <c r="J147" i="10"/>
  <c r="J145" i="10"/>
  <c r="J144" i="10"/>
  <c r="J143" i="10"/>
  <c r="J140" i="10"/>
  <c r="J119" i="10"/>
  <c r="J107" i="10"/>
  <c r="J108" i="10"/>
  <c r="J106" i="10"/>
  <c r="J99" i="10"/>
  <c r="J43" i="10"/>
  <c r="J21" i="10"/>
  <c r="J125" i="7"/>
  <c r="J124" i="7"/>
  <c r="J127" i="7"/>
  <c r="J101" i="7"/>
  <c r="J98" i="7"/>
  <c r="J79" i="7"/>
  <c r="J57" i="7"/>
  <c r="J45" i="7"/>
  <c r="J19" i="7"/>
  <c r="J319" i="6"/>
  <c r="J320" i="6"/>
  <c r="J318" i="6"/>
  <c r="J300" i="6"/>
  <c r="J299" i="6"/>
  <c r="J283" i="6"/>
  <c r="J282" i="6"/>
  <c r="J281" i="6"/>
  <c r="J246" i="6"/>
  <c r="J245" i="6"/>
  <c r="J244" i="6"/>
  <c r="J243" i="6"/>
  <c r="J230" i="6"/>
  <c r="J206" i="6"/>
  <c r="J203" i="6"/>
  <c r="J168" i="6"/>
  <c r="J169" i="6"/>
  <c r="J156" i="6"/>
  <c r="J134" i="6"/>
  <c r="J136" i="6"/>
  <c r="J137" i="6"/>
  <c r="J90" i="6"/>
  <c r="J93" i="6" s="1"/>
  <c r="J111" i="6"/>
  <c r="J76" i="6"/>
  <c r="J59" i="6"/>
  <c r="J56" i="6"/>
  <c r="J55" i="6"/>
  <c r="J38" i="6"/>
  <c r="J34" i="6"/>
  <c r="J12" i="6"/>
  <c r="J64" i="5"/>
  <c r="J233" i="5"/>
  <c r="J187" i="5"/>
  <c r="J181" i="5"/>
  <c r="J160" i="5"/>
  <c r="J150" i="5"/>
  <c r="J144" i="5"/>
  <c r="J132" i="5"/>
  <c r="J108" i="5"/>
  <c r="J106" i="5"/>
  <c r="J94" i="5"/>
  <c r="J97" i="5" s="1"/>
  <c r="J86" i="5"/>
  <c r="J57" i="5"/>
  <c r="J55" i="5"/>
  <c r="J49" i="5"/>
  <c r="J20" i="5"/>
  <c r="J15" i="5"/>
  <c r="J12" i="5"/>
  <c r="J80" i="4"/>
  <c r="J125" i="4"/>
  <c r="J121" i="4"/>
  <c r="J119" i="4"/>
  <c r="J112" i="4"/>
  <c r="J111" i="4"/>
  <c r="J108" i="4"/>
  <c r="J66" i="4"/>
  <c r="J222" i="9" l="1"/>
  <c r="J230" i="9"/>
  <c r="O51" i="4"/>
  <c r="C254" i="19" l="1"/>
  <c r="L68" i="8" l="1"/>
  <c r="L195" i="9"/>
  <c r="L120" i="8"/>
  <c r="L660" i="10"/>
  <c r="L423" i="10"/>
  <c r="L361" i="10" l="1"/>
  <c r="U148" i="5"/>
  <c r="O860" i="10" l="1"/>
  <c r="O982" i="10"/>
  <c r="O1025" i="10"/>
  <c r="O64" i="6"/>
  <c r="O47" i="6"/>
  <c r="O378" i="10"/>
  <c r="O141" i="4"/>
  <c r="O1002" i="10" l="1"/>
  <c r="J177" i="9" l="1"/>
  <c r="O725" i="10" l="1"/>
  <c r="O833" i="10"/>
  <c r="O129" i="10"/>
  <c r="O66" i="8"/>
  <c r="O107" i="8"/>
  <c r="O16" i="6"/>
  <c r="O574" i="10"/>
  <c r="O838" i="10"/>
  <c r="O121" i="5"/>
  <c r="O116" i="5"/>
  <c r="O160" i="6"/>
  <c r="O144" i="9"/>
  <c r="O623" i="10"/>
  <c r="O233" i="5"/>
  <c r="O185" i="8"/>
  <c r="O160" i="4"/>
  <c r="O681" i="10"/>
  <c r="O694" i="10" s="1"/>
  <c r="O69" i="9"/>
  <c r="O75" i="9"/>
  <c r="O82" i="8"/>
  <c r="O170" i="8"/>
  <c r="O130" i="7"/>
  <c r="O157" i="10"/>
  <c r="O234" i="8"/>
  <c r="O72" i="10"/>
  <c r="O21" i="5"/>
  <c r="O255" i="9"/>
  <c r="O62" i="10"/>
  <c r="O86" i="9"/>
  <c r="O98" i="9" s="1"/>
  <c r="O100" i="10"/>
  <c r="O810" i="10"/>
  <c r="O207" i="9"/>
  <c r="O154" i="5" l="1"/>
  <c r="O153" i="5"/>
  <c r="O155" i="5" s="1"/>
  <c r="O163" i="5"/>
  <c r="O166" i="5"/>
  <c r="O751" i="10"/>
  <c r="O765" i="10" s="1"/>
  <c r="O261" i="6"/>
  <c r="O265" i="6" s="1"/>
  <c r="L75" i="9" l="1"/>
  <c r="O148" i="5" l="1"/>
  <c r="J145" i="5"/>
  <c r="Q349" i="3" l="1"/>
  <c r="R349" i="3" l="1"/>
  <c r="T349" i="3" s="1"/>
  <c r="O202" i="9"/>
  <c r="O789" i="10" l="1"/>
  <c r="O836" i="10"/>
  <c r="O847" i="10" s="1"/>
  <c r="O231" i="10"/>
  <c r="O92" i="8"/>
  <c r="O67" i="10"/>
  <c r="O192" i="5"/>
  <c r="O72" i="5"/>
  <c r="O217" i="8"/>
  <c r="O170" i="10"/>
  <c r="O274" i="10"/>
  <c r="O674" i="10"/>
  <c r="O586" i="10"/>
  <c r="O246" i="6"/>
  <c r="O214" i="9"/>
  <c r="O554" i="10"/>
  <c r="O469" i="10"/>
  <c r="U469" i="10"/>
  <c r="O102" i="7"/>
  <c r="O80" i="7"/>
  <c r="O123" i="4" l="1"/>
  <c r="O716" i="10"/>
  <c r="U222" i="9"/>
  <c r="U255" i="9"/>
  <c r="J88" i="10" l="1"/>
  <c r="L160" i="4"/>
  <c r="AH69" i="3" s="1"/>
  <c r="C152" i="4"/>
  <c r="D152" i="4"/>
  <c r="E152" i="4"/>
  <c r="F152" i="4"/>
  <c r="B152" i="4"/>
  <c r="E148" i="4"/>
  <c r="D148" i="4"/>
  <c r="C148" i="4"/>
  <c r="B148" i="4"/>
  <c r="B7" i="4"/>
  <c r="C7" i="4"/>
  <c r="D7" i="4"/>
  <c r="E7" i="4"/>
  <c r="F7" i="4"/>
  <c r="B9" i="4"/>
  <c r="C9" i="4"/>
  <c r="D9" i="4"/>
  <c r="E9" i="4"/>
  <c r="F9" i="4"/>
  <c r="B11" i="4"/>
  <c r="C11" i="4"/>
  <c r="D11" i="4"/>
  <c r="E11" i="4"/>
  <c r="F11" i="4"/>
  <c r="B13" i="4"/>
  <c r="C13" i="4"/>
  <c r="D13" i="4"/>
  <c r="E13" i="4"/>
  <c r="F13" i="4"/>
  <c r="B15" i="4"/>
  <c r="C15" i="4"/>
  <c r="D15" i="4"/>
  <c r="E15" i="4"/>
  <c r="F15" i="4"/>
  <c r="B17" i="4"/>
  <c r="C17" i="4"/>
  <c r="D17" i="4"/>
  <c r="E17" i="4"/>
  <c r="F17" i="4"/>
  <c r="B20" i="4"/>
  <c r="C20" i="4"/>
  <c r="D20" i="4"/>
  <c r="E20" i="4"/>
  <c r="F20" i="4"/>
  <c r="B22" i="4"/>
  <c r="C22" i="4"/>
  <c r="D22" i="4"/>
  <c r="E22" i="4"/>
  <c r="F22" i="4"/>
  <c r="B24" i="4"/>
  <c r="C24" i="4"/>
  <c r="D24" i="4"/>
  <c r="E24" i="4"/>
  <c r="F24" i="4"/>
  <c r="B27" i="4"/>
  <c r="C27" i="4"/>
  <c r="D27" i="4"/>
  <c r="E27" i="4"/>
  <c r="F27" i="4"/>
  <c r="B29" i="4"/>
  <c r="C29" i="4"/>
  <c r="D29" i="4"/>
  <c r="E29" i="4"/>
  <c r="F29" i="4"/>
  <c r="B32" i="4"/>
  <c r="C32" i="4"/>
  <c r="D32" i="4"/>
  <c r="E32" i="4"/>
  <c r="F32" i="4"/>
  <c r="B34" i="4"/>
  <c r="C34" i="4"/>
  <c r="D34" i="4"/>
  <c r="E34" i="4"/>
  <c r="F34" i="4"/>
  <c r="B36" i="4"/>
  <c r="C36" i="4"/>
  <c r="D36" i="4"/>
  <c r="E36" i="4"/>
  <c r="F36" i="4"/>
  <c r="B38" i="4"/>
  <c r="C38" i="4"/>
  <c r="D38" i="4"/>
  <c r="E38" i="4"/>
  <c r="F38" i="4"/>
  <c r="B40" i="4"/>
  <c r="C40" i="4"/>
  <c r="D40" i="4"/>
  <c r="E40" i="4"/>
  <c r="F40" i="4"/>
  <c r="B42" i="4"/>
  <c r="C42" i="4"/>
  <c r="D42" i="4"/>
  <c r="E42" i="4"/>
  <c r="F42" i="4"/>
  <c r="B44" i="4"/>
  <c r="C44" i="4"/>
  <c r="D44" i="4"/>
  <c r="E44" i="4"/>
  <c r="F44" i="4"/>
  <c r="B46" i="4"/>
  <c r="C46" i="4"/>
  <c r="D46" i="4"/>
  <c r="E46" i="4"/>
  <c r="F46" i="4"/>
  <c r="B49" i="4"/>
  <c r="C49" i="4"/>
  <c r="D49" i="4"/>
  <c r="E49" i="4"/>
  <c r="F49" i="4"/>
  <c r="B52" i="4"/>
  <c r="C52" i="4"/>
  <c r="D52" i="4"/>
  <c r="E52" i="4"/>
  <c r="F52" i="4"/>
  <c r="B54" i="4"/>
  <c r="C54" i="4"/>
  <c r="D54" i="4"/>
  <c r="E54" i="4"/>
  <c r="F54" i="4"/>
  <c r="B56" i="4"/>
  <c r="C56" i="4"/>
  <c r="D56" i="4"/>
  <c r="E56" i="4"/>
  <c r="F56" i="4"/>
  <c r="B58" i="4"/>
  <c r="C58" i="4"/>
  <c r="D58" i="4"/>
  <c r="E58" i="4"/>
  <c r="F58" i="4"/>
  <c r="B61" i="4"/>
  <c r="C61" i="4"/>
  <c r="D61" i="4"/>
  <c r="E61" i="4"/>
  <c r="F61" i="4"/>
  <c r="B68" i="4"/>
  <c r="C68" i="4"/>
  <c r="D68" i="4"/>
  <c r="E68" i="4"/>
  <c r="F68" i="4"/>
  <c r="B70" i="4"/>
  <c r="C70" i="4"/>
  <c r="D70" i="4"/>
  <c r="E70" i="4"/>
  <c r="F70" i="4"/>
  <c r="B72" i="4"/>
  <c r="C72" i="4"/>
  <c r="D72" i="4"/>
  <c r="E72" i="4"/>
  <c r="F72" i="4"/>
  <c r="B74" i="4"/>
  <c r="C74" i="4"/>
  <c r="D74" i="4"/>
  <c r="E74" i="4"/>
  <c r="F74" i="4"/>
  <c r="B77" i="4"/>
  <c r="C77" i="4"/>
  <c r="D77" i="4"/>
  <c r="E77" i="4"/>
  <c r="F77" i="4"/>
  <c r="B82" i="4"/>
  <c r="C82" i="4"/>
  <c r="D82" i="4"/>
  <c r="E82" i="4"/>
  <c r="F82" i="4"/>
  <c r="B84" i="4"/>
  <c r="C84" i="4"/>
  <c r="D84" i="4"/>
  <c r="E84" i="4"/>
  <c r="F84" i="4"/>
  <c r="B86" i="4"/>
  <c r="C86" i="4"/>
  <c r="D86" i="4"/>
  <c r="E86" i="4"/>
  <c r="F86" i="4"/>
  <c r="B88" i="4"/>
  <c r="C88" i="4"/>
  <c r="D88" i="4"/>
  <c r="E88" i="4"/>
  <c r="F88" i="4"/>
  <c r="B90" i="4"/>
  <c r="C90" i="4"/>
  <c r="D90" i="4"/>
  <c r="E90" i="4"/>
  <c r="F90" i="4"/>
  <c r="B92" i="4"/>
  <c r="C92" i="4"/>
  <c r="D92" i="4"/>
  <c r="E92" i="4"/>
  <c r="F92" i="4"/>
  <c r="B94" i="4"/>
  <c r="C94" i="4"/>
  <c r="D94" i="4"/>
  <c r="E94" i="4"/>
  <c r="F94" i="4"/>
  <c r="B101" i="4"/>
  <c r="C101" i="4"/>
  <c r="D101" i="4"/>
  <c r="E101" i="4"/>
  <c r="F101" i="4"/>
  <c r="B116" i="4"/>
  <c r="C116" i="4"/>
  <c r="D116" i="4"/>
  <c r="E116" i="4"/>
  <c r="F116" i="4"/>
  <c r="B124" i="4"/>
  <c r="C124" i="4"/>
  <c r="D124" i="4"/>
  <c r="E124" i="4"/>
  <c r="F124" i="4"/>
  <c r="B126" i="4"/>
  <c r="C126" i="4"/>
  <c r="D126" i="4"/>
  <c r="E126" i="4"/>
  <c r="F126" i="4"/>
  <c r="B128" i="4"/>
  <c r="C128" i="4"/>
  <c r="D128" i="4"/>
  <c r="E128" i="4"/>
  <c r="F128" i="4"/>
  <c r="B133" i="4"/>
  <c r="C133" i="4"/>
  <c r="D133" i="4"/>
  <c r="E133" i="4"/>
  <c r="F133" i="4"/>
  <c r="B135" i="4"/>
  <c r="C135" i="4"/>
  <c r="D135" i="4"/>
  <c r="E135" i="4"/>
  <c r="F135" i="4"/>
  <c r="B142" i="4"/>
  <c r="C142" i="4"/>
  <c r="D142" i="4"/>
  <c r="E142" i="4"/>
  <c r="F142" i="4"/>
  <c r="B161" i="4"/>
  <c r="C161" i="4"/>
  <c r="D161" i="4"/>
  <c r="E161" i="4"/>
  <c r="F161" i="4"/>
  <c r="B163" i="4"/>
  <c r="C163" i="4"/>
  <c r="D163" i="4"/>
  <c r="E163" i="4"/>
  <c r="F163" i="4"/>
  <c r="B165" i="4"/>
  <c r="C165" i="4"/>
  <c r="D165" i="4"/>
  <c r="E165" i="4"/>
  <c r="F165" i="4"/>
  <c r="A9" i="4"/>
  <c r="A11" i="4"/>
  <c r="A13" i="4"/>
  <c r="A15" i="4"/>
  <c r="A17" i="4"/>
  <c r="A20" i="4"/>
  <c r="A22" i="4"/>
  <c r="A24" i="4"/>
  <c r="A27" i="4"/>
  <c r="A29" i="4"/>
  <c r="A32" i="4"/>
  <c r="A34" i="4"/>
  <c r="A36" i="4"/>
  <c r="A38" i="4"/>
  <c r="A40" i="4"/>
  <c r="A42" i="4"/>
  <c r="A44" i="4"/>
  <c r="A46" i="4"/>
  <c r="A49" i="4"/>
  <c r="A52" i="4"/>
  <c r="A54" i="4"/>
  <c r="A56" i="4"/>
  <c r="A58" i="4"/>
  <c r="A61" i="4"/>
  <c r="A68" i="4"/>
  <c r="A70" i="4"/>
  <c r="A72" i="4"/>
  <c r="A74" i="4"/>
  <c r="A77" i="4"/>
  <c r="A82" i="4"/>
  <c r="A84" i="4"/>
  <c r="A86" i="4"/>
  <c r="A88" i="4"/>
  <c r="A90" i="4"/>
  <c r="A92" i="4"/>
  <c r="A94" i="4"/>
  <c r="A101" i="4"/>
  <c r="A116" i="4"/>
  <c r="A124" i="4"/>
  <c r="A126" i="4"/>
  <c r="A128" i="4"/>
  <c r="A133" i="4"/>
  <c r="A135" i="4"/>
  <c r="A142" i="4"/>
  <c r="A148" i="4"/>
  <c r="A152" i="4"/>
  <c r="A161" i="4"/>
  <c r="A163" i="4"/>
  <c r="A165" i="4"/>
  <c r="A7" i="4"/>
  <c r="J76" i="4"/>
  <c r="P384" i="3" l="1"/>
  <c r="P260" i="3"/>
  <c r="P269" i="3"/>
  <c r="P259" i="3"/>
  <c r="P261" i="3"/>
  <c r="O217" i="10" l="1"/>
  <c r="O944" i="10"/>
  <c r="O52" i="5" l="1"/>
  <c r="O209" i="6"/>
  <c r="O41" i="8"/>
  <c r="O39" i="8"/>
  <c r="O97" i="5"/>
  <c r="O65" i="8"/>
  <c r="O174" i="9" l="1"/>
  <c r="O177" i="9"/>
  <c r="O141" i="9"/>
  <c r="O132" i="9"/>
  <c r="O121" i="9"/>
  <c r="O115" i="9"/>
  <c r="O61" i="9"/>
  <c r="O56" i="9"/>
  <c r="O51" i="9"/>
  <c r="O1055" i="10"/>
  <c r="O865" i="10"/>
  <c r="O770" i="10"/>
  <c r="O730" i="10"/>
  <c r="O576" i="10"/>
  <c r="O579" i="10"/>
  <c r="O493" i="10"/>
  <c r="O476" i="10"/>
  <c r="O450" i="10"/>
  <c r="O423" i="10"/>
  <c r="O122" i="10"/>
  <c r="O120" i="10"/>
  <c r="O88" i="10"/>
  <c r="O36" i="10"/>
  <c r="O25" i="10"/>
  <c r="O15" i="10"/>
  <c r="O90" i="7"/>
  <c r="O71" i="7"/>
  <c r="J71" i="7"/>
  <c r="O67" i="7"/>
  <c r="O57" i="7"/>
  <c r="O46" i="7"/>
  <c r="O33" i="7"/>
  <c r="O25" i="7"/>
  <c r="O22" i="7"/>
  <c r="O9" i="7"/>
  <c r="J9" i="7"/>
  <c r="O159" i="8"/>
  <c r="O142" i="8"/>
  <c r="O36" i="8"/>
  <c r="O141" i="6"/>
  <c r="O130" i="6"/>
  <c r="J130" i="6"/>
  <c r="J125" i="6"/>
  <c r="J119" i="6"/>
  <c r="O93" i="6"/>
  <c r="O80" i="6"/>
  <c r="O188" i="5"/>
  <c r="O174" i="5"/>
  <c r="O158" i="5"/>
  <c r="O138" i="5"/>
  <c r="O128" i="5"/>
  <c r="O102" i="5"/>
  <c r="O90" i="5"/>
  <c r="O84" i="5"/>
  <c r="O66" i="5"/>
  <c r="O55" i="5"/>
  <c r="J45" i="5"/>
  <c r="O43" i="5"/>
  <c r="O37" i="5"/>
  <c r="O35" i="5"/>
  <c r="O10" i="5"/>
  <c r="O8" i="5"/>
  <c r="O164" i="4"/>
  <c r="O167" i="4"/>
  <c r="O147" i="4"/>
  <c r="O132" i="4"/>
  <c r="O87" i="4"/>
  <c r="O89" i="4"/>
  <c r="O100" i="4"/>
  <c r="O76" i="4"/>
  <c r="O55" i="4"/>
  <c r="O37" i="4"/>
  <c r="J19" i="4"/>
  <c r="O114" i="6"/>
  <c r="O42" i="6"/>
  <c r="O486" i="10"/>
  <c r="O105" i="10"/>
  <c r="O111" i="10" s="1"/>
  <c r="O964" i="10"/>
  <c r="O165" i="9"/>
  <c r="O137" i="8"/>
  <c r="O213" i="9"/>
  <c r="O660" i="10"/>
  <c r="J857" i="10"/>
  <c r="L909" i="10"/>
  <c r="A347" i="10" l="1"/>
  <c r="O326" i="6" l="1"/>
  <c r="O256" i="6"/>
  <c r="O225" i="5"/>
  <c r="O224" i="5"/>
  <c r="O133" i="5" l="1"/>
  <c r="A131" i="5"/>
  <c r="O157" i="4"/>
  <c r="O364" i="10"/>
  <c r="O373" i="10" s="1"/>
  <c r="O67" i="4"/>
  <c r="O257" i="10"/>
  <c r="O258" i="10" s="1"/>
  <c r="L258" i="10"/>
  <c r="U258" i="10"/>
  <c r="W258" i="10" s="1"/>
  <c r="O438" i="10"/>
  <c r="L1038" i="10"/>
  <c r="Q258" i="10" l="1"/>
  <c r="O118" i="7"/>
  <c r="O204" i="9"/>
  <c r="O1036" i="10"/>
  <c r="O1038" i="10" s="1"/>
  <c r="O963" i="10" l="1"/>
  <c r="O254" i="6"/>
  <c r="O259" i="6" s="1"/>
  <c r="O81" i="4"/>
  <c r="P404" i="3"/>
  <c r="P400" i="3"/>
  <c r="P363" i="3"/>
  <c r="P357" i="3"/>
  <c r="P345" i="3"/>
  <c r="P342" i="3"/>
  <c r="P327" i="3"/>
  <c r="M33" i="3"/>
  <c r="M29" i="3"/>
  <c r="M28" i="3"/>
  <c r="O1005" i="10"/>
  <c r="O639" i="10"/>
  <c r="O613" i="10"/>
  <c r="O184" i="10"/>
  <c r="O75" i="10"/>
  <c r="J38" i="10"/>
  <c r="O44" i="10"/>
  <c r="Q36" i="10"/>
  <c r="O152" i="8"/>
  <c r="O18" i="8"/>
  <c r="O11" i="8"/>
  <c r="O339" i="6"/>
  <c r="O286" i="6"/>
  <c r="O226" i="6"/>
  <c r="O223" i="6"/>
  <c r="O188" i="6"/>
  <c r="L100" i="4"/>
  <c r="J8" i="4"/>
  <c r="O151" i="5" l="1"/>
  <c r="O152" i="5" s="1"/>
  <c r="A945" i="10"/>
  <c r="U53" i="10"/>
  <c r="U62" i="10" s="1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293" i="3"/>
  <c r="AK294" i="3"/>
  <c r="AK295" i="3"/>
  <c r="AK296" i="3"/>
  <c r="AK297" i="3"/>
  <c r="AK298" i="3"/>
  <c r="AK299" i="3"/>
  <c r="AK300" i="3"/>
  <c r="AK301" i="3"/>
  <c r="AK302" i="3"/>
  <c r="AK303" i="3"/>
  <c r="AK304" i="3"/>
  <c r="AK305" i="3"/>
  <c r="AK306" i="3"/>
  <c r="AK307" i="3"/>
  <c r="AK308" i="3"/>
  <c r="AK309" i="3"/>
  <c r="AK310" i="3"/>
  <c r="AK311" i="3"/>
  <c r="AK312" i="3"/>
  <c r="AK314" i="3"/>
  <c r="AK315" i="3"/>
  <c r="AK316" i="3"/>
  <c r="AK317" i="3"/>
  <c r="AK318" i="3"/>
  <c r="AK319" i="3"/>
  <c r="AK320" i="3"/>
  <c r="AK321" i="3"/>
  <c r="AK322" i="3"/>
  <c r="AK323" i="3"/>
  <c r="AK324" i="3"/>
  <c r="AK325" i="3"/>
  <c r="AK326" i="3"/>
  <c r="AK327" i="3"/>
  <c r="AK328" i="3"/>
  <c r="AK329" i="3"/>
  <c r="AK330" i="3"/>
  <c r="AK331" i="3"/>
  <c r="AK332" i="3"/>
  <c r="AK333" i="3"/>
  <c r="AK334" i="3"/>
  <c r="AK335" i="3"/>
  <c r="AK336" i="3"/>
  <c r="AK337" i="3"/>
  <c r="AK338" i="3"/>
  <c r="AK339" i="3"/>
  <c r="AK340" i="3"/>
  <c r="AK341" i="3"/>
  <c r="AK342" i="3"/>
  <c r="AK343" i="3"/>
  <c r="AK344" i="3"/>
  <c r="AK345" i="3"/>
  <c r="AK346" i="3"/>
  <c r="AK347" i="3"/>
  <c r="AK348" i="3"/>
  <c r="AK349" i="3"/>
  <c r="AK350" i="3"/>
  <c r="AK351" i="3"/>
  <c r="AK352" i="3"/>
  <c r="AK353" i="3"/>
  <c r="AK354" i="3"/>
  <c r="AK355" i="3"/>
  <c r="AK356" i="3"/>
  <c r="AK357" i="3"/>
  <c r="AK358" i="3"/>
  <c r="AK359" i="3"/>
  <c r="AK360" i="3"/>
  <c r="AK361" i="3"/>
  <c r="AK362" i="3"/>
  <c r="AK363" i="3"/>
  <c r="AK364" i="3"/>
  <c r="AK365" i="3"/>
  <c r="AK366" i="3"/>
  <c r="AK367" i="3"/>
  <c r="AK368" i="3"/>
  <c r="AK369" i="3"/>
  <c r="AK370" i="3"/>
  <c r="AK371" i="3"/>
  <c r="AK372" i="3"/>
  <c r="AK373" i="3"/>
  <c r="AK374" i="3"/>
  <c r="AK375" i="3"/>
  <c r="AK376" i="3"/>
  <c r="AK377" i="3"/>
  <c r="AK378" i="3"/>
  <c r="AK379" i="3"/>
  <c r="AK380" i="3"/>
  <c r="AK381" i="3"/>
  <c r="AK382" i="3"/>
  <c r="AK383" i="3"/>
  <c r="AK384" i="3"/>
  <c r="AK385" i="3"/>
  <c r="AK386" i="3"/>
  <c r="AK387" i="3"/>
  <c r="AK388" i="3"/>
  <c r="AK389" i="3"/>
  <c r="AK390" i="3"/>
  <c r="AK391" i="3"/>
  <c r="AK392" i="3"/>
  <c r="AK393" i="3"/>
  <c r="AK394" i="3"/>
  <c r="AK395" i="3"/>
  <c r="AK396" i="3"/>
  <c r="AK397" i="3"/>
  <c r="AK398" i="3"/>
  <c r="AK399" i="3"/>
  <c r="AK400" i="3"/>
  <c r="AK401" i="3"/>
  <c r="AK402" i="3"/>
  <c r="AK403" i="3"/>
  <c r="AK404" i="3"/>
  <c r="AK405" i="3"/>
  <c r="AK406" i="3"/>
  <c r="AK407" i="3"/>
  <c r="AK408" i="3"/>
  <c r="AK409" i="3"/>
  <c r="AK410" i="3"/>
  <c r="AK411" i="3"/>
  <c r="AK412" i="3"/>
  <c r="AK413" i="3"/>
  <c r="AK414" i="3"/>
  <c r="AK415" i="3"/>
  <c r="AK416" i="3"/>
  <c r="AK417" i="3"/>
  <c r="AK418" i="3"/>
  <c r="AK419" i="3"/>
  <c r="AK420" i="3"/>
  <c r="AK421" i="3"/>
  <c r="AK422" i="3"/>
  <c r="AK423" i="3"/>
  <c r="AK424" i="3"/>
  <c r="AK425" i="3"/>
  <c r="AK426" i="3"/>
  <c r="AK427" i="3"/>
  <c r="AK428" i="3"/>
  <c r="AK429" i="3"/>
  <c r="AK430" i="3"/>
  <c r="AK431" i="3"/>
  <c r="AK432" i="3"/>
  <c r="AK433" i="3"/>
  <c r="AK434" i="3"/>
  <c r="AK435" i="3"/>
  <c r="AB9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C52" i="3"/>
  <c r="AD52" i="3"/>
  <c r="AB53" i="3"/>
  <c r="AC53" i="3"/>
  <c r="AD53" i="3"/>
  <c r="AB54" i="3"/>
  <c r="AC54" i="3"/>
  <c r="AD54" i="3"/>
  <c r="AB55" i="3"/>
  <c r="AC55" i="3"/>
  <c r="AD55" i="3"/>
  <c r="AB56" i="3"/>
  <c r="AC56" i="3"/>
  <c r="AD56" i="3"/>
  <c r="AB57" i="3"/>
  <c r="AC57" i="3"/>
  <c r="AD57" i="3"/>
  <c r="AB58" i="3"/>
  <c r="AC58" i="3"/>
  <c r="AD58" i="3"/>
  <c r="AB59" i="3"/>
  <c r="AC59" i="3"/>
  <c r="AD59" i="3"/>
  <c r="AB60" i="3"/>
  <c r="AC60" i="3"/>
  <c r="AD60" i="3"/>
  <c r="AB61" i="3"/>
  <c r="AC61" i="3"/>
  <c r="AD61" i="3"/>
  <c r="AB62" i="3"/>
  <c r="AC62" i="3"/>
  <c r="AD62" i="3"/>
  <c r="AR62" i="3" s="1"/>
  <c r="AB63" i="3"/>
  <c r="AC63" i="3"/>
  <c r="AD63" i="3"/>
  <c r="AR63" i="3" s="1"/>
  <c r="AB64" i="3"/>
  <c r="AC64" i="3"/>
  <c r="AD64" i="3"/>
  <c r="AB65" i="3"/>
  <c r="AC65" i="3"/>
  <c r="AD65" i="3"/>
  <c r="AR65" i="3" s="1"/>
  <c r="AB66" i="3"/>
  <c r="AC66" i="3"/>
  <c r="AD66" i="3"/>
  <c r="AR66" i="3" s="1"/>
  <c r="AB67" i="3"/>
  <c r="AC67" i="3"/>
  <c r="AD67" i="3"/>
  <c r="AB68" i="3"/>
  <c r="AC68" i="3"/>
  <c r="AD68" i="3"/>
  <c r="AR68" i="3" s="1"/>
  <c r="AB69" i="3"/>
  <c r="AC69" i="3"/>
  <c r="AD69" i="3"/>
  <c r="AR69" i="3" s="1"/>
  <c r="AB70" i="3"/>
  <c r="AC70" i="3"/>
  <c r="AD70" i="3"/>
  <c r="AB71" i="3"/>
  <c r="AC71" i="3"/>
  <c r="AD71" i="3"/>
  <c r="AR71" i="3" s="1"/>
  <c r="AB72" i="3"/>
  <c r="AC72" i="3"/>
  <c r="AD72" i="3"/>
  <c r="AR72" i="3" s="1"/>
  <c r="AB73" i="3"/>
  <c r="AC73" i="3"/>
  <c r="AD73" i="3"/>
  <c r="AB74" i="3"/>
  <c r="AC74" i="3"/>
  <c r="AD74" i="3"/>
  <c r="AR74" i="3" s="1"/>
  <c r="AB75" i="3"/>
  <c r="AC75" i="3"/>
  <c r="AD75" i="3"/>
  <c r="AR75" i="3" s="1"/>
  <c r="AB76" i="3"/>
  <c r="AC76" i="3"/>
  <c r="AD76" i="3"/>
  <c r="AB77" i="3"/>
  <c r="AC77" i="3"/>
  <c r="AD77" i="3"/>
  <c r="AR77" i="3" s="1"/>
  <c r="AB78" i="3"/>
  <c r="AC78" i="3"/>
  <c r="AD78" i="3"/>
  <c r="AR78" i="3" s="1"/>
  <c r="AB79" i="3"/>
  <c r="AB80" i="3"/>
  <c r="AB81" i="3"/>
  <c r="AB82" i="3"/>
  <c r="AB83" i="3"/>
  <c r="AB84" i="3"/>
  <c r="AB85" i="3"/>
  <c r="AB86" i="3"/>
  <c r="AB87" i="3"/>
  <c r="AB88" i="3"/>
  <c r="AB89" i="3"/>
  <c r="AC89" i="3"/>
  <c r="AD89" i="3"/>
  <c r="AB90" i="3"/>
  <c r="AC90" i="3"/>
  <c r="AD90" i="3"/>
  <c r="AB91" i="3"/>
  <c r="AC91" i="3"/>
  <c r="AD91" i="3"/>
  <c r="AB92" i="3"/>
  <c r="AC92" i="3"/>
  <c r="AD92" i="3"/>
  <c r="AB93" i="3"/>
  <c r="AC93" i="3"/>
  <c r="AD93" i="3"/>
  <c r="AB94" i="3"/>
  <c r="AC94" i="3"/>
  <c r="AD94" i="3"/>
  <c r="AB95" i="3"/>
  <c r="AC95" i="3"/>
  <c r="AD95" i="3"/>
  <c r="AB96" i="3"/>
  <c r="AC96" i="3"/>
  <c r="AD96" i="3"/>
  <c r="AB97" i="3"/>
  <c r="AC97" i="3"/>
  <c r="AD97" i="3"/>
  <c r="AB98" i="3"/>
  <c r="AC98" i="3"/>
  <c r="AD98" i="3"/>
  <c r="AC99" i="3"/>
  <c r="AD99" i="3"/>
  <c r="AB100" i="3"/>
  <c r="AC100" i="3"/>
  <c r="AD100" i="3"/>
  <c r="AB101" i="3"/>
  <c r="AC101" i="3"/>
  <c r="AD101" i="3"/>
  <c r="AB102" i="3"/>
  <c r="AC102" i="3"/>
  <c r="AD102" i="3"/>
  <c r="AB103" i="3"/>
  <c r="AC103" i="3"/>
  <c r="AD103" i="3"/>
  <c r="AB104" i="3"/>
  <c r="AC104" i="3"/>
  <c r="AD104" i="3"/>
  <c r="AB105" i="3"/>
  <c r="AC105" i="3"/>
  <c r="AD105" i="3"/>
  <c r="AB106" i="3"/>
  <c r="AC106" i="3"/>
  <c r="AD106" i="3"/>
  <c r="AB107" i="3"/>
  <c r="AC107" i="3"/>
  <c r="AD107" i="3"/>
  <c r="AB108" i="3"/>
  <c r="AC108" i="3"/>
  <c r="AD108" i="3"/>
  <c r="AB109" i="3"/>
  <c r="AC109" i="3"/>
  <c r="AD109" i="3"/>
  <c r="AB110" i="3"/>
  <c r="AC110" i="3"/>
  <c r="AD110" i="3"/>
  <c r="AB111" i="3"/>
  <c r="AC111" i="3"/>
  <c r="AD111" i="3"/>
  <c r="AB112" i="3"/>
  <c r="AC112" i="3"/>
  <c r="AD112" i="3"/>
  <c r="AB113" i="3"/>
  <c r="AC113" i="3"/>
  <c r="AD113" i="3"/>
  <c r="AB114" i="3"/>
  <c r="AC114" i="3"/>
  <c r="AD114" i="3"/>
  <c r="AB115" i="3"/>
  <c r="AC115" i="3"/>
  <c r="AD115" i="3"/>
  <c r="AB116" i="3"/>
  <c r="AC116" i="3"/>
  <c r="AD116" i="3"/>
  <c r="AB117" i="3"/>
  <c r="AC117" i="3"/>
  <c r="AD117" i="3"/>
  <c r="AB118" i="3"/>
  <c r="AC118" i="3"/>
  <c r="AD118" i="3"/>
  <c r="AB119" i="3"/>
  <c r="AC119" i="3"/>
  <c r="AD119" i="3"/>
  <c r="AB120" i="3"/>
  <c r="AC120" i="3"/>
  <c r="AD120" i="3"/>
  <c r="AB121" i="3"/>
  <c r="AC121" i="3"/>
  <c r="AD121" i="3"/>
  <c r="AB122" i="3"/>
  <c r="AC122" i="3"/>
  <c r="AD122" i="3"/>
  <c r="AB123" i="3"/>
  <c r="AC123" i="3"/>
  <c r="AD123" i="3"/>
  <c r="AB124" i="3"/>
  <c r="AC124" i="3"/>
  <c r="AD124" i="3"/>
  <c r="AB125" i="3"/>
  <c r="AC125" i="3"/>
  <c r="AD125" i="3"/>
  <c r="AB126" i="3"/>
  <c r="AC126" i="3"/>
  <c r="AD126" i="3"/>
  <c r="AB127" i="3"/>
  <c r="AC127" i="3"/>
  <c r="AD127" i="3"/>
  <c r="AB128" i="3"/>
  <c r="AC128" i="3"/>
  <c r="AD128" i="3"/>
  <c r="AB129" i="3"/>
  <c r="AC129" i="3"/>
  <c r="AD129" i="3"/>
  <c r="AB130" i="3"/>
  <c r="AC130" i="3"/>
  <c r="AD130" i="3"/>
  <c r="AB131" i="3"/>
  <c r="AC131" i="3"/>
  <c r="AD131" i="3"/>
  <c r="AR131" i="3" s="1"/>
  <c r="AB132" i="3"/>
  <c r="AC132" i="3"/>
  <c r="AD132" i="3"/>
  <c r="AR132" i="3" s="1"/>
  <c r="AB133" i="3"/>
  <c r="AC133" i="3"/>
  <c r="AD133" i="3"/>
  <c r="AB134" i="3"/>
  <c r="AC134" i="3"/>
  <c r="AD134" i="3"/>
  <c r="AR134" i="3" s="1"/>
  <c r="AB135" i="3"/>
  <c r="AC135" i="3"/>
  <c r="AD135" i="3"/>
  <c r="AR135" i="3" s="1"/>
  <c r="AB136" i="3"/>
  <c r="AC136" i="3"/>
  <c r="AD136" i="3"/>
  <c r="AB137" i="3"/>
  <c r="AC137" i="3"/>
  <c r="AD137" i="3"/>
  <c r="AR137" i="3" s="1"/>
  <c r="AB138" i="3"/>
  <c r="AC138" i="3"/>
  <c r="AD138" i="3"/>
  <c r="AR138" i="3" s="1"/>
  <c r="AB139" i="3"/>
  <c r="AC139" i="3"/>
  <c r="AD139" i="3"/>
  <c r="AB140" i="3"/>
  <c r="AC140" i="3"/>
  <c r="AD140" i="3"/>
  <c r="AR140" i="3" s="1"/>
  <c r="AB141" i="3"/>
  <c r="AC141" i="3"/>
  <c r="AD141" i="3"/>
  <c r="AR141" i="3" s="1"/>
  <c r="AB142" i="3"/>
  <c r="AC142" i="3"/>
  <c r="AD142" i="3"/>
  <c r="AB143" i="3"/>
  <c r="AC143" i="3"/>
  <c r="AD143" i="3"/>
  <c r="AR143" i="3" s="1"/>
  <c r="AB144" i="3"/>
  <c r="AC144" i="3"/>
  <c r="AD144" i="3"/>
  <c r="AR144" i="3" s="1"/>
  <c r="AB145" i="3"/>
  <c r="AC145" i="3"/>
  <c r="AD145" i="3"/>
  <c r="AB146" i="3"/>
  <c r="AC146" i="3"/>
  <c r="AD146" i="3"/>
  <c r="AR146" i="3" s="1"/>
  <c r="AB147" i="3"/>
  <c r="AC147" i="3"/>
  <c r="AD147" i="3"/>
  <c r="AR147" i="3" s="1"/>
  <c r="AB148" i="3"/>
  <c r="AC148" i="3"/>
  <c r="AD148" i="3"/>
  <c r="AB149" i="3"/>
  <c r="AC149" i="3"/>
  <c r="AD149" i="3"/>
  <c r="AR149" i="3" s="1"/>
  <c r="AB150" i="3"/>
  <c r="AC150" i="3"/>
  <c r="AD150" i="3"/>
  <c r="AR150" i="3" s="1"/>
  <c r="AB151" i="3"/>
  <c r="AC151" i="3"/>
  <c r="AD151" i="3"/>
  <c r="AB152" i="3"/>
  <c r="AC152" i="3"/>
  <c r="AD152" i="3"/>
  <c r="AR152" i="3" s="1"/>
  <c r="AB153" i="3"/>
  <c r="AC153" i="3"/>
  <c r="AD153" i="3"/>
  <c r="AR153" i="3" s="1"/>
  <c r="AB154" i="3"/>
  <c r="AC154" i="3"/>
  <c r="AD154" i="3"/>
  <c r="AB155" i="3"/>
  <c r="AC155" i="3"/>
  <c r="AD155" i="3"/>
  <c r="AR155" i="3" s="1"/>
  <c r="AB156" i="3"/>
  <c r="AC156" i="3"/>
  <c r="AD156" i="3"/>
  <c r="AR156" i="3" s="1"/>
  <c r="AB157" i="3"/>
  <c r="AB158" i="3"/>
  <c r="AC158" i="3"/>
  <c r="AD158" i="3"/>
  <c r="AB159" i="3"/>
  <c r="AC159" i="3"/>
  <c r="AD159" i="3"/>
  <c r="AB160" i="3"/>
  <c r="AC160" i="3"/>
  <c r="AD160" i="3"/>
  <c r="AB161" i="3"/>
  <c r="AC161" i="3"/>
  <c r="AD161" i="3"/>
  <c r="AB162" i="3"/>
  <c r="AC162" i="3"/>
  <c r="AD162" i="3"/>
  <c r="AB163" i="3"/>
  <c r="AC163" i="3"/>
  <c r="AD163" i="3"/>
  <c r="AB164" i="3"/>
  <c r="AC164" i="3"/>
  <c r="AD164" i="3"/>
  <c r="AB165" i="3"/>
  <c r="AC165" i="3"/>
  <c r="AD165" i="3"/>
  <c r="AB166" i="3"/>
  <c r="AC166" i="3"/>
  <c r="AD166" i="3"/>
  <c r="AB167" i="3"/>
  <c r="AC167" i="3"/>
  <c r="AD167" i="3"/>
  <c r="AB168" i="3"/>
  <c r="AC168" i="3"/>
  <c r="AD168" i="3"/>
  <c r="AB169" i="3"/>
  <c r="AC169" i="3"/>
  <c r="AD169" i="3"/>
  <c r="AB170" i="3"/>
  <c r="AC170" i="3"/>
  <c r="AD170" i="3"/>
  <c r="AB171" i="3"/>
  <c r="AC171" i="3"/>
  <c r="AD171" i="3"/>
  <c r="AB172" i="3"/>
  <c r="AC172" i="3"/>
  <c r="AD172" i="3"/>
  <c r="AB173" i="3"/>
  <c r="AC173" i="3"/>
  <c r="AD173" i="3"/>
  <c r="AB174" i="3"/>
  <c r="AC174" i="3"/>
  <c r="AD174" i="3"/>
  <c r="AB175" i="3"/>
  <c r="AC175" i="3"/>
  <c r="AD175" i="3"/>
  <c r="AB176" i="3"/>
  <c r="AC176" i="3"/>
  <c r="AD176" i="3"/>
  <c r="AB177" i="3"/>
  <c r="AC177" i="3"/>
  <c r="AD177" i="3"/>
  <c r="AB178" i="3"/>
  <c r="AC178" i="3"/>
  <c r="AD178" i="3"/>
  <c r="AB179" i="3"/>
  <c r="AC179" i="3"/>
  <c r="AD179" i="3"/>
  <c r="AB180" i="3"/>
  <c r="AC180" i="3"/>
  <c r="AD180" i="3"/>
  <c r="AB181" i="3"/>
  <c r="AC181" i="3"/>
  <c r="AD181" i="3"/>
  <c r="AB182" i="3"/>
  <c r="AC182" i="3"/>
  <c r="AD182" i="3"/>
  <c r="AB183" i="3"/>
  <c r="AC183" i="3"/>
  <c r="AD183" i="3"/>
  <c r="AB184" i="3"/>
  <c r="AC184" i="3"/>
  <c r="AD184" i="3"/>
  <c r="AR184" i="3" s="1"/>
  <c r="AB185" i="3"/>
  <c r="AC185" i="3"/>
  <c r="AD185" i="3"/>
  <c r="AR185" i="3" s="1"/>
  <c r="AB186" i="3"/>
  <c r="AC186" i="3"/>
  <c r="AD186" i="3"/>
  <c r="AB187" i="3"/>
  <c r="AC187" i="3"/>
  <c r="AD187" i="3"/>
  <c r="AR187" i="3" s="1"/>
  <c r="AB188" i="3"/>
  <c r="AC188" i="3"/>
  <c r="AD188" i="3"/>
  <c r="AR188" i="3" s="1"/>
  <c r="AB189" i="3"/>
  <c r="AC189" i="3"/>
  <c r="AD189" i="3"/>
  <c r="AB190" i="3"/>
  <c r="AC190" i="3"/>
  <c r="AD190" i="3"/>
  <c r="AR190" i="3" s="1"/>
  <c r="AB191" i="3"/>
  <c r="AC191" i="3"/>
  <c r="AD191" i="3"/>
  <c r="AR191" i="3" s="1"/>
  <c r="AB192" i="3"/>
  <c r="AC192" i="3"/>
  <c r="AD192" i="3"/>
  <c r="AB193" i="3"/>
  <c r="AC193" i="3"/>
  <c r="AD193" i="3"/>
  <c r="AR193" i="3" s="1"/>
  <c r="AB194" i="3"/>
  <c r="AC194" i="3"/>
  <c r="AD194" i="3"/>
  <c r="AR194" i="3" s="1"/>
  <c r="AB195" i="3"/>
  <c r="AC195" i="3"/>
  <c r="AD195" i="3"/>
  <c r="AB196" i="3"/>
  <c r="AC196" i="3"/>
  <c r="AD196" i="3"/>
  <c r="AR196" i="3" s="1"/>
  <c r="AB197" i="3"/>
  <c r="AC197" i="3"/>
  <c r="AD197" i="3"/>
  <c r="AR197" i="3" s="1"/>
  <c r="AB198" i="3"/>
  <c r="AC198" i="3"/>
  <c r="AD198" i="3"/>
  <c r="AB199" i="3"/>
  <c r="AC199" i="3"/>
  <c r="AD199" i="3"/>
  <c r="AR199" i="3" s="1"/>
  <c r="AB200" i="3"/>
  <c r="AC200" i="3"/>
  <c r="AD200" i="3"/>
  <c r="AR200" i="3" s="1"/>
  <c r="AB201" i="3"/>
  <c r="AC201" i="3"/>
  <c r="AD201" i="3"/>
  <c r="AB202" i="3"/>
  <c r="AC202" i="3"/>
  <c r="AD202" i="3"/>
  <c r="AR202" i="3" s="1"/>
  <c r="AB203" i="3"/>
  <c r="AC203" i="3"/>
  <c r="AD203" i="3"/>
  <c r="AR203" i="3" s="1"/>
  <c r="AB204" i="3"/>
  <c r="AC204" i="3"/>
  <c r="AD204" i="3"/>
  <c r="AB205" i="3"/>
  <c r="AC205" i="3"/>
  <c r="AD205" i="3"/>
  <c r="AR205" i="3" s="1"/>
  <c r="AB206" i="3"/>
  <c r="AC206" i="3"/>
  <c r="AD206" i="3"/>
  <c r="AR206" i="3" s="1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C223" i="3"/>
  <c r="AD223" i="3"/>
  <c r="AB224" i="3"/>
  <c r="AC224" i="3"/>
  <c r="AD224" i="3"/>
  <c r="AB225" i="3"/>
  <c r="AC225" i="3"/>
  <c r="AD225" i="3"/>
  <c r="AB226" i="3"/>
  <c r="AC226" i="3"/>
  <c r="AD226" i="3"/>
  <c r="AB227" i="3"/>
  <c r="AC227" i="3"/>
  <c r="AD227" i="3"/>
  <c r="AB228" i="3"/>
  <c r="AC228" i="3"/>
  <c r="AD228" i="3"/>
  <c r="AB229" i="3"/>
  <c r="AC229" i="3"/>
  <c r="AD229" i="3"/>
  <c r="AB230" i="3"/>
  <c r="AC230" i="3"/>
  <c r="AD230" i="3"/>
  <c r="AB231" i="3"/>
  <c r="AC231" i="3"/>
  <c r="AD231" i="3"/>
  <c r="AB232" i="3"/>
  <c r="AC232" i="3"/>
  <c r="AD232" i="3"/>
  <c r="AB233" i="3"/>
  <c r="AC233" i="3"/>
  <c r="AD233" i="3"/>
  <c r="AR233" i="3" s="1"/>
  <c r="AB234" i="3"/>
  <c r="AC234" i="3"/>
  <c r="AD234" i="3"/>
  <c r="AR234" i="3" s="1"/>
  <c r="AB235" i="3"/>
  <c r="AC235" i="3"/>
  <c r="AD235" i="3"/>
  <c r="AB236" i="3"/>
  <c r="AC236" i="3"/>
  <c r="AD236" i="3"/>
  <c r="AR236" i="3" s="1"/>
  <c r="AB237" i="3"/>
  <c r="AC237" i="3"/>
  <c r="AD237" i="3"/>
  <c r="AR237" i="3" s="1"/>
  <c r="AB238" i="3"/>
  <c r="AC238" i="3"/>
  <c r="AD238" i="3"/>
  <c r="AB239" i="3"/>
  <c r="AC239" i="3"/>
  <c r="AD239" i="3"/>
  <c r="AR239" i="3" s="1"/>
  <c r="AB240" i="3"/>
  <c r="AC240" i="3"/>
  <c r="AD240" i="3"/>
  <c r="AR240" i="3" s="1"/>
  <c r="AB241" i="3"/>
  <c r="AC241" i="3"/>
  <c r="AD241" i="3"/>
  <c r="AB242" i="3"/>
  <c r="AC242" i="3"/>
  <c r="AD242" i="3"/>
  <c r="AR242" i="3" s="1"/>
  <c r="AB243" i="3"/>
  <c r="AC243" i="3"/>
  <c r="AD243" i="3"/>
  <c r="AR243" i="3" s="1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C255" i="3"/>
  <c r="AD255" i="3"/>
  <c r="AB256" i="3"/>
  <c r="AC256" i="3"/>
  <c r="AD256" i="3"/>
  <c r="AB257" i="3"/>
  <c r="AC257" i="3"/>
  <c r="AD257" i="3"/>
  <c r="AB258" i="3"/>
  <c r="AC258" i="3"/>
  <c r="AD258" i="3"/>
  <c r="AB259" i="3"/>
  <c r="AC259" i="3"/>
  <c r="AD259" i="3"/>
  <c r="AB260" i="3"/>
  <c r="AC260" i="3"/>
  <c r="AD260" i="3"/>
  <c r="AR260" i="3" s="1"/>
  <c r="AB261" i="3"/>
  <c r="AC261" i="3"/>
  <c r="AD261" i="3"/>
  <c r="AR261" i="3" s="1"/>
  <c r="AB262" i="3"/>
  <c r="AC262" i="3"/>
  <c r="AD262" i="3"/>
  <c r="AB263" i="3"/>
  <c r="AC263" i="3"/>
  <c r="AD263" i="3"/>
  <c r="AB264" i="3"/>
  <c r="AC264" i="3"/>
  <c r="AD264" i="3"/>
  <c r="AB265" i="3"/>
  <c r="AC265" i="3"/>
  <c r="AD265" i="3"/>
  <c r="AB266" i="3"/>
  <c r="AC266" i="3"/>
  <c r="AD266" i="3"/>
  <c r="AB267" i="3"/>
  <c r="AC267" i="3"/>
  <c r="AD267" i="3"/>
  <c r="AB268" i="3"/>
  <c r="AC268" i="3"/>
  <c r="AD268" i="3"/>
  <c r="AB269" i="3"/>
  <c r="AC269" i="3"/>
  <c r="AD269" i="3"/>
  <c r="AR269" i="3" s="1"/>
  <c r="AB270" i="3"/>
  <c r="AC270" i="3"/>
  <c r="AD270" i="3"/>
  <c r="AR270" i="3" s="1"/>
  <c r="AB271" i="3"/>
  <c r="AC271" i="3"/>
  <c r="AD271" i="3"/>
  <c r="AB272" i="3"/>
  <c r="AC272" i="3"/>
  <c r="AD272" i="3"/>
  <c r="AR272" i="3" s="1"/>
  <c r="AB273" i="3"/>
  <c r="AC273" i="3"/>
  <c r="AD273" i="3"/>
  <c r="AR273" i="3" s="1"/>
  <c r="AB274" i="3"/>
  <c r="AC274" i="3"/>
  <c r="AD274" i="3"/>
  <c r="AB275" i="3"/>
  <c r="AC275" i="3"/>
  <c r="AD275" i="3"/>
  <c r="AR275" i="3" s="1"/>
  <c r="AB276" i="3"/>
  <c r="AC276" i="3"/>
  <c r="AD276" i="3"/>
  <c r="AR276" i="3" s="1"/>
  <c r="AB277" i="3"/>
  <c r="AC277" i="3"/>
  <c r="AD277" i="3"/>
  <c r="AB278" i="3"/>
  <c r="AC278" i="3"/>
  <c r="AD278" i="3"/>
  <c r="AR278" i="3" s="1"/>
  <c r="AB279" i="3"/>
  <c r="AC279" i="3"/>
  <c r="AD279" i="3"/>
  <c r="AR279" i="3" s="1"/>
  <c r="AB280" i="3"/>
  <c r="AC280" i="3"/>
  <c r="AD280" i="3"/>
  <c r="AB281" i="3"/>
  <c r="AC281" i="3"/>
  <c r="AD281" i="3"/>
  <c r="AR281" i="3" s="1"/>
  <c r="AB282" i="3"/>
  <c r="AC282" i="3"/>
  <c r="AD282" i="3"/>
  <c r="AR282" i="3" s="1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C301" i="3"/>
  <c r="AD301" i="3"/>
  <c r="AB302" i="3"/>
  <c r="AC302" i="3"/>
  <c r="AD302" i="3"/>
  <c r="AB303" i="3"/>
  <c r="AC303" i="3"/>
  <c r="AD303" i="3"/>
  <c r="AB304" i="3"/>
  <c r="AC304" i="3"/>
  <c r="AD304" i="3"/>
  <c r="AB305" i="3"/>
  <c r="AC305" i="3"/>
  <c r="AD305" i="3"/>
  <c r="AB306" i="3"/>
  <c r="AC306" i="3"/>
  <c r="AD306" i="3"/>
  <c r="AB307" i="3"/>
  <c r="AC307" i="3"/>
  <c r="AD307" i="3"/>
  <c r="AB308" i="3"/>
  <c r="AC308" i="3"/>
  <c r="AD308" i="3"/>
  <c r="AB309" i="3"/>
  <c r="AC309" i="3"/>
  <c r="AD309" i="3"/>
  <c r="AB310" i="3"/>
  <c r="AC310" i="3"/>
  <c r="AD310" i="3"/>
  <c r="AB311" i="3"/>
  <c r="AC311" i="3"/>
  <c r="AD311" i="3"/>
  <c r="AB312" i="3"/>
  <c r="AC312" i="3"/>
  <c r="AD312" i="3"/>
  <c r="AB314" i="3"/>
  <c r="AC314" i="3"/>
  <c r="AD314" i="3"/>
  <c r="AB315" i="3"/>
  <c r="AC315" i="3"/>
  <c r="AD315" i="3"/>
  <c r="AB316" i="3"/>
  <c r="AC316" i="3"/>
  <c r="AD316" i="3"/>
  <c r="AB317" i="3"/>
  <c r="AC317" i="3"/>
  <c r="AD317" i="3"/>
  <c r="AB318" i="3"/>
  <c r="AC318" i="3"/>
  <c r="AD318" i="3"/>
  <c r="AB319" i="3"/>
  <c r="AC319" i="3"/>
  <c r="AD319" i="3"/>
  <c r="AB320" i="3"/>
  <c r="AC320" i="3"/>
  <c r="AD320" i="3"/>
  <c r="AB321" i="3"/>
  <c r="AC321" i="3"/>
  <c r="AD321" i="3"/>
  <c r="AB322" i="3"/>
  <c r="AC322" i="3"/>
  <c r="AD322" i="3"/>
  <c r="AB323" i="3"/>
  <c r="AC323" i="3"/>
  <c r="AD323" i="3"/>
  <c r="AB324" i="3"/>
  <c r="AC324" i="3"/>
  <c r="AD324" i="3"/>
  <c r="AB325" i="3"/>
  <c r="AC325" i="3"/>
  <c r="AD325" i="3"/>
  <c r="AB326" i="3"/>
  <c r="AC326" i="3"/>
  <c r="AD326" i="3"/>
  <c r="AB327" i="3"/>
  <c r="AC327" i="3"/>
  <c r="AD327" i="3"/>
  <c r="AB328" i="3"/>
  <c r="AC328" i="3"/>
  <c r="AD328" i="3"/>
  <c r="AB329" i="3"/>
  <c r="AC329" i="3"/>
  <c r="AD329" i="3"/>
  <c r="AB330" i="3"/>
  <c r="AC330" i="3"/>
  <c r="AD330" i="3"/>
  <c r="AB331" i="3"/>
  <c r="AC331" i="3"/>
  <c r="AD331" i="3"/>
  <c r="AB332" i="3"/>
  <c r="AC332" i="3"/>
  <c r="AD332" i="3"/>
  <c r="AB333" i="3"/>
  <c r="AC333" i="3"/>
  <c r="AD333" i="3"/>
  <c r="AB334" i="3"/>
  <c r="AC334" i="3"/>
  <c r="AD334" i="3"/>
  <c r="AB335" i="3"/>
  <c r="AC335" i="3"/>
  <c r="AD335" i="3"/>
  <c r="AB336" i="3"/>
  <c r="AC336" i="3"/>
  <c r="AD336" i="3"/>
  <c r="AB337" i="3"/>
  <c r="AC337" i="3"/>
  <c r="AD337" i="3"/>
  <c r="AB338" i="3"/>
  <c r="AC338" i="3"/>
  <c r="AD338" i="3"/>
  <c r="AB339" i="3"/>
  <c r="AC339" i="3"/>
  <c r="AD339" i="3"/>
  <c r="AB340" i="3"/>
  <c r="AC340" i="3"/>
  <c r="AD340" i="3"/>
  <c r="AB341" i="3"/>
  <c r="AC341" i="3"/>
  <c r="AD341" i="3"/>
  <c r="AB342" i="3"/>
  <c r="AC342" i="3"/>
  <c r="AD342" i="3"/>
  <c r="AB343" i="3"/>
  <c r="AC343" i="3"/>
  <c r="AD343" i="3"/>
  <c r="AB344" i="3"/>
  <c r="AC344" i="3"/>
  <c r="AD344" i="3"/>
  <c r="AB345" i="3"/>
  <c r="AC345" i="3"/>
  <c r="AD345" i="3"/>
  <c r="AB346" i="3"/>
  <c r="AC346" i="3"/>
  <c r="AD346" i="3"/>
  <c r="AB347" i="3"/>
  <c r="AC347" i="3"/>
  <c r="AD347" i="3"/>
  <c r="AB348" i="3"/>
  <c r="AC348" i="3"/>
  <c r="AD348" i="3"/>
  <c r="AB349" i="3"/>
  <c r="AC349" i="3"/>
  <c r="AD349" i="3"/>
  <c r="AE349" i="3"/>
  <c r="AF349" i="3"/>
  <c r="AB350" i="3"/>
  <c r="AC350" i="3"/>
  <c r="AD350" i="3"/>
  <c r="AE350" i="3"/>
  <c r="AF350" i="3"/>
  <c r="AB351" i="3"/>
  <c r="AB352" i="3"/>
  <c r="AB353" i="3"/>
  <c r="AB354" i="3"/>
  <c r="AC354" i="3"/>
  <c r="AD354" i="3"/>
  <c r="AB355" i="3"/>
  <c r="AC355" i="3"/>
  <c r="AD355" i="3"/>
  <c r="AR355" i="3" s="1"/>
  <c r="AB356" i="3"/>
  <c r="AC356" i="3"/>
  <c r="AD356" i="3"/>
  <c r="AR356" i="3" s="1"/>
  <c r="AB357" i="3"/>
  <c r="AC357" i="3"/>
  <c r="AD357" i="3"/>
  <c r="AB358" i="3"/>
  <c r="AC358" i="3"/>
  <c r="AD358" i="3"/>
  <c r="AR358" i="3" s="1"/>
  <c r="AB359" i="3"/>
  <c r="AC359" i="3"/>
  <c r="AD359" i="3"/>
  <c r="AR359" i="3" s="1"/>
  <c r="AB360" i="3"/>
  <c r="AC360" i="3"/>
  <c r="AD360" i="3"/>
  <c r="AB361" i="3"/>
  <c r="AC361" i="3"/>
  <c r="AD361" i="3"/>
  <c r="AR361" i="3" s="1"/>
  <c r="AB362" i="3"/>
  <c r="AC362" i="3"/>
  <c r="AD362" i="3"/>
  <c r="AR362" i="3" s="1"/>
  <c r="AB363" i="3"/>
  <c r="AC363" i="3"/>
  <c r="AD363" i="3"/>
  <c r="AB364" i="3"/>
  <c r="AC364" i="3"/>
  <c r="AD364" i="3"/>
  <c r="AR364" i="3" s="1"/>
  <c r="AB365" i="3"/>
  <c r="AC365" i="3"/>
  <c r="AD365" i="3"/>
  <c r="AR365" i="3" s="1"/>
  <c r="AB366" i="3"/>
  <c r="AC366" i="3"/>
  <c r="AD366" i="3"/>
  <c r="AB367" i="3"/>
  <c r="AC367" i="3"/>
  <c r="AD367" i="3"/>
  <c r="AR367" i="3" s="1"/>
  <c r="AB368" i="3"/>
  <c r="AC368" i="3"/>
  <c r="AD368" i="3"/>
  <c r="AR368" i="3" s="1"/>
  <c r="AB369" i="3"/>
  <c r="AC369" i="3"/>
  <c r="AD369" i="3"/>
  <c r="AB370" i="3"/>
  <c r="AC370" i="3"/>
  <c r="AD370" i="3"/>
  <c r="AR370" i="3" s="1"/>
  <c r="AB371" i="3"/>
  <c r="AC371" i="3"/>
  <c r="AD371" i="3"/>
  <c r="AR371" i="3" s="1"/>
  <c r="AB372" i="3"/>
  <c r="AC372" i="3"/>
  <c r="AD372" i="3"/>
  <c r="AB373" i="3"/>
  <c r="AC373" i="3"/>
  <c r="AD373" i="3"/>
  <c r="AR373" i="3" s="1"/>
  <c r="AB374" i="3"/>
  <c r="AC374" i="3"/>
  <c r="AD374" i="3"/>
  <c r="AR374" i="3" s="1"/>
  <c r="AB375" i="3"/>
  <c r="AC375" i="3"/>
  <c r="AD375" i="3"/>
  <c r="AB376" i="3"/>
  <c r="AC376" i="3"/>
  <c r="AD376" i="3"/>
  <c r="AR376" i="3" s="1"/>
  <c r="AB377" i="3"/>
  <c r="AC377" i="3"/>
  <c r="AD377" i="3"/>
  <c r="AR377" i="3" s="1"/>
  <c r="AB378" i="3"/>
  <c r="AC378" i="3"/>
  <c r="AD378" i="3"/>
  <c r="AB379" i="3"/>
  <c r="AC379" i="3"/>
  <c r="AD379" i="3"/>
  <c r="AR379" i="3" s="1"/>
  <c r="AB380" i="3"/>
  <c r="AC380" i="3"/>
  <c r="AD380" i="3"/>
  <c r="AR380" i="3" s="1"/>
  <c r="AB381" i="3"/>
  <c r="AC381" i="3"/>
  <c r="AD381" i="3"/>
  <c r="AB382" i="3"/>
  <c r="AC382" i="3"/>
  <c r="AD382" i="3"/>
  <c r="AR382" i="3" s="1"/>
  <c r="AB383" i="3"/>
  <c r="AC383" i="3"/>
  <c r="AD383" i="3"/>
  <c r="AR383" i="3" s="1"/>
  <c r="AB384" i="3"/>
  <c r="AC384" i="3"/>
  <c r="AD384" i="3"/>
  <c r="AB385" i="3"/>
  <c r="AC385" i="3"/>
  <c r="AD385" i="3"/>
  <c r="AR385" i="3" s="1"/>
  <c r="AB386" i="3"/>
  <c r="AC386" i="3"/>
  <c r="AD386" i="3"/>
  <c r="AR386" i="3" s="1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C400" i="3"/>
  <c r="AD400" i="3"/>
  <c r="AB401" i="3"/>
  <c r="AC401" i="3"/>
  <c r="AD401" i="3"/>
  <c r="AB402" i="3"/>
  <c r="AC402" i="3"/>
  <c r="AD402" i="3"/>
  <c r="AB403" i="3"/>
  <c r="AC403" i="3"/>
  <c r="AD403" i="3"/>
  <c r="AB404" i="3"/>
  <c r="AC404" i="3"/>
  <c r="AD404" i="3"/>
  <c r="AB405" i="3"/>
  <c r="AC405" i="3"/>
  <c r="AD405" i="3"/>
  <c r="AB406" i="3"/>
  <c r="AC406" i="3"/>
  <c r="AD406" i="3"/>
  <c r="AB407" i="3"/>
  <c r="AC407" i="3"/>
  <c r="AD407" i="3"/>
  <c r="AB408" i="3"/>
  <c r="AC408" i="3"/>
  <c r="AD408" i="3"/>
  <c r="AB409" i="3"/>
  <c r="AC409" i="3"/>
  <c r="AD409" i="3"/>
  <c r="AB410" i="3"/>
  <c r="AC410" i="3"/>
  <c r="AD410" i="3"/>
  <c r="AB411" i="3"/>
  <c r="AC411" i="3"/>
  <c r="AD411" i="3"/>
  <c r="AB412" i="3"/>
  <c r="AC412" i="3"/>
  <c r="AD412" i="3"/>
  <c r="AB413" i="3"/>
  <c r="AC413" i="3"/>
  <c r="AD413" i="3"/>
  <c r="AB414" i="3"/>
  <c r="AC414" i="3"/>
  <c r="AD414" i="3"/>
  <c r="AB415" i="3"/>
  <c r="AC415" i="3"/>
  <c r="AD415" i="3"/>
  <c r="AB416" i="3"/>
  <c r="AC416" i="3"/>
  <c r="AD416" i="3"/>
  <c r="AR416" i="3" s="1"/>
  <c r="AB417" i="3"/>
  <c r="AC417" i="3"/>
  <c r="AD417" i="3"/>
  <c r="AR417" i="3" s="1"/>
  <c r="AB418" i="3"/>
  <c r="AC418" i="3"/>
  <c r="AD418" i="3"/>
  <c r="AB419" i="3"/>
  <c r="AC419" i="3"/>
  <c r="AD419" i="3"/>
  <c r="AR419" i="3" s="1"/>
  <c r="AB420" i="3"/>
  <c r="AC420" i="3"/>
  <c r="AD420" i="3"/>
  <c r="AR420" i="3" s="1"/>
  <c r="AB421" i="3"/>
  <c r="AC421" i="3"/>
  <c r="AD421" i="3"/>
  <c r="AB422" i="3"/>
  <c r="AC422" i="3"/>
  <c r="AD422" i="3"/>
  <c r="AR422" i="3" s="1"/>
  <c r="AB423" i="3"/>
  <c r="AC423" i="3"/>
  <c r="AD423" i="3"/>
  <c r="AR423" i="3" s="1"/>
  <c r="AB424" i="3"/>
  <c r="AC424" i="3"/>
  <c r="AD424" i="3"/>
  <c r="AB425" i="3"/>
  <c r="AC425" i="3"/>
  <c r="AD425" i="3"/>
  <c r="AR425" i="3" s="1"/>
  <c r="AB426" i="3"/>
  <c r="AC426" i="3"/>
  <c r="AD426" i="3"/>
  <c r="AR426" i="3" s="1"/>
  <c r="AB427" i="3"/>
  <c r="AC427" i="3"/>
  <c r="AD427" i="3"/>
  <c r="AB428" i="3"/>
  <c r="AC428" i="3"/>
  <c r="AD428" i="3"/>
  <c r="AR428" i="3" s="1"/>
  <c r="AB429" i="3"/>
  <c r="AC429" i="3"/>
  <c r="AD429" i="3"/>
  <c r="AR429" i="3" s="1"/>
  <c r="AB430" i="3"/>
  <c r="AC430" i="3"/>
  <c r="AD430" i="3"/>
  <c r="AB431" i="3"/>
  <c r="AC431" i="3"/>
  <c r="AD431" i="3"/>
  <c r="AR431" i="3" s="1"/>
  <c r="AB432" i="3"/>
  <c r="AC432" i="3"/>
  <c r="AD432" i="3"/>
  <c r="AR432" i="3" s="1"/>
  <c r="AB433" i="3"/>
  <c r="AC433" i="3"/>
  <c r="AD433" i="3"/>
  <c r="AB434" i="3"/>
  <c r="AC434" i="3"/>
  <c r="AD434" i="3"/>
  <c r="AR434" i="3" s="1"/>
  <c r="AB435" i="3"/>
  <c r="AC435" i="3"/>
  <c r="AD435" i="3"/>
  <c r="AR435" i="3" s="1"/>
  <c r="AB9" i="3"/>
  <c r="M30" i="3"/>
  <c r="M11" i="3"/>
  <c r="O316" i="10"/>
  <c r="O117" i="7"/>
  <c r="D85" i="5"/>
  <c r="O180" i="8"/>
  <c r="O189" i="8" s="1"/>
  <c r="L209" i="6"/>
  <c r="AH176" i="3" s="1"/>
  <c r="O960" i="10"/>
  <c r="O314" i="10"/>
  <c r="O87" i="5"/>
  <c r="O211" i="10"/>
  <c r="U123" i="4"/>
  <c r="U157" i="10"/>
  <c r="U15" i="10"/>
  <c r="U160" i="4"/>
  <c r="P227" i="3"/>
  <c r="M227" i="3"/>
  <c r="I227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U34" i="3" s="1"/>
  <c r="M33" i="19" s="1"/>
  <c r="I35" i="3"/>
  <c r="I36" i="3"/>
  <c r="I37" i="3"/>
  <c r="I38" i="3"/>
  <c r="I39" i="3"/>
  <c r="U39" i="3" s="1"/>
  <c r="M38" i="19" s="1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U79" i="3" s="1"/>
  <c r="M78" i="19" s="1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9" i="3"/>
  <c r="U9" i="3" s="1"/>
  <c r="M8" i="19" s="1"/>
  <c r="O227" i="10"/>
  <c r="O242" i="10" s="1"/>
  <c r="A130" i="10"/>
  <c r="O308" i="10"/>
  <c r="O242" i="6"/>
  <c r="O250" i="6" s="1"/>
  <c r="O895" i="10"/>
  <c r="O961" i="10"/>
  <c r="O958" i="10"/>
  <c r="O956" i="10"/>
  <c r="Q847" i="10"/>
  <c r="O148" i="9"/>
  <c r="O153" i="9" s="1"/>
  <c r="Q153" i="9" s="1"/>
  <c r="O156" i="4"/>
  <c r="O597" i="10"/>
  <c r="M392" i="3"/>
  <c r="J127" i="8"/>
  <c r="O109" i="4"/>
  <c r="O115" i="4" s="1"/>
  <c r="O211" i="9"/>
  <c r="O222" i="9" s="1"/>
  <c r="Q222" i="9"/>
  <c r="O15" i="9"/>
  <c r="Q438" i="10"/>
  <c r="O205" i="10"/>
  <c r="O209" i="10"/>
  <c r="O189" i="10"/>
  <c r="O188" i="10"/>
  <c r="O816" i="10"/>
  <c r="O525" i="10"/>
  <c r="O161" i="9"/>
  <c r="L639" i="10"/>
  <c r="AH337" i="3" s="1"/>
  <c r="L970" i="10"/>
  <c r="L40" i="20"/>
  <c r="L41" i="20"/>
  <c r="L43" i="20"/>
  <c r="L44" i="20"/>
  <c r="L46" i="20"/>
  <c r="L47" i="20"/>
  <c r="L49" i="20"/>
  <c r="L50" i="20"/>
  <c r="L61" i="20"/>
  <c r="L62" i="20"/>
  <c r="L64" i="20"/>
  <c r="L65" i="20"/>
  <c r="L67" i="20"/>
  <c r="L68" i="20"/>
  <c r="L70" i="20"/>
  <c r="L71" i="20"/>
  <c r="L73" i="20"/>
  <c r="L74" i="20"/>
  <c r="L76" i="20"/>
  <c r="L77" i="20"/>
  <c r="L130" i="20"/>
  <c r="L131" i="20"/>
  <c r="L133" i="20"/>
  <c r="L134" i="20"/>
  <c r="L136" i="20"/>
  <c r="L137" i="20"/>
  <c r="L139" i="20"/>
  <c r="L140" i="20"/>
  <c r="L142" i="20"/>
  <c r="L143" i="20"/>
  <c r="L145" i="20"/>
  <c r="L146" i="20"/>
  <c r="L148" i="20"/>
  <c r="L149" i="20"/>
  <c r="L151" i="20"/>
  <c r="L152" i="20"/>
  <c r="L154" i="20"/>
  <c r="L155" i="20"/>
  <c r="L183" i="20"/>
  <c r="L184" i="20"/>
  <c r="L186" i="20"/>
  <c r="L187" i="20"/>
  <c r="L189" i="20"/>
  <c r="L190" i="20"/>
  <c r="L192" i="20"/>
  <c r="L193" i="20"/>
  <c r="L195" i="20"/>
  <c r="L196" i="20"/>
  <c r="L198" i="20"/>
  <c r="L199" i="20"/>
  <c r="L201" i="20"/>
  <c r="L202" i="20"/>
  <c r="L204" i="20"/>
  <c r="L205" i="20"/>
  <c r="L232" i="20"/>
  <c r="L233" i="20"/>
  <c r="L235" i="20"/>
  <c r="L236" i="20"/>
  <c r="L238" i="20"/>
  <c r="L239" i="20"/>
  <c r="L241" i="20"/>
  <c r="L242" i="20"/>
  <c r="L259" i="20"/>
  <c r="L260" i="20"/>
  <c r="L268" i="20"/>
  <c r="L269" i="20"/>
  <c r="L271" i="20"/>
  <c r="L272" i="20"/>
  <c r="L274" i="20"/>
  <c r="L275" i="20"/>
  <c r="L277" i="20"/>
  <c r="L278" i="20"/>
  <c r="L280" i="20"/>
  <c r="L281" i="20"/>
  <c r="L350" i="20"/>
  <c r="L351" i="20"/>
  <c r="L353" i="20"/>
  <c r="L354" i="20"/>
  <c r="L356" i="20"/>
  <c r="L357" i="20"/>
  <c r="L359" i="20"/>
  <c r="L360" i="20"/>
  <c r="L362" i="20"/>
  <c r="L363" i="20"/>
  <c r="L365" i="20"/>
  <c r="L366" i="20"/>
  <c r="L368" i="20"/>
  <c r="L369" i="20"/>
  <c r="L371" i="20"/>
  <c r="L372" i="20"/>
  <c r="L374" i="20"/>
  <c r="L375" i="20"/>
  <c r="L377" i="20"/>
  <c r="L378" i="20"/>
  <c r="L380" i="20"/>
  <c r="L381" i="20"/>
  <c r="L383" i="20"/>
  <c r="L384" i="20"/>
  <c r="L414" i="20"/>
  <c r="L415" i="20"/>
  <c r="L417" i="20"/>
  <c r="L418" i="20"/>
  <c r="L420" i="20"/>
  <c r="L421" i="20"/>
  <c r="L423" i="20"/>
  <c r="L424" i="20"/>
  <c r="L426" i="20"/>
  <c r="L427" i="20"/>
  <c r="L429" i="20"/>
  <c r="L430" i="20"/>
  <c r="L432" i="20"/>
  <c r="L433" i="20"/>
  <c r="J40" i="20"/>
  <c r="J41" i="20"/>
  <c r="J43" i="20"/>
  <c r="J44" i="20"/>
  <c r="J46" i="20"/>
  <c r="J47" i="20"/>
  <c r="J186" i="20"/>
  <c r="J187" i="20"/>
  <c r="J195" i="20"/>
  <c r="J196" i="20"/>
  <c r="J201" i="20"/>
  <c r="J202" i="20"/>
  <c r="J232" i="20"/>
  <c r="J233" i="20"/>
  <c r="J241" i="20"/>
  <c r="J242" i="20"/>
  <c r="J259" i="20"/>
  <c r="J260" i="20"/>
  <c r="J268" i="20"/>
  <c r="J269" i="20"/>
  <c r="J350" i="20"/>
  <c r="J351" i="20"/>
  <c r="J356" i="20"/>
  <c r="J357" i="20"/>
  <c r="J362" i="20"/>
  <c r="J363" i="20"/>
  <c r="J374" i="20"/>
  <c r="J375" i="20"/>
  <c r="J420" i="20"/>
  <c r="J421" i="20"/>
  <c r="J432" i="20"/>
  <c r="J433" i="20"/>
  <c r="I40" i="20"/>
  <c r="I41" i="20"/>
  <c r="I43" i="20"/>
  <c r="I44" i="20"/>
  <c r="I46" i="20"/>
  <c r="I47" i="20"/>
  <c r="I49" i="20"/>
  <c r="I50" i="20"/>
  <c r="I61" i="20"/>
  <c r="I62" i="20"/>
  <c r="I64" i="20"/>
  <c r="I65" i="20"/>
  <c r="I67" i="20"/>
  <c r="I68" i="20"/>
  <c r="I70" i="20"/>
  <c r="I71" i="20"/>
  <c r="I73" i="20"/>
  <c r="I74" i="20"/>
  <c r="I76" i="20"/>
  <c r="I77" i="20"/>
  <c r="I130" i="20"/>
  <c r="I131" i="20"/>
  <c r="I133" i="20"/>
  <c r="I134" i="20"/>
  <c r="I136" i="20"/>
  <c r="I137" i="20"/>
  <c r="I139" i="20"/>
  <c r="I140" i="20"/>
  <c r="I142" i="20"/>
  <c r="I143" i="20"/>
  <c r="I145" i="20"/>
  <c r="I146" i="20"/>
  <c r="I148" i="20"/>
  <c r="I149" i="20"/>
  <c r="I151" i="20"/>
  <c r="I152" i="20"/>
  <c r="I154" i="20"/>
  <c r="I155" i="20"/>
  <c r="I183" i="20"/>
  <c r="I184" i="20"/>
  <c r="I186" i="20"/>
  <c r="I187" i="20"/>
  <c r="I189" i="20"/>
  <c r="I190" i="20"/>
  <c r="I192" i="20"/>
  <c r="I193" i="20"/>
  <c r="I195" i="20"/>
  <c r="I196" i="20"/>
  <c r="I198" i="20"/>
  <c r="I199" i="20"/>
  <c r="I201" i="20"/>
  <c r="I202" i="20"/>
  <c r="I204" i="20"/>
  <c r="I205" i="20"/>
  <c r="I232" i="20"/>
  <c r="I233" i="20"/>
  <c r="I235" i="20"/>
  <c r="I236" i="20"/>
  <c r="I238" i="20"/>
  <c r="I239" i="20"/>
  <c r="I241" i="20"/>
  <c r="I242" i="20"/>
  <c r="I259" i="20"/>
  <c r="I260" i="20"/>
  <c r="I268" i="20"/>
  <c r="I269" i="20"/>
  <c r="I271" i="20"/>
  <c r="I272" i="20"/>
  <c r="I274" i="20"/>
  <c r="I275" i="20"/>
  <c r="I277" i="20"/>
  <c r="I278" i="20"/>
  <c r="I280" i="20"/>
  <c r="I281" i="20"/>
  <c r="I350" i="20"/>
  <c r="I351" i="20"/>
  <c r="I353" i="20"/>
  <c r="I354" i="20"/>
  <c r="I356" i="20"/>
  <c r="I357" i="20"/>
  <c r="I359" i="20"/>
  <c r="I360" i="20"/>
  <c r="I362" i="20"/>
  <c r="I363" i="20"/>
  <c r="I365" i="20"/>
  <c r="I366" i="20"/>
  <c r="I368" i="20"/>
  <c r="I369" i="20"/>
  <c r="I371" i="20"/>
  <c r="I372" i="20"/>
  <c r="I374" i="20"/>
  <c r="I375" i="20"/>
  <c r="I377" i="20"/>
  <c r="I378" i="20"/>
  <c r="I380" i="20"/>
  <c r="I381" i="20"/>
  <c r="I383" i="20"/>
  <c r="I384" i="20"/>
  <c r="I414" i="20"/>
  <c r="I415" i="20"/>
  <c r="I417" i="20"/>
  <c r="I418" i="20"/>
  <c r="I420" i="20"/>
  <c r="I421" i="20"/>
  <c r="I423" i="20"/>
  <c r="I424" i="20"/>
  <c r="I426" i="20"/>
  <c r="I427" i="20"/>
  <c r="I429" i="20"/>
  <c r="I430" i="20"/>
  <c r="I432" i="20"/>
  <c r="I433" i="20"/>
  <c r="D8" i="20"/>
  <c r="E8" i="20"/>
  <c r="F8" i="20"/>
  <c r="G8" i="20"/>
  <c r="H8" i="20"/>
  <c r="D9" i="20"/>
  <c r="E9" i="20"/>
  <c r="F9" i="20"/>
  <c r="G9" i="20"/>
  <c r="H9" i="20"/>
  <c r="D10" i="20"/>
  <c r="E10" i="20"/>
  <c r="F10" i="20"/>
  <c r="G10" i="20"/>
  <c r="H10" i="20"/>
  <c r="D11" i="20"/>
  <c r="E11" i="20"/>
  <c r="F11" i="20"/>
  <c r="G11" i="20"/>
  <c r="H11" i="20"/>
  <c r="D12" i="20"/>
  <c r="E12" i="20"/>
  <c r="F12" i="20"/>
  <c r="G12" i="20"/>
  <c r="H12" i="20"/>
  <c r="D13" i="20"/>
  <c r="E13" i="20"/>
  <c r="F13" i="20"/>
  <c r="G13" i="20"/>
  <c r="H13" i="20"/>
  <c r="D14" i="20"/>
  <c r="E14" i="20"/>
  <c r="F14" i="20"/>
  <c r="G14" i="20"/>
  <c r="H14" i="20"/>
  <c r="D15" i="20"/>
  <c r="E15" i="20"/>
  <c r="F15" i="20"/>
  <c r="G15" i="20"/>
  <c r="H15" i="20"/>
  <c r="D16" i="20"/>
  <c r="E16" i="20"/>
  <c r="F16" i="20"/>
  <c r="G16" i="20"/>
  <c r="H16" i="20"/>
  <c r="D17" i="20"/>
  <c r="E17" i="20"/>
  <c r="F17" i="20"/>
  <c r="G17" i="20"/>
  <c r="H17" i="20"/>
  <c r="D18" i="20"/>
  <c r="E18" i="20"/>
  <c r="F18" i="20"/>
  <c r="G18" i="20"/>
  <c r="H18" i="20"/>
  <c r="D19" i="20"/>
  <c r="E19" i="20"/>
  <c r="F19" i="20"/>
  <c r="G19" i="20"/>
  <c r="H19" i="20"/>
  <c r="D20" i="20"/>
  <c r="E20" i="20"/>
  <c r="F20" i="20"/>
  <c r="G20" i="20"/>
  <c r="H20" i="20"/>
  <c r="D21" i="20"/>
  <c r="E21" i="20"/>
  <c r="F21" i="20"/>
  <c r="G21" i="20"/>
  <c r="H21" i="20"/>
  <c r="D22" i="20"/>
  <c r="E22" i="20"/>
  <c r="F22" i="20"/>
  <c r="G22" i="20"/>
  <c r="H22" i="20"/>
  <c r="D23" i="20"/>
  <c r="E23" i="20"/>
  <c r="F23" i="20"/>
  <c r="G23" i="20"/>
  <c r="H23" i="20"/>
  <c r="D24" i="20"/>
  <c r="E24" i="20"/>
  <c r="F24" i="20"/>
  <c r="G24" i="20"/>
  <c r="H24" i="20"/>
  <c r="D25" i="20"/>
  <c r="E25" i="20"/>
  <c r="F25" i="20"/>
  <c r="G25" i="20"/>
  <c r="H25" i="20"/>
  <c r="D26" i="20"/>
  <c r="E26" i="20"/>
  <c r="F26" i="20"/>
  <c r="G26" i="20"/>
  <c r="H26" i="20"/>
  <c r="D27" i="20"/>
  <c r="E27" i="20"/>
  <c r="F27" i="20"/>
  <c r="G27" i="20"/>
  <c r="H27" i="20"/>
  <c r="D28" i="20"/>
  <c r="E28" i="20"/>
  <c r="F28" i="20"/>
  <c r="G28" i="20"/>
  <c r="H28" i="20"/>
  <c r="D29" i="20"/>
  <c r="E29" i="20"/>
  <c r="F29" i="20"/>
  <c r="G29" i="20"/>
  <c r="H29" i="20"/>
  <c r="D30" i="20"/>
  <c r="E30" i="20"/>
  <c r="F30" i="20"/>
  <c r="G30" i="20"/>
  <c r="H30" i="20"/>
  <c r="D31" i="20"/>
  <c r="E31" i="20"/>
  <c r="F31" i="20"/>
  <c r="G31" i="20"/>
  <c r="H31" i="20"/>
  <c r="D32" i="20"/>
  <c r="E32" i="20"/>
  <c r="F32" i="20"/>
  <c r="G32" i="20"/>
  <c r="H32" i="20"/>
  <c r="D33" i="20"/>
  <c r="E33" i="20"/>
  <c r="F33" i="20"/>
  <c r="G33" i="20"/>
  <c r="H33" i="20"/>
  <c r="D34" i="20"/>
  <c r="E34" i="20"/>
  <c r="F34" i="20"/>
  <c r="G34" i="20"/>
  <c r="H34" i="20"/>
  <c r="D35" i="20"/>
  <c r="E35" i="20"/>
  <c r="F35" i="20"/>
  <c r="G35" i="20"/>
  <c r="H35" i="20"/>
  <c r="D36" i="20"/>
  <c r="E36" i="20"/>
  <c r="F36" i="20"/>
  <c r="G36" i="20"/>
  <c r="H36" i="20"/>
  <c r="D37" i="20"/>
  <c r="E37" i="20"/>
  <c r="F37" i="20"/>
  <c r="G37" i="20"/>
  <c r="H37" i="20"/>
  <c r="D38" i="20"/>
  <c r="E38" i="20"/>
  <c r="F38" i="20"/>
  <c r="G38" i="20"/>
  <c r="H38" i="20"/>
  <c r="D39" i="20"/>
  <c r="E39" i="20"/>
  <c r="F39" i="20"/>
  <c r="G39" i="20"/>
  <c r="H39" i="20"/>
  <c r="D40" i="20"/>
  <c r="E40" i="20"/>
  <c r="F40" i="20"/>
  <c r="G40" i="20"/>
  <c r="H40" i="20"/>
  <c r="D41" i="20"/>
  <c r="E41" i="20"/>
  <c r="F41" i="20"/>
  <c r="G41" i="20"/>
  <c r="H41" i="20"/>
  <c r="D42" i="20"/>
  <c r="E42" i="20"/>
  <c r="F42" i="20"/>
  <c r="G42" i="20"/>
  <c r="H42" i="20"/>
  <c r="D43" i="20"/>
  <c r="E43" i="20"/>
  <c r="F43" i="20"/>
  <c r="G43" i="20"/>
  <c r="H43" i="20"/>
  <c r="D44" i="20"/>
  <c r="E44" i="20"/>
  <c r="F44" i="20"/>
  <c r="G44" i="20"/>
  <c r="H44" i="20"/>
  <c r="D45" i="20"/>
  <c r="E45" i="20"/>
  <c r="F45" i="20"/>
  <c r="G45" i="20"/>
  <c r="H45" i="20"/>
  <c r="D46" i="20"/>
  <c r="E46" i="20"/>
  <c r="F46" i="20"/>
  <c r="G46" i="20"/>
  <c r="H46" i="20"/>
  <c r="D47" i="20"/>
  <c r="E47" i="20"/>
  <c r="F47" i="20"/>
  <c r="G47" i="20"/>
  <c r="H47" i="20"/>
  <c r="D48" i="20"/>
  <c r="E48" i="20"/>
  <c r="F48" i="20"/>
  <c r="G48" i="20"/>
  <c r="H48" i="20"/>
  <c r="D49" i="20"/>
  <c r="E49" i="20"/>
  <c r="F49" i="20"/>
  <c r="G49" i="20"/>
  <c r="H49" i="20"/>
  <c r="D50" i="20"/>
  <c r="E50" i="20"/>
  <c r="F50" i="20"/>
  <c r="G50" i="20"/>
  <c r="H50" i="20"/>
  <c r="D51" i="20"/>
  <c r="E51" i="20"/>
  <c r="F51" i="20"/>
  <c r="G51" i="20"/>
  <c r="H51" i="20"/>
  <c r="D52" i="20"/>
  <c r="E52" i="20"/>
  <c r="F52" i="20"/>
  <c r="G52" i="20"/>
  <c r="H52" i="20"/>
  <c r="D53" i="20"/>
  <c r="E53" i="20"/>
  <c r="F53" i="20"/>
  <c r="G53" i="20"/>
  <c r="H53" i="20"/>
  <c r="D54" i="20"/>
  <c r="E54" i="20"/>
  <c r="F54" i="20"/>
  <c r="G54" i="20"/>
  <c r="H54" i="20"/>
  <c r="D55" i="20"/>
  <c r="E55" i="20"/>
  <c r="F55" i="20"/>
  <c r="G55" i="20"/>
  <c r="H55" i="20"/>
  <c r="D56" i="20"/>
  <c r="E56" i="20"/>
  <c r="F56" i="20"/>
  <c r="G56" i="20"/>
  <c r="H56" i="20"/>
  <c r="D57" i="20"/>
  <c r="E57" i="20"/>
  <c r="F57" i="20"/>
  <c r="G57" i="20"/>
  <c r="H57" i="20"/>
  <c r="D58" i="20"/>
  <c r="E58" i="20"/>
  <c r="F58" i="20"/>
  <c r="G58" i="20"/>
  <c r="H58" i="20"/>
  <c r="D59" i="20"/>
  <c r="E59" i="20"/>
  <c r="F59" i="20"/>
  <c r="G59" i="20"/>
  <c r="H59" i="20"/>
  <c r="D60" i="20"/>
  <c r="E60" i="20"/>
  <c r="F60" i="20"/>
  <c r="G60" i="20"/>
  <c r="H60" i="20"/>
  <c r="D61" i="20"/>
  <c r="E61" i="20"/>
  <c r="F61" i="20"/>
  <c r="G61" i="20"/>
  <c r="H61" i="20"/>
  <c r="D62" i="20"/>
  <c r="E62" i="20"/>
  <c r="F62" i="20"/>
  <c r="G62" i="20"/>
  <c r="H62" i="20"/>
  <c r="D63" i="20"/>
  <c r="E63" i="20"/>
  <c r="F63" i="20"/>
  <c r="G63" i="20"/>
  <c r="H63" i="20"/>
  <c r="D64" i="20"/>
  <c r="E64" i="20"/>
  <c r="F64" i="20"/>
  <c r="G64" i="20"/>
  <c r="H64" i="20"/>
  <c r="D65" i="20"/>
  <c r="E65" i="20"/>
  <c r="F65" i="20"/>
  <c r="G65" i="20"/>
  <c r="H65" i="20"/>
  <c r="D66" i="20"/>
  <c r="E66" i="20"/>
  <c r="F66" i="20"/>
  <c r="G66" i="20"/>
  <c r="H66" i="20"/>
  <c r="D67" i="20"/>
  <c r="E67" i="20"/>
  <c r="F67" i="20"/>
  <c r="G67" i="20"/>
  <c r="H67" i="20"/>
  <c r="D68" i="20"/>
  <c r="E68" i="20"/>
  <c r="F68" i="20"/>
  <c r="G68" i="20"/>
  <c r="H68" i="20"/>
  <c r="D69" i="20"/>
  <c r="E69" i="20"/>
  <c r="F69" i="20"/>
  <c r="G69" i="20"/>
  <c r="H69" i="20"/>
  <c r="D70" i="20"/>
  <c r="E70" i="20"/>
  <c r="F70" i="20"/>
  <c r="G70" i="20"/>
  <c r="H70" i="20"/>
  <c r="D71" i="20"/>
  <c r="E71" i="20"/>
  <c r="F71" i="20"/>
  <c r="G71" i="20"/>
  <c r="H71" i="20"/>
  <c r="D72" i="20"/>
  <c r="E72" i="20"/>
  <c r="F72" i="20"/>
  <c r="G72" i="20"/>
  <c r="H72" i="20"/>
  <c r="D73" i="20"/>
  <c r="E73" i="20"/>
  <c r="F73" i="20"/>
  <c r="G73" i="20"/>
  <c r="H73" i="20"/>
  <c r="D74" i="20"/>
  <c r="E74" i="20"/>
  <c r="F74" i="20"/>
  <c r="G74" i="20"/>
  <c r="H74" i="20"/>
  <c r="D75" i="20"/>
  <c r="E75" i="20"/>
  <c r="F75" i="20"/>
  <c r="G75" i="20"/>
  <c r="H75" i="20"/>
  <c r="D76" i="20"/>
  <c r="E76" i="20"/>
  <c r="F76" i="20"/>
  <c r="G76" i="20"/>
  <c r="H76" i="20"/>
  <c r="D77" i="20"/>
  <c r="E77" i="20"/>
  <c r="F77" i="20"/>
  <c r="G77" i="20"/>
  <c r="H77" i="20"/>
  <c r="D78" i="20"/>
  <c r="E78" i="20"/>
  <c r="F78" i="20"/>
  <c r="G78" i="20"/>
  <c r="H78" i="20"/>
  <c r="D79" i="20"/>
  <c r="E79" i="20"/>
  <c r="F79" i="20"/>
  <c r="G79" i="20"/>
  <c r="H79" i="20"/>
  <c r="D80" i="20"/>
  <c r="E80" i="20"/>
  <c r="F80" i="20"/>
  <c r="G80" i="20"/>
  <c r="H80" i="20"/>
  <c r="D81" i="20"/>
  <c r="E81" i="20"/>
  <c r="F81" i="20"/>
  <c r="G81" i="20"/>
  <c r="H81" i="20"/>
  <c r="D82" i="20"/>
  <c r="E82" i="20"/>
  <c r="F82" i="20"/>
  <c r="G82" i="20"/>
  <c r="H82" i="20"/>
  <c r="D83" i="20"/>
  <c r="E83" i="20"/>
  <c r="F83" i="20"/>
  <c r="G83" i="20"/>
  <c r="H83" i="20"/>
  <c r="D84" i="20"/>
  <c r="E84" i="20"/>
  <c r="F84" i="20"/>
  <c r="G84" i="20"/>
  <c r="H84" i="20"/>
  <c r="D85" i="20"/>
  <c r="E85" i="20"/>
  <c r="F85" i="20"/>
  <c r="G85" i="20"/>
  <c r="H85" i="20"/>
  <c r="D86" i="20"/>
  <c r="E86" i="20"/>
  <c r="F86" i="20"/>
  <c r="G86" i="20"/>
  <c r="H86" i="20"/>
  <c r="D87" i="20"/>
  <c r="E87" i="20"/>
  <c r="F87" i="20"/>
  <c r="G87" i="20"/>
  <c r="H87" i="20"/>
  <c r="D88" i="20"/>
  <c r="E88" i="20"/>
  <c r="F88" i="20"/>
  <c r="G88" i="20"/>
  <c r="H88" i="20"/>
  <c r="D89" i="20"/>
  <c r="E89" i="20"/>
  <c r="F89" i="20"/>
  <c r="G89" i="20"/>
  <c r="H89" i="20"/>
  <c r="D90" i="20"/>
  <c r="E90" i="20"/>
  <c r="F90" i="20"/>
  <c r="G90" i="20"/>
  <c r="H90" i="20"/>
  <c r="D91" i="20"/>
  <c r="E91" i="20"/>
  <c r="F91" i="20"/>
  <c r="G91" i="20"/>
  <c r="H91" i="20"/>
  <c r="D92" i="20"/>
  <c r="E92" i="20"/>
  <c r="F92" i="20"/>
  <c r="G92" i="20"/>
  <c r="H92" i="20"/>
  <c r="D93" i="20"/>
  <c r="E93" i="20"/>
  <c r="F93" i="20"/>
  <c r="G93" i="20"/>
  <c r="H93" i="20"/>
  <c r="D94" i="20"/>
  <c r="E94" i="20"/>
  <c r="F94" i="20"/>
  <c r="G94" i="20"/>
  <c r="H94" i="20"/>
  <c r="D95" i="20"/>
  <c r="E95" i="20"/>
  <c r="F95" i="20"/>
  <c r="G95" i="20"/>
  <c r="H95" i="20"/>
  <c r="D96" i="20"/>
  <c r="E96" i="20"/>
  <c r="F96" i="20"/>
  <c r="G96" i="20"/>
  <c r="H96" i="20"/>
  <c r="D97" i="20"/>
  <c r="E97" i="20"/>
  <c r="F97" i="20"/>
  <c r="G97" i="20"/>
  <c r="H97" i="20"/>
  <c r="D98" i="20"/>
  <c r="E98" i="20"/>
  <c r="F98" i="20"/>
  <c r="G98" i="20"/>
  <c r="H98" i="20"/>
  <c r="D99" i="20"/>
  <c r="E99" i="20"/>
  <c r="F99" i="20"/>
  <c r="G99" i="20"/>
  <c r="H99" i="20"/>
  <c r="D100" i="20"/>
  <c r="E100" i="20"/>
  <c r="F100" i="20"/>
  <c r="G100" i="20"/>
  <c r="H100" i="20"/>
  <c r="D101" i="20"/>
  <c r="E101" i="20"/>
  <c r="F101" i="20"/>
  <c r="G101" i="20"/>
  <c r="H101" i="20"/>
  <c r="D102" i="20"/>
  <c r="E102" i="20"/>
  <c r="F102" i="20"/>
  <c r="G102" i="20"/>
  <c r="H102" i="20"/>
  <c r="D103" i="20"/>
  <c r="E103" i="20"/>
  <c r="F103" i="20"/>
  <c r="G103" i="20"/>
  <c r="H103" i="20"/>
  <c r="D104" i="20"/>
  <c r="E104" i="20"/>
  <c r="F104" i="20"/>
  <c r="G104" i="20"/>
  <c r="H104" i="20"/>
  <c r="D105" i="20"/>
  <c r="E105" i="20"/>
  <c r="F105" i="20"/>
  <c r="G105" i="20"/>
  <c r="H105" i="20"/>
  <c r="D106" i="20"/>
  <c r="E106" i="20"/>
  <c r="F106" i="20"/>
  <c r="G106" i="20"/>
  <c r="H106" i="20"/>
  <c r="D107" i="20"/>
  <c r="E107" i="20"/>
  <c r="F107" i="20"/>
  <c r="G107" i="20"/>
  <c r="H107" i="20"/>
  <c r="D108" i="20"/>
  <c r="E108" i="20"/>
  <c r="F108" i="20"/>
  <c r="G108" i="20"/>
  <c r="H108" i="20"/>
  <c r="D109" i="20"/>
  <c r="E109" i="20"/>
  <c r="F109" i="20"/>
  <c r="G109" i="20"/>
  <c r="H109" i="20"/>
  <c r="D110" i="20"/>
  <c r="E110" i="20"/>
  <c r="F110" i="20"/>
  <c r="G110" i="20"/>
  <c r="H110" i="20"/>
  <c r="D111" i="20"/>
  <c r="E111" i="20"/>
  <c r="F111" i="20"/>
  <c r="G111" i="20"/>
  <c r="H111" i="20"/>
  <c r="D112" i="20"/>
  <c r="E112" i="20"/>
  <c r="F112" i="20"/>
  <c r="G112" i="20"/>
  <c r="H112" i="20"/>
  <c r="D113" i="20"/>
  <c r="E113" i="20"/>
  <c r="F113" i="20"/>
  <c r="G113" i="20"/>
  <c r="H113" i="20"/>
  <c r="D114" i="20"/>
  <c r="E114" i="20"/>
  <c r="F114" i="20"/>
  <c r="G114" i="20"/>
  <c r="H114" i="20"/>
  <c r="D115" i="20"/>
  <c r="E115" i="20"/>
  <c r="F115" i="20"/>
  <c r="G115" i="20"/>
  <c r="H115" i="20"/>
  <c r="D116" i="20"/>
  <c r="E116" i="20"/>
  <c r="F116" i="20"/>
  <c r="G116" i="20"/>
  <c r="H116" i="20"/>
  <c r="D117" i="20"/>
  <c r="E117" i="20"/>
  <c r="F117" i="20"/>
  <c r="G117" i="20"/>
  <c r="H117" i="20"/>
  <c r="D118" i="20"/>
  <c r="E118" i="20"/>
  <c r="F118" i="20"/>
  <c r="G118" i="20"/>
  <c r="H118" i="20"/>
  <c r="D119" i="20"/>
  <c r="E119" i="20"/>
  <c r="F119" i="20"/>
  <c r="G119" i="20"/>
  <c r="H119" i="20"/>
  <c r="D120" i="20"/>
  <c r="E120" i="20"/>
  <c r="F120" i="20"/>
  <c r="G120" i="20"/>
  <c r="H120" i="20"/>
  <c r="D121" i="20"/>
  <c r="E121" i="20"/>
  <c r="F121" i="20"/>
  <c r="G121" i="20"/>
  <c r="H121" i="20"/>
  <c r="D122" i="20"/>
  <c r="E122" i="20"/>
  <c r="F122" i="20"/>
  <c r="G122" i="20"/>
  <c r="H122" i="20"/>
  <c r="D123" i="20"/>
  <c r="E123" i="20"/>
  <c r="F123" i="20"/>
  <c r="G123" i="20"/>
  <c r="H123" i="20"/>
  <c r="D124" i="20"/>
  <c r="E124" i="20"/>
  <c r="F124" i="20"/>
  <c r="G124" i="20"/>
  <c r="H124" i="20"/>
  <c r="D125" i="20"/>
  <c r="E125" i="20"/>
  <c r="F125" i="20"/>
  <c r="G125" i="20"/>
  <c r="H125" i="20"/>
  <c r="D126" i="20"/>
  <c r="E126" i="20"/>
  <c r="F126" i="20"/>
  <c r="G126" i="20"/>
  <c r="H126" i="20"/>
  <c r="D127" i="20"/>
  <c r="E127" i="20"/>
  <c r="F127" i="20"/>
  <c r="G127" i="20"/>
  <c r="H127" i="20"/>
  <c r="D128" i="20"/>
  <c r="E128" i="20"/>
  <c r="F128" i="20"/>
  <c r="G128" i="20"/>
  <c r="H128" i="20"/>
  <c r="D129" i="20"/>
  <c r="E129" i="20"/>
  <c r="F129" i="20"/>
  <c r="G129" i="20"/>
  <c r="H129" i="20"/>
  <c r="D130" i="20"/>
  <c r="E130" i="20"/>
  <c r="F130" i="20"/>
  <c r="G130" i="20"/>
  <c r="H130" i="20"/>
  <c r="D131" i="20"/>
  <c r="E131" i="20"/>
  <c r="F131" i="20"/>
  <c r="G131" i="20"/>
  <c r="H131" i="20"/>
  <c r="D132" i="20"/>
  <c r="E132" i="20"/>
  <c r="F132" i="20"/>
  <c r="G132" i="20"/>
  <c r="H132" i="20"/>
  <c r="D133" i="20"/>
  <c r="E133" i="20"/>
  <c r="F133" i="20"/>
  <c r="G133" i="20"/>
  <c r="H133" i="20"/>
  <c r="D134" i="20"/>
  <c r="E134" i="20"/>
  <c r="F134" i="20"/>
  <c r="G134" i="20"/>
  <c r="H134" i="20"/>
  <c r="D135" i="20"/>
  <c r="E135" i="20"/>
  <c r="F135" i="20"/>
  <c r="G135" i="20"/>
  <c r="H135" i="20"/>
  <c r="D136" i="20"/>
  <c r="E136" i="20"/>
  <c r="F136" i="20"/>
  <c r="G136" i="20"/>
  <c r="H136" i="20"/>
  <c r="D137" i="20"/>
  <c r="E137" i="20"/>
  <c r="F137" i="20"/>
  <c r="G137" i="20"/>
  <c r="H137" i="20"/>
  <c r="D138" i="20"/>
  <c r="E138" i="20"/>
  <c r="F138" i="20"/>
  <c r="G138" i="20"/>
  <c r="H138" i="20"/>
  <c r="D139" i="20"/>
  <c r="E139" i="20"/>
  <c r="F139" i="20"/>
  <c r="G139" i="20"/>
  <c r="H139" i="20"/>
  <c r="D140" i="20"/>
  <c r="E140" i="20"/>
  <c r="F140" i="20"/>
  <c r="G140" i="20"/>
  <c r="H140" i="20"/>
  <c r="D141" i="20"/>
  <c r="E141" i="20"/>
  <c r="F141" i="20"/>
  <c r="G141" i="20"/>
  <c r="H141" i="20"/>
  <c r="D142" i="20"/>
  <c r="E142" i="20"/>
  <c r="F142" i="20"/>
  <c r="G142" i="20"/>
  <c r="H142" i="20"/>
  <c r="D143" i="20"/>
  <c r="E143" i="20"/>
  <c r="F143" i="20"/>
  <c r="G143" i="20"/>
  <c r="H143" i="20"/>
  <c r="D144" i="20"/>
  <c r="E144" i="20"/>
  <c r="F144" i="20"/>
  <c r="G144" i="20"/>
  <c r="H144" i="20"/>
  <c r="D145" i="20"/>
  <c r="E145" i="20"/>
  <c r="F145" i="20"/>
  <c r="G145" i="20"/>
  <c r="H145" i="20"/>
  <c r="D146" i="20"/>
  <c r="E146" i="20"/>
  <c r="F146" i="20"/>
  <c r="G146" i="20"/>
  <c r="H146" i="20"/>
  <c r="D147" i="20"/>
  <c r="E147" i="20"/>
  <c r="F147" i="20"/>
  <c r="G147" i="20"/>
  <c r="H147" i="20"/>
  <c r="D148" i="20"/>
  <c r="E148" i="20"/>
  <c r="F148" i="20"/>
  <c r="G148" i="20"/>
  <c r="H148" i="20"/>
  <c r="D149" i="20"/>
  <c r="E149" i="20"/>
  <c r="F149" i="20"/>
  <c r="G149" i="20"/>
  <c r="H149" i="20"/>
  <c r="D150" i="20"/>
  <c r="E150" i="20"/>
  <c r="F150" i="20"/>
  <c r="G150" i="20"/>
  <c r="H150" i="20"/>
  <c r="D151" i="20"/>
  <c r="E151" i="20"/>
  <c r="F151" i="20"/>
  <c r="G151" i="20"/>
  <c r="H151" i="20"/>
  <c r="D152" i="20"/>
  <c r="E152" i="20"/>
  <c r="F152" i="20"/>
  <c r="G152" i="20"/>
  <c r="H152" i="20"/>
  <c r="D153" i="20"/>
  <c r="E153" i="20"/>
  <c r="F153" i="20"/>
  <c r="G153" i="20"/>
  <c r="H153" i="20"/>
  <c r="D154" i="20"/>
  <c r="E154" i="20"/>
  <c r="F154" i="20"/>
  <c r="G154" i="20"/>
  <c r="H154" i="20"/>
  <c r="D155" i="20"/>
  <c r="E155" i="20"/>
  <c r="F155" i="20"/>
  <c r="G155" i="20"/>
  <c r="H155" i="20"/>
  <c r="D156" i="20"/>
  <c r="E156" i="20"/>
  <c r="F156" i="20"/>
  <c r="G156" i="20"/>
  <c r="H156" i="20"/>
  <c r="D157" i="20"/>
  <c r="E157" i="20"/>
  <c r="F157" i="20"/>
  <c r="G157" i="20"/>
  <c r="H157" i="20"/>
  <c r="D158" i="20"/>
  <c r="E158" i="20"/>
  <c r="F158" i="20"/>
  <c r="G158" i="20"/>
  <c r="H158" i="20"/>
  <c r="D159" i="20"/>
  <c r="E159" i="20"/>
  <c r="F159" i="20"/>
  <c r="G159" i="20"/>
  <c r="H159" i="20"/>
  <c r="D160" i="20"/>
  <c r="E160" i="20"/>
  <c r="F160" i="20"/>
  <c r="G160" i="20"/>
  <c r="H160" i="20"/>
  <c r="D161" i="20"/>
  <c r="E161" i="20"/>
  <c r="F161" i="20"/>
  <c r="G161" i="20"/>
  <c r="H161" i="20"/>
  <c r="D162" i="20"/>
  <c r="E162" i="20"/>
  <c r="F162" i="20"/>
  <c r="G162" i="20"/>
  <c r="H162" i="20"/>
  <c r="D163" i="20"/>
  <c r="E163" i="20"/>
  <c r="F163" i="20"/>
  <c r="G163" i="20"/>
  <c r="H163" i="20"/>
  <c r="D164" i="20"/>
  <c r="E164" i="20"/>
  <c r="F164" i="20"/>
  <c r="G164" i="20"/>
  <c r="H164" i="20"/>
  <c r="D165" i="20"/>
  <c r="E165" i="20"/>
  <c r="F165" i="20"/>
  <c r="G165" i="20"/>
  <c r="H165" i="20"/>
  <c r="D166" i="20"/>
  <c r="E166" i="20"/>
  <c r="F166" i="20"/>
  <c r="G166" i="20"/>
  <c r="H166" i="20"/>
  <c r="D167" i="20"/>
  <c r="E167" i="20"/>
  <c r="F167" i="20"/>
  <c r="G167" i="20"/>
  <c r="H167" i="20"/>
  <c r="D168" i="20"/>
  <c r="E168" i="20"/>
  <c r="F168" i="20"/>
  <c r="G168" i="20"/>
  <c r="H168" i="20"/>
  <c r="D169" i="20"/>
  <c r="E169" i="20"/>
  <c r="F169" i="20"/>
  <c r="G169" i="20"/>
  <c r="H169" i="20"/>
  <c r="D170" i="20"/>
  <c r="E170" i="20"/>
  <c r="F170" i="20"/>
  <c r="G170" i="20"/>
  <c r="H170" i="20"/>
  <c r="D171" i="20"/>
  <c r="E171" i="20"/>
  <c r="F171" i="20"/>
  <c r="G171" i="20"/>
  <c r="H171" i="20"/>
  <c r="D172" i="20"/>
  <c r="E172" i="20"/>
  <c r="F172" i="20"/>
  <c r="G172" i="20"/>
  <c r="H172" i="20"/>
  <c r="D173" i="20"/>
  <c r="E173" i="20"/>
  <c r="F173" i="20"/>
  <c r="G173" i="20"/>
  <c r="H173" i="20"/>
  <c r="D174" i="20"/>
  <c r="E174" i="20"/>
  <c r="F174" i="20"/>
  <c r="G174" i="20"/>
  <c r="H174" i="20"/>
  <c r="D175" i="20"/>
  <c r="E175" i="20"/>
  <c r="F175" i="20"/>
  <c r="G175" i="20"/>
  <c r="H175" i="20"/>
  <c r="D176" i="20"/>
  <c r="E176" i="20"/>
  <c r="F176" i="20"/>
  <c r="G176" i="20"/>
  <c r="H176" i="20"/>
  <c r="D177" i="20"/>
  <c r="E177" i="20"/>
  <c r="F177" i="20"/>
  <c r="G177" i="20"/>
  <c r="H177" i="20"/>
  <c r="D178" i="20"/>
  <c r="E178" i="20"/>
  <c r="F178" i="20"/>
  <c r="G178" i="20"/>
  <c r="H178" i="20"/>
  <c r="D179" i="20"/>
  <c r="E179" i="20"/>
  <c r="F179" i="20"/>
  <c r="G179" i="20"/>
  <c r="H179" i="20"/>
  <c r="D180" i="20"/>
  <c r="E180" i="20"/>
  <c r="F180" i="20"/>
  <c r="G180" i="20"/>
  <c r="H180" i="20"/>
  <c r="D181" i="20"/>
  <c r="E181" i="20"/>
  <c r="F181" i="20"/>
  <c r="G181" i="20"/>
  <c r="H181" i="20"/>
  <c r="D182" i="20"/>
  <c r="E182" i="20"/>
  <c r="F182" i="20"/>
  <c r="G182" i="20"/>
  <c r="H182" i="20"/>
  <c r="D183" i="20"/>
  <c r="E183" i="20"/>
  <c r="F183" i="20"/>
  <c r="G183" i="20"/>
  <c r="H183" i="20"/>
  <c r="D184" i="20"/>
  <c r="E184" i="20"/>
  <c r="F184" i="20"/>
  <c r="G184" i="20"/>
  <c r="H184" i="20"/>
  <c r="D185" i="20"/>
  <c r="E185" i="20"/>
  <c r="F185" i="20"/>
  <c r="G185" i="20"/>
  <c r="H185" i="20"/>
  <c r="D186" i="20"/>
  <c r="E186" i="20"/>
  <c r="F186" i="20"/>
  <c r="G186" i="20"/>
  <c r="H186" i="20"/>
  <c r="D187" i="20"/>
  <c r="E187" i="20"/>
  <c r="F187" i="20"/>
  <c r="G187" i="20"/>
  <c r="H187" i="20"/>
  <c r="D188" i="20"/>
  <c r="E188" i="20"/>
  <c r="F188" i="20"/>
  <c r="G188" i="20"/>
  <c r="H188" i="20"/>
  <c r="D189" i="20"/>
  <c r="E189" i="20"/>
  <c r="F189" i="20"/>
  <c r="G189" i="20"/>
  <c r="H189" i="20"/>
  <c r="D190" i="20"/>
  <c r="E190" i="20"/>
  <c r="F190" i="20"/>
  <c r="G190" i="20"/>
  <c r="H190" i="20"/>
  <c r="D191" i="20"/>
  <c r="E191" i="20"/>
  <c r="F191" i="20"/>
  <c r="G191" i="20"/>
  <c r="H191" i="20"/>
  <c r="D192" i="20"/>
  <c r="E192" i="20"/>
  <c r="F192" i="20"/>
  <c r="G192" i="20"/>
  <c r="H192" i="20"/>
  <c r="D193" i="20"/>
  <c r="E193" i="20"/>
  <c r="F193" i="20"/>
  <c r="G193" i="20"/>
  <c r="H193" i="20"/>
  <c r="D194" i="20"/>
  <c r="E194" i="20"/>
  <c r="F194" i="20"/>
  <c r="G194" i="20"/>
  <c r="H194" i="20"/>
  <c r="D195" i="20"/>
  <c r="E195" i="20"/>
  <c r="F195" i="20"/>
  <c r="G195" i="20"/>
  <c r="H195" i="20"/>
  <c r="D196" i="20"/>
  <c r="E196" i="20"/>
  <c r="F196" i="20"/>
  <c r="G196" i="20"/>
  <c r="H196" i="20"/>
  <c r="D197" i="20"/>
  <c r="E197" i="20"/>
  <c r="F197" i="20"/>
  <c r="G197" i="20"/>
  <c r="H197" i="20"/>
  <c r="D198" i="20"/>
  <c r="E198" i="20"/>
  <c r="F198" i="20"/>
  <c r="G198" i="20"/>
  <c r="H198" i="20"/>
  <c r="D199" i="20"/>
  <c r="E199" i="20"/>
  <c r="F199" i="20"/>
  <c r="G199" i="20"/>
  <c r="H199" i="20"/>
  <c r="D200" i="20"/>
  <c r="E200" i="20"/>
  <c r="F200" i="20"/>
  <c r="G200" i="20"/>
  <c r="H200" i="20"/>
  <c r="D201" i="20"/>
  <c r="E201" i="20"/>
  <c r="F201" i="20"/>
  <c r="G201" i="20"/>
  <c r="H201" i="20"/>
  <c r="D202" i="20"/>
  <c r="E202" i="20"/>
  <c r="F202" i="20"/>
  <c r="G202" i="20"/>
  <c r="H202" i="20"/>
  <c r="D203" i="20"/>
  <c r="E203" i="20"/>
  <c r="F203" i="20"/>
  <c r="G203" i="20"/>
  <c r="H203" i="20"/>
  <c r="D204" i="20"/>
  <c r="E204" i="20"/>
  <c r="F204" i="20"/>
  <c r="G204" i="20"/>
  <c r="H204" i="20"/>
  <c r="D205" i="20"/>
  <c r="E205" i="20"/>
  <c r="F205" i="20"/>
  <c r="G205" i="20"/>
  <c r="H205" i="20"/>
  <c r="D206" i="20"/>
  <c r="E206" i="20"/>
  <c r="F206" i="20"/>
  <c r="G206" i="20"/>
  <c r="H206" i="20"/>
  <c r="D207" i="20"/>
  <c r="E207" i="20"/>
  <c r="F207" i="20"/>
  <c r="G207" i="20"/>
  <c r="H207" i="20"/>
  <c r="D208" i="20"/>
  <c r="E208" i="20"/>
  <c r="F208" i="20"/>
  <c r="G208" i="20"/>
  <c r="H208" i="20"/>
  <c r="D209" i="20"/>
  <c r="E209" i="20"/>
  <c r="F209" i="20"/>
  <c r="G209" i="20"/>
  <c r="H209" i="20"/>
  <c r="D210" i="20"/>
  <c r="E210" i="20"/>
  <c r="F210" i="20"/>
  <c r="G210" i="20"/>
  <c r="H210" i="20"/>
  <c r="D211" i="20"/>
  <c r="E211" i="20"/>
  <c r="F211" i="20"/>
  <c r="G211" i="20"/>
  <c r="H211" i="20"/>
  <c r="D212" i="20"/>
  <c r="E212" i="20"/>
  <c r="F212" i="20"/>
  <c r="G212" i="20"/>
  <c r="H212" i="20"/>
  <c r="D213" i="20"/>
  <c r="E213" i="20"/>
  <c r="F213" i="20"/>
  <c r="G213" i="20"/>
  <c r="H213" i="20"/>
  <c r="D214" i="20"/>
  <c r="E214" i="20"/>
  <c r="F214" i="20"/>
  <c r="G214" i="20"/>
  <c r="H214" i="20"/>
  <c r="D215" i="20"/>
  <c r="E215" i="20"/>
  <c r="F215" i="20"/>
  <c r="G215" i="20"/>
  <c r="H215" i="20"/>
  <c r="D216" i="20"/>
  <c r="E216" i="20"/>
  <c r="F216" i="20"/>
  <c r="G216" i="20"/>
  <c r="H216" i="20"/>
  <c r="D217" i="20"/>
  <c r="E217" i="20"/>
  <c r="F217" i="20"/>
  <c r="G217" i="20"/>
  <c r="H217" i="20"/>
  <c r="D218" i="20"/>
  <c r="E218" i="20"/>
  <c r="F218" i="20"/>
  <c r="G218" i="20"/>
  <c r="H218" i="20"/>
  <c r="D219" i="20"/>
  <c r="E219" i="20"/>
  <c r="F219" i="20"/>
  <c r="G219" i="20"/>
  <c r="H219" i="20"/>
  <c r="D220" i="20"/>
  <c r="E220" i="20"/>
  <c r="F220" i="20"/>
  <c r="G220" i="20"/>
  <c r="H220" i="20"/>
  <c r="D221" i="20"/>
  <c r="E221" i="20"/>
  <c r="F221" i="20"/>
  <c r="G221" i="20"/>
  <c r="H221" i="20"/>
  <c r="D222" i="20"/>
  <c r="E222" i="20"/>
  <c r="F222" i="20"/>
  <c r="G222" i="20"/>
  <c r="H222" i="20"/>
  <c r="D223" i="20"/>
  <c r="E223" i="20"/>
  <c r="F223" i="20"/>
  <c r="G223" i="20"/>
  <c r="H223" i="20"/>
  <c r="D224" i="20"/>
  <c r="E224" i="20"/>
  <c r="F224" i="20"/>
  <c r="G224" i="20"/>
  <c r="H224" i="20"/>
  <c r="D225" i="20"/>
  <c r="E225" i="20"/>
  <c r="F225" i="20"/>
  <c r="G225" i="20"/>
  <c r="H225" i="20"/>
  <c r="D226" i="20"/>
  <c r="E226" i="20"/>
  <c r="F226" i="20"/>
  <c r="G226" i="20"/>
  <c r="H226" i="20"/>
  <c r="D227" i="20"/>
  <c r="E227" i="20"/>
  <c r="F227" i="20"/>
  <c r="G227" i="20"/>
  <c r="H227" i="20"/>
  <c r="D228" i="20"/>
  <c r="E228" i="20"/>
  <c r="F228" i="20"/>
  <c r="G228" i="20"/>
  <c r="H228" i="20"/>
  <c r="D229" i="20"/>
  <c r="E229" i="20"/>
  <c r="F229" i="20"/>
  <c r="G229" i="20"/>
  <c r="H229" i="20"/>
  <c r="D230" i="20"/>
  <c r="E230" i="20"/>
  <c r="F230" i="20"/>
  <c r="G230" i="20"/>
  <c r="H230" i="20"/>
  <c r="D231" i="20"/>
  <c r="E231" i="20"/>
  <c r="F231" i="20"/>
  <c r="G231" i="20"/>
  <c r="H231" i="20"/>
  <c r="D232" i="20"/>
  <c r="E232" i="20"/>
  <c r="F232" i="20"/>
  <c r="G232" i="20"/>
  <c r="H232" i="20"/>
  <c r="D233" i="20"/>
  <c r="E233" i="20"/>
  <c r="F233" i="20"/>
  <c r="G233" i="20"/>
  <c r="H233" i="20"/>
  <c r="D234" i="20"/>
  <c r="E234" i="20"/>
  <c r="F234" i="20"/>
  <c r="G234" i="20"/>
  <c r="H234" i="20"/>
  <c r="D235" i="20"/>
  <c r="E235" i="20"/>
  <c r="F235" i="20"/>
  <c r="G235" i="20"/>
  <c r="H235" i="20"/>
  <c r="D236" i="20"/>
  <c r="E236" i="20"/>
  <c r="F236" i="20"/>
  <c r="G236" i="20"/>
  <c r="H236" i="20"/>
  <c r="D237" i="20"/>
  <c r="E237" i="20"/>
  <c r="F237" i="20"/>
  <c r="G237" i="20"/>
  <c r="H237" i="20"/>
  <c r="D238" i="20"/>
  <c r="E238" i="20"/>
  <c r="F238" i="20"/>
  <c r="G238" i="20"/>
  <c r="H238" i="20"/>
  <c r="D239" i="20"/>
  <c r="E239" i="20"/>
  <c r="F239" i="20"/>
  <c r="G239" i="20"/>
  <c r="H239" i="20"/>
  <c r="D240" i="20"/>
  <c r="E240" i="20"/>
  <c r="F240" i="20"/>
  <c r="G240" i="20"/>
  <c r="H240" i="20"/>
  <c r="D241" i="20"/>
  <c r="E241" i="20"/>
  <c r="F241" i="20"/>
  <c r="G241" i="20"/>
  <c r="H241" i="20"/>
  <c r="D242" i="20"/>
  <c r="E242" i="20"/>
  <c r="F242" i="20"/>
  <c r="G242" i="20"/>
  <c r="H242" i="20"/>
  <c r="D243" i="20"/>
  <c r="E243" i="20"/>
  <c r="F243" i="20"/>
  <c r="G243" i="20"/>
  <c r="H243" i="20"/>
  <c r="D244" i="20"/>
  <c r="E244" i="20"/>
  <c r="F244" i="20"/>
  <c r="G244" i="20"/>
  <c r="H244" i="20"/>
  <c r="D245" i="20"/>
  <c r="E245" i="20"/>
  <c r="F245" i="20"/>
  <c r="G245" i="20"/>
  <c r="H245" i="20"/>
  <c r="D246" i="20"/>
  <c r="E246" i="20"/>
  <c r="F246" i="20"/>
  <c r="G246" i="20"/>
  <c r="H246" i="20"/>
  <c r="D247" i="20"/>
  <c r="E247" i="20"/>
  <c r="F247" i="20"/>
  <c r="G247" i="20"/>
  <c r="H247" i="20"/>
  <c r="D248" i="20"/>
  <c r="E248" i="20"/>
  <c r="F248" i="20"/>
  <c r="G248" i="20"/>
  <c r="H248" i="20"/>
  <c r="D249" i="20"/>
  <c r="E249" i="20"/>
  <c r="F249" i="20"/>
  <c r="G249" i="20"/>
  <c r="H249" i="20"/>
  <c r="D250" i="20"/>
  <c r="E250" i="20"/>
  <c r="F250" i="20"/>
  <c r="G250" i="20"/>
  <c r="H250" i="20"/>
  <c r="D251" i="20"/>
  <c r="E251" i="20"/>
  <c r="F251" i="20"/>
  <c r="G251" i="20"/>
  <c r="H251" i="20"/>
  <c r="D252" i="20"/>
  <c r="E252" i="20"/>
  <c r="F252" i="20"/>
  <c r="G252" i="20"/>
  <c r="H252" i="20"/>
  <c r="D253" i="20"/>
  <c r="E253" i="20"/>
  <c r="F253" i="20"/>
  <c r="G253" i="20"/>
  <c r="H253" i="20"/>
  <c r="D254" i="20"/>
  <c r="E254" i="20"/>
  <c r="F254" i="20"/>
  <c r="G254" i="20"/>
  <c r="H254" i="20"/>
  <c r="D255" i="20"/>
  <c r="E255" i="20"/>
  <c r="F255" i="20"/>
  <c r="G255" i="20"/>
  <c r="H255" i="20"/>
  <c r="D256" i="20"/>
  <c r="E256" i="20"/>
  <c r="F256" i="20"/>
  <c r="G256" i="20"/>
  <c r="H256" i="20"/>
  <c r="D257" i="20"/>
  <c r="E257" i="20"/>
  <c r="F257" i="20"/>
  <c r="G257" i="20"/>
  <c r="H257" i="20"/>
  <c r="D258" i="20"/>
  <c r="E258" i="20"/>
  <c r="F258" i="20"/>
  <c r="G258" i="20"/>
  <c r="H258" i="20"/>
  <c r="D259" i="20"/>
  <c r="E259" i="20"/>
  <c r="F259" i="20"/>
  <c r="G259" i="20"/>
  <c r="H259" i="20"/>
  <c r="D260" i="20"/>
  <c r="E260" i="20"/>
  <c r="F260" i="20"/>
  <c r="G260" i="20"/>
  <c r="H260" i="20"/>
  <c r="D261" i="20"/>
  <c r="E261" i="20"/>
  <c r="F261" i="20"/>
  <c r="G261" i="20"/>
  <c r="H261" i="20"/>
  <c r="D262" i="20"/>
  <c r="E262" i="20"/>
  <c r="F262" i="20"/>
  <c r="G262" i="20"/>
  <c r="H262" i="20"/>
  <c r="D263" i="20"/>
  <c r="E263" i="20"/>
  <c r="F263" i="20"/>
  <c r="G263" i="20"/>
  <c r="H263" i="20"/>
  <c r="D264" i="20"/>
  <c r="E264" i="20"/>
  <c r="F264" i="20"/>
  <c r="G264" i="20"/>
  <c r="H264" i="20"/>
  <c r="D265" i="20"/>
  <c r="E265" i="20"/>
  <c r="F265" i="20"/>
  <c r="G265" i="20"/>
  <c r="H265" i="20"/>
  <c r="D266" i="20"/>
  <c r="E266" i="20"/>
  <c r="F266" i="20"/>
  <c r="G266" i="20"/>
  <c r="H266" i="20"/>
  <c r="D267" i="20"/>
  <c r="E267" i="20"/>
  <c r="F267" i="20"/>
  <c r="G267" i="20"/>
  <c r="H267" i="20"/>
  <c r="D268" i="20"/>
  <c r="E268" i="20"/>
  <c r="F268" i="20"/>
  <c r="G268" i="20"/>
  <c r="H268" i="20"/>
  <c r="D269" i="20"/>
  <c r="E269" i="20"/>
  <c r="F269" i="20"/>
  <c r="G269" i="20"/>
  <c r="H269" i="20"/>
  <c r="D270" i="20"/>
  <c r="E270" i="20"/>
  <c r="F270" i="20"/>
  <c r="G270" i="20"/>
  <c r="H270" i="20"/>
  <c r="D271" i="20"/>
  <c r="E271" i="20"/>
  <c r="F271" i="20"/>
  <c r="G271" i="20"/>
  <c r="H271" i="20"/>
  <c r="D272" i="20"/>
  <c r="E272" i="20"/>
  <c r="F272" i="20"/>
  <c r="G272" i="20"/>
  <c r="H272" i="20"/>
  <c r="D273" i="20"/>
  <c r="E273" i="20"/>
  <c r="F273" i="20"/>
  <c r="G273" i="20"/>
  <c r="H273" i="20"/>
  <c r="D274" i="20"/>
  <c r="E274" i="20"/>
  <c r="F274" i="20"/>
  <c r="G274" i="20"/>
  <c r="H274" i="20"/>
  <c r="D275" i="20"/>
  <c r="E275" i="20"/>
  <c r="F275" i="20"/>
  <c r="G275" i="20"/>
  <c r="H275" i="20"/>
  <c r="D276" i="20"/>
  <c r="E276" i="20"/>
  <c r="F276" i="20"/>
  <c r="G276" i="20"/>
  <c r="H276" i="20"/>
  <c r="D277" i="20"/>
  <c r="E277" i="20"/>
  <c r="F277" i="20"/>
  <c r="G277" i="20"/>
  <c r="H277" i="20"/>
  <c r="D278" i="20"/>
  <c r="E278" i="20"/>
  <c r="F278" i="20"/>
  <c r="G278" i="20"/>
  <c r="H278" i="20"/>
  <c r="D279" i="20"/>
  <c r="E279" i="20"/>
  <c r="F279" i="20"/>
  <c r="G279" i="20"/>
  <c r="H279" i="20"/>
  <c r="D280" i="20"/>
  <c r="E280" i="20"/>
  <c r="F280" i="20"/>
  <c r="G280" i="20"/>
  <c r="H280" i="20"/>
  <c r="D281" i="20"/>
  <c r="E281" i="20"/>
  <c r="F281" i="20"/>
  <c r="G281" i="20"/>
  <c r="H281" i="20"/>
  <c r="D282" i="20"/>
  <c r="E282" i="20"/>
  <c r="F282" i="20"/>
  <c r="G282" i="20"/>
  <c r="H282" i="20"/>
  <c r="D283" i="20"/>
  <c r="E283" i="20"/>
  <c r="F283" i="20"/>
  <c r="G283" i="20"/>
  <c r="H283" i="20"/>
  <c r="D284" i="20"/>
  <c r="E284" i="20"/>
  <c r="F284" i="20"/>
  <c r="G284" i="20"/>
  <c r="H284" i="20"/>
  <c r="D285" i="20"/>
  <c r="E285" i="20"/>
  <c r="F285" i="20"/>
  <c r="G285" i="20"/>
  <c r="H285" i="20"/>
  <c r="D286" i="20"/>
  <c r="E286" i="20"/>
  <c r="F286" i="20"/>
  <c r="G286" i="20"/>
  <c r="H286" i="20"/>
  <c r="D287" i="20"/>
  <c r="E287" i="20"/>
  <c r="F287" i="20"/>
  <c r="G287" i="20"/>
  <c r="H287" i="20"/>
  <c r="D288" i="20"/>
  <c r="E288" i="20"/>
  <c r="F288" i="20"/>
  <c r="G288" i="20"/>
  <c r="H288" i="20"/>
  <c r="D289" i="20"/>
  <c r="E289" i="20"/>
  <c r="F289" i="20"/>
  <c r="G289" i="20"/>
  <c r="H289" i="20"/>
  <c r="D290" i="20"/>
  <c r="E290" i="20"/>
  <c r="F290" i="20"/>
  <c r="G290" i="20"/>
  <c r="H290" i="20"/>
  <c r="D291" i="20"/>
  <c r="E291" i="20"/>
  <c r="F291" i="20"/>
  <c r="G291" i="20"/>
  <c r="H291" i="20"/>
  <c r="D292" i="20"/>
  <c r="E292" i="20"/>
  <c r="F292" i="20"/>
  <c r="G292" i="20"/>
  <c r="H292" i="20"/>
  <c r="D293" i="20"/>
  <c r="E293" i="20"/>
  <c r="F293" i="20"/>
  <c r="G293" i="20"/>
  <c r="H293" i="20"/>
  <c r="D294" i="20"/>
  <c r="E294" i="20"/>
  <c r="F294" i="20"/>
  <c r="G294" i="20"/>
  <c r="H294" i="20"/>
  <c r="D295" i="20"/>
  <c r="E295" i="20"/>
  <c r="F295" i="20"/>
  <c r="G295" i="20"/>
  <c r="H295" i="20"/>
  <c r="D296" i="20"/>
  <c r="E296" i="20"/>
  <c r="F296" i="20"/>
  <c r="G296" i="20"/>
  <c r="H296" i="20"/>
  <c r="D297" i="20"/>
  <c r="E297" i="20"/>
  <c r="F297" i="20"/>
  <c r="G297" i="20"/>
  <c r="H297" i="20"/>
  <c r="D298" i="20"/>
  <c r="E298" i="20"/>
  <c r="F298" i="20"/>
  <c r="G298" i="20"/>
  <c r="H298" i="20"/>
  <c r="D299" i="20"/>
  <c r="E299" i="20"/>
  <c r="F299" i="20"/>
  <c r="G299" i="20"/>
  <c r="H299" i="20"/>
  <c r="D300" i="20"/>
  <c r="E300" i="20"/>
  <c r="F300" i="20"/>
  <c r="G300" i="20"/>
  <c r="H300" i="20"/>
  <c r="D301" i="20"/>
  <c r="E301" i="20"/>
  <c r="F301" i="20"/>
  <c r="G301" i="20"/>
  <c r="H301" i="20"/>
  <c r="D302" i="20"/>
  <c r="E302" i="20"/>
  <c r="F302" i="20"/>
  <c r="G302" i="20"/>
  <c r="H302" i="20"/>
  <c r="D303" i="20"/>
  <c r="E303" i="20"/>
  <c r="F303" i="20"/>
  <c r="G303" i="20"/>
  <c r="H303" i="20"/>
  <c r="D304" i="20"/>
  <c r="E304" i="20"/>
  <c r="F304" i="20"/>
  <c r="G304" i="20"/>
  <c r="H304" i="20"/>
  <c r="D305" i="20"/>
  <c r="E305" i="20"/>
  <c r="F305" i="20"/>
  <c r="G305" i="20"/>
  <c r="H305" i="20"/>
  <c r="D306" i="20"/>
  <c r="E306" i="20"/>
  <c r="F306" i="20"/>
  <c r="G306" i="20"/>
  <c r="H306" i="20"/>
  <c r="D307" i="20"/>
  <c r="E307" i="20"/>
  <c r="F307" i="20"/>
  <c r="G307" i="20"/>
  <c r="H307" i="20"/>
  <c r="D308" i="20"/>
  <c r="E308" i="20"/>
  <c r="F308" i="20"/>
  <c r="G308" i="20"/>
  <c r="H308" i="20"/>
  <c r="D309" i="20"/>
  <c r="E309" i="20"/>
  <c r="F309" i="20"/>
  <c r="G309" i="20"/>
  <c r="H309" i="20"/>
  <c r="D310" i="20"/>
  <c r="E310" i="20"/>
  <c r="F310" i="20"/>
  <c r="G310" i="20"/>
  <c r="H310" i="20"/>
  <c r="D311" i="20"/>
  <c r="E311" i="20"/>
  <c r="F311" i="20"/>
  <c r="G311" i="20"/>
  <c r="H311" i="20"/>
  <c r="D312" i="20"/>
  <c r="E312" i="20"/>
  <c r="F312" i="20"/>
  <c r="G312" i="20"/>
  <c r="H312" i="20"/>
  <c r="D313" i="20"/>
  <c r="E313" i="20"/>
  <c r="F313" i="20"/>
  <c r="G313" i="20"/>
  <c r="H313" i="20"/>
  <c r="D314" i="20"/>
  <c r="E314" i="20"/>
  <c r="F314" i="20"/>
  <c r="G314" i="20"/>
  <c r="H314" i="20"/>
  <c r="D315" i="20"/>
  <c r="E315" i="20"/>
  <c r="F315" i="20"/>
  <c r="G315" i="20"/>
  <c r="H315" i="20"/>
  <c r="D316" i="20"/>
  <c r="E316" i="20"/>
  <c r="F316" i="20"/>
  <c r="G316" i="20"/>
  <c r="H316" i="20"/>
  <c r="D317" i="20"/>
  <c r="E317" i="20"/>
  <c r="F317" i="20"/>
  <c r="G317" i="20"/>
  <c r="H317" i="20"/>
  <c r="D318" i="20"/>
  <c r="E318" i="20"/>
  <c r="F318" i="20"/>
  <c r="G318" i="20"/>
  <c r="H318" i="20"/>
  <c r="D319" i="20"/>
  <c r="E319" i="20"/>
  <c r="F319" i="20"/>
  <c r="G319" i="20"/>
  <c r="H319" i="20"/>
  <c r="D320" i="20"/>
  <c r="E320" i="20"/>
  <c r="F320" i="20"/>
  <c r="G320" i="20"/>
  <c r="H320" i="20"/>
  <c r="D321" i="20"/>
  <c r="E321" i="20"/>
  <c r="F321" i="20"/>
  <c r="G321" i="20"/>
  <c r="H321" i="20"/>
  <c r="D322" i="20"/>
  <c r="E322" i="20"/>
  <c r="F322" i="20"/>
  <c r="G322" i="20"/>
  <c r="H322" i="20"/>
  <c r="D323" i="20"/>
  <c r="E323" i="20"/>
  <c r="F323" i="20"/>
  <c r="G323" i="20"/>
  <c r="H323" i="20"/>
  <c r="D324" i="20"/>
  <c r="E324" i="20"/>
  <c r="F324" i="20"/>
  <c r="G324" i="20"/>
  <c r="H324" i="20"/>
  <c r="D325" i="20"/>
  <c r="E325" i="20"/>
  <c r="F325" i="20"/>
  <c r="G325" i="20"/>
  <c r="H325" i="20"/>
  <c r="D326" i="20"/>
  <c r="E326" i="20"/>
  <c r="F326" i="20"/>
  <c r="G326" i="20"/>
  <c r="H326" i="20"/>
  <c r="D327" i="20"/>
  <c r="E327" i="20"/>
  <c r="F327" i="20"/>
  <c r="G327" i="20"/>
  <c r="H327" i="20"/>
  <c r="D328" i="20"/>
  <c r="E328" i="20"/>
  <c r="F328" i="20"/>
  <c r="G328" i="20"/>
  <c r="H328" i="20"/>
  <c r="D329" i="20"/>
  <c r="E329" i="20"/>
  <c r="F329" i="20"/>
  <c r="G329" i="20"/>
  <c r="H329" i="20"/>
  <c r="D330" i="20"/>
  <c r="E330" i="20"/>
  <c r="F330" i="20"/>
  <c r="G330" i="20"/>
  <c r="H330" i="20"/>
  <c r="D331" i="20"/>
  <c r="E331" i="20"/>
  <c r="F331" i="20"/>
  <c r="G331" i="20"/>
  <c r="H331" i="20"/>
  <c r="D332" i="20"/>
  <c r="E332" i="20"/>
  <c r="F332" i="20"/>
  <c r="G332" i="20"/>
  <c r="H332" i="20"/>
  <c r="D333" i="20"/>
  <c r="E333" i="20"/>
  <c r="F333" i="20"/>
  <c r="G333" i="20"/>
  <c r="H333" i="20"/>
  <c r="D334" i="20"/>
  <c r="E334" i="20"/>
  <c r="F334" i="20"/>
  <c r="G334" i="20"/>
  <c r="H334" i="20"/>
  <c r="D335" i="20"/>
  <c r="E335" i="20"/>
  <c r="F335" i="20"/>
  <c r="G335" i="20"/>
  <c r="H335" i="20"/>
  <c r="D336" i="20"/>
  <c r="E336" i="20"/>
  <c r="F336" i="20"/>
  <c r="G336" i="20"/>
  <c r="H336" i="20"/>
  <c r="D337" i="20"/>
  <c r="E337" i="20"/>
  <c r="F337" i="20"/>
  <c r="G337" i="20"/>
  <c r="H337" i="20"/>
  <c r="D338" i="20"/>
  <c r="E338" i="20"/>
  <c r="F338" i="20"/>
  <c r="G338" i="20"/>
  <c r="H338" i="20"/>
  <c r="D339" i="20"/>
  <c r="E339" i="20"/>
  <c r="F339" i="20"/>
  <c r="G339" i="20"/>
  <c r="H339" i="20"/>
  <c r="D340" i="20"/>
  <c r="E340" i="20"/>
  <c r="F340" i="20"/>
  <c r="G340" i="20"/>
  <c r="H340" i="20"/>
  <c r="D341" i="20"/>
  <c r="E341" i="20"/>
  <c r="F341" i="20"/>
  <c r="G341" i="20"/>
  <c r="H341" i="20"/>
  <c r="D342" i="20"/>
  <c r="E342" i="20"/>
  <c r="F342" i="20"/>
  <c r="G342" i="20"/>
  <c r="H342" i="20"/>
  <c r="D343" i="20"/>
  <c r="E343" i="20"/>
  <c r="F343" i="20"/>
  <c r="G343" i="20"/>
  <c r="H343" i="20"/>
  <c r="D344" i="20"/>
  <c r="E344" i="20"/>
  <c r="F344" i="20"/>
  <c r="G344" i="20"/>
  <c r="H344" i="20"/>
  <c r="D345" i="20"/>
  <c r="E345" i="20"/>
  <c r="F345" i="20"/>
  <c r="G345" i="20"/>
  <c r="H345" i="20"/>
  <c r="D346" i="20"/>
  <c r="E346" i="20"/>
  <c r="F346" i="20"/>
  <c r="G346" i="20"/>
  <c r="H346" i="20"/>
  <c r="D347" i="20"/>
  <c r="E347" i="20"/>
  <c r="F347" i="20"/>
  <c r="G347" i="20"/>
  <c r="H347" i="20"/>
  <c r="D348" i="20"/>
  <c r="E348" i="20"/>
  <c r="F348" i="20"/>
  <c r="G348" i="20"/>
  <c r="H348" i="20"/>
  <c r="D349" i="20"/>
  <c r="E349" i="20"/>
  <c r="F349" i="20"/>
  <c r="G349" i="20"/>
  <c r="H349" i="20"/>
  <c r="D350" i="20"/>
  <c r="E350" i="20"/>
  <c r="F350" i="20"/>
  <c r="G350" i="20"/>
  <c r="H350" i="20"/>
  <c r="D351" i="20"/>
  <c r="E351" i="20"/>
  <c r="F351" i="20"/>
  <c r="G351" i="20"/>
  <c r="H351" i="20"/>
  <c r="D352" i="20"/>
  <c r="E352" i="20"/>
  <c r="F352" i="20"/>
  <c r="G352" i="20"/>
  <c r="H352" i="20"/>
  <c r="D353" i="20"/>
  <c r="E353" i="20"/>
  <c r="F353" i="20"/>
  <c r="G353" i="20"/>
  <c r="H353" i="20"/>
  <c r="D354" i="20"/>
  <c r="E354" i="20"/>
  <c r="F354" i="20"/>
  <c r="G354" i="20"/>
  <c r="H354" i="20"/>
  <c r="D355" i="20"/>
  <c r="E355" i="20"/>
  <c r="F355" i="20"/>
  <c r="G355" i="20"/>
  <c r="H355" i="20"/>
  <c r="D356" i="20"/>
  <c r="E356" i="20"/>
  <c r="F356" i="20"/>
  <c r="G356" i="20"/>
  <c r="H356" i="20"/>
  <c r="D357" i="20"/>
  <c r="E357" i="20"/>
  <c r="F357" i="20"/>
  <c r="G357" i="20"/>
  <c r="H357" i="20"/>
  <c r="D358" i="20"/>
  <c r="E358" i="20"/>
  <c r="F358" i="20"/>
  <c r="G358" i="20"/>
  <c r="H358" i="20"/>
  <c r="D359" i="20"/>
  <c r="E359" i="20"/>
  <c r="F359" i="20"/>
  <c r="G359" i="20"/>
  <c r="H359" i="20"/>
  <c r="D360" i="20"/>
  <c r="E360" i="20"/>
  <c r="F360" i="20"/>
  <c r="G360" i="20"/>
  <c r="H360" i="20"/>
  <c r="D361" i="20"/>
  <c r="E361" i="20"/>
  <c r="F361" i="20"/>
  <c r="G361" i="20"/>
  <c r="H361" i="20"/>
  <c r="D362" i="20"/>
  <c r="E362" i="20"/>
  <c r="F362" i="20"/>
  <c r="G362" i="20"/>
  <c r="H362" i="20"/>
  <c r="D363" i="20"/>
  <c r="E363" i="20"/>
  <c r="F363" i="20"/>
  <c r="G363" i="20"/>
  <c r="H363" i="20"/>
  <c r="D364" i="20"/>
  <c r="E364" i="20"/>
  <c r="F364" i="20"/>
  <c r="G364" i="20"/>
  <c r="H364" i="20"/>
  <c r="D365" i="20"/>
  <c r="E365" i="20"/>
  <c r="F365" i="20"/>
  <c r="G365" i="20"/>
  <c r="H365" i="20"/>
  <c r="D366" i="20"/>
  <c r="E366" i="20"/>
  <c r="F366" i="20"/>
  <c r="G366" i="20"/>
  <c r="H366" i="20"/>
  <c r="D367" i="20"/>
  <c r="E367" i="20"/>
  <c r="F367" i="20"/>
  <c r="G367" i="20"/>
  <c r="H367" i="20"/>
  <c r="D368" i="20"/>
  <c r="E368" i="20"/>
  <c r="F368" i="20"/>
  <c r="G368" i="20"/>
  <c r="H368" i="20"/>
  <c r="D369" i="20"/>
  <c r="E369" i="20"/>
  <c r="F369" i="20"/>
  <c r="G369" i="20"/>
  <c r="H369" i="20"/>
  <c r="D370" i="20"/>
  <c r="E370" i="20"/>
  <c r="F370" i="20"/>
  <c r="G370" i="20"/>
  <c r="H370" i="20"/>
  <c r="D371" i="20"/>
  <c r="E371" i="20"/>
  <c r="F371" i="20"/>
  <c r="G371" i="20"/>
  <c r="H371" i="20"/>
  <c r="D372" i="20"/>
  <c r="E372" i="20"/>
  <c r="F372" i="20"/>
  <c r="G372" i="20"/>
  <c r="H372" i="20"/>
  <c r="D373" i="20"/>
  <c r="E373" i="20"/>
  <c r="F373" i="20"/>
  <c r="G373" i="20"/>
  <c r="H373" i="20"/>
  <c r="D374" i="20"/>
  <c r="E374" i="20"/>
  <c r="F374" i="20"/>
  <c r="G374" i="20"/>
  <c r="H374" i="20"/>
  <c r="D375" i="20"/>
  <c r="E375" i="20"/>
  <c r="F375" i="20"/>
  <c r="G375" i="20"/>
  <c r="H375" i="20"/>
  <c r="D376" i="20"/>
  <c r="E376" i="20"/>
  <c r="F376" i="20"/>
  <c r="G376" i="20"/>
  <c r="H376" i="20"/>
  <c r="D377" i="20"/>
  <c r="E377" i="20"/>
  <c r="F377" i="20"/>
  <c r="G377" i="20"/>
  <c r="H377" i="20"/>
  <c r="D378" i="20"/>
  <c r="E378" i="20"/>
  <c r="F378" i="20"/>
  <c r="G378" i="20"/>
  <c r="H378" i="20"/>
  <c r="D379" i="20"/>
  <c r="E379" i="20"/>
  <c r="F379" i="20"/>
  <c r="G379" i="20"/>
  <c r="H379" i="20"/>
  <c r="D380" i="20"/>
  <c r="E380" i="20"/>
  <c r="F380" i="20"/>
  <c r="G380" i="20"/>
  <c r="H380" i="20"/>
  <c r="D381" i="20"/>
  <c r="E381" i="20"/>
  <c r="F381" i="20"/>
  <c r="G381" i="20"/>
  <c r="H381" i="20"/>
  <c r="D382" i="20"/>
  <c r="E382" i="20"/>
  <c r="F382" i="20"/>
  <c r="G382" i="20"/>
  <c r="H382" i="20"/>
  <c r="D383" i="20"/>
  <c r="E383" i="20"/>
  <c r="F383" i="20"/>
  <c r="G383" i="20"/>
  <c r="H383" i="20"/>
  <c r="D384" i="20"/>
  <c r="E384" i="20"/>
  <c r="F384" i="20"/>
  <c r="G384" i="20"/>
  <c r="H384" i="20"/>
  <c r="D385" i="20"/>
  <c r="E385" i="20"/>
  <c r="F385" i="20"/>
  <c r="G385" i="20"/>
  <c r="H385" i="20"/>
  <c r="D386" i="20"/>
  <c r="E386" i="20"/>
  <c r="F386" i="20"/>
  <c r="G386" i="20"/>
  <c r="H386" i="20"/>
  <c r="D387" i="20"/>
  <c r="E387" i="20"/>
  <c r="F387" i="20"/>
  <c r="G387" i="20"/>
  <c r="H387" i="20"/>
  <c r="D388" i="20"/>
  <c r="E388" i="20"/>
  <c r="F388" i="20"/>
  <c r="G388" i="20"/>
  <c r="H388" i="20"/>
  <c r="D389" i="20"/>
  <c r="E389" i="20"/>
  <c r="F389" i="20"/>
  <c r="G389" i="20"/>
  <c r="H389" i="20"/>
  <c r="D390" i="20"/>
  <c r="E390" i="20"/>
  <c r="F390" i="20"/>
  <c r="G390" i="20"/>
  <c r="H390" i="20"/>
  <c r="D391" i="20"/>
  <c r="E391" i="20"/>
  <c r="F391" i="20"/>
  <c r="G391" i="20"/>
  <c r="H391" i="20"/>
  <c r="D392" i="20"/>
  <c r="E392" i="20"/>
  <c r="F392" i="20"/>
  <c r="G392" i="20"/>
  <c r="H392" i="20"/>
  <c r="D393" i="20"/>
  <c r="E393" i="20"/>
  <c r="F393" i="20"/>
  <c r="G393" i="20"/>
  <c r="H393" i="20"/>
  <c r="D394" i="20"/>
  <c r="E394" i="20"/>
  <c r="F394" i="20"/>
  <c r="G394" i="20"/>
  <c r="H394" i="20"/>
  <c r="D395" i="20"/>
  <c r="E395" i="20"/>
  <c r="F395" i="20"/>
  <c r="G395" i="20"/>
  <c r="H395" i="20"/>
  <c r="D396" i="20"/>
  <c r="E396" i="20"/>
  <c r="F396" i="20"/>
  <c r="G396" i="20"/>
  <c r="H396" i="20"/>
  <c r="D397" i="20"/>
  <c r="E397" i="20"/>
  <c r="F397" i="20"/>
  <c r="G397" i="20"/>
  <c r="H397" i="20"/>
  <c r="D398" i="20"/>
  <c r="E398" i="20"/>
  <c r="F398" i="20"/>
  <c r="G398" i="20"/>
  <c r="H398" i="20"/>
  <c r="D399" i="20"/>
  <c r="E399" i="20"/>
  <c r="F399" i="20"/>
  <c r="G399" i="20"/>
  <c r="H399" i="20"/>
  <c r="D400" i="20"/>
  <c r="E400" i="20"/>
  <c r="F400" i="20"/>
  <c r="G400" i="20"/>
  <c r="H400" i="20"/>
  <c r="D401" i="20"/>
  <c r="E401" i="20"/>
  <c r="F401" i="20"/>
  <c r="G401" i="20"/>
  <c r="H401" i="20"/>
  <c r="D402" i="20"/>
  <c r="E402" i="20"/>
  <c r="F402" i="20"/>
  <c r="G402" i="20"/>
  <c r="H402" i="20"/>
  <c r="D403" i="20"/>
  <c r="E403" i="20"/>
  <c r="F403" i="20"/>
  <c r="G403" i="20"/>
  <c r="H403" i="20"/>
  <c r="D404" i="20"/>
  <c r="E404" i="20"/>
  <c r="F404" i="20"/>
  <c r="G404" i="20"/>
  <c r="H404" i="20"/>
  <c r="D405" i="20"/>
  <c r="E405" i="20"/>
  <c r="F405" i="20"/>
  <c r="G405" i="20"/>
  <c r="H405" i="20"/>
  <c r="D406" i="20"/>
  <c r="E406" i="20"/>
  <c r="F406" i="20"/>
  <c r="G406" i="20"/>
  <c r="H406" i="20"/>
  <c r="D407" i="20"/>
  <c r="E407" i="20"/>
  <c r="F407" i="20"/>
  <c r="G407" i="20"/>
  <c r="H407" i="20"/>
  <c r="D408" i="20"/>
  <c r="E408" i="20"/>
  <c r="F408" i="20"/>
  <c r="G408" i="20"/>
  <c r="H408" i="20"/>
  <c r="D409" i="20"/>
  <c r="E409" i="20"/>
  <c r="F409" i="20"/>
  <c r="G409" i="20"/>
  <c r="H409" i="20"/>
  <c r="D410" i="20"/>
  <c r="E410" i="20"/>
  <c r="F410" i="20"/>
  <c r="G410" i="20"/>
  <c r="H410" i="20"/>
  <c r="D411" i="20"/>
  <c r="E411" i="20"/>
  <c r="F411" i="20"/>
  <c r="G411" i="20"/>
  <c r="H411" i="20"/>
  <c r="D412" i="20"/>
  <c r="E412" i="20"/>
  <c r="F412" i="20"/>
  <c r="G412" i="20"/>
  <c r="H412" i="20"/>
  <c r="D413" i="20"/>
  <c r="E413" i="20"/>
  <c r="F413" i="20"/>
  <c r="G413" i="20"/>
  <c r="H413" i="20"/>
  <c r="D414" i="20"/>
  <c r="E414" i="20"/>
  <c r="F414" i="20"/>
  <c r="G414" i="20"/>
  <c r="H414" i="20"/>
  <c r="D415" i="20"/>
  <c r="E415" i="20"/>
  <c r="F415" i="20"/>
  <c r="G415" i="20"/>
  <c r="H415" i="20"/>
  <c r="D416" i="20"/>
  <c r="E416" i="20"/>
  <c r="F416" i="20"/>
  <c r="G416" i="20"/>
  <c r="H416" i="20"/>
  <c r="D417" i="20"/>
  <c r="E417" i="20"/>
  <c r="F417" i="20"/>
  <c r="G417" i="20"/>
  <c r="H417" i="20"/>
  <c r="D418" i="20"/>
  <c r="E418" i="20"/>
  <c r="F418" i="20"/>
  <c r="G418" i="20"/>
  <c r="H418" i="20"/>
  <c r="D419" i="20"/>
  <c r="E419" i="20"/>
  <c r="F419" i="20"/>
  <c r="G419" i="20"/>
  <c r="H419" i="20"/>
  <c r="D420" i="20"/>
  <c r="E420" i="20"/>
  <c r="F420" i="20"/>
  <c r="G420" i="20"/>
  <c r="H420" i="20"/>
  <c r="D421" i="20"/>
  <c r="E421" i="20"/>
  <c r="F421" i="20"/>
  <c r="G421" i="20"/>
  <c r="H421" i="20"/>
  <c r="D422" i="20"/>
  <c r="E422" i="20"/>
  <c r="F422" i="20"/>
  <c r="G422" i="20"/>
  <c r="H422" i="20"/>
  <c r="D423" i="20"/>
  <c r="E423" i="20"/>
  <c r="F423" i="20"/>
  <c r="G423" i="20"/>
  <c r="H423" i="20"/>
  <c r="D424" i="20"/>
  <c r="E424" i="20"/>
  <c r="F424" i="20"/>
  <c r="G424" i="20"/>
  <c r="H424" i="20"/>
  <c r="D425" i="20"/>
  <c r="E425" i="20"/>
  <c r="F425" i="20"/>
  <c r="G425" i="20"/>
  <c r="H425" i="20"/>
  <c r="D426" i="20"/>
  <c r="E426" i="20"/>
  <c r="F426" i="20"/>
  <c r="G426" i="20"/>
  <c r="H426" i="20"/>
  <c r="D427" i="20"/>
  <c r="E427" i="20"/>
  <c r="F427" i="20"/>
  <c r="G427" i="20"/>
  <c r="H427" i="20"/>
  <c r="D428" i="20"/>
  <c r="E428" i="20"/>
  <c r="F428" i="20"/>
  <c r="G428" i="20"/>
  <c r="H428" i="20"/>
  <c r="D429" i="20"/>
  <c r="E429" i="20"/>
  <c r="F429" i="20"/>
  <c r="G429" i="20"/>
  <c r="H429" i="20"/>
  <c r="D430" i="20"/>
  <c r="E430" i="20"/>
  <c r="F430" i="20"/>
  <c r="G430" i="20"/>
  <c r="H430" i="20"/>
  <c r="D431" i="20"/>
  <c r="E431" i="20"/>
  <c r="F431" i="20"/>
  <c r="G431" i="20"/>
  <c r="H431" i="20"/>
  <c r="D432" i="20"/>
  <c r="E432" i="20"/>
  <c r="F432" i="20"/>
  <c r="G432" i="20"/>
  <c r="H432" i="20"/>
  <c r="D433" i="20"/>
  <c r="E433" i="20"/>
  <c r="F433" i="20"/>
  <c r="G433" i="20"/>
  <c r="H433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M40" i="19"/>
  <c r="M41" i="19"/>
  <c r="M43" i="19"/>
  <c r="M44" i="19"/>
  <c r="M46" i="19"/>
  <c r="M47" i="19"/>
  <c r="M49" i="19"/>
  <c r="M50" i="19"/>
  <c r="M61" i="19"/>
  <c r="M62" i="19"/>
  <c r="M64" i="19"/>
  <c r="M65" i="19"/>
  <c r="M67" i="19"/>
  <c r="M68" i="19"/>
  <c r="M70" i="19"/>
  <c r="M71" i="19"/>
  <c r="M73" i="19"/>
  <c r="M74" i="19"/>
  <c r="M76" i="19"/>
  <c r="M77" i="19"/>
  <c r="M130" i="19"/>
  <c r="M131" i="19"/>
  <c r="M133" i="19"/>
  <c r="M134" i="19"/>
  <c r="M136" i="19"/>
  <c r="M137" i="19"/>
  <c r="M139" i="19"/>
  <c r="M140" i="19"/>
  <c r="M142" i="19"/>
  <c r="M143" i="19"/>
  <c r="M145" i="19"/>
  <c r="M146" i="19"/>
  <c r="M148" i="19"/>
  <c r="M149" i="19"/>
  <c r="M151" i="19"/>
  <c r="M152" i="19"/>
  <c r="M154" i="19"/>
  <c r="M155" i="19"/>
  <c r="M183" i="19"/>
  <c r="M184" i="19"/>
  <c r="M186" i="19"/>
  <c r="M187" i="19"/>
  <c r="M189" i="19"/>
  <c r="M190" i="19"/>
  <c r="M192" i="19"/>
  <c r="M193" i="19"/>
  <c r="M195" i="19"/>
  <c r="M196" i="19"/>
  <c r="M198" i="19"/>
  <c r="M199" i="19"/>
  <c r="M201" i="19"/>
  <c r="M202" i="19"/>
  <c r="M204" i="19"/>
  <c r="M205" i="19"/>
  <c r="M232" i="19"/>
  <c r="M233" i="19"/>
  <c r="M235" i="19"/>
  <c r="M236" i="19"/>
  <c r="M238" i="19"/>
  <c r="M239" i="19"/>
  <c r="M241" i="19"/>
  <c r="M242" i="19"/>
  <c r="M259" i="19"/>
  <c r="M260" i="19"/>
  <c r="M268" i="19"/>
  <c r="M269" i="19"/>
  <c r="M271" i="19"/>
  <c r="M272" i="19"/>
  <c r="M274" i="19"/>
  <c r="M275" i="19"/>
  <c r="M277" i="19"/>
  <c r="M278" i="19"/>
  <c r="M280" i="19"/>
  <c r="M281" i="19"/>
  <c r="M350" i="19"/>
  <c r="M351" i="19"/>
  <c r="M353" i="19"/>
  <c r="M354" i="19"/>
  <c r="M356" i="19"/>
  <c r="M357" i="19"/>
  <c r="M359" i="19"/>
  <c r="M360" i="19"/>
  <c r="M362" i="19"/>
  <c r="M363" i="19"/>
  <c r="M365" i="19"/>
  <c r="M366" i="19"/>
  <c r="M368" i="19"/>
  <c r="M369" i="19"/>
  <c r="M371" i="19"/>
  <c r="M372" i="19"/>
  <c r="M374" i="19"/>
  <c r="M375" i="19"/>
  <c r="M377" i="19"/>
  <c r="M378" i="19"/>
  <c r="M380" i="19"/>
  <c r="M381" i="19"/>
  <c r="M383" i="19"/>
  <c r="M384" i="19"/>
  <c r="M414" i="19"/>
  <c r="M415" i="19"/>
  <c r="M417" i="19"/>
  <c r="M418" i="19"/>
  <c r="M420" i="19"/>
  <c r="M421" i="19"/>
  <c r="M423" i="19"/>
  <c r="M424" i="19"/>
  <c r="M426" i="19"/>
  <c r="M427" i="19"/>
  <c r="M429" i="19"/>
  <c r="M430" i="19"/>
  <c r="M432" i="19"/>
  <c r="M433" i="19"/>
  <c r="K40" i="19"/>
  <c r="K41" i="19"/>
  <c r="K43" i="19"/>
  <c r="K44" i="19"/>
  <c r="K46" i="19"/>
  <c r="K47" i="19"/>
  <c r="K195" i="19"/>
  <c r="K196" i="19"/>
  <c r="K202" i="19"/>
  <c r="K241" i="19"/>
  <c r="K242" i="19"/>
  <c r="K259" i="19"/>
  <c r="K260" i="19"/>
  <c r="K268" i="19"/>
  <c r="K269" i="19"/>
  <c r="K350" i="19"/>
  <c r="K351" i="19"/>
  <c r="K356" i="19"/>
  <c r="K357" i="19"/>
  <c r="K371" i="19"/>
  <c r="K372" i="19"/>
  <c r="K377" i="19"/>
  <c r="K378" i="19"/>
  <c r="K380" i="19"/>
  <c r="K381" i="19"/>
  <c r="K383" i="19"/>
  <c r="K384" i="19"/>
  <c r="K414" i="19"/>
  <c r="K415" i="19"/>
  <c r="K429" i="19"/>
  <c r="K430" i="19"/>
  <c r="K432" i="19"/>
  <c r="K433" i="19"/>
  <c r="J40" i="19"/>
  <c r="J41" i="19"/>
  <c r="J43" i="19"/>
  <c r="J44" i="19"/>
  <c r="J46" i="19"/>
  <c r="J47" i="19"/>
  <c r="J49" i="19"/>
  <c r="J50" i="19"/>
  <c r="J61" i="19"/>
  <c r="J62" i="19"/>
  <c r="J64" i="19"/>
  <c r="J65" i="19"/>
  <c r="J67" i="19"/>
  <c r="J68" i="19"/>
  <c r="J70" i="19"/>
  <c r="J71" i="19"/>
  <c r="J73" i="19"/>
  <c r="J74" i="19"/>
  <c r="J76" i="19"/>
  <c r="J77" i="19"/>
  <c r="J130" i="19"/>
  <c r="J131" i="19"/>
  <c r="J133" i="19"/>
  <c r="J134" i="19"/>
  <c r="J136" i="19"/>
  <c r="J137" i="19"/>
  <c r="J139" i="19"/>
  <c r="J140" i="19"/>
  <c r="J142" i="19"/>
  <c r="J143" i="19"/>
  <c r="J145" i="19"/>
  <c r="J146" i="19"/>
  <c r="J148" i="19"/>
  <c r="J149" i="19"/>
  <c r="J151" i="19"/>
  <c r="J152" i="19"/>
  <c r="J154" i="19"/>
  <c r="J155" i="19"/>
  <c r="J183" i="19"/>
  <c r="J184" i="19"/>
  <c r="J186" i="19"/>
  <c r="J187" i="19"/>
  <c r="J189" i="19"/>
  <c r="J190" i="19"/>
  <c r="J192" i="19"/>
  <c r="J193" i="19"/>
  <c r="J195" i="19"/>
  <c r="J196" i="19"/>
  <c r="J198" i="19"/>
  <c r="J199" i="19"/>
  <c r="J201" i="19"/>
  <c r="J202" i="19"/>
  <c r="J204" i="19"/>
  <c r="J205" i="19"/>
  <c r="J232" i="19"/>
  <c r="J233" i="19"/>
  <c r="J235" i="19"/>
  <c r="J236" i="19"/>
  <c r="J238" i="19"/>
  <c r="J239" i="19"/>
  <c r="J241" i="19"/>
  <c r="J242" i="19"/>
  <c r="I259" i="19"/>
  <c r="J259" i="19"/>
  <c r="J260" i="19"/>
  <c r="J268" i="19"/>
  <c r="J269" i="19"/>
  <c r="J271" i="19"/>
  <c r="J272" i="19"/>
  <c r="J274" i="19"/>
  <c r="J275" i="19"/>
  <c r="J277" i="19"/>
  <c r="J278" i="19"/>
  <c r="J280" i="19"/>
  <c r="J281" i="19"/>
  <c r="J350" i="19"/>
  <c r="J351" i="19"/>
  <c r="J353" i="19"/>
  <c r="J354" i="19"/>
  <c r="J356" i="19"/>
  <c r="J357" i="19"/>
  <c r="J359" i="19"/>
  <c r="J360" i="19"/>
  <c r="J362" i="19"/>
  <c r="J363" i="19"/>
  <c r="J365" i="19"/>
  <c r="J366" i="19"/>
  <c r="J368" i="19"/>
  <c r="J369" i="19"/>
  <c r="J371" i="19"/>
  <c r="J372" i="19"/>
  <c r="J374" i="19"/>
  <c r="J375" i="19"/>
  <c r="J377" i="19"/>
  <c r="J378" i="19"/>
  <c r="J380" i="19"/>
  <c r="J381" i="19"/>
  <c r="J383" i="19"/>
  <c r="J384" i="19"/>
  <c r="J414" i="19"/>
  <c r="J415" i="19"/>
  <c r="J417" i="19"/>
  <c r="J418" i="19"/>
  <c r="J420" i="19"/>
  <c r="J421" i="19"/>
  <c r="J423" i="19"/>
  <c r="J424" i="19"/>
  <c r="J426" i="19"/>
  <c r="J427" i="19"/>
  <c r="J429" i="19"/>
  <c r="J430" i="19"/>
  <c r="J432" i="19"/>
  <c r="J433" i="19"/>
  <c r="D8" i="19"/>
  <c r="E8" i="19"/>
  <c r="F8" i="19"/>
  <c r="G8" i="19"/>
  <c r="H8" i="19"/>
  <c r="D9" i="19"/>
  <c r="E9" i="19"/>
  <c r="F9" i="19"/>
  <c r="G9" i="19"/>
  <c r="H9" i="19"/>
  <c r="D10" i="19"/>
  <c r="E10" i="19"/>
  <c r="F10" i="19"/>
  <c r="G10" i="19"/>
  <c r="H10" i="19"/>
  <c r="D11" i="19"/>
  <c r="E11" i="19"/>
  <c r="F11" i="19"/>
  <c r="G11" i="19"/>
  <c r="H11" i="19"/>
  <c r="D12" i="19"/>
  <c r="E12" i="19"/>
  <c r="F12" i="19"/>
  <c r="G12" i="19"/>
  <c r="H12" i="19"/>
  <c r="D13" i="19"/>
  <c r="E13" i="19"/>
  <c r="F13" i="19"/>
  <c r="G13" i="19"/>
  <c r="H13" i="19"/>
  <c r="D14" i="19"/>
  <c r="E14" i="19"/>
  <c r="F14" i="19"/>
  <c r="G14" i="19"/>
  <c r="H14" i="19"/>
  <c r="D15" i="19"/>
  <c r="E15" i="19"/>
  <c r="F15" i="19"/>
  <c r="G15" i="19"/>
  <c r="H15" i="19"/>
  <c r="D16" i="19"/>
  <c r="E16" i="19"/>
  <c r="F16" i="19"/>
  <c r="G16" i="19"/>
  <c r="H16" i="19"/>
  <c r="D17" i="19"/>
  <c r="E17" i="19"/>
  <c r="F17" i="19"/>
  <c r="G17" i="19"/>
  <c r="H17" i="19"/>
  <c r="D18" i="19"/>
  <c r="E18" i="19"/>
  <c r="F18" i="19"/>
  <c r="G18" i="19"/>
  <c r="H18" i="19"/>
  <c r="D19" i="19"/>
  <c r="E19" i="19"/>
  <c r="F19" i="19"/>
  <c r="G19" i="19"/>
  <c r="H19" i="19"/>
  <c r="D20" i="19"/>
  <c r="E20" i="19"/>
  <c r="F20" i="19"/>
  <c r="G20" i="19"/>
  <c r="H20" i="19"/>
  <c r="D21" i="19"/>
  <c r="E21" i="19"/>
  <c r="F21" i="19"/>
  <c r="G21" i="19"/>
  <c r="H21" i="19"/>
  <c r="D22" i="19"/>
  <c r="E22" i="19"/>
  <c r="F22" i="19"/>
  <c r="G22" i="19"/>
  <c r="H22" i="19"/>
  <c r="D23" i="19"/>
  <c r="E23" i="19"/>
  <c r="F23" i="19"/>
  <c r="G23" i="19"/>
  <c r="H23" i="19"/>
  <c r="D24" i="19"/>
  <c r="E24" i="19"/>
  <c r="F24" i="19"/>
  <c r="G24" i="19"/>
  <c r="H24" i="19"/>
  <c r="D25" i="19"/>
  <c r="E25" i="19"/>
  <c r="F25" i="19"/>
  <c r="G25" i="19"/>
  <c r="H25" i="19"/>
  <c r="D26" i="19"/>
  <c r="E26" i="19"/>
  <c r="F26" i="19"/>
  <c r="G26" i="19"/>
  <c r="H26" i="19"/>
  <c r="D27" i="19"/>
  <c r="E27" i="19"/>
  <c r="F27" i="19"/>
  <c r="G27" i="19"/>
  <c r="H27" i="19"/>
  <c r="D28" i="19"/>
  <c r="E28" i="19"/>
  <c r="F28" i="19"/>
  <c r="G28" i="19"/>
  <c r="H28" i="19"/>
  <c r="D29" i="19"/>
  <c r="E29" i="19"/>
  <c r="F29" i="19"/>
  <c r="G29" i="19"/>
  <c r="H29" i="19"/>
  <c r="D30" i="19"/>
  <c r="E30" i="19"/>
  <c r="F30" i="19"/>
  <c r="G30" i="19"/>
  <c r="H30" i="19"/>
  <c r="D31" i="19"/>
  <c r="E31" i="19"/>
  <c r="F31" i="19"/>
  <c r="G31" i="19"/>
  <c r="H31" i="19"/>
  <c r="D32" i="19"/>
  <c r="E32" i="19"/>
  <c r="F32" i="19"/>
  <c r="G32" i="19"/>
  <c r="H32" i="19"/>
  <c r="D33" i="19"/>
  <c r="E33" i="19"/>
  <c r="F33" i="19"/>
  <c r="G33" i="19"/>
  <c r="H33" i="19"/>
  <c r="D34" i="19"/>
  <c r="E34" i="19"/>
  <c r="F34" i="19"/>
  <c r="G34" i="19"/>
  <c r="H34" i="19"/>
  <c r="D35" i="19"/>
  <c r="E35" i="19"/>
  <c r="F35" i="19"/>
  <c r="G35" i="19"/>
  <c r="H35" i="19"/>
  <c r="D36" i="19"/>
  <c r="E36" i="19"/>
  <c r="F36" i="19"/>
  <c r="G36" i="19"/>
  <c r="H36" i="19"/>
  <c r="D37" i="19"/>
  <c r="E37" i="19"/>
  <c r="F37" i="19"/>
  <c r="G37" i="19"/>
  <c r="H37" i="19"/>
  <c r="D38" i="19"/>
  <c r="E38" i="19"/>
  <c r="F38" i="19"/>
  <c r="G38" i="19"/>
  <c r="H38" i="19"/>
  <c r="D39" i="19"/>
  <c r="E39" i="19"/>
  <c r="F39" i="19"/>
  <c r="G39" i="19"/>
  <c r="H39" i="19"/>
  <c r="D40" i="19"/>
  <c r="E40" i="19"/>
  <c r="F40" i="19"/>
  <c r="G40" i="19"/>
  <c r="H40" i="19"/>
  <c r="D41" i="19"/>
  <c r="E41" i="19"/>
  <c r="F41" i="19"/>
  <c r="G41" i="19"/>
  <c r="H41" i="19"/>
  <c r="D42" i="19"/>
  <c r="E42" i="19"/>
  <c r="F42" i="19"/>
  <c r="G42" i="19"/>
  <c r="H42" i="19"/>
  <c r="D43" i="19"/>
  <c r="E43" i="19"/>
  <c r="F43" i="19"/>
  <c r="G43" i="19"/>
  <c r="H43" i="19"/>
  <c r="D44" i="19"/>
  <c r="E44" i="19"/>
  <c r="F44" i="19"/>
  <c r="G44" i="19"/>
  <c r="H44" i="19"/>
  <c r="D45" i="19"/>
  <c r="E45" i="19"/>
  <c r="F45" i="19"/>
  <c r="G45" i="19"/>
  <c r="H45" i="19"/>
  <c r="D46" i="19"/>
  <c r="E46" i="19"/>
  <c r="F46" i="19"/>
  <c r="G46" i="19"/>
  <c r="H46" i="19"/>
  <c r="D47" i="19"/>
  <c r="E47" i="19"/>
  <c r="F47" i="19"/>
  <c r="G47" i="19"/>
  <c r="H47" i="19"/>
  <c r="D48" i="19"/>
  <c r="E48" i="19"/>
  <c r="F48" i="19"/>
  <c r="G48" i="19"/>
  <c r="H48" i="19"/>
  <c r="D49" i="19"/>
  <c r="E49" i="19"/>
  <c r="F49" i="19"/>
  <c r="G49" i="19"/>
  <c r="H49" i="19"/>
  <c r="D50" i="19"/>
  <c r="E50" i="19"/>
  <c r="F50" i="19"/>
  <c r="G50" i="19"/>
  <c r="H50" i="19"/>
  <c r="D51" i="19"/>
  <c r="E51" i="19"/>
  <c r="F51" i="19"/>
  <c r="G51" i="19"/>
  <c r="H51" i="19"/>
  <c r="D52" i="19"/>
  <c r="E52" i="19"/>
  <c r="F52" i="19"/>
  <c r="G52" i="19"/>
  <c r="H52" i="19"/>
  <c r="D53" i="19"/>
  <c r="E53" i="19"/>
  <c r="F53" i="19"/>
  <c r="G53" i="19"/>
  <c r="H53" i="19"/>
  <c r="D54" i="19"/>
  <c r="E54" i="19"/>
  <c r="F54" i="19"/>
  <c r="G54" i="19"/>
  <c r="H54" i="19"/>
  <c r="D55" i="19"/>
  <c r="E55" i="19"/>
  <c r="F55" i="19"/>
  <c r="G55" i="19"/>
  <c r="H55" i="19"/>
  <c r="D56" i="19"/>
  <c r="E56" i="19"/>
  <c r="F56" i="19"/>
  <c r="G56" i="19"/>
  <c r="H56" i="19"/>
  <c r="D57" i="19"/>
  <c r="E57" i="19"/>
  <c r="F57" i="19"/>
  <c r="G57" i="19"/>
  <c r="H57" i="19"/>
  <c r="D58" i="19"/>
  <c r="E58" i="19"/>
  <c r="F58" i="19"/>
  <c r="G58" i="19"/>
  <c r="H58" i="19"/>
  <c r="D59" i="19"/>
  <c r="E59" i="19"/>
  <c r="F59" i="19"/>
  <c r="G59" i="19"/>
  <c r="H59" i="19"/>
  <c r="D60" i="19"/>
  <c r="E60" i="19"/>
  <c r="F60" i="19"/>
  <c r="G60" i="19"/>
  <c r="H60" i="19"/>
  <c r="D61" i="19"/>
  <c r="E61" i="19"/>
  <c r="F61" i="19"/>
  <c r="G61" i="19"/>
  <c r="H61" i="19"/>
  <c r="D62" i="19"/>
  <c r="E62" i="19"/>
  <c r="F62" i="19"/>
  <c r="G62" i="19"/>
  <c r="H62" i="19"/>
  <c r="D63" i="19"/>
  <c r="E63" i="19"/>
  <c r="F63" i="19"/>
  <c r="G63" i="19"/>
  <c r="H63" i="19"/>
  <c r="D64" i="19"/>
  <c r="E64" i="19"/>
  <c r="F64" i="19"/>
  <c r="G64" i="19"/>
  <c r="H64" i="19"/>
  <c r="D65" i="19"/>
  <c r="E65" i="19"/>
  <c r="F65" i="19"/>
  <c r="G65" i="19"/>
  <c r="H65" i="19"/>
  <c r="D66" i="19"/>
  <c r="E66" i="19"/>
  <c r="F66" i="19"/>
  <c r="G66" i="19"/>
  <c r="H66" i="19"/>
  <c r="D67" i="19"/>
  <c r="E67" i="19"/>
  <c r="F67" i="19"/>
  <c r="G67" i="19"/>
  <c r="H67" i="19"/>
  <c r="D68" i="19"/>
  <c r="E68" i="19"/>
  <c r="F68" i="19"/>
  <c r="G68" i="19"/>
  <c r="H68" i="19"/>
  <c r="D69" i="19"/>
  <c r="E69" i="19"/>
  <c r="F69" i="19"/>
  <c r="G69" i="19"/>
  <c r="H69" i="19"/>
  <c r="D70" i="19"/>
  <c r="E70" i="19"/>
  <c r="F70" i="19"/>
  <c r="G70" i="19"/>
  <c r="H70" i="19"/>
  <c r="D71" i="19"/>
  <c r="E71" i="19"/>
  <c r="F71" i="19"/>
  <c r="G71" i="19"/>
  <c r="H71" i="19"/>
  <c r="D72" i="19"/>
  <c r="E72" i="19"/>
  <c r="F72" i="19"/>
  <c r="G72" i="19"/>
  <c r="H72" i="19"/>
  <c r="D73" i="19"/>
  <c r="E73" i="19"/>
  <c r="F73" i="19"/>
  <c r="G73" i="19"/>
  <c r="H73" i="19"/>
  <c r="D74" i="19"/>
  <c r="E74" i="19"/>
  <c r="F74" i="19"/>
  <c r="G74" i="19"/>
  <c r="H74" i="19"/>
  <c r="D75" i="19"/>
  <c r="E75" i="19"/>
  <c r="F75" i="19"/>
  <c r="G75" i="19"/>
  <c r="H75" i="19"/>
  <c r="D76" i="19"/>
  <c r="E76" i="19"/>
  <c r="F76" i="19"/>
  <c r="G76" i="19"/>
  <c r="H76" i="19"/>
  <c r="D77" i="19"/>
  <c r="E77" i="19"/>
  <c r="F77" i="19"/>
  <c r="G77" i="19"/>
  <c r="H77" i="19"/>
  <c r="D78" i="19"/>
  <c r="E78" i="19"/>
  <c r="F78" i="19"/>
  <c r="G78" i="19"/>
  <c r="H78" i="19"/>
  <c r="D79" i="19"/>
  <c r="E79" i="19"/>
  <c r="F79" i="19"/>
  <c r="G79" i="19"/>
  <c r="H79" i="19"/>
  <c r="D80" i="19"/>
  <c r="E80" i="19"/>
  <c r="F80" i="19"/>
  <c r="G80" i="19"/>
  <c r="H80" i="19"/>
  <c r="D81" i="19"/>
  <c r="E81" i="19"/>
  <c r="F81" i="19"/>
  <c r="G81" i="19"/>
  <c r="H81" i="19"/>
  <c r="D82" i="19"/>
  <c r="E82" i="19"/>
  <c r="F82" i="19"/>
  <c r="G82" i="19"/>
  <c r="H82" i="19"/>
  <c r="D83" i="19"/>
  <c r="E83" i="19"/>
  <c r="F83" i="19"/>
  <c r="G83" i="19"/>
  <c r="H83" i="19"/>
  <c r="D84" i="19"/>
  <c r="E84" i="19"/>
  <c r="F84" i="19"/>
  <c r="G84" i="19"/>
  <c r="H84" i="19"/>
  <c r="D85" i="19"/>
  <c r="E85" i="19"/>
  <c r="F85" i="19"/>
  <c r="G85" i="19"/>
  <c r="H85" i="19"/>
  <c r="D86" i="19"/>
  <c r="E86" i="19"/>
  <c r="F86" i="19"/>
  <c r="G86" i="19"/>
  <c r="H86" i="19"/>
  <c r="D87" i="19"/>
  <c r="E87" i="19"/>
  <c r="F87" i="19"/>
  <c r="G87" i="19"/>
  <c r="H87" i="19"/>
  <c r="D88" i="19"/>
  <c r="E88" i="19"/>
  <c r="F88" i="19"/>
  <c r="G88" i="19"/>
  <c r="H88" i="19"/>
  <c r="D89" i="19"/>
  <c r="E89" i="19"/>
  <c r="F89" i="19"/>
  <c r="G89" i="19"/>
  <c r="H89" i="19"/>
  <c r="D90" i="19"/>
  <c r="E90" i="19"/>
  <c r="F90" i="19"/>
  <c r="G90" i="19"/>
  <c r="H90" i="19"/>
  <c r="D91" i="19"/>
  <c r="E91" i="19"/>
  <c r="F91" i="19"/>
  <c r="G91" i="19"/>
  <c r="H91" i="19"/>
  <c r="D92" i="19"/>
  <c r="E92" i="19"/>
  <c r="F92" i="19"/>
  <c r="G92" i="19"/>
  <c r="H92" i="19"/>
  <c r="D93" i="19"/>
  <c r="E93" i="19"/>
  <c r="F93" i="19"/>
  <c r="G93" i="19"/>
  <c r="H93" i="19"/>
  <c r="D94" i="19"/>
  <c r="E94" i="19"/>
  <c r="F94" i="19"/>
  <c r="G94" i="19"/>
  <c r="H94" i="19"/>
  <c r="D95" i="19"/>
  <c r="E95" i="19"/>
  <c r="F95" i="19"/>
  <c r="G95" i="19"/>
  <c r="H95" i="19"/>
  <c r="D96" i="19"/>
  <c r="E96" i="19"/>
  <c r="F96" i="19"/>
  <c r="G96" i="19"/>
  <c r="H96" i="19"/>
  <c r="D97" i="19"/>
  <c r="E97" i="19"/>
  <c r="F97" i="19"/>
  <c r="G97" i="19"/>
  <c r="H97" i="19"/>
  <c r="D98" i="19"/>
  <c r="E98" i="19"/>
  <c r="F98" i="19"/>
  <c r="G98" i="19"/>
  <c r="H98" i="19"/>
  <c r="D99" i="19"/>
  <c r="E99" i="19"/>
  <c r="F99" i="19"/>
  <c r="G99" i="19"/>
  <c r="H99" i="19"/>
  <c r="D100" i="19"/>
  <c r="E100" i="19"/>
  <c r="F100" i="19"/>
  <c r="G100" i="19"/>
  <c r="H100" i="19"/>
  <c r="D101" i="19"/>
  <c r="E101" i="19"/>
  <c r="F101" i="19"/>
  <c r="G101" i="19"/>
  <c r="H101" i="19"/>
  <c r="D102" i="19"/>
  <c r="E102" i="19"/>
  <c r="F102" i="19"/>
  <c r="G102" i="19"/>
  <c r="H102" i="19"/>
  <c r="D103" i="19"/>
  <c r="E103" i="19"/>
  <c r="F103" i="19"/>
  <c r="G103" i="19"/>
  <c r="H103" i="19"/>
  <c r="D104" i="19"/>
  <c r="E104" i="19"/>
  <c r="F104" i="19"/>
  <c r="G104" i="19"/>
  <c r="H104" i="19"/>
  <c r="D105" i="19"/>
  <c r="E105" i="19"/>
  <c r="F105" i="19"/>
  <c r="G105" i="19"/>
  <c r="H105" i="19"/>
  <c r="D106" i="19"/>
  <c r="E106" i="19"/>
  <c r="F106" i="19"/>
  <c r="G106" i="19"/>
  <c r="H106" i="19"/>
  <c r="D107" i="19"/>
  <c r="E107" i="19"/>
  <c r="F107" i="19"/>
  <c r="G107" i="19"/>
  <c r="H107" i="19"/>
  <c r="D108" i="19"/>
  <c r="E108" i="19"/>
  <c r="F108" i="19"/>
  <c r="G108" i="19"/>
  <c r="H108" i="19"/>
  <c r="D109" i="19"/>
  <c r="E109" i="19"/>
  <c r="F109" i="19"/>
  <c r="G109" i="19"/>
  <c r="H109" i="19"/>
  <c r="D110" i="19"/>
  <c r="E110" i="19"/>
  <c r="F110" i="19"/>
  <c r="G110" i="19"/>
  <c r="H110" i="19"/>
  <c r="D111" i="19"/>
  <c r="E111" i="19"/>
  <c r="F111" i="19"/>
  <c r="G111" i="19"/>
  <c r="H111" i="19"/>
  <c r="D112" i="19"/>
  <c r="E112" i="19"/>
  <c r="F112" i="19"/>
  <c r="G112" i="19"/>
  <c r="H112" i="19"/>
  <c r="D113" i="19"/>
  <c r="E113" i="19"/>
  <c r="F113" i="19"/>
  <c r="G113" i="19"/>
  <c r="H113" i="19"/>
  <c r="D114" i="19"/>
  <c r="E114" i="19"/>
  <c r="F114" i="19"/>
  <c r="G114" i="19"/>
  <c r="H114" i="19"/>
  <c r="D115" i="19"/>
  <c r="E115" i="19"/>
  <c r="F115" i="19"/>
  <c r="G115" i="19"/>
  <c r="H115" i="19"/>
  <c r="D116" i="19"/>
  <c r="E116" i="19"/>
  <c r="F116" i="19"/>
  <c r="G116" i="19"/>
  <c r="H116" i="19"/>
  <c r="D117" i="19"/>
  <c r="E117" i="19"/>
  <c r="F117" i="19"/>
  <c r="G117" i="19"/>
  <c r="H117" i="19"/>
  <c r="D118" i="19"/>
  <c r="E118" i="19"/>
  <c r="F118" i="19"/>
  <c r="G118" i="19"/>
  <c r="H118" i="19"/>
  <c r="D119" i="19"/>
  <c r="E119" i="19"/>
  <c r="F119" i="19"/>
  <c r="G119" i="19"/>
  <c r="H119" i="19"/>
  <c r="D120" i="19"/>
  <c r="E120" i="19"/>
  <c r="F120" i="19"/>
  <c r="G120" i="19"/>
  <c r="H120" i="19"/>
  <c r="D121" i="19"/>
  <c r="E121" i="19"/>
  <c r="F121" i="19"/>
  <c r="G121" i="19"/>
  <c r="H121" i="19"/>
  <c r="D122" i="19"/>
  <c r="E122" i="19"/>
  <c r="F122" i="19"/>
  <c r="G122" i="19"/>
  <c r="H122" i="19"/>
  <c r="D123" i="19"/>
  <c r="E123" i="19"/>
  <c r="F123" i="19"/>
  <c r="G123" i="19"/>
  <c r="H123" i="19"/>
  <c r="D124" i="19"/>
  <c r="E124" i="19"/>
  <c r="F124" i="19"/>
  <c r="G124" i="19"/>
  <c r="H124" i="19"/>
  <c r="D125" i="19"/>
  <c r="E125" i="19"/>
  <c r="F125" i="19"/>
  <c r="G125" i="19"/>
  <c r="H125" i="19"/>
  <c r="D126" i="19"/>
  <c r="E126" i="19"/>
  <c r="F126" i="19"/>
  <c r="G126" i="19"/>
  <c r="H126" i="19"/>
  <c r="D127" i="19"/>
  <c r="E127" i="19"/>
  <c r="F127" i="19"/>
  <c r="G127" i="19"/>
  <c r="H127" i="19"/>
  <c r="D128" i="19"/>
  <c r="E128" i="19"/>
  <c r="F128" i="19"/>
  <c r="G128" i="19"/>
  <c r="H128" i="19"/>
  <c r="D129" i="19"/>
  <c r="E129" i="19"/>
  <c r="F129" i="19"/>
  <c r="G129" i="19"/>
  <c r="H129" i="19"/>
  <c r="D130" i="19"/>
  <c r="E130" i="19"/>
  <c r="F130" i="19"/>
  <c r="G130" i="19"/>
  <c r="H130" i="19"/>
  <c r="D131" i="19"/>
  <c r="E131" i="19"/>
  <c r="F131" i="19"/>
  <c r="G131" i="19"/>
  <c r="H131" i="19"/>
  <c r="D132" i="19"/>
  <c r="E132" i="19"/>
  <c r="F132" i="19"/>
  <c r="G132" i="19"/>
  <c r="H132" i="19"/>
  <c r="D133" i="19"/>
  <c r="E133" i="19"/>
  <c r="F133" i="19"/>
  <c r="G133" i="19"/>
  <c r="H133" i="19"/>
  <c r="D134" i="19"/>
  <c r="E134" i="19"/>
  <c r="F134" i="19"/>
  <c r="G134" i="19"/>
  <c r="H134" i="19"/>
  <c r="D135" i="19"/>
  <c r="E135" i="19"/>
  <c r="F135" i="19"/>
  <c r="G135" i="19"/>
  <c r="H135" i="19"/>
  <c r="D136" i="19"/>
  <c r="E136" i="19"/>
  <c r="F136" i="19"/>
  <c r="G136" i="19"/>
  <c r="H136" i="19"/>
  <c r="D137" i="19"/>
  <c r="E137" i="19"/>
  <c r="F137" i="19"/>
  <c r="G137" i="19"/>
  <c r="H137" i="19"/>
  <c r="D138" i="19"/>
  <c r="E138" i="19"/>
  <c r="F138" i="19"/>
  <c r="G138" i="19"/>
  <c r="H138" i="19"/>
  <c r="D139" i="19"/>
  <c r="E139" i="19"/>
  <c r="F139" i="19"/>
  <c r="G139" i="19"/>
  <c r="H139" i="19"/>
  <c r="D140" i="19"/>
  <c r="E140" i="19"/>
  <c r="F140" i="19"/>
  <c r="G140" i="19"/>
  <c r="H140" i="19"/>
  <c r="D141" i="19"/>
  <c r="E141" i="19"/>
  <c r="F141" i="19"/>
  <c r="G141" i="19"/>
  <c r="H141" i="19"/>
  <c r="D142" i="19"/>
  <c r="E142" i="19"/>
  <c r="F142" i="19"/>
  <c r="G142" i="19"/>
  <c r="H142" i="19"/>
  <c r="D143" i="19"/>
  <c r="E143" i="19"/>
  <c r="F143" i="19"/>
  <c r="G143" i="19"/>
  <c r="H143" i="19"/>
  <c r="D144" i="19"/>
  <c r="E144" i="19"/>
  <c r="F144" i="19"/>
  <c r="G144" i="19"/>
  <c r="H144" i="19"/>
  <c r="D145" i="19"/>
  <c r="E145" i="19"/>
  <c r="F145" i="19"/>
  <c r="G145" i="19"/>
  <c r="H145" i="19"/>
  <c r="D146" i="19"/>
  <c r="E146" i="19"/>
  <c r="F146" i="19"/>
  <c r="G146" i="19"/>
  <c r="H146" i="19"/>
  <c r="D147" i="19"/>
  <c r="E147" i="19"/>
  <c r="F147" i="19"/>
  <c r="G147" i="19"/>
  <c r="H147" i="19"/>
  <c r="D148" i="19"/>
  <c r="E148" i="19"/>
  <c r="F148" i="19"/>
  <c r="G148" i="19"/>
  <c r="H148" i="19"/>
  <c r="D149" i="19"/>
  <c r="E149" i="19"/>
  <c r="F149" i="19"/>
  <c r="G149" i="19"/>
  <c r="H149" i="19"/>
  <c r="D150" i="19"/>
  <c r="E150" i="19"/>
  <c r="F150" i="19"/>
  <c r="G150" i="19"/>
  <c r="H150" i="19"/>
  <c r="D151" i="19"/>
  <c r="E151" i="19"/>
  <c r="F151" i="19"/>
  <c r="G151" i="19"/>
  <c r="H151" i="19"/>
  <c r="D152" i="19"/>
  <c r="E152" i="19"/>
  <c r="F152" i="19"/>
  <c r="G152" i="19"/>
  <c r="H152" i="19"/>
  <c r="D153" i="19"/>
  <c r="E153" i="19"/>
  <c r="F153" i="19"/>
  <c r="G153" i="19"/>
  <c r="H153" i="19"/>
  <c r="D154" i="19"/>
  <c r="E154" i="19"/>
  <c r="F154" i="19"/>
  <c r="G154" i="19"/>
  <c r="H154" i="19"/>
  <c r="D155" i="19"/>
  <c r="E155" i="19"/>
  <c r="F155" i="19"/>
  <c r="G155" i="19"/>
  <c r="H155" i="19"/>
  <c r="D156" i="19"/>
  <c r="E156" i="19"/>
  <c r="F156" i="19"/>
  <c r="G156" i="19"/>
  <c r="H156" i="19"/>
  <c r="D157" i="19"/>
  <c r="E157" i="19"/>
  <c r="F157" i="19"/>
  <c r="G157" i="19"/>
  <c r="H157" i="19"/>
  <c r="D158" i="19"/>
  <c r="E158" i="19"/>
  <c r="F158" i="19"/>
  <c r="G158" i="19"/>
  <c r="H158" i="19"/>
  <c r="D159" i="19"/>
  <c r="E159" i="19"/>
  <c r="F159" i="19"/>
  <c r="G159" i="19"/>
  <c r="H159" i="19"/>
  <c r="D160" i="19"/>
  <c r="E160" i="19"/>
  <c r="F160" i="19"/>
  <c r="G160" i="19"/>
  <c r="H160" i="19"/>
  <c r="D161" i="19"/>
  <c r="E161" i="19"/>
  <c r="F161" i="19"/>
  <c r="G161" i="19"/>
  <c r="H161" i="19"/>
  <c r="D162" i="19"/>
  <c r="E162" i="19"/>
  <c r="F162" i="19"/>
  <c r="G162" i="19"/>
  <c r="H162" i="19"/>
  <c r="D163" i="19"/>
  <c r="E163" i="19"/>
  <c r="F163" i="19"/>
  <c r="G163" i="19"/>
  <c r="H163" i="19"/>
  <c r="D164" i="19"/>
  <c r="E164" i="19"/>
  <c r="F164" i="19"/>
  <c r="G164" i="19"/>
  <c r="H164" i="19"/>
  <c r="D165" i="19"/>
  <c r="E165" i="19"/>
  <c r="F165" i="19"/>
  <c r="G165" i="19"/>
  <c r="H165" i="19"/>
  <c r="D166" i="19"/>
  <c r="E166" i="19"/>
  <c r="F166" i="19"/>
  <c r="G166" i="19"/>
  <c r="H166" i="19"/>
  <c r="D167" i="19"/>
  <c r="E167" i="19"/>
  <c r="F167" i="19"/>
  <c r="G167" i="19"/>
  <c r="H167" i="19"/>
  <c r="D168" i="19"/>
  <c r="E168" i="19"/>
  <c r="F168" i="19"/>
  <c r="G168" i="19"/>
  <c r="H168" i="19"/>
  <c r="D169" i="19"/>
  <c r="E169" i="19"/>
  <c r="F169" i="19"/>
  <c r="G169" i="19"/>
  <c r="H169" i="19"/>
  <c r="D170" i="19"/>
  <c r="E170" i="19"/>
  <c r="F170" i="19"/>
  <c r="G170" i="19"/>
  <c r="H170" i="19"/>
  <c r="D171" i="19"/>
  <c r="E171" i="19"/>
  <c r="F171" i="19"/>
  <c r="G171" i="19"/>
  <c r="H171" i="19"/>
  <c r="D172" i="19"/>
  <c r="E172" i="19"/>
  <c r="F172" i="19"/>
  <c r="G172" i="19"/>
  <c r="H172" i="19"/>
  <c r="D173" i="19"/>
  <c r="E173" i="19"/>
  <c r="F173" i="19"/>
  <c r="G173" i="19"/>
  <c r="H173" i="19"/>
  <c r="D174" i="19"/>
  <c r="E174" i="19"/>
  <c r="F174" i="19"/>
  <c r="G174" i="19"/>
  <c r="H174" i="19"/>
  <c r="D175" i="19"/>
  <c r="E175" i="19"/>
  <c r="F175" i="19"/>
  <c r="G175" i="19"/>
  <c r="H175" i="19"/>
  <c r="D176" i="19"/>
  <c r="E176" i="19"/>
  <c r="F176" i="19"/>
  <c r="G176" i="19"/>
  <c r="H176" i="19"/>
  <c r="D177" i="19"/>
  <c r="E177" i="19"/>
  <c r="F177" i="19"/>
  <c r="G177" i="19"/>
  <c r="H177" i="19"/>
  <c r="D178" i="19"/>
  <c r="E178" i="19"/>
  <c r="F178" i="19"/>
  <c r="G178" i="19"/>
  <c r="H178" i="19"/>
  <c r="D179" i="19"/>
  <c r="E179" i="19"/>
  <c r="F179" i="19"/>
  <c r="G179" i="19"/>
  <c r="H179" i="19"/>
  <c r="D180" i="19"/>
  <c r="E180" i="19"/>
  <c r="F180" i="19"/>
  <c r="G180" i="19"/>
  <c r="H180" i="19"/>
  <c r="D181" i="19"/>
  <c r="E181" i="19"/>
  <c r="F181" i="19"/>
  <c r="G181" i="19"/>
  <c r="H181" i="19"/>
  <c r="D182" i="19"/>
  <c r="E182" i="19"/>
  <c r="F182" i="19"/>
  <c r="G182" i="19"/>
  <c r="H182" i="19"/>
  <c r="D183" i="19"/>
  <c r="E183" i="19"/>
  <c r="F183" i="19"/>
  <c r="G183" i="19"/>
  <c r="H183" i="19"/>
  <c r="D184" i="19"/>
  <c r="E184" i="19"/>
  <c r="F184" i="19"/>
  <c r="G184" i="19"/>
  <c r="H184" i="19"/>
  <c r="D185" i="19"/>
  <c r="E185" i="19"/>
  <c r="F185" i="19"/>
  <c r="G185" i="19"/>
  <c r="H185" i="19"/>
  <c r="D186" i="19"/>
  <c r="E186" i="19"/>
  <c r="F186" i="19"/>
  <c r="G186" i="19"/>
  <c r="H186" i="19"/>
  <c r="D187" i="19"/>
  <c r="E187" i="19"/>
  <c r="F187" i="19"/>
  <c r="G187" i="19"/>
  <c r="H187" i="19"/>
  <c r="D188" i="19"/>
  <c r="E188" i="19"/>
  <c r="F188" i="19"/>
  <c r="G188" i="19"/>
  <c r="H188" i="19"/>
  <c r="D189" i="19"/>
  <c r="E189" i="19"/>
  <c r="F189" i="19"/>
  <c r="G189" i="19"/>
  <c r="H189" i="19"/>
  <c r="D190" i="19"/>
  <c r="E190" i="19"/>
  <c r="F190" i="19"/>
  <c r="G190" i="19"/>
  <c r="H190" i="19"/>
  <c r="D191" i="19"/>
  <c r="E191" i="19"/>
  <c r="F191" i="19"/>
  <c r="G191" i="19"/>
  <c r="H191" i="19"/>
  <c r="D192" i="19"/>
  <c r="E192" i="19"/>
  <c r="F192" i="19"/>
  <c r="G192" i="19"/>
  <c r="H192" i="19"/>
  <c r="D193" i="19"/>
  <c r="E193" i="19"/>
  <c r="F193" i="19"/>
  <c r="G193" i="19"/>
  <c r="H193" i="19"/>
  <c r="D194" i="19"/>
  <c r="E194" i="19"/>
  <c r="F194" i="19"/>
  <c r="G194" i="19"/>
  <c r="H194" i="19"/>
  <c r="D195" i="19"/>
  <c r="E195" i="19"/>
  <c r="F195" i="19"/>
  <c r="G195" i="19"/>
  <c r="H195" i="19"/>
  <c r="D196" i="19"/>
  <c r="E196" i="19"/>
  <c r="F196" i="19"/>
  <c r="G196" i="19"/>
  <c r="H196" i="19"/>
  <c r="D197" i="19"/>
  <c r="E197" i="19"/>
  <c r="F197" i="19"/>
  <c r="G197" i="19"/>
  <c r="H197" i="19"/>
  <c r="D198" i="19"/>
  <c r="E198" i="19"/>
  <c r="F198" i="19"/>
  <c r="G198" i="19"/>
  <c r="H198" i="19"/>
  <c r="D199" i="19"/>
  <c r="E199" i="19"/>
  <c r="F199" i="19"/>
  <c r="G199" i="19"/>
  <c r="H199" i="19"/>
  <c r="D200" i="19"/>
  <c r="E200" i="19"/>
  <c r="F200" i="19"/>
  <c r="G200" i="19"/>
  <c r="H200" i="19"/>
  <c r="D201" i="19"/>
  <c r="E201" i="19"/>
  <c r="F201" i="19"/>
  <c r="G201" i="19"/>
  <c r="H201" i="19"/>
  <c r="D202" i="19"/>
  <c r="E202" i="19"/>
  <c r="F202" i="19"/>
  <c r="G202" i="19"/>
  <c r="H202" i="19"/>
  <c r="D203" i="19"/>
  <c r="E203" i="19"/>
  <c r="F203" i="19"/>
  <c r="G203" i="19"/>
  <c r="H203" i="19"/>
  <c r="D204" i="19"/>
  <c r="E204" i="19"/>
  <c r="F204" i="19"/>
  <c r="G204" i="19"/>
  <c r="H204" i="19"/>
  <c r="D205" i="19"/>
  <c r="E205" i="19"/>
  <c r="F205" i="19"/>
  <c r="G205" i="19"/>
  <c r="H205" i="19"/>
  <c r="D206" i="19"/>
  <c r="E206" i="19"/>
  <c r="F206" i="19"/>
  <c r="G206" i="19"/>
  <c r="H206" i="19"/>
  <c r="D207" i="19"/>
  <c r="E207" i="19"/>
  <c r="F207" i="19"/>
  <c r="G207" i="19"/>
  <c r="H207" i="19"/>
  <c r="D208" i="19"/>
  <c r="E208" i="19"/>
  <c r="F208" i="19"/>
  <c r="G208" i="19"/>
  <c r="H208" i="19"/>
  <c r="D209" i="19"/>
  <c r="E209" i="19"/>
  <c r="F209" i="19"/>
  <c r="G209" i="19"/>
  <c r="H209" i="19"/>
  <c r="D210" i="19"/>
  <c r="E210" i="19"/>
  <c r="F210" i="19"/>
  <c r="G210" i="19"/>
  <c r="H210" i="19"/>
  <c r="D211" i="19"/>
  <c r="E211" i="19"/>
  <c r="F211" i="19"/>
  <c r="G211" i="19"/>
  <c r="H211" i="19"/>
  <c r="D212" i="19"/>
  <c r="E212" i="19"/>
  <c r="F212" i="19"/>
  <c r="G212" i="19"/>
  <c r="H212" i="19"/>
  <c r="D213" i="19"/>
  <c r="E213" i="19"/>
  <c r="F213" i="19"/>
  <c r="G213" i="19"/>
  <c r="H213" i="19"/>
  <c r="D214" i="19"/>
  <c r="E214" i="19"/>
  <c r="F214" i="19"/>
  <c r="G214" i="19"/>
  <c r="H214" i="19"/>
  <c r="D215" i="19"/>
  <c r="E215" i="19"/>
  <c r="F215" i="19"/>
  <c r="G215" i="19"/>
  <c r="H215" i="19"/>
  <c r="D216" i="19"/>
  <c r="E216" i="19"/>
  <c r="F216" i="19"/>
  <c r="G216" i="19"/>
  <c r="H216" i="19"/>
  <c r="D217" i="19"/>
  <c r="E217" i="19"/>
  <c r="F217" i="19"/>
  <c r="G217" i="19"/>
  <c r="H217" i="19"/>
  <c r="D218" i="19"/>
  <c r="E218" i="19"/>
  <c r="F218" i="19"/>
  <c r="G218" i="19"/>
  <c r="H218" i="19"/>
  <c r="D219" i="19"/>
  <c r="E219" i="19"/>
  <c r="F219" i="19"/>
  <c r="G219" i="19"/>
  <c r="H219" i="19"/>
  <c r="D220" i="19"/>
  <c r="E220" i="19"/>
  <c r="F220" i="19"/>
  <c r="G220" i="19"/>
  <c r="H220" i="19"/>
  <c r="D221" i="19"/>
  <c r="E221" i="19"/>
  <c r="F221" i="19"/>
  <c r="G221" i="19"/>
  <c r="H221" i="19"/>
  <c r="D222" i="19"/>
  <c r="E222" i="19"/>
  <c r="F222" i="19"/>
  <c r="G222" i="19"/>
  <c r="H222" i="19"/>
  <c r="D223" i="19"/>
  <c r="E223" i="19"/>
  <c r="F223" i="19"/>
  <c r="G223" i="19"/>
  <c r="H223" i="19"/>
  <c r="D224" i="19"/>
  <c r="E224" i="19"/>
  <c r="F224" i="19"/>
  <c r="G224" i="19"/>
  <c r="H224" i="19"/>
  <c r="D225" i="19"/>
  <c r="E225" i="19"/>
  <c r="F225" i="19"/>
  <c r="G225" i="19"/>
  <c r="H225" i="19"/>
  <c r="D226" i="19"/>
  <c r="E226" i="19"/>
  <c r="F226" i="19"/>
  <c r="G226" i="19"/>
  <c r="H226" i="19"/>
  <c r="D227" i="19"/>
  <c r="E227" i="19"/>
  <c r="F227" i="19"/>
  <c r="G227" i="19"/>
  <c r="H227" i="19"/>
  <c r="D228" i="19"/>
  <c r="E228" i="19"/>
  <c r="F228" i="19"/>
  <c r="G228" i="19"/>
  <c r="H228" i="19"/>
  <c r="D229" i="19"/>
  <c r="E229" i="19"/>
  <c r="F229" i="19"/>
  <c r="G229" i="19"/>
  <c r="H229" i="19"/>
  <c r="D230" i="19"/>
  <c r="E230" i="19"/>
  <c r="F230" i="19"/>
  <c r="G230" i="19"/>
  <c r="H230" i="19"/>
  <c r="D231" i="19"/>
  <c r="E231" i="19"/>
  <c r="F231" i="19"/>
  <c r="G231" i="19"/>
  <c r="H231" i="19"/>
  <c r="D232" i="19"/>
  <c r="E232" i="19"/>
  <c r="F232" i="19"/>
  <c r="G232" i="19"/>
  <c r="H232" i="19"/>
  <c r="D233" i="19"/>
  <c r="E233" i="19"/>
  <c r="F233" i="19"/>
  <c r="G233" i="19"/>
  <c r="H233" i="19"/>
  <c r="D234" i="19"/>
  <c r="E234" i="19"/>
  <c r="F234" i="19"/>
  <c r="G234" i="19"/>
  <c r="H234" i="19"/>
  <c r="D235" i="19"/>
  <c r="E235" i="19"/>
  <c r="F235" i="19"/>
  <c r="G235" i="19"/>
  <c r="H235" i="19"/>
  <c r="D236" i="19"/>
  <c r="E236" i="19"/>
  <c r="F236" i="19"/>
  <c r="G236" i="19"/>
  <c r="H236" i="19"/>
  <c r="D237" i="19"/>
  <c r="E237" i="19"/>
  <c r="F237" i="19"/>
  <c r="G237" i="19"/>
  <c r="H237" i="19"/>
  <c r="D238" i="19"/>
  <c r="E238" i="19"/>
  <c r="F238" i="19"/>
  <c r="G238" i="19"/>
  <c r="H238" i="19"/>
  <c r="D239" i="19"/>
  <c r="E239" i="19"/>
  <c r="F239" i="19"/>
  <c r="G239" i="19"/>
  <c r="H239" i="19"/>
  <c r="D240" i="19"/>
  <c r="E240" i="19"/>
  <c r="F240" i="19"/>
  <c r="G240" i="19"/>
  <c r="H240" i="19"/>
  <c r="D241" i="19"/>
  <c r="E241" i="19"/>
  <c r="F241" i="19"/>
  <c r="G241" i="19"/>
  <c r="H241" i="19"/>
  <c r="D242" i="19"/>
  <c r="E242" i="19"/>
  <c r="F242" i="19"/>
  <c r="G242" i="19"/>
  <c r="H242" i="19"/>
  <c r="D243" i="19"/>
  <c r="E243" i="19"/>
  <c r="F243" i="19"/>
  <c r="G243" i="19"/>
  <c r="H243" i="19"/>
  <c r="D244" i="19"/>
  <c r="E244" i="19"/>
  <c r="F244" i="19"/>
  <c r="G244" i="19"/>
  <c r="H244" i="19"/>
  <c r="D245" i="19"/>
  <c r="E245" i="19"/>
  <c r="F245" i="19"/>
  <c r="G245" i="19"/>
  <c r="H245" i="19"/>
  <c r="D246" i="19"/>
  <c r="E246" i="19"/>
  <c r="F246" i="19"/>
  <c r="G246" i="19"/>
  <c r="H246" i="19"/>
  <c r="D247" i="19"/>
  <c r="E247" i="19"/>
  <c r="F247" i="19"/>
  <c r="G247" i="19"/>
  <c r="H247" i="19"/>
  <c r="D248" i="19"/>
  <c r="E248" i="19"/>
  <c r="F248" i="19"/>
  <c r="G248" i="19"/>
  <c r="H248" i="19"/>
  <c r="D249" i="19"/>
  <c r="E249" i="19"/>
  <c r="F249" i="19"/>
  <c r="G249" i="19"/>
  <c r="H249" i="19"/>
  <c r="D250" i="19"/>
  <c r="E250" i="19"/>
  <c r="F250" i="19"/>
  <c r="G250" i="19"/>
  <c r="H250" i="19"/>
  <c r="D251" i="19"/>
  <c r="E251" i="19"/>
  <c r="F251" i="19"/>
  <c r="G251" i="19"/>
  <c r="H251" i="19"/>
  <c r="D252" i="19"/>
  <c r="E252" i="19"/>
  <c r="F252" i="19"/>
  <c r="G252" i="19"/>
  <c r="H252" i="19"/>
  <c r="D253" i="19"/>
  <c r="E253" i="19"/>
  <c r="F253" i="19"/>
  <c r="G253" i="19"/>
  <c r="H253" i="19"/>
  <c r="D254" i="19"/>
  <c r="E254" i="19"/>
  <c r="F254" i="19"/>
  <c r="G254" i="19"/>
  <c r="H254" i="19"/>
  <c r="D255" i="19"/>
  <c r="E255" i="19"/>
  <c r="F255" i="19"/>
  <c r="G255" i="19"/>
  <c r="H255" i="19"/>
  <c r="D256" i="19"/>
  <c r="E256" i="19"/>
  <c r="F256" i="19"/>
  <c r="G256" i="19"/>
  <c r="H256" i="19"/>
  <c r="D257" i="19"/>
  <c r="E257" i="19"/>
  <c r="F257" i="19"/>
  <c r="G257" i="19"/>
  <c r="H257" i="19"/>
  <c r="D258" i="19"/>
  <c r="E258" i="19"/>
  <c r="F258" i="19"/>
  <c r="G258" i="19"/>
  <c r="H258" i="19"/>
  <c r="D259" i="19"/>
  <c r="E259" i="19"/>
  <c r="F259" i="19"/>
  <c r="G259" i="19"/>
  <c r="H259" i="19"/>
  <c r="D260" i="19"/>
  <c r="E260" i="19"/>
  <c r="F260" i="19"/>
  <c r="G260" i="19"/>
  <c r="H260" i="19"/>
  <c r="D261" i="19"/>
  <c r="E261" i="19"/>
  <c r="F261" i="19"/>
  <c r="G261" i="19"/>
  <c r="H261" i="19"/>
  <c r="D262" i="19"/>
  <c r="E262" i="19"/>
  <c r="F262" i="19"/>
  <c r="G262" i="19"/>
  <c r="H262" i="19"/>
  <c r="D263" i="19"/>
  <c r="E263" i="19"/>
  <c r="F263" i="19"/>
  <c r="G263" i="19"/>
  <c r="H263" i="19"/>
  <c r="D264" i="19"/>
  <c r="E264" i="19"/>
  <c r="F264" i="19"/>
  <c r="G264" i="19"/>
  <c r="H264" i="19"/>
  <c r="D265" i="19"/>
  <c r="E265" i="19"/>
  <c r="F265" i="19"/>
  <c r="G265" i="19"/>
  <c r="H265" i="19"/>
  <c r="D266" i="19"/>
  <c r="E266" i="19"/>
  <c r="F266" i="19"/>
  <c r="G266" i="19"/>
  <c r="H266" i="19"/>
  <c r="D267" i="19"/>
  <c r="E267" i="19"/>
  <c r="F267" i="19"/>
  <c r="G267" i="19"/>
  <c r="H267" i="19"/>
  <c r="D268" i="19"/>
  <c r="E268" i="19"/>
  <c r="F268" i="19"/>
  <c r="G268" i="19"/>
  <c r="H268" i="19"/>
  <c r="D269" i="19"/>
  <c r="E269" i="19"/>
  <c r="F269" i="19"/>
  <c r="G269" i="19"/>
  <c r="H269" i="19"/>
  <c r="D270" i="19"/>
  <c r="E270" i="19"/>
  <c r="F270" i="19"/>
  <c r="G270" i="19"/>
  <c r="H270" i="19"/>
  <c r="D271" i="19"/>
  <c r="E271" i="19"/>
  <c r="F271" i="19"/>
  <c r="G271" i="19"/>
  <c r="H271" i="19"/>
  <c r="D272" i="19"/>
  <c r="E272" i="19"/>
  <c r="F272" i="19"/>
  <c r="G272" i="19"/>
  <c r="H272" i="19"/>
  <c r="D273" i="19"/>
  <c r="E273" i="19"/>
  <c r="F273" i="19"/>
  <c r="G273" i="19"/>
  <c r="H273" i="19"/>
  <c r="D274" i="19"/>
  <c r="E274" i="19"/>
  <c r="F274" i="19"/>
  <c r="G274" i="19"/>
  <c r="H274" i="19"/>
  <c r="D275" i="19"/>
  <c r="E275" i="19"/>
  <c r="F275" i="19"/>
  <c r="G275" i="19"/>
  <c r="H275" i="19"/>
  <c r="D276" i="19"/>
  <c r="E276" i="19"/>
  <c r="F276" i="19"/>
  <c r="G276" i="19"/>
  <c r="H276" i="19"/>
  <c r="D277" i="19"/>
  <c r="E277" i="19"/>
  <c r="F277" i="19"/>
  <c r="G277" i="19"/>
  <c r="H277" i="19"/>
  <c r="D278" i="19"/>
  <c r="E278" i="19"/>
  <c r="F278" i="19"/>
  <c r="G278" i="19"/>
  <c r="H278" i="19"/>
  <c r="D279" i="19"/>
  <c r="E279" i="19"/>
  <c r="F279" i="19"/>
  <c r="G279" i="19"/>
  <c r="H279" i="19"/>
  <c r="D280" i="19"/>
  <c r="E280" i="19"/>
  <c r="F280" i="19"/>
  <c r="G280" i="19"/>
  <c r="H280" i="19"/>
  <c r="D281" i="19"/>
  <c r="E281" i="19"/>
  <c r="F281" i="19"/>
  <c r="G281" i="19"/>
  <c r="H281" i="19"/>
  <c r="D282" i="19"/>
  <c r="E282" i="19"/>
  <c r="F282" i="19"/>
  <c r="G282" i="19"/>
  <c r="H282" i="19"/>
  <c r="D283" i="19"/>
  <c r="E283" i="19"/>
  <c r="F283" i="19"/>
  <c r="G283" i="19"/>
  <c r="H283" i="19"/>
  <c r="D284" i="19"/>
  <c r="E284" i="19"/>
  <c r="F284" i="19"/>
  <c r="G284" i="19"/>
  <c r="H284" i="19"/>
  <c r="D285" i="19"/>
  <c r="E285" i="19"/>
  <c r="F285" i="19"/>
  <c r="G285" i="19"/>
  <c r="H285" i="19"/>
  <c r="D286" i="19"/>
  <c r="E286" i="19"/>
  <c r="F286" i="19"/>
  <c r="G286" i="19"/>
  <c r="H286" i="19"/>
  <c r="D287" i="19"/>
  <c r="E287" i="19"/>
  <c r="F287" i="19"/>
  <c r="G287" i="19"/>
  <c r="H287" i="19"/>
  <c r="D288" i="19"/>
  <c r="E288" i="19"/>
  <c r="F288" i="19"/>
  <c r="G288" i="19"/>
  <c r="H288" i="19"/>
  <c r="D289" i="19"/>
  <c r="E289" i="19"/>
  <c r="F289" i="19"/>
  <c r="G289" i="19"/>
  <c r="H289" i="19"/>
  <c r="D290" i="19"/>
  <c r="E290" i="19"/>
  <c r="F290" i="19"/>
  <c r="G290" i="19"/>
  <c r="H290" i="19"/>
  <c r="D291" i="19"/>
  <c r="E291" i="19"/>
  <c r="F291" i="19"/>
  <c r="G291" i="19"/>
  <c r="H291" i="19"/>
  <c r="D292" i="19"/>
  <c r="E292" i="19"/>
  <c r="F292" i="19"/>
  <c r="G292" i="19"/>
  <c r="H292" i="19"/>
  <c r="D293" i="19"/>
  <c r="E293" i="19"/>
  <c r="F293" i="19"/>
  <c r="G293" i="19"/>
  <c r="H293" i="19"/>
  <c r="D294" i="19"/>
  <c r="E294" i="19"/>
  <c r="F294" i="19"/>
  <c r="G294" i="19"/>
  <c r="H294" i="19"/>
  <c r="D295" i="19"/>
  <c r="E295" i="19"/>
  <c r="F295" i="19"/>
  <c r="G295" i="19"/>
  <c r="H295" i="19"/>
  <c r="D296" i="19"/>
  <c r="E296" i="19"/>
  <c r="F296" i="19"/>
  <c r="G296" i="19"/>
  <c r="H296" i="19"/>
  <c r="D297" i="19"/>
  <c r="E297" i="19"/>
  <c r="F297" i="19"/>
  <c r="G297" i="19"/>
  <c r="H297" i="19"/>
  <c r="D298" i="19"/>
  <c r="E298" i="19"/>
  <c r="F298" i="19"/>
  <c r="G298" i="19"/>
  <c r="H298" i="19"/>
  <c r="D299" i="19"/>
  <c r="E299" i="19"/>
  <c r="F299" i="19"/>
  <c r="G299" i="19"/>
  <c r="H299" i="19"/>
  <c r="D300" i="19"/>
  <c r="E300" i="19"/>
  <c r="F300" i="19"/>
  <c r="G300" i="19"/>
  <c r="H300" i="19"/>
  <c r="D301" i="19"/>
  <c r="E301" i="19"/>
  <c r="F301" i="19"/>
  <c r="G301" i="19"/>
  <c r="H301" i="19"/>
  <c r="D302" i="19"/>
  <c r="E302" i="19"/>
  <c r="F302" i="19"/>
  <c r="G302" i="19"/>
  <c r="H302" i="19"/>
  <c r="D303" i="19"/>
  <c r="E303" i="19"/>
  <c r="F303" i="19"/>
  <c r="G303" i="19"/>
  <c r="H303" i="19"/>
  <c r="D304" i="19"/>
  <c r="E304" i="19"/>
  <c r="F304" i="19"/>
  <c r="G304" i="19"/>
  <c r="H304" i="19"/>
  <c r="D305" i="19"/>
  <c r="E305" i="19"/>
  <c r="F305" i="19"/>
  <c r="G305" i="19"/>
  <c r="H305" i="19"/>
  <c r="D306" i="19"/>
  <c r="E306" i="19"/>
  <c r="F306" i="19"/>
  <c r="G306" i="19"/>
  <c r="H306" i="19"/>
  <c r="D307" i="19"/>
  <c r="E307" i="19"/>
  <c r="F307" i="19"/>
  <c r="G307" i="19"/>
  <c r="H307" i="19"/>
  <c r="D308" i="19"/>
  <c r="E308" i="19"/>
  <c r="F308" i="19"/>
  <c r="G308" i="19"/>
  <c r="H308" i="19"/>
  <c r="D309" i="19"/>
  <c r="E309" i="19"/>
  <c r="F309" i="19"/>
  <c r="G309" i="19"/>
  <c r="H309" i="19"/>
  <c r="D310" i="19"/>
  <c r="E310" i="19"/>
  <c r="F310" i="19"/>
  <c r="G310" i="19"/>
  <c r="H310" i="19"/>
  <c r="D311" i="19"/>
  <c r="E311" i="19"/>
  <c r="F311" i="19"/>
  <c r="G311" i="19"/>
  <c r="H311" i="19"/>
  <c r="D312" i="19"/>
  <c r="E312" i="19"/>
  <c r="F312" i="19"/>
  <c r="G312" i="19"/>
  <c r="H312" i="19"/>
  <c r="D313" i="19"/>
  <c r="E313" i="19"/>
  <c r="F313" i="19"/>
  <c r="G313" i="19"/>
  <c r="H313" i="19"/>
  <c r="D314" i="19"/>
  <c r="E314" i="19"/>
  <c r="F314" i="19"/>
  <c r="G314" i="19"/>
  <c r="H314" i="19"/>
  <c r="D315" i="19"/>
  <c r="E315" i="19"/>
  <c r="F315" i="19"/>
  <c r="G315" i="19"/>
  <c r="H315" i="19"/>
  <c r="D316" i="19"/>
  <c r="E316" i="19"/>
  <c r="F316" i="19"/>
  <c r="G316" i="19"/>
  <c r="H316" i="19"/>
  <c r="D317" i="19"/>
  <c r="E317" i="19"/>
  <c r="F317" i="19"/>
  <c r="G317" i="19"/>
  <c r="H317" i="19"/>
  <c r="D318" i="19"/>
  <c r="E318" i="19"/>
  <c r="F318" i="19"/>
  <c r="G318" i="19"/>
  <c r="H318" i="19"/>
  <c r="D319" i="19"/>
  <c r="E319" i="19"/>
  <c r="F319" i="19"/>
  <c r="G319" i="19"/>
  <c r="H319" i="19"/>
  <c r="D320" i="19"/>
  <c r="E320" i="19"/>
  <c r="F320" i="19"/>
  <c r="G320" i="19"/>
  <c r="H320" i="19"/>
  <c r="D321" i="19"/>
  <c r="E321" i="19"/>
  <c r="F321" i="19"/>
  <c r="G321" i="19"/>
  <c r="H321" i="19"/>
  <c r="D322" i="19"/>
  <c r="E322" i="19"/>
  <c r="F322" i="19"/>
  <c r="G322" i="19"/>
  <c r="H322" i="19"/>
  <c r="D323" i="19"/>
  <c r="E323" i="19"/>
  <c r="F323" i="19"/>
  <c r="G323" i="19"/>
  <c r="H323" i="19"/>
  <c r="D324" i="19"/>
  <c r="E324" i="19"/>
  <c r="F324" i="19"/>
  <c r="G324" i="19"/>
  <c r="H324" i="19"/>
  <c r="D325" i="19"/>
  <c r="E325" i="19"/>
  <c r="F325" i="19"/>
  <c r="G325" i="19"/>
  <c r="H325" i="19"/>
  <c r="D326" i="19"/>
  <c r="E326" i="19"/>
  <c r="F326" i="19"/>
  <c r="G326" i="19"/>
  <c r="H326" i="19"/>
  <c r="D327" i="19"/>
  <c r="E327" i="19"/>
  <c r="F327" i="19"/>
  <c r="G327" i="19"/>
  <c r="H327" i="19"/>
  <c r="D328" i="19"/>
  <c r="E328" i="19"/>
  <c r="F328" i="19"/>
  <c r="G328" i="19"/>
  <c r="H328" i="19"/>
  <c r="D329" i="19"/>
  <c r="E329" i="19"/>
  <c r="F329" i="19"/>
  <c r="G329" i="19"/>
  <c r="H329" i="19"/>
  <c r="D330" i="19"/>
  <c r="E330" i="19"/>
  <c r="F330" i="19"/>
  <c r="G330" i="19"/>
  <c r="H330" i="19"/>
  <c r="D331" i="19"/>
  <c r="E331" i="19"/>
  <c r="F331" i="19"/>
  <c r="G331" i="19"/>
  <c r="H331" i="19"/>
  <c r="D332" i="19"/>
  <c r="E332" i="19"/>
  <c r="F332" i="19"/>
  <c r="G332" i="19"/>
  <c r="H332" i="19"/>
  <c r="D333" i="19"/>
  <c r="E333" i="19"/>
  <c r="F333" i="19"/>
  <c r="G333" i="19"/>
  <c r="H333" i="19"/>
  <c r="D334" i="19"/>
  <c r="E334" i="19"/>
  <c r="F334" i="19"/>
  <c r="G334" i="19"/>
  <c r="H334" i="19"/>
  <c r="D335" i="19"/>
  <c r="E335" i="19"/>
  <c r="F335" i="19"/>
  <c r="G335" i="19"/>
  <c r="H335" i="19"/>
  <c r="D336" i="19"/>
  <c r="E336" i="19"/>
  <c r="F336" i="19"/>
  <c r="G336" i="19"/>
  <c r="H336" i="19"/>
  <c r="D337" i="19"/>
  <c r="E337" i="19"/>
  <c r="F337" i="19"/>
  <c r="G337" i="19"/>
  <c r="H337" i="19"/>
  <c r="D338" i="19"/>
  <c r="E338" i="19"/>
  <c r="F338" i="19"/>
  <c r="G338" i="19"/>
  <c r="H338" i="19"/>
  <c r="D339" i="19"/>
  <c r="E339" i="19"/>
  <c r="F339" i="19"/>
  <c r="G339" i="19"/>
  <c r="H339" i="19"/>
  <c r="D340" i="19"/>
  <c r="E340" i="19"/>
  <c r="F340" i="19"/>
  <c r="G340" i="19"/>
  <c r="H340" i="19"/>
  <c r="D341" i="19"/>
  <c r="E341" i="19"/>
  <c r="F341" i="19"/>
  <c r="G341" i="19"/>
  <c r="H341" i="19"/>
  <c r="D342" i="19"/>
  <c r="E342" i="19"/>
  <c r="F342" i="19"/>
  <c r="G342" i="19"/>
  <c r="H342" i="19"/>
  <c r="D343" i="19"/>
  <c r="E343" i="19"/>
  <c r="F343" i="19"/>
  <c r="G343" i="19"/>
  <c r="H343" i="19"/>
  <c r="D344" i="19"/>
  <c r="E344" i="19"/>
  <c r="F344" i="19"/>
  <c r="G344" i="19"/>
  <c r="H344" i="19"/>
  <c r="D345" i="19"/>
  <c r="E345" i="19"/>
  <c r="F345" i="19"/>
  <c r="G345" i="19"/>
  <c r="H345" i="19"/>
  <c r="D346" i="19"/>
  <c r="E346" i="19"/>
  <c r="F346" i="19"/>
  <c r="G346" i="19"/>
  <c r="H346" i="19"/>
  <c r="D347" i="19"/>
  <c r="E347" i="19"/>
  <c r="F347" i="19"/>
  <c r="G347" i="19"/>
  <c r="H347" i="19"/>
  <c r="D348" i="19"/>
  <c r="E348" i="19"/>
  <c r="F348" i="19"/>
  <c r="G348" i="19"/>
  <c r="H348" i="19"/>
  <c r="D349" i="19"/>
  <c r="E349" i="19"/>
  <c r="F349" i="19"/>
  <c r="G349" i="19"/>
  <c r="H349" i="19"/>
  <c r="D350" i="19"/>
  <c r="E350" i="19"/>
  <c r="F350" i="19"/>
  <c r="G350" i="19"/>
  <c r="H350" i="19"/>
  <c r="D351" i="19"/>
  <c r="E351" i="19"/>
  <c r="F351" i="19"/>
  <c r="G351" i="19"/>
  <c r="H351" i="19"/>
  <c r="D352" i="19"/>
  <c r="E352" i="19"/>
  <c r="F352" i="19"/>
  <c r="G352" i="19"/>
  <c r="H352" i="19"/>
  <c r="D353" i="19"/>
  <c r="E353" i="19"/>
  <c r="F353" i="19"/>
  <c r="G353" i="19"/>
  <c r="H353" i="19"/>
  <c r="D354" i="19"/>
  <c r="E354" i="19"/>
  <c r="F354" i="19"/>
  <c r="G354" i="19"/>
  <c r="H354" i="19"/>
  <c r="D355" i="19"/>
  <c r="E355" i="19"/>
  <c r="F355" i="19"/>
  <c r="G355" i="19"/>
  <c r="H355" i="19"/>
  <c r="D356" i="19"/>
  <c r="E356" i="19"/>
  <c r="F356" i="19"/>
  <c r="G356" i="19"/>
  <c r="H356" i="19"/>
  <c r="D357" i="19"/>
  <c r="E357" i="19"/>
  <c r="F357" i="19"/>
  <c r="G357" i="19"/>
  <c r="H357" i="19"/>
  <c r="D358" i="19"/>
  <c r="E358" i="19"/>
  <c r="F358" i="19"/>
  <c r="G358" i="19"/>
  <c r="H358" i="19"/>
  <c r="D359" i="19"/>
  <c r="E359" i="19"/>
  <c r="F359" i="19"/>
  <c r="G359" i="19"/>
  <c r="H359" i="19"/>
  <c r="D360" i="19"/>
  <c r="E360" i="19"/>
  <c r="F360" i="19"/>
  <c r="G360" i="19"/>
  <c r="H360" i="19"/>
  <c r="D361" i="19"/>
  <c r="E361" i="19"/>
  <c r="F361" i="19"/>
  <c r="G361" i="19"/>
  <c r="H361" i="19"/>
  <c r="D362" i="19"/>
  <c r="E362" i="19"/>
  <c r="F362" i="19"/>
  <c r="G362" i="19"/>
  <c r="H362" i="19"/>
  <c r="D363" i="19"/>
  <c r="E363" i="19"/>
  <c r="F363" i="19"/>
  <c r="G363" i="19"/>
  <c r="H363" i="19"/>
  <c r="D364" i="19"/>
  <c r="E364" i="19"/>
  <c r="F364" i="19"/>
  <c r="G364" i="19"/>
  <c r="H364" i="19"/>
  <c r="D365" i="19"/>
  <c r="E365" i="19"/>
  <c r="F365" i="19"/>
  <c r="G365" i="19"/>
  <c r="H365" i="19"/>
  <c r="D366" i="19"/>
  <c r="E366" i="19"/>
  <c r="F366" i="19"/>
  <c r="G366" i="19"/>
  <c r="H366" i="19"/>
  <c r="D367" i="19"/>
  <c r="E367" i="19"/>
  <c r="F367" i="19"/>
  <c r="G367" i="19"/>
  <c r="H367" i="19"/>
  <c r="D368" i="19"/>
  <c r="E368" i="19"/>
  <c r="F368" i="19"/>
  <c r="G368" i="19"/>
  <c r="H368" i="19"/>
  <c r="D369" i="19"/>
  <c r="E369" i="19"/>
  <c r="F369" i="19"/>
  <c r="G369" i="19"/>
  <c r="H369" i="19"/>
  <c r="D370" i="19"/>
  <c r="E370" i="19"/>
  <c r="F370" i="19"/>
  <c r="G370" i="19"/>
  <c r="H370" i="19"/>
  <c r="D371" i="19"/>
  <c r="E371" i="19"/>
  <c r="F371" i="19"/>
  <c r="G371" i="19"/>
  <c r="H371" i="19"/>
  <c r="D372" i="19"/>
  <c r="E372" i="19"/>
  <c r="F372" i="19"/>
  <c r="G372" i="19"/>
  <c r="H372" i="19"/>
  <c r="D373" i="19"/>
  <c r="E373" i="19"/>
  <c r="F373" i="19"/>
  <c r="G373" i="19"/>
  <c r="H373" i="19"/>
  <c r="D374" i="19"/>
  <c r="E374" i="19"/>
  <c r="F374" i="19"/>
  <c r="G374" i="19"/>
  <c r="H374" i="19"/>
  <c r="D375" i="19"/>
  <c r="E375" i="19"/>
  <c r="F375" i="19"/>
  <c r="G375" i="19"/>
  <c r="H375" i="19"/>
  <c r="D376" i="19"/>
  <c r="E376" i="19"/>
  <c r="F376" i="19"/>
  <c r="G376" i="19"/>
  <c r="H376" i="19"/>
  <c r="D377" i="19"/>
  <c r="E377" i="19"/>
  <c r="F377" i="19"/>
  <c r="G377" i="19"/>
  <c r="H377" i="19"/>
  <c r="D378" i="19"/>
  <c r="E378" i="19"/>
  <c r="F378" i="19"/>
  <c r="G378" i="19"/>
  <c r="H378" i="19"/>
  <c r="D379" i="19"/>
  <c r="E379" i="19"/>
  <c r="F379" i="19"/>
  <c r="G379" i="19"/>
  <c r="H379" i="19"/>
  <c r="D380" i="19"/>
  <c r="E380" i="19"/>
  <c r="F380" i="19"/>
  <c r="G380" i="19"/>
  <c r="H380" i="19"/>
  <c r="D381" i="19"/>
  <c r="E381" i="19"/>
  <c r="F381" i="19"/>
  <c r="G381" i="19"/>
  <c r="H381" i="19"/>
  <c r="D382" i="19"/>
  <c r="E382" i="19"/>
  <c r="F382" i="19"/>
  <c r="G382" i="19"/>
  <c r="H382" i="19"/>
  <c r="D383" i="19"/>
  <c r="E383" i="19"/>
  <c r="F383" i="19"/>
  <c r="G383" i="19"/>
  <c r="H383" i="19"/>
  <c r="D384" i="19"/>
  <c r="E384" i="19"/>
  <c r="F384" i="19"/>
  <c r="G384" i="19"/>
  <c r="H384" i="19"/>
  <c r="D385" i="19"/>
  <c r="E385" i="19"/>
  <c r="F385" i="19"/>
  <c r="G385" i="19"/>
  <c r="H385" i="19"/>
  <c r="D386" i="19"/>
  <c r="E386" i="19"/>
  <c r="F386" i="19"/>
  <c r="G386" i="19"/>
  <c r="H386" i="19"/>
  <c r="D387" i="19"/>
  <c r="E387" i="19"/>
  <c r="F387" i="19"/>
  <c r="G387" i="19"/>
  <c r="H387" i="19"/>
  <c r="D388" i="19"/>
  <c r="E388" i="19"/>
  <c r="F388" i="19"/>
  <c r="G388" i="19"/>
  <c r="H388" i="19"/>
  <c r="D389" i="19"/>
  <c r="E389" i="19"/>
  <c r="F389" i="19"/>
  <c r="G389" i="19"/>
  <c r="H389" i="19"/>
  <c r="D390" i="19"/>
  <c r="E390" i="19"/>
  <c r="F390" i="19"/>
  <c r="G390" i="19"/>
  <c r="H390" i="19"/>
  <c r="D391" i="19"/>
  <c r="E391" i="19"/>
  <c r="F391" i="19"/>
  <c r="G391" i="19"/>
  <c r="H391" i="19"/>
  <c r="D392" i="19"/>
  <c r="E392" i="19"/>
  <c r="F392" i="19"/>
  <c r="G392" i="19"/>
  <c r="H392" i="19"/>
  <c r="D393" i="19"/>
  <c r="E393" i="19"/>
  <c r="F393" i="19"/>
  <c r="G393" i="19"/>
  <c r="H393" i="19"/>
  <c r="D394" i="19"/>
  <c r="E394" i="19"/>
  <c r="F394" i="19"/>
  <c r="G394" i="19"/>
  <c r="H394" i="19"/>
  <c r="D395" i="19"/>
  <c r="E395" i="19"/>
  <c r="F395" i="19"/>
  <c r="G395" i="19"/>
  <c r="H395" i="19"/>
  <c r="D396" i="19"/>
  <c r="E396" i="19"/>
  <c r="F396" i="19"/>
  <c r="G396" i="19"/>
  <c r="H396" i="19"/>
  <c r="D397" i="19"/>
  <c r="E397" i="19"/>
  <c r="F397" i="19"/>
  <c r="G397" i="19"/>
  <c r="H397" i="19"/>
  <c r="D398" i="19"/>
  <c r="E398" i="19"/>
  <c r="F398" i="19"/>
  <c r="G398" i="19"/>
  <c r="H398" i="19"/>
  <c r="D399" i="19"/>
  <c r="E399" i="19"/>
  <c r="F399" i="19"/>
  <c r="G399" i="19"/>
  <c r="H399" i="19"/>
  <c r="D400" i="19"/>
  <c r="E400" i="19"/>
  <c r="F400" i="19"/>
  <c r="G400" i="19"/>
  <c r="H400" i="19"/>
  <c r="D401" i="19"/>
  <c r="E401" i="19"/>
  <c r="F401" i="19"/>
  <c r="G401" i="19"/>
  <c r="H401" i="19"/>
  <c r="D402" i="19"/>
  <c r="E402" i="19"/>
  <c r="F402" i="19"/>
  <c r="G402" i="19"/>
  <c r="H402" i="19"/>
  <c r="D403" i="19"/>
  <c r="E403" i="19"/>
  <c r="F403" i="19"/>
  <c r="G403" i="19"/>
  <c r="H403" i="19"/>
  <c r="D404" i="19"/>
  <c r="E404" i="19"/>
  <c r="F404" i="19"/>
  <c r="G404" i="19"/>
  <c r="H404" i="19"/>
  <c r="D405" i="19"/>
  <c r="E405" i="19"/>
  <c r="F405" i="19"/>
  <c r="G405" i="19"/>
  <c r="H405" i="19"/>
  <c r="D406" i="19"/>
  <c r="E406" i="19"/>
  <c r="F406" i="19"/>
  <c r="G406" i="19"/>
  <c r="H406" i="19"/>
  <c r="D407" i="19"/>
  <c r="E407" i="19"/>
  <c r="F407" i="19"/>
  <c r="G407" i="19"/>
  <c r="H407" i="19"/>
  <c r="D408" i="19"/>
  <c r="E408" i="19"/>
  <c r="F408" i="19"/>
  <c r="G408" i="19"/>
  <c r="H408" i="19"/>
  <c r="D409" i="19"/>
  <c r="E409" i="19"/>
  <c r="F409" i="19"/>
  <c r="G409" i="19"/>
  <c r="H409" i="19"/>
  <c r="D410" i="19"/>
  <c r="E410" i="19"/>
  <c r="F410" i="19"/>
  <c r="G410" i="19"/>
  <c r="H410" i="19"/>
  <c r="D411" i="19"/>
  <c r="E411" i="19"/>
  <c r="F411" i="19"/>
  <c r="G411" i="19"/>
  <c r="H411" i="19"/>
  <c r="D412" i="19"/>
  <c r="E412" i="19"/>
  <c r="F412" i="19"/>
  <c r="G412" i="19"/>
  <c r="H412" i="19"/>
  <c r="D413" i="19"/>
  <c r="E413" i="19"/>
  <c r="F413" i="19"/>
  <c r="G413" i="19"/>
  <c r="H413" i="19"/>
  <c r="D414" i="19"/>
  <c r="E414" i="19"/>
  <c r="F414" i="19"/>
  <c r="G414" i="19"/>
  <c r="H414" i="19"/>
  <c r="D415" i="19"/>
  <c r="E415" i="19"/>
  <c r="F415" i="19"/>
  <c r="G415" i="19"/>
  <c r="H415" i="19"/>
  <c r="D416" i="19"/>
  <c r="E416" i="19"/>
  <c r="F416" i="19"/>
  <c r="G416" i="19"/>
  <c r="H416" i="19"/>
  <c r="D417" i="19"/>
  <c r="E417" i="19"/>
  <c r="F417" i="19"/>
  <c r="G417" i="19"/>
  <c r="H417" i="19"/>
  <c r="D418" i="19"/>
  <c r="E418" i="19"/>
  <c r="F418" i="19"/>
  <c r="G418" i="19"/>
  <c r="H418" i="19"/>
  <c r="D419" i="19"/>
  <c r="E419" i="19"/>
  <c r="F419" i="19"/>
  <c r="G419" i="19"/>
  <c r="H419" i="19"/>
  <c r="D420" i="19"/>
  <c r="E420" i="19"/>
  <c r="F420" i="19"/>
  <c r="G420" i="19"/>
  <c r="H420" i="19"/>
  <c r="D421" i="19"/>
  <c r="E421" i="19"/>
  <c r="F421" i="19"/>
  <c r="G421" i="19"/>
  <c r="H421" i="19"/>
  <c r="D422" i="19"/>
  <c r="E422" i="19"/>
  <c r="F422" i="19"/>
  <c r="G422" i="19"/>
  <c r="H422" i="19"/>
  <c r="D423" i="19"/>
  <c r="E423" i="19"/>
  <c r="F423" i="19"/>
  <c r="G423" i="19"/>
  <c r="H423" i="19"/>
  <c r="D424" i="19"/>
  <c r="E424" i="19"/>
  <c r="F424" i="19"/>
  <c r="G424" i="19"/>
  <c r="H424" i="19"/>
  <c r="D425" i="19"/>
  <c r="E425" i="19"/>
  <c r="F425" i="19"/>
  <c r="G425" i="19"/>
  <c r="H425" i="19"/>
  <c r="D426" i="19"/>
  <c r="E426" i="19"/>
  <c r="F426" i="19"/>
  <c r="G426" i="19"/>
  <c r="H426" i="19"/>
  <c r="D427" i="19"/>
  <c r="E427" i="19"/>
  <c r="F427" i="19"/>
  <c r="G427" i="19"/>
  <c r="H427" i="19"/>
  <c r="D428" i="19"/>
  <c r="E428" i="19"/>
  <c r="F428" i="19"/>
  <c r="G428" i="19"/>
  <c r="H428" i="19"/>
  <c r="D429" i="19"/>
  <c r="E429" i="19"/>
  <c r="F429" i="19"/>
  <c r="G429" i="19"/>
  <c r="H429" i="19"/>
  <c r="D430" i="19"/>
  <c r="E430" i="19"/>
  <c r="F430" i="19"/>
  <c r="G430" i="19"/>
  <c r="H430" i="19"/>
  <c r="D431" i="19"/>
  <c r="E431" i="19"/>
  <c r="F431" i="19"/>
  <c r="G431" i="19"/>
  <c r="H431" i="19"/>
  <c r="D432" i="19"/>
  <c r="E432" i="19"/>
  <c r="F432" i="19"/>
  <c r="G432" i="19"/>
  <c r="H432" i="19"/>
  <c r="D433" i="19"/>
  <c r="E433" i="19"/>
  <c r="F433" i="19"/>
  <c r="G433" i="19"/>
  <c r="H433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C226" i="19"/>
  <c r="C227" i="19"/>
  <c r="C228" i="19"/>
  <c r="C229" i="19"/>
  <c r="C230" i="19"/>
  <c r="C231" i="19"/>
  <c r="C232" i="19"/>
  <c r="C233" i="19"/>
  <c r="C234" i="19"/>
  <c r="C235" i="19"/>
  <c r="C236" i="19"/>
  <c r="C237" i="19"/>
  <c r="C238" i="19"/>
  <c r="C239" i="19"/>
  <c r="C240" i="19"/>
  <c r="C241" i="19"/>
  <c r="C242" i="19"/>
  <c r="C243" i="19"/>
  <c r="C244" i="19"/>
  <c r="C245" i="19"/>
  <c r="C246" i="19"/>
  <c r="C247" i="19"/>
  <c r="C248" i="19"/>
  <c r="C249" i="19"/>
  <c r="C250" i="19"/>
  <c r="C251" i="19"/>
  <c r="C252" i="19"/>
  <c r="C253" i="19"/>
  <c r="C255" i="19"/>
  <c r="C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C273" i="19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C289" i="19"/>
  <c r="C290" i="19"/>
  <c r="C291" i="19"/>
  <c r="C292" i="19"/>
  <c r="C293" i="19"/>
  <c r="C294" i="19"/>
  <c r="C295" i="19"/>
  <c r="C296" i="19"/>
  <c r="C297" i="19"/>
  <c r="C298" i="19"/>
  <c r="C299" i="19"/>
  <c r="C300" i="19"/>
  <c r="C301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6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3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I5" i="19"/>
  <c r="I7" i="19"/>
  <c r="J7" i="19"/>
  <c r="L259" i="19"/>
  <c r="AG260" i="3"/>
  <c r="AG261" i="3"/>
  <c r="AN261" i="3"/>
  <c r="AN259" i="3"/>
  <c r="AL260" i="3"/>
  <c r="P268" i="3"/>
  <c r="P270" i="3"/>
  <c r="M270" i="3"/>
  <c r="M261" i="3"/>
  <c r="M260" i="3"/>
  <c r="L230" i="9"/>
  <c r="J241" i="9"/>
  <c r="L241" i="9" s="1"/>
  <c r="AH429" i="3" s="1"/>
  <c r="AI429" i="3" s="1"/>
  <c r="L141" i="9"/>
  <c r="J9" i="9"/>
  <c r="L9" i="9" s="1"/>
  <c r="J174" i="9"/>
  <c r="L1002" i="10"/>
  <c r="AH368" i="3" s="1"/>
  <c r="AI368" i="3" s="1"/>
  <c r="L810" i="10"/>
  <c r="AH348" i="3" s="1"/>
  <c r="L765" i="10"/>
  <c r="AH345" i="3" s="1"/>
  <c r="AH340" i="3"/>
  <c r="L586" i="10"/>
  <c r="AH333" i="3" s="1"/>
  <c r="L554" i="10"/>
  <c r="AH329" i="3" s="1"/>
  <c r="L496" i="10"/>
  <c r="AH326" i="3" s="1"/>
  <c r="L486" i="10"/>
  <c r="AH324" i="3" s="1"/>
  <c r="L450" i="10"/>
  <c r="AH321" i="3" s="1"/>
  <c r="L184" i="10"/>
  <c r="AH305" i="3" s="1"/>
  <c r="L100" i="10"/>
  <c r="AH296" i="3" s="1"/>
  <c r="L130" i="7"/>
  <c r="L71" i="7"/>
  <c r="AH229" i="3" s="1"/>
  <c r="L177" i="8"/>
  <c r="AH273" i="3" s="1"/>
  <c r="AI273" i="3" s="1"/>
  <c r="L159" i="8"/>
  <c r="AH267" i="3" s="1"/>
  <c r="L152" i="8"/>
  <c r="AH266" i="3" s="1"/>
  <c r="L82" i="8"/>
  <c r="AH257" i="3" s="1"/>
  <c r="L56" i="8"/>
  <c r="AH253" i="3" s="1"/>
  <c r="L130" i="6"/>
  <c r="AH167" i="3" s="1"/>
  <c r="L196" i="5"/>
  <c r="AH138" i="3" s="1"/>
  <c r="AI138" i="3" s="1"/>
  <c r="L75" i="5"/>
  <c r="AH99" i="3" s="1"/>
  <c r="L72" i="5"/>
  <c r="AH98" i="3" s="1"/>
  <c r="A131" i="6"/>
  <c r="I260" i="19"/>
  <c r="L260" i="19"/>
  <c r="Q639" i="10"/>
  <c r="AG77" i="3"/>
  <c r="M282" i="3"/>
  <c r="M306" i="3"/>
  <c r="J832" i="10"/>
  <c r="J96" i="7"/>
  <c r="J19" i="10"/>
  <c r="Q944" i="10"/>
  <c r="O202" i="5"/>
  <c r="O203" i="5" s="1"/>
  <c r="O165" i="6"/>
  <c r="O172" i="6" s="1"/>
  <c r="Q172" i="6" s="1"/>
  <c r="L67" i="10"/>
  <c r="AH289" i="3" s="1"/>
  <c r="J104" i="10"/>
  <c r="O892" i="10"/>
  <c r="O909" i="10" s="1"/>
  <c r="Q25" i="10"/>
  <c r="O229" i="9"/>
  <c r="L817" i="10"/>
  <c r="AH349" i="3" s="1"/>
  <c r="L373" i="10"/>
  <c r="AH316" i="3" s="1"/>
  <c r="W469" i="10"/>
  <c r="L171" i="5"/>
  <c r="AH126" i="3" s="1"/>
  <c r="L158" i="5"/>
  <c r="AH123" i="3" s="1"/>
  <c r="L152" i="5"/>
  <c r="AH121" i="3" s="1"/>
  <c r="L82" i="5"/>
  <c r="AH102" i="3" s="1"/>
  <c r="L21" i="5"/>
  <c r="AH83" i="3" s="1"/>
  <c r="Q660" i="10"/>
  <c r="O504" i="10"/>
  <c r="O542" i="10" s="1"/>
  <c r="O81" i="10"/>
  <c r="O80" i="10"/>
  <c r="Q100" i="10"/>
  <c r="Q1055" i="10"/>
  <c r="Q1025" i="10"/>
  <c r="Q716" i="10"/>
  <c r="Q554" i="10"/>
  <c r="O172" i="8"/>
  <c r="O177" i="8" s="1"/>
  <c r="Q177" i="8" s="1"/>
  <c r="Q92" i="8"/>
  <c r="J923" i="10"/>
  <c r="J488" i="10"/>
  <c r="B910" i="10"/>
  <c r="D910" i="10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9" i="3"/>
  <c r="Q114" i="6"/>
  <c r="O377" i="10"/>
  <c r="O392" i="10" s="1"/>
  <c r="A866" i="10"/>
  <c r="J184" i="9"/>
  <c r="O250" i="10"/>
  <c r="O254" i="10" s="1"/>
  <c r="Q486" i="10"/>
  <c r="O200" i="9"/>
  <c r="O208" i="9" s="1"/>
  <c r="Q208" i="9" s="1"/>
  <c r="O153" i="4"/>
  <c r="Q160" i="4" s="1"/>
  <c r="Q44" i="10"/>
  <c r="Q67" i="10"/>
  <c r="AL227" i="3"/>
  <c r="U65" i="7"/>
  <c r="W65" i="7" s="1"/>
  <c r="O65" i="7"/>
  <c r="Q65" i="7" s="1"/>
  <c r="J65" i="7"/>
  <c r="L65" i="7" s="1"/>
  <c r="AH227" i="3" s="1"/>
  <c r="P226" i="3"/>
  <c r="M226" i="3"/>
  <c r="AL352" i="3"/>
  <c r="AN352" i="3" s="1"/>
  <c r="AO352" i="3" s="1"/>
  <c r="J86" i="6"/>
  <c r="O183" i="9"/>
  <c r="O195" i="9" s="1"/>
  <c r="Q195" i="9" s="1"/>
  <c r="Q1002" i="10"/>
  <c r="O175" i="10"/>
  <c r="O179" i="10" s="1"/>
  <c r="O219" i="5"/>
  <c r="O229" i="5" s="1"/>
  <c r="J378" i="10"/>
  <c r="Q613" i="10"/>
  <c r="J1013" i="10"/>
  <c r="Q67" i="7"/>
  <c r="Q339" i="6"/>
  <c r="Q259" i="6"/>
  <c r="Q226" i="6"/>
  <c r="O151" i="6"/>
  <c r="Q151" i="6" s="1"/>
  <c r="Q130" i="6"/>
  <c r="Q93" i="6"/>
  <c r="O196" i="5"/>
  <c r="Q192" i="5"/>
  <c r="O181" i="5"/>
  <c r="Q181" i="5" s="1"/>
  <c r="Q174" i="5"/>
  <c r="Q121" i="5"/>
  <c r="Q84" i="5"/>
  <c r="O75" i="5"/>
  <c r="Q43" i="5"/>
  <c r="Q8" i="5"/>
  <c r="L151" i="4"/>
  <c r="AH66" i="3" s="1"/>
  <c r="AI66" i="3" s="1"/>
  <c r="O258" i="9"/>
  <c r="O261" i="9" s="1"/>
  <c r="Q261" i="9" s="1"/>
  <c r="J296" i="6"/>
  <c r="L303" i="6" s="1"/>
  <c r="AH200" i="3" s="1"/>
  <c r="AI200" i="3" s="1"/>
  <c r="J333" i="6"/>
  <c r="J310" i="10"/>
  <c r="J683" i="10"/>
  <c r="Q789" i="10"/>
  <c r="Q129" i="10"/>
  <c r="Q982" i="10"/>
  <c r="J1046" i="10"/>
  <c r="J30" i="6"/>
  <c r="O62" i="7"/>
  <c r="O310" i="10"/>
  <c r="Q141" i="9"/>
  <c r="Q132" i="9"/>
  <c r="Q56" i="9"/>
  <c r="Q1038" i="10"/>
  <c r="Q865" i="10"/>
  <c r="Q860" i="10"/>
  <c r="Q770" i="10"/>
  <c r="L770" i="10"/>
  <c r="AH346" i="3" s="1"/>
  <c r="Q730" i="10"/>
  <c r="Q694" i="10"/>
  <c r="Q674" i="10"/>
  <c r="Q579" i="10"/>
  <c r="Q450" i="10"/>
  <c r="Q423" i="10"/>
  <c r="Q274" i="10"/>
  <c r="Q242" i="10"/>
  <c r="Q217" i="10"/>
  <c r="Q184" i="10"/>
  <c r="Q157" i="10"/>
  <c r="Q122" i="10"/>
  <c r="Q62" i="10"/>
  <c r="Q15" i="10"/>
  <c r="Q217" i="8"/>
  <c r="L189" i="8"/>
  <c r="Q152" i="8"/>
  <c r="Q25" i="7"/>
  <c r="O82" i="5"/>
  <c r="Q55" i="4"/>
  <c r="W1025" i="10"/>
  <c r="O111" i="7"/>
  <c r="O114" i="7" s="1"/>
  <c r="Q114" i="7" s="1"/>
  <c r="O104" i="8"/>
  <c r="O123" i="6"/>
  <c r="O125" i="6" s="1"/>
  <c r="Q125" i="6" s="1"/>
  <c r="O291" i="6"/>
  <c r="Q188" i="5"/>
  <c r="O204" i="10"/>
  <c r="O157" i="9"/>
  <c r="O234" i="9"/>
  <c r="O239" i="9" s="1"/>
  <c r="Q239" i="9" s="1"/>
  <c r="O149" i="4"/>
  <c r="O151" i="4" s="1"/>
  <c r="Q151" i="4" s="1"/>
  <c r="J17" i="10"/>
  <c r="J202" i="8"/>
  <c r="D143" i="6"/>
  <c r="C143" i="6"/>
  <c r="B143" i="6"/>
  <c r="A143" i="6"/>
  <c r="O596" i="10"/>
  <c r="O202" i="10"/>
  <c r="Q189" i="8"/>
  <c r="U189" i="8"/>
  <c r="W189" i="8" s="1"/>
  <c r="O201" i="10"/>
  <c r="O200" i="10"/>
  <c r="O62" i="8"/>
  <c r="B1056" i="10"/>
  <c r="C1056" i="10"/>
  <c r="D1056" i="10"/>
  <c r="A1056" i="10"/>
  <c r="C1039" i="10"/>
  <c r="D1039" i="10"/>
  <c r="B1039" i="10"/>
  <c r="A1039" i="10"/>
  <c r="C1028" i="10"/>
  <c r="D1028" i="10"/>
  <c r="B1028" i="10"/>
  <c r="O1027" i="10"/>
  <c r="Q1027" i="10" s="1"/>
  <c r="J1027" i="10"/>
  <c r="AH377" i="3" s="1"/>
  <c r="AI377" i="3" s="1"/>
  <c r="B1026" i="10"/>
  <c r="C1026" i="10"/>
  <c r="D1026" i="10"/>
  <c r="A1026" i="10"/>
  <c r="A1028" i="10"/>
  <c r="C1006" i="10"/>
  <c r="D1006" i="10"/>
  <c r="B1006" i="10"/>
  <c r="A1006" i="10"/>
  <c r="B1003" i="10"/>
  <c r="C1003" i="10"/>
  <c r="D1003" i="10"/>
  <c r="A1003" i="10"/>
  <c r="B971" i="10"/>
  <c r="C983" i="10"/>
  <c r="D983" i="10"/>
  <c r="B983" i="10"/>
  <c r="C971" i="10"/>
  <c r="D971" i="10"/>
  <c r="C861" i="10"/>
  <c r="D861" i="10"/>
  <c r="B861" i="10"/>
  <c r="C854" i="10"/>
  <c r="D854" i="10"/>
  <c r="B854" i="10"/>
  <c r="C945" i="10"/>
  <c r="D945" i="10"/>
  <c r="B945" i="10"/>
  <c r="C910" i="10"/>
  <c r="A910" i="10"/>
  <c r="C866" i="10"/>
  <c r="D866" i="10"/>
  <c r="B866" i="10"/>
  <c r="B848" i="10"/>
  <c r="A848" i="10"/>
  <c r="C818" i="10"/>
  <c r="D818" i="10"/>
  <c r="E818" i="10"/>
  <c r="F818" i="10"/>
  <c r="B818" i="10"/>
  <c r="A818" i="10"/>
  <c r="C811" i="10"/>
  <c r="D811" i="10"/>
  <c r="E811" i="10"/>
  <c r="F811" i="10"/>
  <c r="B811" i="10"/>
  <c r="A811" i="10"/>
  <c r="C791" i="10"/>
  <c r="D791" i="10"/>
  <c r="B791" i="10"/>
  <c r="A791" i="10"/>
  <c r="C771" i="10"/>
  <c r="D771" i="10"/>
  <c r="B771" i="10"/>
  <c r="A771" i="10"/>
  <c r="B766" i="10"/>
  <c r="C766" i="10"/>
  <c r="D766" i="10"/>
  <c r="A766" i="10"/>
  <c r="C731" i="10"/>
  <c r="D731" i="10"/>
  <c r="B731" i="10"/>
  <c r="A731" i="10"/>
  <c r="C726" i="10"/>
  <c r="D726" i="10"/>
  <c r="B726" i="10"/>
  <c r="A726" i="10"/>
  <c r="B717" i="10"/>
  <c r="C717" i="10"/>
  <c r="D717" i="10"/>
  <c r="A717" i="10"/>
  <c r="C695" i="10"/>
  <c r="D695" i="10"/>
  <c r="B695" i="10"/>
  <c r="A695" i="10"/>
  <c r="C678" i="10"/>
  <c r="D678" i="10"/>
  <c r="B678" i="10"/>
  <c r="A678" i="10"/>
  <c r="B675" i="10"/>
  <c r="C675" i="10"/>
  <c r="D675" i="10"/>
  <c r="A675" i="10"/>
  <c r="C661" i="10"/>
  <c r="D661" i="10"/>
  <c r="B661" i="10"/>
  <c r="A661" i="10"/>
  <c r="C640" i="10"/>
  <c r="D640" i="10"/>
  <c r="B640" i="10"/>
  <c r="A640" i="10"/>
  <c r="C632" i="10"/>
  <c r="D632" i="10"/>
  <c r="B632" i="10"/>
  <c r="A632" i="10"/>
  <c r="C614" i="10"/>
  <c r="D614" i="10"/>
  <c r="B614" i="10"/>
  <c r="A614" i="10"/>
  <c r="B604" i="10"/>
  <c r="C604" i="10"/>
  <c r="D604" i="10"/>
  <c r="A604" i="10"/>
  <c r="C587" i="10"/>
  <c r="D587" i="10"/>
  <c r="B587" i="10"/>
  <c r="A587" i="10"/>
  <c r="C580" i="10"/>
  <c r="D580" i="10"/>
  <c r="B580" i="10"/>
  <c r="A580" i="10"/>
  <c r="C577" i="10"/>
  <c r="D577" i="10"/>
  <c r="B577" i="10"/>
  <c r="A577" i="10"/>
  <c r="C575" i="10"/>
  <c r="D575" i="10"/>
  <c r="B575" i="10"/>
  <c r="A575" i="10"/>
  <c r="C555" i="10"/>
  <c r="D555" i="10"/>
  <c r="B555" i="10"/>
  <c r="C543" i="10"/>
  <c r="D543" i="10"/>
  <c r="C545" i="10"/>
  <c r="D545" i="10"/>
  <c r="A555" i="10"/>
  <c r="B545" i="10"/>
  <c r="A545" i="10"/>
  <c r="B543" i="10"/>
  <c r="A543" i="10"/>
  <c r="C497" i="10"/>
  <c r="D497" i="10"/>
  <c r="B497" i="10"/>
  <c r="A497" i="10"/>
  <c r="B494" i="10"/>
  <c r="C494" i="10"/>
  <c r="D494" i="10"/>
  <c r="A494" i="10"/>
  <c r="B487" i="10"/>
  <c r="C487" i="10"/>
  <c r="D487" i="10"/>
  <c r="A487" i="10"/>
  <c r="B477" i="10"/>
  <c r="C477" i="10"/>
  <c r="D477" i="10"/>
  <c r="A477" i="10"/>
  <c r="B470" i="10"/>
  <c r="C470" i="10"/>
  <c r="D470" i="10"/>
  <c r="A470" i="10"/>
  <c r="C451" i="10"/>
  <c r="D451" i="10"/>
  <c r="B451" i="10"/>
  <c r="A451" i="10"/>
  <c r="C439" i="10"/>
  <c r="D439" i="10"/>
  <c r="B439" i="10"/>
  <c r="A439" i="10"/>
  <c r="C424" i="10"/>
  <c r="D424" i="10"/>
  <c r="B424" i="10"/>
  <c r="A424" i="10"/>
  <c r="C411" i="10"/>
  <c r="D411" i="10"/>
  <c r="B411" i="10"/>
  <c r="A411" i="10"/>
  <c r="B393" i="10"/>
  <c r="C393" i="10"/>
  <c r="D393" i="10"/>
  <c r="A393" i="10"/>
  <c r="B374" i="10"/>
  <c r="C374" i="10"/>
  <c r="D374" i="10"/>
  <c r="A374" i="10"/>
  <c r="C363" i="10"/>
  <c r="D363" i="10"/>
  <c r="B363" i="10"/>
  <c r="A363" i="10"/>
  <c r="C347" i="10"/>
  <c r="D347" i="10"/>
  <c r="B347" i="10"/>
  <c r="C285" i="10"/>
  <c r="D285" i="10"/>
  <c r="B285" i="10"/>
  <c r="C255" i="10"/>
  <c r="D255" i="10"/>
  <c r="B255" i="10"/>
  <c r="A285" i="10"/>
  <c r="C259" i="10"/>
  <c r="D259" i="10"/>
  <c r="B259" i="10"/>
  <c r="A259" i="10"/>
  <c r="A255" i="10"/>
  <c r="C243" i="10"/>
  <c r="D243" i="10"/>
  <c r="B243" i="10"/>
  <c r="A243" i="10"/>
  <c r="C219" i="10"/>
  <c r="D219" i="10"/>
  <c r="B219" i="10"/>
  <c r="A219" i="10"/>
  <c r="C213" i="10"/>
  <c r="D213" i="10"/>
  <c r="B213" i="10"/>
  <c r="A213" i="10"/>
  <c r="C192" i="10"/>
  <c r="D192" i="10"/>
  <c r="B192" i="10"/>
  <c r="A192" i="10"/>
  <c r="C185" i="10"/>
  <c r="D185" i="10"/>
  <c r="B185" i="10"/>
  <c r="A185" i="10"/>
  <c r="C180" i="10"/>
  <c r="D180" i="10"/>
  <c r="B180" i="10"/>
  <c r="A180" i="10"/>
  <c r="C171" i="10"/>
  <c r="D171" i="10"/>
  <c r="B171" i="10"/>
  <c r="A171" i="10"/>
  <c r="B158" i="10"/>
  <c r="C158" i="10"/>
  <c r="D158" i="10"/>
  <c r="A158" i="10"/>
  <c r="C130" i="10"/>
  <c r="D130" i="10"/>
  <c r="B130" i="10"/>
  <c r="C125" i="10"/>
  <c r="D125" i="10"/>
  <c r="B125" i="10"/>
  <c r="A125" i="10"/>
  <c r="B123" i="10"/>
  <c r="A123" i="10"/>
  <c r="B121" i="10"/>
  <c r="A121" i="10"/>
  <c r="B112" i="10"/>
  <c r="A112" i="10"/>
  <c r="B101" i="10"/>
  <c r="A101" i="10"/>
  <c r="B89" i="10"/>
  <c r="A89" i="10"/>
  <c r="B86" i="10"/>
  <c r="A86" i="10"/>
  <c r="B83" i="10"/>
  <c r="A83" i="10"/>
  <c r="B78" i="10"/>
  <c r="A78" i="10"/>
  <c r="B76" i="10"/>
  <c r="A76" i="10"/>
  <c r="B73" i="10"/>
  <c r="A73" i="10"/>
  <c r="B68" i="10"/>
  <c r="A68" i="10"/>
  <c r="B63" i="10"/>
  <c r="A63" i="10"/>
  <c r="B45" i="10"/>
  <c r="A45" i="10"/>
  <c r="B39" i="10"/>
  <c r="A39" i="10"/>
  <c r="B37" i="10"/>
  <c r="A37" i="10"/>
  <c r="B26" i="10"/>
  <c r="B16" i="10"/>
  <c r="B7" i="10"/>
  <c r="Q18" i="8"/>
  <c r="C257" i="9"/>
  <c r="D257" i="9"/>
  <c r="B257" i="9"/>
  <c r="A257" i="9"/>
  <c r="C242" i="9"/>
  <c r="D242" i="9"/>
  <c r="B242" i="9"/>
  <c r="A242" i="9"/>
  <c r="C240" i="9"/>
  <c r="D240" i="9"/>
  <c r="B240" i="9"/>
  <c r="A240" i="9"/>
  <c r="C231" i="9"/>
  <c r="D231" i="9"/>
  <c r="B231" i="9"/>
  <c r="A231" i="9"/>
  <c r="C223" i="9"/>
  <c r="D223" i="9"/>
  <c r="B223" i="9"/>
  <c r="A223" i="9"/>
  <c r="C209" i="9"/>
  <c r="D209" i="9"/>
  <c r="B209" i="9"/>
  <c r="A209" i="9"/>
  <c r="C196" i="9"/>
  <c r="D196" i="9"/>
  <c r="B196" i="9"/>
  <c r="A196" i="9"/>
  <c r="C178" i="9"/>
  <c r="D178" i="9"/>
  <c r="B178" i="9"/>
  <c r="A178" i="9"/>
  <c r="B175" i="9"/>
  <c r="C175" i="9"/>
  <c r="D175" i="9"/>
  <c r="A175" i="9"/>
  <c r="C172" i="9"/>
  <c r="D172" i="9"/>
  <c r="B172" i="9"/>
  <c r="A172" i="9"/>
  <c r="C156" i="9"/>
  <c r="D156" i="9"/>
  <c r="B156" i="9"/>
  <c r="A156" i="9"/>
  <c r="C154" i="9"/>
  <c r="D154" i="9"/>
  <c r="B154" i="9"/>
  <c r="A154" i="9"/>
  <c r="C145" i="9"/>
  <c r="D145" i="9"/>
  <c r="B145" i="9"/>
  <c r="A145" i="9"/>
  <c r="C142" i="9"/>
  <c r="D142" i="9"/>
  <c r="B142" i="9"/>
  <c r="A142" i="9"/>
  <c r="C133" i="9"/>
  <c r="D133" i="9"/>
  <c r="B133" i="9"/>
  <c r="A133" i="9"/>
  <c r="C122" i="9"/>
  <c r="D122" i="9"/>
  <c r="B122" i="9"/>
  <c r="A122" i="9"/>
  <c r="B116" i="9"/>
  <c r="C116" i="9"/>
  <c r="D116" i="9"/>
  <c r="A116" i="9"/>
  <c r="B103" i="9"/>
  <c r="C103" i="9"/>
  <c r="D103" i="9"/>
  <c r="A103" i="9"/>
  <c r="B99" i="9"/>
  <c r="C99" i="9"/>
  <c r="D99" i="9"/>
  <c r="A99" i="9"/>
  <c r="C76" i="9"/>
  <c r="D76" i="9"/>
  <c r="B76" i="9"/>
  <c r="A76" i="9"/>
  <c r="C70" i="9"/>
  <c r="D70" i="9"/>
  <c r="B70" i="9"/>
  <c r="A70" i="9"/>
  <c r="C62" i="9"/>
  <c r="D62" i="9"/>
  <c r="B62" i="9"/>
  <c r="A62" i="9"/>
  <c r="B57" i="9"/>
  <c r="A57" i="9"/>
  <c r="B54" i="9"/>
  <c r="A54" i="9"/>
  <c r="B52" i="9"/>
  <c r="A52" i="9"/>
  <c r="B35" i="9"/>
  <c r="A35" i="9"/>
  <c r="B33" i="9"/>
  <c r="A33" i="9"/>
  <c r="B30" i="9"/>
  <c r="A30" i="9"/>
  <c r="B28" i="9"/>
  <c r="A28" i="9"/>
  <c r="B25" i="9"/>
  <c r="A25" i="9"/>
  <c r="B22" i="9"/>
  <c r="A22" i="9"/>
  <c r="B19" i="9"/>
  <c r="A19" i="9"/>
  <c r="B16" i="9"/>
  <c r="A16" i="9"/>
  <c r="B10" i="9"/>
  <c r="A10" i="9"/>
  <c r="B7" i="9"/>
  <c r="A7" i="9"/>
  <c r="C218" i="8"/>
  <c r="D218" i="8"/>
  <c r="B218" i="8"/>
  <c r="A218" i="8"/>
  <c r="C190" i="8"/>
  <c r="D190" i="8"/>
  <c r="B190" i="8"/>
  <c r="A190" i="8"/>
  <c r="C178" i="8"/>
  <c r="D178" i="8"/>
  <c r="B178" i="8"/>
  <c r="A178" i="8"/>
  <c r="C171" i="8"/>
  <c r="D171" i="8"/>
  <c r="B171" i="8"/>
  <c r="A171" i="8"/>
  <c r="C160" i="8"/>
  <c r="D160" i="8"/>
  <c r="B160" i="8"/>
  <c r="A160" i="8"/>
  <c r="C153" i="8"/>
  <c r="D153" i="8"/>
  <c r="B153" i="8"/>
  <c r="A153" i="8"/>
  <c r="C148" i="8"/>
  <c r="D148" i="8"/>
  <c r="B148" i="8"/>
  <c r="A148" i="8"/>
  <c r="B145" i="8"/>
  <c r="C145" i="8"/>
  <c r="D145" i="8"/>
  <c r="A145" i="8"/>
  <c r="B143" i="8"/>
  <c r="C143" i="8"/>
  <c r="D143" i="8"/>
  <c r="A143" i="8"/>
  <c r="B138" i="8"/>
  <c r="C138" i="8"/>
  <c r="D138" i="8"/>
  <c r="A138" i="8"/>
  <c r="C121" i="8"/>
  <c r="D121" i="8"/>
  <c r="B121" i="8"/>
  <c r="A121" i="8"/>
  <c r="C93" i="8"/>
  <c r="D93" i="8"/>
  <c r="B93" i="8"/>
  <c r="A93" i="8"/>
  <c r="C83" i="8"/>
  <c r="D83" i="8"/>
  <c r="B83" i="8"/>
  <c r="A83" i="8"/>
  <c r="C71" i="8"/>
  <c r="D71" i="8"/>
  <c r="B71" i="8"/>
  <c r="A71" i="8"/>
  <c r="B69" i="8"/>
  <c r="C69" i="8"/>
  <c r="D69" i="8"/>
  <c r="A69" i="8"/>
  <c r="B59" i="8"/>
  <c r="C59" i="8"/>
  <c r="D59" i="8"/>
  <c r="A59" i="8"/>
  <c r="B57" i="8"/>
  <c r="A57" i="8"/>
  <c r="B50" i="8"/>
  <c r="A50" i="8"/>
  <c r="B48" i="8"/>
  <c r="A48" i="8"/>
  <c r="B46" i="8"/>
  <c r="A46" i="8"/>
  <c r="B44" i="8"/>
  <c r="A44" i="8"/>
  <c r="B42" i="8"/>
  <c r="A42" i="8"/>
  <c r="B37" i="8"/>
  <c r="A37" i="8"/>
  <c r="B19" i="8"/>
  <c r="A19" i="8"/>
  <c r="B14" i="8"/>
  <c r="A14" i="8"/>
  <c r="B12" i="8"/>
  <c r="A12" i="8"/>
  <c r="B7" i="8"/>
  <c r="A7" i="8"/>
  <c r="C115" i="7"/>
  <c r="D115" i="7"/>
  <c r="B115" i="7"/>
  <c r="A115" i="7"/>
  <c r="C103" i="7"/>
  <c r="D103" i="7"/>
  <c r="B103" i="7"/>
  <c r="A103" i="7"/>
  <c r="C91" i="7"/>
  <c r="D91" i="7"/>
  <c r="B91" i="7"/>
  <c r="A91" i="7"/>
  <c r="C81" i="7"/>
  <c r="D81" i="7"/>
  <c r="B81" i="7"/>
  <c r="A81" i="7"/>
  <c r="B76" i="7"/>
  <c r="C76" i="7"/>
  <c r="D76" i="7"/>
  <c r="A76" i="7"/>
  <c r="C72" i="7"/>
  <c r="D72" i="7"/>
  <c r="B72" i="7"/>
  <c r="A72" i="7"/>
  <c r="C68" i="7"/>
  <c r="D68" i="7"/>
  <c r="B68" i="7"/>
  <c r="A68" i="7"/>
  <c r="B66" i="7"/>
  <c r="C66" i="7"/>
  <c r="D66" i="7"/>
  <c r="A66" i="7"/>
  <c r="B62" i="7"/>
  <c r="C62" i="7"/>
  <c r="D62" i="7"/>
  <c r="A62" i="7"/>
  <c r="B60" i="7"/>
  <c r="C60" i="7"/>
  <c r="D60" i="7"/>
  <c r="A60" i="7"/>
  <c r="B58" i="7"/>
  <c r="C58" i="7"/>
  <c r="D58" i="7"/>
  <c r="A58" i="7"/>
  <c r="C52" i="7"/>
  <c r="D52" i="7"/>
  <c r="B52" i="7"/>
  <c r="A52" i="7"/>
  <c r="B50" i="7"/>
  <c r="A50" i="7"/>
  <c r="B47" i="7"/>
  <c r="A47" i="7"/>
  <c r="B42" i="7"/>
  <c r="A42" i="7"/>
  <c r="B40" i="7"/>
  <c r="A40" i="7"/>
  <c r="B38" i="7"/>
  <c r="A38" i="7"/>
  <c r="B36" i="7"/>
  <c r="A36" i="7"/>
  <c r="B34" i="7"/>
  <c r="A34" i="7"/>
  <c r="B30" i="7"/>
  <c r="A30" i="7"/>
  <c r="B28" i="7"/>
  <c r="A28" i="7"/>
  <c r="B26" i="7"/>
  <c r="A26" i="7"/>
  <c r="B23" i="7"/>
  <c r="A23" i="7"/>
  <c r="B16" i="7"/>
  <c r="A16" i="7"/>
  <c r="B14" i="7"/>
  <c r="A14" i="7"/>
  <c r="B12" i="7"/>
  <c r="A12" i="7"/>
  <c r="B10" i="7"/>
  <c r="A10" i="7"/>
  <c r="B7" i="7"/>
  <c r="A7" i="7"/>
  <c r="B330" i="6"/>
  <c r="C330" i="6"/>
  <c r="D330" i="6"/>
  <c r="A330" i="6"/>
  <c r="C304" i="6"/>
  <c r="D304" i="6"/>
  <c r="B304" i="6"/>
  <c r="A304" i="6"/>
  <c r="C287" i="6"/>
  <c r="D287" i="6"/>
  <c r="B287" i="6"/>
  <c r="A287" i="6"/>
  <c r="C266" i="6"/>
  <c r="D266" i="6"/>
  <c r="B266" i="6"/>
  <c r="A266" i="6"/>
  <c r="B260" i="6"/>
  <c r="C260" i="6"/>
  <c r="D260" i="6"/>
  <c r="A260" i="6"/>
  <c r="C251" i="6"/>
  <c r="D251" i="6"/>
  <c r="B251" i="6"/>
  <c r="A251" i="6"/>
  <c r="C236" i="6"/>
  <c r="D236" i="6"/>
  <c r="B236" i="6"/>
  <c r="A236" i="6"/>
  <c r="B234" i="6"/>
  <c r="C234" i="6"/>
  <c r="D234" i="6"/>
  <c r="A234" i="6"/>
  <c r="B232" i="6"/>
  <c r="C232" i="6"/>
  <c r="D232" i="6"/>
  <c r="A232" i="6"/>
  <c r="B227" i="6"/>
  <c r="C227" i="6"/>
  <c r="D227" i="6"/>
  <c r="A227" i="6"/>
  <c r="B224" i="6"/>
  <c r="C224" i="6"/>
  <c r="D224" i="6"/>
  <c r="A224" i="6"/>
  <c r="B215" i="6"/>
  <c r="C215" i="6"/>
  <c r="D215" i="6"/>
  <c r="A215" i="6"/>
  <c r="B212" i="6"/>
  <c r="C212" i="6"/>
  <c r="D212" i="6"/>
  <c r="A212" i="6"/>
  <c r="B210" i="6"/>
  <c r="C210" i="6"/>
  <c r="D210" i="6"/>
  <c r="A210" i="6"/>
  <c r="B197" i="6"/>
  <c r="C197" i="6"/>
  <c r="D197" i="6"/>
  <c r="A197" i="6"/>
  <c r="B194" i="6"/>
  <c r="C194" i="6"/>
  <c r="D194" i="6"/>
  <c r="A194" i="6"/>
  <c r="B192" i="6"/>
  <c r="C192" i="6"/>
  <c r="D192" i="6"/>
  <c r="A192" i="6"/>
  <c r="B189" i="6"/>
  <c r="C189" i="6"/>
  <c r="D189" i="6"/>
  <c r="A189" i="6"/>
  <c r="C173" i="6"/>
  <c r="D173" i="6"/>
  <c r="B173" i="6"/>
  <c r="A173" i="6"/>
  <c r="B162" i="6"/>
  <c r="C162" i="6"/>
  <c r="D162" i="6"/>
  <c r="A162" i="6"/>
  <c r="B153" i="6"/>
  <c r="C153" i="6"/>
  <c r="D153" i="6"/>
  <c r="A153" i="6"/>
  <c r="B131" i="6"/>
  <c r="C131" i="6"/>
  <c r="D131" i="6"/>
  <c r="B127" i="6"/>
  <c r="C127" i="6"/>
  <c r="D127" i="6"/>
  <c r="A127" i="6"/>
  <c r="B121" i="6"/>
  <c r="C121" i="6"/>
  <c r="D121" i="6"/>
  <c r="A121" i="6"/>
  <c r="B117" i="6"/>
  <c r="C117" i="6"/>
  <c r="D117" i="6"/>
  <c r="A117" i="6"/>
  <c r="C115" i="6"/>
  <c r="D115" i="6"/>
  <c r="B115" i="6"/>
  <c r="A115" i="6"/>
  <c r="C94" i="6"/>
  <c r="D94" i="6"/>
  <c r="B94" i="6"/>
  <c r="A94" i="6"/>
  <c r="C83" i="6"/>
  <c r="D83" i="6"/>
  <c r="B83" i="6"/>
  <c r="A83" i="6"/>
  <c r="B81" i="6"/>
  <c r="C81" i="6"/>
  <c r="D81" i="6"/>
  <c r="A81" i="6"/>
  <c r="C65" i="6"/>
  <c r="D65" i="6"/>
  <c r="B65" i="6"/>
  <c r="A65" i="6"/>
  <c r="C43" i="6"/>
  <c r="D43" i="6"/>
  <c r="B43" i="6"/>
  <c r="A43" i="6"/>
  <c r="C17" i="6"/>
  <c r="D17" i="6"/>
  <c r="B17" i="6"/>
  <c r="A17" i="6"/>
  <c r="A7" i="6"/>
  <c r="B7" i="6"/>
  <c r="L229" i="5"/>
  <c r="AH150" i="3" s="1"/>
  <c r="AI150" i="3" s="1"/>
  <c r="Q10" i="5"/>
  <c r="C234" i="5"/>
  <c r="D234" i="5"/>
  <c r="B234" i="5"/>
  <c r="A234" i="5"/>
  <c r="C230" i="5"/>
  <c r="D230" i="5"/>
  <c r="B230" i="5"/>
  <c r="A230" i="5"/>
  <c r="C206" i="5"/>
  <c r="D206" i="5"/>
  <c r="B206" i="5"/>
  <c r="A206" i="5"/>
  <c r="C204" i="5"/>
  <c r="D204" i="5"/>
  <c r="B204" i="5"/>
  <c r="A204" i="5"/>
  <c r="C200" i="5"/>
  <c r="D200" i="5"/>
  <c r="B200" i="5"/>
  <c r="A200" i="5"/>
  <c r="C197" i="5"/>
  <c r="D197" i="5"/>
  <c r="B197" i="5"/>
  <c r="A197" i="5"/>
  <c r="C193" i="5"/>
  <c r="D193" i="5"/>
  <c r="B193" i="5"/>
  <c r="A193" i="5"/>
  <c r="C189" i="5"/>
  <c r="D189" i="5"/>
  <c r="B189" i="5"/>
  <c r="A189" i="5"/>
  <c r="C184" i="5"/>
  <c r="D184" i="5"/>
  <c r="B184" i="5"/>
  <c r="A184" i="5"/>
  <c r="B182" i="5"/>
  <c r="C182" i="5"/>
  <c r="D182" i="5"/>
  <c r="A182" i="5"/>
  <c r="C175" i="5"/>
  <c r="D175" i="5"/>
  <c r="B175" i="5"/>
  <c r="A175" i="5"/>
  <c r="C172" i="5"/>
  <c r="D172" i="5"/>
  <c r="B172" i="5"/>
  <c r="A172" i="5"/>
  <c r="C167" i="5"/>
  <c r="D167" i="5"/>
  <c r="B167" i="5"/>
  <c r="A167" i="5"/>
  <c r="C164" i="5"/>
  <c r="D164" i="5"/>
  <c r="B164" i="5"/>
  <c r="A164" i="5"/>
  <c r="C159" i="5"/>
  <c r="D159" i="5"/>
  <c r="B159" i="5"/>
  <c r="A159" i="5"/>
  <c r="C156" i="5"/>
  <c r="D156" i="5"/>
  <c r="B156" i="5"/>
  <c r="A156" i="5"/>
  <c r="C153" i="5"/>
  <c r="D153" i="5"/>
  <c r="B153" i="5"/>
  <c r="A153" i="5"/>
  <c r="C149" i="5"/>
  <c r="D149" i="5"/>
  <c r="B149" i="5"/>
  <c r="A149" i="5"/>
  <c r="C141" i="5"/>
  <c r="D141" i="5"/>
  <c r="B141" i="5"/>
  <c r="A141" i="5"/>
  <c r="B139" i="5"/>
  <c r="C139" i="5"/>
  <c r="D139" i="5"/>
  <c r="A139" i="5"/>
  <c r="B134" i="5"/>
  <c r="C134" i="5"/>
  <c r="D134" i="5"/>
  <c r="A134" i="5"/>
  <c r="B131" i="5"/>
  <c r="C131" i="5"/>
  <c r="D131" i="5"/>
  <c r="B129" i="5"/>
  <c r="C129" i="5"/>
  <c r="D129" i="5"/>
  <c r="A129" i="5"/>
  <c r="C127" i="5"/>
  <c r="D127" i="5"/>
  <c r="B127" i="5"/>
  <c r="A127" i="5"/>
  <c r="C124" i="5"/>
  <c r="D124" i="5"/>
  <c r="B124" i="5"/>
  <c r="A124" i="5"/>
  <c r="C122" i="5"/>
  <c r="D122" i="5"/>
  <c r="B122" i="5"/>
  <c r="A122" i="5"/>
  <c r="C119" i="5"/>
  <c r="D119" i="5"/>
  <c r="B119" i="5"/>
  <c r="A119" i="5"/>
  <c r="C117" i="5"/>
  <c r="D117" i="5"/>
  <c r="B117" i="5"/>
  <c r="A117" i="5"/>
  <c r="C103" i="5"/>
  <c r="D103" i="5"/>
  <c r="B103" i="5"/>
  <c r="A103" i="5"/>
  <c r="C100" i="5"/>
  <c r="D100" i="5"/>
  <c r="B100" i="5"/>
  <c r="A100" i="5"/>
  <c r="C98" i="5"/>
  <c r="D98" i="5"/>
  <c r="B98" i="5"/>
  <c r="A98" i="5"/>
  <c r="C93" i="5"/>
  <c r="D93" i="5"/>
  <c r="B93" i="5"/>
  <c r="A93" i="5"/>
  <c r="C91" i="5"/>
  <c r="D91" i="5"/>
  <c r="B91" i="5"/>
  <c r="A91" i="5"/>
  <c r="C88" i="5"/>
  <c r="D88" i="5"/>
  <c r="B88" i="5"/>
  <c r="A88" i="5"/>
  <c r="C85" i="5"/>
  <c r="B85" i="5"/>
  <c r="A85" i="5"/>
  <c r="C83" i="5"/>
  <c r="D83" i="5"/>
  <c r="B83" i="5"/>
  <c r="A83" i="5"/>
  <c r="C80" i="5"/>
  <c r="D80" i="5"/>
  <c r="B80" i="5"/>
  <c r="A80" i="5"/>
  <c r="C78" i="5"/>
  <c r="D78" i="5"/>
  <c r="B78" i="5"/>
  <c r="A78" i="5"/>
  <c r="C76" i="5"/>
  <c r="D76" i="5"/>
  <c r="B76" i="5"/>
  <c r="A76" i="5"/>
  <c r="C73" i="5"/>
  <c r="D73" i="5"/>
  <c r="B73" i="5"/>
  <c r="A73" i="5"/>
  <c r="C67" i="5"/>
  <c r="D67" i="5"/>
  <c r="B67" i="5"/>
  <c r="A67" i="5"/>
  <c r="C61" i="5"/>
  <c r="D61" i="5"/>
  <c r="B61" i="5"/>
  <c r="A61" i="5"/>
  <c r="B59" i="5"/>
  <c r="C59" i="5"/>
  <c r="D59" i="5"/>
  <c r="A59" i="5"/>
  <c r="B56" i="5"/>
  <c r="C56" i="5"/>
  <c r="D56" i="5"/>
  <c r="A56" i="5"/>
  <c r="C53" i="5"/>
  <c r="D53" i="5"/>
  <c r="B53" i="5"/>
  <c r="A53" i="5"/>
  <c r="C46" i="5"/>
  <c r="D46" i="5"/>
  <c r="B46" i="5"/>
  <c r="A46" i="5"/>
  <c r="C44" i="5"/>
  <c r="D44" i="5"/>
  <c r="B44" i="5"/>
  <c r="A44" i="5"/>
  <c r="C40" i="5"/>
  <c r="D40" i="5"/>
  <c r="B40" i="5"/>
  <c r="A40" i="5"/>
  <c r="C38" i="5"/>
  <c r="D38" i="5"/>
  <c r="B38" i="5"/>
  <c r="A38" i="5"/>
  <c r="C36" i="5"/>
  <c r="D36" i="5"/>
  <c r="B36" i="5"/>
  <c r="A36" i="5"/>
  <c r="B28" i="5"/>
  <c r="B31" i="5"/>
  <c r="A31" i="5"/>
  <c r="A28" i="5"/>
  <c r="B26" i="5"/>
  <c r="A26" i="5"/>
  <c r="B24" i="5"/>
  <c r="A24" i="5"/>
  <c r="B22" i="5"/>
  <c r="A22" i="5"/>
  <c r="B17" i="5"/>
  <c r="A17" i="5"/>
  <c r="B14" i="5"/>
  <c r="A14" i="5"/>
  <c r="B11" i="5"/>
  <c r="A11" i="5"/>
  <c r="B9" i="5"/>
  <c r="A9" i="5"/>
  <c r="B7" i="5"/>
  <c r="A7" i="5"/>
  <c r="Q37" i="4"/>
  <c r="Q90" i="5"/>
  <c r="AH380" i="3"/>
  <c r="AI380" i="3" s="1"/>
  <c r="L982" i="10"/>
  <c r="AH367" i="3" s="1"/>
  <c r="AH359" i="3"/>
  <c r="AI359" i="3" s="1"/>
  <c r="L860" i="10"/>
  <c r="AH355" i="3" s="1"/>
  <c r="AI355" i="3" s="1"/>
  <c r="Q810" i="10"/>
  <c r="L789" i="10"/>
  <c r="AH347" i="3" s="1"/>
  <c r="Q765" i="10"/>
  <c r="L674" i="10"/>
  <c r="AH339" i="3" s="1"/>
  <c r="L631" i="10"/>
  <c r="AH334" i="3" s="1"/>
  <c r="L613" i="10"/>
  <c r="AH335" i="3" s="1"/>
  <c r="L603" i="10"/>
  <c r="Q586" i="10"/>
  <c r="Q574" i="10"/>
  <c r="L574" i="10"/>
  <c r="AH330" i="3" s="1"/>
  <c r="Q476" i="10"/>
  <c r="Q469" i="10"/>
  <c r="L469" i="10"/>
  <c r="AH322" i="3" s="1"/>
  <c r="AH319" i="3"/>
  <c r="Q373" i="10"/>
  <c r="AH315" i="3"/>
  <c r="L254" i="10"/>
  <c r="AH310" i="3" s="1"/>
  <c r="L242" i="10"/>
  <c r="AH309" i="3" s="1"/>
  <c r="L217" i="10"/>
  <c r="AH308" i="3" s="1"/>
  <c r="L212" i="10"/>
  <c r="AH307" i="3" s="1"/>
  <c r="L170" i="10"/>
  <c r="AH303" i="3" s="1"/>
  <c r="L157" i="10"/>
  <c r="AH302" i="3" s="1"/>
  <c r="U574" i="10"/>
  <c r="W574" i="10" s="1"/>
  <c r="W542" i="10"/>
  <c r="U410" i="10"/>
  <c r="W410" i="10" s="1"/>
  <c r="U1057" i="10"/>
  <c r="W1057" i="10" s="1"/>
  <c r="U1055" i="10"/>
  <c r="W1055" i="10" s="1"/>
  <c r="U1038" i="10"/>
  <c r="W1038" i="10" s="1"/>
  <c r="U1005" i="10"/>
  <c r="W1005" i="10" s="1"/>
  <c r="U1002" i="10"/>
  <c r="W1002" i="10" s="1"/>
  <c r="U982" i="10"/>
  <c r="W982" i="10" s="1"/>
  <c r="U970" i="10"/>
  <c r="W970" i="10" s="1"/>
  <c r="W944" i="10"/>
  <c r="W909" i="10"/>
  <c r="U865" i="10"/>
  <c r="W865" i="10" s="1"/>
  <c r="U860" i="10"/>
  <c r="W860" i="10" s="1"/>
  <c r="U853" i="10"/>
  <c r="W853" i="10" s="1"/>
  <c r="W847" i="10"/>
  <c r="U817" i="10"/>
  <c r="W817" i="10" s="1"/>
  <c r="W810" i="10"/>
  <c r="U789" i="10"/>
  <c r="W789" i="10" s="1"/>
  <c r="U770" i="10"/>
  <c r="W770" i="10" s="1"/>
  <c r="W765" i="10"/>
  <c r="W730" i="10"/>
  <c r="U725" i="10"/>
  <c r="W725" i="10" s="1"/>
  <c r="U716" i="10"/>
  <c r="W716" i="10" s="1"/>
  <c r="U694" i="10"/>
  <c r="W694" i="10" s="1"/>
  <c r="U677" i="10"/>
  <c r="W677" i="10" s="1"/>
  <c r="W674" i="10"/>
  <c r="U660" i="10"/>
  <c r="W660" i="10" s="1"/>
  <c r="U639" i="10"/>
  <c r="W639" i="10" s="1"/>
  <c r="U631" i="10"/>
  <c r="W631" i="10" s="1"/>
  <c r="U613" i="10"/>
  <c r="W613" i="10" s="1"/>
  <c r="U603" i="10"/>
  <c r="W603" i="10" s="1"/>
  <c r="U586" i="10"/>
  <c r="W586" i="10" s="1"/>
  <c r="U579" i="10"/>
  <c r="W579" i="10" s="1"/>
  <c r="U576" i="10"/>
  <c r="W576" i="10" s="1"/>
  <c r="U554" i="10"/>
  <c r="W554" i="10" s="1"/>
  <c r="U544" i="10"/>
  <c r="W544" i="10" s="1"/>
  <c r="U496" i="10"/>
  <c r="W496" i="10" s="1"/>
  <c r="U493" i="10"/>
  <c r="W493" i="10" s="1"/>
  <c r="U486" i="10"/>
  <c r="W486" i="10" s="1"/>
  <c r="U476" i="10"/>
  <c r="W476" i="10" s="1"/>
  <c r="U450" i="10"/>
  <c r="W450" i="10" s="1"/>
  <c r="U438" i="10"/>
  <c r="W438" i="10" s="1"/>
  <c r="U423" i="10"/>
  <c r="W423" i="10" s="1"/>
  <c r="W392" i="10"/>
  <c r="U373" i="10"/>
  <c r="W373" i="10" s="1"/>
  <c r="U361" i="10"/>
  <c r="W361" i="10" s="1"/>
  <c r="W346" i="10"/>
  <c r="U274" i="10"/>
  <c r="W274" i="10" s="1"/>
  <c r="U254" i="10"/>
  <c r="W254" i="10" s="1"/>
  <c r="U242" i="10"/>
  <c r="W242" i="10" s="1"/>
  <c r="U217" i="10"/>
  <c r="W217" i="10" s="1"/>
  <c r="U212" i="10"/>
  <c r="W212" i="10" s="1"/>
  <c r="W191" i="10"/>
  <c r="U184" i="10"/>
  <c r="W184" i="10" s="1"/>
  <c r="U179" i="10"/>
  <c r="W179" i="10" s="1"/>
  <c r="U170" i="10"/>
  <c r="W170" i="10" s="1"/>
  <c r="U129" i="10"/>
  <c r="W129" i="10" s="1"/>
  <c r="U124" i="10"/>
  <c r="W124" i="10" s="1"/>
  <c r="U122" i="10"/>
  <c r="W122" i="10" s="1"/>
  <c r="U120" i="10"/>
  <c r="W120" i="10" s="1"/>
  <c r="U100" i="10"/>
  <c r="W100" i="10" s="1"/>
  <c r="U88" i="10"/>
  <c r="W88" i="10" s="1"/>
  <c r="U85" i="10"/>
  <c r="W85" i="10" s="1"/>
  <c r="U82" i="10"/>
  <c r="W82" i="10" s="1"/>
  <c r="U77" i="10"/>
  <c r="W77" i="10" s="1"/>
  <c r="U75" i="10"/>
  <c r="W75" i="10" s="1"/>
  <c r="U72" i="10"/>
  <c r="W72" i="10" s="1"/>
  <c r="U67" i="10"/>
  <c r="W67" i="10" s="1"/>
  <c r="U44" i="10"/>
  <c r="W44" i="10" s="1"/>
  <c r="U38" i="10"/>
  <c r="W38" i="10" s="1"/>
  <c r="W157" i="10"/>
  <c r="U36" i="10"/>
  <c r="W36" i="10" s="1"/>
  <c r="U25" i="10"/>
  <c r="W25" i="10" s="1"/>
  <c r="W15" i="10"/>
  <c r="L261" i="9"/>
  <c r="AL435" i="3" s="1"/>
  <c r="L239" i="9"/>
  <c r="AH426" i="3" s="1"/>
  <c r="L208" i="9"/>
  <c r="AH417" i="3" s="1"/>
  <c r="AI417" i="3" s="1"/>
  <c r="L98" i="9"/>
  <c r="AH402" i="3" s="1"/>
  <c r="L61" i="9"/>
  <c r="AH399" i="3" s="1"/>
  <c r="U153" i="9"/>
  <c r="W153" i="9" s="1"/>
  <c r="U261" i="9"/>
  <c r="W261" i="9" s="1"/>
  <c r="W255" i="9"/>
  <c r="U241" i="9"/>
  <c r="W241" i="9" s="1"/>
  <c r="U239" i="9"/>
  <c r="W239" i="9"/>
  <c r="W230" i="9"/>
  <c r="W222" i="9"/>
  <c r="U208" i="9"/>
  <c r="W208" i="9"/>
  <c r="U195" i="9"/>
  <c r="W195" i="9" s="1"/>
  <c r="U177" i="9"/>
  <c r="W177" i="9" s="1"/>
  <c r="U174" i="9"/>
  <c r="W174" i="9" s="1"/>
  <c r="U171" i="9"/>
  <c r="W171" i="9"/>
  <c r="U155" i="9"/>
  <c r="W155" i="9" s="1"/>
  <c r="U144" i="9"/>
  <c r="W144" i="9" s="1"/>
  <c r="U141" i="9"/>
  <c r="W141" i="9" s="1"/>
  <c r="U132" i="9"/>
  <c r="W132" i="9" s="1"/>
  <c r="U121" i="9"/>
  <c r="W121" i="9" s="1"/>
  <c r="W115" i="9"/>
  <c r="U102" i="9"/>
  <c r="W102" i="9" s="1"/>
  <c r="U98" i="9"/>
  <c r="W98" i="9" s="1"/>
  <c r="U75" i="9"/>
  <c r="W75" i="9" s="1"/>
  <c r="U69" i="9"/>
  <c r="W69" i="9" s="1"/>
  <c r="U61" i="9"/>
  <c r="W61" i="9" s="1"/>
  <c r="U56" i="9"/>
  <c r="W56" i="9" s="1"/>
  <c r="U53" i="9"/>
  <c r="W53" i="9" s="1"/>
  <c r="W51" i="9"/>
  <c r="U34" i="9"/>
  <c r="W34" i="9" s="1"/>
  <c r="U32" i="9"/>
  <c r="W32" i="9" s="1"/>
  <c r="U29" i="9"/>
  <c r="W29" i="9" s="1"/>
  <c r="U27" i="9"/>
  <c r="W27" i="9" s="1"/>
  <c r="U24" i="9"/>
  <c r="W24" i="9" s="1"/>
  <c r="U21" i="9"/>
  <c r="W21" i="9" s="1"/>
  <c r="U18" i="9"/>
  <c r="W18" i="9" s="1"/>
  <c r="U15" i="9"/>
  <c r="W15" i="9" s="1"/>
  <c r="U9" i="9"/>
  <c r="W9" i="9" s="1"/>
  <c r="U120" i="8"/>
  <c r="W120" i="8" s="1"/>
  <c r="Q234" i="8"/>
  <c r="L234" i="8"/>
  <c r="AH282" i="3" s="1"/>
  <c r="Q170" i="8"/>
  <c r="Q142" i="8"/>
  <c r="AH261" i="3"/>
  <c r="Q36" i="8"/>
  <c r="U234" i="8"/>
  <c r="W234" i="8" s="1"/>
  <c r="U217" i="8"/>
  <c r="W217" i="8" s="1"/>
  <c r="U177" i="8"/>
  <c r="W177" i="8" s="1"/>
  <c r="U170" i="8"/>
  <c r="W170" i="8" s="1"/>
  <c r="U159" i="8"/>
  <c r="W159" i="8" s="1"/>
  <c r="U152" i="8"/>
  <c r="W152" i="8" s="1"/>
  <c r="U147" i="8"/>
  <c r="W147" i="8" s="1"/>
  <c r="U144" i="8"/>
  <c r="W144" i="8" s="1"/>
  <c r="U142" i="8"/>
  <c r="W142" i="8" s="1"/>
  <c r="U137" i="8"/>
  <c r="W137" i="8" s="1"/>
  <c r="U92" i="8"/>
  <c r="W92" i="8" s="1"/>
  <c r="U82" i="8"/>
  <c r="W82" i="8" s="1"/>
  <c r="U70" i="8"/>
  <c r="W70" i="8" s="1"/>
  <c r="U68" i="8"/>
  <c r="W68" i="8" s="1"/>
  <c r="U58" i="8"/>
  <c r="W58" i="8" s="1"/>
  <c r="U56" i="8"/>
  <c r="W56" i="8" s="1"/>
  <c r="U49" i="8"/>
  <c r="W49" i="8" s="1"/>
  <c r="U47" i="8"/>
  <c r="W47" i="8" s="1"/>
  <c r="U45" i="8"/>
  <c r="W45" i="8" s="1"/>
  <c r="U43" i="8"/>
  <c r="W43" i="8" s="1"/>
  <c r="W41" i="8"/>
  <c r="U36" i="8"/>
  <c r="W36" i="8" s="1"/>
  <c r="W18" i="8"/>
  <c r="U13" i="8"/>
  <c r="W13" i="8" s="1"/>
  <c r="U11" i="8"/>
  <c r="W11" i="8" s="1"/>
  <c r="L114" i="7"/>
  <c r="AH240" i="3" s="1"/>
  <c r="AI240" i="3" s="1"/>
  <c r="Q80" i="7"/>
  <c r="L57" i="7"/>
  <c r="AH223" i="3" s="1"/>
  <c r="L33" i="7"/>
  <c r="AH215" i="3" s="1"/>
  <c r="Q9" i="7"/>
  <c r="U130" i="7"/>
  <c r="W130" i="7" s="1"/>
  <c r="U114" i="7"/>
  <c r="W114" i="7" s="1"/>
  <c r="U102" i="7"/>
  <c r="W102" i="7"/>
  <c r="W90" i="7"/>
  <c r="U80" i="7"/>
  <c r="W80" i="7"/>
  <c r="U75" i="7"/>
  <c r="W75" i="7" s="1"/>
  <c r="U71" i="7"/>
  <c r="W71" i="7" s="1"/>
  <c r="U67" i="7"/>
  <c r="W67" i="7" s="1"/>
  <c r="U63" i="7"/>
  <c r="W63" i="7"/>
  <c r="U61" i="7"/>
  <c r="W61" i="7" s="1"/>
  <c r="U59" i="7"/>
  <c r="W59" i="7" s="1"/>
  <c r="U57" i="7"/>
  <c r="W57" i="7" s="1"/>
  <c r="U51" i="7"/>
  <c r="W51" i="7"/>
  <c r="U49" i="7"/>
  <c r="W49" i="7" s="1"/>
  <c r="U46" i="7"/>
  <c r="W46" i="7" s="1"/>
  <c r="U41" i="7"/>
  <c r="W41" i="7" s="1"/>
  <c r="U39" i="7"/>
  <c r="W39" i="7" s="1"/>
  <c r="U37" i="7"/>
  <c r="W37" i="7" s="1"/>
  <c r="U35" i="7"/>
  <c r="W35" i="7"/>
  <c r="W33" i="7"/>
  <c r="U29" i="7"/>
  <c r="W29" i="7" s="1"/>
  <c r="U27" i="7"/>
  <c r="W27" i="7" s="1"/>
  <c r="U25" i="7"/>
  <c r="W25" i="7"/>
  <c r="U22" i="7"/>
  <c r="W22" i="7"/>
  <c r="U15" i="7"/>
  <c r="W15" i="7" s="1"/>
  <c r="U13" i="7"/>
  <c r="W13" i="7" s="1"/>
  <c r="U11" i="7"/>
  <c r="W11" i="7" s="1"/>
  <c r="U9" i="7"/>
  <c r="W9" i="7" s="1"/>
  <c r="AE339" i="6"/>
  <c r="AG339" i="6" s="1"/>
  <c r="AE286" i="6"/>
  <c r="AG286" i="6" s="1"/>
  <c r="AE125" i="6"/>
  <c r="AG125" i="6" s="1"/>
  <c r="AG326" i="6"/>
  <c r="AG303" i="6"/>
  <c r="AE265" i="6"/>
  <c r="AG265" i="6" s="1"/>
  <c r="AE259" i="6"/>
  <c r="AG259" i="6" s="1"/>
  <c r="AE250" i="6"/>
  <c r="AG250" i="6" s="1"/>
  <c r="AE235" i="6"/>
  <c r="AG235" i="6" s="1"/>
  <c r="AE233" i="6"/>
  <c r="AG233" i="6" s="1"/>
  <c r="AE231" i="6"/>
  <c r="AG231" i="6" s="1"/>
  <c r="AE226" i="6"/>
  <c r="AG226" i="6" s="1"/>
  <c r="AE223" i="6"/>
  <c r="AG223" i="6" s="1"/>
  <c r="AE213" i="6"/>
  <c r="AG213" i="6" s="1"/>
  <c r="AE211" i="6"/>
  <c r="AG211" i="6" s="1"/>
  <c r="AE209" i="6"/>
  <c r="AG209" i="6" s="1"/>
  <c r="AE195" i="6"/>
  <c r="AG195" i="6" s="1"/>
  <c r="AE193" i="6"/>
  <c r="AG193" i="6" s="1"/>
  <c r="AE191" i="6"/>
  <c r="AG191" i="6" s="1"/>
  <c r="AE188" i="6"/>
  <c r="AG188" i="6" s="1"/>
  <c r="AE172" i="6"/>
  <c r="AG172" i="6" s="1"/>
  <c r="AE160" i="6"/>
  <c r="AG160" i="6" s="1"/>
  <c r="AE151" i="6"/>
  <c r="AG151" i="6" s="1"/>
  <c r="AE141" i="6"/>
  <c r="AG141" i="6" s="1"/>
  <c r="AE130" i="6"/>
  <c r="AG130" i="6" s="1"/>
  <c r="AE119" i="6"/>
  <c r="AG119" i="6" s="1"/>
  <c r="AE116" i="6"/>
  <c r="AG116" i="6" s="1"/>
  <c r="AE114" i="6"/>
  <c r="AG114" i="6" s="1"/>
  <c r="AE93" i="6"/>
  <c r="AG93" i="6" s="1"/>
  <c r="AE82" i="6"/>
  <c r="AG82" i="6" s="1"/>
  <c r="AE80" i="6"/>
  <c r="AG80" i="6" s="1"/>
  <c r="AE64" i="6"/>
  <c r="AG64" i="6" s="1"/>
  <c r="AG42" i="6"/>
  <c r="AE16" i="6"/>
  <c r="AG16" i="6" s="1"/>
  <c r="Q66" i="5"/>
  <c r="L43" i="5"/>
  <c r="AH91" i="3" s="1"/>
  <c r="U235" i="5"/>
  <c r="W235" i="5" s="1"/>
  <c r="U233" i="5"/>
  <c r="W233" i="5" s="1"/>
  <c r="U229" i="5"/>
  <c r="W229" i="5" s="1"/>
  <c r="U205" i="5"/>
  <c r="W205" i="5" s="1"/>
  <c r="U203" i="5"/>
  <c r="W203" i="5" s="1"/>
  <c r="U199" i="5"/>
  <c r="W199" i="5" s="1"/>
  <c r="U196" i="5"/>
  <c r="W196" i="5" s="1"/>
  <c r="U192" i="5"/>
  <c r="W192" i="5" s="1"/>
  <c r="U188" i="5"/>
  <c r="W188" i="5" s="1"/>
  <c r="U183" i="5"/>
  <c r="W183" i="5" s="1"/>
  <c r="U181" i="5"/>
  <c r="W181" i="5" s="1"/>
  <c r="U174" i="5"/>
  <c r="W174" i="5" s="1"/>
  <c r="U171" i="5"/>
  <c r="W171" i="5" s="1"/>
  <c r="U166" i="5"/>
  <c r="W166" i="5" s="1"/>
  <c r="U163" i="5"/>
  <c r="W163" i="5" s="1"/>
  <c r="U158" i="5"/>
  <c r="W158" i="5" s="1"/>
  <c r="U155" i="5"/>
  <c r="W155" i="5" s="1"/>
  <c r="U152" i="5"/>
  <c r="W152" i="5" s="1"/>
  <c r="W148" i="5"/>
  <c r="U140" i="5"/>
  <c r="W140" i="5" s="1"/>
  <c r="W138" i="5"/>
  <c r="U133" i="5"/>
  <c r="W133" i="5" s="1"/>
  <c r="U130" i="5"/>
  <c r="W130" i="5" s="1"/>
  <c r="U128" i="5"/>
  <c r="W128" i="5" s="1"/>
  <c r="U126" i="5"/>
  <c r="W126" i="5" s="1"/>
  <c r="U123" i="5"/>
  <c r="W123" i="5" s="1"/>
  <c r="U121" i="5"/>
  <c r="W121" i="5" s="1"/>
  <c r="U118" i="5"/>
  <c r="W118" i="5"/>
  <c r="U116" i="5"/>
  <c r="W116" i="5" s="1"/>
  <c r="W102" i="5"/>
  <c r="U99" i="5"/>
  <c r="W99" i="5" s="1"/>
  <c r="U97" i="5"/>
  <c r="W97" i="5" s="1"/>
  <c r="U92" i="5"/>
  <c r="W92" i="5" s="1"/>
  <c r="U90" i="5"/>
  <c r="W90" i="5" s="1"/>
  <c r="U87" i="5"/>
  <c r="W87" i="5"/>
  <c r="U84" i="5"/>
  <c r="W84" i="5" s="1"/>
  <c r="U82" i="5"/>
  <c r="W82" i="5" s="1"/>
  <c r="U79" i="5"/>
  <c r="W79" i="5" s="1"/>
  <c r="U77" i="5"/>
  <c r="W77" i="5" s="1"/>
  <c r="U75" i="5"/>
  <c r="W75" i="5" s="1"/>
  <c r="W72" i="5"/>
  <c r="U66" i="5"/>
  <c r="W66" i="5" s="1"/>
  <c r="U60" i="5"/>
  <c r="W60" i="5" s="1"/>
  <c r="U58" i="5"/>
  <c r="W58" i="5" s="1"/>
  <c r="W55" i="5"/>
  <c r="U52" i="5"/>
  <c r="W52" i="5" s="1"/>
  <c r="U45" i="5"/>
  <c r="W45" i="5" s="1"/>
  <c r="U43" i="5"/>
  <c r="W43" i="5"/>
  <c r="U39" i="5"/>
  <c r="W39" i="5" s="1"/>
  <c r="U37" i="5"/>
  <c r="W37" i="5" s="1"/>
  <c r="U35" i="5"/>
  <c r="W35" i="5" s="1"/>
  <c r="U30" i="5"/>
  <c r="W30" i="5" s="1"/>
  <c r="U27" i="5"/>
  <c r="W27" i="5" s="1"/>
  <c r="U25" i="5"/>
  <c r="W25" i="5" s="1"/>
  <c r="U23" i="5"/>
  <c r="W23" i="5" s="1"/>
  <c r="U21" i="5"/>
  <c r="W21" i="5"/>
  <c r="U16" i="5"/>
  <c r="W16" i="5" s="1"/>
  <c r="U13" i="5"/>
  <c r="W13" i="5" s="1"/>
  <c r="U10" i="5"/>
  <c r="W10" i="5" s="1"/>
  <c r="U8" i="5"/>
  <c r="W8" i="5" s="1"/>
  <c r="U167" i="4"/>
  <c r="W167" i="4" s="1"/>
  <c r="U164" i="4"/>
  <c r="W164" i="4" s="1"/>
  <c r="U162" i="4"/>
  <c r="W162" i="4"/>
  <c r="W160" i="4"/>
  <c r="U151" i="4"/>
  <c r="W151" i="4" s="1"/>
  <c r="W147" i="4"/>
  <c r="U141" i="4"/>
  <c r="W141" i="4" s="1"/>
  <c r="U134" i="4"/>
  <c r="W134" i="4" s="1"/>
  <c r="W132" i="4"/>
  <c r="U127" i="4"/>
  <c r="W127" i="4"/>
  <c r="U125" i="4"/>
  <c r="W125" i="4" s="1"/>
  <c r="W123" i="4"/>
  <c r="U115" i="4"/>
  <c r="W115" i="4" s="1"/>
  <c r="U100" i="4"/>
  <c r="W100" i="4" s="1"/>
  <c r="U91" i="4"/>
  <c r="W91" i="4" s="1"/>
  <c r="U93" i="4"/>
  <c r="W93" i="4" s="1"/>
  <c r="U89" i="4"/>
  <c r="W89" i="4" s="1"/>
  <c r="U87" i="4"/>
  <c r="W87" i="4" s="1"/>
  <c r="U85" i="4"/>
  <c r="W85" i="4" s="1"/>
  <c r="U83" i="4"/>
  <c r="W83" i="4" s="1"/>
  <c r="U81" i="4"/>
  <c r="W81" i="4" s="1"/>
  <c r="U76" i="4"/>
  <c r="W76" i="4" s="1"/>
  <c r="U73" i="4"/>
  <c r="W73" i="4"/>
  <c r="U71" i="4"/>
  <c r="W71" i="4" s="1"/>
  <c r="U69" i="4"/>
  <c r="W69" i="4" s="1"/>
  <c r="U67" i="4"/>
  <c r="W67" i="4" s="1"/>
  <c r="U60" i="4"/>
  <c r="W60" i="4" s="1"/>
  <c r="U57" i="4"/>
  <c r="W57" i="4" s="1"/>
  <c r="U55" i="4"/>
  <c r="W55" i="4" s="1"/>
  <c r="U53" i="4"/>
  <c r="W53" i="4" s="1"/>
  <c r="U51" i="4"/>
  <c r="W51" i="4" s="1"/>
  <c r="U48" i="4"/>
  <c r="W48" i="4" s="1"/>
  <c r="U45" i="4"/>
  <c r="W45" i="4" s="1"/>
  <c r="U43" i="4"/>
  <c r="W43" i="4" s="1"/>
  <c r="U41" i="4"/>
  <c r="W41" i="4" s="1"/>
  <c r="U39" i="4"/>
  <c r="W39" i="4" s="1"/>
  <c r="U37" i="4"/>
  <c r="W37" i="4" s="1"/>
  <c r="U35" i="4"/>
  <c r="W35" i="4" s="1"/>
  <c r="U33" i="4"/>
  <c r="W33" i="4" s="1"/>
  <c r="U31" i="4"/>
  <c r="W31" i="4" s="1"/>
  <c r="U28" i="4"/>
  <c r="W28" i="4" s="1"/>
  <c r="U26" i="4"/>
  <c r="W26" i="4" s="1"/>
  <c r="U23" i="4"/>
  <c r="W23" i="4" s="1"/>
  <c r="U21" i="4"/>
  <c r="W21" i="4" s="1"/>
  <c r="U19" i="4"/>
  <c r="W19" i="4" s="1"/>
  <c r="U16" i="4"/>
  <c r="W16" i="4" s="1"/>
  <c r="U14" i="4"/>
  <c r="W14" i="4" s="1"/>
  <c r="U12" i="4"/>
  <c r="W12" i="4" s="1"/>
  <c r="U10" i="4"/>
  <c r="W10" i="4" s="1"/>
  <c r="U8" i="4"/>
  <c r="W8" i="4" s="1"/>
  <c r="Q164" i="4"/>
  <c r="Q87" i="4"/>
  <c r="Q76" i="4"/>
  <c r="L865" i="10"/>
  <c r="AH356" i="3" s="1"/>
  <c r="Q576" i="10"/>
  <c r="Q410" i="10"/>
  <c r="Q170" i="10"/>
  <c r="Q88" i="10"/>
  <c r="Q75" i="10"/>
  <c r="O241" i="9"/>
  <c r="Q241" i="9" s="1"/>
  <c r="J53" i="9"/>
  <c r="L53" i="9" s="1"/>
  <c r="AH397" i="3" s="1"/>
  <c r="Q46" i="7"/>
  <c r="O231" i="6"/>
  <c r="Q231" i="6" s="1"/>
  <c r="Q209" i="6"/>
  <c r="Q188" i="6"/>
  <c r="Q160" i="6"/>
  <c r="L80" i="6"/>
  <c r="AH160" i="3" s="1"/>
  <c r="L16" i="6"/>
  <c r="AH157" i="3" s="1"/>
  <c r="Q102" i="5"/>
  <c r="Q72" i="5"/>
  <c r="Q35" i="5"/>
  <c r="J30" i="5"/>
  <c r="L30" i="5" s="1"/>
  <c r="AH87" i="3" s="1"/>
  <c r="Q115" i="4"/>
  <c r="L326" i="6"/>
  <c r="AH203" i="3" s="1"/>
  <c r="L250" i="6"/>
  <c r="AH188" i="3" s="1"/>
  <c r="AI188" i="3" s="1"/>
  <c r="L172" i="6"/>
  <c r="AH171" i="3" s="1"/>
  <c r="L119" i="6"/>
  <c r="AH165" i="3" s="1"/>
  <c r="J514" i="10"/>
  <c r="L542" i="10"/>
  <c r="AH327" i="3" s="1"/>
  <c r="Q42" i="6"/>
  <c r="AI65" i="3"/>
  <c r="AI47" i="3"/>
  <c r="P201" i="3"/>
  <c r="Q725" i="10"/>
  <c r="L725" i="10"/>
  <c r="AH343" i="3" s="1"/>
  <c r="O119" i="6"/>
  <c r="Q119" i="6" s="1"/>
  <c r="Q80" i="6"/>
  <c r="O82" i="6"/>
  <c r="Q82" i="6" s="1"/>
  <c r="Q16" i="6"/>
  <c r="L579" i="10"/>
  <c r="AH332" i="3" s="1"/>
  <c r="L144" i="9"/>
  <c r="O56" i="8"/>
  <c r="Q56" i="8" s="1"/>
  <c r="J265" i="10"/>
  <c r="J143" i="6"/>
  <c r="L36" i="10"/>
  <c r="AH285" i="3" s="1"/>
  <c r="L38" i="10"/>
  <c r="AH286" i="3" s="1"/>
  <c r="O38" i="10"/>
  <c r="Q38" i="10" s="1"/>
  <c r="L72" i="10"/>
  <c r="AH290" i="3" s="1"/>
  <c r="Q72" i="10"/>
  <c r="L75" i="10"/>
  <c r="AH291" i="3" s="1"/>
  <c r="J77" i="10"/>
  <c r="L77" i="10" s="1"/>
  <c r="AH292" i="3" s="1"/>
  <c r="O77" i="10"/>
  <c r="Q77" i="10" s="1"/>
  <c r="J82" i="10"/>
  <c r="L82" i="10" s="1"/>
  <c r="AH293" i="3" s="1"/>
  <c r="J85" i="10"/>
  <c r="L85" i="10" s="1"/>
  <c r="AH294" i="3" s="1"/>
  <c r="O85" i="10"/>
  <c r="Q85" i="10" s="1"/>
  <c r="L88" i="10"/>
  <c r="AH295" i="3" s="1"/>
  <c r="Q111" i="10"/>
  <c r="Q120" i="10"/>
  <c r="J122" i="10"/>
  <c r="L122" i="10" s="1"/>
  <c r="AH299" i="3" s="1"/>
  <c r="J124" i="10"/>
  <c r="L124" i="10" s="1"/>
  <c r="AH300" i="3" s="1"/>
  <c r="O124" i="10"/>
  <c r="Q124" i="10" s="1"/>
  <c r="L179" i="10"/>
  <c r="AH304" i="3" s="1"/>
  <c r="L191" i="10"/>
  <c r="AH306" i="3" s="1"/>
  <c r="O199" i="10"/>
  <c r="O354" i="10"/>
  <c r="O361" i="10" s="1"/>
  <c r="L410" i="10"/>
  <c r="AH318" i="3" s="1"/>
  <c r="L476" i="10"/>
  <c r="Q493" i="10"/>
  <c r="O496" i="10"/>
  <c r="Q496" i="10" s="1"/>
  <c r="J544" i="10"/>
  <c r="L544" i="10" s="1"/>
  <c r="AH328" i="3" s="1"/>
  <c r="O544" i="10"/>
  <c r="Q544" i="10" s="1"/>
  <c r="J576" i="10"/>
  <c r="L576" i="10" s="1"/>
  <c r="AH331" i="3" s="1"/>
  <c r="O617" i="10"/>
  <c r="O631" i="10" s="1"/>
  <c r="AH338" i="3"/>
  <c r="L716" i="10"/>
  <c r="AH342" i="3" s="1"/>
  <c r="L730" i="10"/>
  <c r="AH344" i="3" s="1"/>
  <c r="L853" i="10"/>
  <c r="AH353" i="3" s="1"/>
  <c r="AI353" i="3" s="1"/>
  <c r="Q853" i="10"/>
  <c r="L1005" i="10"/>
  <c r="AH371" i="3" s="1"/>
  <c r="AI371" i="3" s="1"/>
  <c r="Q1005" i="10"/>
  <c r="J1057" i="10"/>
  <c r="L1057" i="10" s="1"/>
  <c r="AH386" i="3" s="1"/>
  <c r="AI386" i="3" s="1"/>
  <c r="O1057" i="10"/>
  <c r="Q1057" i="10" s="1"/>
  <c r="AH387" i="3"/>
  <c r="O9" i="9"/>
  <c r="Q9" i="9" s="1"/>
  <c r="L15" i="9"/>
  <c r="AH388" i="3" s="1"/>
  <c r="Q15" i="9"/>
  <c r="J18" i="9"/>
  <c r="L18" i="9" s="1"/>
  <c r="AH389" i="3" s="1"/>
  <c r="O18" i="9"/>
  <c r="Q18" i="9"/>
  <c r="J21" i="9"/>
  <c r="L21" i="9"/>
  <c r="AH390" i="3" s="1"/>
  <c r="O21" i="9"/>
  <c r="Q21" i="9" s="1"/>
  <c r="J24" i="9"/>
  <c r="L24" i="9" s="1"/>
  <c r="AH391" i="3" s="1"/>
  <c r="O24" i="9"/>
  <c r="Q24" i="9"/>
  <c r="L27" i="9"/>
  <c r="O27" i="9"/>
  <c r="Q27" i="9" s="1"/>
  <c r="J29" i="9"/>
  <c r="L29" i="9" s="1"/>
  <c r="AH393" i="3" s="1"/>
  <c r="O29" i="9"/>
  <c r="Q29" i="9" s="1"/>
  <c r="J32" i="9"/>
  <c r="L32" i="9"/>
  <c r="AH394" i="3" s="1"/>
  <c r="O32" i="9"/>
  <c r="Q32" i="9" s="1"/>
  <c r="J34" i="9"/>
  <c r="L34" i="9" s="1"/>
  <c r="AH395" i="3" s="1"/>
  <c r="O34" i="9"/>
  <c r="Q34" i="9" s="1"/>
  <c r="L51" i="9"/>
  <c r="Q51" i="9"/>
  <c r="O53" i="9"/>
  <c r="Q53" i="9" s="1"/>
  <c r="J56" i="9"/>
  <c r="L56" i="9" s="1"/>
  <c r="AH398" i="3" s="1"/>
  <c r="Q61" i="9"/>
  <c r="L69" i="9"/>
  <c r="AH400" i="3" s="1"/>
  <c r="Q69" i="9"/>
  <c r="AH401" i="3"/>
  <c r="Q75" i="9"/>
  <c r="L102" i="9"/>
  <c r="AH403" i="3" s="1"/>
  <c r="O102" i="9"/>
  <c r="Q102" i="9"/>
  <c r="L115" i="9"/>
  <c r="AH404" i="3" s="1"/>
  <c r="Q115" i="9"/>
  <c r="L121" i="9"/>
  <c r="AH405" i="3" s="1"/>
  <c r="Q121" i="9"/>
  <c r="L132" i="9"/>
  <c r="AH406" i="3" s="1"/>
  <c r="Q144" i="9"/>
  <c r="L153" i="9"/>
  <c r="AH409" i="3" s="1"/>
  <c r="J155" i="9"/>
  <c r="L155" i="9" s="1"/>
  <c r="AH410" i="3" s="1"/>
  <c r="O155" i="9"/>
  <c r="Q155" i="9" s="1"/>
  <c r="L174" i="9"/>
  <c r="AH412" i="3" s="1"/>
  <c r="Q174" i="9"/>
  <c r="L177" i="9"/>
  <c r="AH413" i="3" s="1"/>
  <c r="Q177" i="9"/>
  <c r="O226" i="9"/>
  <c r="O230" i="9" s="1"/>
  <c r="Q230" i="9" s="1"/>
  <c r="AH423" i="3"/>
  <c r="AI423" i="3" s="1"/>
  <c r="L255" i="9"/>
  <c r="AH432" i="3" s="1"/>
  <c r="AI432" i="3" s="1"/>
  <c r="Q255" i="9"/>
  <c r="Q11" i="8"/>
  <c r="J13" i="8"/>
  <c r="L13" i="8" s="1"/>
  <c r="O13" i="8"/>
  <c r="Q13" i="8" s="1"/>
  <c r="L18" i="8"/>
  <c r="AH246" i="3" s="1"/>
  <c r="L41" i="8"/>
  <c r="AH248" i="3" s="1"/>
  <c r="Q41" i="8"/>
  <c r="J43" i="8"/>
  <c r="L43" i="8" s="1"/>
  <c r="AH249" i="3" s="1"/>
  <c r="O43" i="8"/>
  <c r="Q43" i="8" s="1"/>
  <c r="J45" i="8"/>
  <c r="L45" i="8" s="1"/>
  <c r="AH250" i="3" s="1"/>
  <c r="O45" i="8"/>
  <c r="Q45" i="8" s="1"/>
  <c r="J47" i="8"/>
  <c r="L47" i="8" s="1"/>
  <c r="AH251" i="3" s="1"/>
  <c r="O47" i="8"/>
  <c r="Q47" i="8" s="1"/>
  <c r="J49" i="8"/>
  <c r="L49" i="8" s="1"/>
  <c r="AH252" i="3" s="1"/>
  <c r="O49" i="8"/>
  <c r="Q49" i="8" s="1"/>
  <c r="J58" i="8"/>
  <c r="L58" i="8" s="1"/>
  <c r="AH254" i="3" s="1"/>
  <c r="O58" i="8"/>
  <c r="Q58" i="8" s="1"/>
  <c r="AH255" i="3"/>
  <c r="J70" i="8"/>
  <c r="L70" i="8" s="1"/>
  <c r="AH256" i="3" s="1"/>
  <c r="O70" i="8"/>
  <c r="Q70" i="8" s="1"/>
  <c r="Q82" i="8"/>
  <c r="L92" i="8"/>
  <c r="AH258" i="3" s="1"/>
  <c r="Q137" i="8"/>
  <c r="J144" i="8"/>
  <c r="L144" i="8" s="1"/>
  <c r="AH264" i="3" s="1"/>
  <c r="O144" i="8"/>
  <c r="Q144" i="8"/>
  <c r="L147" i="8"/>
  <c r="AH265" i="3" s="1"/>
  <c r="O147" i="8"/>
  <c r="Q147" i="8" s="1"/>
  <c r="Q159" i="8"/>
  <c r="L170" i="8"/>
  <c r="AH270" i="3" s="1"/>
  <c r="AI270" i="3" s="1"/>
  <c r="L9" i="7"/>
  <c r="J11" i="7"/>
  <c r="O11" i="7"/>
  <c r="Q11" i="7"/>
  <c r="J13" i="7"/>
  <c r="L13" i="7" s="1"/>
  <c r="AH209" i="3" s="1"/>
  <c r="O13" i="7"/>
  <c r="Q13" i="7" s="1"/>
  <c r="J15" i="7"/>
  <c r="L15" i="7" s="1"/>
  <c r="AH210" i="3" s="1"/>
  <c r="O15" i="7"/>
  <c r="Q15" i="7" s="1"/>
  <c r="L22" i="7"/>
  <c r="AH211" i="3" s="1"/>
  <c r="Q22" i="7"/>
  <c r="L25" i="7"/>
  <c r="AH212" i="3" s="1"/>
  <c r="J27" i="7"/>
  <c r="L27" i="7" s="1"/>
  <c r="AH213" i="3" s="1"/>
  <c r="O27" i="7"/>
  <c r="Q27" i="7" s="1"/>
  <c r="J29" i="7"/>
  <c r="L29" i="7" s="1"/>
  <c r="AH214" i="3" s="1"/>
  <c r="O29" i="7"/>
  <c r="Q29" i="7" s="1"/>
  <c r="Q33" i="7"/>
  <c r="J35" i="7"/>
  <c r="L35" i="7" s="1"/>
  <c r="AH216" i="3" s="1"/>
  <c r="O35" i="7"/>
  <c r="Q35" i="7"/>
  <c r="J37" i="7"/>
  <c r="L37" i="7" s="1"/>
  <c r="AH217" i="3" s="1"/>
  <c r="O37" i="7"/>
  <c r="Q37" i="7" s="1"/>
  <c r="J39" i="7"/>
  <c r="L39" i="7"/>
  <c r="AH218" i="3" s="1"/>
  <c r="O39" i="7"/>
  <c r="Q39" i="7" s="1"/>
  <c r="J41" i="7"/>
  <c r="L41" i="7"/>
  <c r="AH219" i="3" s="1"/>
  <c r="O41" i="7"/>
  <c r="Q41" i="7"/>
  <c r="L46" i="7"/>
  <c r="AH220" i="3" s="1"/>
  <c r="J49" i="7"/>
  <c r="L49" i="7" s="1"/>
  <c r="AH221" i="3" s="1"/>
  <c r="O49" i="7"/>
  <c r="Q49" i="7" s="1"/>
  <c r="J51" i="7"/>
  <c r="L51" i="7" s="1"/>
  <c r="AH222" i="3" s="1"/>
  <c r="O51" i="7"/>
  <c r="Q51" i="7" s="1"/>
  <c r="Q57" i="7"/>
  <c r="J59" i="7"/>
  <c r="L59" i="7" s="1"/>
  <c r="AH224" i="3" s="1"/>
  <c r="O59" i="7"/>
  <c r="Q59" i="7" s="1"/>
  <c r="J61" i="7"/>
  <c r="L61" i="7" s="1"/>
  <c r="AH225" i="3" s="1"/>
  <c r="O61" i="7"/>
  <c r="Q61" i="7" s="1"/>
  <c r="J63" i="7"/>
  <c r="L63" i="7" s="1"/>
  <c r="AH226" i="3" s="1"/>
  <c r="J67" i="7"/>
  <c r="L67" i="7" s="1"/>
  <c r="AH228" i="3" s="1"/>
  <c r="Q71" i="7"/>
  <c r="L75" i="7"/>
  <c r="AH230" i="3" s="1"/>
  <c r="O75" i="7"/>
  <c r="Q75" i="7" s="1"/>
  <c r="L80" i="7"/>
  <c r="L90" i="7"/>
  <c r="AH234" i="3" s="1"/>
  <c r="AI234" i="3" s="1"/>
  <c r="Q90" i="7"/>
  <c r="J94" i="7"/>
  <c r="Q102" i="7"/>
  <c r="AH243" i="3"/>
  <c r="AI243" i="3" s="1"/>
  <c r="Q130" i="7"/>
  <c r="T16" i="6"/>
  <c r="V16" i="6" s="1"/>
  <c r="Y16" i="6"/>
  <c r="AA16" i="6" s="1"/>
  <c r="T42" i="6"/>
  <c r="V42" i="6" s="1"/>
  <c r="Y42" i="6"/>
  <c r="AA42" i="6" s="1"/>
  <c r="Q64" i="6"/>
  <c r="T64" i="6"/>
  <c r="V64" i="6" s="1"/>
  <c r="Y64" i="6"/>
  <c r="AA64" i="6" s="1"/>
  <c r="T80" i="6"/>
  <c r="V80" i="6" s="1"/>
  <c r="Y80" i="6"/>
  <c r="AA80" i="6" s="1"/>
  <c r="J82" i="6"/>
  <c r="L82" i="6" s="1"/>
  <c r="AH161" i="3" s="1"/>
  <c r="T82" i="6"/>
  <c r="V82" i="6" s="1"/>
  <c r="Y82" i="6"/>
  <c r="AA82" i="6" s="1"/>
  <c r="T93" i="6"/>
  <c r="V93" i="6" s="1"/>
  <c r="Y93" i="6"/>
  <c r="AA93" i="6" s="1"/>
  <c r="L114" i="6"/>
  <c r="AH163" i="3" s="1"/>
  <c r="T114" i="6"/>
  <c r="V114" i="6" s="1"/>
  <c r="Y114" i="6"/>
  <c r="AA114" i="6" s="1"/>
  <c r="J116" i="6"/>
  <c r="L116" i="6" s="1"/>
  <c r="AH164" i="3" s="1"/>
  <c r="O116" i="6"/>
  <c r="Q116" i="6" s="1"/>
  <c r="T116" i="6"/>
  <c r="V116" i="6" s="1"/>
  <c r="Y116" i="6"/>
  <c r="AA116" i="6" s="1"/>
  <c r="T119" i="6"/>
  <c r="V119" i="6" s="1"/>
  <c r="Y119" i="6"/>
  <c r="AA119" i="6" s="1"/>
  <c r="L125" i="6"/>
  <c r="AH166" i="3" s="1"/>
  <c r="T125" i="6"/>
  <c r="V125" i="6" s="1"/>
  <c r="Y125" i="6"/>
  <c r="AA125" i="6" s="1"/>
  <c r="T130" i="6"/>
  <c r="V130" i="6" s="1"/>
  <c r="Y130" i="6"/>
  <c r="AA130" i="6" s="1"/>
  <c r="Q141" i="6"/>
  <c r="T141" i="6"/>
  <c r="V141" i="6" s="1"/>
  <c r="Y141" i="6"/>
  <c r="AA141" i="6" s="1"/>
  <c r="T151" i="6"/>
  <c r="V151" i="6" s="1"/>
  <c r="Y151" i="6"/>
  <c r="AA151" i="6" s="1"/>
  <c r="L160" i="6"/>
  <c r="AH170" i="3" s="1"/>
  <c r="T160" i="6"/>
  <c r="V160" i="6" s="1"/>
  <c r="Y160" i="6"/>
  <c r="AA160" i="6" s="1"/>
  <c r="T172" i="6"/>
  <c r="V172" i="6" s="1"/>
  <c r="Y172" i="6"/>
  <c r="AA172" i="6" s="1"/>
  <c r="L188" i="6"/>
  <c r="AH172" i="3" s="1"/>
  <c r="T188" i="6"/>
  <c r="V188" i="6" s="1"/>
  <c r="Y188" i="6"/>
  <c r="AA188" i="6" s="1"/>
  <c r="L191" i="6"/>
  <c r="AH173" i="3" s="1"/>
  <c r="O191" i="6"/>
  <c r="Q191" i="6" s="1"/>
  <c r="T191" i="6"/>
  <c r="V191" i="6" s="1"/>
  <c r="Y191" i="6"/>
  <c r="AA191" i="6" s="1"/>
  <c r="J193" i="6"/>
  <c r="L193" i="6" s="1"/>
  <c r="AH174" i="3" s="1"/>
  <c r="O193" i="6"/>
  <c r="Q193" i="6" s="1"/>
  <c r="T193" i="6"/>
  <c r="V193" i="6" s="1"/>
  <c r="Y193" i="6"/>
  <c r="AA193" i="6" s="1"/>
  <c r="J195" i="6"/>
  <c r="L195" i="6" s="1"/>
  <c r="AH175" i="3" s="1"/>
  <c r="O195" i="6"/>
  <c r="Q195" i="6" s="1"/>
  <c r="T195" i="6"/>
  <c r="V195" i="6" s="1"/>
  <c r="Y195" i="6"/>
  <c r="AA195" i="6" s="1"/>
  <c r="T209" i="6"/>
  <c r="V209" i="6" s="1"/>
  <c r="Y209" i="6"/>
  <c r="AA209" i="6" s="1"/>
  <c r="J211" i="6"/>
  <c r="L211" i="6" s="1"/>
  <c r="AH177" i="3" s="1"/>
  <c r="O211" i="6"/>
  <c r="Q211" i="6" s="1"/>
  <c r="T211" i="6"/>
  <c r="V211" i="6" s="1"/>
  <c r="Y211" i="6"/>
  <c r="AA211" i="6" s="1"/>
  <c r="J213" i="6"/>
  <c r="L213" i="6" s="1"/>
  <c r="AH178" i="3" s="1"/>
  <c r="O213" i="6"/>
  <c r="Q213" i="6" s="1"/>
  <c r="T213" i="6"/>
  <c r="V213" i="6" s="1"/>
  <c r="Y213" i="6"/>
  <c r="AA213" i="6" s="1"/>
  <c r="L223" i="6"/>
  <c r="AH179" i="3" s="1"/>
  <c r="Q223" i="6"/>
  <c r="T223" i="6"/>
  <c r="V223" i="6" s="1"/>
  <c r="Y223" i="6"/>
  <c r="AA223" i="6" s="1"/>
  <c r="L226" i="6"/>
  <c r="AH180" i="3" s="1"/>
  <c r="T226" i="6"/>
  <c r="V226" i="6" s="1"/>
  <c r="Y226" i="6"/>
  <c r="AA226" i="6" s="1"/>
  <c r="L231" i="6"/>
  <c r="AH181" i="3" s="1"/>
  <c r="T231" i="6"/>
  <c r="V231" i="6" s="1"/>
  <c r="Y231" i="6"/>
  <c r="AA231" i="6" s="1"/>
  <c r="J233" i="6"/>
  <c r="L233" i="6" s="1"/>
  <c r="AH182" i="3" s="1"/>
  <c r="O233" i="6"/>
  <c r="Q233" i="6" s="1"/>
  <c r="T233" i="6"/>
  <c r="V233" i="6" s="1"/>
  <c r="Y233" i="6"/>
  <c r="AA233" i="6" s="1"/>
  <c r="J235" i="6"/>
  <c r="L235" i="6" s="1"/>
  <c r="AH185" i="3" s="1"/>
  <c r="O235" i="6"/>
  <c r="Q235" i="6" s="1"/>
  <c r="T235" i="6"/>
  <c r="V235" i="6" s="1"/>
  <c r="Y235" i="6"/>
  <c r="AA235" i="6" s="1"/>
  <c r="T250" i="6"/>
  <c r="V250" i="6" s="1"/>
  <c r="Y250" i="6"/>
  <c r="AA250" i="6" s="1"/>
  <c r="L259" i="6"/>
  <c r="AH191" i="3" s="1"/>
  <c r="AI191" i="3" s="1"/>
  <c r="T259" i="6"/>
  <c r="V259" i="6" s="1"/>
  <c r="Y259" i="6"/>
  <c r="AA259" i="6" s="1"/>
  <c r="L265" i="6"/>
  <c r="AH194" i="3" s="1"/>
  <c r="AI194" i="3" s="1"/>
  <c r="Q265" i="6"/>
  <c r="T265" i="6"/>
  <c r="V265" i="6" s="1"/>
  <c r="Y265" i="6"/>
  <c r="AA265" i="6" s="1"/>
  <c r="L286" i="6"/>
  <c r="AH197" i="3" s="1"/>
  <c r="AI197" i="3" s="1"/>
  <c r="Q286" i="6"/>
  <c r="T286" i="6"/>
  <c r="V286" i="6" s="1"/>
  <c r="Y286" i="6"/>
  <c r="AA286" i="6" s="1"/>
  <c r="T303" i="6"/>
  <c r="V303" i="6"/>
  <c r="Y303" i="6"/>
  <c r="AA303" i="6" s="1"/>
  <c r="Q326" i="6"/>
  <c r="T326" i="6"/>
  <c r="V326" i="6" s="1"/>
  <c r="Y326" i="6"/>
  <c r="AA326" i="6" s="1"/>
  <c r="T339" i="6"/>
  <c r="V339" i="6" s="1"/>
  <c r="Y339" i="6"/>
  <c r="AA339" i="6" s="1"/>
  <c r="J8" i="5"/>
  <c r="L8" i="5" s="1"/>
  <c r="AH79" i="3" s="1"/>
  <c r="J10" i="5"/>
  <c r="L10" i="5" s="1"/>
  <c r="AH80" i="3" s="1"/>
  <c r="L13" i="5"/>
  <c r="AH81" i="3" s="1"/>
  <c r="O13" i="5"/>
  <c r="Q13" i="5" s="1"/>
  <c r="L16" i="5"/>
  <c r="AH82" i="3" s="1"/>
  <c r="O16" i="5"/>
  <c r="Q16" i="5" s="1"/>
  <c r="Q21" i="5"/>
  <c r="J23" i="5"/>
  <c r="L23" i="5" s="1"/>
  <c r="AH84" i="3" s="1"/>
  <c r="O23" i="5"/>
  <c r="Q23" i="5" s="1"/>
  <c r="J25" i="5"/>
  <c r="L25" i="5" s="1"/>
  <c r="AH85" i="3" s="1"/>
  <c r="O25" i="5"/>
  <c r="Q25" i="5" s="1"/>
  <c r="J27" i="5"/>
  <c r="L27" i="5" s="1"/>
  <c r="O27" i="5"/>
  <c r="Q27" i="5" s="1"/>
  <c r="O30" i="5"/>
  <c r="Q30" i="5" s="1"/>
  <c r="J35" i="5"/>
  <c r="L35" i="5"/>
  <c r="AH88" i="3" s="1"/>
  <c r="J37" i="5"/>
  <c r="L37" i="5" s="1"/>
  <c r="AH89" i="3" s="1"/>
  <c r="Q37" i="5"/>
  <c r="J39" i="5"/>
  <c r="L39" i="5" s="1"/>
  <c r="AH90" i="3" s="1"/>
  <c r="O39" i="5"/>
  <c r="Q39" i="5" s="1"/>
  <c r="L45" i="5"/>
  <c r="AH92" i="3" s="1"/>
  <c r="O45" i="5"/>
  <c r="Q45" i="5" s="1"/>
  <c r="L52" i="5"/>
  <c r="AH93" i="3" s="1"/>
  <c r="Q52" i="5"/>
  <c r="L55" i="5"/>
  <c r="AH94" i="3" s="1"/>
  <c r="Q55" i="5"/>
  <c r="L58" i="5"/>
  <c r="AH95" i="3" s="1"/>
  <c r="O58" i="5"/>
  <c r="Q58" i="5" s="1"/>
  <c r="J60" i="5"/>
  <c r="L60" i="5" s="1"/>
  <c r="AH96" i="3" s="1"/>
  <c r="O60" i="5"/>
  <c r="Q60" i="5" s="1"/>
  <c r="J62" i="5"/>
  <c r="L66" i="5" s="1"/>
  <c r="AH97" i="3" s="1"/>
  <c r="Q75" i="5"/>
  <c r="J77" i="5"/>
  <c r="L77" i="5" s="1"/>
  <c r="AH100" i="3" s="1"/>
  <c r="O77" i="5"/>
  <c r="Q77" i="5" s="1"/>
  <c r="J79" i="5"/>
  <c r="L79" i="5" s="1"/>
  <c r="AH101" i="3" s="1"/>
  <c r="O79" i="5"/>
  <c r="Q79" i="5" s="1"/>
  <c r="Q82" i="5"/>
  <c r="J84" i="5"/>
  <c r="L84" i="5" s="1"/>
  <c r="AH103" i="3" s="1"/>
  <c r="L87" i="5"/>
  <c r="AH104" i="3" s="1"/>
  <c r="Q87" i="5"/>
  <c r="J90" i="5"/>
  <c r="L90" i="5" s="1"/>
  <c r="AH105" i="3" s="1"/>
  <c r="J92" i="5"/>
  <c r="L92" i="5" s="1"/>
  <c r="AH106" i="3" s="1"/>
  <c r="O92" i="5"/>
  <c r="Q92" i="5" s="1"/>
  <c r="L97" i="5"/>
  <c r="AH107" i="3" s="1"/>
  <c r="Q97" i="5"/>
  <c r="J99" i="5"/>
  <c r="L99" i="5" s="1"/>
  <c r="AH108" i="3" s="1"/>
  <c r="O99" i="5"/>
  <c r="Q99" i="5" s="1"/>
  <c r="L102" i="5"/>
  <c r="AH109" i="3" s="1"/>
  <c r="L116" i="5"/>
  <c r="AH110" i="3" s="1"/>
  <c r="Q116" i="5"/>
  <c r="J118" i="5"/>
  <c r="L118" i="5" s="1"/>
  <c r="AH111" i="3" s="1"/>
  <c r="O118" i="5"/>
  <c r="Q118" i="5" s="1"/>
  <c r="L121" i="5"/>
  <c r="AH112" i="3" s="1"/>
  <c r="J123" i="5"/>
  <c r="L123" i="5" s="1"/>
  <c r="AH113" i="3" s="1"/>
  <c r="O123" i="5"/>
  <c r="Q123" i="5" s="1"/>
  <c r="L126" i="5"/>
  <c r="AH114" i="3" s="1"/>
  <c r="J128" i="5"/>
  <c r="L128" i="5" s="1"/>
  <c r="AH115" i="3" s="1"/>
  <c r="Q128" i="5"/>
  <c r="J130" i="5"/>
  <c r="L130" i="5" s="1"/>
  <c r="AH116" i="3" s="1"/>
  <c r="O130" i="5"/>
  <c r="Q130" i="5" s="1"/>
  <c r="L133" i="5"/>
  <c r="AH117" i="3" s="1"/>
  <c r="Q133" i="5"/>
  <c r="L138" i="5"/>
  <c r="AH118" i="3" s="1"/>
  <c r="J140" i="5"/>
  <c r="L140" i="5" s="1"/>
  <c r="AH119" i="3" s="1"/>
  <c r="O140" i="5"/>
  <c r="Q140" i="5" s="1"/>
  <c r="L148" i="5"/>
  <c r="AH120" i="3" s="1"/>
  <c r="Q148" i="5"/>
  <c r="J155" i="5"/>
  <c r="L155" i="5" s="1"/>
  <c r="AH122" i="3" s="1"/>
  <c r="Q158" i="5"/>
  <c r="L163" i="5"/>
  <c r="AH124" i="3" s="1"/>
  <c r="Q163" i="5"/>
  <c r="L166" i="5"/>
  <c r="AH125" i="3" s="1"/>
  <c r="Q166" i="5"/>
  <c r="O171" i="5"/>
  <c r="Q171" i="5" s="1"/>
  <c r="J174" i="5"/>
  <c r="L174" i="5" s="1"/>
  <c r="AH127" i="3" s="1"/>
  <c r="L181" i="5"/>
  <c r="AH128" i="3" s="1"/>
  <c r="J183" i="5"/>
  <c r="L183" i="5" s="1"/>
  <c r="AH129" i="3" s="1"/>
  <c r="O183" i="5"/>
  <c r="Q183" i="5" s="1"/>
  <c r="L192" i="5"/>
  <c r="AH135" i="3" s="1"/>
  <c r="AI135" i="3" s="1"/>
  <c r="Q196" i="5"/>
  <c r="L199" i="5"/>
  <c r="AH141" i="3" s="1"/>
  <c r="AI141" i="3" s="1"/>
  <c r="O199" i="5"/>
  <c r="Q199" i="5"/>
  <c r="J203" i="5"/>
  <c r="L203" i="5" s="1"/>
  <c r="AH144" i="3" s="1"/>
  <c r="AI144" i="3" s="1"/>
  <c r="J205" i="5"/>
  <c r="L205" i="5" s="1"/>
  <c r="AH147" i="3" s="1"/>
  <c r="AI147" i="3" s="1"/>
  <c r="O205" i="5"/>
  <c r="Q205" i="5"/>
  <c r="L233" i="5"/>
  <c r="AH153" i="3" s="1"/>
  <c r="AI153" i="3" s="1"/>
  <c r="Q233" i="5"/>
  <c r="J235" i="5"/>
  <c r="L235" i="5" s="1"/>
  <c r="O235" i="5"/>
  <c r="Q235" i="5" s="1"/>
  <c r="L8" i="4"/>
  <c r="O8" i="4"/>
  <c r="Q8" i="4" s="1"/>
  <c r="J10" i="4"/>
  <c r="L10" i="4" s="1"/>
  <c r="AH10" i="3" s="1"/>
  <c r="O10" i="4"/>
  <c r="Q10" i="4" s="1"/>
  <c r="J12" i="4"/>
  <c r="L12" i="4" s="1"/>
  <c r="AH11" i="3" s="1"/>
  <c r="O12" i="4"/>
  <c r="Q12" i="4" s="1"/>
  <c r="J14" i="4"/>
  <c r="L14" i="4" s="1"/>
  <c r="AH12" i="3" s="1"/>
  <c r="O14" i="4"/>
  <c r="Q14" i="4" s="1"/>
  <c r="J16" i="4"/>
  <c r="L16" i="4" s="1"/>
  <c r="AH13" i="3" s="1"/>
  <c r="O16" i="4"/>
  <c r="Q16" i="4" s="1"/>
  <c r="L19" i="4"/>
  <c r="O19" i="4"/>
  <c r="Q19" i="4" s="1"/>
  <c r="J21" i="4"/>
  <c r="L21" i="4" s="1"/>
  <c r="AH15" i="3" s="1"/>
  <c r="O21" i="4"/>
  <c r="Q21" i="4" s="1"/>
  <c r="J23" i="4"/>
  <c r="L23" i="4" s="1"/>
  <c r="AH16" i="3" s="1"/>
  <c r="O23" i="4"/>
  <c r="Q23" i="4" s="1"/>
  <c r="L26" i="4"/>
  <c r="AH17" i="3" s="1"/>
  <c r="O26" i="4"/>
  <c r="Q26" i="4" s="1"/>
  <c r="J28" i="4"/>
  <c r="L28" i="4" s="1"/>
  <c r="AH18" i="3" s="1"/>
  <c r="O28" i="4"/>
  <c r="Q28" i="4" s="1"/>
  <c r="L31" i="4"/>
  <c r="AH19" i="3" s="1"/>
  <c r="O31" i="4"/>
  <c r="Q31" i="4" s="1"/>
  <c r="J33" i="4"/>
  <c r="L33" i="4"/>
  <c r="AH20" i="3" s="1"/>
  <c r="O33" i="4"/>
  <c r="Q33" i="4" s="1"/>
  <c r="J35" i="4"/>
  <c r="L35" i="4" s="1"/>
  <c r="AH21" i="3" s="1"/>
  <c r="O35" i="4"/>
  <c r="Q35" i="4"/>
  <c r="J37" i="4"/>
  <c r="L37" i="4" s="1"/>
  <c r="AH22" i="3" s="1"/>
  <c r="J39" i="4"/>
  <c r="L39" i="4" s="1"/>
  <c r="AH23" i="3" s="1"/>
  <c r="O39" i="4"/>
  <c r="Q39" i="4"/>
  <c r="J41" i="4"/>
  <c r="L41" i="4" s="1"/>
  <c r="AH24" i="3" s="1"/>
  <c r="O41" i="4"/>
  <c r="Q41" i="4" s="1"/>
  <c r="J43" i="4"/>
  <c r="L43" i="4" s="1"/>
  <c r="AH25" i="3" s="1"/>
  <c r="O43" i="4"/>
  <c r="Q43" i="4" s="1"/>
  <c r="J45" i="4"/>
  <c r="L45" i="4" s="1"/>
  <c r="AH26" i="3" s="1"/>
  <c r="O45" i="4"/>
  <c r="Q45" i="4" s="1"/>
  <c r="L48" i="4"/>
  <c r="AH27" i="3" s="1"/>
  <c r="O48" i="4"/>
  <c r="Q48" i="4" s="1"/>
  <c r="L51" i="4"/>
  <c r="AH28" i="3" s="1"/>
  <c r="Q51" i="4"/>
  <c r="J53" i="4"/>
  <c r="L53" i="4" s="1"/>
  <c r="AH29" i="3" s="1"/>
  <c r="O53" i="4"/>
  <c r="Q53" i="4" s="1"/>
  <c r="J55" i="4"/>
  <c r="L55" i="4" s="1"/>
  <c r="J57" i="4"/>
  <c r="L57" i="4" s="1"/>
  <c r="AH31" i="3" s="1"/>
  <c r="O57" i="4"/>
  <c r="Q57" i="4" s="1"/>
  <c r="L60" i="4"/>
  <c r="AH32" i="3" s="1"/>
  <c r="O60" i="4"/>
  <c r="Q60" i="4" s="1"/>
  <c r="L67" i="4"/>
  <c r="AH33" i="3" s="1"/>
  <c r="Q67" i="4"/>
  <c r="J69" i="4"/>
  <c r="L69" i="4" s="1"/>
  <c r="AH34" i="3" s="1"/>
  <c r="O69" i="4"/>
  <c r="Q69" i="4" s="1"/>
  <c r="J71" i="4"/>
  <c r="L71" i="4" s="1"/>
  <c r="AH35" i="3" s="1"/>
  <c r="O71" i="4"/>
  <c r="Q71" i="4" s="1"/>
  <c r="J73" i="4"/>
  <c r="L73" i="4" s="1"/>
  <c r="AH36" i="3" s="1"/>
  <c r="O73" i="4"/>
  <c r="Q73" i="4" s="1"/>
  <c r="L76" i="4"/>
  <c r="AH37" i="3" s="1"/>
  <c r="L81" i="4"/>
  <c r="Q81" i="4"/>
  <c r="J83" i="4"/>
  <c r="L83" i="4" s="1"/>
  <c r="O83" i="4"/>
  <c r="Q83" i="4" s="1"/>
  <c r="J85" i="4"/>
  <c r="L85" i="4" s="1"/>
  <c r="AH42" i="3" s="1"/>
  <c r="AI42" i="3" s="1"/>
  <c r="O85" i="4"/>
  <c r="Q85" i="4" s="1"/>
  <c r="J87" i="4"/>
  <c r="L87" i="4" s="1"/>
  <c r="AI45" i="3" s="1"/>
  <c r="J89" i="4"/>
  <c r="L89" i="4" s="1"/>
  <c r="AI48" i="3" s="1"/>
  <c r="Q89" i="4"/>
  <c r="J93" i="4"/>
  <c r="L93" i="4" s="1"/>
  <c r="O93" i="4"/>
  <c r="Q93" i="4" s="1"/>
  <c r="J91" i="4"/>
  <c r="L91" i="4" s="1"/>
  <c r="AH51" i="3" s="1"/>
  <c r="AI51" i="3" s="1"/>
  <c r="O91" i="4"/>
  <c r="Q91" i="4" s="1"/>
  <c r="Q100" i="4"/>
  <c r="J102" i="4"/>
  <c r="Q123" i="4"/>
  <c r="L125" i="4"/>
  <c r="AH56" i="3" s="1"/>
  <c r="O125" i="4"/>
  <c r="Q125" i="4" s="1"/>
  <c r="J127" i="4"/>
  <c r="L127" i="4"/>
  <c r="O127" i="4"/>
  <c r="Q127" i="4" s="1"/>
  <c r="L132" i="4"/>
  <c r="AH58" i="3" s="1"/>
  <c r="Q132" i="4"/>
  <c r="J134" i="4"/>
  <c r="L134" i="4" s="1"/>
  <c r="AH59" i="3" s="1"/>
  <c r="O134" i="4"/>
  <c r="Q134" i="4" s="1"/>
  <c r="L141" i="4"/>
  <c r="AH60" i="3" s="1"/>
  <c r="AI60" i="3" s="1"/>
  <c r="Q141" i="4"/>
  <c r="L147" i="4"/>
  <c r="AH63" i="3" s="1"/>
  <c r="Q147" i="4"/>
  <c r="J162" i="4"/>
  <c r="L162" i="4" s="1"/>
  <c r="AH72" i="3" s="1"/>
  <c r="AI72" i="3" s="1"/>
  <c r="O162" i="4"/>
  <c r="Q162" i="4" s="1"/>
  <c r="J164" i="4"/>
  <c r="L164" i="4" s="1"/>
  <c r="L167" i="4"/>
  <c r="AI78" i="3" s="1"/>
  <c r="Q167" i="4"/>
  <c r="A4" i="20"/>
  <c r="C4" i="20"/>
  <c r="D4" i="20"/>
  <c r="J4" i="20"/>
  <c r="K4" i="20"/>
  <c r="L4" i="20"/>
  <c r="D5" i="20"/>
  <c r="A7" i="20"/>
  <c r="C7" i="20"/>
  <c r="D7" i="20"/>
  <c r="J7" i="20"/>
  <c r="K7" i="20"/>
  <c r="L7" i="20"/>
  <c r="A4" i="19"/>
  <c r="C4" i="19"/>
  <c r="D4" i="19"/>
  <c r="K4" i="19"/>
  <c r="L4" i="19"/>
  <c r="M4" i="19"/>
  <c r="D5" i="19"/>
  <c r="A7" i="19"/>
  <c r="C7" i="19"/>
  <c r="D7" i="19"/>
  <c r="K7" i="19"/>
  <c r="L7" i="19"/>
  <c r="M7" i="19"/>
  <c r="P10" i="3"/>
  <c r="U10" i="3"/>
  <c r="M9" i="19" s="1"/>
  <c r="AL10" i="3"/>
  <c r="U11" i="3"/>
  <c r="M10" i="19" s="1"/>
  <c r="M12" i="3"/>
  <c r="P12" i="3" s="1"/>
  <c r="U12" i="3"/>
  <c r="M11" i="19" s="1"/>
  <c r="M13" i="3"/>
  <c r="U13" i="3"/>
  <c r="M12" i="19" s="1"/>
  <c r="M14" i="3"/>
  <c r="P14" i="3" s="1"/>
  <c r="U14" i="3"/>
  <c r="M13" i="19" s="1"/>
  <c r="M15" i="3"/>
  <c r="P15" i="3" s="1"/>
  <c r="Q15" i="3" s="1"/>
  <c r="U15" i="3"/>
  <c r="M14" i="19" s="1"/>
  <c r="AL15" i="3"/>
  <c r="AN15" i="3" s="1"/>
  <c r="M16" i="3"/>
  <c r="U16" i="3"/>
  <c r="M15" i="19" s="1"/>
  <c r="M17" i="3"/>
  <c r="P17" i="3" s="1"/>
  <c r="U17" i="3"/>
  <c r="M16" i="19" s="1"/>
  <c r="M18" i="3"/>
  <c r="U18" i="3"/>
  <c r="M17" i="19" s="1"/>
  <c r="AL18" i="3"/>
  <c r="AN18" i="3" s="1"/>
  <c r="M19" i="3"/>
  <c r="P19" i="3" s="1"/>
  <c r="Q19" i="3" s="1"/>
  <c r="U19" i="3"/>
  <c r="M18" i="19" s="1"/>
  <c r="AL19" i="3"/>
  <c r="AN19" i="3" s="1"/>
  <c r="M20" i="3"/>
  <c r="U20" i="3"/>
  <c r="M19" i="19" s="1"/>
  <c r="AL20" i="3"/>
  <c r="AN20" i="3" s="1"/>
  <c r="M21" i="3"/>
  <c r="P21" i="3" s="1"/>
  <c r="Q21" i="3" s="1"/>
  <c r="U21" i="3"/>
  <c r="M20" i="19" s="1"/>
  <c r="M22" i="3"/>
  <c r="P22" i="3" s="1"/>
  <c r="U22" i="3"/>
  <c r="M21" i="19" s="1"/>
  <c r="M23" i="3"/>
  <c r="P23" i="3" s="1"/>
  <c r="Q23" i="3" s="1"/>
  <c r="U23" i="3"/>
  <c r="M22" i="19" s="1"/>
  <c r="AL23" i="3"/>
  <c r="M24" i="3"/>
  <c r="P24" i="3" s="1"/>
  <c r="Q24" i="3" s="1"/>
  <c r="U24" i="3"/>
  <c r="M23" i="19" s="1"/>
  <c r="AL24" i="3"/>
  <c r="AN24" i="3" s="1"/>
  <c r="M25" i="3"/>
  <c r="U25" i="3"/>
  <c r="M24" i="19" s="1"/>
  <c r="M26" i="3"/>
  <c r="P26" i="3" s="1"/>
  <c r="Q26" i="3" s="1"/>
  <c r="U26" i="3"/>
  <c r="M25" i="19" s="1"/>
  <c r="AL26" i="3"/>
  <c r="AN26" i="3" s="1"/>
  <c r="M27" i="3"/>
  <c r="P27" i="3" s="1"/>
  <c r="Q27" i="3" s="1"/>
  <c r="U27" i="3"/>
  <c r="M26" i="19" s="1"/>
  <c r="P28" i="3"/>
  <c r="Q28" i="3" s="1"/>
  <c r="U28" i="3"/>
  <c r="M27" i="19" s="1"/>
  <c r="U29" i="3"/>
  <c r="M28" i="19" s="1"/>
  <c r="AL29" i="3"/>
  <c r="AN29" i="3" s="1"/>
  <c r="U30" i="3"/>
  <c r="M29" i="19" s="1"/>
  <c r="AL30" i="3"/>
  <c r="AN30" i="3" s="1"/>
  <c r="M31" i="3"/>
  <c r="U31" i="3"/>
  <c r="M30" i="19" s="1"/>
  <c r="M32" i="3"/>
  <c r="U32" i="3"/>
  <c r="M31" i="19" s="1"/>
  <c r="U33" i="3"/>
  <c r="M32" i="19" s="1"/>
  <c r="M34" i="3"/>
  <c r="P34" i="3" s="1"/>
  <c r="Q34" i="3" s="1"/>
  <c r="AL34" i="3"/>
  <c r="AN34" i="3" s="1"/>
  <c r="M35" i="3"/>
  <c r="P35" i="3" s="1"/>
  <c r="U35" i="3"/>
  <c r="M34" i="19" s="1"/>
  <c r="AL35" i="3"/>
  <c r="AN35" i="3" s="1"/>
  <c r="M36" i="3"/>
  <c r="U36" i="3"/>
  <c r="M35" i="19" s="1"/>
  <c r="M37" i="3"/>
  <c r="U37" i="3"/>
  <c r="M36" i="19" s="1"/>
  <c r="M38" i="3"/>
  <c r="P38" i="3" s="1"/>
  <c r="Q38" i="3" s="1"/>
  <c r="U38" i="3"/>
  <c r="M37" i="19" s="1"/>
  <c r="AH38" i="3"/>
  <c r="AL38" i="3"/>
  <c r="AN38" i="3" s="1"/>
  <c r="M39" i="3"/>
  <c r="AL39" i="3"/>
  <c r="AN39" i="3" s="1"/>
  <c r="M40" i="3"/>
  <c r="P40" i="3" s="1"/>
  <c r="Q40" i="3" s="1"/>
  <c r="U40" i="3"/>
  <c r="M39" i="19" s="1"/>
  <c r="M41" i="3"/>
  <c r="AN41" i="3"/>
  <c r="M42" i="3"/>
  <c r="P42" i="3" s="1"/>
  <c r="Q42" i="3" s="1"/>
  <c r="M43" i="3"/>
  <c r="U43" i="3"/>
  <c r="M42" i="19" s="1"/>
  <c r="AL43" i="3"/>
  <c r="AN43" i="3" s="1"/>
  <c r="M44" i="3"/>
  <c r="M45" i="3"/>
  <c r="P45" i="3" s="1"/>
  <c r="Q45" i="3" s="1"/>
  <c r="AL45" i="3"/>
  <c r="AN45" i="3" s="1"/>
  <c r="M46" i="3"/>
  <c r="P46" i="3" s="1"/>
  <c r="U46" i="3"/>
  <c r="M45" i="19" s="1"/>
  <c r="AL46" i="3"/>
  <c r="AN46" i="3" s="1"/>
  <c r="M47" i="3"/>
  <c r="P47" i="3" s="1"/>
  <c r="Q47" i="3" s="1"/>
  <c r="M48" i="3"/>
  <c r="AL48" i="3"/>
  <c r="AN48" i="3" s="1"/>
  <c r="M49" i="3"/>
  <c r="P49" i="3" s="1"/>
  <c r="Q49" i="3" s="1"/>
  <c r="U49" i="3"/>
  <c r="M48" i="19" s="1"/>
  <c r="M50" i="3"/>
  <c r="P50" i="3" s="1"/>
  <c r="Q50" i="3" s="1"/>
  <c r="AL50" i="3"/>
  <c r="AN50" i="3" s="1"/>
  <c r="M51" i="3"/>
  <c r="AL51" i="3"/>
  <c r="AN51" i="3" s="1"/>
  <c r="M52" i="3"/>
  <c r="P52" i="3"/>
  <c r="AN52" i="3"/>
  <c r="M53" i="3"/>
  <c r="P53" i="3"/>
  <c r="U53" i="3" s="1"/>
  <c r="M52" i="19" s="1"/>
  <c r="AH53" i="3"/>
  <c r="AN53" i="3"/>
  <c r="M54" i="3"/>
  <c r="P54" i="3"/>
  <c r="AN54" i="3"/>
  <c r="M55" i="3"/>
  <c r="Q55" i="3" s="1"/>
  <c r="P55" i="3"/>
  <c r="U55" i="3" s="1"/>
  <c r="M54" i="19" s="1"/>
  <c r="AN55" i="3"/>
  <c r="M56" i="3"/>
  <c r="P56" i="3"/>
  <c r="U56" i="3" s="1"/>
  <c r="M55" i="19" s="1"/>
  <c r="AN56" i="3"/>
  <c r="M57" i="3"/>
  <c r="P57" i="3"/>
  <c r="U57" i="3" s="1"/>
  <c r="M56" i="19" s="1"/>
  <c r="AH57" i="3"/>
  <c r="AN57" i="3"/>
  <c r="M58" i="3"/>
  <c r="P58" i="3"/>
  <c r="AN58" i="3"/>
  <c r="M59" i="3"/>
  <c r="P59" i="3"/>
  <c r="AN59" i="3"/>
  <c r="M60" i="3"/>
  <c r="Q60" i="3" s="1"/>
  <c r="P60" i="3"/>
  <c r="U60" i="3" s="1"/>
  <c r="M59" i="19" s="1"/>
  <c r="AN60" i="3"/>
  <c r="M61" i="3"/>
  <c r="P61" i="3"/>
  <c r="U61" i="3" s="1"/>
  <c r="M60" i="19" s="1"/>
  <c r="AN61" i="3"/>
  <c r="M62" i="3"/>
  <c r="P62" i="3"/>
  <c r="AN62" i="3"/>
  <c r="M63" i="3"/>
  <c r="P63" i="3"/>
  <c r="AN63" i="3"/>
  <c r="M64" i="3"/>
  <c r="P64" i="3"/>
  <c r="AN64" i="3"/>
  <c r="M65" i="3"/>
  <c r="P65" i="3"/>
  <c r="Q65" i="3" s="1"/>
  <c r="AN65" i="3"/>
  <c r="M66" i="3"/>
  <c r="P66" i="3"/>
  <c r="AN66" i="3"/>
  <c r="M67" i="3"/>
  <c r="P67" i="3"/>
  <c r="AN67" i="3"/>
  <c r="M68" i="3"/>
  <c r="P68" i="3"/>
  <c r="AN68" i="3"/>
  <c r="M69" i="3"/>
  <c r="P69" i="3"/>
  <c r="AI69" i="3"/>
  <c r="AN69" i="3"/>
  <c r="M70" i="3"/>
  <c r="P70" i="3"/>
  <c r="U70" i="3" s="1"/>
  <c r="M69" i="19" s="1"/>
  <c r="AN70" i="3"/>
  <c r="M71" i="3"/>
  <c r="P71" i="3"/>
  <c r="AN71" i="3"/>
  <c r="M72" i="3"/>
  <c r="P72" i="3"/>
  <c r="AN72" i="3"/>
  <c r="M73" i="3"/>
  <c r="P73" i="3"/>
  <c r="U73" i="3" s="1"/>
  <c r="M72" i="19" s="1"/>
  <c r="AN73" i="3"/>
  <c r="M74" i="3"/>
  <c r="P74" i="3"/>
  <c r="AN74" i="3"/>
  <c r="M75" i="3"/>
  <c r="P75" i="3"/>
  <c r="AN75" i="3"/>
  <c r="M76" i="3"/>
  <c r="P76" i="3"/>
  <c r="AN76" i="3"/>
  <c r="M77" i="3"/>
  <c r="P77" i="3"/>
  <c r="AN77" i="3"/>
  <c r="M78" i="3"/>
  <c r="P78" i="3"/>
  <c r="AN78" i="3"/>
  <c r="M79" i="3"/>
  <c r="P79" i="3" s="1"/>
  <c r="Q79" i="3" s="1"/>
  <c r="AL79" i="3"/>
  <c r="AN79" i="3" s="1"/>
  <c r="M80" i="3"/>
  <c r="P80" i="3" s="1"/>
  <c r="U80" i="3"/>
  <c r="M79" i="19" s="1"/>
  <c r="M81" i="3"/>
  <c r="P81" i="3" s="1"/>
  <c r="U81" i="3"/>
  <c r="M80" i="19" s="1"/>
  <c r="M82" i="3"/>
  <c r="P82" i="3" s="1"/>
  <c r="Q82" i="3" s="1"/>
  <c r="R82" i="3" s="1"/>
  <c r="T82" i="3" s="1"/>
  <c r="U82" i="3"/>
  <c r="M81" i="19" s="1"/>
  <c r="AL82" i="3"/>
  <c r="AN82" i="3" s="1"/>
  <c r="M83" i="3"/>
  <c r="P83" i="3" s="1"/>
  <c r="Q83" i="3" s="1"/>
  <c r="U83" i="3"/>
  <c r="M82" i="19" s="1"/>
  <c r="M84" i="3"/>
  <c r="P84" i="3" s="1"/>
  <c r="Q84" i="3" s="1"/>
  <c r="U84" i="3"/>
  <c r="M83" i="19" s="1"/>
  <c r="M85" i="3"/>
  <c r="U85" i="3"/>
  <c r="M84" i="19" s="1"/>
  <c r="AL85" i="3"/>
  <c r="AN85" i="3" s="1"/>
  <c r="M86" i="3"/>
  <c r="P86" i="3" s="1"/>
  <c r="Q86" i="3" s="1"/>
  <c r="U86" i="3"/>
  <c r="M85" i="19" s="1"/>
  <c r="M87" i="3"/>
  <c r="P87" i="3" s="1"/>
  <c r="Q87" i="3" s="1"/>
  <c r="R87" i="3" s="1"/>
  <c r="U87" i="3"/>
  <c r="M86" i="19" s="1"/>
  <c r="AL87" i="3"/>
  <c r="AN87" i="3" s="1"/>
  <c r="M88" i="3"/>
  <c r="P88" i="3" s="1"/>
  <c r="U88" i="3"/>
  <c r="M87" i="19" s="1"/>
  <c r="AL88" i="3"/>
  <c r="AN88" i="3" s="1"/>
  <c r="M89" i="3"/>
  <c r="P89" i="3"/>
  <c r="AN89" i="3"/>
  <c r="M90" i="3"/>
  <c r="P90" i="3"/>
  <c r="AN90" i="3"/>
  <c r="M91" i="3"/>
  <c r="Q91" i="3" s="1"/>
  <c r="P91" i="3"/>
  <c r="AN91" i="3"/>
  <c r="M92" i="3"/>
  <c r="P92" i="3"/>
  <c r="U92" i="3" s="1"/>
  <c r="M91" i="19" s="1"/>
  <c r="AN92" i="3"/>
  <c r="M93" i="3"/>
  <c r="P93" i="3"/>
  <c r="U93" i="3" s="1"/>
  <c r="M92" i="19" s="1"/>
  <c r="AN93" i="3"/>
  <c r="M94" i="3"/>
  <c r="P94" i="3"/>
  <c r="AN94" i="3"/>
  <c r="M95" i="3"/>
  <c r="P95" i="3"/>
  <c r="AN95" i="3"/>
  <c r="M96" i="3"/>
  <c r="P96" i="3"/>
  <c r="U96" i="3" s="1"/>
  <c r="M95" i="19" s="1"/>
  <c r="AN96" i="3"/>
  <c r="M97" i="3"/>
  <c r="P97" i="3"/>
  <c r="AN97" i="3"/>
  <c r="M98" i="3"/>
  <c r="P98" i="3"/>
  <c r="AN98" i="3"/>
  <c r="M99" i="3"/>
  <c r="P99" i="3"/>
  <c r="U99" i="3" s="1"/>
  <c r="M98" i="19" s="1"/>
  <c r="AN99" i="3"/>
  <c r="M100" i="3"/>
  <c r="P100" i="3"/>
  <c r="U100" i="3" s="1"/>
  <c r="M99" i="19" s="1"/>
  <c r="AN100" i="3"/>
  <c r="M101" i="3"/>
  <c r="P101" i="3"/>
  <c r="AN101" i="3"/>
  <c r="M102" i="3"/>
  <c r="P102" i="3"/>
  <c r="U102" i="3" s="1"/>
  <c r="M101" i="19" s="1"/>
  <c r="AN102" i="3"/>
  <c r="M103" i="3"/>
  <c r="Q103" i="3" s="1"/>
  <c r="P103" i="3"/>
  <c r="AN103" i="3"/>
  <c r="M104" i="3"/>
  <c r="P104" i="3"/>
  <c r="U104" i="3" s="1"/>
  <c r="M103" i="19" s="1"/>
  <c r="AN104" i="3"/>
  <c r="M105" i="3"/>
  <c r="P105" i="3"/>
  <c r="U105" i="3" s="1"/>
  <c r="M104" i="19" s="1"/>
  <c r="AN105" i="3"/>
  <c r="M106" i="3"/>
  <c r="P106" i="3"/>
  <c r="U106" i="3" s="1"/>
  <c r="AN106" i="3"/>
  <c r="M107" i="3"/>
  <c r="Q107" i="3" s="1"/>
  <c r="P107" i="3"/>
  <c r="U107" i="3" s="1"/>
  <c r="M106" i="19" s="1"/>
  <c r="AN107" i="3"/>
  <c r="M108" i="3"/>
  <c r="P108" i="3"/>
  <c r="U108" i="3" s="1"/>
  <c r="M107" i="19" s="1"/>
  <c r="AN108" i="3"/>
  <c r="M109" i="3"/>
  <c r="P109" i="3"/>
  <c r="AN109" i="3"/>
  <c r="M110" i="3"/>
  <c r="P110" i="3"/>
  <c r="U110" i="3" s="1"/>
  <c r="M109" i="19" s="1"/>
  <c r="AN110" i="3"/>
  <c r="M111" i="3"/>
  <c r="P111" i="3"/>
  <c r="AN111" i="3"/>
  <c r="M112" i="3"/>
  <c r="P112" i="3"/>
  <c r="AN112" i="3"/>
  <c r="M113" i="3"/>
  <c r="P113" i="3"/>
  <c r="AN113" i="3"/>
  <c r="M114" i="3"/>
  <c r="P114" i="3"/>
  <c r="AN114" i="3"/>
  <c r="M115" i="3"/>
  <c r="Q115" i="3" s="1"/>
  <c r="P115" i="3"/>
  <c r="AN115" i="3"/>
  <c r="M116" i="3"/>
  <c r="P116" i="3"/>
  <c r="U116" i="3" s="1"/>
  <c r="M115" i="19" s="1"/>
  <c r="AN116" i="3"/>
  <c r="M117" i="3"/>
  <c r="P117" i="3"/>
  <c r="U117" i="3" s="1"/>
  <c r="AN117" i="3"/>
  <c r="M118" i="3"/>
  <c r="P118" i="3"/>
  <c r="AN118" i="3"/>
  <c r="M119" i="3"/>
  <c r="Q119" i="3" s="1"/>
  <c r="P119" i="3"/>
  <c r="AN119" i="3"/>
  <c r="M120" i="3"/>
  <c r="P120" i="3"/>
  <c r="Q120" i="3" s="1"/>
  <c r="AN120" i="3"/>
  <c r="M121" i="3"/>
  <c r="P121" i="3"/>
  <c r="AN121" i="3"/>
  <c r="M122" i="3"/>
  <c r="P122" i="3"/>
  <c r="AN122" i="3"/>
  <c r="M123" i="3"/>
  <c r="Q123" i="3" s="1"/>
  <c r="P123" i="3"/>
  <c r="U123" i="3" s="1"/>
  <c r="AN123" i="3"/>
  <c r="M124" i="3"/>
  <c r="P124" i="3"/>
  <c r="AN124" i="3"/>
  <c r="M125" i="3"/>
  <c r="P125" i="3"/>
  <c r="AN125" i="3"/>
  <c r="M126" i="3"/>
  <c r="P126" i="3"/>
  <c r="AN126" i="3"/>
  <c r="M127" i="3"/>
  <c r="Q127" i="3" s="1"/>
  <c r="P127" i="3"/>
  <c r="U127" i="3" s="1"/>
  <c r="M126" i="19" s="1"/>
  <c r="AN127" i="3"/>
  <c r="M128" i="3"/>
  <c r="P128" i="3"/>
  <c r="U128" i="3" s="1"/>
  <c r="M127" i="19" s="1"/>
  <c r="AN128" i="3"/>
  <c r="M129" i="3"/>
  <c r="P129" i="3"/>
  <c r="AN129" i="3"/>
  <c r="M130" i="3"/>
  <c r="P130" i="3"/>
  <c r="AN130" i="3"/>
  <c r="M131" i="3"/>
  <c r="P131" i="3"/>
  <c r="AI131" i="3"/>
  <c r="AL131" i="3" s="1"/>
  <c r="AN131" i="3"/>
  <c r="M132" i="3"/>
  <c r="P132" i="3"/>
  <c r="AN132" i="3"/>
  <c r="M133" i="3"/>
  <c r="Q133" i="3" s="1"/>
  <c r="P133" i="3"/>
  <c r="AN133" i="3"/>
  <c r="M134" i="3"/>
  <c r="P134" i="3"/>
  <c r="AN134" i="3"/>
  <c r="M135" i="3"/>
  <c r="P135" i="3"/>
  <c r="AN135" i="3"/>
  <c r="M136" i="3"/>
  <c r="P136" i="3"/>
  <c r="U136" i="3" s="1"/>
  <c r="M135" i="19" s="1"/>
  <c r="AN136" i="3"/>
  <c r="M137" i="3"/>
  <c r="P137" i="3"/>
  <c r="AN137" i="3"/>
  <c r="M138" i="3"/>
  <c r="P138" i="3"/>
  <c r="Q138" i="3" s="1"/>
  <c r="AN138" i="3"/>
  <c r="M139" i="3"/>
  <c r="P139" i="3"/>
  <c r="AN139" i="3"/>
  <c r="M140" i="3"/>
  <c r="P140" i="3"/>
  <c r="AN140" i="3"/>
  <c r="M141" i="3"/>
  <c r="P141" i="3"/>
  <c r="AN141" i="3"/>
  <c r="M142" i="3"/>
  <c r="P142" i="3"/>
  <c r="AN142" i="3"/>
  <c r="M143" i="3"/>
  <c r="P143" i="3"/>
  <c r="AN143" i="3"/>
  <c r="M144" i="3"/>
  <c r="P144" i="3"/>
  <c r="AN144" i="3"/>
  <c r="M145" i="3"/>
  <c r="P145" i="3"/>
  <c r="AN145" i="3"/>
  <c r="M146" i="3"/>
  <c r="P146" i="3"/>
  <c r="AN146" i="3"/>
  <c r="M147" i="3"/>
  <c r="P147" i="3"/>
  <c r="AN147" i="3"/>
  <c r="M148" i="3"/>
  <c r="P148" i="3"/>
  <c r="U148" i="3" s="1"/>
  <c r="AN148" i="3"/>
  <c r="M149" i="3"/>
  <c r="P149" i="3"/>
  <c r="AN149" i="3"/>
  <c r="M150" i="3"/>
  <c r="P150" i="3"/>
  <c r="AN150" i="3"/>
  <c r="M151" i="3"/>
  <c r="P151" i="3"/>
  <c r="AN151" i="3"/>
  <c r="M152" i="3"/>
  <c r="P152" i="3"/>
  <c r="AN152" i="3"/>
  <c r="M153" i="3"/>
  <c r="P153" i="3"/>
  <c r="AN153" i="3"/>
  <c r="M154" i="3"/>
  <c r="P154" i="3"/>
  <c r="U154" i="3" s="1"/>
  <c r="M153" i="19" s="1"/>
  <c r="AN154" i="3"/>
  <c r="M155" i="3"/>
  <c r="P155" i="3"/>
  <c r="AN155" i="3"/>
  <c r="M156" i="3"/>
  <c r="P156" i="3"/>
  <c r="AN156" i="3"/>
  <c r="M157" i="3"/>
  <c r="P157" i="3" s="1"/>
  <c r="Q157" i="3" s="1"/>
  <c r="U157" i="3"/>
  <c r="M156" i="19" s="1"/>
  <c r="M158" i="3"/>
  <c r="P158" i="3"/>
  <c r="AN158" i="3"/>
  <c r="M159" i="3"/>
  <c r="P159" i="3"/>
  <c r="AN159" i="3"/>
  <c r="M160" i="3"/>
  <c r="P160" i="3"/>
  <c r="AN160" i="3"/>
  <c r="M161" i="3"/>
  <c r="P161" i="3"/>
  <c r="U161" i="3" s="1"/>
  <c r="M160" i="19" s="1"/>
  <c r="AN161" i="3"/>
  <c r="M162" i="3"/>
  <c r="P162" i="3"/>
  <c r="AN162" i="3"/>
  <c r="M163" i="3"/>
  <c r="P163" i="3"/>
  <c r="AN163" i="3"/>
  <c r="M164" i="3"/>
  <c r="P164" i="3"/>
  <c r="AN164" i="3"/>
  <c r="M165" i="3"/>
  <c r="P165" i="3"/>
  <c r="AN165" i="3"/>
  <c r="M166" i="3"/>
  <c r="P166" i="3"/>
  <c r="AN166" i="3"/>
  <c r="M167" i="3"/>
  <c r="P167" i="3"/>
  <c r="AN167" i="3"/>
  <c r="M168" i="3"/>
  <c r="Q168" i="3" s="1"/>
  <c r="P168" i="3"/>
  <c r="AN168" i="3"/>
  <c r="M169" i="3"/>
  <c r="P169" i="3"/>
  <c r="AN169" i="3"/>
  <c r="M170" i="3"/>
  <c r="P170" i="3"/>
  <c r="AN170" i="3"/>
  <c r="M171" i="3"/>
  <c r="P171" i="3"/>
  <c r="AN171" i="3"/>
  <c r="M172" i="3"/>
  <c r="Q172" i="3" s="1"/>
  <c r="P172" i="3"/>
  <c r="U172" i="3" s="1"/>
  <c r="M171" i="19" s="1"/>
  <c r="AN172" i="3"/>
  <c r="M173" i="3"/>
  <c r="P173" i="3"/>
  <c r="AN173" i="3"/>
  <c r="M174" i="3"/>
  <c r="P174" i="3"/>
  <c r="AN174" i="3"/>
  <c r="M175" i="3"/>
  <c r="P175" i="3"/>
  <c r="U175" i="3" s="1"/>
  <c r="M174" i="19" s="1"/>
  <c r="AN175" i="3"/>
  <c r="M176" i="3"/>
  <c r="Q176" i="3" s="1"/>
  <c r="P176" i="3"/>
  <c r="U176" i="3" s="1"/>
  <c r="AN176" i="3"/>
  <c r="M177" i="3"/>
  <c r="P177" i="3"/>
  <c r="U177" i="3" s="1"/>
  <c r="M176" i="19" s="1"/>
  <c r="AN177" i="3"/>
  <c r="M178" i="3"/>
  <c r="P178" i="3"/>
  <c r="AN178" i="3"/>
  <c r="M179" i="3"/>
  <c r="P179" i="3"/>
  <c r="U179" i="3" s="1"/>
  <c r="M178" i="19" s="1"/>
  <c r="AN179" i="3"/>
  <c r="M180" i="3"/>
  <c r="P180" i="3"/>
  <c r="AN180" i="3"/>
  <c r="M181" i="3"/>
  <c r="P181" i="3"/>
  <c r="AN181" i="3"/>
  <c r="M182" i="3"/>
  <c r="P182" i="3"/>
  <c r="AN182" i="3"/>
  <c r="M183" i="3"/>
  <c r="P183" i="3"/>
  <c r="AN183" i="3"/>
  <c r="M184" i="3"/>
  <c r="P184" i="3"/>
  <c r="AI184" i="3"/>
  <c r="AN184" i="3"/>
  <c r="M185" i="3"/>
  <c r="Q185" i="3" s="1"/>
  <c r="P185" i="3"/>
  <c r="AN185" i="3"/>
  <c r="M186" i="3"/>
  <c r="P186" i="3"/>
  <c r="U186" i="3" s="1"/>
  <c r="M185" i="19" s="1"/>
  <c r="AN186" i="3"/>
  <c r="M187" i="3"/>
  <c r="P187" i="3"/>
  <c r="AN187" i="3"/>
  <c r="M188" i="3"/>
  <c r="P188" i="3"/>
  <c r="AN188" i="3"/>
  <c r="M189" i="3"/>
  <c r="P189" i="3"/>
  <c r="AN189" i="3"/>
  <c r="M190" i="3"/>
  <c r="P190" i="3"/>
  <c r="AN190" i="3"/>
  <c r="M191" i="3"/>
  <c r="P191" i="3"/>
  <c r="AN191" i="3"/>
  <c r="M192" i="3"/>
  <c r="P192" i="3"/>
  <c r="U192" i="3" s="1"/>
  <c r="M191" i="19" s="1"/>
  <c r="AN192" i="3"/>
  <c r="M193" i="3"/>
  <c r="Q193" i="3" s="1"/>
  <c r="P193" i="3"/>
  <c r="AN193" i="3"/>
  <c r="M194" i="3"/>
  <c r="P194" i="3"/>
  <c r="Q194" i="3" s="1"/>
  <c r="AN194" i="3"/>
  <c r="M195" i="3"/>
  <c r="P195" i="3"/>
  <c r="U195" i="3" s="1"/>
  <c r="M194" i="19" s="1"/>
  <c r="AN195" i="3"/>
  <c r="M196" i="3"/>
  <c r="P196" i="3"/>
  <c r="AN196" i="3"/>
  <c r="M197" i="3"/>
  <c r="Q197" i="3" s="1"/>
  <c r="P197" i="3"/>
  <c r="AN197" i="3"/>
  <c r="M198" i="3"/>
  <c r="P198" i="3"/>
  <c r="U198" i="3" s="1"/>
  <c r="M197" i="19" s="1"/>
  <c r="AN198" i="3"/>
  <c r="M199" i="3"/>
  <c r="P199" i="3"/>
  <c r="AN199" i="3"/>
  <c r="M200" i="3"/>
  <c r="P200" i="3"/>
  <c r="AN200" i="3"/>
  <c r="M201" i="3"/>
  <c r="AN201" i="3"/>
  <c r="M202" i="3"/>
  <c r="P202" i="3"/>
  <c r="AN202" i="3"/>
  <c r="M203" i="3"/>
  <c r="P203" i="3"/>
  <c r="AN203" i="3"/>
  <c r="M204" i="3"/>
  <c r="P204" i="3"/>
  <c r="AN204" i="3"/>
  <c r="M205" i="3"/>
  <c r="P205" i="3"/>
  <c r="AN205" i="3"/>
  <c r="M206" i="3"/>
  <c r="P206" i="3"/>
  <c r="AN206" i="3"/>
  <c r="M207" i="3"/>
  <c r="U207" i="3"/>
  <c r="M206" i="19" s="1"/>
  <c r="M208" i="3"/>
  <c r="U208" i="3"/>
  <c r="M207" i="19" s="1"/>
  <c r="M209" i="3"/>
  <c r="U209" i="3"/>
  <c r="M208" i="19" s="1"/>
  <c r="M210" i="3"/>
  <c r="P210" i="3" s="1"/>
  <c r="Q210" i="3" s="1"/>
  <c r="U210" i="3"/>
  <c r="M209" i="19" s="1"/>
  <c r="M211" i="3"/>
  <c r="U211" i="3"/>
  <c r="M210" i="19" s="1"/>
  <c r="M212" i="3"/>
  <c r="P212" i="3" s="1"/>
  <c r="Q212" i="3" s="1"/>
  <c r="U212" i="3"/>
  <c r="M211" i="19" s="1"/>
  <c r="AL212" i="3"/>
  <c r="AN212" i="3" s="1"/>
  <c r="M213" i="3"/>
  <c r="P213" i="3" s="1"/>
  <c r="Q213" i="3" s="1"/>
  <c r="U213" i="3"/>
  <c r="M212" i="19" s="1"/>
  <c r="M214" i="3"/>
  <c r="P214" i="3" s="1"/>
  <c r="Q214" i="3" s="1"/>
  <c r="U214" i="3"/>
  <c r="M213" i="19" s="1"/>
  <c r="M215" i="3"/>
  <c r="P215" i="3" s="1"/>
  <c r="Q215" i="3" s="1"/>
  <c r="U215" i="3"/>
  <c r="M214" i="19" s="1"/>
  <c r="AL215" i="3"/>
  <c r="AN215" i="3" s="1"/>
  <c r="M216" i="3"/>
  <c r="P216" i="3" s="1"/>
  <c r="Q216" i="3" s="1"/>
  <c r="U216" i="3"/>
  <c r="M215" i="19" s="1"/>
  <c r="AL216" i="3"/>
  <c r="AN216" i="3" s="1"/>
  <c r="M217" i="3"/>
  <c r="P217" i="3" s="1"/>
  <c r="Q217" i="3" s="1"/>
  <c r="I216" i="19" s="1"/>
  <c r="U217" i="3"/>
  <c r="M216" i="19" s="1"/>
  <c r="M218" i="3"/>
  <c r="U218" i="3"/>
  <c r="M217" i="19" s="1"/>
  <c r="AL218" i="3"/>
  <c r="AN218" i="3" s="1"/>
  <c r="M219" i="3"/>
  <c r="P219" i="3" s="1"/>
  <c r="Q219" i="3" s="1"/>
  <c r="U219" i="3"/>
  <c r="M218" i="19" s="1"/>
  <c r="AL219" i="3"/>
  <c r="M220" i="3"/>
  <c r="U220" i="3"/>
  <c r="M219" i="19" s="1"/>
  <c r="M221" i="3"/>
  <c r="P221" i="3" s="1"/>
  <c r="Q221" i="3" s="1"/>
  <c r="U221" i="3"/>
  <c r="M220" i="19" s="1"/>
  <c r="M222" i="3"/>
  <c r="P222" i="3" s="1"/>
  <c r="Q222" i="3" s="1"/>
  <c r="U222" i="3"/>
  <c r="M221" i="19" s="1"/>
  <c r="M223" i="3"/>
  <c r="P223" i="3"/>
  <c r="AN223" i="3"/>
  <c r="M224" i="3"/>
  <c r="P224" i="3"/>
  <c r="U224" i="3" s="1"/>
  <c r="AN224" i="3"/>
  <c r="M225" i="3"/>
  <c r="P225" i="3"/>
  <c r="U225" i="3" s="1"/>
  <c r="M224" i="19" s="1"/>
  <c r="AN225" i="3"/>
  <c r="AN226" i="3"/>
  <c r="M228" i="3"/>
  <c r="Q228" i="3" s="1"/>
  <c r="P228" i="3"/>
  <c r="U228" i="3" s="1"/>
  <c r="M227" i="19" s="1"/>
  <c r="AN228" i="3"/>
  <c r="M229" i="3"/>
  <c r="P229" i="3"/>
  <c r="AN229" i="3"/>
  <c r="M230" i="3"/>
  <c r="P230" i="3"/>
  <c r="U230" i="3" s="1"/>
  <c r="M229" i="19" s="1"/>
  <c r="AN230" i="3"/>
  <c r="M231" i="3"/>
  <c r="P231" i="3"/>
  <c r="AN231" i="3"/>
  <c r="M232" i="3"/>
  <c r="Q232" i="3" s="1"/>
  <c r="P232" i="3"/>
  <c r="U232" i="3" s="1"/>
  <c r="M231" i="19" s="1"/>
  <c r="AN232" i="3"/>
  <c r="M233" i="3"/>
  <c r="P233" i="3"/>
  <c r="AN233" i="3"/>
  <c r="M234" i="3"/>
  <c r="P234" i="3"/>
  <c r="AN234" i="3"/>
  <c r="M235" i="3"/>
  <c r="P235" i="3"/>
  <c r="AN235" i="3"/>
  <c r="M236" i="3"/>
  <c r="P236" i="3"/>
  <c r="AN236" i="3"/>
  <c r="M237" i="3"/>
  <c r="P237" i="3"/>
  <c r="Q237" i="3" s="1"/>
  <c r="AN237" i="3"/>
  <c r="M238" i="3"/>
  <c r="P238" i="3"/>
  <c r="AN238" i="3"/>
  <c r="M239" i="3"/>
  <c r="P239" i="3"/>
  <c r="AN239" i="3"/>
  <c r="M240" i="3"/>
  <c r="P240" i="3"/>
  <c r="AN240" i="3"/>
  <c r="M241" i="3"/>
  <c r="P241" i="3"/>
  <c r="U241" i="3" s="1"/>
  <c r="M240" i="19" s="1"/>
  <c r="AN241" i="3"/>
  <c r="M242" i="3"/>
  <c r="P242" i="3"/>
  <c r="AN242" i="3"/>
  <c r="M243" i="3"/>
  <c r="P243" i="3"/>
  <c r="AN243" i="3"/>
  <c r="M244" i="3"/>
  <c r="P244" i="3" s="1"/>
  <c r="Q244" i="3" s="1"/>
  <c r="U244" i="3"/>
  <c r="M243" i="19" s="1"/>
  <c r="M245" i="3"/>
  <c r="P245" i="3" s="1"/>
  <c r="Q245" i="3" s="1"/>
  <c r="U245" i="3"/>
  <c r="M244" i="19" s="1"/>
  <c r="AL245" i="3"/>
  <c r="AN245" i="3" s="1"/>
  <c r="M246" i="3"/>
  <c r="U246" i="3"/>
  <c r="M245" i="19" s="1"/>
  <c r="M247" i="3"/>
  <c r="P247" i="3" s="1"/>
  <c r="Q247" i="3" s="1"/>
  <c r="U247" i="3"/>
  <c r="M246" i="19" s="1"/>
  <c r="M248" i="3"/>
  <c r="P248" i="3" s="1"/>
  <c r="Q248" i="3" s="1"/>
  <c r="U248" i="3"/>
  <c r="M247" i="19" s="1"/>
  <c r="M249" i="3"/>
  <c r="P249" i="3" s="1"/>
  <c r="Q249" i="3" s="1"/>
  <c r="U249" i="3"/>
  <c r="M248" i="19" s="1"/>
  <c r="M250" i="3"/>
  <c r="P250" i="3" s="1"/>
  <c r="Q250" i="3" s="1"/>
  <c r="U250" i="3"/>
  <c r="M249" i="19" s="1"/>
  <c r="M251" i="3"/>
  <c r="P251" i="3" s="1"/>
  <c r="Q251" i="3" s="1"/>
  <c r="U251" i="3"/>
  <c r="M250" i="19" s="1"/>
  <c r="M252" i="3"/>
  <c r="U252" i="3"/>
  <c r="M251" i="19" s="1"/>
  <c r="AL252" i="3"/>
  <c r="AN252" i="3" s="1"/>
  <c r="M253" i="3"/>
  <c r="P253" i="3" s="1"/>
  <c r="Q253" i="3" s="1"/>
  <c r="U253" i="3"/>
  <c r="M252" i="19" s="1"/>
  <c r="M254" i="3"/>
  <c r="P254" i="3" s="1"/>
  <c r="Q254" i="3" s="1"/>
  <c r="U254" i="3"/>
  <c r="M253" i="19" s="1"/>
  <c r="M255" i="3"/>
  <c r="P255" i="3"/>
  <c r="AN255" i="3"/>
  <c r="M256" i="3"/>
  <c r="P256" i="3"/>
  <c r="U256" i="3" s="1"/>
  <c r="M255" i="19" s="1"/>
  <c r="AN256" i="3"/>
  <c r="M257" i="3"/>
  <c r="Q257" i="3" s="1"/>
  <c r="P257" i="3"/>
  <c r="U257" i="3" s="1"/>
  <c r="M256" i="19" s="1"/>
  <c r="AN257" i="3"/>
  <c r="M258" i="3"/>
  <c r="P258" i="3"/>
  <c r="U258" i="3" s="1"/>
  <c r="M257" i="19" s="1"/>
  <c r="AN258" i="3"/>
  <c r="M259" i="3"/>
  <c r="Q259" i="3" s="1"/>
  <c r="R259" i="3" s="1"/>
  <c r="T259" i="3" s="1"/>
  <c r="M262" i="3"/>
  <c r="P262" i="3"/>
  <c r="U262" i="3" s="1"/>
  <c r="M261" i="19" s="1"/>
  <c r="AN262" i="3"/>
  <c r="M263" i="3"/>
  <c r="P263" i="3"/>
  <c r="U263" i="3" s="1"/>
  <c r="M262" i="19" s="1"/>
  <c r="AN263" i="3"/>
  <c r="M264" i="3"/>
  <c r="P264" i="3"/>
  <c r="AN264" i="3"/>
  <c r="M265" i="3"/>
  <c r="P265" i="3"/>
  <c r="AN265" i="3"/>
  <c r="M266" i="3"/>
  <c r="P266" i="3"/>
  <c r="U266" i="3" s="1"/>
  <c r="M265" i="19" s="1"/>
  <c r="AN266" i="3"/>
  <c r="M267" i="3"/>
  <c r="P267" i="3"/>
  <c r="U267" i="3" s="1"/>
  <c r="M266" i="19" s="1"/>
  <c r="AN267" i="3"/>
  <c r="M268" i="3"/>
  <c r="Q268" i="3" s="1"/>
  <c r="AN268" i="3"/>
  <c r="M269" i="3"/>
  <c r="AN269" i="3"/>
  <c r="AN270" i="3"/>
  <c r="M271" i="3"/>
  <c r="P271" i="3"/>
  <c r="U271" i="3" s="1"/>
  <c r="M270" i="19" s="1"/>
  <c r="AN271" i="3"/>
  <c r="M272" i="3"/>
  <c r="P272" i="3"/>
  <c r="AN272" i="3"/>
  <c r="M273" i="3"/>
  <c r="P273" i="3"/>
  <c r="AN273" i="3"/>
  <c r="M274" i="3"/>
  <c r="P274" i="3"/>
  <c r="AN274" i="3"/>
  <c r="M275" i="3"/>
  <c r="P275" i="3"/>
  <c r="AN275" i="3"/>
  <c r="M276" i="3"/>
  <c r="P276" i="3"/>
  <c r="Q276" i="3" s="1"/>
  <c r="AN276" i="3"/>
  <c r="M277" i="3"/>
  <c r="P277" i="3"/>
  <c r="U277" i="3" s="1"/>
  <c r="M276" i="19" s="1"/>
  <c r="AN277" i="3"/>
  <c r="M278" i="3"/>
  <c r="P278" i="3"/>
  <c r="AN278" i="3"/>
  <c r="M279" i="3"/>
  <c r="P279" i="3"/>
  <c r="AN279" i="3"/>
  <c r="M280" i="3"/>
  <c r="P280" i="3"/>
  <c r="AN280" i="3"/>
  <c r="M281" i="3"/>
  <c r="P281" i="3"/>
  <c r="AI281" i="3"/>
  <c r="AL281" i="3" s="1"/>
  <c r="AO281" i="3" s="1"/>
  <c r="AN281" i="3"/>
  <c r="P282" i="3"/>
  <c r="AN282" i="3"/>
  <c r="M283" i="3"/>
  <c r="P283" i="3" s="1"/>
  <c r="Q283" i="3" s="1"/>
  <c r="U283" i="3"/>
  <c r="M282" i="19" s="1"/>
  <c r="M284" i="3"/>
  <c r="P284" i="3" s="1"/>
  <c r="Q284" i="3" s="1"/>
  <c r="U284" i="3"/>
  <c r="M283" i="19" s="1"/>
  <c r="AL284" i="3"/>
  <c r="AN284" i="3" s="1"/>
  <c r="M285" i="3"/>
  <c r="U285" i="3"/>
  <c r="M284" i="19" s="1"/>
  <c r="AL285" i="3"/>
  <c r="AN285" i="3" s="1"/>
  <c r="M286" i="3"/>
  <c r="P286" i="3" s="1"/>
  <c r="Q286" i="3" s="1"/>
  <c r="U286" i="3"/>
  <c r="M285" i="19" s="1"/>
  <c r="AL286" i="3"/>
  <c r="M287" i="3"/>
  <c r="P287" i="3" s="1"/>
  <c r="U287" i="3"/>
  <c r="M286" i="19" s="1"/>
  <c r="AL287" i="3"/>
  <c r="AN287" i="3" s="1"/>
  <c r="M288" i="3"/>
  <c r="P288" i="3" s="1"/>
  <c r="Q288" i="3" s="1"/>
  <c r="U288" i="3"/>
  <c r="M287" i="19" s="1"/>
  <c r="AL288" i="3"/>
  <c r="AN288" i="3" s="1"/>
  <c r="M289" i="3"/>
  <c r="P289" i="3" s="1"/>
  <c r="Q289" i="3" s="1"/>
  <c r="U289" i="3"/>
  <c r="M288" i="19" s="1"/>
  <c r="M290" i="3"/>
  <c r="P290" i="3" s="1"/>
  <c r="Q290" i="3" s="1"/>
  <c r="U290" i="3"/>
  <c r="M289" i="19" s="1"/>
  <c r="M291" i="3"/>
  <c r="P291" i="3" s="1"/>
  <c r="Q291" i="3" s="1"/>
  <c r="U291" i="3"/>
  <c r="M290" i="19" s="1"/>
  <c r="AL291" i="3"/>
  <c r="AN291" i="3" s="1"/>
  <c r="M292" i="3"/>
  <c r="P292" i="3" s="1"/>
  <c r="Q292" i="3" s="1"/>
  <c r="I291" i="19" s="1"/>
  <c r="U292" i="3"/>
  <c r="M291" i="19" s="1"/>
  <c r="M293" i="3"/>
  <c r="P293" i="3" s="1"/>
  <c r="Q293" i="3" s="1"/>
  <c r="U293" i="3"/>
  <c r="M292" i="19" s="1"/>
  <c r="M294" i="3"/>
  <c r="P294" i="3" s="1"/>
  <c r="Q294" i="3" s="1"/>
  <c r="U294" i="3"/>
  <c r="M293" i="19" s="1"/>
  <c r="AL294" i="3"/>
  <c r="AN294" i="3" s="1"/>
  <c r="M295" i="3"/>
  <c r="U295" i="3"/>
  <c r="M294" i="19" s="1"/>
  <c r="AL295" i="3"/>
  <c r="AN295" i="3" s="1"/>
  <c r="M296" i="3"/>
  <c r="P296" i="3" s="1"/>
  <c r="Q296" i="3" s="1"/>
  <c r="U296" i="3"/>
  <c r="M295" i="19" s="1"/>
  <c r="AL296" i="3"/>
  <c r="AN296" i="3" s="1"/>
  <c r="M297" i="3"/>
  <c r="U297" i="3"/>
  <c r="M296" i="19" s="1"/>
  <c r="M298" i="3"/>
  <c r="P298" i="3" s="1"/>
  <c r="Q298" i="3" s="1"/>
  <c r="U298" i="3"/>
  <c r="M297" i="19" s="1"/>
  <c r="M299" i="3"/>
  <c r="U299" i="3"/>
  <c r="M298" i="19" s="1"/>
  <c r="AL299" i="3"/>
  <c r="M300" i="3"/>
  <c r="P300" i="3" s="1"/>
  <c r="Q300" i="3" s="1"/>
  <c r="R300" i="3" s="1"/>
  <c r="T300" i="3" s="1"/>
  <c r="U300" i="3"/>
  <c r="M299" i="19" s="1"/>
  <c r="AL300" i="3"/>
  <c r="AN300" i="3" s="1"/>
  <c r="M301" i="3"/>
  <c r="P301" i="3"/>
  <c r="AN301" i="3"/>
  <c r="M302" i="3"/>
  <c r="P302" i="3"/>
  <c r="AN302" i="3"/>
  <c r="M303" i="3"/>
  <c r="P303" i="3"/>
  <c r="AN303" i="3"/>
  <c r="M304" i="3"/>
  <c r="P304" i="3"/>
  <c r="AN304" i="3"/>
  <c r="M305" i="3"/>
  <c r="P305" i="3"/>
  <c r="AN305" i="3"/>
  <c r="P306" i="3"/>
  <c r="U306" i="3" s="1"/>
  <c r="M305" i="19" s="1"/>
  <c r="AN306" i="3"/>
  <c r="M307" i="3"/>
  <c r="P307" i="3"/>
  <c r="U307" i="3" s="1"/>
  <c r="M306" i="19" s="1"/>
  <c r="AN307" i="3"/>
  <c r="M308" i="3"/>
  <c r="P308" i="3"/>
  <c r="U308" i="3" s="1"/>
  <c r="M307" i="19" s="1"/>
  <c r="AN308" i="3"/>
  <c r="M309" i="3"/>
  <c r="P309" i="3"/>
  <c r="U309" i="3" s="1"/>
  <c r="M308" i="19" s="1"/>
  <c r="AN309" i="3"/>
  <c r="M310" i="3"/>
  <c r="P310" i="3"/>
  <c r="U310" i="3" s="1"/>
  <c r="M309" i="19" s="1"/>
  <c r="AN310" i="3"/>
  <c r="M311" i="3"/>
  <c r="P311" i="3"/>
  <c r="AN311" i="3"/>
  <c r="M312" i="3"/>
  <c r="P312" i="3"/>
  <c r="U312" i="3" s="1"/>
  <c r="M311" i="19" s="1"/>
  <c r="AN312" i="3"/>
  <c r="M314" i="3"/>
  <c r="P314" i="3"/>
  <c r="U314" i="3" s="1"/>
  <c r="M312" i="19" s="1"/>
  <c r="AN314" i="3"/>
  <c r="M315" i="3"/>
  <c r="P315" i="3"/>
  <c r="U315" i="3" s="1"/>
  <c r="M313" i="19" s="1"/>
  <c r="AN315" i="3"/>
  <c r="M316" i="3"/>
  <c r="P316" i="3"/>
  <c r="AN316" i="3"/>
  <c r="M317" i="3"/>
  <c r="P317" i="3"/>
  <c r="U317" i="3" s="1"/>
  <c r="M315" i="19" s="1"/>
  <c r="AN317" i="3"/>
  <c r="M318" i="3"/>
  <c r="P318" i="3"/>
  <c r="U318" i="3" s="1"/>
  <c r="M316" i="19" s="1"/>
  <c r="AN318" i="3"/>
  <c r="M319" i="3"/>
  <c r="P319" i="3"/>
  <c r="U319" i="3" s="1"/>
  <c r="M317" i="19" s="1"/>
  <c r="AN319" i="3"/>
  <c r="M320" i="3"/>
  <c r="P320" i="3"/>
  <c r="U320" i="3" s="1"/>
  <c r="AN320" i="3"/>
  <c r="M321" i="3"/>
  <c r="P321" i="3"/>
  <c r="U321" i="3" s="1"/>
  <c r="M319" i="19" s="1"/>
  <c r="AN321" i="3"/>
  <c r="M322" i="3"/>
  <c r="P322" i="3"/>
  <c r="AN322" i="3"/>
  <c r="M323" i="3"/>
  <c r="Q323" i="3" s="1"/>
  <c r="U323" i="3"/>
  <c r="M321" i="19" s="1"/>
  <c r="M324" i="3"/>
  <c r="P324" i="3"/>
  <c r="AN324" i="3"/>
  <c r="M325" i="3"/>
  <c r="P325" i="3"/>
  <c r="AN325" i="3"/>
  <c r="M326" i="3"/>
  <c r="P326" i="3"/>
  <c r="U326" i="3" s="1"/>
  <c r="M324" i="19" s="1"/>
  <c r="AN326" i="3"/>
  <c r="M327" i="3"/>
  <c r="Q327" i="3" s="1"/>
  <c r="U327" i="3"/>
  <c r="M325" i="19" s="1"/>
  <c r="AN327" i="3"/>
  <c r="M328" i="3"/>
  <c r="P328" i="3"/>
  <c r="AN328" i="3"/>
  <c r="M329" i="3"/>
  <c r="P329" i="3"/>
  <c r="AN329" i="3"/>
  <c r="M330" i="3"/>
  <c r="P330" i="3"/>
  <c r="U330" i="3" s="1"/>
  <c r="M328" i="19" s="1"/>
  <c r="AN330" i="3"/>
  <c r="M331" i="3"/>
  <c r="P331" i="3"/>
  <c r="U331" i="3" s="1"/>
  <c r="M329" i="19" s="1"/>
  <c r="AN331" i="3"/>
  <c r="M332" i="3"/>
  <c r="P332" i="3"/>
  <c r="U332" i="3" s="1"/>
  <c r="M330" i="19" s="1"/>
  <c r="AN332" i="3"/>
  <c r="M333" i="3"/>
  <c r="P333" i="3"/>
  <c r="AN333" i="3"/>
  <c r="M334" i="3"/>
  <c r="P334" i="3"/>
  <c r="U334" i="3" s="1"/>
  <c r="M332" i="19" s="1"/>
  <c r="AN334" i="3"/>
  <c r="M335" i="3"/>
  <c r="Q335" i="3" s="1"/>
  <c r="P335" i="3"/>
  <c r="AN335" i="3"/>
  <c r="M336" i="3"/>
  <c r="P336" i="3"/>
  <c r="U336" i="3" s="1"/>
  <c r="M334" i="19" s="1"/>
  <c r="AN336" i="3"/>
  <c r="M337" i="3"/>
  <c r="P337" i="3"/>
  <c r="AN337" i="3"/>
  <c r="M338" i="3"/>
  <c r="P338" i="3"/>
  <c r="U338" i="3" s="1"/>
  <c r="M336" i="19" s="1"/>
  <c r="AN338" i="3"/>
  <c r="M339" i="3"/>
  <c r="Q339" i="3" s="1"/>
  <c r="P339" i="3"/>
  <c r="U339" i="3" s="1"/>
  <c r="M337" i="19" s="1"/>
  <c r="AN339" i="3"/>
  <c r="M340" i="3"/>
  <c r="P340" i="3"/>
  <c r="U340" i="3" s="1"/>
  <c r="M338" i="19" s="1"/>
  <c r="AN340" i="3"/>
  <c r="M341" i="3"/>
  <c r="P341" i="3"/>
  <c r="U341" i="3" s="1"/>
  <c r="M339" i="19" s="1"/>
  <c r="AN341" i="3"/>
  <c r="M342" i="3"/>
  <c r="Q342" i="3" s="1"/>
  <c r="U342" i="3"/>
  <c r="M340" i="19" s="1"/>
  <c r="AN342" i="3"/>
  <c r="M343" i="3"/>
  <c r="Q343" i="3" s="1"/>
  <c r="P343" i="3"/>
  <c r="U343" i="3" s="1"/>
  <c r="M341" i="19" s="1"/>
  <c r="AN343" i="3"/>
  <c r="M344" i="3"/>
  <c r="P344" i="3"/>
  <c r="U344" i="3" s="1"/>
  <c r="M342" i="19" s="1"/>
  <c r="AN344" i="3"/>
  <c r="M345" i="3"/>
  <c r="Q345" i="3" s="1"/>
  <c r="AN345" i="3"/>
  <c r="M346" i="3"/>
  <c r="Q346" i="3" s="1"/>
  <c r="P346" i="3"/>
  <c r="AN346" i="3"/>
  <c r="M347" i="3"/>
  <c r="P347" i="3"/>
  <c r="U347" i="3" s="1"/>
  <c r="M345" i="19" s="1"/>
  <c r="AN347" i="3"/>
  <c r="M348" i="3"/>
  <c r="P348" i="3"/>
  <c r="AN348" i="3"/>
  <c r="I347" i="19"/>
  <c r="U349" i="3"/>
  <c r="M347" i="19" s="1"/>
  <c r="M350" i="3"/>
  <c r="U350" i="3"/>
  <c r="M348" i="19" s="1"/>
  <c r="M351" i="3"/>
  <c r="U351" i="3"/>
  <c r="M349" i="19" s="1"/>
  <c r="AL351" i="3"/>
  <c r="AN351" i="3" s="1"/>
  <c r="M352" i="3"/>
  <c r="P352" i="3" s="1"/>
  <c r="Q352" i="3" s="1"/>
  <c r="M353" i="3"/>
  <c r="P353" i="3" s="1"/>
  <c r="Q353" i="3" s="1"/>
  <c r="M354" i="3"/>
  <c r="Q354" i="3" s="1"/>
  <c r="P354" i="3"/>
  <c r="U354" i="3" s="1"/>
  <c r="M352" i="19" s="1"/>
  <c r="AN354" i="3"/>
  <c r="M355" i="3"/>
  <c r="P355" i="3"/>
  <c r="Q355" i="3" s="1"/>
  <c r="AN355" i="3"/>
  <c r="M356" i="3"/>
  <c r="P356" i="3"/>
  <c r="AN356" i="3"/>
  <c r="M357" i="3"/>
  <c r="AN357" i="3"/>
  <c r="M358" i="3"/>
  <c r="P358" i="3"/>
  <c r="AN358" i="3"/>
  <c r="M359" i="3"/>
  <c r="Q359" i="3" s="1"/>
  <c r="P359" i="3"/>
  <c r="AN359" i="3"/>
  <c r="M360" i="3"/>
  <c r="P360" i="3"/>
  <c r="AN360" i="3"/>
  <c r="M361" i="3"/>
  <c r="P361" i="3"/>
  <c r="AN361" i="3"/>
  <c r="M362" i="3"/>
  <c r="P362" i="3"/>
  <c r="AN362" i="3"/>
  <c r="M363" i="3"/>
  <c r="Q363" i="3" s="1"/>
  <c r="U363" i="3"/>
  <c r="M361" i="19" s="1"/>
  <c r="AN363" i="3"/>
  <c r="M364" i="3"/>
  <c r="P364" i="3"/>
  <c r="AN364" i="3"/>
  <c r="M365" i="3"/>
  <c r="P365" i="3"/>
  <c r="AN365" i="3"/>
  <c r="M366" i="3"/>
  <c r="P366" i="3"/>
  <c r="AN366" i="3"/>
  <c r="M367" i="3"/>
  <c r="Q367" i="3" s="1"/>
  <c r="P367" i="3"/>
  <c r="AN367" i="3"/>
  <c r="M368" i="3"/>
  <c r="P368" i="3"/>
  <c r="AN368" i="3"/>
  <c r="M369" i="3"/>
  <c r="Q369" i="3" s="1"/>
  <c r="P369" i="3"/>
  <c r="AN369" i="3"/>
  <c r="M370" i="3"/>
  <c r="P370" i="3"/>
  <c r="AN370" i="3"/>
  <c r="M371" i="3"/>
  <c r="Q371" i="3" s="1"/>
  <c r="P371" i="3"/>
  <c r="AN371" i="3"/>
  <c r="M372" i="3"/>
  <c r="P372" i="3"/>
  <c r="U372" i="3" s="1"/>
  <c r="M370" i="19" s="1"/>
  <c r="AN372" i="3"/>
  <c r="M373" i="3"/>
  <c r="P373" i="3"/>
  <c r="AN373" i="3"/>
  <c r="M374" i="3"/>
  <c r="P374" i="3"/>
  <c r="AN374" i="3"/>
  <c r="M375" i="3"/>
  <c r="P375" i="3"/>
  <c r="U375" i="3" s="1"/>
  <c r="M373" i="19" s="1"/>
  <c r="AN375" i="3"/>
  <c r="M376" i="3"/>
  <c r="P376" i="3"/>
  <c r="AN376" i="3"/>
  <c r="M377" i="3"/>
  <c r="Q377" i="3" s="1"/>
  <c r="P377" i="3"/>
  <c r="AN377" i="3"/>
  <c r="M378" i="3"/>
  <c r="P378" i="3"/>
  <c r="U378" i="3" s="1"/>
  <c r="M376" i="19" s="1"/>
  <c r="AN378" i="3"/>
  <c r="M379" i="3"/>
  <c r="Q379" i="3" s="1"/>
  <c r="P379" i="3"/>
  <c r="AN379" i="3"/>
  <c r="M380" i="3"/>
  <c r="P380" i="3"/>
  <c r="AN380" i="3"/>
  <c r="M381" i="3"/>
  <c r="P381" i="3"/>
  <c r="U381" i="3" s="1"/>
  <c r="M379" i="19" s="1"/>
  <c r="AN381" i="3"/>
  <c r="M382" i="3"/>
  <c r="P382" i="3"/>
  <c r="AN382" i="3"/>
  <c r="M383" i="3"/>
  <c r="Q383" i="3" s="1"/>
  <c r="P383" i="3"/>
  <c r="AN383" i="3"/>
  <c r="M384" i="3"/>
  <c r="Q384" i="3" s="1"/>
  <c r="U384" i="3"/>
  <c r="M382" i="19" s="1"/>
  <c r="M385" i="3"/>
  <c r="P385" i="3"/>
  <c r="M386" i="3"/>
  <c r="P386" i="3"/>
  <c r="M387" i="3"/>
  <c r="P387" i="3" s="1"/>
  <c r="Q387" i="3" s="1"/>
  <c r="U387" i="3"/>
  <c r="M385" i="19" s="1"/>
  <c r="AL387" i="3"/>
  <c r="AN387" i="3" s="1"/>
  <c r="M388" i="3"/>
  <c r="P388" i="3" s="1"/>
  <c r="Q388" i="3" s="1"/>
  <c r="R388" i="3" s="1"/>
  <c r="U388" i="3"/>
  <c r="M386" i="19" s="1"/>
  <c r="M389" i="3"/>
  <c r="P389" i="3" s="1"/>
  <c r="Q389" i="3" s="1"/>
  <c r="I387" i="19" s="1"/>
  <c r="U389" i="3"/>
  <c r="M387" i="19" s="1"/>
  <c r="M390" i="3"/>
  <c r="P390" i="3" s="1"/>
  <c r="Q390" i="3" s="1"/>
  <c r="U390" i="3"/>
  <c r="M388" i="19" s="1"/>
  <c r="M391" i="3"/>
  <c r="P391" i="3" s="1"/>
  <c r="Q391" i="3" s="1"/>
  <c r="R391" i="3" s="1"/>
  <c r="T391" i="3" s="1"/>
  <c r="U391" i="3"/>
  <c r="M389" i="19" s="1"/>
  <c r="U392" i="3"/>
  <c r="M390" i="19" s="1"/>
  <c r="M393" i="3"/>
  <c r="P393" i="3" s="1"/>
  <c r="U393" i="3"/>
  <c r="M391" i="19" s="1"/>
  <c r="M394" i="3"/>
  <c r="P394" i="3" s="1"/>
  <c r="Q394" i="3" s="1"/>
  <c r="U394" i="3"/>
  <c r="M392" i="19" s="1"/>
  <c r="AL394" i="3"/>
  <c r="AN394" i="3" s="1"/>
  <c r="M395" i="3"/>
  <c r="P395" i="3" s="1"/>
  <c r="Q395" i="3" s="1"/>
  <c r="U395" i="3"/>
  <c r="M393" i="19" s="1"/>
  <c r="AL395" i="3"/>
  <c r="AN395" i="3" s="1"/>
  <c r="M396" i="3"/>
  <c r="P396" i="3" s="1"/>
  <c r="Q396" i="3" s="1"/>
  <c r="U396" i="3"/>
  <c r="M394" i="19" s="1"/>
  <c r="AH396" i="3"/>
  <c r="AI396" i="3" s="1"/>
  <c r="M397" i="3"/>
  <c r="P397" i="3" s="1"/>
  <c r="Q397" i="3" s="1"/>
  <c r="U397" i="3"/>
  <c r="M395" i="19" s="1"/>
  <c r="AL397" i="3"/>
  <c r="AN397" i="3" s="1"/>
  <c r="M398" i="3"/>
  <c r="P398" i="3" s="1"/>
  <c r="Q398" i="3" s="1"/>
  <c r="R398" i="3" s="1"/>
  <c r="T398" i="3" s="1"/>
  <c r="U398" i="3"/>
  <c r="M396" i="19" s="1"/>
  <c r="AL398" i="3"/>
  <c r="AN398" i="3" s="1"/>
  <c r="M399" i="3"/>
  <c r="P399" i="3" s="1"/>
  <c r="Q399" i="3" s="1"/>
  <c r="U399" i="3"/>
  <c r="M397" i="19" s="1"/>
  <c r="AL399" i="3"/>
  <c r="AN399" i="3" s="1"/>
  <c r="Q400" i="3"/>
  <c r="U400" i="3"/>
  <c r="M398" i="19" s="1"/>
  <c r="AN400" i="3"/>
  <c r="M401" i="3"/>
  <c r="P401" i="3"/>
  <c r="AN401" i="3"/>
  <c r="M402" i="3"/>
  <c r="P402" i="3"/>
  <c r="U402" i="3" s="1"/>
  <c r="M400" i="19" s="1"/>
  <c r="AN402" i="3"/>
  <c r="M403" i="3"/>
  <c r="P403" i="3"/>
  <c r="AN403" i="3"/>
  <c r="M404" i="3"/>
  <c r="Q404" i="3" s="1"/>
  <c r="AN404" i="3"/>
  <c r="M405" i="3"/>
  <c r="P405" i="3"/>
  <c r="U405" i="3" s="1"/>
  <c r="M403" i="19" s="1"/>
  <c r="AN405" i="3"/>
  <c r="M406" i="3"/>
  <c r="P406" i="3"/>
  <c r="U406" i="3" s="1"/>
  <c r="M404" i="19" s="1"/>
  <c r="AN406" i="3"/>
  <c r="M407" i="3"/>
  <c r="P407" i="3"/>
  <c r="U407" i="3" s="1"/>
  <c r="M405" i="19" s="1"/>
  <c r="AN407" i="3"/>
  <c r="M408" i="3"/>
  <c r="Q408" i="3" s="1"/>
  <c r="P408" i="3"/>
  <c r="U408" i="3" s="1"/>
  <c r="M406" i="19" s="1"/>
  <c r="AN408" i="3"/>
  <c r="M409" i="3"/>
  <c r="P409" i="3"/>
  <c r="U409" i="3" s="1"/>
  <c r="M407" i="19" s="1"/>
  <c r="AN409" i="3"/>
  <c r="M410" i="3"/>
  <c r="Q410" i="3" s="1"/>
  <c r="P410" i="3"/>
  <c r="U410" i="3" s="1"/>
  <c r="M408" i="19" s="1"/>
  <c r="AN410" i="3"/>
  <c r="M411" i="3"/>
  <c r="P411" i="3"/>
  <c r="Q411" i="3" s="1"/>
  <c r="AN411" i="3"/>
  <c r="M412" i="3"/>
  <c r="Q412" i="3" s="1"/>
  <c r="P412" i="3"/>
  <c r="AN412" i="3"/>
  <c r="M413" i="3"/>
  <c r="P413" i="3"/>
  <c r="U413" i="3" s="1"/>
  <c r="M411" i="19" s="1"/>
  <c r="AN413" i="3"/>
  <c r="M414" i="3"/>
  <c r="P414" i="3"/>
  <c r="U414" i="3" s="1"/>
  <c r="M412" i="19" s="1"/>
  <c r="AN414" i="3"/>
  <c r="M415" i="3"/>
  <c r="P415" i="3"/>
  <c r="U415" i="3" s="1"/>
  <c r="M413" i="19" s="1"/>
  <c r="AN415" i="3"/>
  <c r="M416" i="3"/>
  <c r="Q416" i="3" s="1"/>
  <c r="P416" i="3"/>
  <c r="AN416" i="3"/>
  <c r="M417" i="3"/>
  <c r="P417" i="3"/>
  <c r="AN417" i="3"/>
  <c r="M418" i="3"/>
  <c r="P418" i="3"/>
  <c r="U418" i="3" s="1"/>
  <c r="M416" i="19" s="1"/>
  <c r="AN418" i="3"/>
  <c r="M419" i="3"/>
  <c r="P419" i="3"/>
  <c r="AN419" i="3"/>
  <c r="M420" i="3"/>
  <c r="P420" i="3"/>
  <c r="AN420" i="3"/>
  <c r="M421" i="3"/>
  <c r="P421" i="3"/>
  <c r="U421" i="3" s="1"/>
  <c r="M419" i="19" s="1"/>
  <c r="AN421" i="3"/>
  <c r="M422" i="3"/>
  <c r="P422" i="3"/>
  <c r="AN422" i="3"/>
  <c r="M423" i="3"/>
  <c r="P423" i="3"/>
  <c r="AN423" i="3"/>
  <c r="M424" i="3"/>
  <c r="Q424" i="3" s="1"/>
  <c r="P424" i="3"/>
  <c r="U424" i="3" s="1"/>
  <c r="M422" i="19" s="1"/>
  <c r="AN424" i="3"/>
  <c r="M425" i="3"/>
  <c r="P425" i="3"/>
  <c r="AI425" i="3"/>
  <c r="AN425" i="3"/>
  <c r="M426" i="3"/>
  <c r="P426" i="3"/>
  <c r="AN426" i="3"/>
  <c r="M427" i="3"/>
  <c r="P427" i="3"/>
  <c r="AN427" i="3"/>
  <c r="M428" i="3"/>
  <c r="P428" i="3"/>
  <c r="AN428" i="3"/>
  <c r="M429" i="3"/>
  <c r="P429" i="3"/>
  <c r="AN429" i="3"/>
  <c r="M430" i="3"/>
  <c r="P430" i="3"/>
  <c r="AN430" i="3"/>
  <c r="M431" i="3"/>
  <c r="P431" i="3"/>
  <c r="AN431" i="3"/>
  <c r="M432" i="3"/>
  <c r="P432" i="3"/>
  <c r="AN432" i="3"/>
  <c r="M433" i="3"/>
  <c r="P433" i="3"/>
  <c r="U433" i="3" s="1"/>
  <c r="M431" i="19" s="1"/>
  <c r="AN433" i="3"/>
  <c r="M434" i="3"/>
  <c r="P434" i="3"/>
  <c r="Q434" i="3" s="1"/>
  <c r="AN434" i="3"/>
  <c r="M435" i="3"/>
  <c r="Q435" i="3" s="1"/>
  <c r="P435" i="3"/>
  <c r="AN435" i="3"/>
  <c r="AB436" i="3"/>
  <c r="D439" i="3"/>
  <c r="J439" i="3"/>
  <c r="AB439" i="3"/>
  <c r="D442" i="3"/>
  <c r="J442" i="3"/>
  <c r="AB442" i="3"/>
  <c r="D445" i="3"/>
  <c r="J445" i="3"/>
  <c r="AB445" i="3"/>
  <c r="D448" i="3"/>
  <c r="J448" i="3"/>
  <c r="AB448" i="3"/>
  <c r="D451" i="3"/>
  <c r="J451" i="3"/>
  <c r="AB451" i="3"/>
  <c r="D454" i="3"/>
  <c r="J454" i="3"/>
  <c r="AB454" i="3"/>
  <c r="D457" i="3"/>
  <c r="J457" i="3"/>
  <c r="AB457" i="3"/>
  <c r="L115" i="4"/>
  <c r="AH54" i="3" s="1"/>
  <c r="L15" i="10"/>
  <c r="AH283" i="3" s="1"/>
  <c r="L142" i="8"/>
  <c r="AH263" i="3" s="1"/>
  <c r="AH207" i="3"/>
  <c r="L151" i="6"/>
  <c r="AH169" i="3" s="1"/>
  <c r="AH276" i="3"/>
  <c r="AI276" i="3" s="1"/>
  <c r="U302" i="3"/>
  <c r="M301" i="19" s="1"/>
  <c r="U160" i="3"/>
  <c r="M159" i="19" s="1"/>
  <c r="P85" i="3"/>
  <c r="Q85" i="3" s="1"/>
  <c r="AL44" i="3"/>
  <c r="AN44" i="3" s="1"/>
  <c r="AN286" i="3"/>
  <c r="P246" i="3"/>
  <c r="Q246" i="3" s="1"/>
  <c r="P207" i="3"/>
  <c r="Q207" i="3" s="1"/>
  <c r="U166" i="3"/>
  <c r="M165" i="19" s="1"/>
  <c r="U162" i="3"/>
  <c r="M161" i="19" s="1"/>
  <c r="U58" i="3"/>
  <c r="M57" i="19" s="1"/>
  <c r="AL31" i="3"/>
  <c r="AN31" i="3" s="1"/>
  <c r="AL27" i="3"/>
  <c r="AN27" i="3" s="1"/>
  <c r="AN23" i="3"/>
  <c r="U303" i="3"/>
  <c r="M302" i="19" s="1"/>
  <c r="U255" i="3"/>
  <c r="M254" i="19" s="1"/>
  <c r="AL207" i="3"/>
  <c r="AN207" i="3" s="1"/>
  <c r="U145" i="3"/>
  <c r="M144" i="19" s="1"/>
  <c r="U130" i="3"/>
  <c r="M129" i="19" s="1"/>
  <c r="U59" i="3"/>
  <c r="M58" i="19" s="1"/>
  <c r="P44" i="3"/>
  <c r="Q44" i="3" s="1"/>
  <c r="U158" i="3"/>
  <c r="M157" i="19" s="1"/>
  <c r="M122" i="19"/>
  <c r="U115" i="3"/>
  <c r="M114" i="19" s="1"/>
  <c r="AL86" i="3"/>
  <c r="AN86" i="3" s="1"/>
  <c r="AL12" i="3"/>
  <c r="AN12" i="3" s="1"/>
  <c r="U111" i="3"/>
  <c r="M110" i="19" s="1"/>
  <c r="U52" i="3"/>
  <c r="M51" i="19" s="1"/>
  <c r="P48" i="3"/>
  <c r="Q48" i="3" s="1"/>
  <c r="Q57" i="3"/>
  <c r="AL42" i="3"/>
  <c r="AN42" i="3" s="1"/>
  <c r="AL32" i="3"/>
  <c r="AN32" i="3" s="1"/>
  <c r="AL28" i="3"/>
  <c r="AN28" i="3" s="1"/>
  <c r="P11" i="3"/>
  <c r="Q11" i="3" s="1"/>
  <c r="I10" i="19" s="1"/>
  <c r="Q129" i="3"/>
  <c r="AL47" i="3"/>
  <c r="AN47" i="3" s="1"/>
  <c r="AL49" i="3"/>
  <c r="AN49" i="3" s="1"/>
  <c r="AL210" i="3"/>
  <c r="AN210" i="3" s="1"/>
  <c r="U89" i="3"/>
  <c r="M88" i="19" s="1"/>
  <c r="AL84" i="3"/>
  <c r="AN84" i="3" s="1"/>
  <c r="P43" i="3"/>
  <c r="Q43" i="3" s="1"/>
  <c r="P41" i="3"/>
  <c r="Q41" i="3" s="1"/>
  <c r="P33" i="3"/>
  <c r="Q33" i="3" s="1"/>
  <c r="AL217" i="3"/>
  <c r="AN217" i="3" s="1"/>
  <c r="U411" i="3"/>
  <c r="M409" i="19" s="1"/>
  <c r="AL80" i="3"/>
  <c r="AN80" i="3" s="1"/>
  <c r="Q269" i="3"/>
  <c r="AL248" i="3"/>
  <c r="AN248" i="3" s="1"/>
  <c r="P220" i="3"/>
  <c r="Q220" i="3" s="1"/>
  <c r="Q88" i="3"/>
  <c r="AL81" i="3"/>
  <c r="AN81" i="3" s="1"/>
  <c r="AL250" i="3"/>
  <c r="AN250" i="3" s="1"/>
  <c r="P208" i="3"/>
  <c r="Q208" i="3" s="1"/>
  <c r="M175" i="19"/>
  <c r="AL157" i="3"/>
  <c r="AN157" i="3" s="1"/>
  <c r="Q80" i="3"/>
  <c r="Q162" i="3"/>
  <c r="P299" i="3"/>
  <c r="Q299" i="3" s="1"/>
  <c r="U125" i="3"/>
  <c r="M124" i="19" s="1"/>
  <c r="AL209" i="3"/>
  <c r="AN209" i="3" s="1"/>
  <c r="U133" i="3"/>
  <c r="M132" i="19" s="1"/>
  <c r="AL16" i="3"/>
  <c r="AN16" i="3" s="1"/>
  <c r="AL289" i="3"/>
  <c r="AN289" i="3" s="1"/>
  <c r="U238" i="3"/>
  <c r="M237" i="19" s="1"/>
  <c r="U164" i="3"/>
  <c r="M163" i="19" s="1"/>
  <c r="Q114" i="3"/>
  <c r="U114" i="3"/>
  <c r="M113" i="19" s="1"/>
  <c r="U98" i="3"/>
  <c r="M97" i="19" s="1"/>
  <c r="U54" i="3"/>
  <c r="M53" i="19" s="1"/>
  <c r="AL36" i="3"/>
  <c r="AN36" i="3" s="1"/>
  <c r="Q270" i="3"/>
  <c r="Q230" i="3"/>
  <c r="P211" i="3"/>
  <c r="Q211" i="3" s="1"/>
  <c r="U204" i="3"/>
  <c r="M203" i="19" s="1"/>
  <c r="U168" i="3"/>
  <c r="M167" i="19" s="1"/>
  <c r="P39" i="3"/>
  <c r="Q39" i="3" s="1"/>
  <c r="AN10" i="3"/>
  <c r="Q195" i="3"/>
  <c r="U163" i="3"/>
  <c r="M162" i="19" s="1"/>
  <c r="U113" i="3"/>
  <c r="M112" i="19" s="1"/>
  <c r="Q113" i="3"/>
  <c r="Q35" i="3"/>
  <c r="P18" i="3"/>
  <c r="Q18" i="3" s="1"/>
  <c r="U67" i="3"/>
  <c r="M66" i="19" s="1"/>
  <c r="Q12" i="3"/>
  <c r="Q136" i="3"/>
  <c r="Q17" i="3"/>
  <c r="Q10" i="3"/>
  <c r="U119" i="3"/>
  <c r="M118" i="19" s="1"/>
  <c r="P36" i="3"/>
  <c r="Q36" i="3" s="1"/>
  <c r="R36" i="3" s="1"/>
  <c r="P31" i="3"/>
  <c r="Q31" i="3" s="1"/>
  <c r="P30" i="3"/>
  <c r="Q30" i="3" s="1"/>
  <c r="P20" i="3"/>
  <c r="Q20" i="3" s="1"/>
  <c r="P252" i="3"/>
  <c r="Q252" i="3" s="1"/>
  <c r="P29" i="3"/>
  <c r="Q29" i="3" s="1"/>
  <c r="AL13" i="3"/>
  <c r="AN13" i="3" s="1"/>
  <c r="P32" i="3"/>
  <c r="Q32" i="3" s="1"/>
  <c r="U129" i="3"/>
  <c r="M128" i="19" s="1"/>
  <c r="Q98" i="9"/>
  <c r="Q59" i="3"/>
  <c r="Q53" i="3"/>
  <c r="L171" i="9"/>
  <c r="AH411" i="3" s="1"/>
  <c r="L120" i="10"/>
  <c r="AH298" i="3" s="1"/>
  <c r="L129" i="10"/>
  <c r="AH301" i="3" s="1"/>
  <c r="Q393" i="3"/>
  <c r="U274" i="3"/>
  <c r="M273" i="19" s="1"/>
  <c r="U183" i="3"/>
  <c r="M182" i="19" s="1"/>
  <c r="U167" i="3"/>
  <c r="M166" i="19" s="1"/>
  <c r="Q161" i="3"/>
  <c r="L123" i="4"/>
  <c r="AH55" i="3" s="1"/>
  <c r="U90" i="3"/>
  <c r="M89" i="19" s="1"/>
  <c r="P51" i="3"/>
  <c r="Q51" i="3" s="1"/>
  <c r="P392" i="3"/>
  <c r="Q392" i="3" s="1"/>
  <c r="P285" i="3"/>
  <c r="Q285" i="3" s="1"/>
  <c r="I284" i="19" s="1"/>
  <c r="P209" i="3"/>
  <c r="Q209" i="3" s="1"/>
  <c r="P37" i="3"/>
  <c r="Q37" i="3" s="1"/>
  <c r="Q14" i="3"/>
  <c r="I13" i="19" s="1"/>
  <c r="P13" i="3"/>
  <c r="Q13" i="3" s="1"/>
  <c r="P9" i="3"/>
  <c r="Q9" i="3" s="1"/>
  <c r="P218" i="3"/>
  <c r="Q218" i="3" s="1"/>
  <c r="Q167" i="3"/>
  <c r="Q196" i="3"/>
  <c r="Q287" i="3"/>
  <c r="Q96" i="3"/>
  <c r="P16" i="3"/>
  <c r="Q16" i="3" s="1"/>
  <c r="Q350" i="3"/>
  <c r="AL396" i="3"/>
  <c r="AN396" i="3" s="1"/>
  <c r="Q46" i="3"/>
  <c r="U335" i="3"/>
  <c r="M333" i="19" s="1"/>
  <c r="Q241" i="3"/>
  <c r="AL220" i="3"/>
  <c r="AN220" i="3" s="1"/>
  <c r="Q22" i="3"/>
  <c r="Q373" i="3"/>
  <c r="AL392" i="3"/>
  <c r="AN392" i="3" s="1"/>
  <c r="AL292" i="3"/>
  <c r="AN292" i="3" s="1"/>
  <c r="AL249" i="3"/>
  <c r="AN249" i="3" s="1"/>
  <c r="AL14" i="3"/>
  <c r="AN14" i="3" s="1"/>
  <c r="P295" i="3"/>
  <c r="Q295" i="3" s="1"/>
  <c r="P297" i="3"/>
  <c r="Q297" i="3" s="1"/>
  <c r="Q326" i="3"/>
  <c r="AL389" i="3"/>
  <c r="AN389" i="3" s="1"/>
  <c r="AL247" i="3"/>
  <c r="AN247" i="3" s="1"/>
  <c r="AL222" i="3"/>
  <c r="AN222" i="3" s="1"/>
  <c r="AL211" i="3"/>
  <c r="AN211" i="3" s="1"/>
  <c r="AL391" i="3"/>
  <c r="AN391" i="3" s="1"/>
  <c r="AL290" i="3"/>
  <c r="AN290" i="3" s="1"/>
  <c r="AL213" i="3"/>
  <c r="AN213" i="3" s="1"/>
  <c r="AL83" i="3"/>
  <c r="AN83" i="3" s="1"/>
  <c r="AN40" i="3"/>
  <c r="AL22" i="3"/>
  <c r="AN22" i="3" s="1"/>
  <c r="AL390" i="3"/>
  <c r="AN390" i="3" s="1"/>
  <c r="AL353" i="3"/>
  <c r="AN353" i="3" s="1"/>
  <c r="Q277" i="3"/>
  <c r="AL253" i="3"/>
  <c r="AN253" i="3" s="1"/>
  <c r="AL244" i="3"/>
  <c r="AN244" i="3" s="1"/>
  <c r="AL221" i="3"/>
  <c r="AN221" i="3" s="1"/>
  <c r="AL208" i="3"/>
  <c r="AN208" i="3" s="1"/>
  <c r="Q140" i="3"/>
  <c r="AL37" i="3"/>
  <c r="AN37" i="3" s="1"/>
  <c r="AL17" i="3"/>
  <c r="AN17" i="3" s="1"/>
  <c r="Q81" i="3"/>
  <c r="AL246" i="3"/>
  <c r="AN246" i="3" s="1"/>
  <c r="AL33" i="3"/>
  <c r="AN33" i="3" s="1"/>
  <c r="AL388" i="3"/>
  <c r="AN388" i="3" s="1"/>
  <c r="AL297" i="3"/>
  <c r="AN297" i="3" s="1"/>
  <c r="AL293" i="3"/>
  <c r="AN293" i="3" s="1"/>
  <c r="AL283" i="3"/>
  <c r="AN283" i="3" s="1"/>
  <c r="AL254" i="3"/>
  <c r="AN254" i="3" s="1"/>
  <c r="AL11" i="3"/>
  <c r="AN11" i="3" s="1"/>
  <c r="P25" i="3"/>
  <c r="Q25" i="3" s="1"/>
  <c r="AL393" i="3"/>
  <c r="AN393" i="3" s="1"/>
  <c r="AL298" i="3"/>
  <c r="AN298" i="3" s="1"/>
  <c r="AL251" i="3"/>
  <c r="AN251" i="3" s="1"/>
  <c r="AL214" i="3"/>
  <c r="AN214" i="3" s="1"/>
  <c r="AL25" i="3"/>
  <c r="AN25" i="3" s="1"/>
  <c r="AL21" i="3"/>
  <c r="AN21" i="3" s="1"/>
  <c r="AN219" i="3"/>
  <c r="AN299" i="3"/>
  <c r="AH312" i="3"/>
  <c r="Q186" i="3"/>
  <c r="U64" i="3"/>
  <c r="M63" i="19" s="1"/>
  <c r="U170" i="3"/>
  <c r="M169" i="19" s="1"/>
  <c r="Q170" i="3"/>
  <c r="U122" i="3"/>
  <c r="M121" i="19" s="1"/>
  <c r="Q122" i="3"/>
  <c r="Q101" i="3"/>
  <c r="U101" i="3"/>
  <c r="M100" i="19" s="1"/>
  <c r="Q357" i="3"/>
  <c r="U357" i="3"/>
  <c r="M355" i="19" s="1"/>
  <c r="Q109" i="3"/>
  <c r="U109" i="3"/>
  <c r="M108" i="19" s="1"/>
  <c r="L44" i="10"/>
  <c r="AH287" i="3" s="1"/>
  <c r="AI287" i="3" s="1"/>
  <c r="AH392" i="3"/>
  <c r="L62" i="10"/>
  <c r="AH288" i="3" s="1"/>
  <c r="U366" i="3"/>
  <c r="M364" i="19" s="1"/>
  <c r="U348" i="3"/>
  <c r="M346" i="19" s="1"/>
  <c r="M116" i="19"/>
  <c r="L1027" i="10"/>
  <c r="Q138" i="5"/>
  <c r="L188" i="5"/>
  <c r="AH132" i="3" s="1"/>
  <c r="AI132" i="3" s="1"/>
  <c r="U139" i="3"/>
  <c r="M138" i="19" s="1"/>
  <c r="Q139" i="3"/>
  <c r="U118" i="3"/>
  <c r="M117" i="19" s="1"/>
  <c r="Q118" i="3"/>
  <c r="U369" i="3"/>
  <c r="M367" i="19" s="1"/>
  <c r="U159" i="3"/>
  <c r="M158" i="19" s="1"/>
  <c r="Q159" i="3"/>
  <c r="Q415" i="3"/>
  <c r="M147" i="19"/>
  <c r="M223" i="19"/>
  <c r="U182" i="3"/>
  <c r="M181" i="19" s="1"/>
  <c r="M105" i="19"/>
  <c r="U311" i="3"/>
  <c r="M310" i="19" s="1"/>
  <c r="U259" i="3"/>
  <c r="M258" i="19" s="1"/>
  <c r="Q381" i="3"/>
  <c r="U403" i="3"/>
  <c r="M401" i="19" s="1"/>
  <c r="U404" i="3"/>
  <c r="M402" i="19" s="1"/>
  <c r="U103" i="3"/>
  <c r="M102" i="19" s="1"/>
  <c r="U226" i="3"/>
  <c r="M225" i="19" s="1"/>
  <c r="Q242" i="3"/>
  <c r="Q192" i="3"/>
  <c r="Q152" i="3"/>
  <c r="Q147" i="3"/>
  <c r="Q146" i="3"/>
  <c r="Q144" i="3"/>
  <c r="Q143" i="3"/>
  <c r="Q135" i="3"/>
  <c r="Q134" i="3"/>
  <c r="Q348" i="3"/>
  <c r="Q338" i="3"/>
  <c r="Q273" i="3"/>
  <c r="Q199" i="3"/>
  <c r="Q366" i="3"/>
  <c r="Q278" i="3"/>
  <c r="Q206" i="3"/>
  <c r="Q90" i="3"/>
  <c r="Q89" i="3"/>
  <c r="Q179" i="3"/>
  <c r="Q102" i="3"/>
  <c r="Q125" i="3"/>
  <c r="Q200" i="3"/>
  <c r="Q187" i="3"/>
  <c r="Q58" i="3"/>
  <c r="U268" i="3"/>
  <c r="M267" i="19" s="1"/>
  <c r="U337" i="3"/>
  <c r="M335" i="19" s="1"/>
  <c r="U126" i="3"/>
  <c r="M125" i="19" s="1"/>
  <c r="Q126" i="3"/>
  <c r="U97" i="3"/>
  <c r="M96" i="19" s="1"/>
  <c r="Q97" i="3"/>
  <c r="U94" i="3"/>
  <c r="M93" i="19" s="1"/>
  <c r="U91" i="3"/>
  <c r="M90" i="19" s="1"/>
  <c r="Q334" i="3"/>
  <c r="U333" i="3"/>
  <c r="M331" i="19" s="1"/>
  <c r="U401" i="3"/>
  <c r="M399" i="19" s="1"/>
  <c r="U346" i="3"/>
  <c r="M344" i="19" s="1"/>
  <c r="U345" i="3"/>
  <c r="M343" i="19" s="1"/>
  <c r="U322" i="3"/>
  <c r="M320" i="19" s="1"/>
  <c r="U223" i="3"/>
  <c r="M222" i="19" s="1"/>
  <c r="Q223" i="3"/>
  <c r="Q177" i="3"/>
  <c r="I340" i="19"/>
  <c r="Q330" i="3"/>
  <c r="U201" i="3"/>
  <c r="M200" i="19" s="1"/>
  <c r="Q325" i="3"/>
  <c r="U325" i="3"/>
  <c r="M323" i="19" s="1"/>
  <c r="Q329" i="3"/>
  <c r="U329" i="3"/>
  <c r="M327" i="19" s="1"/>
  <c r="Q304" i="3"/>
  <c r="U304" i="3"/>
  <c r="M303" i="19" s="1"/>
  <c r="Q105" i="3"/>
  <c r="U227" i="3"/>
  <c r="M226" i="19" s="1"/>
  <c r="AH311" i="3"/>
  <c r="Q378" i="3"/>
  <c r="Q423" i="3"/>
  <c r="Q365" i="3"/>
  <c r="U412" i="3"/>
  <c r="M410" i="19" s="1"/>
  <c r="Q374" i="3"/>
  <c r="Q341" i="3"/>
  <c r="Q303" i="3"/>
  <c r="Q302" i="3"/>
  <c r="Q234" i="3"/>
  <c r="Q117" i="3"/>
  <c r="Q110" i="3"/>
  <c r="Q67" i="3"/>
  <c r="Q282" i="3"/>
  <c r="Q227" i="3"/>
  <c r="Q239" i="3"/>
  <c r="Q175" i="3"/>
  <c r="R28" i="3"/>
  <c r="T28" i="3" s="1"/>
  <c r="I27" i="19"/>
  <c r="R396" i="3"/>
  <c r="T396" i="3" s="1"/>
  <c r="I394" i="19"/>
  <c r="I243" i="19"/>
  <c r="R27" i="3"/>
  <c r="T27" i="3" s="1"/>
  <c r="I389" i="19"/>
  <c r="R247" i="3"/>
  <c r="R212" i="3"/>
  <c r="R210" i="3"/>
  <c r="I209" i="19"/>
  <c r="R83" i="3"/>
  <c r="T83" i="3" s="1"/>
  <c r="I82" i="19"/>
  <c r="I18" i="19"/>
  <c r="I385" i="19"/>
  <c r="R387" i="3"/>
  <c r="T387" i="3" s="1"/>
  <c r="I297" i="19"/>
  <c r="R289" i="3"/>
  <c r="T289" i="3" s="1"/>
  <c r="I288" i="19"/>
  <c r="R248" i="3"/>
  <c r="T248" i="3" s="1"/>
  <c r="I247" i="19"/>
  <c r="R216" i="3"/>
  <c r="T216" i="3" s="1"/>
  <c r="I215" i="19"/>
  <c r="I295" i="19"/>
  <c r="R245" i="3"/>
  <c r="T245" i="3" s="1"/>
  <c r="I244" i="19"/>
  <c r="R84" i="3"/>
  <c r="I212" i="19"/>
  <c r="R213" i="3"/>
  <c r="T213" i="3" s="1"/>
  <c r="AH407" i="3"/>
  <c r="AH414" i="3"/>
  <c r="L42" i="6"/>
  <c r="AH158" i="3" s="1"/>
  <c r="L11" i="7"/>
  <c r="AH208" i="3" s="1"/>
  <c r="L11" i="8"/>
  <c r="AH244" i="3" s="1"/>
  <c r="AI63" i="3" l="1"/>
  <c r="AH61" i="3"/>
  <c r="AH74" i="3"/>
  <c r="AH71" i="3"/>
  <c r="AH77" i="3"/>
  <c r="AH76" i="3" s="1"/>
  <c r="AH134" i="3"/>
  <c r="Q347" i="3"/>
  <c r="U124" i="3"/>
  <c r="M123" i="19" s="1"/>
  <c r="Q124" i="3"/>
  <c r="U360" i="3"/>
  <c r="M358" i="19" s="1"/>
  <c r="Q360" i="3"/>
  <c r="U328" i="3"/>
  <c r="M326" i="19" s="1"/>
  <c r="Q328" i="3"/>
  <c r="Q324" i="3"/>
  <c r="U324" i="3"/>
  <c r="M322" i="19" s="1"/>
  <c r="U264" i="3"/>
  <c r="M263" i="19" s="1"/>
  <c r="Q264" i="3"/>
  <c r="U229" i="3"/>
  <c r="M228" i="19" s="1"/>
  <c r="Q229" i="3"/>
  <c r="Q181" i="3"/>
  <c r="U181" i="3"/>
  <c r="M180" i="19" s="1"/>
  <c r="U173" i="3"/>
  <c r="M172" i="19" s="1"/>
  <c r="Q173" i="3"/>
  <c r="U165" i="3"/>
  <c r="M164" i="19" s="1"/>
  <c r="Q165" i="3"/>
  <c r="Q142" i="3"/>
  <c r="U142" i="3"/>
  <c r="M141" i="19" s="1"/>
  <c r="U430" i="3"/>
  <c r="M428" i="19" s="1"/>
  <c r="Q430" i="3"/>
  <c r="U305" i="3"/>
  <c r="M304" i="19" s="1"/>
  <c r="Q305" i="3"/>
  <c r="U301" i="3"/>
  <c r="M300" i="19" s="1"/>
  <c r="Q301" i="3"/>
  <c r="Q104" i="3"/>
  <c r="Q116" i="3"/>
  <c r="U120" i="3"/>
  <c r="M119" i="19" s="1"/>
  <c r="Q56" i="3"/>
  <c r="Q100" i="3"/>
  <c r="Q92" i="3"/>
  <c r="Q226" i="3"/>
  <c r="Q422" i="3"/>
  <c r="Q417" i="3"/>
  <c r="Q405" i="3"/>
  <c r="Q402" i="3"/>
  <c r="Q372" i="3"/>
  <c r="Q368" i="3"/>
  <c r="Q364" i="3"/>
  <c r="Q337" i="3"/>
  <c r="Q333" i="3"/>
  <c r="Q256" i="3"/>
  <c r="Q426" i="3"/>
  <c r="Q386" i="3"/>
  <c r="T388" i="3"/>
  <c r="S388" i="3" s="1"/>
  <c r="K386" i="19" s="1"/>
  <c r="J86" i="19"/>
  <c r="T87" i="3"/>
  <c r="R40" i="3"/>
  <c r="T40" i="3" s="1"/>
  <c r="S40" i="3" s="1"/>
  <c r="T210" i="3"/>
  <c r="T84" i="3"/>
  <c r="T212" i="3"/>
  <c r="I386" i="19"/>
  <c r="R217" i="3"/>
  <c r="T217" i="3" s="1"/>
  <c r="T247" i="3"/>
  <c r="J35" i="19"/>
  <c r="T36" i="3"/>
  <c r="Q429" i="3"/>
  <c r="Q356" i="3"/>
  <c r="Q275" i="3"/>
  <c r="AI390" i="3"/>
  <c r="AS390" i="3" s="1"/>
  <c r="L388" i="20" s="1"/>
  <c r="O346" i="10"/>
  <c r="I15" i="19"/>
  <c r="S259" i="3"/>
  <c r="R297" i="3"/>
  <c r="T297" i="3" s="1"/>
  <c r="I226" i="19"/>
  <c r="I233" i="19"/>
  <c r="R330" i="3"/>
  <c r="T330" i="3" s="1"/>
  <c r="I124" i="19"/>
  <c r="I117" i="19"/>
  <c r="I355" i="19"/>
  <c r="I139" i="19"/>
  <c r="I167" i="19"/>
  <c r="R343" i="3"/>
  <c r="T343" i="3" s="1"/>
  <c r="I281" i="19"/>
  <c r="R304" i="3"/>
  <c r="T304" i="3" s="1"/>
  <c r="I125" i="19"/>
  <c r="I366" i="19"/>
  <c r="I333" i="19"/>
  <c r="I145" i="19"/>
  <c r="I377" i="19"/>
  <c r="I276" i="19"/>
  <c r="I64" i="19"/>
  <c r="R157" i="3"/>
  <c r="T157" i="3" s="1"/>
  <c r="R17" i="3"/>
  <c r="T17" i="3" s="1"/>
  <c r="I123" i="19"/>
  <c r="R290" i="3"/>
  <c r="T290" i="3" s="1"/>
  <c r="I87" i="19"/>
  <c r="R207" i="3"/>
  <c r="T207" i="3" s="1"/>
  <c r="R16" i="3"/>
  <c r="T16" i="3" s="1"/>
  <c r="R56" i="3"/>
  <c r="T56" i="3" s="1"/>
  <c r="I174" i="19"/>
  <c r="I180" i="19"/>
  <c r="I302" i="19"/>
  <c r="I352" i="19"/>
  <c r="I363" i="19"/>
  <c r="I376" i="19"/>
  <c r="I106" i="19"/>
  <c r="I327" i="19"/>
  <c r="I332" i="19"/>
  <c r="R229" i="3"/>
  <c r="T229" i="3" s="1"/>
  <c r="I199" i="19"/>
  <c r="R102" i="3"/>
  <c r="T102" i="3" s="1"/>
  <c r="I277" i="19"/>
  <c r="I198" i="19"/>
  <c r="I336" i="19"/>
  <c r="I134" i="19"/>
  <c r="I146" i="19"/>
  <c r="I236" i="19"/>
  <c r="I382" i="19"/>
  <c r="I379" i="19"/>
  <c r="I367" i="19"/>
  <c r="I100" i="19"/>
  <c r="R295" i="3"/>
  <c r="T295" i="3" s="1"/>
  <c r="I371" i="19"/>
  <c r="I428" i="19"/>
  <c r="I263" i="19"/>
  <c r="R96" i="3"/>
  <c r="T96" i="3" s="1"/>
  <c r="I50" i="19"/>
  <c r="R161" i="3"/>
  <c r="T161" i="3" s="1"/>
  <c r="R389" i="3"/>
  <c r="R29" i="3"/>
  <c r="I35" i="19"/>
  <c r="I115" i="19"/>
  <c r="I137" i="19"/>
  <c r="I81" i="19"/>
  <c r="I38" i="19"/>
  <c r="I361" i="19"/>
  <c r="R299" i="3"/>
  <c r="T299" i="3" s="1"/>
  <c r="I219" i="19"/>
  <c r="I357" i="19"/>
  <c r="I40" i="19"/>
  <c r="R11" i="3"/>
  <c r="T11" i="3" s="1"/>
  <c r="S11" i="3" s="1"/>
  <c r="K10" i="19" s="1"/>
  <c r="I56" i="19"/>
  <c r="I427" i="19"/>
  <c r="I424" i="19"/>
  <c r="AL425" i="3"/>
  <c r="I409" i="19"/>
  <c r="I351" i="19"/>
  <c r="I335" i="19"/>
  <c r="I331" i="19"/>
  <c r="I321" i="19"/>
  <c r="Q322" i="3"/>
  <c r="Q321" i="3"/>
  <c r="Q320" i="3"/>
  <c r="Q319" i="3"/>
  <c r="Q308" i="3"/>
  <c r="R298" i="3"/>
  <c r="T298" i="3" s="1"/>
  <c r="I274" i="19"/>
  <c r="I267" i="19"/>
  <c r="Q266" i="3"/>
  <c r="R254" i="3"/>
  <c r="T254" i="3" s="1"/>
  <c r="Q225" i="3"/>
  <c r="R219" i="3"/>
  <c r="T219" i="3" s="1"/>
  <c r="R215" i="3"/>
  <c r="T215" i="3" s="1"/>
  <c r="Q203" i="3"/>
  <c r="Q202" i="3"/>
  <c r="I85" i="19"/>
  <c r="I78" i="19"/>
  <c r="Q78" i="3"/>
  <c r="Q73" i="3"/>
  <c r="Q70" i="3"/>
  <c r="I90" i="19"/>
  <c r="I364" i="19"/>
  <c r="I143" i="19"/>
  <c r="I192" i="19"/>
  <c r="I339" i="19"/>
  <c r="I421" i="19"/>
  <c r="I104" i="19"/>
  <c r="I323" i="19"/>
  <c r="I343" i="19"/>
  <c r="R324" i="3"/>
  <c r="I205" i="19"/>
  <c r="I370" i="19"/>
  <c r="I166" i="19"/>
  <c r="I269" i="19"/>
  <c r="I296" i="19"/>
  <c r="I118" i="19"/>
  <c r="I433" i="19"/>
  <c r="R110" i="3"/>
  <c r="T110" i="3" s="1"/>
  <c r="I231" i="19"/>
  <c r="I372" i="19"/>
  <c r="I365" i="19"/>
  <c r="R410" i="3"/>
  <c r="R172" i="3"/>
  <c r="T172" i="3" s="1"/>
  <c r="I304" i="19"/>
  <c r="I337" i="19"/>
  <c r="I344" i="19"/>
  <c r="I345" i="19"/>
  <c r="I57" i="19"/>
  <c r="I122" i="19"/>
  <c r="I362" i="19"/>
  <c r="I272" i="19"/>
  <c r="R348" i="3"/>
  <c r="T348" i="3" s="1"/>
  <c r="I142" i="19"/>
  <c r="I151" i="19"/>
  <c r="I241" i="19"/>
  <c r="R122" i="3"/>
  <c r="T122" i="3" s="1"/>
  <c r="I48" i="19"/>
  <c r="I415" i="19"/>
  <c r="I348" i="19"/>
  <c r="R287" i="3"/>
  <c r="T287" i="3" s="1"/>
  <c r="R9" i="3"/>
  <c r="T9" i="3" s="1"/>
  <c r="S9" i="3" s="1"/>
  <c r="I135" i="19"/>
  <c r="I287" i="19"/>
  <c r="I184" i="19"/>
  <c r="I42" i="19"/>
  <c r="I414" i="19"/>
  <c r="I43" i="19"/>
  <c r="I221" i="19"/>
  <c r="R397" i="3"/>
  <c r="I354" i="19"/>
  <c r="I353" i="19"/>
  <c r="R342" i="3"/>
  <c r="T342" i="3" s="1"/>
  <c r="R251" i="3"/>
  <c r="I246" i="19"/>
  <c r="I211" i="19"/>
  <c r="I86" i="19"/>
  <c r="I275" i="19"/>
  <c r="I410" i="19"/>
  <c r="R328" i="3"/>
  <c r="T328" i="3" s="1"/>
  <c r="I186" i="19"/>
  <c r="I375" i="19"/>
  <c r="R326" i="3"/>
  <c r="T326" i="3" s="1"/>
  <c r="R34" i="3"/>
  <c r="T34" i="3" s="1"/>
  <c r="R257" i="3"/>
  <c r="T257" i="3" s="1"/>
  <c r="I59" i="19"/>
  <c r="I195" i="19"/>
  <c r="R285" i="3"/>
  <c r="R115" i="3"/>
  <c r="T115" i="3" s="1"/>
  <c r="R32" i="3"/>
  <c r="T32" i="3" s="1"/>
  <c r="R253" i="3"/>
  <c r="T253" i="3" s="1"/>
  <c r="I369" i="19"/>
  <c r="R12" i="3"/>
  <c r="T12" i="3" s="1"/>
  <c r="I196" i="19"/>
  <c r="I245" i="19"/>
  <c r="I20" i="19"/>
  <c r="I396" i="19"/>
  <c r="I299" i="19"/>
  <c r="R296" i="3"/>
  <c r="R292" i="3"/>
  <c r="T292" i="3" s="1"/>
  <c r="S248" i="3"/>
  <c r="K247" i="19" s="1"/>
  <c r="R244" i="3"/>
  <c r="T244" i="3" s="1"/>
  <c r="I83" i="19"/>
  <c r="I46" i="19"/>
  <c r="I41" i="19"/>
  <c r="I26" i="19"/>
  <c r="S27" i="3"/>
  <c r="K26" i="19" s="1"/>
  <c r="R127" i="3"/>
  <c r="T127" i="3" s="1"/>
  <c r="R117" i="3"/>
  <c r="I325" i="19"/>
  <c r="I89" i="19"/>
  <c r="R302" i="3"/>
  <c r="T302" i="3" s="1"/>
  <c r="I193" i="19"/>
  <c r="I133" i="19"/>
  <c r="R14" i="3"/>
  <c r="T14" i="3" s="1"/>
  <c r="I49" i="19"/>
  <c r="I44" i="19"/>
  <c r="R19" i="3"/>
  <c r="T19" i="3" s="1"/>
  <c r="L18" i="19"/>
  <c r="J386" i="19"/>
  <c r="J211" i="19"/>
  <c r="Q191" i="3"/>
  <c r="Q160" i="3"/>
  <c r="I253" i="19"/>
  <c r="I214" i="19"/>
  <c r="Q130" i="3"/>
  <c r="Q52" i="3"/>
  <c r="R79" i="3"/>
  <c r="T79" i="3" s="1"/>
  <c r="R21" i="3"/>
  <c r="T21" i="3" s="1"/>
  <c r="I218" i="19"/>
  <c r="I31" i="19"/>
  <c r="Q401" i="3"/>
  <c r="Q385" i="3"/>
  <c r="Q316" i="3"/>
  <c r="Q77" i="3"/>
  <c r="Q75" i="3"/>
  <c r="AN384" i="3"/>
  <c r="AN227" i="3"/>
  <c r="AS227" i="3" s="1"/>
  <c r="L226" i="20" s="1"/>
  <c r="AN260" i="3"/>
  <c r="Q307" i="3"/>
  <c r="Q263" i="3"/>
  <c r="U316" i="3"/>
  <c r="M314" i="19" s="1"/>
  <c r="Q312" i="3"/>
  <c r="Q267" i="3"/>
  <c r="Q318" i="3"/>
  <c r="Q262" i="3"/>
  <c r="I109" i="19"/>
  <c r="Q314" i="3"/>
  <c r="Q310" i="3"/>
  <c r="Q306" i="3"/>
  <c r="Q315" i="3"/>
  <c r="Q421" i="3"/>
  <c r="Q433" i="3"/>
  <c r="Q409" i="3"/>
  <c r="Q418" i="3"/>
  <c r="Q413" i="3"/>
  <c r="Q281" i="3"/>
  <c r="Q279" i="3"/>
  <c r="Q271" i="3"/>
  <c r="AO131" i="3"/>
  <c r="Q336" i="3"/>
  <c r="I334" i="19" s="1"/>
  <c r="Q331" i="3"/>
  <c r="Q340" i="3"/>
  <c r="Q258" i="3"/>
  <c r="R124" i="3"/>
  <c r="T124" i="3" s="1"/>
  <c r="L123" i="19" s="1"/>
  <c r="R116" i="3"/>
  <c r="T116" i="3" s="1"/>
  <c r="AO425" i="3"/>
  <c r="Q54" i="3"/>
  <c r="Q99" i="3"/>
  <c r="Q98" i="3"/>
  <c r="O171" i="9"/>
  <c r="Q171" i="9" s="1"/>
  <c r="AI387" i="3"/>
  <c r="AS387" i="3" s="1"/>
  <c r="L385" i="20" s="1"/>
  <c r="AH419" i="3"/>
  <c r="J262" i="9"/>
  <c r="O120" i="8"/>
  <c r="Q120" i="8" s="1"/>
  <c r="O68" i="8"/>
  <c r="Q68" i="8" s="1"/>
  <c r="AH422" i="3"/>
  <c r="AH421" i="3" s="1"/>
  <c r="I346" i="19"/>
  <c r="R335" i="3"/>
  <c r="T335" i="3" s="1"/>
  <c r="Q243" i="3"/>
  <c r="Q240" i="3"/>
  <c r="Q238" i="3"/>
  <c r="Q236" i="3"/>
  <c r="I262" i="19"/>
  <c r="R222" i="3"/>
  <c r="T222" i="3" s="1"/>
  <c r="R123" i="3"/>
  <c r="Q428" i="3"/>
  <c r="Q382" i="3"/>
  <c r="Q380" i="3"/>
  <c r="Q376" i="3"/>
  <c r="Q375" i="3"/>
  <c r="Q201" i="3"/>
  <c r="K201" i="19" s="1"/>
  <c r="Q156" i="3"/>
  <c r="Q155" i="3"/>
  <c r="Q154" i="3"/>
  <c r="Q150" i="3"/>
  <c r="Q149" i="3"/>
  <c r="Q148" i="3"/>
  <c r="U121" i="3"/>
  <c r="M120" i="19" s="1"/>
  <c r="Q121" i="3"/>
  <c r="R175" i="3"/>
  <c r="T175" i="3" s="1"/>
  <c r="I341" i="19"/>
  <c r="R310" i="3"/>
  <c r="T310" i="3" s="1"/>
  <c r="I16" i="19"/>
  <c r="I228" i="19"/>
  <c r="I160" i="19"/>
  <c r="R101" i="3"/>
  <c r="T101" i="3" s="1"/>
  <c r="Q403" i="3"/>
  <c r="Q74" i="3"/>
  <c r="Q72" i="3"/>
  <c r="AL194" i="3"/>
  <c r="AO194" i="3" s="1"/>
  <c r="Q155" i="5"/>
  <c r="O126" i="5"/>
  <c r="Q126" i="5" s="1"/>
  <c r="Q63" i="7"/>
  <c r="O63" i="7"/>
  <c r="J131" i="7"/>
  <c r="L137" i="8"/>
  <c r="AH262" i="3" s="1"/>
  <c r="AI262" i="3" s="1"/>
  <c r="I384" i="19"/>
  <c r="Q224" i="3"/>
  <c r="Q184" i="3"/>
  <c r="Q183" i="3"/>
  <c r="Q182" i="3"/>
  <c r="R182" i="3" s="1"/>
  <c r="Q131" i="3"/>
  <c r="Q69" i="3"/>
  <c r="Q68" i="3"/>
  <c r="Q62" i="3"/>
  <c r="AN385" i="3"/>
  <c r="AO435" i="3"/>
  <c r="L217" i="8"/>
  <c r="AH279" i="3" s="1"/>
  <c r="AI279" i="3" s="1"/>
  <c r="AL279" i="3" s="1"/>
  <c r="AO279" i="3" s="1"/>
  <c r="AN386" i="3"/>
  <c r="J168" i="4"/>
  <c r="AI226" i="3"/>
  <c r="AI225" i="3"/>
  <c r="AI216" i="3"/>
  <c r="AS216" i="3" s="1"/>
  <c r="L215" i="20" s="1"/>
  <c r="AI228" i="3"/>
  <c r="AI224" i="3"/>
  <c r="AL224" i="3" s="1"/>
  <c r="AO224" i="3" s="1"/>
  <c r="AP224" i="3" s="1"/>
  <c r="AI214" i="3"/>
  <c r="AI222" i="3"/>
  <c r="AS222" i="3" s="1"/>
  <c r="L221" i="20" s="1"/>
  <c r="AI221" i="3"/>
  <c r="AS221" i="3" s="1"/>
  <c r="L220" i="20" s="1"/>
  <c r="AI219" i="3"/>
  <c r="AS219" i="3" s="1"/>
  <c r="L218" i="20" s="1"/>
  <c r="AI210" i="3"/>
  <c r="AS210" i="3" s="1"/>
  <c r="L209" i="20" s="1"/>
  <c r="AI230" i="3"/>
  <c r="AS230" i="3" s="1"/>
  <c r="L229" i="20" s="1"/>
  <c r="AI218" i="3"/>
  <c r="AS218" i="3" s="1"/>
  <c r="L217" i="20" s="1"/>
  <c r="AI217" i="3"/>
  <c r="AS217" i="3" s="1"/>
  <c r="L216" i="20" s="1"/>
  <c r="AI213" i="3"/>
  <c r="AI209" i="3"/>
  <c r="AO209" i="3" s="1"/>
  <c r="W62" i="10"/>
  <c r="AL65" i="3"/>
  <c r="AO65" i="3" s="1"/>
  <c r="AH75" i="3"/>
  <c r="AI75" i="3" s="1"/>
  <c r="AL75" i="3" s="1"/>
  <c r="AO75" i="3" s="1"/>
  <c r="L168" i="4"/>
  <c r="Q392" i="10"/>
  <c r="AH365" i="3"/>
  <c r="AI365" i="3" s="1"/>
  <c r="AL365" i="3" s="1"/>
  <c r="AO365" i="3" s="1"/>
  <c r="O212" i="10"/>
  <c r="O82" i="10"/>
  <c r="L392" i="10"/>
  <c r="AH317" i="3" s="1"/>
  <c r="L493" i="10"/>
  <c r="AH325" i="3" s="1"/>
  <c r="O677" i="10"/>
  <c r="Q677" i="10" s="1"/>
  <c r="O970" i="10"/>
  <c r="Q970" i="10" s="1"/>
  <c r="L847" i="10"/>
  <c r="AH350" i="3" s="1"/>
  <c r="O191" i="10"/>
  <c r="L1055" i="10"/>
  <c r="AH383" i="3" s="1"/>
  <c r="AI383" i="3" s="1"/>
  <c r="AL383" i="3" s="1"/>
  <c r="AO383" i="3" s="1"/>
  <c r="L1025" i="10"/>
  <c r="AH374" i="3" s="1"/>
  <c r="AI374" i="3" s="1"/>
  <c r="AL374" i="3" s="1"/>
  <c r="AO374" i="3" s="1"/>
  <c r="O817" i="10"/>
  <c r="Q817" i="10" s="1"/>
  <c r="L438" i="10"/>
  <c r="AH320" i="3" s="1"/>
  <c r="AH428" i="3"/>
  <c r="AH427" i="3" s="1"/>
  <c r="Q250" i="6"/>
  <c r="L339" i="6"/>
  <c r="AH206" i="3" s="1"/>
  <c r="O303" i="6"/>
  <c r="Q303" i="6" s="1"/>
  <c r="L93" i="6"/>
  <c r="AH162" i="3" s="1"/>
  <c r="AI229" i="3"/>
  <c r="AL229" i="3" s="1"/>
  <c r="AO229" i="3" s="1"/>
  <c r="AP229" i="3" s="1"/>
  <c r="AI220" i="3"/>
  <c r="AI215" i="3"/>
  <c r="AS215" i="3" s="1"/>
  <c r="L214" i="20" s="1"/>
  <c r="AI212" i="3"/>
  <c r="AI207" i="3"/>
  <c r="AS207" i="3" s="1"/>
  <c r="L206" i="20" s="1"/>
  <c r="AI58" i="3"/>
  <c r="AL58" i="3" s="1"/>
  <c r="AO58" i="3" s="1"/>
  <c r="AP58" i="3" s="1"/>
  <c r="AR58" i="3" s="1"/>
  <c r="AI52" i="3"/>
  <c r="AI38" i="3"/>
  <c r="AI37" i="3"/>
  <c r="AO37" i="3" s="1"/>
  <c r="AI36" i="3"/>
  <c r="AI35" i="3"/>
  <c r="AS35" i="3" s="1"/>
  <c r="L34" i="20" s="1"/>
  <c r="AI34" i="3"/>
  <c r="AI27" i="3"/>
  <c r="AS27" i="3" s="1"/>
  <c r="L26" i="20" s="1"/>
  <c r="AI26" i="3"/>
  <c r="AI20" i="3"/>
  <c r="AO20" i="3" s="1"/>
  <c r="AI18" i="3"/>
  <c r="AI12" i="3"/>
  <c r="AO12" i="3" s="1"/>
  <c r="AI28" i="3"/>
  <c r="AI54" i="3"/>
  <c r="AS54" i="3" s="1"/>
  <c r="L53" i="20" s="1"/>
  <c r="AI53" i="3"/>
  <c r="AS53" i="3" s="1"/>
  <c r="L52" i="20" s="1"/>
  <c r="AI24" i="3"/>
  <c r="AI19" i="3"/>
  <c r="AS19" i="3" s="1"/>
  <c r="L18" i="20" s="1"/>
  <c r="AI23" i="3"/>
  <c r="AI21" i="3"/>
  <c r="AS21" i="3" s="1"/>
  <c r="L20" i="20" s="1"/>
  <c r="AI15" i="3"/>
  <c r="AI13" i="3"/>
  <c r="AS13" i="3" s="1"/>
  <c r="L12" i="20" s="1"/>
  <c r="AO9" i="3"/>
  <c r="AP9" i="3" s="1"/>
  <c r="AR9" i="3" s="1"/>
  <c r="AI62" i="3"/>
  <c r="AL62" i="3" s="1"/>
  <c r="AO62" i="3" s="1"/>
  <c r="AI56" i="3"/>
  <c r="AI29" i="3"/>
  <c r="AS29" i="3" s="1"/>
  <c r="L28" i="20" s="1"/>
  <c r="AI59" i="3"/>
  <c r="AS59" i="3" s="1"/>
  <c r="L58" i="20" s="1"/>
  <c r="AH41" i="3"/>
  <c r="AH40" i="3" s="1"/>
  <c r="AI31" i="3"/>
  <c r="AS31" i="3" s="1"/>
  <c r="L30" i="20" s="1"/>
  <c r="AI25" i="3"/>
  <c r="AS25" i="3" s="1"/>
  <c r="L24" i="20" s="1"/>
  <c r="AI22" i="3"/>
  <c r="AS22" i="3" s="1"/>
  <c r="L21" i="20" s="1"/>
  <c r="AI16" i="3"/>
  <c r="AI10" i="3"/>
  <c r="AS10" i="3" s="1"/>
  <c r="L9" i="20" s="1"/>
  <c r="AI57" i="3"/>
  <c r="AI32" i="3"/>
  <c r="AO32" i="3" s="1"/>
  <c r="AI17" i="3"/>
  <c r="AI11" i="3"/>
  <c r="AS11" i="3" s="1"/>
  <c r="L10" i="20" s="1"/>
  <c r="Q152" i="5"/>
  <c r="Q229" i="5"/>
  <c r="Q203" i="5"/>
  <c r="AI110" i="3"/>
  <c r="AI128" i="3"/>
  <c r="AI124" i="3"/>
  <c r="AS124" i="3" s="1"/>
  <c r="L123" i="20" s="1"/>
  <c r="AI120" i="3"/>
  <c r="AI116" i="3"/>
  <c r="AS116" i="3" s="1"/>
  <c r="L115" i="20" s="1"/>
  <c r="AI109" i="3"/>
  <c r="AI104" i="3"/>
  <c r="AS104" i="3" s="1"/>
  <c r="L103" i="20" s="1"/>
  <c r="AI88" i="3"/>
  <c r="AS88" i="3" s="1"/>
  <c r="L87" i="20" s="1"/>
  <c r="AI80" i="3"/>
  <c r="AO80" i="3" s="1"/>
  <c r="AI87" i="3"/>
  <c r="AI91" i="3"/>
  <c r="AS91" i="3" s="1"/>
  <c r="L90" i="20" s="1"/>
  <c r="AI121" i="3"/>
  <c r="AS121" i="3" s="1"/>
  <c r="L120" i="20" s="1"/>
  <c r="AI114" i="3"/>
  <c r="AS114" i="3" s="1"/>
  <c r="L113" i="20" s="1"/>
  <c r="AI96" i="3"/>
  <c r="AI94" i="3"/>
  <c r="AS94" i="3" s="1"/>
  <c r="L93" i="20" s="1"/>
  <c r="AI92" i="3"/>
  <c r="AI81" i="3"/>
  <c r="AS81" i="3" s="1"/>
  <c r="L80" i="20" s="1"/>
  <c r="AI102" i="3"/>
  <c r="AI118" i="3"/>
  <c r="AS118" i="3" s="1"/>
  <c r="L117" i="20" s="1"/>
  <c r="AI129" i="3"/>
  <c r="AI122" i="3"/>
  <c r="AS122" i="3" s="1"/>
  <c r="L121" i="20" s="1"/>
  <c r="AI119" i="3"/>
  <c r="AI115" i="3"/>
  <c r="AL115" i="3" s="1"/>
  <c r="AO115" i="3" s="1"/>
  <c r="AI112" i="3"/>
  <c r="AI108" i="3"/>
  <c r="AS108" i="3" s="1"/>
  <c r="L107" i="20" s="1"/>
  <c r="AI105" i="3"/>
  <c r="AI83" i="3"/>
  <c r="AO83" i="3" s="1"/>
  <c r="AI126" i="3"/>
  <c r="AI127" i="3"/>
  <c r="AL127" i="3" s="1"/>
  <c r="AO127" i="3" s="1"/>
  <c r="AI125" i="3"/>
  <c r="AL125" i="3" s="1"/>
  <c r="AO125" i="3" s="1"/>
  <c r="AI117" i="3"/>
  <c r="AS117" i="3" s="1"/>
  <c r="L116" i="20" s="1"/>
  <c r="AI113" i="3"/>
  <c r="AI111" i="3"/>
  <c r="AS111" i="3" s="1"/>
  <c r="L110" i="20" s="1"/>
  <c r="AI107" i="3"/>
  <c r="AI106" i="3"/>
  <c r="AS106" i="3" s="1"/>
  <c r="L105" i="20" s="1"/>
  <c r="AI97" i="3"/>
  <c r="AI95" i="3"/>
  <c r="AS95" i="3" s="1"/>
  <c r="L94" i="20" s="1"/>
  <c r="AI93" i="3"/>
  <c r="AI90" i="3"/>
  <c r="AS90" i="3" s="1"/>
  <c r="L89" i="20" s="1"/>
  <c r="AI89" i="3"/>
  <c r="AL89" i="3" s="1"/>
  <c r="AO89" i="3" s="1"/>
  <c r="AP89" i="3" s="1"/>
  <c r="AI84" i="3"/>
  <c r="AS84" i="3" s="1"/>
  <c r="L83" i="20" s="1"/>
  <c r="AI82" i="3"/>
  <c r="AI79" i="3"/>
  <c r="AS79" i="3" s="1"/>
  <c r="L78" i="20" s="1"/>
  <c r="AI123" i="3"/>
  <c r="AI99" i="3"/>
  <c r="AL99" i="3" s="1"/>
  <c r="AO99" i="3" s="1"/>
  <c r="AI55" i="3"/>
  <c r="AS55" i="3" s="1"/>
  <c r="L54" i="20" s="1"/>
  <c r="AI414" i="3"/>
  <c r="AI407" i="3"/>
  <c r="AL407" i="3" s="1"/>
  <c r="AO407" i="3" s="1"/>
  <c r="AP407" i="3" s="1"/>
  <c r="AR407" i="3" s="1"/>
  <c r="AI406" i="3"/>
  <c r="AI413" i="3"/>
  <c r="AL413" i="3" s="1"/>
  <c r="AO413" i="3" s="1"/>
  <c r="AP413" i="3" s="1"/>
  <c r="AR413" i="3" s="1"/>
  <c r="AI403" i="3"/>
  <c r="AL403" i="3" s="1"/>
  <c r="AO403" i="3" s="1"/>
  <c r="AP403" i="3" s="1"/>
  <c r="AI395" i="3"/>
  <c r="AS395" i="3" s="1"/>
  <c r="L393" i="20" s="1"/>
  <c r="AI397" i="3"/>
  <c r="AI399" i="3"/>
  <c r="AS399" i="3" s="1"/>
  <c r="L397" i="20" s="1"/>
  <c r="AI392" i="3"/>
  <c r="AH434" i="3"/>
  <c r="AI434" i="3" s="1"/>
  <c r="AL434" i="3" s="1"/>
  <c r="AO434" i="3" s="1"/>
  <c r="AI401" i="3"/>
  <c r="AI398" i="3"/>
  <c r="AS398" i="3" s="1"/>
  <c r="L396" i="20" s="1"/>
  <c r="AI389" i="3"/>
  <c r="AI388" i="3"/>
  <c r="AS388" i="3" s="1"/>
  <c r="L386" i="20" s="1"/>
  <c r="AI411" i="3"/>
  <c r="AI412" i="3"/>
  <c r="AS412" i="3" s="1"/>
  <c r="L410" i="20" s="1"/>
  <c r="AI410" i="3"/>
  <c r="AL410" i="3" s="1"/>
  <c r="AO410" i="3" s="1"/>
  <c r="AP410" i="3" s="1"/>
  <c r="AI405" i="3"/>
  <c r="AL405" i="3" s="1"/>
  <c r="AO405" i="3" s="1"/>
  <c r="AP405" i="3" s="1"/>
  <c r="AR405" i="3" s="1"/>
  <c r="AI394" i="3"/>
  <c r="AO394" i="3" s="1"/>
  <c r="AI409" i="3"/>
  <c r="AL409" i="3" s="1"/>
  <c r="AO409" i="3" s="1"/>
  <c r="AP409" i="3" s="1"/>
  <c r="AI393" i="3"/>
  <c r="AI391" i="3"/>
  <c r="AO391" i="3" s="1"/>
  <c r="AI402" i="3"/>
  <c r="AI182" i="3"/>
  <c r="AS182" i="3" s="1"/>
  <c r="L181" i="20" s="1"/>
  <c r="AI177" i="3"/>
  <c r="AL177" i="3" s="1"/>
  <c r="AO177" i="3" s="1"/>
  <c r="AP177" i="3" s="1"/>
  <c r="AI161" i="3"/>
  <c r="AL161" i="3" s="1"/>
  <c r="AO161" i="3" s="1"/>
  <c r="AP161" i="3" s="1"/>
  <c r="AI171" i="3"/>
  <c r="AL171" i="3" s="1"/>
  <c r="AO171" i="3" s="1"/>
  <c r="AP171" i="3" s="1"/>
  <c r="AR171" i="3" s="1"/>
  <c r="AI157" i="3"/>
  <c r="AS157" i="3" s="1"/>
  <c r="L156" i="20" s="1"/>
  <c r="AI158" i="3"/>
  <c r="AL158" i="3" s="1"/>
  <c r="AO158" i="3" s="1"/>
  <c r="AP158" i="3" s="1"/>
  <c r="AI172" i="3"/>
  <c r="AL172" i="3" s="1"/>
  <c r="AO172" i="3" s="1"/>
  <c r="AI165" i="3"/>
  <c r="AL165" i="3" s="1"/>
  <c r="AO165" i="3" s="1"/>
  <c r="AP165" i="3" s="1"/>
  <c r="AR165" i="3" s="1"/>
  <c r="AI167" i="3"/>
  <c r="AS167" i="3" s="1"/>
  <c r="L166" i="20" s="1"/>
  <c r="AI181" i="3"/>
  <c r="AL181" i="3" s="1"/>
  <c r="AO181" i="3" s="1"/>
  <c r="AP181" i="3" s="1"/>
  <c r="AI179" i="3"/>
  <c r="AS179" i="3" s="1"/>
  <c r="L178" i="20" s="1"/>
  <c r="AI174" i="3"/>
  <c r="AI173" i="3"/>
  <c r="AL173" i="3" s="1"/>
  <c r="AO173" i="3" s="1"/>
  <c r="AP173" i="3" s="1"/>
  <c r="AI166" i="3"/>
  <c r="AI180" i="3"/>
  <c r="AL180" i="3" s="1"/>
  <c r="AO180" i="3" s="1"/>
  <c r="AP180" i="3" s="1"/>
  <c r="AI163" i="3"/>
  <c r="AL163" i="3" s="1"/>
  <c r="AO163" i="3" s="1"/>
  <c r="AP163" i="3" s="1"/>
  <c r="AI160" i="3"/>
  <c r="AS160" i="3" s="1"/>
  <c r="L159" i="20" s="1"/>
  <c r="AI176" i="3"/>
  <c r="AI404" i="3"/>
  <c r="AL404" i="3" s="1"/>
  <c r="AO404" i="3" s="1"/>
  <c r="Q542" i="10"/>
  <c r="Q179" i="10"/>
  <c r="O603" i="10"/>
  <c r="Q603" i="10" s="1"/>
  <c r="L694" i="10"/>
  <c r="AH341" i="3" s="1"/>
  <c r="L944" i="10"/>
  <c r="AH362" i="3" s="1"/>
  <c r="AI362" i="3" s="1"/>
  <c r="AL362" i="3" s="1"/>
  <c r="AO362" i="3" s="1"/>
  <c r="AI308" i="3"/>
  <c r="AS308" i="3" s="1"/>
  <c r="L307" i="20" s="1"/>
  <c r="AI345" i="3"/>
  <c r="AL345" i="3" s="1"/>
  <c r="AO345" i="3" s="1"/>
  <c r="AP345" i="3" s="1"/>
  <c r="AR345" i="3" s="1"/>
  <c r="AI346" i="3"/>
  <c r="AL346" i="3" s="1"/>
  <c r="AO346" i="3" s="1"/>
  <c r="AP346" i="3" s="1"/>
  <c r="AR346" i="3" s="1"/>
  <c r="AI349" i="3"/>
  <c r="AI333" i="3"/>
  <c r="AL333" i="3" s="1"/>
  <c r="AO333" i="3" s="1"/>
  <c r="AP333" i="3" s="1"/>
  <c r="AR333" i="3" s="1"/>
  <c r="AI337" i="3"/>
  <c r="AI288" i="3"/>
  <c r="AO288" i="3" s="1"/>
  <c r="AI312" i="3"/>
  <c r="AI340" i="3"/>
  <c r="AL340" i="3" s="1"/>
  <c r="AO340" i="3" s="1"/>
  <c r="AP340" i="3" s="1"/>
  <c r="AR340" i="3" s="1"/>
  <c r="AI300" i="3"/>
  <c r="AI290" i="3"/>
  <c r="AS290" i="3" s="1"/>
  <c r="L289" i="20" s="1"/>
  <c r="AI332" i="3"/>
  <c r="AI307" i="3"/>
  <c r="AS307" i="3" s="1"/>
  <c r="L306" i="20" s="1"/>
  <c r="AI315" i="3"/>
  <c r="AS315" i="3" s="1"/>
  <c r="L313" i="20" s="1"/>
  <c r="AI339" i="3"/>
  <c r="AS339" i="3" s="1"/>
  <c r="L337" i="20" s="1"/>
  <c r="AI316" i="3"/>
  <c r="AI305" i="3"/>
  <c r="AS305" i="3" s="1"/>
  <c r="L304" i="20" s="1"/>
  <c r="AI329" i="3"/>
  <c r="AI328" i="3"/>
  <c r="AL328" i="3" s="1"/>
  <c r="AO328" i="3" s="1"/>
  <c r="AP328" i="3" s="1"/>
  <c r="AR328" i="3" s="1"/>
  <c r="AI299" i="3"/>
  <c r="AS299" i="3" s="1"/>
  <c r="L298" i="20" s="1"/>
  <c r="AI343" i="3"/>
  <c r="AS343" i="3" s="1"/>
  <c r="L341" i="20" s="1"/>
  <c r="AI298" i="3"/>
  <c r="AS298" i="3" s="1"/>
  <c r="L297" i="20" s="1"/>
  <c r="AI283" i="3"/>
  <c r="AS283" i="3" s="1"/>
  <c r="L282" i="20" s="1"/>
  <c r="AI331" i="3"/>
  <c r="AL331" i="3" s="1"/>
  <c r="AO331" i="3" s="1"/>
  <c r="AI326" i="3"/>
  <c r="AL326" i="3" s="1"/>
  <c r="AO326" i="3" s="1"/>
  <c r="AP326" i="3" s="1"/>
  <c r="AR326" i="3" s="1"/>
  <c r="AI293" i="3"/>
  <c r="AS293" i="3" s="1"/>
  <c r="L292" i="20" s="1"/>
  <c r="AI285" i="3"/>
  <c r="AO285" i="3" s="1"/>
  <c r="AI327" i="3"/>
  <c r="AS327" i="3" s="1"/>
  <c r="L325" i="20" s="1"/>
  <c r="AI303" i="3"/>
  <c r="AL303" i="3" s="1"/>
  <c r="AO303" i="3" s="1"/>
  <c r="AP303" i="3" s="1"/>
  <c r="AR303" i="3" s="1"/>
  <c r="AI334" i="3"/>
  <c r="AL334" i="3" s="1"/>
  <c r="AO334" i="3" s="1"/>
  <c r="AP334" i="3" s="1"/>
  <c r="AR334" i="3" s="1"/>
  <c r="AI347" i="3"/>
  <c r="AS347" i="3" s="1"/>
  <c r="L345" i="20" s="1"/>
  <c r="AI289" i="3"/>
  <c r="AS289" i="3" s="1"/>
  <c r="L288" i="20" s="1"/>
  <c r="AI296" i="3"/>
  <c r="AO296" i="3" s="1"/>
  <c r="AI338" i="3"/>
  <c r="AL338" i="3" s="1"/>
  <c r="AO338" i="3" s="1"/>
  <c r="AI306" i="3"/>
  <c r="AL306" i="3" s="1"/>
  <c r="AO306" i="3" s="1"/>
  <c r="AP306" i="3" s="1"/>
  <c r="AR306" i="3" s="1"/>
  <c r="AI292" i="3"/>
  <c r="AO292" i="3" s="1"/>
  <c r="AI295" i="3"/>
  <c r="AS295" i="3" s="1"/>
  <c r="L294" i="20" s="1"/>
  <c r="AI311" i="3"/>
  <c r="AS287" i="3"/>
  <c r="L286" i="20" s="1"/>
  <c r="AI301" i="3"/>
  <c r="AS301" i="3" s="1"/>
  <c r="L300" i="20" s="1"/>
  <c r="AI344" i="3"/>
  <c r="AL344" i="3" s="1"/>
  <c r="AO344" i="3" s="1"/>
  <c r="AP344" i="3" s="1"/>
  <c r="AR344" i="3" s="1"/>
  <c r="AI318" i="3"/>
  <c r="AI304" i="3"/>
  <c r="AL304" i="3" s="1"/>
  <c r="AO304" i="3" s="1"/>
  <c r="AP304" i="3" s="1"/>
  <c r="AR304" i="3" s="1"/>
  <c r="AI291" i="3"/>
  <c r="AO291" i="3" s="1"/>
  <c r="AI286" i="3"/>
  <c r="AO286" i="3" s="1"/>
  <c r="AI302" i="3"/>
  <c r="AL302" i="3" s="1"/>
  <c r="AO302" i="3" s="1"/>
  <c r="AI309" i="3"/>
  <c r="AS309" i="3" s="1"/>
  <c r="L308" i="20" s="1"/>
  <c r="AI330" i="3"/>
  <c r="AS330" i="3" s="1"/>
  <c r="L328" i="20" s="1"/>
  <c r="AI335" i="3"/>
  <c r="AL335" i="3" s="1"/>
  <c r="AO335" i="3" s="1"/>
  <c r="AP335" i="3" s="1"/>
  <c r="AR335" i="3" s="1"/>
  <c r="AI264" i="3"/>
  <c r="AL264" i="3" s="1"/>
  <c r="AO264" i="3" s="1"/>
  <c r="AI251" i="3"/>
  <c r="AI248" i="3"/>
  <c r="AO248" i="3" s="1"/>
  <c r="AI257" i="3"/>
  <c r="AI258" i="3"/>
  <c r="AS258" i="3" s="1"/>
  <c r="L257" i="20" s="1"/>
  <c r="AI255" i="3"/>
  <c r="AI267" i="3"/>
  <c r="AL267" i="3" s="1"/>
  <c r="AO267" i="3" s="1"/>
  <c r="AI256" i="3"/>
  <c r="AI254" i="3"/>
  <c r="AO254" i="3" s="1"/>
  <c r="AI250" i="3"/>
  <c r="AI244" i="3"/>
  <c r="AO244" i="3" s="1"/>
  <c r="AI263" i="3"/>
  <c r="AI265" i="3"/>
  <c r="AS265" i="3" s="1"/>
  <c r="L264" i="20" s="1"/>
  <c r="AI252" i="3"/>
  <c r="AI246" i="3"/>
  <c r="AO246" i="3" s="1"/>
  <c r="AI266" i="3"/>
  <c r="AI348" i="3"/>
  <c r="AL348" i="3" s="1"/>
  <c r="AO348" i="3" s="1"/>
  <c r="AP348" i="3" s="1"/>
  <c r="AR348" i="3" s="1"/>
  <c r="AI319" i="3"/>
  <c r="AL319" i="3" s="1"/>
  <c r="AO319" i="3" s="1"/>
  <c r="AP319" i="3" s="1"/>
  <c r="AR319" i="3" s="1"/>
  <c r="AI324" i="3"/>
  <c r="AL324" i="3" s="1"/>
  <c r="AO324" i="3" s="1"/>
  <c r="AP324" i="3" s="1"/>
  <c r="R291" i="3"/>
  <c r="T291" i="3" s="1"/>
  <c r="I290" i="19"/>
  <c r="I55" i="19"/>
  <c r="R323" i="3"/>
  <c r="I407" i="19"/>
  <c r="I303" i="19"/>
  <c r="I8" i="19"/>
  <c r="I306" i="19"/>
  <c r="R390" i="3"/>
  <c r="T390" i="3" s="1"/>
  <c r="I388" i="19"/>
  <c r="L341" i="19"/>
  <c r="J341" i="19"/>
  <c r="R58" i="3"/>
  <c r="T58" i="3" s="1"/>
  <c r="R339" i="3"/>
  <c r="R90" i="3"/>
  <c r="T90" i="3" s="1"/>
  <c r="R220" i="3"/>
  <c r="AL276" i="3"/>
  <c r="AO276" i="3" s="1"/>
  <c r="Q407" i="3"/>
  <c r="AO26" i="3"/>
  <c r="I116" i="19"/>
  <c r="J78" i="19"/>
  <c r="R341" i="3"/>
  <c r="T341" i="3" s="1"/>
  <c r="R227" i="3"/>
  <c r="J226" i="19" s="1"/>
  <c r="I223" i="19"/>
  <c r="R224" i="3"/>
  <c r="J218" i="19"/>
  <c r="R86" i="3"/>
  <c r="T86" i="3" s="1"/>
  <c r="J288" i="19"/>
  <c r="S289" i="3"/>
  <c r="K288" i="19" s="1"/>
  <c r="J246" i="19"/>
  <c r="S247" i="3"/>
  <c r="K246" i="19" s="1"/>
  <c r="S396" i="3"/>
  <c r="K394" i="19" s="1"/>
  <c r="J27" i="19"/>
  <c r="S28" i="3"/>
  <c r="K27" i="19" s="1"/>
  <c r="J109" i="19"/>
  <c r="J408" i="19"/>
  <c r="J326" i="19"/>
  <c r="J228" i="19"/>
  <c r="P351" i="3"/>
  <c r="Q351" i="3" s="1"/>
  <c r="Q190" i="3"/>
  <c r="Q188" i="3"/>
  <c r="AL184" i="3"/>
  <c r="AL63" i="3"/>
  <c r="AO63" i="3" s="1"/>
  <c r="AO18" i="3"/>
  <c r="AL423" i="3"/>
  <c r="AO423" i="3" s="1"/>
  <c r="AL355" i="3"/>
  <c r="AO355" i="3" s="1"/>
  <c r="L82" i="19"/>
  <c r="J126" i="19"/>
  <c r="J303" i="19"/>
  <c r="L303" i="19"/>
  <c r="J328" i="19"/>
  <c r="S116" i="3"/>
  <c r="K115" i="19" s="1"/>
  <c r="L216" i="19"/>
  <c r="J33" i="19"/>
  <c r="I326" i="19"/>
  <c r="AL332" i="3"/>
  <c r="AO332" i="3" s="1"/>
  <c r="AP332" i="3" s="1"/>
  <c r="J83" i="19"/>
  <c r="L15" i="19"/>
  <c r="I45" i="19"/>
  <c r="R46" i="3"/>
  <c r="T46" i="3" s="1"/>
  <c r="J11" i="19"/>
  <c r="J250" i="19"/>
  <c r="J295" i="19"/>
  <c r="L386" i="19"/>
  <c r="I66" i="19"/>
  <c r="R181" i="3"/>
  <c r="R107" i="3"/>
  <c r="T107" i="3" s="1"/>
  <c r="J216" i="19"/>
  <c r="R118" i="3"/>
  <c r="T118" i="3" s="1"/>
  <c r="I114" i="19"/>
  <c r="Q370" i="3"/>
  <c r="Q163" i="3"/>
  <c r="AO220" i="3"/>
  <c r="J299" i="19"/>
  <c r="J244" i="19"/>
  <c r="J347" i="19"/>
  <c r="L347" i="19"/>
  <c r="J297" i="19"/>
  <c r="J209" i="19"/>
  <c r="S254" i="3"/>
  <c r="K253" i="19" s="1"/>
  <c r="S398" i="3"/>
  <c r="K396" i="19" s="1"/>
  <c r="J122" i="19"/>
  <c r="J309" i="19"/>
  <c r="L156" i="19"/>
  <c r="R401" i="3"/>
  <c r="T401" i="3" s="1"/>
  <c r="R264" i="3"/>
  <c r="T264" i="3" s="1"/>
  <c r="AL197" i="3"/>
  <c r="U1027" i="10"/>
  <c r="W1027" i="10" s="1"/>
  <c r="Q631" i="10"/>
  <c r="L111" i="10"/>
  <c r="AH297" i="3" s="1"/>
  <c r="AH376" i="3" s="1"/>
  <c r="AH375" i="3" s="1"/>
  <c r="AI375" i="3" s="1"/>
  <c r="Q82" i="10"/>
  <c r="Q191" i="10"/>
  <c r="Q346" i="10"/>
  <c r="Q361" i="10"/>
  <c r="Q254" i="10"/>
  <c r="Q909" i="10"/>
  <c r="L25" i="10"/>
  <c r="AH284" i="3" s="1"/>
  <c r="Q212" i="10"/>
  <c r="L346" i="10"/>
  <c r="AH314" i="3" s="1"/>
  <c r="AI314" i="3" s="1"/>
  <c r="AO47" i="3"/>
  <c r="AI294" i="3"/>
  <c r="AS294" i="3" s="1"/>
  <c r="L293" i="20" s="1"/>
  <c r="AH385" i="3"/>
  <c r="AH384" i="3" s="1"/>
  <c r="AH336" i="3"/>
  <c r="AL225" i="3"/>
  <c r="AO225" i="3" s="1"/>
  <c r="AP225" i="3" s="1"/>
  <c r="AR225" i="3" s="1"/>
  <c r="AS225" i="3"/>
  <c r="L224" i="20" s="1"/>
  <c r="AS214" i="3"/>
  <c r="L213" i="20" s="1"/>
  <c r="AO214" i="3"/>
  <c r="AH373" i="3"/>
  <c r="AI30" i="3"/>
  <c r="AS30" i="3" s="1"/>
  <c r="L29" i="20" s="1"/>
  <c r="AO300" i="3"/>
  <c r="R250" i="3"/>
  <c r="I249" i="19"/>
  <c r="AO25" i="3"/>
  <c r="AS89" i="3"/>
  <c r="L88" i="20" s="1"/>
  <c r="AH44" i="3"/>
  <c r="R345" i="3"/>
  <c r="R327" i="3"/>
  <c r="T327" i="3" s="1"/>
  <c r="R322" i="3"/>
  <c r="AI14" i="3"/>
  <c r="AO14" i="3" s="1"/>
  <c r="AO395" i="3"/>
  <c r="AH68" i="3"/>
  <c r="AI68" i="3" s="1"/>
  <c r="AL68" i="3" s="1"/>
  <c r="AO68" i="3" s="1"/>
  <c r="AO210" i="3"/>
  <c r="AI33" i="3"/>
  <c r="AS33" i="3" s="1"/>
  <c r="L32" i="20" s="1"/>
  <c r="I350" i="19"/>
  <c r="I328" i="19"/>
  <c r="AI367" i="3"/>
  <c r="AL367" i="3" s="1"/>
  <c r="AO367" i="3" s="1"/>
  <c r="AH366" i="3"/>
  <c r="AI356" i="3"/>
  <c r="AL356" i="3" s="1"/>
  <c r="AO356" i="3" s="1"/>
  <c r="AH354" i="3"/>
  <c r="AL337" i="3"/>
  <c r="AO337" i="3" s="1"/>
  <c r="AP337" i="3" s="1"/>
  <c r="AR337" i="3" s="1"/>
  <c r="AS337" i="3"/>
  <c r="L335" i="20" s="1"/>
  <c r="AO299" i="3"/>
  <c r="AI322" i="3"/>
  <c r="AL322" i="3" s="1"/>
  <c r="AO322" i="3" s="1"/>
  <c r="AP322" i="3" s="1"/>
  <c r="AR322" i="3" s="1"/>
  <c r="AH242" i="3"/>
  <c r="AI242" i="3" s="1"/>
  <c r="AL242" i="3" s="1"/>
  <c r="AO242" i="3" s="1"/>
  <c r="AI223" i="3"/>
  <c r="AS223" i="3" s="1"/>
  <c r="L222" i="20" s="1"/>
  <c r="AH233" i="3"/>
  <c r="AH232" i="3" s="1"/>
  <c r="AI211" i="3"/>
  <c r="AS211" i="3" s="1"/>
  <c r="L210" i="20" s="1"/>
  <c r="AH236" i="3"/>
  <c r="AI164" i="3"/>
  <c r="AL164" i="3" s="1"/>
  <c r="AO164" i="3" s="1"/>
  <c r="AP164" i="3" s="1"/>
  <c r="AR164" i="3" s="1"/>
  <c r="AS161" i="3"/>
  <c r="L160" i="20" s="1"/>
  <c r="AS165" i="3"/>
  <c r="L164" i="20" s="1"/>
  <c r="L64" i="6"/>
  <c r="AH159" i="3" s="1"/>
  <c r="AI185" i="3"/>
  <c r="AL185" i="3" s="1"/>
  <c r="AO185" i="3" s="1"/>
  <c r="AH183" i="3"/>
  <c r="AI178" i="3"/>
  <c r="AL178" i="3" s="1"/>
  <c r="AO178" i="3" s="1"/>
  <c r="AP178" i="3" s="1"/>
  <c r="AR178" i="3" s="1"/>
  <c r="AH205" i="3"/>
  <c r="AI175" i="3"/>
  <c r="AL175" i="3" s="1"/>
  <c r="AO175" i="3" s="1"/>
  <c r="AP175" i="3" s="1"/>
  <c r="AR175" i="3" s="1"/>
  <c r="AH193" i="3"/>
  <c r="AI193" i="3" s="1"/>
  <c r="AL193" i="3" s="1"/>
  <c r="AO193" i="3" s="1"/>
  <c r="I25" i="19"/>
  <c r="R26" i="3"/>
  <c r="T26" i="3" s="1"/>
  <c r="I283" i="19"/>
  <c r="R284" i="3"/>
  <c r="T284" i="3" s="1"/>
  <c r="S284" i="3" s="1"/>
  <c r="R24" i="3"/>
  <c r="I23" i="19"/>
  <c r="R394" i="3"/>
  <c r="T394" i="3" s="1"/>
  <c r="I392" i="19"/>
  <c r="I374" i="19"/>
  <c r="R375" i="3"/>
  <c r="R293" i="3"/>
  <c r="T293" i="3" s="1"/>
  <c r="I292" i="19"/>
  <c r="R283" i="3"/>
  <c r="T283" i="3" s="1"/>
  <c r="I282" i="19"/>
  <c r="S302" i="3"/>
  <c r="K301" i="19" s="1"/>
  <c r="I285" i="19"/>
  <c r="R286" i="3"/>
  <c r="T286" i="3" s="1"/>
  <c r="I37" i="19"/>
  <c r="R38" i="3"/>
  <c r="T38" i="3" s="1"/>
  <c r="Q332" i="3"/>
  <c r="Q274" i="3"/>
  <c r="Q272" i="3"/>
  <c r="AS58" i="3"/>
  <c r="L57" i="20" s="1"/>
  <c r="L83" i="19"/>
  <c r="S36" i="3"/>
  <c r="K35" i="19" s="1"/>
  <c r="J395" i="19"/>
  <c r="J301" i="19"/>
  <c r="S245" i="3"/>
  <c r="K244" i="19" s="1"/>
  <c r="J396" i="19"/>
  <c r="J174" i="19"/>
  <c r="J253" i="19"/>
  <c r="J156" i="19"/>
  <c r="R372" i="3"/>
  <c r="T372" i="3" s="1"/>
  <c r="J28" i="19"/>
  <c r="J82" i="19"/>
  <c r="J214" i="19"/>
  <c r="I301" i="19"/>
  <c r="R43" i="3"/>
  <c r="T43" i="3" s="1"/>
  <c r="I252" i="19"/>
  <c r="I250" i="19"/>
  <c r="I28" i="19"/>
  <c r="I322" i="19"/>
  <c r="R384" i="3"/>
  <c r="R411" i="3"/>
  <c r="T411" i="3" s="1"/>
  <c r="R125" i="3"/>
  <c r="R338" i="3"/>
  <c r="T338" i="3" s="1"/>
  <c r="R350" i="3"/>
  <c r="T350" i="3" s="1"/>
  <c r="I286" i="19"/>
  <c r="AS224" i="3"/>
  <c r="L223" i="20" s="1"/>
  <c r="L288" i="19"/>
  <c r="I224" i="19"/>
  <c r="R412" i="3"/>
  <c r="T412" i="3" s="1"/>
  <c r="J296" i="19"/>
  <c r="I294" i="19"/>
  <c r="I156" i="19"/>
  <c r="I206" i="19"/>
  <c r="AO396" i="3"/>
  <c r="S127" i="3"/>
  <c r="K126" i="19" s="1"/>
  <c r="I126" i="19"/>
  <c r="I298" i="19"/>
  <c r="I395" i="19"/>
  <c r="R39" i="3"/>
  <c r="R354" i="3"/>
  <c r="R318" i="3"/>
  <c r="T318" i="3" s="1"/>
  <c r="R329" i="3"/>
  <c r="T329" i="3" s="1"/>
  <c r="R347" i="3"/>
  <c r="T347" i="3" s="1"/>
  <c r="R57" i="3"/>
  <c r="Q362" i="3"/>
  <c r="Q361" i="3"/>
  <c r="Q311" i="3"/>
  <c r="Q231" i="3"/>
  <c r="Q204" i="3"/>
  <c r="Q145" i="3"/>
  <c r="Q137" i="3"/>
  <c r="J294" i="19"/>
  <c r="J256" i="19"/>
  <c r="J101" i="19"/>
  <c r="R18" i="3"/>
  <c r="T18" i="3" s="1"/>
  <c r="I17" i="19"/>
  <c r="S335" i="3"/>
  <c r="K333" i="19" s="1"/>
  <c r="L333" i="19"/>
  <c r="S343" i="3"/>
  <c r="K341" i="19" s="1"/>
  <c r="R25" i="3"/>
  <c r="T25" i="3" s="1"/>
  <c r="I24" i="19"/>
  <c r="S19" i="3"/>
  <c r="K18" i="19" s="1"/>
  <c r="J385" i="19"/>
  <c r="J223" i="19"/>
  <c r="I313" i="19"/>
  <c r="R315" i="3"/>
  <c r="T315" i="3" s="1"/>
  <c r="I293" i="19"/>
  <c r="R294" i="3"/>
  <c r="I194" i="19"/>
  <c r="R195" i="3"/>
  <c r="T195" i="3" s="1"/>
  <c r="S195" i="3" s="1"/>
  <c r="L385" i="19"/>
  <c r="S12" i="3"/>
  <c r="K11" i="19" s="1"/>
  <c r="S349" i="3"/>
  <c r="K347" i="19" s="1"/>
  <c r="L95" i="19"/>
  <c r="S304" i="3"/>
  <c r="K303" i="19" s="1"/>
  <c r="J123" i="19"/>
  <c r="R168" i="3"/>
  <c r="T168" i="3" s="1"/>
  <c r="R378" i="3"/>
  <c r="T378" i="3" s="1"/>
  <c r="R363" i="3"/>
  <c r="T363" i="3" s="1"/>
  <c r="R105" i="3"/>
  <c r="R305" i="3"/>
  <c r="T305" i="3" s="1"/>
  <c r="R303" i="3"/>
  <c r="T303" i="3" s="1"/>
  <c r="R91" i="3"/>
  <c r="R288" i="3"/>
  <c r="T288" i="3" s="1"/>
  <c r="I33" i="19"/>
  <c r="I256" i="19"/>
  <c r="R334" i="3"/>
  <c r="T334" i="3" s="1"/>
  <c r="R346" i="3"/>
  <c r="I95" i="19"/>
  <c r="I289" i="19"/>
  <c r="J394" i="19"/>
  <c r="J346" i="19"/>
  <c r="J95" i="19"/>
  <c r="J289" i="19"/>
  <c r="I14" i="19"/>
  <c r="R15" i="3"/>
  <c r="T15" i="3" s="1"/>
  <c r="I88" i="19"/>
  <c r="R89" i="3"/>
  <c r="T89" i="3" s="1"/>
  <c r="I191" i="19"/>
  <c r="R192" i="3"/>
  <c r="T192" i="3" s="1"/>
  <c r="J121" i="19"/>
  <c r="AO23" i="3"/>
  <c r="AS23" i="3"/>
  <c r="L22" i="20" s="1"/>
  <c r="R249" i="3"/>
  <c r="I248" i="19"/>
  <c r="I220" i="19"/>
  <c r="R221" i="3"/>
  <c r="T221" i="3" s="1"/>
  <c r="J339" i="19"/>
  <c r="I307" i="19"/>
  <c r="I305" i="19"/>
  <c r="I324" i="19"/>
  <c r="R10" i="3"/>
  <c r="T10" i="3" s="1"/>
  <c r="I9" i="19"/>
  <c r="R23" i="3"/>
  <c r="I22" i="19"/>
  <c r="L27" i="19"/>
  <c r="J286" i="19"/>
  <c r="L10" i="19"/>
  <c r="S217" i="3"/>
  <c r="K216" i="19" s="1"/>
  <c r="I402" i="19"/>
  <c r="R404" i="3"/>
  <c r="J160" i="19"/>
  <c r="I229" i="19"/>
  <c r="R230" i="3"/>
  <c r="L218" i="19"/>
  <c r="S387" i="3"/>
  <c r="K385" i="19" s="1"/>
  <c r="S96" i="3"/>
  <c r="K95" i="19" s="1"/>
  <c r="R119" i="3"/>
  <c r="T119" i="3" s="1"/>
  <c r="L253" i="19"/>
  <c r="L301" i="19"/>
  <c r="S341" i="3"/>
  <c r="K339" i="19" s="1"/>
  <c r="J252" i="19"/>
  <c r="R319" i="3"/>
  <c r="T319" i="3" s="1"/>
  <c r="I408" i="19"/>
  <c r="J26" i="19"/>
  <c r="J324" i="19"/>
  <c r="R366" i="3"/>
  <c r="T366" i="3" s="1"/>
  <c r="I381" i="19"/>
  <c r="I11" i="19"/>
  <c r="I101" i="19"/>
  <c r="R167" i="3"/>
  <c r="I312" i="19"/>
  <c r="R333" i="3"/>
  <c r="T333" i="3" s="1"/>
  <c r="I171" i="19"/>
  <c r="R321" i="3"/>
  <c r="T321" i="3" s="1"/>
  <c r="R121" i="3"/>
  <c r="T121" i="3" s="1"/>
  <c r="I39" i="19"/>
  <c r="R160" i="3"/>
  <c r="Q432" i="3"/>
  <c r="Q425" i="3"/>
  <c r="Q309" i="3"/>
  <c r="Q106" i="3"/>
  <c r="Q71" i="3"/>
  <c r="AS82" i="3"/>
  <c r="L81" i="20" s="1"/>
  <c r="Q419" i="3"/>
  <c r="Q414" i="3"/>
  <c r="Q164" i="3"/>
  <c r="Q153" i="3"/>
  <c r="Q128" i="3"/>
  <c r="Q64" i="3"/>
  <c r="Q61" i="3"/>
  <c r="AL188" i="3"/>
  <c r="AO188" i="3" s="1"/>
  <c r="Q344" i="3"/>
  <c r="Q317" i="3"/>
  <c r="Q255" i="3"/>
  <c r="Q233" i="3"/>
  <c r="U231" i="3"/>
  <c r="M230" i="19" s="1"/>
  <c r="Q111" i="3"/>
  <c r="Q94" i="3"/>
  <c r="AL386" i="3"/>
  <c r="AO386" i="3" s="1"/>
  <c r="L81" i="19"/>
  <c r="S82" i="3"/>
  <c r="K81" i="19" s="1"/>
  <c r="J39" i="19"/>
  <c r="L31" i="19"/>
  <c r="J20" i="19"/>
  <c r="I265" i="19"/>
  <c r="R266" i="3"/>
  <c r="T266" i="3" s="1"/>
  <c r="I103" i="19"/>
  <c r="R104" i="3"/>
  <c r="T104" i="3" s="1"/>
  <c r="I413" i="19"/>
  <c r="R415" i="3"/>
  <c r="T415" i="3" s="1"/>
  <c r="I397" i="19"/>
  <c r="R399" i="3"/>
  <c r="T399" i="3" s="1"/>
  <c r="R395" i="3"/>
  <c r="T395" i="3" s="1"/>
  <c r="I393" i="19"/>
  <c r="I79" i="19"/>
  <c r="R80" i="3"/>
  <c r="T80" i="3" s="1"/>
  <c r="L247" i="19"/>
  <c r="J247" i="19"/>
  <c r="J389" i="19"/>
  <c r="L26" i="19"/>
  <c r="L246" i="19"/>
  <c r="I420" i="19"/>
  <c r="R421" i="3"/>
  <c r="T421" i="3" s="1"/>
  <c r="I238" i="19"/>
  <c r="R238" i="3"/>
  <c r="T238" i="3" s="1"/>
  <c r="J116" i="19"/>
  <c r="I183" i="19"/>
  <c r="R183" i="3"/>
  <c r="T183" i="3" s="1"/>
  <c r="I270" i="19"/>
  <c r="I391" i="19"/>
  <c r="R393" i="3"/>
  <c r="T393" i="3" s="1"/>
  <c r="R53" i="3"/>
  <c r="T53" i="3" s="1"/>
  <c r="I52" i="19"/>
  <c r="J31" i="19"/>
  <c r="I19" i="19"/>
  <c r="R20" i="3"/>
  <c r="T20" i="3" s="1"/>
  <c r="J16" i="19"/>
  <c r="R35" i="3"/>
  <c r="T35" i="3" s="1"/>
  <c r="I34" i="19"/>
  <c r="I91" i="19"/>
  <c r="R92" i="3"/>
  <c r="T92" i="3" s="1"/>
  <c r="AS394" i="3"/>
  <c r="L392" i="20" s="1"/>
  <c r="S84" i="3"/>
  <c r="K83" i="19" s="1"/>
  <c r="S219" i="3"/>
  <c r="K218" i="19" s="1"/>
  <c r="S32" i="3"/>
  <c r="K31" i="19" s="1"/>
  <c r="R60" i="3"/>
  <c r="T60" i="3" s="1"/>
  <c r="J81" i="19"/>
  <c r="R433" i="3"/>
  <c r="T433" i="3" s="1"/>
  <c r="I432" i="19"/>
  <c r="S16" i="3"/>
  <c r="K15" i="19" s="1"/>
  <c r="L394" i="19"/>
  <c r="J171" i="19"/>
  <c r="J115" i="19"/>
  <c r="I178" i="19"/>
  <c r="R179" i="3"/>
  <c r="T179" i="3" s="1"/>
  <c r="R133" i="3"/>
  <c r="I132" i="19"/>
  <c r="I102" i="19"/>
  <c r="R103" i="3"/>
  <c r="T103" i="3" s="1"/>
  <c r="I108" i="19"/>
  <c r="R109" i="3"/>
  <c r="T109" i="3" s="1"/>
  <c r="I240" i="19"/>
  <c r="R241" i="3"/>
  <c r="T241" i="3" s="1"/>
  <c r="I12" i="19"/>
  <c r="R13" i="3"/>
  <c r="T13" i="3" s="1"/>
  <c r="R31" i="3"/>
  <c r="T31" i="3" s="1"/>
  <c r="I30" i="19"/>
  <c r="I73" i="19"/>
  <c r="R73" i="3"/>
  <c r="T73" i="3" s="1"/>
  <c r="S73" i="3" s="1"/>
  <c r="J9" i="19"/>
  <c r="I161" i="19"/>
  <c r="R162" i="3"/>
  <c r="T162" i="3" s="1"/>
  <c r="I128" i="19"/>
  <c r="R129" i="3"/>
  <c r="T129" i="3" s="1"/>
  <c r="J206" i="19"/>
  <c r="I84" i="19"/>
  <c r="R85" i="3"/>
  <c r="T85" i="3" s="1"/>
  <c r="AS403" i="3"/>
  <c r="L401" i="20" s="1"/>
  <c r="J258" i="19"/>
  <c r="R49" i="3"/>
  <c r="T49" i="3" s="1"/>
  <c r="R246" i="3"/>
  <c r="T246" i="3" s="1"/>
  <c r="R154" i="3"/>
  <c r="R148" i="3"/>
  <c r="T148" i="3" s="1"/>
  <c r="L244" i="19"/>
  <c r="R176" i="3"/>
  <c r="T176" i="3" s="1"/>
  <c r="I175" i="19"/>
  <c r="J89" i="19"/>
  <c r="R142" i="3"/>
  <c r="I141" i="19"/>
  <c r="L396" i="19"/>
  <c r="S87" i="3"/>
  <c r="K86" i="19" s="1"/>
  <c r="L86" i="19"/>
  <c r="J212" i="19"/>
  <c r="J55" i="19"/>
  <c r="J215" i="19"/>
  <c r="J221" i="19"/>
  <c r="J85" i="19"/>
  <c r="J57" i="19"/>
  <c r="L115" i="19"/>
  <c r="R223" i="3"/>
  <c r="T223" i="3" s="1"/>
  <c r="I222" i="19"/>
  <c r="R405" i="3"/>
  <c r="T405" i="3" s="1"/>
  <c r="I403" i="19"/>
  <c r="I400" i="19"/>
  <c r="R402" i="3"/>
  <c r="I119" i="19"/>
  <c r="R120" i="3"/>
  <c r="T120" i="3" s="1"/>
  <c r="R408" i="3"/>
  <c r="T408" i="3" s="1"/>
  <c r="I406" i="19"/>
  <c r="R100" i="3"/>
  <c r="T100" i="3" s="1"/>
  <c r="I99" i="19"/>
  <c r="I54" i="19"/>
  <c r="R55" i="3"/>
  <c r="T55" i="3" s="1"/>
  <c r="I169" i="19"/>
  <c r="R170" i="3"/>
  <c r="T170" i="3" s="1"/>
  <c r="J8" i="19"/>
  <c r="R37" i="3"/>
  <c r="T37" i="3" s="1"/>
  <c r="I36" i="19"/>
  <c r="I210" i="19"/>
  <c r="R211" i="3"/>
  <c r="I69" i="19"/>
  <c r="S157" i="3"/>
  <c r="K156" i="19" s="1"/>
  <c r="R413" i="3"/>
  <c r="T413" i="3" s="1"/>
  <c r="R81" i="3"/>
  <c r="T81" i="3" s="1"/>
  <c r="I80" i="19"/>
  <c r="I422" i="19"/>
  <c r="L160" i="19"/>
  <c r="S161" i="3"/>
  <c r="K160" i="19" s="1"/>
  <c r="I113" i="19"/>
  <c r="R114" i="3"/>
  <c r="T114" i="3" s="1"/>
  <c r="I255" i="19"/>
  <c r="R256" i="3"/>
  <c r="T256" i="3" s="1"/>
  <c r="U427" i="3"/>
  <c r="M425" i="19" s="1"/>
  <c r="Q427" i="3"/>
  <c r="I121" i="19"/>
  <c r="R277" i="3"/>
  <c r="T277" i="3" s="1"/>
  <c r="Q166" i="3"/>
  <c r="R177" i="3"/>
  <c r="T177" i="3" s="1"/>
  <c r="I176" i="19"/>
  <c r="I213" i="19"/>
  <c r="R214" i="3"/>
  <c r="T214" i="3" s="1"/>
  <c r="R218" i="3"/>
  <c r="T218" i="3" s="1"/>
  <c r="I217" i="19"/>
  <c r="I227" i="19"/>
  <c r="R228" i="3"/>
  <c r="T228" i="3" s="1"/>
  <c r="J387" i="19"/>
  <c r="R59" i="3"/>
  <c r="T59" i="3" s="1"/>
  <c r="I58" i="19"/>
  <c r="I29" i="19"/>
  <c r="R30" i="3"/>
  <c r="T30" i="3" s="1"/>
  <c r="R262" i="3"/>
  <c r="T262" i="3" s="1"/>
  <c r="I261" i="19"/>
  <c r="U151" i="3"/>
  <c r="M150" i="19" s="1"/>
  <c r="Q151" i="3"/>
  <c r="U235" i="3"/>
  <c r="M234" i="19" s="1"/>
  <c r="Q235" i="3"/>
  <c r="U180" i="3"/>
  <c r="M179" i="19" s="1"/>
  <c r="Q180" i="3"/>
  <c r="Q178" i="3"/>
  <c r="U178" i="3"/>
  <c r="M177" i="19" s="1"/>
  <c r="Q112" i="3"/>
  <c r="U112" i="3"/>
  <c r="M111" i="19" s="1"/>
  <c r="U95" i="3"/>
  <c r="M94" i="19" s="1"/>
  <c r="Q95" i="3"/>
  <c r="AO184" i="3"/>
  <c r="AL132" i="3"/>
  <c r="AO132" i="3" s="1"/>
  <c r="Q406" i="3"/>
  <c r="Q132" i="3"/>
  <c r="Q93" i="3"/>
  <c r="Q205" i="3"/>
  <c r="Q141" i="3"/>
  <c r="AL69" i="3"/>
  <c r="AO69" i="3" s="1"/>
  <c r="AL72" i="3"/>
  <c r="AO72" i="3" s="1"/>
  <c r="Q431" i="3"/>
  <c r="Q420" i="3"/>
  <c r="AS220" i="3"/>
  <c r="L219" i="20" s="1"/>
  <c r="Q158" i="3"/>
  <c r="Q66" i="3"/>
  <c r="Q63" i="3"/>
  <c r="AL417" i="3"/>
  <c r="AO417" i="3" s="1"/>
  <c r="AL200" i="3"/>
  <c r="AO200" i="3" s="1"/>
  <c r="S297" i="3"/>
  <c r="K296" i="19" s="1"/>
  <c r="L296" i="19"/>
  <c r="L106" i="19"/>
  <c r="S107" i="3"/>
  <c r="K106" i="19" s="1"/>
  <c r="L294" i="19"/>
  <c r="S295" i="3"/>
  <c r="K294" i="19" s="1"/>
  <c r="AO221" i="3"/>
  <c r="L89" i="19"/>
  <c r="S90" i="3"/>
  <c r="K89" i="19" s="1"/>
  <c r="R392" i="3"/>
  <c r="T392" i="3" s="1"/>
  <c r="I390" i="19"/>
  <c r="I47" i="19"/>
  <c r="R331" i="3"/>
  <c r="T331" i="3" s="1"/>
  <c r="I329" i="19"/>
  <c r="I96" i="19"/>
  <c r="R97" i="3"/>
  <c r="T97" i="3" s="1"/>
  <c r="J100" i="19"/>
  <c r="R173" i="3"/>
  <c r="T173" i="3" s="1"/>
  <c r="I172" i="19"/>
  <c r="I426" i="19"/>
  <c r="I138" i="19"/>
  <c r="R113" i="3"/>
  <c r="T113" i="3" s="1"/>
  <c r="I112" i="19"/>
  <c r="I358" i="19"/>
  <c r="R325" i="3"/>
  <c r="T325" i="3" s="1"/>
  <c r="R136" i="3"/>
  <c r="T136" i="3" s="1"/>
  <c r="I200" i="19"/>
  <c r="R201" i="3"/>
  <c r="T201" i="3" s="1"/>
  <c r="S201" i="3" s="1"/>
  <c r="J333" i="19"/>
  <c r="I258" i="19"/>
  <c r="R126" i="3"/>
  <c r="T126" i="3" s="1"/>
  <c r="R337" i="3"/>
  <c r="T337" i="3" s="1"/>
  <c r="AO15" i="3"/>
  <c r="J15" i="19"/>
  <c r="J229" i="19"/>
  <c r="I93" i="19"/>
  <c r="R226" i="3"/>
  <c r="T226" i="3" s="1"/>
  <c r="I225" i="19"/>
  <c r="R159" i="3"/>
  <c r="T159" i="3" s="1"/>
  <c r="I158" i="19"/>
  <c r="I185" i="19"/>
  <c r="R186" i="3"/>
  <c r="T186" i="3" s="1"/>
  <c r="I21" i="19"/>
  <c r="R22" i="3"/>
  <c r="T22" i="3" s="1"/>
  <c r="I251" i="19"/>
  <c r="R252" i="3"/>
  <c r="T252" i="3" s="1"/>
  <c r="R268" i="3"/>
  <c r="T268" i="3" s="1"/>
  <c r="I268" i="19"/>
  <c r="R33" i="3"/>
  <c r="T33" i="3" s="1"/>
  <c r="I32" i="19"/>
  <c r="J120" i="19"/>
  <c r="J37" i="19"/>
  <c r="R165" i="3"/>
  <c r="T165" i="3" s="1"/>
  <c r="I164" i="19"/>
  <c r="R316" i="3"/>
  <c r="T316" i="3" s="1"/>
  <c r="I314" i="19"/>
  <c r="J114" i="19"/>
  <c r="R54" i="3"/>
  <c r="T54" i="3" s="1"/>
  <c r="I53" i="19"/>
  <c r="R400" i="3"/>
  <c r="T400" i="3" s="1"/>
  <c r="I398" i="19"/>
  <c r="R209" i="3"/>
  <c r="T209" i="3" s="1"/>
  <c r="I208" i="19"/>
  <c r="J298" i="19"/>
  <c r="J106" i="19"/>
  <c r="I311" i="19"/>
  <c r="R340" i="3"/>
  <c r="T340" i="3" s="1"/>
  <c r="I338" i="19"/>
  <c r="I300" i="19"/>
  <c r="R301" i="3"/>
  <c r="T301" i="3" s="1"/>
  <c r="I207" i="19"/>
  <c r="R208" i="3"/>
  <c r="T208" i="3" s="1"/>
  <c r="R88" i="3"/>
  <c r="T88" i="3" s="1"/>
  <c r="U174" i="3"/>
  <c r="M173" i="19" s="1"/>
  <c r="Q174" i="3"/>
  <c r="U171" i="3"/>
  <c r="M170" i="19" s="1"/>
  <c r="Q171" i="3"/>
  <c r="U76" i="3"/>
  <c r="M75" i="19" s="1"/>
  <c r="Q76" i="3"/>
  <c r="AO51" i="3"/>
  <c r="AO42" i="3"/>
  <c r="AL153" i="3"/>
  <c r="AO153" i="3" s="1"/>
  <c r="AL144" i="3"/>
  <c r="AO144" i="3" s="1"/>
  <c r="AS409" i="3"/>
  <c r="L407" i="20" s="1"/>
  <c r="U280" i="3"/>
  <c r="M279" i="19" s="1"/>
  <c r="Q280" i="3"/>
  <c r="U189" i="3"/>
  <c r="M188" i="19" s="1"/>
  <c r="Q189" i="3"/>
  <c r="Q358" i="3"/>
  <c r="Q198" i="3"/>
  <c r="AO197" i="3"/>
  <c r="U265" i="3"/>
  <c r="M264" i="19" s="1"/>
  <c r="Q265" i="3"/>
  <c r="U169" i="3"/>
  <c r="M168" i="19" s="1"/>
  <c r="Q169" i="3"/>
  <c r="Q108" i="3"/>
  <c r="AL92" i="3"/>
  <c r="AO92" i="3" s="1"/>
  <c r="AL191" i="3"/>
  <c r="AO191" i="3" s="1"/>
  <c r="AL150" i="3"/>
  <c r="AO150" i="3" s="1"/>
  <c r="AS9" i="3"/>
  <c r="L8" i="20" s="1"/>
  <c r="AL135" i="3"/>
  <c r="AO135" i="3" s="1"/>
  <c r="AS123" i="3"/>
  <c r="L122" i="20" s="1"/>
  <c r="AS120" i="3"/>
  <c r="L119" i="20" s="1"/>
  <c r="AS105" i="3"/>
  <c r="L104" i="20" s="1"/>
  <c r="AL234" i="3"/>
  <c r="AO234" i="3" s="1"/>
  <c r="AO218" i="3"/>
  <c r="AL270" i="3"/>
  <c r="AO270" i="3" s="1"/>
  <c r="AL432" i="3"/>
  <c r="AO432" i="3" s="1"/>
  <c r="AS410" i="3"/>
  <c r="L408" i="20" s="1"/>
  <c r="AL359" i="3"/>
  <c r="AO359" i="3" s="1"/>
  <c r="AL380" i="3"/>
  <c r="AO380" i="3" s="1"/>
  <c r="AL78" i="3"/>
  <c r="AO78" i="3" s="1"/>
  <c r="AL66" i="3"/>
  <c r="AO66" i="3" s="1"/>
  <c r="AS26" i="3"/>
  <c r="L25" i="20" s="1"/>
  <c r="AO48" i="3"/>
  <c r="AO45" i="3"/>
  <c r="AL147" i="3"/>
  <c r="AO147" i="3" s="1"/>
  <c r="AL141" i="3"/>
  <c r="AO141" i="3" s="1"/>
  <c r="AL243" i="3"/>
  <c r="AO243" i="3" s="1"/>
  <c r="AL371" i="3"/>
  <c r="AO371" i="3" s="1"/>
  <c r="AO353" i="3"/>
  <c r="AL240" i="3"/>
  <c r="AO240" i="3" s="1"/>
  <c r="AL377" i="3"/>
  <c r="AO377" i="3" s="1"/>
  <c r="AL138" i="3"/>
  <c r="AO138" i="3" s="1"/>
  <c r="AL273" i="3"/>
  <c r="AO273" i="3" s="1"/>
  <c r="AL368" i="3"/>
  <c r="AO368" i="3" s="1"/>
  <c r="AL429" i="3"/>
  <c r="AO429" i="3" s="1"/>
  <c r="R320" i="3"/>
  <c r="T320" i="3" s="1"/>
  <c r="M318" i="19"/>
  <c r="AL119" i="3"/>
  <c r="AO119" i="3" s="1"/>
  <c r="AS119" i="3"/>
  <c r="L118" i="20" s="1"/>
  <c r="AH155" i="3"/>
  <c r="AI155" i="3" s="1"/>
  <c r="AL155" i="3" s="1"/>
  <c r="AO155" i="3" s="1"/>
  <c r="AI101" i="3"/>
  <c r="AS101" i="3" s="1"/>
  <c r="L100" i="20" s="1"/>
  <c r="AI85" i="3"/>
  <c r="AS85" i="3" s="1"/>
  <c r="L84" i="20" s="1"/>
  <c r="AI98" i="3"/>
  <c r="AH152" i="3"/>
  <c r="AH151" i="3" s="1"/>
  <c r="AS129" i="3"/>
  <c r="L128" i="20" s="1"/>
  <c r="AL129" i="3"/>
  <c r="AO129" i="3" s="1"/>
  <c r="AL117" i="3"/>
  <c r="AO117" i="3" s="1"/>
  <c r="AI103" i="3"/>
  <c r="AS103" i="3" s="1"/>
  <c r="L102" i="20" s="1"/>
  <c r="AH86" i="3"/>
  <c r="AI100" i="3"/>
  <c r="AS100" i="3" s="1"/>
  <c r="L99" i="20" s="1"/>
  <c r="AH143" i="3"/>
  <c r="AI143" i="3" s="1"/>
  <c r="AL143" i="3" s="1"/>
  <c r="AO143" i="3" s="1"/>
  <c r="AS93" i="3"/>
  <c r="L92" i="20" s="1"/>
  <c r="AL93" i="3"/>
  <c r="AO93" i="3"/>
  <c r="AH137" i="3"/>
  <c r="AI137" i="3" s="1"/>
  <c r="AL137" i="3" s="1"/>
  <c r="AO137" i="3" s="1"/>
  <c r="L236" i="5"/>
  <c r="AH156" i="3"/>
  <c r="AI156" i="3" s="1"/>
  <c r="AL156" i="3" s="1"/>
  <c r="AO156" i="3" s="1"/>
  <c r="AS115" i="3"/>
  <c r="L114" i="20" s="1"/>
  <c r="AL102" i="3"/>
  <c r="AO102" i="3" s="1"/>
  <c r="AS102" i="3"/>
  <c r="L101" i="20" s="1"/>
  <c r="AL96" i="3"/>
  <c r="AO96" i="3" s="1"/>
  <c r="AS96" i="3"/>
  <c r="L95" i="20" s="1"/>
  <c r="AL105" i="3"/>
  <c r="AO105" i="3" s="1"/>
  <c r="AL123" i="3"/>
  <c r="AO123" i="3" s="1"/>
  <c r="AO88" i="3"/>
  <c r="AH140" i="3"/>
  <c r="AH139" i="3" s="1"/>
  <c r="AL121" i="3"/>
  <c r="AO121" i="3" s="1"/>
  <c r="J236" i="5"/>
  <c r="AH130" i="3"/>
  <c r="AL228" i="3"/>
  <c r="AO228" i="3" s="1"/>
  <c r="AS228" i="3"/>
  <c r="L227" i="20" s="1"/>
  <c r="AS226" i="3"/>
  <c r="L225" i="20" s="1"/>
  <c r="AL226" i="3"/>
  <c r="AO226" i="3" s="1"/>
  <c r="AI208" i="3"/>
  <c r="AO208" i="3" s="1"/>
  <c r="AO82" i="3"/>
  <c r="AL120" i="3"/>
  <c r="AO120" i="3" s="1"/>
  <c r="AL113" i="3"/>
  <c r="AO113" i="3" s="1"/>
  <c r="AS113" i="3"/>
  <c r="L112" i="20" s="1"/>
  <c r="AS112" i="3"/>
  <c r="L111" i="20" s="1"/>
  <c r="AL112" i="3"/>
  <c r="AO112" i="3" s="1"/>
  <c r="AS107" i="3"/>
  <c r="L106" i="20" s="1"/>
  <c r="AL107" i="3"/>
  <c r="AO107" i="3" s="1"/>
  <c r="AS110" i="3"/>
  <c r="L109" i="20" s="1"/>
  <c r="AL110" i="3"/>
  <c r="AO110" i="3" s="1"/>
  <c r="AO90" i="3"/>
  <c r="AS80" i="3"/>
  <c r="L79" i="20" s="1"/>
  <c r="AS109" i="3"/>
  <c r="L108" i="20" s="1"/>
  <c r="AL109" i="3"/>
  <c r="AO109" i="3" s="1"/>
  <c r="AO91" i="3"/>
  <c r="AL91" i="3"/>
  <c r="AS87" i="3"/>
  <c r="L86" i="20" s="1"/>
  <c r="AO87" i="3"/>
  <c r="AL126" i="3"/>
  <c r="AO126" i="3" s="1"/>
  <c r="AS126" i="3"/>
  <c r="L125" i="20" s="1"/>
  <c r="AL104" i="3"/>
  <c r="AO104" i="3" s="1"/>
  <c r="AH149" i="3"/>
  <c r="AI149" i="3" s="1"/>
  <c r="AL149" i="3" s="1"/>
  <c r="AO149" i="3" s="1"/>
  <c r="AH382" i="3"/>
  <c r="AI382" i="3" s="1"/>
  <c r="AL382" i="3" s="1"/>
  <c r="AO382" i="3" s="1"/>
  <c r="AS332" i="3"/>
  <c r="L330" i="20" s="1"/>
  <c r="AS176" i="3"/>
  <c r="L175" i="20" s="1"/>
  <c r="AL176" i="3"/>
  <c r="AO176" i="3" s="1"/>
  <c r="AO211" i="3"/>
  <c r="AS213" i="3"/>
  <c r="L212" i="20" s="1"/>
  <c r="AO213" i="3"/>
  <c r="AO212" i="3"/>
  <c r="AS212" i="3"/>
  <c r="L211" i="20" s="1"/>
  <c r="AH231" i="3"/>
  <c r="AI310" i="3"/>
  <c r="AH361" i="3"/>
  <c r="AI361" i="3" s="1"/>
  <c r="AL361" i="3" s="1"/>
  <c r="AO361" i="3" s="1"/>
  <c r="AI426" i="3"/>
  <c r="AL426" i="3" s="1"/>
  <c r="AO426" i="3" s="1"/>
  <c r="AH424" i="3"/>
  <c r="AS396" i="3"/>
  <c r="L394" i="20" s="1"/>
  <c r="AH323" i="3"/>
  <c r="AI203" i="3"/>
  <c r="AL203" i="3" s="1"/>
  <c r="AO203" i="3" s="1"/>
  <c r="AI422" i="3"/>
  <c r="AL422" i="3" s="1"/>
  <c r="AO422" i="3" s="1"/>
  <c r="AH190" i="3"/>
  <c r="AH189" i="3" s="1"/>
  <c r="AI170" i="3"/>
  <c r="AI169" i="3"/>
  <c r="AH196" i="3"/>
  <c r="AI196" i="3" s="1"/>
  <c r="AL196" i="3" s="1"/>
  <c r="AO196" i="3" s="1"/>
  <c r="AH199" i="3"/>
  <c r="AI199" i="3" s="1"/>
  <c r="AL199" i="3" s="1"/>
  <c r="AO199" i="3" s="1"/>
  <c r="AI400" i="3"/>
  <c r="AS400" i="3" s="1"/>
  <c r="L398" i="20" s="1"/>
  <c r="AH416" i="3"/>
  <c r="AS397" i="3"/>
  <c r="L395" i="20" s="1"/>
  <c r="AO397" i="3"/>
  <c r="AI419" i="3"/>
  <c r="AL419" i="3" s="1"/>
  <c r="AO419" i="3" s="1"/>
  <c r="AS404" i="3"/>
  <c r="L402" i="20" s="1"/>
  <c r="AL174" i="3"/>
  <c r="AO174" i="3" s="1"/>
  <c r="AS174" i="3"/>
  <c r="L173" i="20" s="1"/>
  <c r="AL166" i="3"/>
  <c r="AO166" i="3" s="1"/>
  <c r="AS166" i="3"/>
  <c r="L165" i="20" s="1"/>
  <c r="AS158" i="3"/>
  <c r="L157" i="20" s="1"/>
  <c r="AI205" i="3"/>
  <c r="AL205" i="3" s="1"/>
  <c r="AO205" i="3" s="1"/>
  <c r="AS164" i="3"/>
  <c r="L163" i="20" s="1"/>
  <c r="AS300" i="3"/>
  <c r="L299" i="20" s="1"/>
  <c r="AI428" i="3"/>
  <c r="AL428" i="3" s="1"/>
  <c r="AO428" i="3" s="1"/>
  <c r="AS414" i="3"/>
  <c r="L412" i="20" s="1"/>
  <c r="AL414" i="3"/>
  <c r="AO414" i="3" s="1"/>
  <c r="AS92" i="3"/>
  <c r="L91" i="20" s="1"/>
  <c r="I163" i="20"/>
  <c r="AS163" i="3"/>
  <c r="L162" i="20" s="1"/>
  <c r="AS97" i="3"/>
  <c r="L96" i="20" s="1"/>
  <c r="AL97" i="3"/>
  <c r="AO97" i="3" s="1"/>
  <c r="AL128" i="3"/>
  <c r="AO128" i="3" s="1"/>
  <c r="AS128" i="3"/>
  <c r="L127" i="20" s="1"/>
  <c r="AL118" i="3"/>
  <c r="AO118" i="3" s="1"/>
  <c r="AS36" i="3"/>
  <c r="L35" i="20" s="1"/>
  <c r="AO36" i="3"/>
  <c r="AH146" i="3"/>
  <c r="AH64" i="3"/>
  <c r="AI71" i="3"/>
  <c r="AL71" i="3" s="1"/>
  <c r="AO71" i="3" s="1"/>
  <c r="AS312" i="3"/>
  <c r="L311" i="20" s="1"/>
  <c r="AL312" i="3"/>
  <c r="AO312" i="3" s="1"/>
  <c r="AS17" i="3"/>
  <c r="L16" i="20" s="1"/>
  <c r="AO17" i="3"/>
  <c r="AS60" i="3"/>
  <c r="L59" i="20" s="1"/>
  <c r="AL60" i="3"/>
  <c r="AO60" i="3" s="1"/>
  <c r="AS15" i="3"/>
  <c r="L14" i="20" s="1"/>
  <c r="AH50" i="3"/>
  <c r="AH39" i="3"/>
  <c r="AS52" i="3"/>
  <c r="L51" i="20" s="1"/>
  <c r="AO34" i="3"/>
  <c r="AS34" i="3"/>
  <c r="L33" i="20" s="1"/>
  <c r="AO16" i="3"/>
  <c r="AS16" i="3"/>
  <c r="L15" i="20" s="1"/>
  <c r="AO28" i="3"/>
  <c r="AS28" i="3"/>
  <c r="L27" i="20" s="1"/>
  <c r="AS57" i="3"/>
  <c r="L56" i="20" s="1"/>
  <c r="AL57" i="3"/>
  <c r="AO57" i="3" s="1"/>
  <c r="AO38" i="3"/>
  <c r="AS38" i="3"/>
  <c r="L37" i="20" s="1"/>
  <c r="AO24" i="3"/>
  <c r="AS24" i="3"/>
  <c r="L23" i="20" s="1"/>
  <c r="AI41" i="3"/>
  <c r="AO41" i="3" s="1"/>
  <c r="AL56" i="3"/>
  <c r="AO56" i="3" s="1"/>
  <c r="AS56" i="3"/>
  <c r="L55" i="20" s="1"/>
  <c r="AS18" i="3"/>
  <c r="L17" i="20" s="1"/>
  <c r="AI342" i="3"/>
  <c r="AL342" i="3" s="1"/>
  <c r="AO342" i="3" s="1"/>
  <c r="AS292" i="3"/>
  <c r="L291" i="20" s="1"/>
  <c r="AS291" i="3"/>
  <c r="L290" i="20" s="1"/>
  <c r="AL330" i="3"/>
  <c r="AO330" i="3" s="1"/>
  <c r="AS331" i="3"/>
  <c r="L329" i="20" s="1"/>
  <c r="AO390" i="3"/>
  <c r="AS329" i="3"/>
  <c r="L327" i="20" s="1"/>
  <c r="AL329" i="3"/>
  <c r="AO329" i="3" s="1"/>
  <c r="AS302" i="3"/>
  <c r="L301" i="20" s="1"/>
  <c r="AL301" i="3"/>
  <c r="AO301" i="3" s="1"/>
  <c r="AL318" i="3"/>
  <c r="AO318" i="3" s="1"/>
  <c r="AS318" i="3"/>
  <c r="L316" i="20" s="1"/>
  <c r="AL316" i="3"/>
  <c r="AO316" i="3" s="1"/>
  <c r="AS316" i="3"/>
  <c r="L314" i="20" s="1"/>
  <c r="AS338" i="3"/>
  <c r="L336" i="20" s="1"/>
  <c r="AL315" i="3"/>
  <c r="AO315" i="3" s="1"/>
  <c r="AS345" i="3"/>
  <c r="L343" i="20" s="1"/>
  <c r="AL349" i="3"/>
  <c r="AO349" i="3" s="1"/>
  <c r="AS349" i="3"/>
  <c r="L347" i="20" s="1"/>
  <c r="AL311" i="3"/>
  <c r="AO311" i="3" s="1"/>
  <c r="AS311" i="3"/>
  <c r="L310" i="20" s="1"/>
  <c r="AO298" i="3"/>
  <c r="AO293" i="3"/>
  <c r="AH408" i="3"/>
  <c r="I408" i="20"/>
  <c r="AS392" i="3"/>
  <c r="L390" i="20" s="1"/>
  <c r="AO392" i="3"/>
  <c r="AL406" i="3"/>
  <c r="AO406" i="3" s="1"/>
  <c r="AS406" i="3"/>
  <c r="L404" i="20" s="1"/>
  <c r="AS393" i="3"/>
  <c r="L391" i="20" s="1"/>
  <c r="AO393" i="3"/>
  <c r="AS391" i="3"/>
  <c r="L389" i="20" s="1"/>
  <c r="AL402" i="3"/>
  <c r="AO402" i="3" s="1"/>
  <c r="AS402" i="3"/>
  <c r="L400" i="20" s="1"/>
  <c r="AL411" i="3"/>
  <c r="AO411" i="3" s="1"/>
  <c r="AS411" i="3"/>
  <c r="L409" i="20" s="1"/>
  <c r="AS401" i="3"/>
  <c r="L399" i="20" s="1"/>
  <c r="AL401" i="3"/>
  <c r="AO401" i="3" s="1"/>
  <c r="AS389" i="3"/>
  <c r="L387" i="20" s="1"/>
  <c r="AO389" i="3"/>
  <c r="AL256" i="3"/>
  <c r="AO256" i="3" s="1"/>
  <c r="AS256" i="3"/>
  <c r="L255" i="20" s="1"/>
  <c r="AO250" i="3"/>
  <c r="AS250" i="3"/>
  <c r="L249" i="20" s="1"/>
  <c r="AH275" i="3"/>
  <c r="AI249" i="3"/>
  <c r="AH278" i="3"/>
  <c r="AI253" i="3"/>
  <c r="AS251" i="3"/>
  <c r="L250" i="20" s="1"/>
  <c r="AO251" i="3"/>
  <c r="AH260" i="3"/>
  <c r="AH259" i="3" s="1"/>
  <c r="AI261" i="3"/>
  <c r="AL261" i="3" s="1"/>
  <c r="AO261" i="3" s="1"/>
  <c r="AH245" i="3"/>
  <c r="AH280" i="3"/>
  <c r="AI282" i="3"/>
  <c r="AL282" i="3" s="1"/>
  <c r="AO282" i="3" s="1"/>
  <c r="L36" i="8"/>
  <c r="AH247" i="3" s="1"/>
  <c r="J235" i="8"/>
  <c r="AO252" i="3"/>
  <c r="AS252" i="3"/>
  <c r="L251" i="20" s="1"/>
  <c r="AL266" i="3"/>
  <c r="AO266" i="3" s="1"/>
  <c r="AS266" i="3"/>
  <c r="L265" i="20" s="1"/>
  <c r="AL257" i="3"/>
  <c r="AO257" i="3" s="1"/>
  <c r="AS257" i="3"/>
  <c r="L256" i="20" s="1"/>
  <c r="AS263" i="3"/>
  <c r="L262" i="20" s="1"/>
  <c r="AL263" i="3"/>
  <c r="AO263" i="3" s="1"/>
  <c r="AS255" i="3"/>
  <c r="L254" i="20" s="1"/>
  <c r="AL255" i="3"/>
  <c r="AO255" i="3" s="1"/>
  <c r="AI321" i="3"/>
  <c r="AS321" i="3" s="1"/>
  <c r="AH364" i="3"/>
  <c r="AO207" i="3" l="1"/>
  <c r="I224" i="20"/>
  <c r="AO216" i="3"/>
  <c r="AL223" i="3"/>
  <c r="AO223" i="3" s="1"/>
  <c r="AP223" i="3" s="1"/>
  <c r="AO222" i="3"/>
  <c r="AL179" i="3"/>
  <c r="AO179" i="3" s="1"/>
  <c r="AO157" i="3"/>
  <c r="AP157" i="3" s="1"/>
  <c r="AR157" i="3" s="1"/>
  <c r="K156" i="20" s="1"/>
  <c r="AS180" i="3"/>
  <c r="L179" i="20" s="1"/>
  <c r="AS172" i="3"/>
  <c r="L171" i="20" s="1"/>
  <c r="I320" i="20"/>
  <c r="AS322" i="3"/>
  <c r="L320" i="20" s="1"/>
  <c r="AI74" i="3"/>
  <c r="AH73" i="3"/>
  <c r="AR403" i="3"/>
  <c r="I401" i="20"/>
  <c r="J370" i="19"/>
  <c r="AR224" i="3"/>
  <c r="I223" i="20"/>
  <c r="J181" i="19"/>
  <c r="T182" i="3"/>
  <c r="J210" i="19"/>
  <c r="T211" i="3"/>
  <c r="T142" i="3"/>
  <c r="T154" i="3"/>
  <c r="J159" i="19"/>
  <c r="T160" i="3"/>
  <c r="T91" i="3"/>
  <c r="T24" i="3"/>
  <c r="T345" i="3"/>
  <c r="T227" i="3"/>
  <c r="T29" i="3"/>
  <c r="T133" i="3"/>
  <c r="S133" i="3" s="1"/>
  <c r="J22" i="19"/>
  <c r="T23" i="3"/>
  <c r="T57" i="3"/>
  <c r="T354" i="3"/>
  <c r="J124" i="19"/>
  <c r="T125" i="3"/>
  <c r="J219" i="19"/>
  <c r="T220" i="3"/>
  <c r="T323" i="3"/>
  <c r="T296" i="3"/>
  <c r="J284" i="19"/>
  <c r="T285" i="3"/>
  <c r="T410" i="3"/>
  <c r="J322" i="19"/>
  <c r="T324" i="3"/>
  <c r="T389" i="3"/>
  <c r="L229" i="19"/>
  <c r="T230" i="3"/>
  <c r="AS181" i="3"/>
  <c r="L180" i="20" s="1"/>
  <c r="T322" i="3"/>
  <c r="T224" i="3"/>
  <c r="T251" i="3"/>
  <c r="L250" i="19" s="1"/>
  <c r="T397" i="3"/>
  <c r="J400" i="19"/>
  <c r="T402" i="3"/>
  <c r="J166" i="19"/>
  <c r="T167" i="3"/>
  <c r="J402" i="19"/>
  <c r="T404" i="3"/>
  <c r="J248" i="19"/>
  <c r="T249" i="3"/>
  <c r="T346" i="3"/>
  <c r="T105" i="3"/>
  <c r="S105" i="3" s="1"/>
  <c r="K104" i="19" s="1"/>
  <c r="T294" i="3"/>
  <c r="J38" i="19"/>
  <c r="T39" i="3"/>
  <c r="J382" i="19"/>
  <c r="T384" i="3"/>
  <c r="T375" i="3"/>
  <c r="J249" i="19"/>
  <c r="T250" i="3"/>
  <c r="T181" i="3"/>
  <c r="J337" i="19"/>
  <c r="T339" i="3"/>
  <c r="T123" i="3"/>
  <c r="T117" i="3"/>
  <c r="I177" i="20"/>
  <c r="AH433" i="3"/>
  <c r="AO387" i="3"/>
  <c r="AS405" i="3"/>
  <c r="L403" i="20" s="1"/>
  <c r="AL111" i="3"/>
  <c r="AO111" i="3" s="1"/>
  <c r="AL122" i="3"/>
  <c r="AO122" i="3" s="1"/>
  <c r="AO81" i="3"/>
  <c r="AL106" i="3"/>
  <c r="AO106" i="3" s="1"/>
  <c r="AP106" i="3" s="1"/>
  <c r="I105" i="20" s="1"/>
  <c r="AS348" i="3"/>
  <c r="L346" i="20" s="1"/>
  <c r="AO289" i="3"/>
  <c r="AP289" i="3" s="1"/>
  <c r="AR289" i="3" s="1"/>
  <c r="AQ289" i="3" s="1"/>
  <c r="J288" i="20" s="1"/>
  <c r="AL327" i="3"/>
  <c r="AO327" i="3" s="1"/>
  <c r="AP327" i="3" s="1"/>
  <c r="AS246" i="3"/>
  <c r="L245" i="20" s="1"/>
  <c r="AL265" i="3"/>
  <c r="AO265" i="3" s="1"/>
  <c r="AS267" i="3"/>
  <c r="L266" i="20" s="1"/>
  <c r="AL258" i="3"/>
  <c r="AO258" i="3" s="1"/>
  <c r="AP258" i="3" s="1"/>
  <c r="AS244" i="3"/>
  <c r="L243" i="20" s="1"/>
  <c r="I407" i="20"/>
  <c r="AR409" i="3"/>
  <c r="AQ409" i="3" s="1"/>
  <c r="J407" i="20" s="1"/>
  <c r="AR410" i="3"/>
  <c r="AL167" i="3"/>
  <c r="AO167" i="3" s="1"/>
  <c r="AP167" i="3" s="1"/>
  <c r="AR167" i="3" s="1"/>
  <c r="AS264" i="3"/>
  <c r="L263" i="20" s="1"/>
  <c r="AS248" i="3"/>
  <c r="L247" i="20" s="1"/>
  <c r="AS254" i="3"/>
  <c r="L253" i="20" s="1"/>
  <c r="I88" i="20"/>
  <c r="AR89" i="3"/>
  <c r="I228" i="20"/>
  <c r="AR229" i="3"/>
  <c r="AR181" i="3"/>
  <c r="K180" i="20" s="1"/>
  <c r="I180" i="20"/>
  <c r="I179" i="20"/>
  <c r="AR180" i="3"/>
  <c r="I172" i="20"/>
  <c r="AR173" i="3"/>
  <c r="I157" i="20"/>
  <c r="AR158" i="3"/>
  <c r="AQ158" i="3" s="1"/>
  <c r="J157" i="20" s="1"/>
  <c r="I176" i="20"/>
  <c r="AR177" i="3"/>
  <c r="I160" i="20"/>
  <c r="AR161" i="3"/>
  <c r="I162" i="20"/>
  <c r="AR163" i="3"/>
  <c r="AL52" i="3"/>
  <c r="AO52" i="3" s="1"/>
  <c r="AP52" i="3" s="1"/>
  <c r="I335" i="20"/>
  <c r="I330" i="20"/>
  <c r="AR332" i="3"/>
  <c r="K330" i="20" s="1"/>
  <c r="I322" i="20"/>
  <c r="AR324" i="3"/>
  <c r="AS125" i="3"/>
  <c r="L124" i="20" s="1"/>
  <c r="AL53" i="3"/>
  <c r="AO53" i="3" s="1"/>
  <c r="AO79" i="3"/>
  <c r="AP79" i="3" s="1"/>
  <c r="AS83" i="3"/>
  <c r="L82" i="20" s="1"/>
  <c r="AL90" i="3"/>
  <c r="AL124" i="3"/>
  <c r="AO124" i="3" s="1"/>
  <c r="AL95" i="3"/>
  <c r="AO95" i="3" s="1"/>
  <c r="AP95" i="3" s="1"/>
  <c r="I94" i="20" s="1"/>
  <c r="AS99" i="3"/>
  <c r="L98" i="20" s="1"/>
  <c r="AL108" i="3"/>
  <c r="AO108" i="3" s="1"/>
  <c r="AS127" i="3"/>
  <c r="L126" i="20" s="1"/>
  <c r="AL94" i="3"/>
  <c r="AO94" i="3" s="1"/>
  <c r="AP94" i="3" s="1"/>
  <c r="I93" i="20" s="1"/>
  <c r="AL116" i="3"/>
  <c r="AO116" i="3" s="1"/>
  <c r="AP116" i="3" s="1"/>
  <c r="I115" i="20" s="1"/>
  <c r="AO84" i="3"/>
  <c r="AL114" i="3"/>
  <c r="AO114" i="3" s="1"/>
  <c r="AP114" i="3" s="1"/>
  <c r="AP401" i="3"/>
  <c r="AR401" i="3" s="1"/>
  <c r="AP411" i="3"/>
  <c r="AP393" i="3"/>
  <c r="AR393" i="3" s="1"/>
  <c r="AP392" i="3"/>
  <c r="AR392" i="3" s="1"/>
  <c r="AP301" i="3"/>
  <c r="AR301" i="3" s="1"/>
  <c r="AP329" i="3"/>
  <c r="AR329" i="3" s="1"/>
  <c r="K327" i="20" s="1"/>
  <c r="AP342" i="3"/>
  <c r="AR342" i="3" s="1"/>
  <c r="K340" i="20" s="1"/>
  <c r="AP53" i="3"/>
  <c r="AR53" i="3" s="1"/>
  <c r="AP17" i="3"/>
  <c r="AR17" i="3" s="1"/>
  <c r="AP128" i="3"/>
  <c r="AR128" i="3" s="1"/>
  <c r="AP404" i="3"/>
  <c r="AR404" i="3" s="1"/>
  <c r="AP213" i="3"/>
  <c r="AR213" i="3" s="1"/>
  <c r="AP176" i="3"/>
  <c r="AR176" i="3" s="1"/>
  <c r="K175" i="20" s="1"/>
  <c r="AP87" i="3"/>
  <c r="AR87" i="3" s="1"/>
  <c r="AP110" i="3"/>
  <c r="AP107" i="3"/>
  <c r="AP208" i="3"/>
  <c r="AR208" i="3" s="1"/>
  <c r="AP228" i="3"/>
  <c r="AR228" i="3" s="1"/>
  <c r="AP123" i="3"/>
  <c r="AR123" i="3" s="1"/>
  <c r="AP115" i="3"/>
  <c r="AP129" i="3"/>
  <c r="AP331" i="3"/>
  <c r="AP218" i="3"/>
  <c r="AR218" i="3" s="1"/>
  <c r="AP15" i="3"/>
  <c r="AP244" i="3"/>
  <c r="AP257" i="3"/>
  <c r="AR257" i="3" s="1"/>
  <c r="AP291" i="3"/>
  <c r="AR291" i="3" s="1"/>
  <c r="AP38" i="3"/>
  <c r="AR38" i="3" s="1"/>
  <c r="AP34" i="3"/>
  <c r="AR34" i="3" s="1"/>
  <c r="AP60" i="3"/>
  <c r="AR60" i="3" s="1"/>
  <c r="AQ60" i="3" s="1"/>
  <c r="J59" i="20" s="1"/>
  <c r="AP97" i="3"/>
  <c r="AR97" i="3" s="1"/>
  <c r="AP172" i="3"/>
  <c r="AR172" i="3" s="1"/>
  <c r="AP179" i="3"/>
  <c r="AR179" i="3" s="1"/>
  <c r="AP104" i="3"/>
  <c r="AR104" i="3" s="1"/>
  <c r="AP91" i="3"/>
  <c r="AR91" i="3" s="1"/>
  <c r="AP109" i="3"/>
  <c r="AP90" i="3"/>
  <c r="AP113" i="3"/>
  <c r="AP122" i="3"/>
  <c r="AP226" i="3"/>
  <c r="AR226" i="3" s="1"/>
  <c r="AQ226" i="3" s="1"/>
  <c r="J225" i="20" s="1"/>
  <c r="AP121" i="3"/>
  <c r="AR121" i="3" s="1"/>
  <c r="AP105" i="3"/>
  <c r="AP102" i="3"/>
  <c r="AP111" i="3"/>
  <c r="AP117" i="3"/>
  <c r="AP81" i="3"/>
  <c r="AR81" i="3" s="1"/>
  <c r="AP92" i="3"/>
  <c r="AP221" i="3"/>
  <c r="AR221" i="3" s="1"/>
  <c r="AQ221" i="3" s="1"/>
  <c r="J220" i="20" s="1"/>
  <c r="AP263" i="3"/>
  <c r="AR263" i="3" s="1"/>
  <c r="AP251" i="3"/>
  <c r="AR251" i="3" s="1"/>
  <c r="AP246" i="3"/>
  <c r="AR246" i="3" s="1"/>
  <c r="AP256" i="3"/>
  <c r="AR256" i="3" s="1"/>
  <c r="AP338" i="3"/>
  <c r="AR338" i="3" s="1"/>
  <c r="AP265" i="3"/>
  <c r="AR265" i="3" s="1"/>
  <c r="AP118" i="3"/>
  <c r="AR118" i="3" s="1"/>
  <c r="AP211" i="3"/>
  <c r="AR211" i="3" s="1"/>
  <c r="AP124" i="3"/>
  <c r="AP112" i="3"/>
  <c r="AR112" i="3" s="1"/>
  <c r="AP120" i="3"/>
  <c r="AR120" i="3" s="1"/>
  <c r="AP108" i="3"/>
  <c r="AP125" i="3"/>
  <c r="AP84" i="3"/>
  <c r="AP23" i="3"/>
  <c r="J194" i="19"/>
  <c r="AP266" i="3"/>
  <c r="AR266" i="3" s="1"/>
  <c r="AP267" i="3"/>
  <c r="AR267" i="3" s="1"/>
  <c r="AP293" i="3"/>
  <c r="AR293" i="3" s="1"/>
  <c r="AP349" i="3"/>
  <c r="AR349" i="3" s="1"/>
  <c r="AP316" i="3"/>
  <c r="AR316" i="3" s="1"/>
  <c r="AP28" i="3"/>
  <c r="AR28" i="3" s="1"/>
  <c r="AP255" i="3"/>
  <c r="AR255" i="3" s="1"/>
  <c r="AP252" i="3"/>
  <c r="AR252" i="3" s="1"/>
  <c r="AP389" i="3"/>
  <c r="AR389" i="3" s="1"/>
  <c r="AP402" i="3"/>
  <c r="AR402" i="3" s="1"/>
  <c r="AP302" i="3"/>
  <c r="AR302" i="3" s="1"/>
  <c r="AP390" i="3"/>
  <c r="AR390" i="3" s="1"/>
  <c r="AP57" i="3"/>
  <c r="AR57" i="3" s="1"/>
  <c r="AP264" i="3"/>
  <c r="AR264" i="3" s="1"/>
  <c r="AP248" i="3"/>
  <c r="AR248" i="3" s="1"/>
  <c r="AP254" i="3"/>
  <c r="AR254" i="3" s="1"/>
  <c r="AP250" i="3"/>
  <c r="AR250" i="3" s="1"/>
  <c r="AP406" i="3"/>
  <c r="AR406" i="3" s="1"/>
  <c r="AP298" i="3"/>
  <c r="AR298" i="3" s="1"/>
  <c r="AP311" i="3"/>
  <c r="AR311" i="3" s="1"/>
  <c r="AP315" i="3"/>
  <c r="AR315" i="3" s="1"/>
  <c r="AP318" i="3"/>
  <c r="AR318" i="3" s="1"/>
  <c r="AP387" i="3"/>
  <c r="AR387" i="3" s="1"/>
  <c r="AP330" i="3"/>
  <c r="AR330" i="3" s="1"/>
  <c r="K328" i="20" s="1"/>
  <c r="AP292" i="3"/>
  <c r="AR292" i="3" s="1"/>
  <c r="K291" i="20" s="1"/>
  <c r="AP56" i="3"/>
  <c r="AR56" i="3" s="1"/>
  <c r="AP24" i="3"/>
  <c r="AR24" i="3" s="1"/>
  <c r="AP16" i="3"/>
  <c r="AR16" i="3" s="1"/>
  <c r="AP312" i="3"/>
  <c r="AR312" i="3" s="1"/>
  <c r="K311" i="20" s="1"/>
  <c r="AP36" i="3"/>
  <c r="AR36" i="3" s="1"/>
  <c r="AP414" i="3"/>
  <c r="AR414" i="3" s="1"/>
  <c r="K412" i="20" s="1"/>
  <c r="AP166" i="3"/>
  <c r="AR166" i="3" s="1"/>
  <c r="AP174" i="3"/>
  <c r="AR174" i="3" s="1"/>
  <c r="AQ174" i="3" s="1"/>
  <c r="J173" i="20" s="1"/>
  <c r="AP397" i="3"/>
  <c r="AR397" i="3" s="1"/>
  <c r="AP212" i="3"/>
  <c r="AR212" i="3" s="1"/>
  <c r="AP207" i="3"/>
  <c r="AR207" i="3" s="1"/>
  <c r="AP126" i="3"/>
  <c r="AP83" i="3"/>
  <c r="AR83" i="3" s="1"/>
  <c r="AP80" i="3"/>
  <c r="AR80" i="3" s="1"/>
  <c r="AQ80" i="3" s="1"/>
  <c r="J79" i="20" s="1"/>
  <c r="AP82" i="3"/>
  <c r="AP99" i="3"/>
  <c r="AP88" i="3"/>
  <c r="AP96" i="3"/>
  <c r="AP127" i="3"/>
  <c r="AP93" i="3"/>
  <c r="AR93" i="3" s="1"/>
  <c r="AP119" i="3"/>
  <c r="AR119" i="3" s="1"/>
  <c r="AP396" i="3"/>
  <c r="AP222" i="3"/>
  <c r="AR222" i="3" s="1"/>
  <c r="AP25" i="3"/>
  <c r="AP216" i="3"/>
  <c r="AP286" i="3"/>
  <c r="AR286" i="3" s="1"/>
  <c r="AP296" i="3"/>
  <c r="AR296" i="3" s="1"/>
  <c r="AP285" i="3"/>
  <c r="AR285" i="3" s="1"/>
  <c r="AP288" i="3"/>
  <c r="AR288" i="3" s="1"/>
  <c r="AP32" i="3"/>
  <c r="AR32" i="3" s="1"/>
  <c r="AP209" i="3"/>
  <c r="AR209" i="3" s="1"/>
  <c r="I156" i="20"/>
  <c r="AP299" i="3"/>
  <c r="AR299" i="3" s="1"/>
  <c r="AQ299" i="3" s="1"/>
  <c r="J298" i="20" s="1"/>
  <c r="AP220" i="3"/>
  <c r="AP26" i="3"/>
  <c r="AP391" i="3"/>
  <c r="AR391" i="3" s="1"/>
  <c r="K8" i="20"/>
  <c r="AP395" i="3"/>
  <c r="AP214" i="3"/>
  <c r="AL182" i="3"/>
  <c r="AO182" i="3" s="1"/>
  <c r="J321" i="19"/>
  <c r="AP18" i="3"/>
  <c r="AP210" i="3"/>
  <c r="AP14" i="3"/>
  <c r="AP300" i="3"/>
  <c r="AP394" i="3"/>
  <c r="AR394" i="3" s="1"/>
  <c r="AP12" i="3"/>
  <c r="AP20" i="3"/>
  <c r="AR20" i="3" s="1"/>
  <c r="AP37" i="3"/>
  <c r="I383" i="19"/>
  <c r="I131" i="19"/>
  <c r="I94" i="19"/>
  <c r="I425" i="19"/>
  <c r="I232" i="19"/>
  <c r="I152" i="19"/>
  <c r="I423" i="19"/>
  <c r="I187" i="19"/>
  <c r="I68" i="19"/>
  <c r="I147" i="19"/>
  <c r="I154" i="19"/>
  <c r="I235" i="19"/>
  <c r="I411" i="19"/>
  <c r="I419" i="19"/>
  <c r="R314" i="3"/>
  <c r="T314" i="3" s="1"/>
  <c r="R267" i="3"/>
  <c r="T267" i="3" s="1"/>
  <c r="R307" i="3"/>
  <c r="T307" i="3" s="1"/>
  <c r="S307" i="3" s="1"/>
  <c r="K306" i="19" s="1"/>
  <c r="I74" i="19"/>
  <c r="I399" i="19"/>
  <c r="I129" i="19"/>
  <c r="I190" i="19"/>
  <c r="J18" i="19"/>
  <c r="L243" i="19"/>
  <c r="S244" i="3"/>
  <c r="K243" i="19" s="1"/>
  <c r="I77" i="19"/>
  <c r="I317" i="19"/>
  <c r="I62" i="19"/>
  <c r="I140" i="19"/>
  <c r="R94" i="3"/>
  <c r="T94" i="3" s="1"/>
  <c r="I60" i="19"/>
  <c r="I70" i="19"/>
  <c r="I430" i="19"/>
  <c r="I136" i="19"/>
  <c r="I271" i="19"/>
  <c r="I189" i="19"/>
  <c r="I130" i="19"/>
  <c r="I71" i="19"/>
  <c r="I148" i="19"/>
  <c r="I155" i="19"/>
  <c r="I378" i="19"/>
  <c r="I237" i="19"/>
  <c r="I416" i="19"/>
  <c r="R312" i="3"/>
  <c r="T312" i="3" s="1"/>
  <c r="I76" i="19"/>
  <c r="J243" i="19"/>
  <c r="J291" i="19"/>
  <c r="I201" i="19"/>
  <c r="I318" i="19"/>
  <c r="J10" i="19"/>
  <c r="I65" i="19"/>
  <c r="I63" i="19"/>
  <c r="R145" i="3"/>
  <c r="I359" i="19"/>
  <c r="I273" i="19"/>
  <c r="I61" i="19"/>
  <c r="I181" i="19"/>
  <c r="I120" i="19"/>
  <c r="I149" i="19"/>
  <c r="I380" i="19"/>
  <c r="I239" i="19"/>
  <c r="R336" i="3"/>
  <c r="T336" i="3" s="1"/>
  <c r="I278" i="19"/>
  <c r="R409" i="3"/>
  <c r="T409" i="3" s="1"/>
  <c r="R306" i="3"/>
  <c r="T306" i="3" s="1"/>
  <c r="J13" i="19"/>
  <c r="J340" i="19"/>
  <c r="I202" i="19"/>
  <c r="I319" i="19"/>
  <c r="I417" i="19"/>
  <c r="I203" i="19"/>
  <c r="I360" i="19"/>
  <c r="I67" i="19"/>
  <c r="I182" i="19"/>
  <c r="I153" i="19"/>
  <c r="I373" i="19"/>
  <c r="I242" i="19"/>
  <c r="I257" i="19"/>
  <c r="I280" i="19"/>
  <c r="I431" i="19"/>
  <c r="I309" i="19"/>
  <c r="I316" i="19"/>
  <c r="R263" i="3"/>
  <c r="T263" i="3" s="1"/>
  <c r="I159" i="19"/>
  <c r="I72" i="19"/>
  <c r="R225" i="3"/>
  <c r="T225" i="3" s="1"/>
  <c r="R308" i="3"/>
  <c r="T308" i="3" s="1"/>
  <c r="I320" i="19"/>
  <c r="I51" i="19"/>
  <c r="R52" i="3"/>
  <c r="T52" i="3" s="1"/>
  <c r="S230" i="3"/>
  <c r="K229" i="19" s="1"/>
  <c r="J104" i="19"/>
  <c r="S326" i="3"/>
  <c r="K324" i="19" s="1"/>
  <c r="AL101" i="3"/>
  <c r="AO101" i="3" s="1"/>
  <c r="S251" i="3"/>
  <c r="K250" i="19" s="1"/>
  <c r="I266" i="19"/>
  <c r="J141" i="19"/>
  <c r="AO227" i="3"/>
  <c r="J91" i="19"/>
  <c r="S124" i="3"/>
  <c r="K123" i="19" s="1"/>
  <c r="I144" i="19"/>
  <c r="R258" i="3"/>
  <c r="T258" i="3" s="1"/>
  <c r="R424" i="3"/>
  <c r="T424" i="3" s="1"/>
  <c r="J118" i="19"/>
  <c r="R70" i="3"/>
  <c r="U463" i="3"/>
  <c r="J58" i="19"/>
  <c r="R61" i="3"/>
  <c r="T61" i="3" s="1"/>
  <c r="S61" i="3" s="1"/>
  <c r="R98" i="3"/>
  <c r="T98" i="3" s="1"/>
  <c r="I97" i="19"/>
  <c r="U460" i="3"/>
  <c r="R99" i="3"/>
  <c r="T99" i="3" s="1"/>
  <c r="I98" i="19"/>
  <c r="L222" i="9"/>
  <c r="AS334" i="3"/>
  <c r="L332" i="20" s="1"/>
  <c r="AH241" i="3"/>
  <c r="AI241" i="3" s="1"/>
  <c r="AO215" i="3"/>
  <c r="AS229" i="3"/>
  <c r="L228" i="20" s="1"/>
  <c r="AI421" i="3"/>
  <c r="AO388" i="3"/>
  <c r="AS413" i="3"/>
  <c r="L411" i="20" s="1"/>
  <c r="AO398" i="3"/>
  <c r="AO399" i="3"/>
  <c r="AL412" i="3"/>
  <c r="AO412" i="3" s="1"/>
  <c r="AS407" i="3"/>
  <c r="L405" i="20" s="1"/>
  <c r="AS326" i="3"/>
  <c r="L324" i="20" s="1"/>
  <c r="AL309" i="3"/>
  <c r="AO309" i="3" s="1"/>
  <c r="AO290" i="3"/>
  <c r="AS346" i="3"/>
  <c r="L344" i="20" s="1"/>
  <c r="AL347" i="3"/>
  <c r="AO347" i="3" s="1"/>
  <c r="AS328" i="3"/>
  <c r="L326" i="20" s="1"/>
  <c r="AS344" i="3"/>
  <c r="L342" i="20" s="1"/>
  <c r="AS335" i="3"/>
  <c r="L333" i="20" s="1"/>
  <c r="AS333" i="3"/>
  <c r="L331" i="20" s="1"/>
  <c r="AL339" i="3"/>
  <c r="AO339" i="3" s="1"/>
  <c r="AL308" i="3"/>
  <c r="AO308" i="3" s="1"/>
  <c r="AS319" i="3"/>
  <c r="L317" i="20" s="1"/>
  <c r="AS288" i="3"/>
  <c r="L287" i="20" s="1"/>
  <c r="AL307" i="3"/>
  <c r="AO307" i="3" s="1"/>
  <c r="AS303" i="3"/>
  <c r="L302" i="20" s="1"/>
  <c r="AO295" i="3"/>
  <c r="AS340" i="3"/>
  <c r="L338" i="20" s="1"/>
  <c r="AL343" i="3"/>
  <c r="AO343" i="3" s="1"/>
  <c r="AS304" i="3"/>
  <c r="L303" i="20" s="1"/>
  <c r="AS262" i="3"/>
  <c r="L261" i="20" s="1"/>
  <c r="AL262" i="3"/>
  <c r="AO262" i="3" s="1"/>
  <c r="R360" i="3"/>
  <c r="T360" i="3" s="1"/>
  <c r="R271" i="3"/>
  <c r="T271" i="3" s="1"/>
  <c r="S271" i="3" s="1"/>
  <c r="S83" i="3"/>
  <c r="K82" i="19" s="1"/>
  <c r="R381" i="3"/>
  <c r="T381" i="3" s="1"/>
  <c r="I401" i="19"/>
  <c r="R403" i="3"/>
  <c r="T403" i="3" s="1"/>
  <c r="J293" i="19"/>
  <c r="J99" i="19"/>
  <c r="R274" i="3"/>
  <c r="T274" i="3" s="1"/>
  <c r="L102" i="7"/>
  <c r="AS178" i="3"/>
  <c r="L177" i="20" s="1"/>
  <c r="J409" i="19"/>
  <c r="R67" i="3"/>
  <c r="T67" i="3" s="1"/>
  <c r="S67" i="3" s="1"/>
  <c r="AL400" i="3"/>
  <c r="AO400" i="3" s="1"/>
  <c r="AS209" i="3"/>
  <c r="L208" i="20" s="1"/>
  <c r="AO219" i="3"/>
  <c r="AL230" i="3"/>
  <c r="AO230" i="3" s="1"/>
  <c r="AO217" i="3"/>
  <c r="AO10" i="3"/>
  <c r="AS32" i="3"/>
  <c r="L31" i="20" s="1"/>
  <c r="AO11" i="3"/>
  <c r="AL59" i="3"/>
  <c r="AO59" i="3" s="1"/>
  <c r="AS14" i="3"/>
  <c r="L13" i="20" s="1"/>
  <c r="AO33" i="3"/>
  <c r="AO21" i="3"/>
  <c r="AO35" i="3"/>
  <c r="AS12" i="3"/>
  <c r="L11" i="20" s="1"/>
  <c r="AO19" i="3"/>
  <c r="AS37" i="3"/>
  <c r="L36" i="20" s="1"/>
  <c r="AO22" i="3"/>
  <c r="AL54" i="3"/>
  <c r="AO54" i="3" s="1"/>
  <c r="AS20" i="3"/>
  <c r="L19" i="20" s="1"/>
  <c r="AO31" i="3"/>
  <c r="AO29" i="3"/>
  <c r="AO27" i="3"/>
  <c r="I57" i="20"/>
  <c r="AH67" i="3"/>
  <c r="AO13" i="3"/>
  <c r="AL55" i="3"/>
  <c r="AO55" i="3" s="1"/>
  <c r="AO30" i="3"/>
  <c r="I8" i="20"/>
  <c r="AH192" i="3"/>
  <c r="AI325" i="3"/>
  <c r="AO287" i="3"/>
  <c r="AO283" i="3"/>
  <c r="AS296" i="3"/>
  <c r="L295" i="20" s="1"/>
  <c r="AS306" i="3"/>
  <c r="L305" i="20" s="1"/>
  <c r="AS286" i="3"/>
  <c r="L285" i="20" s="1"/>
  <c r="AS324" i="3"/>
  <c r="L322" i="20" s="1"/>
  <c r="AL305" i="3"/>
  <c r="AO305" i="3" s="1"/>
  <c r="AS285" i="3"/>
  <c r="L284" i="20" s="1"/>
  <c r="AS175" i="3"/>
  <c r="L174" i="20" s="1"/>
  <c r="AS177" i="3"/>
  <c r="L176" i="20" s="1"/>
  <c r="AS171" i="3"/>
  <c r="L170" i="20" s="1"/>
  <c r="AL160" i="3"/>
  <c r="AO160" i="3" s="1"/>
  <c r="AS173" i="3"/>
  <c r="L172" i="20" s="1"/>
  <c r="AH352" i="3"/>
  <c r="AI352" i="3" s="1"/>
  <c r="AI317" i="3"/>
  <c r="AI320" i="3"/>
  <c r="AH370" i="3"/>
  <c r="AH369" i="3" s="1"/>
  <c r="AI369" i="3" s="1"/>
  <c r="AI350" i="3"/>
  <c r="AH372" i="3"/>
  <c r="AI162" i="3"/>
  <c r="AH202" i="3"/>
  <c r="AI206" i="3"/>
  <c r="AL206" i="3" s="1"/>
  <c r="AO206" i="3" s="1"/>
  <c r="AH204" i="3"/>
  <c r="AI204" i="3" s="1"/>
  <c r="AI284" i="3"/>
  <c r="AO284" i="3" s="1"/>
  <c r="AH358" i="3"/>
  <c r="AH357" i="3" s="1"/>
  <c r="AI373" i="3"/>
  <c r="AL373" i="3" s="1"/>
  <c r="AO373" i="3" s="1"/>
  <c r="AO294" i="3"/>
  <c r="AI64" i="3"/>
  <c r="AL64" i="3" s="1"/>
  <c r="AO64" i="3" s="1"/>
  <c r="AI39" i="3"/>
  <c r="AO39" i="3" s="1"/>
  <c r="AI46" i="3"/>
  <c r="AI139" i="3"/>
  <c r="AI86" i="3"/>
  <c r="AI151" i="3"/>
  <c r="AI130" i="3"/>
  <c r="AI433" i="3"/>
  <c r="AI427" i="3"/>
  <c r="AI424" i="3"/>
  <c r="AI232" i="3"/>
  <c r="AI189" i="3"/>
  <c r="AS189" i="3" s="1"/>
  <c r="L188" i="20" s="1"/>
  <c r="AI183" i="3"/>
  <c r="AI341" i="3"/>
  <c r="AI384" i="3"/>
  <c r="AL384" i="3" s="1"/>
  <c r="AO384" i="3" s="1"/>
  <c r="AI297" i="3"/>
  <c r="AO297" i="3" s="1"/>
  <c r="AI366" i="3"/>
  <c r="AI336" i="3"/>
  <c r="AI323" i="3"/>
  <c r="AI354" i="3"/>
  <c r="AI280" i="3"/>
  <c r="AL280" i="3" s="1"/>
  <c r="AO280" i="3" s="1"/>
  <c r="AI259" i="3"/>
  <c r="AS259" i="3" s="1"/>
  <c r="L258" i="20" s="1"/>
  <c r="AI247" i="3"/>
  <c r="AS247" i="3" s="1"/>
  <c r="L246" i="20" s="1"/>
  <c r="J290" i="19"/>
  <c r="R427" i="3"/>
  <c r="T427" i="3" s="1"/>
  <c r="I405" i="19"/>
  <c r="R407" i="3"/>
  <c r="T407" i="3" s="1"/>
  <c r="J388" i="19"/>
  <c r="I81" i="20"/>
  <c r="J25" i="19"/>
  <c r="J23" i="19"/>
  <c r="I349" i="19"/>
  <c r="R351" i="3"/>
  <c r="J336" i="19"/>
  <c r="J399" i="19"/>
  <c r="S342" i="3"/>
  <c r="K340" i="19" s="1"/>
  <c r="I368" i="19"/>
  <c r="R369" i="3"/>
  <c r="T369" i="3" s="1"/>
  <c r="L11" i="19"/>
  <c r="S212" i="3"/>
  <c r="K211" i="19" s="1"/>
  <c r="L211" i="19"/>
  <c r="S397" i="3"/>
  <c r="K395" i="19" s="1"/>
  <c r="AQ36" i="3"/>
  <c r="J35" i="20" s="1"/>
  <c r="K193" i="19"/>
  <c r="J90" i="19"/>
  <c r="S363" i="3"/>
  <c r="J343" i="19"/>
  <c r="J263" i="19"/>
  <c r="I162" i="19"/>
  <c r="R163" i="3"/>
  <c r="T163" i="3" s="1"/>
  <c r="I107" i="20"/>
  <c r="I207" i="20"/>
  <c r="R130" i="3"/>
  <c r="J132" i="19"/>
  <c r="J403" i="19"/>
  <c r="L324" i="19"/>
  <c r="L339" i="19"/>
  <c r="K86" i="20"/>
  <c r="J56" i="19"/>
  <c r="J373" i="19"/>
  <c r="S376" i="3"/>
  <c r="K374" i="19" s="1"/>
  <c r="L375" i="19"/>
  <c r="L249" i="19"/>
  <c r="S14" i="3"/>
  <c r="K13" i="19" s="1"/>
  <c r="L13" i="19"/>
  <c r="K88" i="20"/>
  <c r="J117" i="19"/>
  <c r="L306" i="19"/>
  <c r="S292" i="3"/>
  <c r="K291" i="19" s="1"/>
  <c r="L291" i="19"/>
  <c r="L126" i="19"/>
  <c r="K250" i="20"/>
  <c r="AQ306" i="3"/>
  <c r="J305" i="20" s="1"/>
  <c r="AQ346" i="3"/>
  <c r="J344" i="20" s="1"/>
  <c r="I402" i="20"/>
  <c r="J344" i="19"/>
  <c r="S39" i="3"/>
  <c r="K38" i="19" s="1"/>
  <c r="AQ161" i="3"/>
  <c r="J160" i="20" s="1"/>
  <c r="J320" i="19"/>
  <c r="L320" i="19"/>
  <c r="AQ163" i="3"/>
  <c r="J162" i="20" s="1"/>
  <c r="J180" i="19"/>
  <c r="S324" i="3"/>
  <c r="K322" i="19" s="1"/>
  <c r="L322" i="19"/>
  <c r="L340" i="19"/>
  <c r="L35" i="19"/>
  <c r="I303" i="20"/>
  <c r="AH379" i="3"/>
  <c r="AI379" i="3" s="1"/>
  <c r="AL379" i="3" s="1"/>
  <c r="AO379" i="3" s="1"/>
  <c r="AH195" i="3"/>
  <c r="I106" i="20"/>
  <c r="I87" i="20"/>
  <c r="I126" i="20"/>
  <c r="I89" i="20"/>
  <c r="I112" i="20"/>
  <c r="I114" i="20"/>
  <c r="AI385" i="3"/>
  <c r="AL385" i="3" s="1"/>
  <c r="AO385" i="3" s="1"/>
  <c r="AQ404" i="3"/>
  <c r="J1058" i="10"/>
  <c r="L1058" i="10"/>
  <c r="I221" i="20"/>
  <c r="I170" i="20"/>
  <c r="I164" i="20"/>
  <c r="I59" i="20"/>
  <c r="I342" i="20"/>
  <c r="I326" i="20"/>
  <c r="I305" i="20"/>
  <c r="AH360" i="3"/>
  <c r="L299" i="19"/>
  <c r="S300" i="3"/>
  <c r="K299" i="19" s="1"/>
  <c r="AI44" i="3"/>
  <c r="AO44" i="3" s="1"/>
  <c r="AH43" i="3"/>
  <c r="J325" i="19"/>
  <c r="I35" i="20"/>
  <c r="AI233" i="3"/>
  <c r="AL233" i="3" s="1"/>
  <c r="AO233" i="3" s="1"/>
  <c r="AI236" i="3"/>
  <c r="AL236" i="3" s="1"/>
  <c r="AO236" i="3" s="1"/>
  <c r="AH187" i="3"/>
  <c r="AI159" i="3"/>
  <c r="AH148" i="3"/>
  <c r="AH70" i="3"/>
  <c r="AL74" i="3"/>
  <c r="AO74" i="3" s="1"/>
  <c r="J327" i="19"/>
  <c r="S327" i="3"/>
  <c r="K325" i="19" s="1"/>
  <c r="L325" i="19"/>
  <c r="J42" i="19"/>
  <c r="J285" i="19"/>
  <c r="L321" i="19"/>
  <c r="S323" i="3"/>
  <c r="K321" i="19" s="1"/>
  <c r="R311" i="3"/>
  <c r="T311" i="3" s="1"/>
  <c r="I310" i="19"/>
  <c r="J345" i="19"/>
  <c r="J352" i="19"/>
  <c r="J410" i="19"/>
  <c r="S227" i="3"/>
  <c r="K226" i="19" s="1"/>
  <c r="L226" i="19"/>
  <c r="J348" i="19"/>
  <c r="J292" i="19"/>
  <c r="J392" i="19"/>
  <c r="AS208" i="3"/>
  <c r="L207" i="20" s="1"/>
  <c r="R95" i="3"/>
  <c r="T95" i="3" s="1"/>
  <c r="R139" i="3"/>
  <c r="T139" i="3" s="1"/>
  <c r="R231" i="3"/>
  <c r="T231" i="3" s="1"/>
  <c r="I230" i="19"/>
  <c r="J316" i="19"/>
  <c r="S310" i="3"/>
  <c r="K309" i="19" s="1"/>
  <c r="L309" i="19"/>
  <c r="I330" i="19"/>
  <c r="R332" i="3"/>
  <c r="T332" i="3" s="1"/>
  <c r="J282" i="19"/>
  <c r="J283" i="19"/>
  <c r="U461" i="3"/>
  <c r="R64" i="3"/>
  <c r="T64" i="3" s="1"/>
  <c r="S64" i="3" s="1"/>
  <c r="R111" i="3"/>
  <c r="T111" i="3" s="1"/>
  <c r="I110" i="19"/>
  <c r="R317" i="3"/>
  <c r="T317" i="3" s="1"/>
  <c r="I315" i="19"/>
  <c r="R164" i="3"/>
  <c r="T164" i="3" s="1"/>
  <c r="I163" i="19"/>
  <c r="S298" i="3"/>
  <c r="K297" i="19" s="1"/>
  <c r="L297" i="19"/>
  <c r="S285" i="3"/>
  <c r="K284" i="19" s="1"/>
  <c r="L284" i="19"/>
  <c r="L286" i="19"/>
  <c r="S287" i="3"/>
  <c r="K286" i="19" s="1"/>
  <c r="L371" i="19"/>
  <c r="J14" i="19"/>
  <c r="L104" i="19"/>
  <c r="S210" i="3"/>
  <c r="K209" i="19" s="1"/>
  <c r="L209" i="19"/>
  <c r="J313" i="19"/>
  <c r="I254" i="19"/>
  <c r="R255" i="3"/>
  <c r="T255" i="3" s="1"/>
  <c r="J331" i="19"/>
  <c r="J364" i="19"/>
  <c r="S318" i="3"/>
  <c r="K316" i="19" s="1"/>
  <c r="L316" i="19"/>
  <c r="S290" i="3"/>
  <c r="K289" i="19" s="1"/>
  <c r="L289" i="19"/>
  <c r="J191" i="19"/>
  <c r="S375" i="3"/>
  <c r="K373" i="19" s="1"/>
  <c r="L373" i="19"/>
  <c r="J304" i="19"/>
  <c r="J167" i="19"/>
  <c r="S181" i="3"/>
  <c r="K180" i="19" s="1"/>
  <c r="J24" i="19"/>
  <c r="J17" i="19"/>
  <c r="I104" i="20"/>
  <c r="R128" i="3"/>
  <c r="T128" i="3" s="1"/>
  <c r="I127" i="19"/>
  <c r="R309" i="3"/>
  <c r="T309" i="3" s="1"/>
  <c r="I308" i="19"/>
  <c r="S348" i="3"/>
  <c r="K346" i="19" s="1"/>
  <c r="L346" i="19"/>
  <c r="J220" i="19"/>
  <c r="S122" i="3"/>
  <c r="K121" i="19" s="1"/>
  <c r="L121" i="19"/>
  <c r="L374" i="19"/>
  <c r="J332" i="19"/>
  <c r="J287" i="19"/>
  <c r="J302" i="19"/>
  <c r="J376" i="19"/>
  <c r="L214" i="19"/>
  <c r="S215" i="3"/>
  <c r="K214" i="19" s="1"/>
  <c r="S294" i="3"/>
  <c r="K293" i="19" s="1"/>
  <c r="L293" i="19"/>
  <c r="S102" i="3"/>
  <c r="K101" i="19" s="1"/>
  <c r="L101" i="19"/>
  <c r="S257" i="3"/>
  <c r="K256" i="19" s="1"/>
  <c r="L256" i="19"/>
  <c r="I101" i="20"/>
  <c r="I395" i="20"/>
  <c r="I122" i="20"/>
  <c r="AL189" i="3"/>
  <c r="AO189" i="3" s="1"/>
  <c r="U462" i="3"/>
  <c r="I342" i="19"/>
  <c r="R344" i="3"/>
  <c r="T344" i="3" s="1"/>
  <c r="R414" i="3"/>
  <c r="T414" i="3" s="1"/>
  <c r="I412" i="19"/>
  <c r="R106" i="3"/>
  <c r="T106" i="3" s="1"/>
  <c r="I105" i="19"/>
  <c r="J319" i="19"/>
  <c r="S377" i="3"/>
  <c r="K375" i="19" s="1"/>
  <c r="J317" i="19"/>
  <c r="L122" i="19"/>
  <c r="S123" i="3"/>
  <c r="K122" i="19" s="1"/>
  <c r="S253" i="3"/>
  <c r="K252" i="19" s="1"/>
  <c r="L252" i="19"/>
  <c r="J88" i="19"/>
  <c r="J361" i="19"/>
  <c r="L408" i="19"/>
  <c r="S410" i="3"/>
  <c r="K408" i="19" s="1"/>
  <c r="L334" i="19"/>
  <c r="S336" i="3"/>
  <c r="K334" i="19" s="1"/>
  <c r="K80" i="20"/>
  <c r="AH198" i="3"/>
  <c r="R232" i="3"/>
  <c r="T232" i="3" s="1"/>
  <c r="AQ119" i="3"/>
  <c r="J118" i="20" s="1"/>
  <c r="R112" i="3"/>
  <c r="T112" i="3" s="1"/>
  <c r="I111" i="19"/>
  <c r="S389" i="3"/>
  <c r="K387" i="19" s="1"/>
  <c r="L387" i="19"/>
  <c r="J217" i="19"/>
  <c r="J176" i="19"/>
  <c r="S211" i="3"/>
  <c r="K210" i="19" s="1"/>
  <c r="L210" i="19"/>
  <c r="J54" i="19"/>
  <c r="L57" i="19"/>
  <c r="S58" i="3"/>
  <c r="K57" i="19" s="1"/>
  <c r="S167" i="3"/>
  <c r="K166" i="19" s="1"/>
  <c r="L166" i="19"/>
  <c r="L224" i="19"/>
  <c r="S225" i="3"/>
  <c r="K224" i="19" s="1"/>
  <c r="J175" i="19"/>
  <c r="J153" i="19"/>
  <c r="L174" i="19"/>
  <c r="S175" i="3"/>
  <c r="K174" i="19" s="1"/>
  <c r="J161" i="19"/>
  <c r="J72" i="19"/>
  <c r="J12" i="19"/>
  <c r="J108" i="19"/>
  <c r="J102" i="19"/>
  <c r="S172" i="3"/>
  <c r="K171" i="19" s="1"/>
  <c r="L171" i="19"/>
  <c r="L196" i="19"/>
  <c r="L22" i="19"/>
  <c r="S23" i="3"/>
  <c r="K22" i="19" s="1"/>
  <c r="L16" i="19"/>
  <c r="S17" i="3"/>
  <c r="K16" i="19" s="1"/>
  <c r="J391" i="19"/>
  <c r="L192" i="19"/>
  <c r="K192" i="19"/>
  <c r="J79" i="19"/>
  <c r="J397" i="19"/>
  <c r="J103" i="19"/>
  <c r="I157" i="19"/>
  <c r="R158" i="3"/>
  <c r="T158" i="3" s="1"/>
  <c r="I92" i="19"/>
  <c r="R93" i="3"/>
  <c r="T93" i="3" s="1"/>
  <c r="R180" i="3"/>
  <c r="T180" i="3" s="1"/>
  <c r="I179" i="19"/>
  <c r="J29" i="19"/>
  <c r="J213" i="19"/>
  <c r="J255" i="19"/>
  <c r="J36" i="19"/>
  <c r="S86" i="3"/>
  <c r="K85" i="19" s="1"/>
  <c r="L85" i="19"/>
  <c r="L215" i="19"/>
  <c r="S216" i="3"/>
  <c r="K215" i="19" s="1"/>
  <c r="S56" i="3"/>
  <c r="K55" i="19" s="1"/>
  <c r="L55" i="19"/>
  <c r="L194" i="19"/>
  <c r="L141" i="19"/>
  <c r="S142" i="3"/>
  <c r="K141" i="19" s="1"/>
  <c r="J147" i="19"/>
  <c r="J84" i="19"/>
  <c r="J30" i="19"/>
  <c r="S118" i="3"/>
  <c r="K117" i="19" s="1"/>
  <c r="L117" i="19"/>
  <c r="J34" i="19"/>
  <c r="J52" i="19"/>
  <c r="S117" i="3"/>
  <c r="K116" i="19" s="1"/>
  <c r="L116" i="19"/>
  <c r="J419" i="19"/>
  <c r="L193" i="19"/>
  <c r="J393" i="19"/>
  <c r="S404" i="3"/>
  <c r="K402" i="19" s="1"/>
  <c r="L402" i="19"/>
  <c r="J265" i="19"/>
  <c r="I412" i="20"/>
  <c r="I208" i="20"/>
  <c r="I227" i="20"/>
  <c r="I206" i="20"/>
  <c r="I95" i="20"/>
  <c r="I429" i="19"/>
  <c r="R430" i="3"/>
  <c r="T430" i="3" s="1"/>
  <c r="I204" i="19"/>
  <c r="R204" i="3"/>
  <c r="T204" i="3" s="1"/>
  <c r="R178" i="3"/>
  <c r="T178" i="3" s="1"/>
  <c r="I177" i="19"/>
  <c r="J261" i="19"/>
  <c r="L58" i="19"/>
  <c r="S59" i="3"/>
  <c r="K58" i="19" s="1"/>
  <c r="J276" i="19"/>
  <c r="J422" i="19"/>
  <c r="J411" i="19"/>
  <c r="J169" i="19"/>
  <c r="J119" i="19"/>
  <c r="L90" i="19"/>
  <c r="S91" i="3"/>
  <c r="K90" i="19" s="1"/>
  <c r="S213" i="3"/>
  <c r="K212" i="19" s="1"/>
  <c r="L212" i="19"/>
  <c r="J48" i="19"/>
  <c r="L389" i="19"/>
  <c r="S391" i="3"/>
  <c r="K389" i="19" s="1"/>
  <c r="J128" i="19"/>
  <c r="J240" i="19"/>
  <c r="J178" i="19"/>
  <c r="J431" i="19"/>
  <c r="J59" i="19"/>
  <c r="J19" i="19"/>
  <c r="S264" i="3"/>
  <c r="K263" i="19" s="1"/>
  <c r="L263" i="19"/>
  <c r="L409" i="19"/>
  <c r="S411" i="3"/>
  <c r="K409" i="19" s="1"/>
  <c r="L44" i="19"/>
  <c r="S160" i="3"/>
  <c r="K159" i="19" s="1"/>
  <c r="L159" i="19"/>
  <c r="J413" i="19"/>
  <c r="K39" i="19"/>
  <c r="L39" i="19"/>
  <c r="I174" i="20"/>
  <c r="I418" i="19"/>
  <c r="R418" i="3"/>
  <c r="T418" i="3" s="1"/>
  <c r="I404" i="19"/>
  <c r="R406" i="3"/>
  <c r="T406" i="3" s="1"/>
  <c r="I234" i="19"/>
  <c r="R235" i="3"/>
  <c r="T235" i="3" s="1"/>
  <c r="I150" i="19"/>
  <c r="R151" i="3"/>
  <c r="T151" i="3" s="1"/>
  <c r="S151" i="3" s="1"/>
  <c r="J227" i="19"/>
  <c r="L266" i="19"/>
  <c r="S267" i="3"/>
  <c r="K266" i="19" s="1"/>
  <c r="L228" i="19"/>
  <c r="S229" i="3"/>
  <c r="K228" i="19" s="1"/>
  <c r="I165" i="19"/>
  <c r="R166" i="3"/>
  <c r="T166" i="3" s="1"/>
  <c r="J113" i="19"/>
  <c r="J80" i="19"/>
  <c r="S401" i="3"/>
  <c r="K399" i="19" s="1"/>
  <c r="L399" i="19"/>
  <c r="K8" i="19"/>
  <c r="L8" i="19"/>
  <c r="J406" i="19"/>
  <c r="J222" i="19"/>
  <c r="L221" i="19"/>
  <c r="S222" i="3"/>
  <c r="K221" i="19" s="1"/>
  <c r="S26" i="3"/>
  <c r="K25" i="19" s="1"/>
  <c r="L25" i="19"/>
  <c r="J245" i="19"/>
  <c r="L38" i="19"/>
  <c r="L248" i="19"/>
  <c r="S249" i="3"/>
  <c r="K248" i="19" s="1"/>
  <c r="L206" i="19"/>
  <c r="S207" i="3"/>
  <c r="K206" i="19" s="1"/>
  <c r="S119" i="3"/>
  <c r="K118" i="19" s="1"/>
  <c r="L118" i="19"/>
  <c r="J182" i="19"/>
  <c r="J237" i="19"/>
  <c r="L43" i="19"/>
  <c r="S110" i="3"/>
  <c r="K109" i="19" s="1"/>
  <c r="L109" i="19"/>
  <c r="L20" i="19"/>
  <c r="S21" i="3"/>
  <c r="K20" i="19" s="1"/>
  <c r="L41" i="19"/>
  <c r="I110" i="20"/>
  <c r="I108" i="20"/>
  <c r="I116" i="20"/>
  <c r="AQ81" i="3"/>
  <c r="J80" i="20" s="1"/>
  <c r="K210" i="20"/>
  <c r="I111" i="20"/>
  <c r="AL103" i="3"/>
  <c r="AO103" i="3" s="1"/>
  <c r="AL100" i="3"/>
  <c r="AO100" i="3" s="1"/>
  <c r="I98" i="20"/>
  <c r="I217" i="20"/>
  <c r="I75" i="19"/>
  <c r="R76" i="3"/>
  <c r="T76" i="3" s="1"/>
  <c r="S76" i="3" s="1"/>
  <c r="I173" i="19"/>
  <c r="R174" i="3"/>
  <c r="T174" i="3" s="1"/>
  <c r="J87" i="19"/>
  <c r="J338" i="19"/>
  <c r="L145" i="19"/>
  <c r="K145" i="19"/>
  <c r="L42" i="19"/>
  <c r="S43" i="3"/>
  <c r="K42" i="19" s="1"/>
  <c r="S115" i="3"/>
  <c r="K114" i="19" s="1"/>
  <c r="L114" i="19"/>
  <c r="J314" i="19"/>
  <c r="L37" i="19"/>
  <c r="S38" i="3"/>
  <c r="K37" i="19" s="1"/>
  <c r="L343" i="19"/>
  <c r="S345" i="3"/>
  <c r="K343" i="19" s="1"/>
  <c r="L143" i="19"/>
  <c r="J185" i="19"/>
  <c r="J335" i="19"/>
  <c r="J200" i="19"/>
  <c r="S321" i="3"/>
  <c r="K319" i="19" s="1"/>
  <c r="L319" i="19"/>
  <c r="J323" i="19"/>
  <c r="S100" i="3"/>
  <c r="K99" i="19" s="1"/>
  <c r="L99" i="19"/>
  <c r="I86" i="20"/>
  <c r="AH381" i="3"/>
  <c r="AI152" i="3"/>
  <c r="AL152" i="3" s="1"/>
  <c r="AO152" i="3" s="1"/>
  <c r="I121" i="20"/>
  <c r="R169" i="3"/>
  <c r="T169" i="3" s="1"/>
  <c r="I168" i="19"/>
  <c r="R189" i="3"/>
  <c r="T189" i="3" s="1"/>
  <c r="I188" i="19"/>
  <c r="S334" i="3"/>
  <c r="K332" i="19" s="1"/>
  <c r="L332" i="19"/>
  <c r="S355" i="3"/>
  <c r="K353" i="19" s="1"/>
  <c r="L353" i="19"/>
  <c r="J398" i="19"/>
  <c r="J32" i="19"/>
  <c r="J158" i="19"/>
  <c r="J93" i="19"/>
  <c r="S10" i="3"/>
  <c r="K9" i="19" s="1"/>
  <c r="L9" i="19"/>
  <c r="K258" i="19"/>
  <c r="L258" i="19"/>
  <c r="S330" i="3"/>
  <c r="K328" i="19" s="1"/>
  <c r="L328" i="19"/>
  <c r="J135" i="19"/>
  <c r="S57" i="3"/>
  <c r="K56" i="19" s="1"/>
  <c r="L56" i="19"/>
  <c r="S101" i="3"/>
  <c r="K100" i="19" s="1"/>
  <c r="L100" i="19"/>
  <c r="S346" i="3"/>
  <c r="K344" i="19" s="1"/>
  <c r="L344" i="19"/>
  <c r="I250" i="20"/>
  <c r="AS39" i="3"/>
  <c r="L38" i="20" s="1"/>
  <c r="I128" i="20"/>
  <c r="AQ211" i="3"/>
  <c r="J210" i="20" s="1"/>
  <c r="I83" i="20"/>
  <c r="AO85" i="3"/>
  <c r="R108" i="3"/>
  <c r="T108" i="3" s="1"/>
  <c r="I107" i="19"/>
  <c r="I356" i="19"/>
  <c r="R357" i="3"/>
  <c r="R171" i="3"/>
  <c r="T171" i="3" s="1"/>
  <c r="I170" i="19"/>
  <c r="J164" i="19"/>
  <c r="J251" i="19"/>
  <c r="J21" i="19"/>
  <c r="S273" i="3"/>
  <c r="K272" i="19" s="1"/>
  <c r="L272" i="19"/>
  <c r="J125" i="19"/>
  <c r="J60" i="19"/>
  <c r="J358" i="19"/>
  <c r="J425" i="19"/>
  <c r="K133" i="19"/>
  <c r="L133" i="19"/>
  <c r="J96" i="19"/>
  <c r="J45" i="19"/>
  <c r="R265" i="3"/>
  <c r="T265" i="3" s="1"/>
  <c r="I264" i="19"/>
  <c r="I197" i="19"/>
  <c r="R198" i="3"/>
  <c r="T198" i="3" s="1"/>
  <c r="I279" i="19"/>
  <c r="R280" i="3"/>
  <c r="T280" i="3" s="1"/>
  <c r="J207" i="19"/>
  <c r="J300" i="19"/>
  <c r="L298" i="19"/>
  <c r="S299" i="3"/>
  <c r="K298" i="19" s="1"/>
  <c r="S424" i="3"/>
  <c r="K422" i="19" s="1"/>
  <c r="L422" i="19"/>
  <c r="J208" i="19"/>
  <c r="J53" i="19"/>
  <c r="S328" i="3"/>
  <c r="K326" i="19" s="1"/>
  <c r="L326" i="19"/>
  <c r="S368" i="3"/>
  <c r="K366" i="19" s="1"/>
  <c r="L366" i="19"/>
  <c r="L120" i="19"/>
  <c r="S121" i="3"/>
  <c r="K120" i="19" s="1"/>
  <c r="J267" i="19"/>
  <c r="J225" i="19"/>
  <c r="S339" i="3"/>
  <c r="K337" i="19" s="1"/>
  <c r="L337" i="19"/>
  <c r="S312" i="3"/>
  <c r="K311" i="19" s="1"/>
  <c r="L311" i="19"/>
  <c r="L33" i="19"/>
  <c r="S34" i="3"/>
  <c r="K33" i="19" s="1"/>
  <c r="S402" i="3"/>
  <c r="K400" i="19" s="1"/>
  <c r="L400" i="19"/>
  <c r="J94" i="19"/>
  <c r="J112" i="19"/>
  <c r="J138" i="19"/>
  <c r="J172" i="19"/>
  <c r="S338" i="3"/>
  <c r="K336" i="19" s="1"/>
  <c r="L336" i="19"/>
  <c r="J329" i="19"/>
  <c r="L142" i="19"/>
  <c r="K142" i="19"/>
  <c r="J390" i="19"/>
  <c r="S405" i="3"/>
  <c r="K403" i="19" s="1"/>
  <c r="L403" i="19"/>
  <c r="I210" i="20"/>
  <c r="I124" i="20"/>
  <c r="AH142" i="3"/>
  <c r="AH136" i="3"/>
  <c r="J318" i="19"/>
  <c r="AI140" i="3"/>
  <c r="AL140" i="3" s="1"/>
  <c r="AO140" i="3" s="1"/>
  <c r="AL98" i="3"/>
  <c r="AO98" i="3" s="1"/>
  <c r="AS98" i="3"/>
  <c r="L97" i="20" s="1"/>
  <c r="I118" i="20"/>
  <c r="AH154" i="3"/>
  <c r="AS139" i="3"/>
  <c r="L138" i="20" s="1"/>
  <c r="AL139" i="3"/>
  <c r="AO139" i="3" s="1"/>
  <c r="AS86" i="3"/>
  <c r="L85" i="20" s="1"/>
  <c r="AO86" i="3"/>
  <c r="I120" i="20"/>
  <c r="I80" i="20"/>
  <c r="AI134" i="3"/>
  <c r="AL134" i="3" s="1"/>
  <c r="AO134" i="3" s="1"/>
  <c r="AH133" i="3"/>
  <c r="I123" i="20"/>
  <c r="AL130" i="3"/>
  <c r="AO130" i="3" s="1"/>
  <c r="AS130" i="3"/>
  <c r="L129" i="20" s="1"/>
  <c r="I119" i="20"/>
  <c r="I103" i="20"/>
  <c r="I125" i="20"/>
  <c r="I109" i="20"/>
  <c r="I90" i="20"/>
  <c r="AQ89" i="3"/>
  <c r="J88" i="20" s="1"/>
  <c r="I82" i="20"/>
  <c r="I79" i="20"/>
  <c r="AQ222" i="3"/>
  <c r="J221" i="20" s="1"/>
  <c r="K221" i="20"/>
  <c r="I211" i="20"/>
  <c r="AI231" i="3"/>
  <c r="AH239" i="3"/>
  <c r="AL310" i="3"/>
  <c r="AO310" i="3" s="1"/>
  <c r="AS310" i="3"/>
  <c r="L309" i="20" s="1"/>
  <c r="AL170" i="3"/>
  <c r="AO170" i="3" s="1"/>
  <c r="AS170" i="3"/>
  <c r="L169" i="20" s="1"/>
  <c r="AI190" i="3"/>
  <c r="AL190" i="3" s="1"/>
  <c r="AO190" i="3" s="1"/>
  <c r="AS169" i="3"/>
  <c r="L168" i="20" s="1"/>
  <c r="AL169" i="3"/>
  <c r="AO169" i="3" s="1"/>
  <c r="AI416" i="3"/>
  <c r="AL416" i="3" s="1"/>
  <c r="AO416" i="3" s="1"/>
  <c r="AH415" i="3"/>
  <c r="I385" i="20"/>
  <c r="I249" i="20"/>
  <c r="I171" i="20"/>
  <c r="I344" i="20"/>
  <c r="I301" i="20"/>
  <c r="I333" i="20"/>
  <c r="AS342" i="3"/>
  <c r="L340" i="20" s="1"/>
  <c r="AI376" i="3"/>
  <c r="AL376" i="3" s="1"/>
  <c r="AO376" i="3" s="1"/>
  <c r="AQ394" i="3"/>
  <c r="J392" i="20" s="1"/>
  <c r="K392" i="20"/>
  <c r="AQ123" i="3"/>
  <c r="J122" i="20" s="1"/>
  <c r="AQ224" i="3"/>
  <c r="J223" i="20" s="1"/>
  <c r="K223" i="20"/>
  <c r="AI146" i="3"/>
  <c r="AL146" i="3" s="1"/>
  <c r="AO146" i="3" s="1"/>
  <c r="AH145" i="3"/>
  <c r="K92" i="20"/>
  <c r="AQ93" i="3"/>
  <c r="J92" i="20" s="1"/>
  <c r="I127" i="20"/>
  <c r="I96" i="20"/>
  <c r="K79" i="20"/>
  <c r="K166" i="20"/>
  <c r="AQ225" i="3"/>
  <c r="J224" i="20" s="1"/>
  <c r="K224" i="20"/>
  <c r="K227" i="20"/>
  <c r="AQ228" i="3"/>
  <c r="J227" i="20" s="1"/>
  <c r="K165" i="20"/>
  <c r="AQ166" i="3"/>
  <c r="J165" i="20" s="1"/>
  <c r="I117" i="20"/>
  <c r="AQ176" i="3"/>
  <c r="J175" i="20" s="1"/>
  <c r="K111" i="20"/>
  <c r="AQ207" i="3"/>
  <c r="J206" i="20" s="1"/>
  <c r="K206" i="20"/>
  <c r="I338" i="20"/>
  <c r="AQ165" i="3"/>
  <c r="J164" i="20" s="1"/>
  <c r="K164" i="20"/>
  <c r="K225" i="20"/>
  <c r="K173" i="20"/>
  <c r="K162" i="20"/>
  <c r="K179" i="20"/>
  <c r="AQ180" i="3"/>
  <c r="J179" i="20" s="1"/>
  <c r="AH49" i="3"/>
  <c r="AI50" i="3"/>
  <c r="AO50" i="3" s="1"/>
  <c r="AI77" i="3"/>
  <c r="AL77" i="3" s="1"/>
  <c r="AO77" i="3" s="1"/>
  <c r="I16" i="20"/>
  <c r="I55" i="20"/>
  <c r="AI40" i="3"/>
  <c r="I27" i="20"/>
  <c r="I15" i="20"/>
  <c r="I23" i="20"/>
  <c r="I19" i="20"/>
  <c r="K57" i="20"/>
  <c r="AQ58" i="3"/>
  <c r="J57" i="20" s="1"/>
  <c r="I36" i="20"/>
  <c r="I31" i="20"/>
  <c r="I56" i="20"/>
  <c r="AQ9" i="3"/>
  <c r="J8" i="20" s="1"/>
  <c r="I33" i="20"/>
  <c r="I52" i="20"/>
  <c r="I37" i="20"/>
  <c r="I290" i="20"/>
  <c r="I317" i="20"/>
  <c r="I285" i="20"/>
  <c r="K320" i="20"/>
  <c r="AQ322" i="3"/>
  <c r="J320" i="20" s="1"/>
  <c r="I292" i="20"/>
  <c r="AQ337" i="3"/>
  <c r="J335" i="20" s="1"/>
  <c r="K335" i="20"/>
  <c r="I336" i="20"/>
  <c r="I316" i="20"/>
  <c r="I331" i="20"/>
  <c r="K298" i="20"/>
  <c r="I343" i="20"/>
  <c r="I302" i="20"/>
  <c r="I300" i="20"/>
  <c r="AL321" i="3"/>
  <c r="AO321" i="3" s="1"/>
  <c r="I346" i="20"/>
  <c r="I287" i="20"/>
  <c r="I324" i="20"/>
  <c r="I297" i="20"/>
  <c r="I332" i="20"/>
  <c r="AI408" i="3"/>
  <c r="AH431" i="3"/>
  <c r="K407" i="20"/>
  <c r="AQ414" i="3"/>
  <c r="J412" i="20" s="1"/>
  <c r="AS421" i="3"/>
  <c r="L419" i="20" s="1"/>
  <c r="AL421" i="3"/>
  <c r="AO421" i="3" s="1"/>
  <c r="I411" i="20"/>
  <c r="I400" i="20"/>
  <c r="I399" i="20"/>
  <c r="I391" i="20"/>
  <c r="I390" i="20"/>
  <c r="K408" i="20"/>
  <c r="AQ410" i="3"/>
  <c r="J408" i="20" s="1"/>
  <c r="J402" i="20"/>
  <c r="K402" i="20"/>
  <c r="I405" i="20"/>
  <c r="AQ403" i="3"/>
  <c r="J401" i="20" s="1"/>
  <c r="I404" i="20"/>
  <c r="AS433" i="3"/>
  <c r="L431" i="20" s="1"/>
  <c r="AL433" i="3"/>
  <c r="AO433" i="3" s="1"/>
  <c r="I403" i="20"/>
  <c r="I389" i="20"/>
  <c r="AO247" i="3"/>
  <c r="AH269" i="3"/>
  <c r="AI278" i="3"/>
  <c r="AL278" i="3" s="1"/>
  <c r="AO278" i="3" s="1"/>
  <c r="AH277" i="3"/>
  <c r="AS253" i="3"/>
  <c r="L252" i="20" s="1"/>
  <c r="AO253" i="3"/>
  <c r="AI275" i="3"/>
  <c r="AL275" i="3" s="1"/>
  <c r="AO275" i="3" s="1"/>
  <c r="AH274" i="3"/>
  <c r="L235" i="8"/>
  <c r="AI245" i="3"/>
  <c r="AH272" i="3"/>
  <c r="AS249" i="3"/>
  <c r="L248" i="20" s="1"/>
  <c r="AO249" i="3"/>
  <c r="K249" i="20"/>
  <c r="AQ250" i="3"/>
  <c r="J249" i="20" s="1"/>
  <c r="I245" i="20"/>
  <c r="I266" i="20"/>
  <c r="I256" i="20"/>
  <c r="I265" i="20"/>
  <c r="K253" i="20"/>
  <c r="AQ254" i="3"/>
  <c r="J253" i="20" s="1"/>
  <c r="I264" i="20"/>
  <c r="AI364" i="3"/>
  <c r="AL364" i="3" s="1"/>
  <c r="AO364" i="3" s="1"/>
  <c r="AH363" i="3"/>
  <c r="L319" i="20"/>
  <c r="AQ157" i="3" l="1"/>
  <c r="J156" i="20" s="1"/>
  <c r="AQ167" i="3"/>
  <c r="J166" i="20" s="1"/>
  <c r="I166" i="20"/>
  <c r="I173" i="20"/>
  <c r="AQ181" i="3"/>
  <c r="J180" i="20" s="1"/>
  <c r="AQ329" i="3"/>
  <c r="J327" i="20" s="1"/>
  <c r="I327" i="20"/>
  <c r="AQ324" i="3"/>
  <c r="J322" i="20" s="1"/>
  <c r="I310" i="20"/>
  <c r="I347" i="20"/>
  <c r="I220" i="20"/>
  <c r="K220" i="20"/>
  <c r="I225" i="20"/>
  <c r="AR223" i="3"/>
  <c r="I222" i="20"/>
  <c r="I212" i="20"/>
  <c r="I291" i="20"/>
  <c r="I314" i="20"/>
  <c r="I387" i="20"/>
  <c r="AH351" i="3"/>
  <c r="K157" i="20"/>
  <c r="I178" i="20"/>
  <c r="I175" i="20"/>
  <c r="I295" i="20"/>
  <c r="I328" i="20"/>
  <c r="I388" i="20"/>
  <c r="AL317" i="3"/>
  <c r="AO317" i="3" s="1"/>
  <c r="J63" i="19"/>
  <c r="J273" i="19"/>
  <c r="J129" i="19"/>
  <c r="T130" i="3"/>
  <c r="S130" i="3" s="1"/>
  <c r="AL259" i="3"/>
  <c r="AO259" i="3" s="1"/>
  <c r="I165" i="20"/>
  <c r="T351" i="3"/>
  <c r="Q456" i="3"/>
  <c r="T357" i="3"/>
  <c r="J69" i="19"/>
  <c r="T70" i="3"/>
  <c r="J144" i="19"/>
  <c r="T145" i="3"/>
  <c r="L395" i="19"/>
  <c r="L295" i="19"/>
  <c r="S296" i="3"/>
  <c r="K295" i="19" s="1"/>
  <c r="L28" i="19"/>
  <c r="S29" i="3"/>
  <c r="K28" i="19" s="1"/>
  <c r="I253" i="20"/>
  <c r="AR327" i="3"/>
  <c r="K325" i="20" s="1"/>
  <c r="I325" i="20"/>
  <c r="AQ292" i="3"/>
  <c r="J291" i="20" s="1"/>
  <c r="I313" i="20"/>
  <c r="K288" i="20"/>
  <c r="AI358" i="3"/>
  <c r="AL358" i="3" s="1"/>
  <c r="AO358" i="3" s="1"/>
  <c r="AR79" i="3"/>
  <c r="I78" i="20"/>
  <c r="I255" i="20"/>
  <c r="AQ256" i="3"/>
  <c r="J255" i="20" s="1"/>
  <c r="AR258" i="3"/>
  <c r="I257" i="20"/>
  <c r="K255" i="20"/>
  <c r="AS280" i="3"/>
  <c r="L279" i="20" s="1"/>
  <c r="I254" i="20"/>
  <c r="I263" i="20"/>
  <c r="I251" i="20"/>
  <c r="I247" i="20"/>
  <c r="I262" i="20"/>
  <c r="AI192" i="3"/>
  <c r="I394" i="20"/>
  <c r="AR396" i="3"/>
  <c r="I409" i="20"/>
  <c r="AR411" i="3"/>
  <c r="AR395" i="3"/>
  <c r="I340" i="20"/>
  <c r="I92" i="20"/>
  <c r="AR127" i="3"/>
  <c r="AR99" i="3"/>
  <c r="AR125" i="3"/>
  <c r="K124" i="20" s="1"/>
  <c r="AR124" i="3"/>
  <c r="AR105" i="3"/>
  <c r="AR113" i="3"/>
  <c r="AR115" i="3"/>
  <c r="AQ115" i="3" s="1"/>
  <c r="J114" i="20" s="1"/>
  <c r="AR107" i="3"/>
  <c r="AR82" i="3"/>
  <c r="AR126" i="3"/>
  <c r="AR116" i="3"/>
  <c r="AR95" i="3"/>
  <c r="AR117" i="3"/>
  <c r="AQ117" i="3" s="1"/>
  <c r="J116" i="20" s="1"/>
  <c r="AR90" i="3"/>
  <c r="AR110" i="3"/>
  <c r="AR96" i="3"/>
  <c r="AQ96" i="3" s="1"/>
  <c r="J95" i="20" s="1"/>
  <c r="I113" i="20"/>
  <c r="AR114" i="3"/>
  <c r="I91" i="20"/>
  <c r="AR92" i="3"/>
  <c r="AQ92" i="3" s="1"/>
  <c r="J91" i="20" s="1"/>
  <c r="AR111" i="3"/>
  <c r="K110" i="20" s="1"/>
  <c r="AR88" i="3"/>
  <c r="AR84" i="3"/>
  <c r="AR108" i="3"/>
  <c r="AQ108" i="3" s="1"/>
  <c r="J107" i="20" s="1"/>
  <c r="AR106" i="3"/>
  <c r="AR102" i="3"/>
  <c r="AR122" i="3"/>
  <c r="AR129" i="3"/>
  <c r="I243" i="20"/>
  <c r="AR244" i="3"/>
  <c r="AL241" i="3"/>
  <c r="AO241" i="3" s="1"/>
  <c r="AS241" i="3"/>
  <c r="L240" i="20" s="1"/>
  <c r="I219" i="20"/>
  <c r="AR220" i="3"/>
  <c r="I215" i="20"/>
  <c r="AR216" i="3"/>
  <c r="I209" i="20"/>
  <c r="AR210" i="3"/>
  <c r="I213" i="20"/>
  <c r="AR214" i="3"/>
  <c r="I298" i="20"/>
  <c r="I311" i="20"/>
  <c r="AS317" i="3"/>
  <c r="L315" i="20" s="1"/>
  <c r="I288" i="20"/>
  <c r="I284" i="20"/>
  <c r="AS284" i="3"/>
  <c r="L283" i="20" s="1"/>
  <c r="AR52" i="3"/>
  <c r="I51" i="20"/>
  <c r="I13" i="20"/>
  <c r="AR14" i="3"/>
  <c r="I11" i="20"/>
  <c r="AR12" i="3"/>
  <c r="I24" i="20"/>
  <c r="AR25" i="3"/>
  <c r="I14" i="20"/>
  <c r="AR15" i="3"/>
  <c r="K14" i="20" s="1"/>
  <c r="I17" i="20"/>
  <c r="AR18" i="3"/>
  <c r="I25" i="20"/>
  <c r="AR26" i="3"/>
  <c r="I22" i="20"/>
  <c r="AR23" i="3"/>
  <c r="AQ23" i="3" s="1"/>
  <c r="J22" i="20" s="1"/>
  <c r="AR37" i="3"/>
  <c r="I299" i="20"/>
  <c r="AR300" i="3"/>
  <c r="AQ300" i="3" s="1"/>
  <c r="J299" i="20" s="1"/>
  <c r="I329" i="20"/>
  <c r="AR331" i="3"/>
  <c r="K329" i="20" s="1"/>
  <c r="AR109" i="3"/>
  <c r="AR94" i="3"/>
  <c r="K93" i="20" s="1"/>
  <c r="AS384" i="3"/>
  <c r="L382" i="20" s="1"/>
  <c r="I393" i="20"/>
  <c r="AP86" i="3"/>
  <c r="AR86" i="3" s="1"/>
  <c r="AP321" i="3"/>
  <c r="AR321" i="3" s="1"/>
  <c r="K319" i="20" s="1"/>
  <c r="AP241" i="3"/>
  <c r="AR241" i="3" s="1"/>
  <c r="AP259" i="3"/>
  <c r="I258" i="20" s="1"/>
  <c r="AP98" i="3"/>
  <c r="AR98" i="3" s="1"/>
  <c r="AP64" i="3"/>
  <c r="I63" i="20" s="1"/>
  <c r="AP294" i="3"/>
  <c r="AP13" i="3"/>
  <c r="AP27" i="3"/>
  <c r="AR27" i="3" s="1"/>
  <c r="AP54" i="3"/>
  <c r="AR54" i="3" s="1"/>
  <c r="AP230" i="3"/>
  <c r="AR230" i="3" s="1"/>
  <c r="AP400" i="3"/>
  <c r="AR400" i="3" s="1"/>
  <c r="AQ400" i="3" s="1"/>
  <c r="J398" i="20" s="1"/>
  <c r="AP343" i="3"/>
  <c r="AP307" i="3"/>
  <c r="AR307" i="3" s="1"/>
  <c r="K306" i="20" s="1"/>
  <c r="AP339" i="3"/>
  <c r="AP309" i="3"/>
  <c r="AR309" i="3" s="1"/>
  <c r="K308" i="20" s="1"/>
  <c r="AP412" i="3"/>
  <c r="AP388" i="3"/>
  <c r="AR388" i="3" s="1"/>
  <c r="K386" i="20" s="1"/>
  <c r="AP215" i="3"/>
  <c r="AR215" i="3" s="1"/>
  <c r="AP227" i="3"/>
  <c r="AR227" i="3" s="1"/>
  <c r="K338" i="20"/>
  <c r="AP100" i="3"/>
  <c r="AP305" i="3"/>
  <c r="AR305" i="3" s="1"/>
  <c r="AQ305" i="3" s="1"/>
  <c r="J304" i="20" s="1"/>
  <c r="AP29" i="3"/>
  <c r="AR29" i="3" s="1"/>
  <c r="AQ29" i="3" s="1"/>
  <c r="J28" i="20" s="1"/>
  <c r="AP22" i="3"/>
  <c r="AR22" i="3" s="1"/>
  <c r="AP35" i="3"/>
  <c r="AR35" i="3" s="1"/>
  <c r="K34" i="20" s="1"/>
  <c r="AP10" i="3"/>
  <c r="AR10" i="3" s="1"/>
  <c r="AP219" i="3"/>
  <c r="AP262" i="3"/>
  <c r="AR262" i="3" s="1"/>
  <c r="AQ262" i="3" s="1"/>
  <c r="J261" i="20" s="1"/>
  <c r="AP347" i="3"/>
  <c r="AP399" i="3"/>
  <c r="AR399" i="3" s="1"/>
  <c r="AP101" i="3"/>
  <c r="AR101" i="3" s="1"/>
  <c r="I392" i="20"/>
  <c r="AP182" i="3"/>
  <c r="AR182" i="3" s="1"/>
  <c r="AQ182" i="3" s="1"/>
  <c r="J181" i="20" s="1"/>
  <c r="AP247" i="3"/>
  <c r="AP253" i="3"/>
  <c r="AR253" i="3" s="1"/>
  <c r="AP169" i="3"/>
  <c r="AR169" i="3" s="1"/>
  <c r="AP170" i="3"/>
  <c r="AR170" i="3" s="1"/>
  <c r="AP310" i="3"/>
  <c r="AR310" i="3" s="1"/>
  <c r="AP85" i="3"/>
  <c r="AR85" i="3" s="1"/>
  <c r="AP103" i="3"/>
  <c r="I102" i="20" s="1"/>
  <c r="AP39" i="3"/>
  <c r="AR39" i="3" s="1"/>
  <c r="AP283" i="3"/>
  <c r="AR283" i="3" s="1"/>
  <c r="AQ283" i="3" s="1"/>
  <c r="AP30" i="3"/>
  <c r="AP31" i="3"/>
  <c r="AR31" i="3" s="1"/>
  <c r="K30" i="20" s="1"/>
  <c r="AP21" i="3"/>
  <c r="AR21" i="3" s="1"/>
  <c r="AP59" i="3"/>
  <c r="AR59" i="3" s="1"/>
  <c r="AQ59" i="3" s="1"/>
  <c r="J58" i="20" s="1"/>
  <c r="AP295" i="3"/>
  <c r="AR295" i="3" s="1"/>
  <c r="K294" i="20" s="1"/>
  <c r="AP398" i="3"/>
  <c r="AR398" i="3" s="1"/>
  <c r="AQ335" i="3"/>
  <c r="J333" i="20" s="1"/>
  <c r="AQ12" i="3"/>
  <c r="J11" i="20" s="1"/>
  <c r="AP280" i="3"/>
  <c r="AP249" i="3"/>
  <c r="AR249" i="3" s="1"/>
  <c r="AP130" i="3"/>
  <c r="I129" i="20" s="1"/>
  <c r="AP297" i="3"/>
  <c r="AR297" i="3" s="1"/>
  <c r="AP284" i="3"/>
  <c r="AP317" i="3"/>
  <c r="AP160" i="3"/>
  <c r="AR160" i="3" s="1"/>
  <c r="AP287" i="3"/>
  <c r="AR287" i="3" s="1"/>
  <c r="AQ287" i="3" s="1"/>
  <c r="J286" i="20" s="1"/>
  <c r="AP55" i="3"/>
  <c r="AP19" i="3"/>
  <c r="AP33" i="3"/>
  <c r="I32" i="20" s="1"/>
  <c r="AP11" i="3"/>
  <c r="AR11" i="3" s="1"/>
  <c r="AP217" i="3"/>
  <c r="AP308" i="3"/>
  <c r="AR308" i="3" s="1"/>
  <c r="AP290" i="3"/>
  <c r="AR290" i="3" s="1"/>
  <c r="K289" i="20" s="1"/>
  <c r="AP189" i="3"/>
  <c r="J307" i="19"/>
  <c r="J262" i="19"/>
  <c r="S409" i="3"/>
  <c r="K407" i="19" s="1"/>
  <c r="L407" i="19"/>
  <c r="S314" i="3"/>
  <c r="K312" i="19" s="1"/>
  <c r="L312" i="19"/>
  <c r="J407" i="19"/>
  <c r="J334" i="19"/>
  <c r="J311" i="19"/>
  <c r="J306" i="19"/>
  <c r="J312" i="19"/>
  <c r="J224" i="19"/>
  <c r="L305" i="19"/>
  <c r="S306" i="3"/>
  <c r="K305" i="19" s="1"/>
  <c r="L181" i="19"/>
  <c r="S182" i="3"/>
  <c r="K181" i="19" s="1"/>
  <c r="S308" i="3"/>
  <c r="K307" i="19" s="1"/>
  <c r="L307" i="19"/>
  <c r="S263" i="3"/>
  <c r="K262" i="19" s="1"/>
  <c r="L262" i="19"/>
  <c r="J305" i="19"/>
  <c r="J266" i="19"/>
  <c r="S79" i="3"/>
  <c r="K78" i="19" s="1"/>
  <c r="L78" i="19"/>
  <c r="L219" i="19"/>
  <c r="S220" i="3"/>
  <c r="K219" i="19" s="1"/>
  <c r="J51" i="19"/>
  <c r="I226" i="20"/>
  <c r="L180" i="19"/>
  <c r="J257" i="19"/>
  <c r="J97" i="19"/>
  <c r="J98" i="19"/>
  <c r="AH420" i="3"/>
  <c r="L262" i="9"/>
  <c r="I337" i="20"/>
  <c r="K395" i="20"/>
  <c r="AQ397" i="3"/>
  <c r="J395" i="20" s="1"/>
  <c r="K401" i="20"/>
  <c r="AP421" i="3"/>
  <c r="AP433" i="3"/>
  <c r="AQ87" i="3"/>
  <c r="J86" i="20" s="1"/>
  <c r="K160" i="20"/>
  <c r="K122" i="20"/>
  <c r="K178" i="20"/>
  <c r="AQ173" i="3"/>
  <c r="J172" i="20" s="1"/>
  <c r="Q449" i="3"/>
  <c r="K143" i="19"/>
  <c r="K194" i="19"/>
  <c r="L40" i="19"/>
  <c r="S250" i="3"/>
  <c r="K249" i="19" s="1"/>
  <c r="J66" i="19"/>
  <c r="J379" i="19"/>
  <c r="AQ332" i="3"/>
  <c r="J330" i="20" s="1"/>
  <c r="AQ112" i="3"/>
  <c r="J111" i="20" s="1"/>
  <c r="K172" i="20"/>
  <c r="K118" i="20"/>
  <c r="L144" i="19"/>
  <c r="Q450" i="3"/>
  <c r="L223" i="19"/>
  <c r="S224" i="3"/>
  <c r="K223" i="19" s="1"/>
  <c r="J401" i="19"/>
  <c r="AH237" i="3"/>
  <c r="L131" i="7"/>
  <c r="J270" i="19"/>
  <c r="AI61" i="3"/>
  <c r="AL61" i="3" s="1"/>
  <c r="AO61" i="3" s="1"/>
  <c r="AQ10" i="3"/>
  <c r="J9" i="20" s="1"/>
  <c r="AI73" i="3"/>
  <c r="I54" i="20"/>
  <c r="K11" i="20"/>
  <c r="I18" i="20"/>
  <c r="I30" i="20"/>
  <c r="AI67" i="3"/>
  <c r="AL67" i="3" s="1"/>
  <c r="AO67" i="3" s="1"/>
  <c r="K28" i="20"/>
  <c r="K22" i="20"/>
  <c r="K35" i="20"/>
  <c r="K59" i="20"/>
  <c r="AQ15" i="3"/>
  <c r="J14" i="20" s="1"/>
  <c r="AQ35" i="3"/>
  <c r="J34" i="20" s="1"/>
  <c r="AS64" i="3"/>
  <c r="L63" i="20" s="1"/>
  <c r="K64" i="20"/>
  <c r="AL325" i="3"/>
  <c r="AO325" i="3" s="1"/>
  <c r="AS325" i="3"/>
  <c r="L323" i="20" s="1"/>
  <c r="AI372" i="3"/>
  <c r="AS369" i="3"/>
  <c r="L367" i="20" s="1"/>
  <c r="AL369" i="3"/>
  <c r="AO369" i="3" s="1"/>
  <c r="AQ251" i="3"/>
  <c r="J250" i="20" s="1"/>
  <c r="AL350" i="3"/>
  <c r="AO350" i="3" s="1"/>
  <c r="AS350" i="3"/>
  <c r="L348" i="20" s="1"/>
  <c r="AL320" i="3"/>
  <c r="AO320" i="3" s="1"/>
  <c r="AS320" i="3"/>
  <c r="L318" i="20" s="1"/>
  <c r="AI370" i="3"/>
  <c r="AL370" i="3" s="1"/>
  <c r="AO370" i="3" s="1"/>
  <c r="AS204" i="3"/>
  <c r="L203" i="20" s="1"/>
  <c r="AL204" i="3"/>
  <c r="AO204" i="3" s="1"/>
  <c r="AS162" i="3"/>
  <c r="L161" i="20" s="1"/>
  <c r="AL162" i="3"/>
  <c r="AO162" i="3" s="1"/>
  <c r="AI202" i="3"/>
  <c r="AL202" i="3" s="1"/>
  <c r="AO202" i="3" s="1"/>
  <c r="AH201" i="3"/>
  <c r="AQ390" i="3"/>
  <c r="J388" i="20" s="1"/>
  <c r="AQ302" i="3"/>
  <c r="J301" i="20" s="1"/>
  <c r="AQ330" i="3"/>
  <c r="J328" i="20" s="1"/>
  <c r="AS297" i="3"/>
  <c r="L296" i="20" s="1"/>
  <c r="K385" i="20"/>
  <c r="K301" i="20"/>
  <c r="K388" i="20"/>
  <c r="AQ312" i="3"/>
  <c r="J311" i="20" s="1"/>
  <c r="K322" i="20"/>
  <c r="AH378" i="3"/>
  <c r="AI378" i="3" s="1"/>
  <c r="AQ387" i="3"/>
  <c r="J385" i="20" s="1"/>
  <c r="AQ340" i="3"/>
  <c r="J338" i="20" s="1"/>
  <c r="AI43" i="3"/>
  <c r="AS43" i="3" s="1"/>
  <c r="L42" i="20" s="1"/>
  <c r="AS46" i="3"/>
  <c r="L45" i="20" s="1"/>
  <c r="AO46" i="3"/>
  <c r="AI76" i="3"/>
  <c r="AS76" i="3" s="1"/>
  <c r="L75" i="20" s="1"/>
  <c r="AI49" i="3"/>
  <c r="AO49" i="3" s="1"/>
  <c r="AP49" i="3" s="1"/>
  <c r="AR49" i="3" s="1"/>
  <c r="AI133" i="3"/>
  <c r="AL133" i="3" s="1"/>
  <c r="AO133" i="3" s="1"/>
  <c r="AI154" i="3"/>
  <c r="AL154" i="3" s="1"/>
  <c r="AO154" i="3" s="1"/>
  <c r="AP154" i="3" s="1"/>
  <c r="AR154" i="3" s="1"/>
  <c r="AI142" i="3"/>
  <c r="AS142" i="3" s="1"/>
  <c r="L141" i="20" s="1"/>
  <c r="AL151" i="3"/>
  <c r="AO151" i="3" s="1"/>
  <c r="AS151" i="3"/>
  <c r="L150" i="20" s="1"/>
  <c r="AI136" i="3"/>
  <c r="AS136" i="3" s="1"/>
  <c r="L135" i="20" s="1"/>
  <c r="AI148" i="3"/>
  <c r="AI70" i="3"/>
  <c r="AL70" i="3" s="1"/>
  <c r="AO70" i="3" s="1"/>
  <c r="AS424" i="3"/>
  <c r="L422" i="20" s="1"/>
  <c r="AL424" i="3"/>
  <c r="AO424" i="3" s="1"/>
  <c r="AS232" i="3"/>
  <c r="L231" i="20" s="1"/>
  <c r="AL232" i="3"/>
  <c r="AO232" i="3" s="1"/>
  <c r="AL427" i="3"/>
  <c r="AO427" i="3" s="1"/>
  <c r="AS427" i="3"/>
  <c r="L425" i="20" s="1"/>
  <c r="AI198" i="3"/>
  <c r="AS198" i="3" s="1"/>
  <c r="L197" i="20" s="1"/>
  <c r="AS183" i="3"/>
  <c r="L182" i="20" s="1"/>
  <c r="AL183" i="3"/>
  <c r="AO183" i="3" s="1"/>
  <c r="AI195" i="3"/>
  <c r="AI415" i="3"/>
  <c r="AS415" i="3" s="1"/>
  <c r="L413" i="20" s="1"/>
  <c r="AL341" i="3"/>
  <c r="AO341" i="3" s="1"/>
  <c r="AS341" i="3"/>
  <c r="L339" i="20" s="1"/>
  <c r="AI360" i="3"/>
  <c r="AL360" i="3" s="1"/>
  <c r="AO360" i="3" s="1"/>
  <c r="AS354" i="3"/>
  <c r="L352" i="20" s="1"/>
  <c r="AL354" i="3"/>
  <c r="AO354" i="3" s="1"/>
  <c r="AS323" i="3"/>
  <c r="L321" i="20" s="1"/>
  <c r="AL323" i="3"/>
  <c r="AO323" i="3" s="1"/>
  <c r="AS366" i="3"/>
  <c r="L364" i="20" s="1"/>
  <c r="AL366" i="3"/>
  <c r="AO366" i="3" s="1"/>
  <c r="AI357" i="3"/>
  <c r="AS357" i="3" s="1"/>
  <c r="L355" i="20" s="1"/>
  <c r="AI351" i="3"/>
  <c r="AS351" i="3" s="1"/>
  <c r="L349" i="20" s="1"/>
  <c r="K344" i="20"/>
  <c r="AL314" i="3"/>
  <c r="AO314" i="3" s="1"/>
  <c r="AL336" i="3"/>
  <c r="AO336" i="3" s="1"/>
  <c r="AS336" i="3"/>
  <c r="L334" i="20" s="1"/>
  <c r="AI381" i="3"/>
  <c r="AL381" i="3" s="1"/>
  <c r="AO381" i="3" s="1"/>
  <c r="AS375" i="3"/>
  <c r="L373" i="20" s="1"/>
  <c r="AI274" i="3"/>
  <c r="AI277" i="3"/>
  <c r="AL277" i="3" s="1"/>
  <c r="AO277" i="3" s="1"/>
  <c r="L290" i="19"/>
  <c r="S291" i="3"/>
  <c r="K290" i="19" s="1"/>
  <c r="J405" i="19"/>
  <c r="Q459" i="3"/>
  <c r="S390" i="3"/>
  <c r="K388" i="19" s="1"/>
  <c r="L388" i="19"/>
  <c r="AQ164" i="3"/>
  <c r="J163" i="20" s="1"/>
  <c r="K163" i="20"/>
  <c r="L195" i="19"/>
  <c r="J349" i="19"/>
  <c r="AQ216" i="3"/>
  <c r="J215" i="20" s="1"/>
  <c r="K215" i="20"/>
  <c r="S125" i="3"/>
  <c r="K124" i="19" s="1"/>
  <c r="L124" i="19"/>
  <c r="Q441" i="3"/>
  <c r="J162" i="19"/>
  <c r="L23" i="19"/>
  <c r="S24" i="3"/>
  <c r="K23" i="19" s="1"/>
  <c r="J367" i="19"/>
  <c r="AP384" i="3"/>
  <c r="AQ125" i="3"/>
  <c r="J124" i="20" s="1"/>
  <c r="AQ178" i="3"/>
  <c r="J177" i="20" s="1"/>
  <c r="K177" i="20"/>
  <c r="K305" i="20"/>
  <c r="K342" i="20"/>
  <c r="S322" i="3"/>
  <c r="K320" i="19" s="1"/>
  <c r="B9" i="19"/>
  <c r="B10" i="19"/>
  <c r="B11" i="19"/>
  <c r="B8" i="19"/>
  <c r="L350" i="19"/>
  <c r="AQ179" i="3"/>
  <c r="J178" i="20" s="1"/>
  <c r="AI187" i="3"/>
  <c r="AL187" i="3" s="1"/>
  <c r="AO187" i="3" s="1"/>
  <c r="AH186" i="3"/>
  <c r="AS159" i="3"/>
  <c r="L158" i="20" s="1"/>
  <c r="AL159" i="3"/>
  <c r="AO159" i="3" s="1"/>
  <c r="L345" i="19"/>
  <c r="S347" i="3"/>
  <c r="K345" i="19" s="1"/>
  <c r="L384" i="19"/>
  <c r="R437" i="3"/>
  <c r="J330" i="19"/>
  <c r="L352" i="19"/>
  <c r="S354" i="3"/>
  <c r="K352" i="19" s="1"/>
  <c r="Q440" i="3"/>
  <c r="J230" i="19"/>
  <c r="J310" i="19"/>
  <c r="L382" i="19"/>
  <c r="S384" i="3"/>
  <c r="K382" i="19" s="1"/>
  <c r="S286" i="3"/>
  <c r="K285" i="19" s="1"/>
  <c r="L285" i="19"/>
  <c r="L372" i="19"/>
  <c r="AH439" i="3"/>
  <c r="R438" i="3"/>
  <c r="L283" i="19"/>
  <c r="K283" i="19"/>
  <c r="L282" i="19"/>
  <c r="S283" i="3"/>
  <c r="K282" i="19" s="1"/>
  <c r="S394" i="3"/>
  <c r="K392" i="19" s="1"/>
  <c r="L392" i="19"/>
  <c r="L292" i="19"/>
  <c r="S293" i="3"/>
  <c r="K292" i="19" s="1"/>
  <c r="S350" i="3"/>
  <c r="K348" i="19" s="1"/>
  <c r="L348" i="19"/>
  <c r="L410" i="19"/>
  <c r="S412" i="3"/>
  <c r="K410" i="19" s="1"/>
  <c r="S356" i="3"/>
  <c r="K354" i="19" s="1"/>
  <c r="L354" i="19"/>
  <c r="L383" i="19"/>
  <c r="L370" i="19"/>
  <c r="S372" i="3"/>
  <c r="K370" i="19" s="1"/>
  <c r="L327" i="19"/>
  <c r="S329" i="3"/>
  <c r="K327" i="19" s="1"/>
  <c r="Q458" i="3"/>
  <c r="L361" i="19"/>
  <c r="K361" i="19"/>
  <c r="K362" i="19"/>
  <c r="L362" i="19"/>
  <c r="J342" i="19"/>
  <c r="L377" i="19"/>
  <c r="J308" i="19"/>
  <c r="S18" i="3"/>
  <c r="K17" i="19" s="1"/>
  <c r="L17" i="19"/>
  <c r="L304" i="19"/>
  <c r="S305" i="3"/>
  <c r="K304" i="19" s="1"/>
  <c r="L365" i="19"/>
  <c r="S367" i="3"/>
  <c r="K365" i="19" s="1"/>
  <c r="L331" i="19"/>
  <c r="S333" i="3"/>
  <c r="K331" i="19" s="1"/>
  <c r="J163" i="19"/>
  <c r="J110" i="19"/>
  <c r="S89" i="3"/>
  <c r="K88" i="19" s="1"/>
  <c r="L88" i="19"/>
  <c r="J412" i="19"/>
  <c r="S378" i="3"/>
  <c r="K376" i="19" s="1"/>
  <c r="L376" i="19"/>
  <c r="S192" i="3"/>
  <c r="K191" i="19" s="1"/>
  <c r="L191" i="19"/>
  <c r="S315" i="3"/>
  <c r="K313" i="19" s="1"/>
  <c r="L313" i="19"/>
  <c r="K363" i="19"/>
  <c r="L363" i="19"/>
  <c r="S319" i="3"/>
  <c r="K317" i="19" s="1"/>
  <c r="L317" i="19"/>
  <c r="L378" i="19"/>
  <c r="S303" i="3"/>
  <c r="K302" i="19" s="1"/>
  <c r="L302" i="19"/>
  <c r="S288" i="3"/>
  <c r="K287" i="19" s="1"/>
  <c r="L287" i="19"/>
  <c r="J127" i="19"/>
  <c r="L24" i="19"/>
  <c r="S25" i="3"/>
  <c r="K24" i="19" s="1"/>
  <c r="L364" i="19"/>
  <c r="S366" i="3"/>
  <c r="K364" i="19" s="1"/>
  <c r="J254" i="19"/>
  <c r="J315" i="19"/>
  <c r="J231" i="19"/>
  <c r="J105" i="19"/>
  <c r="L220" i="19"/>
  <c r="S221" i="3"/>
  <c r="K220" i="19" s="1"/>
  <c r="S168" i="3"/>
  <c r="K167" i="19" s="1"/>
  <c r="L167" i="19"/>
  <c r="S15" i="3"/>
  <c r="K14" i="19" s="1"/>
  <c r="L14" i="19"/>
  <c r="L183" i="19"/>
  <c r="K183" i="19"/>
  <c r="L273" i="19"/>
  <c r="S274" i="3"/>
  <c r="K273" i="19" s="1"/>
  <c r="S276" i="3"/>
  <c r="K275" i="19" s="1"/>
  <c r="L275" i="19"/>
  <c r="J165" i="19"/>
  <c r="L414" i="19"/>
  <c r="S50" i="3"/>
  <c r="K49" i="19" s="1"/>
  <c r="L49" i="19"/>
  <c r="L261" i="19"/>
  <c r="S262" i="3"/>
  <c r="K261" i="19" s="1"/>
  <c r="J203" i="19"/>
  <c r="L420" i="19"/>
  <c r="S422" i="3"/>
  <c r="K420" i="19" s="1"/>
  <c r="K148" i="19"/>
  <c r="L148" i="19"/>
  <c r="K149" i="19"/>
  <c r="L149" i="19"/>
  <c r="S30" i="3"/>
  <c r="K29" i="19" s="1"/>
  <c r="L29" i="19"/>
  <c r="J157" i="19"/>
  <c r="L397" i="19"/>
  <c r="S399" i="3"/>
  <c r="K397" i="19" s="1"/>
  <c r="L270" i="19"/>
  <c r="K270" i="19"/>
  <c r="L155" i="19"/>
  <c r="K155" i="19"/>
  <c r="L239" i="19"/>
  <c r="K239" i="19"/>
  <c r="L222" i="19"/>
  <c r="S223" i="3"/>
  <c r="K222" i="19" s="1"/>
  <c r="J150" i="19"/>
  <c r="J404" i="19"/>
  <c r="S415" i="3"/>
  <c r="K413" i="19" s="1"/>
  <c r="L413" i="19"/>
  <c r="S20" i="3"/>
  <c r="K19" i="19" s="1"/>
  <c r="L19" i="19"/>
  <c r="L59" i="19"/>
  <c r="S60" i="3"/>
  <c r="K59" i="19" s="1"/>
  <c r="S241" i="3"/>
  <c r="K240" i="19" s="1"/>
  <c r="L240" i="19"/>
  <c r="L128" i="19"/>
  <c r="S129" i="3"/>
  <c r="K128" i="19" s="1"/>
  <c r="L48" i="19"/>
  <c r="S49" i="3"/>
  <c r="K48" i="19" s="1"/>
  <c r="S120" i="3"/>
  <c r="K119" i="19" s="1"/>
  <c r="L119" i="19"/>
  <c r="L423" i="19"/>
  <c r="S425" i="3"/>
  <c r="K423" i="19" s="1"/>
  <c r="L278" i="19"/>
  <c r="S279" i="3"/>
  <c r="K278" i="19" s="1"/>
  <c r="S277" i="3"/>
  <c r="K276" i="19" s="1"/>
  <c r="L276" i="19"/>
  <c r="J177" i="19"/>
  <c r="L421" i="19"/>
  <c r="S423" i="3"/>
  <c r="K421" i="19" s="1"/>
  <c r="L419" i="19"/>
  <c r="S421" i="3"/>
  <c r="K419" i="19" s="1"/>
  <c r="L147" i="19"/>
  <c r="S148" i="3"/>
  <c r="K147" i="19" s="1"/>
  <c r="K146" i="19"/>
  <c r="L146" i="19"/>
  <c r="L79" i="19"/>
  <c r="S80" i="3"/>
  <c r="K79" i="19" s="1"/>
  <c r="L391" i="19"/>
  <c r="S393" i="3"/>
  <c r="K391" i="19" s="1"/>
  <c r="K72" i="19"/>
  <c r="L72" i="19"/>
  <c r="K154" i="19"/>
  <c r="L154" i="19"/>
  <c r="L54" i="19"/>
  <c r="S55" i="3"/>
  <c r="K54" i="19" s="1"/>
  <c r="S177" i="3"/>
  <c r="K176" i="19" s="1"/>
  <c r="L176" i="19"/>
  <c r="K238" i="19"/>
  <c r="L238" i="19"/>
  <c r="L237" i="19"/>
  <c r="S238" i="3"/>
  <c r="K237" i="19" s="1"/>
  <c r="K184" i="19"/>
  <c r="L184" i="19"/>
  <c r="S275" i="3"/>
  <c r="K274" i="19" s="1"/>
  <c r="L274" i="19"/>
  <c r="L245" i="19"/>
  <c r="S246" i="3"/>
  <c r="K245" i="19" s="1"/>
  <c r="L406" i="19"/>
  <c r="S408" i="3"/>
  <c r="K406" i="19" s="1"/>
  <c r="S81" i="3"/>
  <c r="K80" i="19" s="1"/>
  <c r="L80" i="19"/>
  <c r="S114" i="3"/>
  <c r="K113" i="19" s="1"/>
  <c r="L113" i="19"/>
  <c r="S228" i="3"/>
  <c r="K227" i="19" s="1"/>
  <c r="L227" i="19"/>
  <c r="L415" i="19"/>
  <c r="S92" i="3"/>
  <c r="K91" i="19" s="1"/>
  <c r="L91" i="19"/>
  <c r="L433" i="19"/>
  <c r="L432" i="19"/>
  <c r="L242" i="19"/>
  <c r="S170" i="3"/>
  <c r="K169" i="19" s="1"/>
  <c r="L169" i="19"/>
  <c r="K71" i="19"/>
  <c r="L71" i="19"/>
  <c r="S413" i="3"/>
  <c r="K411" i="19" s="1"/>
  <c r="L411" i="19"/>
  <c r="S426" i="3"/>
  <c r="K424" i="19" s="1"/>
  <c r="L424" i="19"/>
  <c r="J428" i="19"/>
  <c r="S395" i="3"/>
  <c r="K393" i="19" s="1"/>
  <c r="L393" i="19"/>
  <c r="S35" i="3"/>
  <c r="K34" i="19" s="1"/>
  <c r="L34" i="19"/>
  <c r="L132" i="19"/>
  <c r="K132" i="19"/>
  <c r="L30" i="19"/>
  <c r="S31" i="3"/>
  <c r="K30" i="19" s="1"/>
  <c r="S85" i="3"/>
  <c r="K84" i="19" s="1"/>
  <c r="L84" i="19"/>
  <c r="S256" i="3"/>
  <c r="K255" i="19" s="1"/>
  <c r="L255" i="19"/>
  <c r="L213" i="19"/>
  <c r="S214" i="3"/>
  <c r="K213" i="19" s="1"/>
  <c r="J92" i="19"/>
  <c r="L103" i="19"/>
  <c r="S104" i="3"/>
  <c r="K103" i="19" s="1"/>
  <c r="L102" i="19"/>
  <c r="S103" i="3"/>
  <c r="K102" i="19" s="1"/>
  <c r="L12" i="19"/>
  <c r="S13" i="3"/>
  <c r="K12" i="19" s="1"/>
  <c r="L74" i="19"/>
  <c r="K74" i="19"/>
  <c r="S162" i="3"/>
  <c r="K161" i="19" s="1"/>
  <c r="L161" i="19"/>
  <c r="S154" i="3"/>
  <c r="K153" i="19" s="1"/>
  <c r="L153" i="19"/>
  <c r="S218" i="3"/>
  <c r="K217" i="19" s="1"/>
  <c r="L217" i="19"/>
  <c r="J111" i="19"/>
  <c r="L182" i="19"/>
  <c r="S183" i="3"/>
  <c r="K182" i="19" s="1"/>
  <c r="J234" i="19"/>
  <c r="J416" i="19"/>
  <c r="L431" i="19"/>
  <c r="S433" i="3"/>
  <c r="K431" i="19" s="1"/>
  <c r="L178" i="19"/>
  <c r="S179" i="3"/>
  <c r="K178" i="19" s="1"/>
  <c r="L241" i="19"/>
  <c r="L50" i="19"/>
  <c r="S51" i="3"/>
  <c r="K50" i="19" s="1"/>
  <c r="K70" i="19"/>
  <c r="L70" i="19"/>
  <c r="L277" i="19"/>
  <c r="S278" i="3"/>
  <c r="K277" i="19" s="1"/>
  <c r="L265" i="19"/>
  <c r="S266" i="3"/>
  <c r="K265" i="19" s="1"/>
  <c r="S53" i="3"/>
  <c r="K52" i="19" s="1"/>
  <c r="L52" i="19"/>
  <c r="K134" i="19"/>
  <c r="L134" i="19"/>
  <c r="L36" i="19"/>
  <c r="S37" i="3"/>
  <c r="K36" i="19" s="1"/>
  <c r="J179" i="19"/>
  <c r="S272" i="3"/>
  <c r="K271" i="19" s="1"/>
  <c r="L271" i="19"/>
  <c r="L108" i="19"/>
  <c r="S109" i="3"/>
  <c r="K108" i="19" s="1"/>
  <c r="L73" i="19"/>
  <c r="K73" i="19"/>
  <c r="L175" i="19"/>
  <c r="S176" i="3"/>
  <c r="K175" i="19" s="1"/>
  <c r="AP139" i="3"/>
  <c r="AR139" i="3" s="1"/>
  <c r="Q452" i="3"/>
  <c r="Q453" i="3"/>
  <c r="S331" i="3"/>
  <c r="K329" i="19" s="1"/>
  <c r="L329" i="19"/>
  <c r="K140" i="19"/>
  <c r="L140" i="19"/>
  <c r="S268" i="3"/>
  <c r="K267" i="19" s="1"/>
  <c r="L267" i="19"/>
  <c r="L53" i="19"/>
  <c r="S54" i="3"/>
  <c r="K53" i="19" s="1"/>
  <c r="K131" i="19"/>
  <c r="L131" i="19"/>
  <c r="L207" i="19"/>
  <c r="S208" i="3"/>
  <c r="K207" i="19" s="1"/>
  <c r="J279" i="19"/>
  <c r="L46" i="19"/>
  <c r="S428" i="3"/>
  <c r="K426" i="19" s="1"/>
  <c r="L426" i="19"/>
  <c r="L62" i="19"/>
  <c r="K62" i="19"/>
  <c r="S357" i="3"/>
  <c r="J355" i="19"/>
  <c r="Q455" i="3"/>
  <c r="I84" i="20"/>
  <c r="L158" i="19"/>
  <c r="S159" i="3"/>
  <c r="K158" i="19" s="1"/>
  <c r="K65" i="19"/>
  <c r="L65" i="19"/>
  <c r="J168" i="19"/>
  <c r="L201" i="19"/>
  <c r="K200" i="19"/>
  <c r="L200" i="19"/>
  <c r="L187" i="19"/>
  <c r="K187" i="19"/>
  <c r="S340" i="3"/>
  <c r="K338" i="19" s="1"/>
  <c r="L338" i="19"/>
  <c r="J75" i="19"/>
  <c r="S113" i="3"/>
  <c r="K112" i="19" s="1"/>
  <c r="L112" i="19"/>
  <c r="L130" i="19"/>
  <c r="K130" i="19"/>
  <c r="L358" i="19"/>
  <c r="S360" i="3"/>
  <c r="K358" i="19" s="1"/>
  <c r="K61" i="19"/>
  <c r="L61" i="19"/>
  <c r="J170" i="19"/>
  <c r="J107" i="19"/>
  <c r="K136" i="19"/>
  <c r="L136" i="19"/>
  <c r="K186" i="19"/>
  <c r="L186" i="19"/>
  <c r="L314" i="19"/>
  <c r="S316" i="3"/>
  <c r="K314" i="19" s="1"/>
  <c r="Q447" i="3"/>
  <c r="Q444" i="3"/>
  <c r="L139" i="19"/>
  <c r="K139" i="19"/>
  <c r="S95" i="3"/>
  <c r="K94" i="19" s="1"/>
  <c r="L94" i="19"/>
  <c r="S226" i="3"/>
  <c r="K225" i="19" s="1"/>
  <c r="L225" i="19"/>
  <c r="L268" i="19"/>
  <c r="L208" i="19"/>
  <c r="S209" i="3"/>
  <c r="K208" i="19" s="1"/>
  <c r="S301" i="3"/>
  <c r="K300" i="19" s="1"/>
  <c r="L300" i="19"/>
  <c r="J197" i="19"/>
  <c r="L45" i="19"/>
  <c r="S46" i="3"/>
  <c r="K45" i="19" s="1"/>
  <c r="L360" i="19"/>
  <c r="S362" i="3"/>
  <c r="K360" i="19" s="1"/>
  <c r="K60" i="19"/>
  <c r="L60" i="19"/>
  <c r="S126" i="3"/>
  <c r="K125" i="19" s="1"/>
  <c r="L125" i="19"/>
  <c r="L135" i="19"/>
  <c r="S136" i="3"/>
  <c r="K135" i="19" s="1"/>
  <c r="S94" i="3"/>
  <c r="K93" i="19" s="1"/>
  <c r="L93" i="19"/>
  <c r="K64" i="19"/>
  <c r="L64" i="19"/>
  <c r="J188" i="19"/>
  <c r="S325" i="3"/>
  <c r="K323" i="19" s="1"/>
  <c r="L323" i="19"/>
  <c r="S337" i="3"/>
  <c r="K335" i="19" s="1"/>
  <c r="L335" i="19"/>
  <c r="J173" i="19"/>
  <c r="K217" i="20"/>
  <c r="AQ218" i="3"/>
  <c r="J217" i="20" s="1"/>
  <c r="Q446" i="3"/>
  <c r="Q443" i="3"/>
  <c r="S392" i="3"/>
  <c r="K390" i="19" s="1"/>
  <c r="L390" i="19"/>
  <c r="S173" i="3"/>
  <c r="K172" i="19" s="1"/>
  <c r="L172" i="19"/>
  <c r="S139" i="3"/>
  <c r="K138" i="19" s="1"/>
  <c r="L138" i="19"/>
  <c r="L269" i="19"/>
  <c r="L129" i="19"/>
  <c r="K129" i="19"/>
  <c r="J264" i="19"/>
  <c r="L47" i="19"/>
  <c r="S97" i="3"/>
  <c r="K96" i="19" s="1"/>
  <c r="L96" i="19"/>
  <c r="L425" i="19"/>
  <c r="S427" i="3"/>
  <c r="K425" i="19" s="1"/>
  <c r="S429" i="3"/>
  <c r="K427" i="19" s="1"/>
  <c r="L427" i="19"/>
  <c r="L359" i="19"/>
  <c r="S361" i="3"/>
  <c r="K359" i="19" s="1"/>
  <c r="S22" i="3"/>
  <c r="K21" i="19" s="1"/>
  <c r="L21" i="19"/>
  <c r="S252" i="3"/>
  <c r="K251" i="19" s="1"/>
  <c r="L251" i="19"/>
  <c r="S165" i="3"/>
  <c r="K164" i="19" s="1"/>
  <c r="L164" i="19"/>
  <c r="K137" i="19"/>
  <c r="L137" i="19"/>
  <c r="S33" i="3"/>
  <c r="L32" i="19"/>
  <c r="S400" i="3"/>
  <c r="K398" i="19" s="1"/>
  <c r="L398" i="19"/>
  <c r="K63" i="19"/>
  <c r="L63" i="19"/>
  <c r="L202" i="19"/>
  <c r="S186" i="3"/>
  <c r="K185" i="19" s="1"/>
  <c r="L185" i="19"/>
  <c r="S88" i="3"/>
  <c r="K87" i="19" s="1"/>
  <c r="L87" i="19"/>
  <c r="S320" i="3"/>
  <c r="L318" i="19"/>
  <c r="K120" i="20"/>
  <c r="AQ121" i="3"/>
  <c r="J120" i="20" s="1"/>
  <c r="AQ132" i="3"/>
  <c r="J131" i="20" s="1"/>
  <c r="K119" i="20"/>
  <c r="AQ120" i="3"/>
  <c r="J119" i="20" s="1"/>
  <c r="AQ113" i="3"/>
  <c r="J112" i="20" s="1"/>
  <c r="K112" i="20"/>
  <c r="AQ95" i="3"/>
  <c r="J94" i="20" s="1"/>
  <c r="K94" i="20"/>
  <c r="AQ83" i="3"/>
  <c r="J82" i="20" s="1"/>
  <c r="K82" i="20"/>
  <c r="AQ79" i="3"/>
  <c r="J78" i="20" s="1"/>
  <c r="K78" i="20"/>
  <c r="AQ110" i="3"/>
  <c r="J109" i="20" s="1"/>
  <c r="K103" i="20"/>
  <c r="AQ104" i="3"/>
  <c r="J103" i="20" s="1"/>
  <c r="AQ91" i="3"/>
  <c r="J90" i="20" s="1"/>
  <c r="K90" i="20"/>
  <c r="K125" i="20"/>
  <c r="AQ126" i="3"/>
  <c r="J125" i="20" s="1"/>
  <c r="K211" i="20"/>
  <c r="AQ212" i="3"/>
  <c r="J211" i="20" s="1"/>
  <c r="K212" i="20"/>
  <c r="AQ213" i="3"/>
  <c r="J212" i="20" s="1"/>
  <c r="AL231" i="3"/>
  <c r="AO231" i="3" s="1"/>
  <c r="AS231" i="3"/>
  <c r="L230" i="20" s="1"/>
  <c r="AI239" i="3"/>
  <c r="AL239" i="3" s="1"/>
  <c r="AO239" i="3" s="1"/>
  <c r="AH238" i="3"/>
  <c r="AQ191" i="3"/>
  <c r="J190" i="20" s="1"/>
  <c r="AQ190" i="3"/>
  <c r="J189" i="20" s="1"/>
  <c r="I188" i="20"/>
  <c r="I169" i="20"/>
  <c r="I168" i="20"/>
  <c r="AL415" i="3"/>
  <c r="AO415" i="3" s="1"/>
  <c r="K171" i="20"/>
  <c r="AQ172" i="3"/>
  <c r="J171" i="20" s="1"/>
  <c r="AI145" i="3"/>
  <c r="AH442" i="3"/>
  <c r="AQ193" i="3"/>
  <c r="J192" i="20" s="1"/>
  <c r="K192" i="20"/>
  <c r="K117" i="20"/>
  <c r="AQ118" i="3"/>
  <c r="J117" i="20" s="1"/>
  <c r="AQ97" i="3"/>
  <c r="J96" i="20" s="1"/>
  <c r="K96" i="20"/>
  <c r="K100" i="20"/>
  <c r="AQ101" i="3"/>
  <c r="J100" i="20" s="1"/>
  <c r="K204" i="20"/>
  <c r="AQ205" i="3"/>
  <c r="J204" i="20" s="1"/>
  <c r="K205" i="20"/>
  <c r="AQ206" i="3"/>
  <c r="J205" i="20" s="1"/>
  <c r="AQ194" i="3"/>
  <c r="J193" i="20" s="1"/>
  <c r="K193" i="20"/>
  <c r="K127" i="20"/>
  <c r="AQ128" i="3"/>
  <c r="J127" i="20" s="1"/>
  <c r="AL76" i="3"/>
  <c r="AO76" i="3" s="1"/>
  <c r="AS49" i="3"/>
  <c r="L48" i="20" s="1"/>
  <c r="AQ17" i="3"/>
  <c r="J16" i="20" s="1"/>
  <c r="K16" i="20"/>
  <c r="K20" i="20"/>
  <c r="AQ21" i="3"/>
  <c r="J20" i="20" s="1"/>
  <c r="K37" i="20"/>
  <c r="AQ38" i="3"/>
  <c r="J37" i="20" s="1"/>
  <c r="AQ22" i="3"/>
  <c r="J21" i="20" s="1"/>
  <c r="K21" i="20"/>
  <c r="AQ34" i="3"/>
  <c r="J33" i="20" s="1"/>
  <c r="K33" i="20"/>
  <c r="B8" i="20"/>
  <c r="B9" i="20"/>
  <c r="K31" i="20"/>
  <c r="AQ32" i="3"/>
  <c r="J31" i="20" s="1"/>
  <c r="AQ16" i="3"/>
  <c r="J15" i="20" s="1"/>
  <c r="K15" i="20"/>
  <c r="AQ28" i="3"/>
  <c r="J27" i="20" s="1"/>
  <c r="K27" i="20"/>
  <c r="AS40" i="3"/>
  <c r="L39" i="20" s="1"/>
  <c r="AO40" i="3"/>
  <c r="AP40" i="3" s="1"/>
  <c r="AR40" i="3" s="1"/>
  <c r="AQ40" i="3" s="1"/>
  <c r="AQ11" i="3"/>
  <c r="J10" i="20" s="1"/>
  <c r="K10" i="20"/>
  <c r="AQ57" i="3"/>
  <c r="J56" i="20" s="1"/>
  <c r="K56" i="20"/>
  <c r="K19" i="20"/>
  <c r="AQ20" i="3"/>
  <c r="J19" i="20" s="1"/>
  <c r="K23" i="20"/>
  <c r="AQ24" i="3"/>
  <c r="J23" i="20" s="1"/>
  <c r="K38" i="20"/>
  <c r="AQ39" i="3"/>
  <c r="J38" i="20" s="1"/>
  <c r="AQ53" i="3"/>
  <c r="J52" i="20" s="1"/>
  <c r="K52" i="20"/>
  <c r="AQ54" i="3"/>
  <c r="J53" i="20" s="1"/>
  <c r="K53" i="20"/>
  <c r="AQ37" i="3"/>
  <c r="J36" i="20" s="1"/>
  <c r="K36" i="20"/>
  <c r="AQ52" i="3"/>
  <c r="J51" i="20" s="1"/>
  <c r="K51" i="20"/>
  <c r="AQ66" i="3"/>
  <c r="J65" i="20" s="1"/>
  <c r="K65" i="20"/>
  <c r="K55" i="20"/>
  <c r="AQ56" i="3"/>
  <c r="J55" i="20" s="1"/>
  <c r="AQ342" i="3"/>
  <c r="J340" i="20" s="1"/>
  <c r="AQ286" i="3"/>
  <c r="J285" i="20" s="1"/>
  <c r="K285" i="20"/>
  <c r="K317" i="20"/>
  <c r="AQ319" i="3"/>
  <c r="J317" i="20" s="1"/>
  <c r="AQ291" i="3"/>
  <c r="J290" i="20" s="1"/>
  <c r="K290" i="20"/>
  <c r="K297" i="20"/>
  <c r="AQ298" i="3"/>
  <c r="J297" i="20" s="1"/>
  <c r="AQ348" i="3"/>
  <c r="J346" i="20" s="1"/>
  <c r="K346" i="20"/>
  <c r="AQ345" i="3"/>
  <c r="J343" i="20" s="1"/>
  <c r="K343" i="20"/>
  <c r="AQ318" i="3"/>
  <c r="J316" i="20" s="1"/>
  <c r="K316" i="20"/>
  <c r="AQ334" i="3"/>
  <c r="J332" i="20" s="1"/>
  <c r="K332" i="20"/>
  <c r="K336" i="20"/>
  <c r="AQ338" i="3"/>
  <c r="J336" i="20" s="1"/>
  <c r="AQ311" i="3"/>
  <c r="J310" i="20" s="1"/>
  <c r="K310" i="20"/>
  <c r="K292" i="20"/>
  <c r="AQ293" i="3"/>
  <c r="J292" i="20" s="1"/>
  <c r="AQ349" i="3"/>
  <c r="J347" i="20" s="1"/>
  <c r="K347" i="20"/>
  <c r="K324" i="20"/>
  <c r="AQ326" i="3"/>
  <c r="J324" i="20" s="1"/>
  <c r="K287" i="20"/>
  <c r="AQ288" i="3"/>
  <c r="J287" i="20" s="1"/>
  <c r="K331" i="20"/>
  <c r="AQ333" i="3"/>
  <c r="J331" i="20" s="1"/>
  <c r="AQ316" i="3"/>
  <c r="J314" i="20" s="1"/>
  <c r="K314" i="20"/>
  <c r="AQ301" i="3"/>
  <c r="J300" i="20" s="1"/>
  <c r="K300" i="20"/>
  <c r="AQ303" i="3"/>
  <c r="J302" i="20" s="1"/>
  <c r="K302" i="20"/>
  <c r="AQ296" i="3"/>
  <c r="J295" i="20" s="1"/>
  <c r="K295" i="20"/>
  <c r="AQ315" i="3"/>
  <c r="J313" i="20" s="1"/>
  <c r="K313" i="20"/>
  <c r="AL408" i="3"/>
  <c r="AO408" i="3" s="1"/>
  <c r="AS408" i="3"/>
  <c r="L406" i="20" s="1"/>
  <c r="AH430" i="3"/>
  <c r="AI431" i="3"/>
  <c r="AL431" i="3" s="1"/>
  <c r="AO431" i="3" s="1"/>
  <c r="I431" i="20"/>
  <c r="AQ411" i="3"/>
  <c r="J409" i="20" s="1"/>
  <c r="K409" i="20"/>
  <c r="AQ407" i="3"/>
  <c r="J405" i="20" s="1"/>
  <c r="K405" i="20"/>
  <c r="K411" i="20"/>
  <c r="AQ413" i="3"/>
  <c r="J411" i="20" s="1"/>
  <c r="K398" i="20"/>
  <c r="K400" i="20"/>
  <c r="AQ402" i="3"/>
  <c r="J400" i="20" s="1"/>
  <c r="AQ405" i="3"/>
  <c r="J403" i="20" s="1"/>
  <c r="K403" i="20"/>
  <c r="AQ401" i="3"/>
  <c r="J399" i="20" s="1"/>
  <c r="K399" i="20"/>
  <c r="AQ391" i="3"/>
  <c r="J389" i="20" s="1"/>
  <c r="K389" i="20"/>
  <c r="K404" i="20"/>
  <c r="AQ406" i="3"/>
  <c r="J404" i="20" s="1"/>
  <c r="AQ389" i="3"/>
  <c r="J387" i="20" s="1"/>
  <c r="K387" i="20"/>
  <c r="K390" i="20"/>
  <c r="AQ392" i="3"/>
  <c r="J390" i="20" s="1"/>
  <c r="AQ393" i="3"/>
  <c r="J391" i="20" s="1"/>
  <c r="K391" i="20"/>
  <c r="AH268" i="3"/>
  <c r="AI269" i="3"/>
  <c r="AL269" i="3" s="1"/>
  <c r="AO269" i="3" s="1"/>
  <c r="AS245" i="3"/>
  <c r="L244" i="20" s="1"/>
  <c r="AO245" i="3"/>
  <c r="I252" i="20"/>
  <c r="I279" i="20"/>
  <c r="AH271" i="3"/>
  <c r="AI272" i="3"/>
  <c r="AL272" i="3" s="1"/>
  <c r="AO272" i="3" s="1"/>
  <c r="AL274" i="3"/>
  <c r="AO274" i="3" s="1"/>
  <c r="AS274" i="3"/>
  <c r="L273" i="20" s="1"/>
  <c r="AS277" i="3"/>
  <c r="L276" i="20" s="1"/>
  <c r="AQ264" i="3"/>
  <c r="J263" i="20" s="1"/>
  <c r="K263" i="20"/>
  <c r="K254" i="20"/>
  <c r="AQ255" i="3"/>
  <c r="J254" i="20" s="1"/>
  <c r="AQ265" i="3"/>
  <c r="J264" i="20" s="1"/>
  <c r="K264" i="20"/>
  <c r="K247" i="20"/>
  <c r="AQ248" i="3"/>
  <c r="J247" i="20" s="1"/>
  <c r="AQ263" i="3"/>
  <c r="J262" i="20" s="1"/>
  <c r="K262" i="20"/>
  <c r="K259" i="20"/>
  <c r="AQ252" i="3"/>
  <c r="J251" i="20" s="1"/>
  <c r="K251" i="20"/>
  <c r="AQ267" i="3"/>
  <c r="J266" i="20" s="1"/>
  <c r="K266" i="20"/>
  <c r="K260" i="20"/>
  <c r="K265" i="20"/>
  <c r="AQ266" i="3"/>
  <c r="J265" i="20" s="1"/>
  <c r="AQ257" i="3"/>
  <c r="J256" i="20" s="1"/>
  <c r="K256" i="20"/>
  <c r="K245" i="20"/>
  <c r="AQ246" i="3"/>
  <c r="J245" i="20" s="1"/>
  <c r="AI363" i="3"/>
  <c r="AL363" i="3" s="1"/>
  <c r="AQ223" i="3" l="1"/>
  <c r="J222" i="20" s="1"/>
  <c r="K222" i="20"/>
  <c r="I20" i="20"/>
  <c r="AQ31" i="3"/>
  <c r="J30" i="20" s="1"/>
  <c r="K58" i="20"/>
  <c r="AQ307" i="3"/>
  <c r="J306" i="20" s="1"/>
  <c r="I319" i="20"/>
  <c r="AQ331" i="3"/>
  <c r="J329" i="20" s="1"/>
  <c r="AS133" i="3"/>
  <c r="L132" i="20" s="1"/>
  <c r="AQ321" i="3"/>
  <c r="AH454" i="3"/>
  <c r="AQ295" i="3"/>
  <c r="J294" i="20" s="1"/>
  <c r="AQ290" i="3"/>
  <c r="J289" i="20" s="1"/>
  <c r="AR317" i="3"/>
  <c r="S70" i="3"/>
  <c r="K69" i="19" s="1"/>
  <c r="L69" i="19"/>
  <c r="S145" i="3"/>
  <c r="K144" i="19" s="1"/>
  <c r="K299" i="20"/>
  <c r="AQ327" i="3"/>
  <c r="J325" i="20" s="1"/>
  <c r="I240" i="20"/>
  <c r="I85" i="20"/>
  <c r="I97" i="20"/>
  <c r="K114" i="20"/>
  <c r="K109" i="20"/>
  <c r="AQ388" i="3"/>
  <c r="J386" i="20" s="1"/>
  <c r="K286" i="20"/>
  <c r="K282" i="20"/>
  <c r="I309" i="20"/>
  <c r="I296" i="20"/>
  <c r="K116" i="20"/>
  <c r="K257" i="20"/>
  <c r="AQ258" i="3"/>
  <c r="J257" i="20" s="1"/>
  <c r="I248" i="20"/>
  <c r="K261" i="20"/>
  <c r="AL192" i="3"/>
  <c r="AO192" i="3" s="1"/>
  <c r="AP192" i="3" s="1"/>
  <c r="AR192" i="3" s="1"/>
  <c r="AS192" i="3"/>
  <c r="L191" i="20" s="1"/>
  <c r="AR433" i="3"/>
  <c r="AQ433" i="3" s="1"/>
  <c r="J431" i="20" s="1"/>
  <c r="AR421" i="3"/>
  <c r="K419" i="20" s="1"/>
  <c r="I410" i="20"/>
  <c r="AR412" i="3"/>
  <c r="K393" i="20"/>
  <c r="AQ395" i="3"/>
  <c r="J393" i="20" s="1"/>
  <c r="AQ396" i="3"/>
  <c r="J394" i="20" s="1"/>
  <c r="K394" i="20"/>
  <c r="AS381" i="3"/>
  <c r="L379" i="20" s="1"/>
  <c r="AS154" i="3"/>
  <c r="L153" i="20" s="1"/>
  <c r="I99" i="20"/>
  <c r="AR100" i="3"/>
  <c r="K128" i="20"/>
  <c r="AQ129" i="3"/>
  <c r="J128" i="20" s="1"/>
  <c r="K101" i="20"/>
  <c r="AQ102" i="3"/>
  <c r="J101" i="20" s="1"/>
  <c r="K107" i="20"/>
  <c r="K87" i="20"/>
  <c r="AQ88" i="3"/>
  <c r="J87" i="20" s="1"/>
  <c r="K91" i="20"/>
  <c r="AQ90" i="3"/>
  <c r="J89" i="20" s="1"/>
  <c r="K89" i="20"/>
  <c r="AQ107" i="3"/>
  <c r="J106" i="20" s="1"/>
  <c r="K106" i="20"/>
  <c r="AQ124" i="3"/>
  <c r="J123" i="20" s="1"/>
  <c r="K123" i="20"/>
  <c r="AQ99" i="3"/>
  <c r="J98" i="20" s="1"/>
  <c r="K98" i="20"/>
  <c r="AR103" i="3"/>
  <c r="K95" i="20"/>
  <c r="AR130" i="3"/>
  <c r="AQ122" i="3"/>
  <c r="J121" i="20" s="1"/>
  <c r="AQ106" i="3"/>
  <c r="J105" i="20" s="1"/>
  <c r="K105" i="20"/>
  <c r="AQ84" i="3"/>
  <c r="J83" i="20" s="1"/>
  <c r="K83" i="20"/>
  <c r="AQ111" i="3"/>
  <c r="J110" i="20" s="1"/>
  <c r="AQ114" i="3"/>
  <c r="J113" i="20" s="1"/>
  <c r="K113" i="20"/>
  <c r="K115" i="20"/>
  <c r="AQ116" i="3"/>
  <c r="J115" i="20" s="1"/>
  <c r="AQ82" i="3"/>
  <c r="J81" i="20" s="1"/>
  <c r="K81" i="20"/>
  <c r="AQ105" i="3"/>
  <c r="J104" i="20" s="1"/>
  <c r="K104" i="20"/>
  <c r="K126" i="20"/>
  <c r="AQ127" i="3"/>
  <c r="J126" i="20" s="1"/>
  <c r="K121" i="20"/>
  <c r="AR280" i="3"/>
  <c r="K279" i="20" s="1"/>
  <c r="AR259" i="3"/>
  <c r="K243" i="20"/>
  <c r="AQ244" i="3"/>
  <c r="J243" i="20" s="1"/>
  <c r="I246" i="20"/>
  <c r="AR247" i="3"/>
  <c r="AQ214" i="3"/>
  <c r="J213" i="20" s="1"/>
  <c r="K213" i="20"/>
  <c r="I216" i="20"/>
  <c r="AR217" i="3"/>
  <c r="AQ217" i="3" s="1"/>
  <c r="J216" i="20" s="1"/>
  <c r="I218" i="20"/>
  <c r="AR219" i="3"/>
  <c r="AQ210" i="3"/>
  <c r="J209" i="20" s="1"/>
  <c r="K209" i="20"/>
  <c r="AQ220" i="3"/>
  <c r="J219" i="20" s="1"/>
  <c r="K219" i="20"/>
  <c r="AQ309" i="3"/>
  <c r="J308" i="20" s="1"/>
  <c r="AR189" i="3"/>
  <c r="AR19" i="3"/>
  <c r="AR64" i="3"/>
  <c r="I29" i="20"/>
  <c r="AR30" i="3"/>
  <c r="K29" i="20" s="1"/>
  <c r="AQ26" i="3"/>
  <c r="J25" i="20" s="1"/>
  <c r="K25" i="20"/>
  <c r="AR33" i="3"/>
  <c r="AQ33" i="3" s="1"/>
  <c r="J32" i="20" s="1"/>
  <c r="AR55" i="3"/>
  <c r="I12" i="20"/>
  <c r="AR13" i="3"/>
  <c r="AQ18" i="3"/>
  <c r="J17" i="20" s="1"/>
  <c r="K17" i="20"/>
  <c r="AQ25" i="3"/>
  <c r="J24" i="20" s="1"/>
  <c r="K24" i="20"/>
  <c r="I293" i="20"/>
  <c r="AR294" i="3"/>
  <c r="AQ294" i="3" s="1"/>
  <c r="J293" i="20" s="1"/>
  <c r="AR384" i="3"/>
  <c r="I283" i="20"/>
  <c r="AR284" i="3"/>
  <c r="I345" i="20"/>
  <c r="AR347" i="3"/>
  <c r="I341" i="20"/>
  <c r="AR343" i="3"/>
  <c r="AR339" i="3"/>
  <c r="AQ339" i="3" s="1"/>
  <c r="J337" i="20" s="1"/>
  <c r="AQ109" i="3"/>
  <c r="J108" i="20" s="1"/>
  <c r="K108" i="20"/>
  <c r="AQ94" i="3"/>
  <c r="J93" i="20" s="1"/>
  <c r="K284" i="20"/>
  <c r="AQ285" i="3"/>
  <c r="J284" i="20" s="1"/>
  <c r="AL142" i="3"/>
  <c r="AO142" i="3" s="1"/>
  <c r="AP142" i="3" s="1"/>
  <c r="K333" i="20"/>
  <c r="AL136" i="3"/>
  <c r="AO136" i="3" s="1"/>
  <c r="AP136" i="3" s="1"/>
  <c r="AQ160" i="3"/>
  <c r="J159" i="20" s="1"/>
  <c r="K159" i="20"/>
  <c r="AP133" i="3"/>
  <c r="I132" i="20" s="1"/>
  <c r="AP381" i="3"/>
  <c r="I379" i="20" s="1"/>
  <c r="AP159" i="3"/>
  <c r="AR159" i="3" s="1"/>
  <c r="AP336" i="3"/>
  <c r="AR336" i="3" s="1"/>
  <c r="AP366" i="3"/>
  <c r="AR366" i="3" s="1"/>
  <c r="AP354" i="3"/>
  <c r="I352" i="20" s="1"/>
  <c r="AP232" i="3"/>
  <c r="AP162" i="3"/>
  <c r="AR162" i="3" s="1"/>
  <c r="AP325" i="3"/>
  <c r="AR325" i="3" s="1"/>
  <c r="I289" i="20"/>
  <c r="I159" i="20"/>
  <c r="K176" i="20"/>
  <c r="AQ177" i="3"/>
  <c r="J176" i="20" s="1"/>
  <c r="I396" i="20"/>
  <c r="I58" i="20"/>
  <c r="I282" i="20"/>
  <c r="K181" i="20"/>
  <c r="I397" i="20"/>
  <c r="I261" i="20"/>
  <c r="I9" i="20"/>
  <c r="I21" i="20"/>
  <c r="I304" i="20"/>
  <c r="AP231" i="3"/>
  <c r="AR231" i="3" s="1"/>
  <c r="AP341" i="3"/>
  <c r="AR341" i="3" s="1"/>
  <c r="AP70" i="3"/>
  <c r="AP350" i="3"/>
  <c r="AR350" i="3" s="1"/>
  <c r="AP67" i="3"/>
  <c r="I66" i="20" s="1"/>
  <c r="K208" i="20"/>
  <c r="AQ209" i="3"/>
  <c r="J208" i="20" s="1"/>
  <c r="AQ208" i="3"/>
  <c r="J207" i="20" s="1"/>
  <c r="K207" i="20"/>
  <c r="AQ304" i="3"/>
  <c r="J303" i="20" s="1"/>
  <c r="K303" i="20"/>
  <c r="I181" i="20"/>
  <c r="K218" i="20"/>
  <c r="AQ14" i="3"/>
  <c r="J13" i="20" s="1"/>
  <c r="K13" i="20"/>
  <c r="I386" i="20"/>
  <c r="I308" i="20"/>
  <c r="I306" i="20"/>
  <c r="I398" i="20"/>
  <c r="I53" i="20"/>
  <c r="AP274" i="3"/>
  <c r="I273" i="20" s="1"/>
  <c r="AP76" i="3"/>
  <c r="AP314" i="3"/>
  <c r="I312" i="20" s="1"/>
  <c r="AP323" i="3"/>
  <c r="AR323" i="3" s="1"/>
  <c r="AP183" i="3"/>
  <c r="AR183" i="3" s="1"/>
  <c r="AP424" i="3"/>
  <c r="AR424" i="3" s="1"/>
  <c r="AP46" i="3"/>
  <c r="AR46" i="3" s="1"/>
  <c r="AQ46" i="3" s="1"/>
  <c r="AP204" i="3"/>
  <c r="I203" i="20" s="1"/>
  <c r="K326" i="20"/>
  <c r="AQ328" i="3"/>
  <c r="J326" i="20" s="1"/>
  <c r="I307" i="20"/>
  <c r="I10" i="20"/>
  <c r="I286" i="20"/>
  <c r="I315" i="20"/>
  <c r="AQ175" i="3"/>
  <c r="J174" i="20" s="1"/>
  <c r="K174" i="20"/>
  <c r="K228" i="20"/>
  <c r="AQ229" i="3"/>
  <c r="J228" i="20" s="1"/>
  <c r="AQ344" i="3"/>
  <c r="J342" i="20" s="1"/>
  <c r="I294" i="20"/>
  <c r="I38" i="20"/>
  <c r="I100" i="20"/>
  <c r="I34" i="20"/>
  <c r="I28" i="20"/>
  <c r="K214" i="20"/>
  <c r="AQ215" i="3"/>
  <c r="J214" i="20" s="1"/>
  <c r="AQ230" i="3"/>
  <c r="J229" i="20" s="1"/>
  <c r="K229" i="20"/>
  <c r="AQ27" i="3"/>
  <c r="J26" i="20" s="1"/>
  <c r="K26" i="20"/>
  <c r="AP408" i="3"/>
  <c r="AR408" i="3" s="1"/>
  <c r="AP245" i="3"/>
  <c r="AR245" i="3" s="1"/>
  <c r="AP415" i="3"/>
  <c r="AP360" i="3"/>
  <c r="AP427" i="3"/>
  <c r="AR427" i="3" s="1"/>
  <c r="AP151" i="3"/>
  <c r="AP320" i="3"/>
  <c r="AR320" i="3" s="1"/>
  <c r="AP61" i="3"/>
  <c r="AR61" i="3" s="1"/>
  <c r="K396" i="20"/>
  <c r="AQ398" i="3"/>
  <c r="J396" i="20" s="1"/>
  <c r="K397" i="20"/>
  <c r="AQ399" i="3"/>
  <c r="J397" i="20" s="1"/>
  <c r="K9" i="20"/>
  <c r="K304" i="20"/>
  <c r="K170" i="20"/>
  <c r="AQ171" i="3"/>
  <c r="J170" i="20" s="1"/>
  <c r="I214" i="20"/>
  <c r="I229" i="20"/>
  <c r="I26" i="20"/>
  <c r="S52" i="3"/>
  <c r="K51" i="19" s="1"/>
  <c r="L51" i="19"/>
  <c r="AQ227" i="3"/>
  <c r="J226" i="20" s="1"/>
  <c r="K226" i="20"/>
  <c r="S258" i="3"/>
  <c r="K257" i="19" s="1"/>
  <c r="L257" i="19"/>
  <c r="L98" i="19"/>
  <c r="S99" i="3"/>
  <c r="K98" i="19" s="1"/>
  <c r="S98" i="3"/>
  <c r="K97" i="19" s="1"/>
  <c r="L97" i="19"/>
  <c r="AI420" i="3"/>
  <c r="AL420" i="3" s="1"/>
  <c r="AO420" i="3" s="1"/>
  <c r="AH418" i="3"/>
  <c r="K426" i="20"/>
  <c r="AQ428" i="3"/>
  <c r="J426" i="20" s="1"/>
  <c r="I419" i="20"/>
  <c r="AP277" i="3"/>
  <c r="K131" i="20"/>
  <c r="K307" i="20"/>
  <c r="AQ308" i="3"/>
  <c r="J307" i="20" s="1"/>
  <c r="AP369" i="3"/>
  <c r="AR369" i="3" s="1"/>
  <c r="J282" i="20"/>
  <c r="K67" i="20"/>
  <c r="AS314" i="3"/>
  <c r="L312" i="20" s="1"/>
  <c r="AO351" i="3"/>
  <c r="L379" i="19"/>
  <c r="S381" i="3"/>
  <c r="K379" i="19" s="1"/>
  <c r="K67" i="19"/>
  <c r="L67" i="19"/>
  <c r="I153" i="20"/>
  <c r="S403" i="3"/>
  <c r="K401" i="19" s="1"/>
  <c r="L401" i="19"/>
  <c r="L381" i="19"/>
  <c r="L66" i="19"/>
  <c r="K66" i="19"/>
  <c r="AI237" i="3"/>
  <c r="AL237" i="3" s="1"/>
  <c r="AO237" i="3" s="1"/>
  <c r="AH235" i="3"/>
  <c r="L380" i="19"/>
  <c r="K68" i="19"/>
  <c r="L68" i="19"/>
  <c r="K32" i="20"/>
  <c r="K99" i="20"/>
  <c r="AQ103" i="3"/>
  <c r="J102" i="20" s="1"/>
  <c r="AL198" i="3"/>
  <c r="AO198" i="3" s="1"/>
  <c r="AS61" i="3"/>
  <c r="L60" i="20" s="1"/>
  <c r="K360" i="20"/>
  <c r="AS73" i="3"/>
  <c r="L72" i="20" s="1"/>
  <c r="AL73" i="3"/>
  <c r="AO73" i="3" s="1"/>
  <c r="I69" i="20"/>
  <c r="K54" i="20"/>
  <c r="AQ55" i="3"/>
  <c r="J54" i="20" s="1"/>
  <c r="AO43" i="3"/>
  <c r="AS70" i="3"/>
  <c r="L69" i="20" s="1"/>
  <c r="AS67" i="3"/>
  <c r="L66" i="20" s="1"/>
  <c r="K12" i="20"/>
  <c r="AQ13" i="3"/>
  <c r="J12" i="20" s="1"/>
  <c r="AQ65" i="3"/>
  <c r="J64" i="20" s="1"/>
  <c r="AQ71" i="3"/>
  <c r="J70" i="20" s="1"/>
  <c r="AS372" i="3"/>
  <c r="L370" i="20" s="1"/>
  <c r="AL372" i="3"/>
  <c r="AO372" i="3" s="1"/>
  <c r="K189" i="20"/>
  <c r="AQ429" i="3"/>
  <c r="J427" i="20" s="1"/>
  <c r="I231" i="20"/>
  <c r="AL378" i="3"/>
  <c r="AO378" i="3" s="1"/>
  <c r="AS378" i="3"/>
  <c r="L376" i="20" s="1"/>
  <c r="AI201" i="3"/>
  <c r="K365" i="20"/>
  <c r="AL357" i="3"/>
  <c r="AO357" i="3" s="1"/>
  <c r="AQ355" i="3"/>
  <c r="J353" i="20" s="1"/>
  <c r="K353" i="20"/>
  <c r="AS360" i="3"/>
  <c r="L358" i="20" s="1"/>
  <c r="AL375" i="3"/>
  <c r="AO375" i="3" s="1"/>
  <c r="K233" i="20"/>
  <c r="AQ367" i="3"/>
  <c r="J365" i="20" s="1"/>
  <c r="AS148" i="3"/>
  <c r="L147" i="20" s="1"/>
  <c r="AL148" i="3"/>
  <c r="AO148" i="3" s="1"/>
  <c r="AL195" i="3"/>
  <c r="AO195" i="3" s="1"/>
  <c r="AS195" i="3"/>
  <c r="L194" i="20" s="1"/>
  <c r="I334" i="20"/>
  <c r="I321" i="20"/>
  <c r="AI268" i="3"/>
  <c r="AS268" i="3" s="1"/>
  <c r="L267" i="20" s="1"/>
  <c r="L405" i="19"/>
  <c r="S407" i="3"/>
  <c r="K405" i="19" s="1"/>
  <c r="I138" i="20"/>
  <c r="L369" i="19"/>
  <c r="S371" i="3"/>
  <c r="K369" i="19" s="1"/>
  <c r="L367" i="19"/>
  <c r="S369" i="3"/>
  <c r="K367" i="19" s="1"/>
  <c r="S163" i="3"/>
  <c r="K162" i="19" s="1"/>
  <c r="L162" i="19"/>
  <c r="L351" i="19"/>
  <c r="S370" i="3"/>
  <c r="K368" i="19" s="1"/>
  <c r="L368" i="19"/>
  <c r="L349" i="19"/>
  <c r="S351" i="3"/>
  <c r="K349" i="19" s="1"/>
  <c r="I382" i="20"/>
  <c r="K137" i="20"/>
  <c r="K142" i="20"/>
  <c r="K32" i="19"/>
  <c r="B12" i="19"/>
  <c r="B17" i="19"/>
  <c r="B22" i="19"/>
  <c r="B72" i="19"/>
  <c r="B59" i="19"/>
  <c r="B54" i="19"/>
  <c r="B37" i="19"/>
  <c r="B32" i="19"/>
  <c r="B27" i="19"/>
  <c r="B13" i="19"/>
  <c r="B18" i="19"/>
  <c r="B23" i="19"/>
  <c r="B69" i="19"/>
  <c r="B58" i="19"/>
  <c r="B53" i="19"/>
  <c r="B36" i="19"/>
  <c r="B31" i="19"/>
  <c r="B14" i="19"/>
  <c r="B19" i="19"/>
  <c r="B24" i="19"/>
  <c r="B66" i="19"/>
  <c r="B57" i="19"/>
  <c r="B52" i="19"/>
  <c r="B35" i="19"/>
  <c r="B30" i="19"/>
  <c r="B15" i="19"/>
  <c r="B20" i="19"/>
  <c r="B25" i="19"/>
  <c r="B63" i="19"/>
  <c r="B56" i="19"/>
  <c r="B51" i="19"/>
  <c r="B34" i="19"/>
  <c r="B29" i="19"/>
  <c r="B16" i="19"/>
  <c r="B21" i="19"/>
  <c r="B26" i="19"/>
  <c r="B60" i="19"/>
  <c r="B55" i="19"/>
  <c r="B48" i="19"/>
  <c r="B33" i="19"/>
  <c r="B28" i="19"/>
  <c r="J368" i="20"/>
  <c r="K190" i="20"/>
  <c r="I158" i="20"/>
  <c r="AI186" i="3"/>
  <c r="L310" i="19"/>
  <c r="S311" i="3"/>
  <c r="K310" i="19" s="1"/>
  <c r="S231" i="3"/>
  <c r="K230" i="19" s="1"/>
  <c r="L230" i="19"/>
  <c r="S332" i="3"/>
  <c r="K330" i="19" s="1"/>
  <c r="L330" i="19"/>
  <c r="L233" i="19"/>
  <c r="K233" i="19"/>
  <c r="S128" i="3"/>
  <c r="K127" i="19" s="1"/>
  <c r="L127" i="19"/>
  <c r="J369" i="20"/>
  <c r="S164" i="3"/>
  <c r="K163" i="19" s="1"/>
  <c r="L163" i="19"/>
  <c r="L232" i="19"/>
  <c r="K232" i="19"/>
  <c r="L254" i="19"/>
  <c r="S255" i="3"/>
  <c r="K254" i="19" s="1"/>
  <c r="S111" i="3"/>
  <c r="K110" i="19" s="1"/>
  <c r="L110" i="19"/>
  <c r="S309" i="3"/>
  <c r="K308" i="19" s="1"/>
  <c r="L308" i="19"/>
  <c r="L342" i="19"/>
  <c r="S344" i="3"/>
  <c r="K342" i="19" s="1"/>
  <c r="L105" i="19"/>
  <c r="S106" i="3"/>
  <c r="K105" i="19" s="1"/>
  <c r="L231" i="19"/>
  <c r="S232" i="3"/>
  <c r="K231" i="19" s="1"/>
  <c r="L315" i="19"/>
  <c r="S317" i="3"/>
  <c r="K315" i="19" s="1"/>
  <c r="L412" i="19"/>
  <c r="S414" i="3"/>
  <c r="K412" i="19" s="1"/>
  <c r="AQ63" i="3"/>
  <c r="J62" i="20" s="1"/>
  <c r="S418" i="3"/>
  <c r="K416" i="19" s="1"/>
  <c r="L416" i="19"/>
  <c r="L418" i="19"/>
  <c r="S420" i="3"/>
  <c r="K418" i="19" s="1"/>
  <c r="S235" i="3"/>
  <c r="K234" i="19" s="1"/>
  <c r="L234" i="19"/>
  <c r="L430" i="19"/>
  <c r="L404" i="19"/>
  <c r="S406" i="3"/>
  <c r="K404" i="19" s="1"/>
  <c r="L150" i="19"/>
  <c r="K150" i="19"/>
  <c r="S204" i="3"/>
  <c r="K203" i="19" s="1"/>
  <c r="L203" i="19"/>
  <c r="K235" i="19"/>
  <c r="L235" i="19"/>
  <c r="S112" i="3"/>
  <c r="K111" i="19" s="1"/>
  <c r="L111" i="19"/>
  <c r="S93" i="3"/>
  <c r="K92" i="19" s="1"/>
  <c r="L92" i="19"/>
  <c r="L157" i="19"/>
  <c r="S158" i="3"/>
  <c r="K157" i="19" s="1"/>
  <c r="K205" i="19"/>
  <c r="L205" i="19"/>
  <c r="L165" i="19"/>
  <c r="S166" i="3"/>
  <c r="K165" i="19" s="1"/>
  <c r="L179" i="19"/>
  <c r="S180" i="3"/>
  <c r="K179" i="19" s="1"/>
  <c r="L429" i="19"/>
  <c r="K232" i="20"/>
  <c r="K152" i="19"/>
  <c r="L152" i="19"/>
  <c r="S419" i="3"/>
  <c r="K417" i="19" s="1"/>
  <c r="L417" i="19"/>
  <c r="K236" i="19"/>
  <c r="L236" i="19"/>
  <c r="S430" i="3"/>
  <c r="K428" i="19" s="1"/>
  <c r="L428" i="19"/>
  <c r="S178" i="3"/>
  <c r="K177" i="19" s="1"/>
  <c r="L177" i="19"/>
  <c r="K151" i="19"/>
  <c r="L151" i="19"/>
  <c r="L204" i="19"/>
  <c r="K204" i="19"/>
  <c r="K190" i="19"/>
  <c r="L190" i="19"/>
  <c r="K75" i="19"/>
  <c r="L75" i="19"/>
  <c r="B83" i="19" s="1"/>
  <c r="L77" i="19"/>
  <c r="K77" i="19"/>
  <c r="S169" i="3"/>
  <c r="K168" i="19" s="1"/>
  <c r="L168" i="19"/>
  <c r="L357" i="19"/>
  <c r="S265" i="3"/>
  <c r="K264" i="19" s="1"/>
  <c r="L264" i="19"/>
  <c r="K76" i="19"/>
  <c r="L76" i="19"/>
  <c r="L355" i="19"/>
  <c r="K355" i="19"/>
  <c r="L279" i="19"/>
  <c r="S280" i="3"/>
  <c r="K279" i="19" s="1"/>
  <c r="B42" i="19"/>
  <c r="B39" i="19"/>
  <c r="S174" i="3"/>
  <c r="K173" i="19" s="1"/>
  <c r="L173" i="19"/>
  <c r="K189" i="19"/>
  <c r="L189" i="19"/>
  <c r="K199" i="19"/>
  <c r="L199" i="19"/>
  <c r="S198" i="3"/>
  <c r="K197" i="19" s="1"/>
  <c r="L197" i="19"/>
  <c r="L107" i="19"/>
  <c r="S108" i="3"/>
  <c r="K107" i="19" s="1"/>
  <c r="S281" i="3"/>
  <c r="K280" i="19" s="1"/>
  <c r="L280" i="19"/>
  <c r="B45" i="19"/>
  <c r="B38" i="19"/>
  <c r="S189" i="3"/>
  <c r="K188" i="19" s="1"/>
  <c r="L188" i="19"/>
  <c r="K198" i="19"/>
  <c r="L198" i="19"/>
  <c r="S171" i="3"/>
  <c r="K170" i="19" s="1"/>
  <c r="L170" i="19"/>
  <c r="AQ85" i="3"/>
  <c r="J84" i="20" s="1"/>
  <c r="K84" i="20"/>
  <c r="L356" i="19"/>
  <c r="S282" i="3"/>
  <c r="K281" i="19" s="1"/>
  <c r="L281" i="19"/>
  <c r="K318" i="19"/>
  <c r="K85" i="20"/>
  <c r="AQ86" i="3"/>
  <c r="J85" i="20" s="1"/>
  <c r="K97" i="20"/>
  <c r="AQ98" i="3"/>
  <c r="J97" i="20" s="1"/>
  <c r="K140" i="20"/>
  <c r="AQ141" i="3"/>
  <c r="J140" i="20" s="1"/>
  <c r="K139" i="20"/>
  <c r="AQ140" i="3"/>
  <c r="J139" i="20" s="1"/>
  <c r="AQ131" i="3"/>
  <c r="J130" i="20" s="1"/>
  <c r="K130" i="20"/>
  <c r="AQ130" i="3"/>
  <c r="J129" i="20" s="1"/>
  <c r="K129" i="20"/>
  <c r="AQ144" i="3"/>
  <c r="J143" i="20" s="1"/>
  <c r="K143" i="20"/>
  <c r="AQ152" i="3"/>
  <c r="J151" i="20" s="1"/>
  <c r="K151" i="20"/>
  <c r="K152" i="20"/>
  <c r="AQ153" i="3"/>
  <c r="J152" i="20" s="1"/>
  <c r="I230" i="20"/>
  <c r="AI238" i="3"/>
  <c r="AH448" i="3"/>
  <c r="K309" i="20"/>
  <c r="AQ310" i="3"/>
  <c r="J309" i="20" s="1"/>
  <c r="K169" i="20"/>
  <c r="AQ170" i="3"/>
  <c r="J169" i="20" s="1"/>
  <c r="K168" i="20"/>
  <c r="AQ169" i="3"/>
  <c r="J168" i="20" s="1"/>
  <c r="K242" i="20"/>
  <c r="K155" i="20"/>
  <c r="AQ156" i="3"/>
  <c r="J155" i="20" s="1"/>
  <c r="AQ62" i="3"/>
  <c r="J61" i="20" s="1"/>
  <c r="K61" i="20"/>
  <c r="K240" i="20"/>
  <c r="AQ241" i="3"/>
  <c r="J240" i="20" s="1"/>
  <c r="K241" i="20"/>
  <c r="AQ154" i="3"/>
  <c r="J153" i="20" s="1"/>
  <c r="K153" i="20"/>
  <c r="AQ155" i="3"/>
  <c r="J154" i="20" s="1"/>
  <c r="K154" i="20"/>
  <c r="AS145" i="3"/>
  <c r="L144" i="20" s="1"/>
  <c r="AL145" i="3"/>
  <c r="AO145" i="3" s="1"/>
  <c r="I75" i="20"/>
  <c r="I48" i="20"/>
  <c r="B10" i="20"/>
  <c r="I39" i="20"/>
  <c r="B14" i="20"/>
  <c r="B13" i="20"/>
  <c r="B15" i="20"/>
  <c r="B16" i="20"/>
  <c r="B12" i="20"/>
  <c r="B17" i="20"/>
  <c r="B11" i="20"/>
  <c r="AI430" i="3"/>
  <c r="AH457" i="3"/>
  <c r="K420" i="20"/>
  <c r="K432" i="20"/>
  <c r="K433" i="20"/>
  <c r="K421" i="20"/>
  <c r="AQ281" i="3"/>
  <c r="J280" i="20" s="1"/>
  <c r="K280" i="20"/>
  <c r="K248" i="20"/>
  <c r="AQ249" i="3"/>
  <c r="J248" i="20" s="1"/>
  <c r="AI271" i="3"/>
  <c r="AH451" i="3"/>
  <c r="AQ253" i="3"/>
  <c r="J252" i="20" s="1"/>
  <c r="K252" i="20"/>
  <c r="AQ282" i="3"/>
  <c r="J281" i="20" s="1"/>
  <c r="K281" i="20"/>
  <c r="AS363" i="3"/>
  <c r="AO363" i="3"/>
  <c r="AP363" i="3" s="1"/>
  <c r="J319" i="20"/>
  <c r="K216" i="20" l="1"/>
  <c r="K293" i="20"/>
  <c r="I339" i="20"/>
  <c r="AQ317" i="3"/>
  <c r="J315" i="20" s="1"/>
  <c r="K315" i="20"/>
  <c r="K431" i="20"/>
  <c r="I45" i="20"/>
  <c r="AQ421" i="3"/>
  <c r="J419" i="20" s="1"/>
  <c r="I191" i="20"/>
  <c r="I182" i="20"/>
  <c r="I425" i="20"/>
  <c r="I406" i="20"/>
  <c r="I422" i="20"/>
  <c r="I364" i="20"/>
  <c r="I244" i="20"/>
  <c r="AQ280" i="3"/>
  <c r="J279" i="20" s="1"/>
  <c r="I161" i="20"/>
  <c r="K191" i="20"/>
  <c r="AQ192" i="3"/>
  <c r="J191" i="20" s="1"/>
  <c r="AQ412" i="3"/>
  <c r="J410" i="20" s="1"/>
  <c r="K410" i="20"/>
  <c r="I323" i="20"/>
  <c r="I348" i="20"/>
  <c r="I318" i="20"/>
  <c r="AR142" i="3"/>
  <c r="AR136" i="3"/>
  <c r="AR133" i="3"/>
  <c r="K102" i="20"/>
  <c r="AQ100" i="3"/>
  <c r="J99" i="20" s="1"/>
  <c r="I135" i="20"/>
  <c r="AR274" i="3"/>
  <c r="K258" i="20"/>
  <c r="AQ259" i="3"/>
  <c r="J258" i="20" s="1"/>
  <c r="AR277" i="3"/>
  <c r="AQ277" i="3" s="1"/>
  <c r="J276" i="20" s="1"/>
  <c r="AQ247" i="3"/>
  <c r="J246" i="20" s="1"/>
  <c r="K246" i="20"/>
  <c r="AQ219" i="3"/>
  <c r="J218" i="20" s="1"/>
  <c r="AR232" i="3"/>
  <c r="AQ343" i="3"/>
  <c r="J341" i="20" s="1"/>
  <c r="AR204" i="3"/>
  <c r="AQ204" i="3" s="1"/>
  <c r="J203" i="20" s="1"/>
  <c r="K188" i="20"/>
  <c r="AQ189" i="3"/>
  <c r="J188" i="20" s="1"/>
  <c r="AR76" i="3"/>
  <c r="AR70" i="3"/>
  <c r="AQ70" i="3" s="1"/>
  <c r="J69" i="20" s="1"/>
  <c r="AQ30" i="3"/>
  <c r="J29" i="20" s="1"/>
  <c r="AQ19" i="3"/>
  <c r="J18" i="20" s="1"/>
  <c r="K18" i="20"/>
  <c r="AR67" i="3"/>
  <c r="AQ347" i="3"/>
  <c r="J345" i="20" s="1"/>
  <c r="K345" i="20"/>
  <c r="AR360" i="3"/>
  <c r="K358" i="20" s="1"/>
  <c r="AR314" i="3"/>
  <c r="K312" i="20" s="1"/>
  <c r="K341" i="20"/>
  <c r="AR354" i="3"/>
  <c r="AQ354" i="3" s="1"/>
  <c r="J352" i="20" s="1"/>
  <c r="AR381" i="3"/>
  <c r="AQ284" i="3"/>
  <c r="J283" i="20" s="1"/>
  <c r="K283" i="20"/>
  <c r="K337" i="20"/>
  <c r="AR151" i="3"/>
  <c r="K150" i="20" s="1"/>
  <c r="I150" i="20"/>
  <c r="AR415" i="3"/>
  <c r="I413" i="20"/>
  <c r="AQ369" i="3"/>
  <c r="J367" i="20" s="1"/>
  <c r="I358" i="20"/>
  <c r="I141" i="20"/>
  <c r="AP372" i="3"/>
  <c r="AR372" i="3" s="1"/>
  <c r="I60" i="20"/>
  <c r="AP195" i="3"/>
  <c r="AR195" i="3" s="1"/>
  <c r="AQ195" i="3" s="1"/>
  <c r="AP73" i="3"/>
  <c r="AP198" i="3"/>
  <c r="K63" i="20"/>
  <c r="AQ64" i="3"/>
  <c r="J63" i="20" s="1"/>
  <c r="AP148" i="3"/>
  <c r="AR148" i="3" s="1"/>
  <c r="AP378" i="3"/>
  <c r="K296" i="20"/>
  <c r="AQ297" i="3"/>
  <c r="J296" i="20" s="1"/>
  <c r="AP145" i="3"/>
  <c r="I144" i="20" s="1"/>
  <c r="K60" i="20"/>
  <c r="AQ427" i="3"/>
  <c r="J425" i="20" s="1"/>
  <c r="K425" i="20"/>
  <c r="B340" i="19"/>
  <c r="I276" i="20"/>
  <c r="AI418" i="3"/>
  <c r="K427" i="20"/>
  <c r="AQ139" i="3"/>
  <c r="J138" i="20" s="1"/>
  <c r="AQ68" i="3"/>
  <c r="J67" i="20" s="1"/>
  <c r="K62" i="20"/>
  <c r="AQ74" i="3"/>
  <c r="J73" i="20" s="1"/>
  <c r="AQ61" i="3"/>
  <c r="J60" i="20" s="1"/>
  <c r="AP43" i="3"/>
  <c r="AR43" i="3" s="1"/>
  <c r="AQ138" i="3"/>
  <c r="J137" i="20" s="1"/>
  <c r="AL268" i="3"/>
  <c r="AO268" i="3" s="1"/>
  <c r="AP375" i="3"/>
  <c r="I373" i="20" s="1"/>
  <c r="AP351" i="3"/>
  <c r="AP357" i="3"/>
  <c r="AQ361" i="3"/>
  <c r="J359" i="20" s="1"/>
  <c r="K369" i="20"/>
  <c r="I367" i="20"/>
  <c r="AQ362" i="3"/>
  <c r="J360" i="20" s="1"/>
  <c r="K359" i="20"/>
  <c r="K138" i="20"/>
  <c r="AQ143" i="3"/>
  <c r="J142" i="20" s="1"/>
  <c r="B284" i="19"/>
  <c r="AI235" i="3"/>
  <c r="K378" i="20"/>
  <c r="AQ200" i="3"/>
  <c r="J199" i="20" s="1"/>
  <c r="K198" i="20"/>
  <c r="K367" i="20"/>
  <c r="K44" i="20"/>
  <c r="I72" i="20"/>
  <c r="AQ69" i="3"/>
  <c r="J68" i="20" s="1"/>
  <c r="K68" i="20"/>
  <c r="K70" i="20"/>
  <c r="K356" i="20"/>
  <c r="K323" i="20"/>
  <c r="AQ325" i="3"/>
  <c r="J323" i="20" s="1"/>
  <c r="AQ379" i="3"/>
  <c r="J377" i="20" s="1"/>
  <c r="K348" i="20"/>
  <c r="AQ350" i="3"/>
  <c r="J348" i="20" s="1"/>
  <c r="K318" i="20"/>
  <c r="AQ320" i="3"/>
  <c r="J318" i="20" s="1"/>
  <c r="AL201" i="3"/>
  <c r="AO201" i="3" s="1"/>
  <c r="AS201" i="3"/>
  <c r="L200" i="20" s="1"/>
  <c r="AQ162" i="3"/>
  <c r="J161" i="20" s="1"/>
  <c r="K161" i="20"/>
  <c r="K366" i="20"/>
  <c r="AQ368" i="3"/>
  <c r="J366" i="20" s="1"/>
  <c r="AQ356" i="3"/>
  <c r="J354" i="20" s="1"/>
  <c r="K354" i="20"/>
  <c r="K364" i="20"/>
  <c r="AQ366" i="3"/>
  <c r="J364" i="20" s="1"/>
  <c r="K375" i="20"/>
  <c r="K47" i="20"/>
  <c r="K46" i="20"/>
  <c r="J45" i="20"/>
  <c r="K45" i="20"/>
  <c r="AQ72" i="3"/>
  <c r="J71" i="20" s="1"/>
  <c r="K71" i="20"/>
  <c r="AQ424" i="3"/>
  <c r="J422" i="20" s="1"/>
  <c r="K422" i="20"/>
  <c r="K424" i="20"/>
  <c r="AQ426" i="3"/>
  <c r="J424" i="20" s="1"/>
  <c r="AQ425" i="3"/>
  <c r="J423" i="20" s="1"/>
  <c r="K423" i="20"/>
  <c r="AQ183" i="3"/>
  <c r="J182" i="20" s="1"/>
  <c r="K182" i="20"/>
  <c r="K184" i="20"/>
  <c r="AQ185" i="3"/>
  <c r="J184" i="20" s="1"/>
  <c r="K183" i="20"/>
  <c r="AQ184" i="3"/>
  <c r="J183" i="20" s="1"/>
  <c r="AQ341" i="3"/>
  <c r="J339" i="20" s="1"/>
  <c r="K339" i="20"/>
  <c r="AQ323" i="3"/>
  <c r="J321" i="20" s="1"/>
  <c r="K321" i="20"/>
  <c r="K334" i="20"/>
  <c r="AQ336" i="3"/>
  <c r="J334" i="20" s="1"/>
  <c r="AQ386" i="3"/>
  <c r="J384" i="20" s="1"/>
  <c r="K384" i="20"/>
  <c r="K382" i="20"/>
  <c r="AQ384" i="3"/>
  <c r="J382" i="20" s="1"/>
  <c r="K383" i="20"/>
  <c r="AQ385" i="3"/>
  <c r="J383" i="20" s="1"/>
  <c r="B389" i="19"/>
  <c r="B395" i="19"/>
  <c r="U464" i="3"/>
  <c r="B123" i="19"/>
  <c r="U465" i="3"/>
  <c r="B84" i="19"/>
  <c r="B397" i="19"/>
  <c r="B100" i="19"/>
  <c r="B336" i="19"/>
  <c r="B253" i="19"/>
  <c r="B222" i="19"/>
  <c r="B128" i="19"/>
  <c r="B156" i="19"/>
  <c r="B166" i="19"/>
  <c r="B176" i="19"/>
  <c r="B197" i="19"/>
  <c r="B217" i="19"/>
  <c r="B124" i="19"/>
  <c r="B144" i="19"/>
  <c r="B264" i="19"/>
  <c r="B292" i="19"/>
  <c r="B309" i="19"/>
  <c r="B322" i="19"/>
  <c r="B333" i="19"/>
  <c r="B240" i="19"/>
  <c r="B258" i="19"/>
  <c r="B276" i="19"/>
  <c r="B297" i="19"/>
  <c r="B303" i="19"/>
  <c r="B310" i="19"/>
  <c r="B317" i="19"/>
  <c r="B323" i="19"/>
  <c r="B329" i="19"/>
  <c r="B334" i="19"/>
  <c r="B230" i="19"/>
  <c r="B244" i="19"/>
  <c r="B254" i="19"/>
  <c r="B261" i="19"/>
  <c r="B266" i="19"/>
  <c r="B279" i="19"/>
  <c r="B299" i="19"/>
  <c r="B304" i="19"/>
  <c r="B312" i="19"/>
  <c r="B319" i="19"/>
  <c r="B324" i="19"/>
  <c r="B330" i="19"/>
  <c r="B335" i="19"/>
  <c r="B341" i="19"/>
  <c r="B346" i="19"/>
  <c r="B364" i="19"/>
  <c r="B379" i="19"/>
  <c r="B392" i="19"/>
  <c r="B401" i="19"/>
  <c r="B406" i="19"/>
  <c r="B411" i="19"/>
  <c r="B422" i="19"/>
  <c r="B320" i="19"/>
  <c r="B325" i="19"/>
  <c r="B331" i="19"/>
  <c r="B387" i="19"/>
  <c r="B349" i="19"/>
  <c r="B396" i="19"/>
  <c r="B283" i="19"/>
  <c r="B87" i="19"/>
  <c r="B78" i="19"/>
  <c r="B85" i="19"/>
  <c r="B227" i="19"/>
  <c r="B234" i="19"/>
  <c r="B249" i="19"/>
  <c r="B256" i="19"/>
  <c r="B263" i="19"/>
  <c r="B270" i="19"/>
  <c r="B291" i="19"/>
  <c r="B301" i="19"/>
  <c r="B308" i="19"/>
  <c r="B314" i="19"/>
  <c r="B321" i="19"/>
  <c r="B326" i="19"/>
  <c r="B332" i="19"/>
  <c r="B228" i="19"/>
  <c r="B237" i="19"/>
  <c r="B250" i="19"/>
  <c r="B370" i="19"/>
  <c r="B386" i="19"/>
  <c r="B398" i="19"/>
  <c r="B403" i="19"/>
  <c r="B408" i="19"/>
  <c r="B413" i="19"/>
  <c r="B428" i="19"/>
  <c r="B338" i="19"/>
  <c r="B344" i="19"/>
  <c r="B358" i="19"/>
  <c r="B373" i="19"/>
  <c r="B390" i="19"/>
  <c r="B399" i="19"/>
  <c r="B404" i="19"/>
  <c r="B409" i="19"/>
  <c r="B416" i="19"/>
  <c r="B431" i="19"/>
  <c r="B339" i="19"/>
  <c r="B345" i="19"/>
  <c r="B361" i="19"/>
  <c r="B376" i="19"/>
  <c r="B391" i="19"/>
  <c r="B400" i="19"/>
  <c r="B405" i="19"/>
  <c r="B410" i="19"/>
  <c r="B419" i="19"/>
  <c r="J434" i="19"/>
  <c r="B86" i="19"/>
  <c r="B92" i="19"/>
  <c r="B97" i="19"/>
  <c r="B103" i="19"/>
  <c r="B79" i="19"/>
  <c r="B89" i="19"/>
  <c r="B94" i="19"/>
  <c r="B99" i="19"/>
  <c r="B105" i="19"/>
  <c r="B110" i="19"/>
  <c r="B115" i="19"/>
  <c r="B120" i="19"/>
  <c r="B81" i="19"/>
  <c r="B90" i="19"/>
  <c r="B95" i="19"/>
  <c r="B101" i="19"/>
  <c r="B106" i="19"/>
  <c r="B111" i="19"/>
  <c r="B116" i="19"/>
  <c r="B121" i="19"/>
  <c r="B82" i="19"/>
  <c r="B91" i="19"/>
  <c r="B96" i="19"/>
  <c r="B102" i="19"/>
  <c r="B107" i="19"/>
  <c r="B112" i="19"/>
  <c r="B117" i="19"/>
  <c r="B122" i="19"/>
  <c r="B127" i="19"/>
  <c r="B138" i="19"/>
  <c r="B153" i="19"/>
  <c r="B160" i="19"/>
  <c r="B165" i="19"/>
  <c r="B170" i="19"/>
  <c r="B175" i="19"/>
  <c r="B180" i="19"/>
  <c r="B191" i="19"/>
  <c r="B108" i="19"/>
  <c r="B113" i="19"/>
  <c r="B118" i="19"/>
  <c r="B141" i="19"/>
  <c r="B161" i="19"/>
  <c r="B171" i="19"/>
  <c r="B181" i="19"/>
  <c r="B211" i="19"/>
  <c r="B223" i="19"/>
  <c r="B129" i="19"/>
  <c r="B257" i="19"/>
  <c r="B273" i="19"/>
  <c r="B302" i="19"/>
  <c r="B316" i="19"/>
  <c r="B328" i="19"/>
  <c r="B229" i="19"/>
  <c r="B251" i="19"/>
  <c r="B265" i="19"/>
  <c r="B388" i="19"/>
  <c r="B347" i="19"/>
  <c r="B385" i="19"/>
  <c r="B194" i="19"/>
  <c r="B342" i="19"/>
  <c r="B348" i="19"/>
  <c r="B367" i="19"/>
  <c r="B382" i="19"/>
  <c r="B393" i="19"/>
  <c r="B402" i="19"/>
  <c r="B407" i="19"/>
  <c r="B412" i="19"/>
  <c r="B425" i="19"/>
  <c r="B337" i="19"/>
  <c r="B343" i="19"/>
  <c r="B352" i="19"/>
  <c r="B318" i="19"/>
  <c r="B327" i="19"/>
  <c r="B355" i="19"/>
  <c r="B394" i="19"/>
  <c r="B200" i="19"/>
  <c r="B220" i="19"/>
  <c r="B80" i="19"/>
  <c r="B75" i="19"/>
  <c r="B88" i="19"/>
  <c r="B93" i="19"/>
  <c r="B98" i="19"/>
  <c r="B104" i="19"/>
  <c r="B109" i="19"/>
  <c r="B114" i="19"/>
  <c r="B119" i="19"/>
  <c r="B157" i="19"/>
  <c r="B162" i="19"/>
  <c r="B167" i="19"/>
  <c r="B172" i="19"/>
  <c r="B177" i="19"/>
  <c r="B182" i="19"/>
  <c r="B203" i="19"/>
  <c r="B212" i="19"/>
  <c r="B218" i="19"/>
  <c r="B224" i="19"/>
  <c r="B125" i="19"/>
  <c r="B132" i="19"/>
  <c r="B147" i="19"/>
  <c r="B158" i="19"/>
  <c r="B163" i="19"/>
  <c r="B168" i="19"/>
  <c r="B173" i="19"/>
  <c r="B178" i="19"/>
  <c r="B185" i="19"/>
  <c r="B206" i="19"/>
  <c r="B213" i="19"/>
  <c r="B219" i="19"/>
  <c r="B225" i="19"/>
  <c r="B126" i="19"/>
  <c r="B135" i="19"/>
  <c r="B150" i="19"/>
  <c r="B159" i="19"/>
  <c r="B164" i="19"/>
  <c r="B169" i="19"/>
  <c r="B174" i="19"/>
  <c r="B179" i="19"/>
  <c r="B188" i="19"/>
  <c r="B207" i="19"/>
  <c r="B214" i="19"/>
  <c r="B221" i="19"/>
  <c r="B226" i="19"/>
  <c r="B231" i="19"/>
  <c r="B248" i="19"/>
  <c r="B255" i="19"/>
  <c r="B262" i="19"/>
  <c r="B267" i="19"/>
  <c r="B290" i="19"/>
  <c r="B300" i="19"/>
  <c r="B307" i="19"/>
  <c r="B313" i="19"/>
  <c r="B208" i="19"/>
  <c r="B216" i="19"/>
  <c r="AQ159" i="3"/>
  <c r="J158" i="20" s="1"/>
  <c r="K158" i="20"/>
  <c r="AS186" i="3"/>
  <c r="L185" i="20" s="1"/>
  <c r="AL186" i="3"/>
  <c r="AO186" i="3" s="1"/>
  <c r="K136" i="20"/>
  <c r="AQ137" i="3"/>
  <c r="J136" i="20" s="1"/>
  <c r="B245" i="19"/>
  <c r="B246" i="19"/>
  <c r="B288" i="19"/>
  <c r="B294" i="19"/>
  <c r="K380" i="20"/>
  <c r="AQ382" i="3"/>
  <c r="J380" i="20" s="1"/>
  <c r="K381" i="20"/>
  <c r="AQ383" i="3"/>
  <c r="J381" i="20" s="1"/>
  <c r="B293" i="19"/>
  <c r="B210" i="19"/>
  <c r="B289" i="19"/>
  <c r="B287" i="19"/>
  <c r="B215" i="19"/>
  <c r="B298" i="19"/>
  <c r="B295" i="19"/>
  <c r="B306" i="19"/>
  <c r="B243" i="19"/>
  <c r="B247" i="19"/>
  <c r="B286" i="19"/>
  <c r="B209" i="19"/>
  <c r="B285" i="19"/>
  <c r="B305" i="19"/>
  <c r="B315" i="19"/>
  <c r="B311" i="19"/>
  <c r="B282" i="19"/>
  <c r="B296" i="19"/>
  <c r="B252" i="19"/>
  <c r="AQ135" i="3"/>
  <c r="J134" i="20" s="1"/>
  <c r="K134" i="20"/>
  <c r="K133" i="20"/>
  <c r="AQ134" i="3"/>
  <c r="J133" i="20" s="1"/>
  <c r="AQ231" i="3"/>
  <c r="J230" i="20" s="1"/>
  <c r="K230" i="20"/>
  <c r="AL238" i="3"/>
  <c r="AO238" i="3" s="1"/>
  <c r="AS238" i="3"/>
  <c r="L237" i="20" s="1"/>
  <c r="K415" i="20"/>
  <c r="AQ417" i="3"/>
  <c r="J415" i="20" s="1"/>
  <c r="AQ416" i="3"/>
  <c r="J414" i="20" s="1"/>
  <c r="K414" i="20"/>
  <c r="AO444" i="3"/>
  <c r="AO443" i="3"/>
  <c r="AQ49" i="3"/>
  <c r="J48" i="20" s="1"/>
  <c r="K48" i="20"/>
  <c r="AQ77" i="3"/>
  <c r="J76" i="20" s="1"/>
  <c r="K76" i="20"/>
  <c r="K49" i="20"/>
  <c r="AQ50" i="3"/>
  <c r="J49" i="20" s="1"/>
  <c r="K50" i="20"/>
  <c r="AQ51" i="3"/>
  <c r="J50" i="20" s="1"/>
  <c r="AQ78" i="3"/>
  <c r="J77" i="20" s="1"/>
  <c r="K77" i="20"/>
  <c r="K41" i="20"/>
  <c r="K40" i="20"/>
  <c r="J39" i="20"/>
  <c r="K39" i="20"/>
  <c r="AS430" i="3"/>
  <c r="L428" i="20" s="1"/>
  <c r="AL430" i="3"/>
  <c r="AO430" i="3" s="1"/>
  <c r="AQ408" i="3"/>
  <c r="J406" i="20" s="1"/>
  <c r="K406" i="20"/>
  <c r="AQ275" i="3"/>
  <c r="J274" i="20" s="1"/>
  <c r="K274" i="20"/>
  <c r="AQ245" i="3"/>
  <c r="J244" i="20" s="1"/>
  <c r="K244" i="20"/>
  <c r="K275" i="20"/>
  <c r="AQ276" i="3"/>
  <c r="J275" i="20" s="1"/>
  <c r="AS271" i="3"/>
  <c r="L270" i="20" s="1"/>
  <c r="AL271" i="3"/>
  <c r="AO271" i="3" s="1"/>
  <c r="J278" i="20"/>
  <c r="K278" i="20"/>
  <c r="K273" i="20"/>
  <c r="AQ274" i="3"/>
  <c r="J273" i="20" s="1"/>
  <c r="K277" i="20"/>
  <c r="J277" i="20"/>
  <c r="L361" i="20"/>
  <c r="K379" i="20" l="1"/>
  <c r="AQ381" i="3"/>
  <c r="J379" i="20" s="1"/>
  <c r="K352" i="20"/>
  <c r="K135" i="20"/>
  <c r="K75" i="20"/>
  <c r="AQ76" i="3"/>
  <c r="J75" i="20" s="1"/>
  <c r="AQ136" i="3"/>
  <c r="J135" i="20" s="1"/>
  <c r="K66" i="20"/>
  <c r="AQ67" i="3"/>
  <c r="J66" i="20" s="1"/>
  <c r="AR351" i="3"/>
  <c r="AQ133" i="3"/>
  <c r="J132" i="20" s="1"/>
  <c r="K69" i="20"/>
  <c r="I194" i="20"/>
  <c r="K132" i="20"/>
  <c r="I147" i="20"/>
  <c r="AQ415" i="3"/>
  <c r="J413" i="20" s="1"/>
  <c r="K276" i="20"/>
  <c r="I370" i="20"/>
  <c r="K413" i="20"/>
  <c r="K203" i="20"/>
  <c r="AQ142" i="3"/>
  <c r="J141" i="20" s="1"/>
  <c r="K141" i="20"/>
  <c r="K231" i="20"/>
  <c r="AQ232" i="3"/>
  <c r="J231" i="20" s="1"/>
  <c r="AQ314" i="3"/>
  <c r="J312" i="20" s="1"/>
  <c r="AR198" i="3"/>
  <c r="I197" i="20"/>
  <c r="B21" i="20"/>
  <c r="B31" i="20"/>
  <c r="B25" i="20"/>
  <c r="B18" i="20"/>
  <c r="B27" i="20"/>
  <c r="B36" i="20"/>
  <c r="B20" i="20"/>
  <c r="B34" i="20"/>
  <c r="B22" i="20"/>
  <c r="B38" i="20"/>
  <c r="B23" i="20"/>
  <c r="B29" i="20"/>
  <c r="B28" i="20"/>
  <c r="B32" i="20"/>
  <c r="B37" i="20"/>
  <c r="B30" i="20"/>
  <c r="B24" i="20"/>
  <c r="B26" i="20"/>
  <c r="B35" i="20"/>
  <c r="B33" i="20"/>
  <c r="B19" i="20"/>
  <c r="AR73" i="3"/>
  <c r="K72" i="20" s="1"/>
  <c r="AR378" i="3"/>
  <c r="AR375" i="3"/>
  <c r="AQ375" i="3" s="1"/>
  <c r="J373" i="20" s="1"/>
  <c r="AR363" i="3"/>
  <c r="I355" i="20"/>
  <c r="AR357" i="3"/>
  <c r="K355" i="20" s="1"/>
  <c r="AR145" i="3"/>
  <c r="AQ151" i="3"/>
  <c r="J150" i="20" s="1"/>
  <c r="I376" i="20"/>
  <c r="I361" i="20"/>
  <c r="AP238" i="3"/>
  <c r="AP271" i="3"/>
  <c r="I270" i="20" s="1"/>
  <c r="AP268" i="3"/>
  <c r="AR268" i="3" s="1"/>
  <c r="K267" i="20" s="1"/>
  <c r="AP201" i="3"/>
  <c r="AR201" i="3" s="1"/>
  <c r="AQ201" i="3" s="1"/>
  <c r="AQ360" i="3"/>
  <c r="J358" i="20" s="1"/>
  <c r="AP430" i="3"/>
  <c r="AQ199" i="3"/>
  <c r="J198" i="20" s="1"/>
  <c r="AL418" i="3"/>
  <c r="AO418" i="3" s="1"/>
  <c r="AS418" i="3"/>
  <c r="L416" i="20" s="1"/>
  <c r="AO456" i="3"/>
  <c r="K357" i="20"/>
  <c r="K73" i="20"/>
  <c r="AO455" i="3"/>
  <c r="I42" i="20"/>
  <c r="AO441" i="3"/>
  <c r="AO440" i="3"/>
  <c r="K268" i="20"/>
  <c r="AP186" i="3"/>
  <c r="K350" i="20"/>
  <c r="I349" i="20"/>
  <c r="K199" i="20"/>
  <c r="K368" i="20"/>
  <c r="AQ380" i="3"/>
  <c r="J378" i="20" s="1"/>
  <c r="K377" i="20"/>
  <c r="AS235" i="3"/>
  <c r="L234" i="20" s="1"/>
  <c r="AL235" i="3"/>
  <c r="AO235" i="3" s="1"/>
  <c r="K74" i="20"/>
  <c r="AQ75" i="3"/>
  <c r="J74" i="20" s="1"/>
  <c r="K371" i="20"/>
  <c r="AQ373" i="3"/>
  <c r="J371" i="20" s="1"/>
  <c r="AQ372" i="3"/>
  <c r="J370" i="20" s="1"/>
  <c r="K370" i="20"/>
  <c r="AQ374" i="3"/>
  <c r="J372" i="20" s="1"/>
  <c r="K372" i="20"/>
  <c r="K149" i="20"/>
  <c r="AQ150" i="3"/>
  <c r="J149" i="20" s="1"/>
  <c r="K148" i="20"/>
  <c r="AQ149" i="3"/>
  <c r="J148" i="20" s="1"/>
  <c r="K147" i="20"/>
  <c r="AQ148" i="3"/>
  <c r="J147" i="20" s="1"/>
  <c r="K196" i="20"/>
  <c r="K194" i="20"/>
  <c r="J194" i="20"/>
  <c r="K195" i="20"/>
  <c r="AQ146" i="3"/>
  <c r="J145" i="20" s="1"/>
  <c r="K145" i="20"/>
  <c r="AQ147" i="3"/>
  <c r="J146" i="20" s="1"/>
  <c r="K146" i="20"/>
  <c r="B39" i="20"/>
  <c r="K269" i="20"/>
  <c r="AO453" i="3"/>
  <c r="K362" i="20"/>
  <c r="K363" i="20"/>
  <c r="AO452" i="3" l="1"/>
  <c r="AQ73" i="3"/>
  <c r="J72" i="20" s="1"/>
  <c r="AQ378" i="3"/>
  <c r="J376" i="20" s="1"/>
  <c r="K144" i="20"/>
  <c r="AQ145" i="3"/>
  <c r="J144" i="20" s="1"/>
  <c r="I200" i="20"/>
  <c r="AQ198" i="3"/>
  <c r="J197" i="20" s="1"/>
  <c r="AQ363" i="3"/>
  <c r="J361" i="20" s="1"/>
  <c r="K361" i="20"/>
  <c r="AR430" i="3"/>
  <c r="AQ430" i="3" s="1"/>
  <c r="J428" i="20" s="1"/>
  <c r="K197" i="20"/>
  <c r="AR271" i="3"/>
  <c r="I237" i="20"/>
  <c r="AR238" i="3"/>
  <c r="K373" i="20"/>
  <c r="AR186" i="3"/>
  <c r="AQ186" i="3" s="1"/>
  <c r="J185" i="20" s="1"/>
  <c r="K376" i="20"/>
  <c r="AQ357" i="3"/>
  <c r="J355" i="20" s="1"/>
  <c r="I428" i="20"/>
  <c r="AP235" i="3"/>
  <c r="AP418" i="3"/>
  <c r="I267" i="20"/>
  <c r="K43" i="20"/>
  <c r="AQ43" i="3"/>
  <c r="J42" i="20" s="1"/>
  <c r="K42" i="20"/>
  <c r="I185" i="20"/>
  <c r="K186" i="20"/>
  <c r="AQ268" i="3"/>
  <c r="J267" i="20" s="1"/>
  <c r="K374" i="20"/>
  <c r="AQ351" i="3"/>
  <c r="K349" i="20"/>
  <c r="K351" i="20"/>
  <c r="K202" i="20"/>
  <c r="K201" i="20"/>
  <c r="J200" i="20"/>
  <c r="K200" i="20"/>
  <c r="B157" i="20"/>
  <c r="B165" i="20"/>
  <c r="K187" i="20"/>
  <c r="K239" i="20"/>
  <c r="AQ240" i="3"/>
  <c r="J239" i="20" s="1"/>
  <c r="AQ239" i="3"/>
  <c r="J238" i="20" s="1"/>
  <c r="K238" i="20"/>
  <c r="AQ432" i="3"/>
  <c r="J430" i="20" s="1"/>
  <c r="K430" i="20"/>
  <c r="K429" i="20"/>
  <c r="AQ431" i="3"/>
  <c r="J429" i="20" s="1"/>
  <c r="AQ272" i="3"/>
  <c r="J271" i="20" s="1"/>
  <c r="K271" i="20"/>
  <c r="K272" i="20"/>
  <c r="AQ273" i="3"/>
  <c r="J272" i="20" s="1"/>
  <c r="K428" i="20" l="1"/>
  <c r="I416" i="20"/>
  <c r="AR418" i="3"/>
  <c r="K270" i="20"/>
  <c r="AQ271" i="3"/>
  <c r="J270" i="20" s="1"/>
  <c r="K237" i="20"/>
  <c r="AQ238" i="3"/>
  <c r="J237" i="20" s="1"/>
  <c r="I234" i="20"/>
  <c r="AR235" i="3"/>
  <c r="AQ235" i="3" s="1"/>
  <c r="AO458" i="3"/>
  <c r="AO459" i="3"/>
  <c r="AO450" i="3"/>
  <c r="AO449" i="3"/>
  <c r="AQ420" i="3"/>
  <c r="J418" i="20" s="1"/>
  <c r="K418" i="20"/>
  <c r="K417" i="20"/>
  <c r="AQ419" i="3"/>
  <c r="J417" i="20" s="1"/>
  <c r="K416" i="20"/>
  <c r="AQ418" i="3"/>
  <c r="J416" i="20" s="1"/>
  <c r="B147" i="20"/>
  <c r="B103" i="20"/>
  <c r="B58" i="20"/>
  <c r="B57" i="20"/>
  <c r="B127" i="20"/>
  <c r="B83" i="20"/>
  <c r="B85" i="20"/>
  <c r="B117" i="20"/>
  <c r="B96" i="20"/>
  <c r="B159" i="20"/>
  <c r="B138" i="20"/>
  <c r="B162" i="20"/>
  <c r="B161" i="20"/>
  <c r="B122" i="20"/>
  <c r="B160" i="20"/>
  <c r="B113" i="20"/>
  <c r="B153" i="20"/>
  <c r="B141" i="20"/>
  <c r="B126" i="20"/>
  <c r="B156" i="20"/>
  <c r="B63" i="20"/>
  <c r="B116" i="20"/>
  <c r="B86" i="20"/>
  <c r="B84" i="20"/>
  <c r="B107" i="20"/>
  <c r="B66" i="20"/>
  <c r="B104" i="20"/>
  <c r="B75" i="20"/>
  <c r="B89" i="20"/>
  <c r="B119" i="20"/>
  <c r="B95" i="20"/>
  <c r="B120" i="20"/>
  <c r="B59" i="20"/>
  <c r="B45" i="20"/>
  <c r="B125" i="20"/>
  <c r="B55" i="20"/>
  <c r="B106" i="20"/>
  <c r="B150" i="20"/>
  <c r="B53" i="20"/>
  <c r="B164" i="20"/>
  <c r="B93" i="20"/>
  <c r="B118" i="20"/>
  <c r="B88" i="20"/>
  <c r="B102" i="20"/>
  <c r="B100" i="20"/>
  <c r="B110" i="20"/>
  <c r="B52" i="20"/>
  <c r="B121" i="20"/>
  <c r="B69" i="20"/>
  <c r="B114" i="20"/>
  <c r="B123" i="20"/>
  <c r="B78" i="20"/>
  <c r="B105" i="20"/>
  <c r="B87" i="20"/>
  <c r="B124" i="20"/>
  <c r="B166" i="20"/>
  <c r="B101" i="20"/>
  <c r="B91" i="20"/>
  <c r="B163" i="20"/>
  <c r="B94" i="20"/>
  <c r="B135" i="20"/>
  <c r="B98" i="20"/>
  <c r="B48" i="20"/>
  <c r="B115" i="20"/>
  <c r="B144" i="20"/>
  <c r="B56" i="20"/>
  <c r="B111" i="20"/>
  <c r="B42" i="20"/>
  <c r="B54" i="20"/>
  <c r="B72" i="20"/>
  <c r="B79" i="20"/>
  <c r="B108" i="20"/>
  <c r="B128" i="20"/>
  <c r="B80" i="20"/>
  <c r="B60" i="20"/>
  <c r="B90" i="20"/>
  <c r="B92" i="20"/>
  <c r="B129" i="20"/>
  <c r="B99" i="20"/>
  <c r="B158" i="20"/>
  <c r="B97" i="20"/>
  <c r="B132" i="20"/>
  <c r="B112" i="20"/>
  <c r="B109" i="20"/>
  <c r="B51" i="20"/>
  <c r="B81" i="20"/>
  <c r="B82" i="20"/>
  <c r="K185" i="20"/>
  <c r="J349" i="20"/>
  <c r="K236" i="20"/>
  <c r="AQ237" i="3"/>
  <c r="J236" i="20" s="1"/>
  <c r="K235" i="20"/>
  <c r="AQ236" i="3"/>
  <c r="J235" i="20" s="1"/>
  <c r="K234" i="20" l="1"/>
  <c r="J234" i="20"/>
  <c r="J340" i="6"/>
  <c r="L141" i="6"/>
  <c r="AH168" i="3" s="1"/>
  <c r="AH445" i="3" l="1"/>
  <c r="AH466" i="3"/>
  <c r="AH436" i="3"/>
  <c r="L340" i="6"/>
  <c r="AI168" i="3"/>
  <c r="AS168" i="3" l="1"/>
  <c r="AI466" i="3"/>
  <c r="AI436" i="3"/>
  <c r="AL168" i="3"/>
  <c r="AO168" i="3" s="1"/>
  <c r="AP168" i="3" s="1"/>
  <c r="AP438" i="3" l="1"/>
  <c r="AP437" i="3"/>
  <c r="AO447" i="3"/>
  <c r="I167" i="20"/>
  <c r="AO446" i="3"/>
  <c r="L167" i="20"/>
  <c r="AS462" i="3"/>
  <c r="AS463" i="3"/>
  <c r="AS461" i="3"/>
  <c r="AS460" i="3"/>
  <c r="AR168" i="3"/>
  <c r="K167" i="20" l="1"/>
  <c r="I434" i="20" s="1"/>
  <c r="AQ168" i="3"/>
  <c r="AS464" i="3" l="1"/>
  <c r="J167" i="20"/>
  <c r="AS465" i="3"/>
  <c r="B175" i="20" l="1"/>
  <c r="B361" i="20"/>
  <c r="B247" i="20"/>
  <c r="B188" i="20"/>
  <c r="B295" i="20"/>
  <c r="B303" i="20"/>
  <c r="B207" i="20"/>
  <c r="B286" i="20"/>
  <c r="B404" i="20"/>
  <c r="B225" i="20"/>
  <c r="B397" i="20"/>
  <c r="B257" i="20"/>
  <c r="B174" i="20"/>
  <c r="B376" i="20"/>
  <c r="B412" i="20"/>
  <c r="B173" i="20"/>
  <c r="B326" i="20"/>
  <c r="B315" i="20"/>
  <c r="B182" i="20"/>
  <c r="B346" i="20"/>
  <c r="B292" i="20"/>
  <c r="B391" i="20"/>
  <c r="B431" i="20"/>
  <c r="B402" i="20"/>
  <c r="B291" i="20"/>
  <c r="B300" i="20"/>
  <c r="B283" i="20"/>
  <c r="B297" i="20"/>
  <c r="B379" i="20"/>
  <c r="B267" i="20"/>
  <c r="B333" i="20"/>
  <c r="B266" i="20"/>
  <c r="B320" i="20"/>
  <c r="B340" i="20"/>
  <c r="B208" i="20"/>
  <c r="B299" i="20"/>
  <c r="B217" i="20"/>
  <c r="B285" i="20"/>
  <c r="B419" i="20"/>
  <c r="B228" i="20"/>
  <c r="B347" i="20"/>
  <c r="B325" i="20"/>
  <c r="B197" i="20"/>
  <c r="B352" i="20"/>
  <c r="B312" i="20"/>
  <c r="B172" i="20"/>
  <c r="B213" i="20"/>
  <c r="B282" i="20"/>
  <c r="B422" i="20"/>
  <c r="B246" i="20"/>
  <c r="B329" i="20"/>
  <c r="B324" i="20"/>
  <c r="B344" i="20"/>
  <c r="B336" i="20"/>
  <c r="B270" i="20"/>
  <c r="B220" i="20"/>
  <c r="B305" i="20"/>
  <c r="B413" i="20"/>
  <c r="B177" i="20"/>
  <c r="B290" i="20"/>
  <c r="B293" i="20"/>
  <c r="B200" i="20"/>
  <c r="B252" i="20"/>
  <c r="B334" i="20"/>
  <c r="B229" i="20"/>
  <c r="B332" i="20"/>
  <c r="B341" i="20"/>
  <c r="B210" i="20"/>
  <c r="B302" i="20"/>
  <c r="B289" i="20"/>
  <c r="B169" i="20"/>
  <c r="B249" i="20"/>
  <c r="B358" i="20"/>
  <c r="B219" i="20"/>
  <c r="B396" i="20"/>
  <c r="B382" i="20"/>
  <c r="B221" i="20"/>
  <c r="B393" i="20"/>
  <c r="B407" i="20"/>
  <c r="B304" i="20"/>
  <c r="B331" i="20"/>
  <c r="B330" i="20"/>
  <c r="B203" i="20"/>
  <c r="B301" i="20"/>
  <c r="B276" i="20"/>
  <c r="B179" i="20"/>
  <c r="B388" i="20"/>
  <c r="B349" i="20"/>
  <c r="B231" i="20"/>
  <c r="B253" i="20"/>
  <c r="B343" i="20"/>
  <c r="B180" i="20"/>
  <c r="B307" i="20"/>
  <c r="B294" i="20"/>
  <c r="B310" i="20"/>
  <c r="B425" i="20"/>
  <c r="B345" i="20"/>
  <c r="B279" i="20"/>
  <c r="B178" i="20"/>
  <c r="B392" i="20"/>
  <c r="B244" i="20"/>
  <c r="B171" i="20"/>
  <c r="B398" i="20"/>
  <c r="B245" i="20"/>
  <c r="B237" i="20"/>
  <c r="B323" i="20"/>
  <c r="B309" i="20"/>
  <c r="B316" i="20"/>
  <c r="B212" i="20"/>
  <c r="B339" i="20"/>
  <c r="B306" i="20"/>
  <c r="B224" i="20"/>
  <c r="B373" i="20"/>
  <c r="B256" i="20"/>
  <c r="B170" i="20"/>
  <c r="B386" i="20"/>
  <c r="B262" i="20"/>
  <c r="B191" i="20"/>
  <c r="B342" i="20"/>
  <c r="B317" i="20"/>
  <c r="B223" i="20"/>
  <c r="B261" i="20"/>
  <c r="B248" i="20"/>
  <c r="B216" i="20"/>
  <c r="B273" i="20"/>
  <c r="B308" i="20"/>
  <c r="B185" i="20"/>
  <c r="B389" i="20"/>
  <c r="B405" i="20"/>
  <c r="B226" i="20"/>
  <c r="B367" i="20"/>
  <c r="B240" i="20"/>
  <c r="B214" i="20"/>
  <c r="B355" i="20"/>
  <c r="B335" i="20"/>
  <c r="B218" i="20"/>
  <c r="B399" i="20"/>
  <c r="B428" i="20"/>
  <c r="B222" i="20"/>
  <c r="B370" i="20"/>
  <c r="B250" i="20"/>
  <c r="B227" i="20"/>
  <c r="B321" i="20"/>
  <c r="B265" i="20"/>
  <c r="B209" i="20"/>
  <c r="B263" i="20"/>
  <c r="B337" i="20"/>
  <c r="B167" i="20"/>
  <c r="B284" i="20"/>
  <c r="B395" i="20"/>
  <c r="B206" i="20"/>
  <c r="B410" i="20"/>
  <c r="B411" i="20"/>
  <c r="B181" i="20"/>
  <c r="B258" i="20"/>
  <c r="B322" i="20"/>
  <c r="B394" i="20"/>
  <c r="B243" i="20"/>
  <c r="B251" i="20"/>
  <c r="B328" i="20"/>
  <c r="B287" i="20"/>
  <c r="B314" i="20"/>
  <c r="B401" i="20"/>
  <c r="B311" i="20"/>
  <c r="B364" i="20"/>
  <c r="B403" i="20"/>
  <c r="B168" i="20"/>
  <c r="B254" i="20"/>
  <c r="B338" i="20"/>
  <c r="B194" i="20"/>
  <c r="B408" i="20"/>
  <c r="B416" i="20"/>
  <c r="B215" i="20"/>
  <c r="B327" i="20"/>
  <c r="B288" i="20"/>
  <c r="B211" i="20"/>
  <c r="B319" i="20"/>
  <c r="B313" i="20"/>
  <c r="B176" i="20"/>
  <c r="B406" i="20"/>
  <c r="B385" i="20"/>
  <c r="B400" i="20"/>
  <c r="B264" i="20"/>
  <c r="B255" i="20"/>
  <c r="B348" i="20"/>
  <c r="B298" i="20"/>
  <c r="B390" i="20"/>
  <c r="B296" i="20"/>
  <c r="B409" i="20"/>
  <c r="B387" i="20"/>
  <c r="B230" i="20"/>
  <c r="B234" i="20"/>
  <c r="B318" i="20"/>
</calcChain>
</file>

<file path=xl/comments1.xml><?xml version="1.0" encoding="utf-8"?>
<comments xmlns="http://schemas.openxmlformats.org/spreadsheetml/2006/main">
  <authors>
    <author>petuhov.am</author>
    <author>1</author>
  </authors>
  <commentList>
    <comment ref="J9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0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2,5 МВА до 1,6 МВА (2012 г)</t>
        </r>
      </text>
    </comment>
    <comment ref="J1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2,5 МВА до 1,6 МВА</t>
        </r>
      </text>
    </comment>
    <comment ref="J1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тр-ра с 4 до 2,5 МВА (04.2013)</t>
        </r>
      </text>
    </comment>
    <comment ref="J1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8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1,6 до 1,8 (2012 г.)</t>
        </r>
      </text>
    </comment>
    <comment ref="J2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4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26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МВА до 1,6 МВА (2012 г.)</t>
        </r>
      </text>
    </comment>
    <comment ref="D27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4 МВА до 1,6 МВА</t>
        </r>
      </text>
    </comment>
    <comment ref="J2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5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5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53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поменялись местами.</t>
        </r>
      </text>
    </comment>
    <comment ref="F54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Трансформаторы поменялиись местами.</t>
        </r>
      </text>
    </comment>
    <comment ref="J5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6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85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AB85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ТР-РА: с 0,56 до 2,5 МВА (20.01.2011)</t>
        </r>
      </text>
    </comment>
    <comment ref="J8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F9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6,3 до 4  (09.2013)</t>
        </r>
      </text>
    </comment>
    <comment ref="J10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0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F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AB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(20.01.2011)</t>
        </r>
      </text>
    </comment>
    <comment ref="AD104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УМЕНЬШЕНА МОЩНОСТЬ ТР-РА с 6,3 до 2,5 МВА (20.11.2011)</t>
        </r>
      </text>
    </comment>
    <comment ref="J10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0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110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 2012</t>
        </r>
      </text>
    </comment>
    <comment ref="J11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AB110" authorId="0">
      <text>
        <r>
          <rPr>
            <b/>
            <sz val="8"/>
            <color indexed="81"/>
            <rFont val="Tahoma"/>
            <family val="2"/>
            <charset val="204"/>
          </rPr>
          <t>Сгорел трансформатор, уменьшена мощность с 3,2 до 2,5 МВА</t>
        </r>
      </text>
    </comment>
    <comment ref="D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</t>
        </r>
      </text>
    </comment>
    <comment ref="F117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Откорректировано в соответсвии с нормальной схемой электрических соединений объектов электросетевого хозяйства Филиала, утвержденного 26.12.2011 г.  </t>
        </r>
      </text>
    </comment>
    <comment ref="J144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AJ157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по 6 кВ на ПС Кимры
</t>
        </r>
      </text>
    </comment>
    <comment ref="J16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6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7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7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8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85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18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AJ190" authorId="1">
      <text>
        <r>
          <rPr>
            <sz val="8"/>
            <color indexed="81"/>
            <rFont val="Tahoma"/>
            <family val="2"/>
            <charset val="204"/>
          </rPr>
          <t>ОТКЛЮЧЕНИЕ В-35 Т-1 И Т-2 И  перевод питания Т-2 35 кВ с ПС В.Троица на ПС Роща
( ПС Уницы Т-1 + Савцино Т-1 Т-2) +
 перевод питания Т-1 35 кВ 
с ПС В.Троица на ПС Ильинское</t>
        </r>
      </text>
    </comment>
    <comment ref="AJ193" authorId="1">
      <text>
        <r>
          <rPr>
            <sz val="8"/>
            <color indexed="81"/>
            <rFont val="Tahoma"/>
            <family val="2"/>
            <charset val="204"/>
          </rPr>
          <t xml:space="preserve">Отключение В-35 Т-2  и
Перевод нагрузки Т-1 ПС Стоянцы с ПС  Горицы на ПС 35 кВ Ильиское
</t>
        </r>
      </text>
    </comment>
    <comment ref="F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D19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16 МВА заменен на трансформатор 25 МВА в августе 2011</t>
        </r>
      </text>
    </comment>
    <comment ref="AJ199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ПС К.Демьяновская на ПС Роща по ВЛ 35 кВ Роща-К.Демьяновская
</t>
        </r>
      </text>
    </comment>
    <comment ref="AJ202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Т-1  ПС Стоянцы
</t>
        </r>
      </text>
    </comment>
    <comment ref="AJ205" authorId="1">
      <text>
        <r>
          <rPr>
            <sz val="8"/>
            <color indexed="81"/>
            <rFont val="Tahoma"/>
            <family val="2"/>
            <charset val="204"/>
          </rPr>
          <t xml:space="preserve">Перевод нагрузки Т-2 ПС К.Демьяновская на ПС Простор по ВЛ 35 кВ Простор-К.Демьяновская
</t>
        </r>
      </text>
    </comment>
    <comment ref="D211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10 до 2,5 МВА (08.2013)</t>
        </r>
      </text>
    </comment>
    <comment ref="D216" authorId="0">
      <text>
        <r>
          <rPr>
            <b/>
            <sz val="8"/>
            <color indexed="81"/>
            <rFont val="Tahoma"/>
            <family val="2"/>
            <charset val="204"/>
          </rPr>
          <t>Откорректировано в соответсвии с нормальной схемой электрических соединений объектов электросетевого хозяйства Филиала, утвержденного 26.12.2011 г.  Мощность трансформатора уменьшена с 1,6 МВА до 1 МВА</t>
        </r>
      </text>
    </comment>
    <comment ref="D226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F226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январе 2013 г. (Мощность увеличена с 2,5 МВА до 4 МВА)</t>
        </r>
      </text>
    </comment>
    <comment ref="J22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F228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2,5 МВА</t>
        </r>
      </text>
    </comment>
    <comment ref="D229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3,2 МВА</t>
        </r>
      </text>
    </comment>
    <comment ref="F229" authorId="0">
      <text>
        <r>
          <rPr>
            <b/>
            <sz val="8"/>
            <color indexed="81"/>
            <rFont val="Tahoma"/>
            <family val="2"/>
            <charset val="204"/>
          </rPr>
          <t>лектрических соединений объектов электросетевого хозяйства Филиала, утвержденного 26.12.2011 г.  Мощность трансформатора увеличена с 1,6 МВА до 4 МВА</t>
        </r>
      </text>
    </comment>
    <comment ref="D241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</t>
        </r>
      </text>
    </comment>
    <comment ref="J282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28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288" authorId="0">
      <text>
        <r>
          <rPr>
            <b/>
            <sz val="8"/>
            <color indexed="81"/>
            <rFont val="Tahoma"/>
            <family val="2"/>
            <charset val="204"/>
          </rPr>
          <t>Уверичена мощность трансформатора с 2,5 до 4 МВА (Ноябрь 2013) По программе перемещения трансформаторов.</t>
        </r>
      </text>
    </comment>
    <comment ref="J28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0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1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1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на 4 МВА в августе 2011</t>
        </r>
      </text>
    </comment>
    <comment ref="F318" authorId="0">
      <text>
        <r>
          <rPr>
            <b/>
            <sz val="8"/>
            <color indexed="81"/>
            <rFont val="Tahoma"/>
            <family val="2"/>
            <charset val="204"/>
          </rPr>
          <t>Транформатор заменен в июне 2011 г.</t>
        </r>
      </text>
    </comment>
    <comment ref="AB318" authorId="0">
      <text>
        <r>
          <rPr>
            <b/>
            <sz val="8"/>
            <color indexed="81"/>
            <rFont val="Tahoma"/>
            <family val="2"/>
            <charset val="204"/>
          </rPr>
          <t>Трансформатор заменен в августе 2011</t>
        </r>
      </text>
    </comment>
    <comment ref="D320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 до 10 МВА (12.2013)</t>
        </r>
      </text>
    </comment>
    <comment ref="D322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01.2012</t>
        </r>
      </text>
    </comment>
    <comment ref="AB322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</t>
        </r>
      </text>
    </comment>
    <comment ref="D327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F327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AB327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ТРАНСФОРМАТОРА С 4 до 6,3 МВА (20.11.2011)</t>
        </r>
      </text>
    </comment>
    <comment ref="AD327" authorId="0">
      <text>
        <r>
          <rPr>
            <b/>
            <sz val="8"/>
            <color indexed="81"/>
            <rFont val="Tahoma"/>
            <family val="2"/>
            <charset val="204"/>
          </rPr>
          <t>petuhov.am:</t>
        </r>
        <r>
          <rPr>
            <sz val="8"/>
            <color indexed="81"/>
            <rFont val="Tahoma"/>
            <family val="2"/>
            <charset val="204"/>
          </rPr>
          <t xml:space="preserve">
УВЕЛИЧЕНА МОЩНОСТЬ ТР-РА с 4 до 6,3 МВА (20.11.2011)</t>
        </r>
      </text>
    </comment>
    <comment ref="F32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Мощность трансформатора увеличена с 4 до 6,3 МВА 08.2012 </t>
        </r>
      </text>
    </comment>
    <comment ref="AD329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4 до 6,3 МВА 08.2012</t>
        </r>
      </text>
    </comment>
    <comment ref="F330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МВА до 6,3 МВА (2012 г.)</t>
        </r>
      </text>
    </comment>
    <comment ref="D33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(01.2014)</t>
        </r>
      </text>
    </comment>
    <comment ref="F338" authorId="0">
      <text>
        <r>
          <rPr>
            <b/>
            <sz val="8"/>
            <color indexed="81"/>
            <rFont val="Tahoma"/>
            <family val="2"/>
            <charset val="204"/>
          </rPr>
          <t>Замена выполнена в 2012 г. Мощность трансформатора увеличена с 4 МВА до 10 МВА</t>
        </r>
      </text>
    </comment>
    <comment ref="J34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41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4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6,3 до 10 МВА (01.2014)</t>
        </r>
      </text>
    </comment>
    <comment ref="F34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AD345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с 6,3 до 10 МВА 08.2012</t>
        </r>
      </text>
    </comment>
    <comment ref="J34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47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AB347" authorId="0">
      <text>
        <r>
          <rPr>
            <b/>
            <sz val="8"/>
            <color indexed="81"/>
            <rFont val="Tahoma"/>
            <family val="2"/>
            <charset val="204"/>
          </rPr>
          <t>Мощность трансформатора увеличена с 2 до 4 МВА 01.2012</t>
        </r>
      </text>
    </comment>
    <comment ref="D348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4 до 6,3 МВА (08.2013)</t>
        </r>
      </text>
    </comment>
    <comment ref="D349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трансформаторов с 10 до 16 МВА (Ноябрь 2013 г.) Программа перемещения трансформаторов.</t>
        </r>
      </text>
    </comment>
    <comment ref="J35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65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8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86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87" authorId="0">
      <text>
        <r>
          <rPr>
            <b/>
            <sz val="8"/>
            <color indexed="81"/>
            <rFont val="Tahoma"/>
            <family val="2"/>
            <charset val="204"/>
          </rPr>
          <t>Уменьшена мощность трансформатора с 4 до 2,5 МВА (08.2013)</t>
        </r>
      </text>
    </comment>
    <comment ref="J38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38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398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1 до 2,5 МВА (08.2013)</t>
        </r>
      </text>
    </comment>
    <comment ref="J399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05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07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08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10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J413" authorId="0">
      <text>
        <r>
          <rPr>
            <b/>
            <sz val="8"/>
            <color indexed="81"/>
            <rFont val="Tahoma"/>
            <family val="2"/>
            <charset val="204"/>
          </rPr>
          <t>Значения летнего замера превысили значения зимнего</t>
        </r>
      </text>
    </comment>
    <comment ref="D421" authorId="0">
      <text>
        <r>
          <rPr>
            <b/>
            <sz val="8"/>
            <color indexed="81"/>
            <rFont val="Tahoma"/>
            <family val="2"/>
            <charset val="204"/>
          </rPr>
          <t>Увеличена мощность трансформатора с 25 МВА до 40 МВА (2012 г.)</t>
        </r>
      </text>
    </comment>
  </commentList>
</comments>
</file>

<file path=xl/sharedStrings.xml><?xml version="1.0" encoding="utf-8"?>
<sst xmlns="http://schemas.openxmlformats.org/spreadsheetml/2006/main" count="55799" uniqueCount="20611">
  <si>
    <t>логистический комплекс_Калининский район, Бурашевское с/п, в районе дер. Садыково</t>
  </si>
  <si>
    <t>СНТ "Сосновый берег"</t>
  </si>
  <si>
    <t xml:space="preserve">СНТ_Тверская область, Старицкий район, Васильевское с/п, вблизи д. Волга </t>
  </si>
  <si>
    <t>таблица 2</t>
  </si>
  <si>
    <t>СНТ "Камвольщик"</t>
  </si>
  <si>
    <t>Тверская область, Калининский район, Каблуковское с/п, д. Мишнево</t>
  </si>
  <si>
    <t>Яковенко Дмитрий Владимирович</t>
  </si>
  <si>
    <t>земельный участок с кадастровым номером №60:11:0000019:0130_Тверская область, Калязинский район, Алферовское с/п,д. Малое плутково</t>
  </si>
  <si>
    <t>земельный участок с кадастровым номером №60:11:0000019:011_Тверская область, Калязинский район, Алферовское с/п,д. Малое плутково</t>
  </si>
  <si>
    <t>ООО "Тоталойл-Тверь"</t>
  </si>
  <si>
    <t>автозаправочный комплекс_Тверская область, Бологовский район, п. Старое Хотилово, 328 км лево автодороги Москва-Санкт-Петербург</t>
  </si>
  <si>
    <t>ДНТ "Лежнево"</t>
  </si>
  <si>
    <t>Тверская область, Осташковский район, Святосельское с/п, д. Лежнево,д. 30</t>
  </si>
  <si>
    <t>Колхоз "Мир"</t>
  </si>
  <si>
    <t>жилой дом_Тверская область, Торжоксий район, п. Мирный</t>
  </si>
  <si>
    <t>ООО "Агроинвест"</t>
  </si>
  <si>
    <t>коттеджный поселок_Тверская область, Калязинский район, Нерльское с/п, район д. Юряхино</t>
  </si>
  <si>
    <t>СНТ "Эра"</t>
  </si>
  <si>
    <t>Тверская область, Калязинский район, Алферовское с/п, дер. Благуново</t>
  </si>
  <si>
    <t>вводное устройство АЗС_Тверская область, п. Молоково, ул. 50 лет Победы</t>
  </si>
  <si>
    <t>Михайлова Вера Васильевна</t>
  </si>
  <si>
    <t>жилой дом_участок находится примерно в 36 м от ориентира по направлению на северо-восток. Почновый адрес ориентира: Тверская область, Селижаровский район, Оковецкое с/п,д. Повадино, д. 2.</t>
  </si>
  <si>
    <t>Летников А.Н.</t>
  </si>
  <si>
    <t>дачный поселок_Тверская область, Конаковский район, Завидовское с/п, д. Концево</t>
  </si>
  <si>
    <t>ДНП "Волжский дачник"</t>
  </si>
  <si>
    <t>Тверская область, Калязинский район, г. Калязин, городской водозабор</t>
  </si>
  <si>
    <t>Администрация городского сельского поселения поселок Радченко</t>
  </si>
  <si>
    <t>Очистные сооружения, поселок Радченко, Тверская область, Конаковский район, п. Радченко.</t>
  </si>
  <si>
    <t>временное подкльчение строительных механизмов_Тверская область, ул. Полевая</t>
  </si>
  <si>
    <t>ООО "Агростройтрейд"</t>
  </si>
  <si>
    <t>вводное устройство жилой застройки_Местоположение установлено относительно ориентира, расположенного за пределами участка. Ориентир дер. Рыблово. Участок находится примерно в 280 м от ориентира по направлению на север. Почновый адрес ориентира: Тверская область, Старицкий район, Ново-Ямское с/п, дер. Рыблово</t>
  </si>
  <si>
    <t>СНП "Калязинский речник"</t>
  </si>
  <si>
    <t>Тверская область, Калязинский район, Алферовское с/п, дер. Мышино.</t>
  </si>
  <si>
    <t>СНТ "Богдановка"</t>
  </si>
  <si>
    <t>садоводческое некоммерческое товарищество_Местоположение установлено относительно ориентира, расположенного в границах участка. Почтовый адрес ориентира: Тверская область, Калязинский район, Нерльское с/п, в районе дер. Богданово</t>
  </si>
  <si>
    <t>ООО "Шкода - Сервис"</t>
  </si>
  <si>
    <t>КТПН-10/0,4 кВ -1000 кВА_Тверская область, Калининский район, Бурашевское с/п, дер. Неготино</t>
  </si>
  <si>
    <t>Царев Павел Юрьевич</t>
  </si>
  <si>
    <t>вводное устройство жилого дома_Тверская область, Кимрский район, Приволжское с.п., дер. Головкино</t>
  </si>
  <si>
    <t>Пономарева Василиса Сергеевна</t>
  </si>
  <si>
    <t>вводное устройство жилого дома_Тверская область, Кимрский район, Приволжское с.п., дер. Головино, участок 209</t>
  </si>
  <si>
    <t>спортивно-оздоровилелный комплекс_Тверская область, г. Ржев, ул. Краснодарское шоссе</t>
  </si>
  <si>
    <t>комплекс жилых домов и построек_Твеская область, Кашинский район, Шепелевкое с/п дер. Кудрино</t>
  </si>
  <si>
    <t>ЗАО "Кашинский маслодельно-сыродельный завод"</t>
  </si>
  <si>
    <t>производственное здние молочного цеха, Тверская область, Кашинский район, Верхнетроицкое сельское поселение, д. Верхняя Троица</t>
  </si>
  <si>
    <t>ООО "Коренная"</t>
  </si>
  <si>
    <t xml:space="preserve">сельхоз производство_Тверская область, Калязинский район, Семендяевское с/п, в районе дер. Селищи. </t>
  </si>
  <si>
    <t>ОАО "Восток-Тверь"</t>
  </si>
  <si>
    <t>жилой поселок_Тверская область, Фировский район, Великооктябрьское с/п, дер Малое Эскино</t>
  </si>
  <si>
    <t>ООО "Охотничье хозяйство "Шолоховское"</t>
  </si>
  <si>
    <t>3-х проектируемых жилых дома, Конаковский район,  район д. Мокшино</t>
  </si>
  <si>
    <t>ООО «ТрастСтройИнвест»</t>
  </si>
  <si>
    <t>строительный городок Конаковский район, Мокшинское с/п, район дер. Архангельское</t>
  </si>
  <si>
    <t>Губонин В.И.</t>
  </si>
  <si>
    <t>с.Завидово</t>
  </si>
  <si>
    <t>ТСЖ Борки-2</t>
  </si>
  <si>
    <t>существующая жил застройка</t>
  </si>
  <si>
    <t>ООО Галеон-К</t>
  </si>
  <si>
    <t>жилые дома 87-а и 87-б с. Свердлово Конаковского р-на</t>
  </si>
  <si>
    <t>(Осн. источник питания ПС  Мокшино) комплекс отдыха "Завидово"</t>
  </si>
  <si>
    <t>Бердник В.М.</t>
  </si>
  <si>
    <t>Калининский р-он, Эмаусский с/о, д. Прибытково, зернохранилище</t>
  </si>
  <si>
    <t>76-ТП/10-07</t>
  </si>
  <si>
    <t>ООО «Автомобильная ассоциация Авитус Авто»</t>
  </si>
  <si>
    <t>автотехцентр, в районе д. Горохово Эмаусского с/п Калининского района</t>
  </si>
  <si>
    <t>ИП Смелков Д.А.</t>
  </si>
  <si>
    <t>Коровник и ветаптека, Тверская область, Калининский район, Эмаусское с/п, район д. Прибытково</t>
  </si>
  <si>
    <t>196-ТП/07-08</t>
  </si>
  <si>
    <t>ЗТП № 35, п.Максатиха пер Бежецкий, 4</t>
  </si>
  <si>
    <t>Московское отделение Октябрьской Железной дороги - филиал ОАО "Российские железные дороги"</t>
  </si>
  <si>
    <t>жилой дом, Максатинский район, п. Максатиха, кл. Звездная,д. № 20</t>
  </si>
  <si>
    <t>ИП Северов Е.Н.</t>
  </si>
  <si>
    <t>объекты КФХ, Максатихинский район, Каменское с.п., дер. Починок</t>
  </si>
  <si>
    <t>ФГУ "Дороги России"</t>
  </si>
  <si>
    <t>скоростная автодорога, Вышневолоцкий район, на участке км 111+90 - км 333+50.</t>
  </si>
  <si>
    <t>скоростная автодорога, Вышневолоцкий район, на участке км 258+50 - км 312+01</t>
  </si>
  <si>
    <t>Скоростная автодорога Москва – С.Петербург на участке км 58 – км 684, Вышневолоцкий район, на участке км 207+75 – км 292+51</t>
  </si>
  <si>
    <t>333-ТП/11-09</t>
  </si>
  <si>
    <t>скоростная автодорога, Бологовский район, на участке км 258+50 - км 386+01</t>
  </si>
  <si>
    <t xml:space="preserve">плавательный бассейин, г.В.Волочек, ул.Д.Бедного, 60 </t>
  </si>
  <si>
    <t>Зао СК Тверьгражданстрой</t>
  </si>
  <si>
    <t>жилая застройка, Маяковского-деревцова-Левобережная,  600 кВт - 2 оч.</t>
  </si>
  <si>
    <t>ООО "Монострой"</t>
  </si>
  <si>
    <t>АЗС, ул.Пржевальского, 67</t>
  </si>
  <si>
    <t>ООО "Тверькомплекс"</t>
  </si>
  <si>
    <t>Производственные гаражи
г.Тверь, Сахаровское шоссе, д.2</t>
  </si>
  <si>
    <t>ООО Строй-Инвест</t>
  </si>
  <si>
    <t xml:space="preserve">многокв.ж/дом с торг.-оф. помещениями, Туполева доп.мощность </t>
  </si>
  <si>
    <t>СНТ "Восход-6"</t>
  </si>
  <si>
    <t>СНТ, Калининский район, с/п Аввакумовское, Старая Константиновка</t>
  </si>
  <si>
    <t>316-ТП/09-09</t>
  </si>
  <si>
    <t xml:space="preserve">ЗАО "Компания Волгодорстрой", наружное </t>
  </si>
  <si>
    <t>освещение автодороги_ул. Псковская (Оснабрюкская) в границах  Октябрьский проспект - Волоколамское шоссе</t>
  </si>
  <si>
    <t>ОАО "Строительная акционерная компания Стройцентр"_</t>
  </si>
  <si>
    <t>микрорайон "Южный-Д" Лот 2 А, ул. Новая, д. 2,4,7</t>
  </si>
  <si>
    <t>Нелидовские Электрические сети</t>
  </si>
  <si>
    <t>Торжокские Электрические сети</t>
  </si>
  <si>
    <t>Тверские Электрические сети</t>
  </si>
  <si>
    <t>ИП Лисицын В.Н.</t>
  </si>
  <si>
    <t>магазин "Флагман плюс", г. Удомля, пр. Курчатова, д. 14-</t>
  </si>
  <si>
    <t>322-ТП/09-09</t>
  </si>
  <si>
    <t>324-ТП/09-09</t>
  </si>
  <si>
    <t>325-ТП/09-09</t>
  </si>
  <si>
    <t>326-ТП/09-09</t>
  </si>
  <si>
    <t xml:space="preserve">ИП Поваляев Д.В. </t>
  </si>
  <si>
    <t xml:space="preserve">ремонтные мастерские, Калязин. район, Алферовское с/п, дер. Чигирево </t>
  </si>
  <si>
    <t>Старицкий Свято-Успенский монастырь, Тверская обл., г. Старица, ул. Пушкина, д. 1</t>
  </si>
  <si>
    <t xml:space="preserve">Гришин А.А. </t>
  </si>
  <si>
    <t>фермерское хозяйство_Кимрский район, Центральное с/п, р-н дер. Слободка</t>
  </si>
  <si>
    <t>Администрация Кимрского района Тверской области</t>
  </si>
  <si>
    <t xml:space="preserve">отопительная котельная, Кимрский район, Ильинское с/п, дер. Кучино </t>
  </si>
  <si>
    <t xml:space="preserve">25-ти кв. жил.дом г.Калязин, ул. Коминтерна, д.75 </t>
  </si>
  <si>
    <t>ООО "Волжские зори"</t>
  </si>
  <si>
    <t>дом отдыха "Усадьба Фонвизина", Каляз. Р-н, Алферовское с/о, дер. Ново Окатово</t>
  </si>
  <si>
    <t>310-ТП/08-09</t>
  </si>
  <si>
    <t xml:space="preserve">Администрация Кимрского района Тверской области </t>
  </si>
  <si>
    <t xml:space="preserve">отопительная котельная Кимрский район, Титовское с/п, дер. Титово </t>
  </si>
  <si>
    <t>ООО Галактика</t>
  </si>
  <si>
    <t>фермерское хозяйство_Калязинский район, Алферовское с/п, вблизи с. Спасское</t>
  </si>
  <si>
    <t>ООО "ТверьЖилДор-Строй"</t>
  </si>
  <si>
    <t xml:space="preserve"> прудовое хозяйство, д.Бараниха</t>
  </si>
  <si>
    <t>№ 27-ТП/2 от 30.12.08</t>
  </si>
  <si>
    <t>строительная площадка для жилого комплекса "Макар" с торгово-офисными помещениями, ул. Макарова, д.5</t>
  </si>
  <si>
    <t>Администрация Пролетарского района</t>
  </si>
  <si>
    <t>Фонтан, г.Тверь, Комсомольская площадь</t>
  </si>
  <si>
    <t>8-ТП/12-07</t>
  </si>
  <si>
    <t>ЗАО «Военно-мемориальная компания»</t>
  </si>
  <si>
    <t>ритуально - похоронный комплекс г. Тверь, 20 м южнее ул.Маршала Конева, 73 Б</t>
  </si>
  <si>
    <t>ООО СемХолл</t>
  </si>
  <si>
    <t>2 здания ООО «Сем Холл», Тверь, Старицкое ш, 15</t>
  </si>
  <si>
    <t>ООО Апрель плюс</t>
  </si>
  <si>
    <t>торгово-офисный центр, 50 лет Октября, 28</t>
  </si>
  <si>
    <t>ОАО «Автобаза Тверская-2»</t>
  </si>
  <si>
    <t xml:space="preserve">ПС 35/10 кВ Уланово </t>
  </si>
  <si>
    <t xml:space="preserve">ПС 35/10 кВ Уницы </t>
  </si>
  <si>
    <t xml:space="preserve">ПС 35/10 кВ Фенево </t>
  </si>
  <si>
    <t xml:space="preserve">ПС 35/10 кВ Фролово </t>
  </si>
  <si>
    <t xml:space="preserve"> ПС 110/10 кВ Зарница </t>
  </si>
  <si>
    <t xml:space="preserve">ПС 110/10 кВ Зобнино </t>
  </si>
  <si>
    <t xml:space="preserve">ПС 110/10 кВ Инякино </t>
  </si>
  <si>
    <t xml:space="preserve"> ПС 110/35/10 кВ Василево </t>
  </si>
  <si>
    <t xml:space="preserve">ПС 110/35/10 кВ Борки  </t>
  </si>
  <si>
    <t xml:space="preserve">ПС 110/35/10 кВ  Верхняя Троица </t>
  </si>
  <si>
    <t xml:space="preserve">ПС 110/35/10 кВ Горицы </t>
  </si>
  <si>
    <t xml:space="preserve">ПС 110/35/10 кВ Луч </t>
  </si>
  <si>
    <t xml:space="preserve">ПС 110/35/10 кВ Простор </t>
  </si>
  <si>
    <t xml:space="preserve">ПС 110/35/10 кВ  Радуга </t>
  </si>
  <si>
    <t xml:space="preserve">ПС 110/35/10 кВ Роща </t>
  </si>
  <si>
    <t xml:space="preserve">ПС 35/10 кВ Карамзино </t>
  </si>
  <si>
    <t xml:space="preserve">ПС 35/10 кВ Бахмутово </t>
  </si>
  <si>
    <t xml:space="preserve">ПС 35/10 кВ Пятницкое </t>
  </si>
  <si>
    <t xml:space="preserve">ПС 35/10 кВ Салино </t>
  </si>
  <si>
    <t xml:space="preserve">ПС 35/10 кВ Кн.Горы  </t>
  </si>
  <si>
    <t xml:space="preserve">ПС 35/10 кВ Гусево </t>
  </si>
  <si>
    <t xml:space="preserve">ПС 35/10 кВ Мол.Туд </t>
  </si>
  <si>
    <t xml:space="preserve">ПС 35/10 кВ Ильенки </t>
  </si>
  <si>
    <t xml:space="preserve">ПС 35/10 кВ Каденка </t>
  </si>
  <si>
    <t xml:space="preserve">ПС 35/10 кВ Родня </t>
  </si>
  <si>
    <t xml:space="preserve">ПС 35/10 кВ Берново </t>
  </si>
  <si>
    <t xml:space="preserve">ПС 35/10 кВ РМК </t>
  </si>
  <si>
    <t xml:space="preserve">ПС 35/10 кВ Осуга </t>
  </si>
  <si>
    <t xml:space="preserve">ПС 35/10 кВ Мин.Дворы </t>
  </si>
  <si>
    <t xml:space="preserve">ПС 35/10 кВ Клешнево </t>
  </si>
  <si>
    <t xml:space="preserve">ПС 35/10 кВ П.Городище </t>
  </si>
  <si>
    <t xml:space="preserve">ПС 35/10 кВ Степурино </t>
  </si>
  <si>
    <t xml:space="preserve">ПС 35/10 кВ Максимово </t>
  </si>
  <si>
    <t xml:space="preserve">ПС 35/10 кВ Луковниково </t>
  </si>
  <si>
    <t xml:space="preserve">ПС 110/10 кВ НТПФ </t>
  </si>
  <si>
    <t xml:space="preserve">ПС 110/10 кВ Мостовая </t>
  </si>
  <si>
    <t xml:space="preserve">ПС 110/35/10кВ Ржев </t>
  </si>
  <si>
    <t xml:space="preserve">ПС 110/35/10 кВ Оленино </t>
  </si>
  <si>
    <t xml:space="preserve">ПС 110/35/10 кВ Старица </t>
  </si>
  <si>
    <t xml:space="preserve">ПС 110/35/10 кВ З.Поле </t>
  </si>
  <si>
    <t xml:space="preserve">ПС 110/10 кВ Золоотвал </t>
  </si>
  <si>
    <t xml:space="preserve">ПС 35/10 кВ Красногорская </t>
  </si>
  <si>
    <t xml:space="preserve">ПС 35/10 кВ Лисицкий Бор </t>
  </si>
  <si>
    <t xml:space="preserve">ПС 35/6 кВ №1 </t>
  </si>
  <si>
    <t xml:space="preserve">  ПС  35/10 кВ №1 </t>
  </si>
  <si>
    <t>ПС  35/6 кВ №16</t>
  </si>
  <si>
    <t>ПС  35/10 кВ №16</t>
  </si>
  <si>
    <t xml:space="preserve">ПС 35/10 кВ Золотиха </t>
  </si>
  <si>
    <t>ПС  35/10 кВ Новый Стан</t>
  </si>
  <si>
    <t>ПС  35/10 кВ Романово</t>
  </si>
  <si>
    <t xml:space="preserve">ПС 35/10 кВ Первитино </t>
  </si>
  <si>
    <t xml:space="preserve">ПС 35/10 кВ № 8  </t>
  </si>
  <si>
    <t xml:space="preserve">ПС 35/6 кВ Алексино </t>
  </si>
  <si>
    <t xml:space="preserve">ПС 35/10 кВ Безбородово </t>
  </si>
  <si>
    <t xml:space="preserve">ПС 110/10 кВ Медведиха </t>
  </si>
  <si>
    <t xml:space="preserve">ПС 35/10 кВ Диево </t>
  </si>
  <si>
    <t xml:space="preserve">ПС 35/10 кВ №17 </t>
  </si>
  <si>
    <t>ПС 35/10 кВ Кушалино</t>
  </si>
  <si>
    <t xml:space="preserve">ПС 35/6 кВ №4 </t>
  </si>
  <si>
    <t>ПС  35/6 кВ №13</t>
  </si>
  <si>
    <t xml:space="preserve">ПС 35/6 кВ №27 </t>
  </si>
  <si>
    <t xml:space="preserve">ПС 35/6 кВ Вагжановская </t>
  </si>
  <si>
    <t>ПС  35/6 кВ Завод 1 Мая</t>
  </si>
  <si>
    <t xml:space="preserve">ПС 35/6 кВ Стекловолокно </t>
  </si>
  <si>
    <t xml:space="preserve">ПС 35/10 кВ Соминка </t>
  </si>
  <si>
    <t>ПС  35/6 кВ Заволжская</t>
  </si>
  <si>
    <t xml:space="preserve">ПС 35/10 кВ Капошвар </t>
  </si>
  <si>
    <t>ПС  110/10 кВ Мамулино</t>
  </si>
  <si>
    <t xml:space="preserve">ПС 110/10 кВ Глазково </t>
  </si>
  <si>
    <t xml:space="preserve">ПС 110/10 кВ Пролетарская </t>
  </si>
  <si>
    <t xml:space="preserve">ПС 35/10 кВ Тургиново </t>
  </si>
  <si>
    <t xml:space="preserve">ПС 35/10 кВ Сахарово </t>
  </si>
  <si>
    <t>ПС  35/10 кВ Головино</t>
  </si>
  <si>
    <t>ПС 35/10 кВ Квакшино</t>
  </si>
  <si>
    <t>ПС  35/10 кВ Городня</t>
  </si>
  <si>
    <t xml:space="preserve">ПС 35/10 кВ Рязаново </t>
  </si>
  <si>
    <t xml:space="preserve">ПС 35/10 кВ Савватьево </t>
  </si>
  <si>
    <t xml:space="preserve">ПС 35/10 кВ Беле-Кушаль </t>
  </si>
  <si>
    <t xml:space="preserve">ПС 35/10 кВ Стеклозавод </t>
  </si>
  <si>
    <t>ПС  35/10 кВ Гришкино</t>
  </si>
  <si>
    <t xml:space="preserve">ПС 35/3 кВ №2 </t>
  </si>
  <si>
    <t>ПС  35/10 кВ №15</t>
  </si>
  <si>
    <t xml:space="preserve">ПС 35/10 кВ Медное </t>
  </si>
  <si>
    <t xml:space="preserve">ПС 35/10 кВ Толмачи       </t>
  </si>
  <si>
    <t xml:space="preserve">ПС 35/10 кВ № 7 </t>
  </si>
  <si>
    <t xml:space="preserve">ПС  35/6 кВ № 5 </t>
  </si>
  <si>
    <t xml:space="preserve">ПС  35/6 кВ № 9 </t>
  </si>
  <si>
    <t xml:space="preserve">ПС 35/10 кВ № 9  </t>
  </si>
  <si>
    <t xml:space="preserve">ПС 35/6 кВ № 10 </t>
  </si>
  <si>
    <t xml:space="preserve">ПС 35/10 кВ № 11  </t>
  </si>
  <si>
    <t xml:space="preserve">ПС 35/10 кВ Дм.Гора  </t>
  </si>
  <si>
    <t xml:space="preserve">ПС 35/6 кВ ЗМИ  </t>
  </si>
  <si>
    <t xml:space="preserve">ПС 35/10 кВ Изоплит  </t>
  </si>
  <si>
    <t xml:space="preserve">ПС 35/6 кВ Кр. Луч  </t>
  </si>
  <si>
    <t xml:space="preserve">ПС 35/6 кВ Мелково  </t>
  </si>
  <si>
    <t>ПС 35/10 кВ Мокшино</t>
  </si>
  <si>
    <t xml:space="preserve">ПС 35/10 кВ Энергетик </t>
  </si>
  <si>
    <t xml:space="preserve">ПС 35/10 кВ Эммаус  </t>
  </si>
  <si>
    <t>ПС  35/10 кВ Ю.-Девичье</t>
  </si>
  <si>
    <t xml:space="preserve">ПС 35/6 кВ №18  </t>
  </si>
  <si>
    <t xml:space="preserve">ПС 35/6  кВ Затверецкая </t>
  </si>
  <si>
    <t xml:space="preserve">ПС 110/35/10 кВ Пушкино </t>
  </si>
  <si>
    <t xml:space="preserve">ПС 110/10/6 кВ Механич.з-д </t>
  </si>
  <si>
    <t xml:space="preserve">ПС 110/35/10 кВ Южная </t>
  </si>
  <si>
    <t xml:space="preserve">ПС 110/35/10 кВ Северная </t>
  </si>
  <si>
    <t xml:space="preserve">ПС 110/35/10 кВ Лазурная </t>
  </si>
  <si>
    <t xml:space="preserve">ПС 110/10/6 кВ Экскаваторный з-д </t>
  </si>
  <si>
    <t xml:space="preserve">ПС 110/35/10 кВ Медновский в-ор </t>
  </si>
  <si>
    <t xml:space="preserve">ПС 110/35/10 кВ Лихославль </t>
  </si>
  <si>
    <t xml:space="preserve">ПС 110/35/6 кВ Безбородово </t>
  </si>
  <si>
    <t xml:space="preserve">ПС 110/35/6 кВ Редкино  </t>
  </si>
  <si>
    <t xml:space="preserve">ПС 110/35/10 кВ Рамешки </t>
  </si>
  <si>
    <t xml:space="preserve">ПС 110/35/10 кВ Тучево </t>
  </si>
  <si>
    <t>ПС  35/10 кВ Страшевичи</t>
  </si>
  <si>
    <t xml:space="preserve">ПС 35/10 кВ Сукромля </t>
  </si>
  <si>
    <t xml:space="preserve">ПС 35/10 кВ Кр. Городок </t>
  </si>
  <si>
    <t xml:space="preserve">ПС 35/10 кВ Прямухино </t>
  </si>
  <si>
    <t xml:space="preserve">ПС 35/10 кВ Пень  </t>
  </si>
  <si>
    <t xml:space="preserve">ПС 35/10 кВ Печниково </t>
  </si>
  <si>
    <t xml:space="preserve">ПС 35/10 кВ Максимково </t>
  </si>
  <si>
    <t xml:space="preserve">ПС 35/10 кВ Филистово </t>
  </si>
  <si>
    <t xml:space="preserve">ПС 35/10 кВ Оковцы  </t>
  </si>
  <si>
    <t xml:space="preserve">ПС 35/10 кВ Селигер  </t>
  </si>
  <si>
    <t xml:space="preserve">ПС 35/10 кВ Мошары  </t>
  </si>
  <si>
    <t xml:space="preserve">ПС  35/10 кВ Ворошилово </t>
  </si>
  <si>
    <t xml:space="preserve">ПС 35/10 кВ Слаутино   </t>
  </si>
  <si>
    <t xml:space="preserve">ПС 35/10 кВ Мошки </t>
  </si>
  <si>
    <t xml:space="preserve">ПС 35/10 кВ Высокое  </t>
  </si>
  <si>
    <t xml:space="preserve">ПС 35/10 кВ Бубеньево  </t>
  </si>
  <si>
    <t xml:space="preserve">ПС 35/10 кВ Б.Вишенье </t>
  </si>
  <si>
    <t xml:space="preserve">ПС 35/10 кВ Будово </t>
  </si>
  <si>
    <t xml:space="preserve">ПС 35/10 кВ Ельцы  </t>
  </si>
  <si>
    <t xml:space="preserve">ПС 35/10 кВ Селище </t>
  </si>
  <si>
    <t xml:space="preserve">ПС 35/10 кВ Святое </t>
  </si>
  <si>
    <t xml:space="preserve">ПС 35/10 кВ Крапивня  </t>
  </si>
  <si>
    <t xml:space="preserve">ПС 35/10 кВ Светлица  </t>
  </si>
  <si>
    <t xml:space="preserve">ПС  110/6 кВ КС-20  </t>
  </si>
  <si>
    <t xml:space="preserve">ПС 110/10 кВ  Полиграфкраски </t>
  </si>
  <si>
    <t xml:space="preserve">ПС 110/10 кВ НПС Торжок </t>
  </si>
  <si>
    <t xml:space="preserve">ПС 110/10 кВ Селихово </t>
  </si>
  <si>
    <t xml:space="preserve">ПС 110/10 кВ Пено </t>
  </si>
  <si>
    <t xml:space="preserve">ПС 110/35/10 кВ Торжок  </t>
  </si>
  <si>
    <t xml:space="preserve">ПС 110/35/10 кВ Стройиндустрия </t>
  </si>
  <si>
    <t xml:space="preserve">ПС 110/35/10 кВ Кувшиново  </t>
  </si>
  <si>
    <t xml:space="preserve">ПС 110/35/10 кВ Селижарово  </t>
  </si>
  <si>
    <t xml:space="preserve">ПС 110/35/10 кВ НПС Борисово </t>
  </si>
  <si>
    <t xml:space="preserve">ПС 110/35/10 кВ Осташков  </t>
  </si>
  <si>
    <t xml:space="preserve">ПС  110/35/10 кВ Н. Рожок </t>
  </si>
  <si>
    <t>Количество Закратых ЦП с загрузкой более 100 %</t>
  </si>
  <si>
    <t>Количество ПС, имеющие загрузку от 70 до 105 %</t>
  </si>
  <si>
    <t xml:space="preserve">г. Тверь, б-р Цанова </t>
  </si>
  <si>
    <t>210-ТП/08-08</t>
  </si>
  <si>
    <t>Военная академия ВКО</t>
  </si>
  <si>
    <t>ж/дом,  Базановой</t>
  </si>
  <si>
    <t>4-эт. 27 кв.ж/дом с встроенными помещ., Тверь, В.Новгорода, 19</t>
  </si>
  <si>
    <t>217-ТП/09-08</t>
  </si>
  <si>
    <t>Кукушкин И.В.</t>
  </si>
  <si>
    <t>гостиница, ул.Чернышевского, д.2/16, ТП по 6 кВ</t>
  </si>
  <si>
    <t>ООО "Стройплюс"</t>
  </si>
  <si>
    <t>многоэтажный жилой дом по ул.Т.Ильиной, д.33 корп.2</t>
  </si>
  <si>
    <t>276-ТП/12-08</t>
  </si>
  <si>
    <t>ООО Регионстрой жилые дома</t>
  </si>
  <si>
    <t>по ул. Склизкова г. Твери, д.116 к1, д. 116 к2, д.114 , ТП по 6 кВ</t>
  </si>
  <si>
    <t>Управление Федеральной службы исполнения наказаний по Тверской области</t>
  </si>
  <si>
    <t>Режимный корпус на 1194 места (блоки А, Б, В)  по адресу: г. Тверь, ул. Вагжанова, д. 141</t>
  </si>
  <si>
    <t>305-ТП/07-09</t>
  </si>
  <si>
    <t>ОАО "Тверь"</t>
  </si>
  <si>
    <t>гостиница "Тверская", ТП по 6 кВ</t>
  </si>
  <si>
    <t>ОООО "Воск-авто-салон"</t>
  </si>
  <si>
    <t>торговый комплекс, в районе Химволокно, 6 кВ</t>
  </si>
  <si>
    <t>ООО "Жилстройинвест",</t>
  </si>
  <si>
    <t>жилой дом по ул.Бассейная, 6</t>
  </si>
  <si>
    <t>Автон.неком.орг-ция "СУЦ Виста"</t>
  </si>
  <si>
    <t>Учебный центр, Тверь, пр. Победы, 40А</t>
  </si>
  <si>
    <t>206-ТП/08-08</t>
  </si>
  <si>
    <t>ООО Капитал</t>
  </si>
  <si>
    <t>здание адм.-торг.,  б-р Цанова, 1 Б</t>
  </si>
  <si>
    <t>ООО "Андреев Софт"</t>
  </si>
  <si>
    <t>ОАО «ЦентрТелеком»</t>
  </si>
  <si>
    <t xml:space="preserve">центр обработки вызовов, г. Тверь, ул. Склизкова, д. 36. </t>
  </si>
  <si>
    <t>Джамалов Р.С. и Магеррашов М.С.</t>
  </si>
  <si>
    <t xml:space="preserve">административно-торговое здание, ул.Коминтерна, 38 б. </t>
  </si>
  <si>
    <t>ОАО "Тверьагрострой"</t>
  </si>
  <si>
    <t>Ж/застройка, Нов.Заря - Р. Люксембург</t>
  </si>
  <si>
    <t>56-ТП/06-07</t>
  </si>
  <si>
    <t>ОАО Кашинский ликеро-водочный завод "Вереск"</t>
  </si>
  <si>
    <t>административно-торговый центр по ул. Туполева, д. 3</t>
  </si>
  <si>
    <t>ООО "Элиан"</t>
  </si>
  <si>
    <t>Поселок малоэтажных домов, г. Тверь, Заволжский р-н, ул. Розы Люксембург, д. 60</t>
  </si>
  <si>
    <t>62-ТП/07-07</t>
  </si>
  <si>
    <t>застройка Маяковского-Добролюбова Левобережная-Деревцова, 1 оч</t>
  </si>
  <si>
    <t>Департамент архитектуры и строительства  г.Твери</t>
  </si>
  <si>
    <t xml:space="preserve">Шк № 3; Н.Заря, 23 доп-но 72 кВт к ранее разрешенной 146,9 кВт </t>
  </si>
  <si>
    <t>110-ТП/12-07</t>
  </si>
  <si>
    <t>4-х квартирный жилой дом
г.Тверь, Затверецкий б-р, д. 104</t>
  </si>
  <si>
    <t>147-ТП/12-07</t>
  </si>
  <si>
    <t>ООО Стройконсалтинг</t>
  </si>
  <si>
    <t>Наименование объекта центра питания, класс напряжения</t>
  </si>
  <si>
    <t xml:space="preserve">Текущий дефицит </t>
  </si>
  <si>
    <t>Полная мощность с учётом перераспределения, МВА</t>
  </si>
  <si>
    <t>МВА</t>
  </si>
  <si>
    <t>1 сутки</t>
  </si>
  <si>
    <t>Допустимая нагрузка расчётная в режиме n-1, МВА</t>
  </si>
  <si>
    <t>Мнацаканян А.А.</t>
  </si>
  <si>
    <t>незавершенное строительство (опытно-промышленное производство цементостойкого стекловолокна – производственный корпус) Сахаровское ш., д. 32, стр. 1</t>
  </si>
  <si>
    <t>Пальчун О.А.</t>
  </si>
  <si>
    <t>коттеджный поселок, Тверская область, Калининский район, Каблуковское с/п, район дер. Иенево</t>
  </si>
  <si>
    <t>ООО "Развитие"</t>
  </si>
  <si>
    <t xml:space="preserve"> магазин, г. Тверь, ул. Маяковского</t>
  </si>
  <si>
    <t>СНТ "Парус"</t>
  </si>
  <si>
    <t>СНТ, Калининский р-н, Каблуковское с/п, район дер. Иенево</t>
  </si>
  <si>
    <t>ООО Экополис</t>
  </si>
  <si>
    <t>магазин_Тверская область, г. Тверь, ул. Маяковского, д. 37.</t>
  </si>
  <si>
    <t>ООО "Руса"</t>
  </si>
  <si>
    <t>жилая застройка с оффисным центром_г. Тверь, Затверецкая набережная, д. 36 стр.1</t>
  </si>
  <si>
    <t>СНП "Вера"</t>
  </si>
  <si>
    <t xml:space="preserve"> СНП, Калинин.р-н, Красногорское с/п, д.Некрасово</t>
  </si>
  <si>
    <t>Администрация МУП Тверской области Калининский район,</t>
  </si>
  <si>
    <t>газовая котельная д. Некрасово, Красногорское с/п</t>
  </si>
  <si>
    <t>ООО "Астория Трэвелс"</t>
  </si>
  <si>
    <t>база отдыха "Волжанка", Калин.р-н, Каблуковское с/п, район д.Юрьевское</t>
  </si>
  <si>
    <t>335-ТП/09-09</t>
  </si>
  <si>
    <t>СПК Юрьевский</t>
  </si>
  <si>
    <t>СПК, Каблуковское с/п, д. Юрьевское</t>
  </si>
  <si>
    <t>ДНП "Возрождение"</t>
  </si>
  <si>
    <t>ДНП, Каблуковское с/п, дер. Заборовье</t>
  </si>
  <si>
    <t>СНТ "Стимул"</t>
  </si>
  <si>
    <t>СНТ, Калининский район, Каблуковское с/п, район дер. Курганово</t>
  </si>
  <si>
    <t>ЗАО НИИ "ЦПС"</t>
  </si>
  <si>
    <t>Пионерлагерь "Березки" в д. Щигалово Калининского р-на</t>
  </si>
  <si>
    <t>60-ТП/07-07</t>
  </si>
  <si>
    <t xml:space="preserve">ЗАО Красново </t>
  </si>
  <si>
    <t>коттеджный поселок, д. Красново Калининского р-на</t>
  </si>
  <si>
    <t>ООО "Капитал-Инвест"</t>
  </si>
  <si>
    <t>Дачный комплекс в д. Рябеево Никулинского с/п</t>
  </si>
  <si>
    <t>67-ТП/08-07</t>
  </si>
  <si>
    <t xml:space="preserve">Самухин А.В. </t>
  </si>
  <si>
    <t>земельные участки под строительство 20 жилых домов, Калининский район, Никулинское с/п, дер. Красново</t>
  </si>
  <si>
    <t>СНТ «Зарница»</t>
  </si>
  <si>
    <t>СНТ, Калининский район, Никулинское с/п, район дер. Опарино, кадастровый номер 69:10:0000024:928</t>
  </si>
  <si>
    <t>СНТ, Калининский район, Никулинское с/п, район дер. Опарино, кадастровый номер 69:10:0000024:936</t>
  </si>
  <si>
    <t>Садоводческое товарищество "Тверецкое"</t>
  </si>
  <si>
    <t>33 дома садоводческого товарищества, Тверская область, Калининский район, Михайловское с/п</t>
  </si>
  <si>
    <t>182-ТП/06-06</t>
  </si>
  <si>
    <t>Департамент архит.и строит. Админ-ии Тв.</t>
  </si>
  <si>
    <t>спорткомплекс д. Долматово</t>
  </si>
  <si>
    <t>Мухина М.М.</t>
  </si>
  <si>
    <t>Учебно-оздоровительный лагерь; Тверская область, Калининский район, Кулицкое с/п, район д. Палагино</t>
  </si>
  <si>
    <t>238-ТП/10-08</t>
  </si>
  <si>
    <t>Герасимова Т.Г.</t>
  </si>
  <si>
    <t>садовые дома дер. Вишняково</t>
  </si>
  <si>
    <t>Назаров Ю.И</t>
  </si>
  <si>
    <t xml:space="preserve">жил.застройка , дер. Вишняково, </t>
  </si>
  <si>
    <t>Прохоров В.С.</t>
  </si>
  <si>
    <t>загородные дома, Калинин.р-н, Кулицкое с/п, д.Олбово</t>
  </si>
  <si>
    <t>ДООЛ "Спутник", Калинин.р-н, Михайловское с/п, д.Долматова</t>
  </si>
  <si>
    <t>Ермаков Вадим Олегович</t>
  </si>
  <si>
    <t>земельный участок для садоводства Калининский район, Михайловское с/п, 450 м от дер. Изворотень по направлению на восток</t>
  </si>
  <si>
    <t xml:space="preserve">Черняев А.Ю. </t>
  </si>
  <si>
    <t>жилой дом,Калинин.р-н, Михайловское с/п, р-н д.Изоротень</t>
  </si>
  <si>
    <t>ФГУ «Дороги России»</t>
  </si>
  <si>
    <t>Скоростная автомобильная дорога Москва – Санкт-Петербург на участке км 58 – км 684</t>
  </si>
  <si>
    <t>МУ Администрация Тургиновского сельского поселения Калининского района Тверской области_во</t>
  </si>
  <si>
    <t>Реконструкция здания интерната по детский сад, Калининский район, Тургиновское с/п, с. Тургиново</t>
  </si>
  <si>
    <t>Администрация Тургиновского с/п</t>
  </si>
  <si>
    <t>уличное освещение, с. Тургиново, д. Мелечкино, д. Заречье</t>
  </si>
  <si>
    <t>511-05-ТП</t>
  </si>
  <si>
    <t>Православный приход Троицкой церкви</t>
  </si>
  <si>
    <t>с. Тургиново Калининского р-на Тверской области</t>
  </si>
  <si>
    <t>59-ТП/06-07</t>
  </si>
  <si>
    <t>ФГОУ ВПО "Тверская ТГСХА"</t>
  </si>
  <si>
    <t>Физкультурно-оздоровительный к-с в п. Сахарово, ул. Парковая, д. 8</t>
  </si>
  <si>
    <t>ДНТ «Рассвет»</t>
  </si>
  <si>
    <t>ДНТ «Рассвет», Калининский район, Аввакумовское с/п, дер. Аввакумово</t>
  </si>
  <si>
    <t>Корректировка проекта учебно-лабораторного корпуса, п. Сахарово, ул. Василевского, д. 7</t>
  </si>
  <si>
    <t>МУ Администрация Аввакумовского с/п</t>
  </si>
  <si>
    <t>блочно-модульная газовая котельная, Калининский р-н, д. Аввакумово,д.5</t>
  </si>
  <si>
    <t xml:space="preserve">СНТ Оршинка-2 </t>
  </si>
  <si>
    <t>Тверская область, Калининский район, 
пос. Сахарово, Аввакумовское сельское поселение (за д. Андреевское)</t>
  </si>
  <si>
    <t>241-ТП/11-08</t>
  </si>
  <si>
    <t>СНТ "Спутник-Искож"</t>
  </si>
  <si>
    <t>СНТ, Калининский район, Аввакумовское с/п, район дер. Пищалкино</t>
  </si>
  <si>
    <t>ФГОУ ВПО «ТГСХА»</t>
  </si>
  <si>
    <t>Спальный корпус на 52 места Санатория – профилактория ФГОУ ВПО «ТГСХА» в стройке «Физкультурно-оздоровительного комплекса», г. Тверь, Заволжский район, п. Сахарово, ул. Василевского, д. 9</t>
  </si>
  <si>
    <t>328-ТП/09-09</t>
  </si>
  <si>
    <t>Албузова Татьяна Геннадьевна е</t>
  </si>
  <si>
    <t>коттеджный поселок Конаковский район, Первомайский с/о, дер. Никольское</t>
  </si>
  <si>
    <t>СНТ «Стимул»</t>
  </si>
  <si>
    <t>Бутузов В.Н.</t>
  </si>
  <si>
    <t>Калининский район, с.Рождественно, Свободы, 15</t>
  </si>
  <si>
    <t>404-01-ТП</t>
  </si>
  <si>
    <t>ООО Волга девелопмент</t>
  </si>
  <si>
    <t>коттеджный поселок Волга-Волга, район д.Мыслятино Конак. р-он</t>
  </si>
  <si>
    <t>285-ТП/05-09</t>
  </si>
  <si>
    <t xml:space="preserve">кондитерский цех </t>
  </si>
  <si>
    <t>РО ОГО ВФСО "Динамо"</t>
  </si>
  <si>
    <t>многофункциональный гостиничный комплекс со встроенным тиром, пр.Чайковского, д.26-а г.Тверь</t>
  </si>
  <si>
    <t xml:space="preserve">Корнеев Алексей Николаевич </t>
  </si>
  <si>
    <t>12-ти квартирный жилой дом, Калининский район, Заволжское с/п, пос.Заволжский, ул. Старо – Каликинская, д. 5</t>
  </si>
  <si>
    <t>ИП Киселев А.Н.</t>
  </si>
  <si>
    <t>Автосервисное производственного помещение, Тверская область, Калининский район, п. Заволжский, автокооператив № 3</t>
  </si>
  <si>
    <t>190-ТП/06-08</t>
  </si>
  <si>
    <t>ООО "Компания Связьэнергомонтаж"</t>
  </si>
  <si>
    <t>Участок автодороги
 Москва-С. Петербург</t>
  </si>
  <si>
    <t>04-ТП/09-06</t>
  </si>
  <si>
    <t xml:space="preserve">Веселов Д. В. </t>
  </si>
  <si>
    <t>СНТ Муравей</t>
  </si>
  <si>
    <t>Старицкий район, д. Кулотино, ПС Городня, РП Борки ф.3 ВЛ 10 кВ</t>
  </si>
  <si>
    <t>315-ТП/09-08</t>
  </si>
  <si>
    <t>Толстов С.П.</t>
  </si>
  <si>
    <t>фермерское хозяйство, д.Марьино</t>
  </si>
  <si>
    <t xml:space="preserve">ОАО ПФ Верхневолжская </t>
  </si>
  <si>
    <t xml:space="preserve">200 жилых домов, п.Рязаново </t>
  </si>
  <si>
    <t>ДНТ "Рассвет"</t>
  </si>
  <si>
    <t>ДНТ, Калининский р-н, д.Орша</t>
  </si>
  <si>
    <t>(Осн.источник ПС Южная) бизнес-парк, Калининский р-н, д. Андрейково, по 162км+450 м(вправо) а/д Москва-С. Пб</t>
  </si>
  <si>
    <t>Администрация муниципального образования «Бурашевское сельское поселение» Калининского района Тверской области</t>
  </si>
  <si>
    <t>комплексная застройка коттеджного типа в с. Бурашево Калининский района</t>
  </si>
  <si>
    <t xml:space="preserve">ООО «СК-3» </t>
  </si>
  <si>
    <t>деревообрабатывающее производство дер. Андрейково</t>
  </si>
  <si>
    <t>ООО "Терра"</t>
  </si>
  <si>
    <t xml:space="preserve">Производственные помещения, Твер. обл., Калининский р-н, д. Никулино, </t>
  </si>
  <si>
    <t>Транспортная развязка в районе Южного</t>
  </si>
  <si>
    <t>осн.источник питсния ПС Южная</t>
  </si>
  <si>
    <t>Хромов  О.Н.</t>
  </si>
  <si>
    <t>склад-магазин и цех деревообработки, д.Б.Гришкино</t>
  </si>
  <si>
    <t xml:space="preserve">ООО "Аргон"
</t>
  </si>
  <si>
    <t>Торг.-пром.зона, Тв.обл,Калининский р-н, д.Неготино, д.Боровлево Андрейковского с/о I-пуск. очередь</t>
  </si>
  <si>
    <t>140-ТП/02-08</t>
  </si>
  <si>
    <t>ЗАО «Румос-Авто»</t>
  </si>
  <si>
    <t xml:space="preserve">автокомплекс, Калининский район, Бурашевское с/п, район д. Неготино. </t>
  </si>
  <si>
    <t>Торг.-пром.зона, Тв.обл,Калининский р-н, д.Неготино, д.Боровлево Андрейковского с/о II-пуск. очередь</t>
  </si>
  <si>
    <t>141-ТП/02-08</t>
  </si>
  <si>
    <t>"Новый Свет"</t>
  </si>
  <si>
    <t>дачное некоммерческое товарищество, Калининский район, Бурашевское с/п, район д. Игнатово</t>
  </si>
  <si>
    <t>ООО «Стройтрубсервис»</t>
  </si>
  <si>
    <t xml:space="preserve">Спортивный комплекс «Русские горки», Тверская область, Березинское сельское поселение, район деревни Алексеевское </t>
  </si>
  <si>
    <t>219-ТП/09-08</t>
  </si>
  <si>
    <t>Администрация муниципального образования "Бурашевское сельское поселение" Калининского района Тверской области</t>
  </si>
  <si>
    <t>комплексная жилая застройка коттеджного типа_Калининский р-н, с. Бурашево, д. 40 "У"</t>
  </si>
  <si>
    <t>СНТ "Арония"</t>
  </si>
  <si>
    <t xml:space="preserve">Сад.неком. товарищество, Тв.обл, Калининский р-н, д. Труново </t>
  </si>
  <si>
    <t>226-ТП/09-09</t>
  </si>
  <si>
    <t xml:space="preserve">ООО «Петродорпроект») </t>
  </si>
  <si>
    <r>
      <t>линия наружного электроосвещения на участке  автомобильной дороги, Калининский район, автодорога Тверь-Тургиново км 8+500 - км 10+201</t>
    </r>
    <r>
      <rPr>
        <sz val="11"/>
        <color indexed="8"/>
        <rFont val="Calibri"/>
        <family val="2"/>
        <charset val="204"/>
      </rPr>
      <t/>
    </r>
  </si>
  <si>
    <t>ДНП "Куршавель"</t>
  </si>
  <si>
    <t>Дачный поселок - 71 земельный участок, Тверская область, Калининский район, Щербинское с/п, дер. Бакшеево</t>
  </si>
  <si>
    <t>Администрация муниципального образования « Бурашевское сельское поселение» Калининского района Тверской области</t>
  </si>
  <si>
    <t>три 3-х этажных 15-ти квартирных жилых дома, Калининский район, Бурашевское с/п, дер. Салыгино</t>
  </si>
  <si>
    <t>ФГУ Упрдор Россия</t>
  </si>
  <si>
    <t>освещение а/д Москва-Питер км 160+045-км161+900</t>
  </si>
  <si>
    <t>291-ТП/05-09</t>
  </si>
  <si>
    <t>СНТ «КАМАЗ»</t>
  </si>
  <si>
    <t>дачные участки – 58 земельных участков, Калининский район, Щербинское с/п, район дер. Чуприяново</t>
  </si>
  <si>
    <t>МДОУ "Бурашевский детский сад"</t>
  </si>
  <si>
    <t>Бурашевский детский сад, верская обл, Калининский р-н, с.Бурашево</t>
  </si>
  <si>
    <t>ООО "Энерго-Т"</t>
  </si>
  <si>
    <t>торгово-промышленная зона "Боровлево",
Тверская обл., Калининский р-н, Бурашевский с/о, д. Неготино</t>
  </si>
  <si>
    <t xml:space="preserve">269-ТП/01-09 </t>
  </si>
  <si>
    <t>311-ТП/08-09</t>
  </si>
  <si>
    <t>327-ТП/09-09</t>
  </si>
  <si>
    <t>ООО Лентрансгаз</t>
  </si>
  <si>
    <t>ПРС-36-1 ГРС Металлист п. Металлистов</t>
  </si>
  <si>
    <t xml:space="preserve">УФСИН </t>
  </si>
  <si>
    <t>ООО "АМ" 1 очередь</t>
  </si>
  <si>
    <t>ООО "АМ" 2 очередь</t>
  </si>
  <si>
    <t>Лихославльский  район</t>
  </si>
  <si>
    <t>Андреев А.А.</t>
  </si>
  <si>
    <t>Коттеджный поселок "Компьютерия", 
Тверская обл., Калинин.р-н, Медновское с/п</t>
  </si>
  <si>
    <t>СНП "Город Сад и КОМПЬЮТЕРиЯ"</t>
  </si>
  <si>
    <t>СНП, Калининский р-н, дер. Ямок</t>
  </si>
  <si>
    <t>СНТ "Престиж"</t>
  </si>
  <si>
    <t>СНТ, Калининский район, медновское с/п, дер. Мухино</t>
  </si>
  <si>
    <t xml:space="preserve">Журавлев Игорь Леонидович </t>
  </si>
  <si>
    <t>дачный поселок, Калининский район, Медновское с/п, район дер. Слобода</t>
  </si>
  <si>
    <t>СНТ "Вера"</t>
  </si>
  <si>
    <t>СНТ, Калининский р-н, д. Стренево</t>
  </si>
  <si>
    <t>339-ТП/10-09</t>
  </si>
  <si>
    <t>ООО "Оптимизация"</t>
  </si>
  <si>
    <t>103-квартирный ж/дом г. Лихославль</t>
  </si>
  <si>
    <t>96-ТП/11-07</t>
  </si>
  <si>
    <t>ООО "Спайт"</t>
  </si>
  <si>
    <t>Универсальный магазин, Тверская область, г. Лихославль, ул. Первомайская</t>
  </si>
  <si>
    <t>284-ТП/04-09</t>
  </si>
  <si>
    <t>Конаковский  район</t>
  </si>
  <si>
    <t>ОАО "Строительное управление - 919"</t>
  </si>
  <si>
    <t>Вахтовый городок в Калининском р-не, д. Смолино, 100 (16 ранее разрешенная)</t>
  </si>
  <si>
    <t>181-ТП/06-08</t>
  </si>
  <si>
    <t>Трансстрой Инвест-С</t>
  </si>
  <si>
    <t>база отдыха "Строитель", д.Алексино</t>
  </si>
  <si>
    <t>243-ТП/11/08</t>
  </si>
  <si>
    <t>СНП "Старое Семеновское"</t>
  </si>
  <si>
    <t>СНП, Калининский р-н, д.Старое Семеновское</t>
  </si>
  <si>
    <t>292-ТП/05-09</t>
  </si>
  <si>
    <t>ООО "ОБС-ГРУП"</t>
  </si>
  <si>
    <t>Коттедж. п "Сосновка": Конаковский р-н, д. Лазурная</t>
  </si>
  <si>
    <t>47-ТП/03-07</t>
  </si>
  <si>
    <t>ООО "Региональное развитие"</t>
  </si>
  <si>
    <t>1 очередь строительства ж/поселка вбл пос.Мокшино</t>
  </si>
  <si>
    <t>ООО Конаковоинвестстрой</t>
  </si>
  <si>
    <t>производственная база д. Заполок</t>
  </si>
  <si>
    <t xml:space="preserve">ОАО «Энергосервис» </t>
  </si>
  <si>
    <t>котельная №1 (резервное питание), Конаковский район, пгт Новозавидовский, ул. Дрожина</t>
  </si>
  <si>
    <t>ООО «ТверьПромИнвест»</t>
  </si>
  <si>
    <t>автозаправочная станция с магазином и кафе, Конаковский район, Завидовское с/п, район с. Завидово на 109 км + 400 (лево) автодороги Москва – Санкт-Петербург</t>
  </si>
  <si>
    <t>УО Администрации Конаковского района Тверской области</t>
  </si>
  <si>
    <t>детский сад, Конаковский район, Завидовское с/п, с. Завидово, ул. Школьная</t>
  </si>
  <si>
    <t>ЗАО "РадиоТел"</t>
  </si>
  <si>
    <t>СНТ "Астра"</t>
  </si>
  <si>
    <t>СНТ "Астра", садовое неком.товарищество, Конаков.р-н, п.Редкино</t>
  </si>
  <si>
    <t>Упрдор</t>
  </si>
  <si>
    <t xml:space="preserve">освещение, пос. Новомелково </t>
  </si>
  <si>
    <t>245-ТП/11-08</t>
  </si>
  <si>
    <t>ЗАО "РегионИнвест"</t>
  </si>
  <si>
    <t>20 жилых домов, Конаковский район, Городенское с/п, район с. Городня</t>
  </si>
  <si>
    <t>СНТ «Петушок»</t>
  </si>
  <si>
    <t>здания административно-торгового центра и хозяйственно-складского корпуса, г. Кимры, Савеловская набережная, д. 1</t>
  </si>
  <si>
    <t>Шмаков Н. А,</t>
  </si>
  <si>
    <t>ж/дом, д.Усад</t>
  </si>
  <si>
    <t>Прокуратура Тверской области, зд-е прокуратуры</t>
  </si>
  <si>
    <t>.гКимры Володарского 23</t>
  </si>
  <si>
    <t>ГУП Тверьоблстройзаказчик, ледовый спорткомплекс</t>
  </si>
  <si>
    <t>спорткомплекс</t>
  </si>
  <si>
    <t>125-ТП/12-07</t>
  </si>
  <si>
    <t>ЗАО Стекол. завод Альгеском</t>
  </si>
  <si>
    <t>ООО Технопарк Кимры</t>
  </si>
  <si>
    <t>научно-пр.комплекс, г.Кимры Старозаводская 19</t>
  </si>
  <si>
    <t>183-ТП/06-08</t>
  </si>
  <si>
    <t>ООО Кимрское объединение Строитель</t>
  </si>
  <si>
    <t>60-кв ж/дом, Кольцова, 48</t>
  </si>
  <si>
    <t>СК "Пудица"</t>
  </si>
  <si>
    <t xml:space="preserve">Садоводческий кооп, Кимр.р-н, Устиновское с/п </t>
  </si>
  <si>
    <t>159-ТП/03-08</t>
  </si>
  <si>
    <t>ООО "Аверс"</t>
  </si>
  <si>
    <t>кемпинг</t>
  </si>
  <si>
    <t>78-ТП/10-07</t>
  </si>
  <si>
    <t>ГУП Тверьоблзем</t>
  </si>
  <si>
    <t>комплекс д Ушаково</t>
  </si>
  <si>
    <t>МГО ВФСО "Динамо"</t>
  </si>
  <si>
    <t>рыббаза "Московское море" Кимрский р-н, Подберезское лесничество, кв № 52</t>
  </si>
  <si>
    <t>287-ТП/05-09</t>
  </si>
  <si>
    <t>ООО НТЦ Радиатор</t>
  </si>
  <si>
    <t xml:space="preserve">производство, г.Кимры, Орджоникидзе, 83а      </t>
  </si>
  <si>
    <t>ООО Фирма Реинвест</t>
  </si>
  <si>
    <t>ж/дом, г.Кимры Троицкая, 69</t>
  </si>
  <si>
    <t>ООО "БП"</t>
  </si>
  <si>
    <t>Комплексная автозаправочная станция Тверская область, Кимрский район, 14 км. 250 м автодороги Дубна – Кимры - Горицы в районе д.Богунино</t>
  </si>
  <si>
    <t>91-ТП/11-07</t>
  </si>
  <si>
    <t>ЗАО Хамильтон стандарт наука</t>
  </si>
  <si>
    <t>производств.к-с г. Кимры, Старозаводская, 18</t>
  </si>
  <si>
    <t>60-кв ж/д г. Кимры  Кольцова 48</t>
  </si>
  <si>
    <t>Щербаков С.Г.</t>
  </si>
  <si>
    <t>крестьянско-фермерское хозяйство, Кимрский р-н, в районе д.Ларцево, поле № 16</t>
  </si>
  <si>
    <t>Арзамасцев В.В</t>
  </si>
  <si>
    <t>350 кВт, 3 кат по 10 кВ</t>
  </si>
  <si>
    <t>348-ТП/11-0,9</t>
  </si>
  <si>
    <t>Никифорова С.В.</t>
  </si>
  <si>
    <t>крестьянско-фермерское хозяйство, Кимрский р-н, в районе д.Ларцево</t>
  </si>
  <si>
    <t>МГО ВФСО Динамо</t>
  </si>
  <si>
    <t>рыббаза, Кимрский р-н, Подберезское лесничество, квадрат № 52, бывшая д. Омутня</t>
  </si>
  <si>
    <t>С. Г. Гапотченко,</t>
  </si>
  <si>
    <t>ж/дом Каш р-н, д. Домажино уч. 075</t>
  </si>
  <si>
    <t>197-ТП/07-08</t>
  </si>
  <si>
    <t xml:space="preserve">С. Г. Гапотченко </t>
  </si>
  <si>
    <t>ж/дом Каш р-н, д. Домажино  уч. 076</t>
  </si>
  <si>
    <t>198ТП/07-08</t>
  </si>
  <si>
    <t>А.А. Манаков</t>
  </si>
  <si>
    <t>ж/дом Каш р-н, д. Домажино уч. 077</t>
  </si>
  <si>
    <t>199-ТП/07-08</t>
  </si>
  <si>
    <t>Шикунова Г.Д.</t>
  </si>
  <si>
    <t>жилой дом, Кашинский р-н, Барыковское с/п, д.Перетрясово</t>
  </si>
  <si>
    <t>Журавлева И.В.</t>
  </si>
  <si>
    <t>Казаков Ю.А</t>
  </si>
  <si>
    <t>Иващенко Ю.В.</t>
  </si>
  <si>
    <t>Чудаков А.В.</t>
  </si>
  <si>
    <t>Администрация Барыковского сельского поселения Кашинского района Тверской области</t>
  </si>
  <si>
    <t>площадка под строительство комплекса индивидуальных жилых домов_Кашинский район, дер. Барыково</t>
  </si>
  <si>
    <t>ООО "Землевед"</t>
  </si>
  <si>
    <t>кролиководческая ферма_Калязинский район, Нерльское с/п, д. Садки</t>
  </si>
  <si>
    <t>КХ "Василево"</t>
  </si>
  <si>
    <t>водоснабжение кр.хоз-ва, Кимр.р-н, д.Лосево</t>
  </si>
  <si>
    <t>214-ТП/09-08</t>
  </si>
  <si>
    <t>СНТ Медведица-Барки</t>
  </si>
  <si>
    <t>сад.некомм.тов-во</t>
  </si>
  <si>
    <t>ООО Снайп</t>
  </si>
  <si>
    <t>картофелехранилище, Кашинский район, Верхнетроицкое с/п, д. Поповка</t>
  </si>
  <si>
    <t>СНТ «Лесная поляна»</t>
  </si>
  <si>
    <t>СНТ, Кашинский район, Верхнетроицкое с/п, дер. Селихово, д.11</t>
  </si>
  <si>
    <t xml:space="preserve">Адм.Кашинского р-на </t>
  </si>
  <si>
    <t>Дом культуры, Луначарского</t>
  </si>
  <si>
    <t>ООО Ритм-2000</t>
  </si>
  <si>
    <t>супермаркет Тверской купец, Кашин ул. Советская, 15</t>
  </si>
  <si>
    <t>ГУП Тверьоблстройзаказчик</t>
  </si>
  <si>
    <t>районный дом культуры г. Кашин пл. Пролетарская, д. 20/2</t>
  </si>
  <si>
    <t>295-ТП/06-09</t>
  </si>
  <si>
    <t>ООО Василево</t>
  </si>
  <si>
    <t>25 инд. ж/домов, г. Кашин, Южная часть</t>
  </si>
  <si>
    <t xml:space="preserve">ОАО Торг.комп"Вереск" </t>
  </si>
  <si>
    <t xml:space="preserve">магазин Чистопрудная, 25 </t>
  </si>
  <si>
    <t>176-ТП/05-08</t>
  </si>
  <si>
    <t>магазин Калининское.ш, 2</t>
  </si>
  <si>
    <t>229-ТП/09-08</t>
  </si>
  <si>
    <t>магазин, г.Кашин, Калининское.ш, 2</t>
  </si>
  <si>
    <t>ООО КЖСиИ, г. Кашин</t>
  </si>
  <si>
    <t>5 эт.ж/дом, г.Кашин, Краснознаменская, 15</t>
  </si>
  <si>
    <t>123-ТП/12-07</t>
  </si>
  <si>
    <t>22 инд ж/дома, г.Кашин  Юж. часть</t>
  </si>
  <si>
    <t>ОАО Торговая компания Вереск</t>
  </si>
  <si>
    <t>242-ТП/11-08</t>
  </si>
  <si>
    <t>Адм-ция Письяковск с/п Кашин р-на</t>
  </si>
  <si>
    <t>п. Первомайский Кашин р-н Письяковск с/п п. Первомайский</t>
  </si>
  <si>
    <t>308-ТП/07-09</t>
  </si>
  <si>
    <t>Истер Н. А.</t>
  </si>
  <si>
    <t>админ.здание</t>
  </si>
  <si>
    <t>77-ТП/10-07</t>
  </si>
  <si>
    <t xml:space="preserve">Михеев А. Ю. </t>
  </si>
  <si>
    <t xml:space="preserve">рекр.комплекс, Кашинск.р-н, д.Окороково </t>
  </si>
  <si>
    <t>СПК Колхоз Мечты Ильича</t>
  </si>
  <si>
    <t>Семеноводческий комплекс, д. Дулепово Кашинский район</t>
  </si>
  <si>
    <t>312-ТП/08-09</t>
  </si>
  <si>
    <t>Колесников А. Н.</t>
  </si>
  <si>
    <t xml:space="preserve"> база отдыха Кашинский р-н вбл д Коробейниково и д Степаньково</t>
  </si>
  <si>
    <t>Илясов П. А.</t>
  </si>
  <si>
    <t>жилой дом Кашинский район, Карабузинское с/п, д. Каданово</t>
  </si>
  <si>
    <t xml:space="preserve">Савельев Ю. А. </t>
  </si>
  <si>
    <t>СТ Рябинушка</t>
  </si>
  <si>
    <t>насосная станция, Каляз р-н, д.Мицеево</t>
  </si>
  <si>
    <t>116-ТП/12-07</t>
  </si>
  <si>
    <t>СНП Сосновка</t>
  </si>
  <si>
    <t>д. Сосновка, д. Инальцево</t>
  </si>
  <si>
    <t>СНТ "Барское"</t>
  </si>
  <si>
    <t>дачные дома, Калязинский район, Алферовское с/п, д. Глазково</t>
  </si>
  <si>
    <t>340-ТП/10-09</t>
  </si>
  <si>
    <t xml:space="preserve">Данилов О. Г. </t>
  </si>
  <si>
    <t>6 ж/домов г. Калязин, район ул. Новая</t>
  </si>
  <si>
    <t xml:space="preserve">Плавник П. Г. </t>
  </si>
  <si>
    <t xml:space="preserve">Данилов Г. А. </t>
  </si>
  <si>
    <t>ООО Ультра-Нова</t>
  </si>
  <si>
    <t>30 ж/домов , водозабор, КНС, г. Калязин район ул. Новая</t>
  </si>
  <si>
    <t>СНТ "Звезда"</t>
  </si>
  <si>
    <t>15 ж/домов г. Калязин, район близи д.Носово</t>
  </si>
  <si>
    <t>ООО "РИК-Инвест"</t>
  </si>
  <si>
    <t>база отдыха, Калязинский р-н, Алферовское с/п, д.Мышино</t>
  </si>
  <si>
    <t>ООО Регион СМ</t>
  </si>
  <si>
    <t>АЗС, г.Калязин, Юж.часть промзоны</t>
  </si>
  <si>
    <t>104-ТП/12-07</t>
  </si>
  <si>
    <t xml:space="preserve">ГУП Тверьоблстройзаказчик, </t>
  </si>
  <si>
    <t>котельная, г Калязин, ул.Школьная</t>
  </si>
  <si>
    <t>Администрация Калязинского р-на</t>
  </si>
  <si>
    <t>застройка</t>
  </si>
  <si>
    <t>СНТ "Прибрежное"</t>
  </si>
  <si>
    <t>СНТ, Калязинский р-н, Алферовский с/о, д.Чаплино</t>
  </si>
  <si>
    <t>307-ТП/07-09</t>
  </si>
  <si>
    <t>Королькова А.К.</t>
  </si>
  <si>
    <t>базовая станция подвижной радиосвязи стандарта TETRA  Тверская обл., Калининский р-н, п. Эммаус</t>
  </si>
  <si>
    <t>219-07-ТП</t>
  </si>
  <si>
    <t xml:space="preserve">Искусственное электроосвещение автомобильной дороги, Тверская область, автомобильная дорога М-10 "Россия" - от Москвы через Тверь, Новгород до Санкт-Петербурга подъезд к г. Тверь км 153+913 - км 155+573 </t>
  </si>
  <si>
    <t>247-ТП/11-08</t>
  </si>
  <si>
    <t>Жилой дом Е. Ю. Морозова</t>
  </si>
  <si>
    <t>Конаковский р-н Ю-Девичское с/п, д. Едимоново</t>
  </si>
  <si>
    <t>Жигулина В.А.</t>
  </si>
  <si>
    <t>Жилой дом, Тверская область, Конаковский район, д. Едимоновские Горки</t>
  </si>
  <si>
    <t>216-ТП/09-08</t>
  </si>
  <si>
    <t>ООО "ГеоСервис"</t>
  </si>
  <si>
    <t>база отдыха "Остров", Калинин.р-н, Остров, 232 км.р.Волга</t>
  </si>
  <si>
    <t>287/1-ТП/05-09</t>
  </si>
  <si>
    <t>Носанов Александр Михайлович</t>
  </si>
  <si>
    <t>крестьянское хозяйство, Конаковский район, Юрьево-Девическое с/п, район дер. Андрейцево</t>
  </si>
  <si>
    <t xml:space="preserve">ООО  «Крестьянское Загорье 1» </t>
  </si>
  <si>
    <t>Коттеджная застройка  в районе  д.Осиновки</t>
  </si>
  <si>
    <t>Старикова Евгения Семеновна</t>
  </si>
  <si>
    <t>жилой дом, Тверская область, Конаковский район, Юрьево-Девическое с/п, район дер. Загорье</t>
  </si>
  <si>
    <t xml:space="preserve">ООО  «Крестьянское Загорье 2» </t>
  </si>
  <si>
    <t>Коттеджная застройка  в районе  д.Загорье</t>
  </si>
  <si>
    <t xml:space="preserve">ООО  «Крестьянское Загорье 3» </t>
  </si>
  <si>
    <t>База отдыха  в районе  д.Загорье</t>
  </si>
  <si>
    <t xml:space="preserve">ООО «КРХ Нефедиха» </t>
  </si>
  <si>
    <t>База отдыха  в районе  д. Едимоновские Горки</t>
  </si>
  <si>
    <t xml:space="preserve">ООО «Риверсайд Девелопмент» </t>
  </si>
  <si>
    <t>Коттеджный поселок в районе д. Бабня</t>
  </si>
  <si>
    <t>ТВ 324-01-ТВ от 21.06.2006г</t>
  </si>
  <si>
    <t>337-ТП/10-09</t>
  </si>
  <si>
    <t>ООО "Омнипак-Тверь"</t>
  </si>
  <si>
    <t>З-д по произв-ву упаковки для ж.пищ. продуктов, п. Редкино,Конак. р-на</t>
  </si>
  <si>
    <t>70-ТП/09-07</t>
  </si>
  <si>
    <t>МУ Администрация гор с/п Редкино</t>
  </si>
  <si>
    <t>108-кв. ж/дом п. Редкино, ул. Фадеева. 12</t>
  </si>
  <si>
    <t>ООО "Вергокан"</t>
  </si>
  <si>
    <t>Пром.предприятие по произв-ву металлоконструкций, Конаковск. р-н, п.Редкино, Промышленная</t>
  </si>
  <si>
    <t>173-ТП/05-08</t>
  </si>
  <si>
    <t>ООО Альстром Тверь</t>
  </si>
  <si>
    <t>п. Редкино, Конаковский р-н, Промышленная, 11</t>
  </si>
  <si>
    <t>ООО "СовСтройТех"</t>
  </si>
  <si>
    <t>190 кв. жилой доми с офисными помещениями, Конаковский район, ул.Фадеева, д.12</t>
  </si>
  <si>
    <t>ОАО "ЖКХ Редкино"</t>
  </si>
  <si>
    <t>Тверская обл., Конаковский р-н, п. Редкино</t>
  </si>
  <si>
    <t>Рамешковский  район</t>
  </si>
  <si>
    <t>ММУ "Рамешковская ЦРБ"</t>
  </si>
  <si>
    <t>офис врача общей практики, Рамешковский р-н, п.Алешино, д.86</t>
  </si>
  <si>
    <t>Очистные сооружения, Тверская область, Рамешковский р-он, с. Застолбье</t>
  </si>
  <si>
    <t>101-ТП/12-07</t>
  </si>
  <si>
    <t>Администрация Рамешковского района Тверской области</t>
  </si>
  <si>
    <t>Тверское отдел №8607 Акцион.комм.Сбербанка РФ</t>
  </si>
  <si>
    <t>Адм.здание банка, пос.Рамешки, ул Советская, д.45</t>
  </si>
  <si>
    <t>Зорина О.Э.</t>
  </si>
  <si>
    <t>230-ТП/09-08</t>
  </si>
  <si>
    <t xml:space="preserve">Администрация городского сельского поселения </t>
  </si>
  <si>
    <t>девятиквартирный трехэтажный жилой дом, Тверская область, п. Рамешки, ул. Советская, д. 37</t>
  </si>
  <si>
    <t>Осипов В.И.</t>
  </si>
  <si>
    <t>база отдыха, Рамешков. район,   д.Старое Долино</t>
  </si>
  <si>
    <t>Бежецкие Электрические сети</t>
  </si>
  <si>
    <t>Вышневолоцкие Электрические сети</t>
  </si>
  <si>
    <t xml:space="preserve">Вышневолоцкие Электрические сети </t>
  </si>
  <si>
    <t>Кимрские Электрические сети</t>
  </si>
  <si>
    <t>Ржевские Электрические сети</t>
  </si>
  <si>
    <t>Сусов М.В.</t>
  </si>
  <si>
    <t>урочище Фомино</t>
  </si>
  <si>
    <t>127-ТП/12-07</t>
  </si>
  <si>
    <t>Губченко П.Е.</t>
  </si>
  <si>
    <t>здание кафе, г.Белый, Октябрьская, 4</t>
  </si>
  <si>
    <t>153-ТП/12-07</t>
  </si>
  <si>
    <t xml:space="preserve">СПК Западнодвинское молоко </t>
  </si>
  <si>
    <t>цех по переработке молока, Западнодвинский район, д. Бибирев</t>
  </si>
  <si>
    <t>ООО "ЭкоСап"</t>
  </si>
  <si>
    <t>цех, д.Данилино</t>
  </si>
  <si>
    <t>225-ТП/09-08</t>
  </si>
  <si>
    <t>ООО "ЛУКОЙЛ - Центрнефтепродукт"</t>
  </si>
  <si>
    <t>АЗС, Нелидовский р-н, д.Подберезье</t>
  </si>
  <si>
    <t>ООО РЭК</t>
  </si>
  <si>
    <t>многофункц.зал г.З.Двина, Пролетарская</t>
  </si>
  <si>
    <t>ЗАО Магистраль</t>
  </si>
  <si>
    <t>АЗС, Западнодвинский р-н д. Новоивановское, 368 км</t>
  </si>
  <si>
    <t>ООО "Контакт-С"</t>
  </si>
  <si>
    <t>стройгородок, Нелидовский р-н, д.Подберезье</t>
  </si>
  <si>
    <t>ООО "Лесозаво Сияние"</t>
  </si>
  <si>
    <t xml:space="preserve">Ховренок И.Н.   </t>
  </si>
  <si>
    <t>здание-хранилище, г.Торопец</t>
  </si>
  <si>
    <t>ООО "Гекса-нетканные материалы"</t>
  </si>
  <si>
    <t>произв.база, д.Лесная</t>
  </si>
  <si>
    <t>Итого текущий дефицит (зима)</t>
  </si>
  <si>
    <t>+</t>
  </si>
  <si>
    <t>№ п/п</t>
  </si>
  <si>
    <t>Перечень закрытых центров питания ОАО "МРСК Центра"
 по ожидаемым нагрузкам  с учетом подключения новых мощностей по технологическому присоединению и др.развития э/сетевого комплекса</t>
  </si>
  <si>
    <t>Тверская область, Калининский район, Заволжское с/п, район дер. Дмитрово-Черкассы</t>
  </si>
  <si>
    <t>ОАО "Ритм" Тверское производство тормозной аппаратуры</t>
  </si>
  <si>
    <t>г. Тверь, пр-кт 50 лет Октября, д. 45, стр. 3.</t>
  </si>
  <si>
    <t>ОАО "Тверьстрой"</t>
  </si>
  <si>
    <t>420 кв. жилой дом с помещениями общественного назначения по ул. Георгиевская, к.1,2,3 г. Тверь ОАО "Тверьстрой"_г. Тверь, ул.Георгиевская, к. 1,2,3 пос. Мамулино</t>
  </si>
  <si>
    <t>объекты жилья и соцкультурбыта в микрорайоне "Архангельское", Конаковский район, Мокшинское с/п, вблизи д. Вараксино</t>
  </si>
  <si>
    <t>СТ "Гранит"</t>
  </si>
  <si>
    <t>садоводческое товарищество_Тверская область, Конаковский район, Городенское с/п, район с. Городня</t>
  </si>
  <si>
    <t>вводное устройство универсального магазина "Вереск"_Тверская область, Пеновский район, пос. Пено, ул. Л. Чайкиной, д. 95 а.</t>
  </si>
  <si>
    <t>Шишкина Юлия Евненьевна</t>
  </si>
  <si>
    <t>вводное устройство жилого дома с постройками для ведения личного подсобного хозяйства_Тверская область, Андреапольский район, Волокское с/п, дер. Ям</t>
  </si>
  <si>
    <t>Большов Сергей Вячеславович</t>
  </si>
  <si>
    <t>вводное устройство крестьянско-фермерского хозяйства_Тверская область, Калязинский район, Капшинский с/о, вблизи дер. Коротково</t>
  </si>
  <si>
    <t>СНП "Сосновка"</t>
  </si>
  <si>
    <t>Тверская область, Калязинский район, Старобисловское с/п, в районе дер. Инальцево</t>
  </si>
  <si>
    <t>Государственное учреждение "Комплексный центр социального обслуживания населения" Краснохолмского района Тверской области</t>
  </si>
  <si>
    <t>ООО "Заборовье"</t>
  </si>
  <si>
    <t>Тверская область, Калининский район, Каблуковское с/п, дер. Судимирка кадастровый номер 69:10:0000018:1116</t>
  </si>
  <si>
    <t>Тверская область, Калининский район, Каблуковское с/п, дер. Судимирка кадастровый номер 69:10:0000018:1117</t>
  </si>
  <si>
    <t>Габидулин Рустам Габдуллович</t>
  </si>
  <si>
    <t>вводное устройство жилого дома_Тверская область, Калязинский район, Капшинский с/о, дер. Коротково</t>
  </si>
  <si>
    <t>ДНТ "Сказка"</t>
  </si>
  <si>
    <t>дачное некоммерческое товарищество_Тверская область, Старицкий район, Васильевское с/п, дер. Городище</t>
  </si>
  <si>
    <t>Кузнецова Лидия Ефимовна</t>
  </si>
  <si>
    <t>вводное устройство гаража_Тверская область, г. Красный Холм, ул. Октябрьская</t>
  </si>
  <si>
    <t>Тверское региональное отделение Северо-Западного филиала ОАО "МегаФон</t>
  </si>
  <si>
    <t>Тверская область, г.Тверь, промзона Лазурная, д. 35</t>
  </si>
  <si>
    <t>2-х этажный 27 квартирный жилой дом, Калининский район, Бурашевское с/п, дер Салыгино</t>
  </si>
  <si>
    <t>ООО "Логопартс"</t>
  </si>
  <si>
    <t>усадьба Верхняя Волга, Зубцовский район, д. Юркино</t>
  </si>
  <si>
    <t>283-ТП/04-09</t>
  </si>
  <si>
    <t>ООО "Тоталойл-Ржев"</t>
  </si>
  <si>
    <t>многотоплевный АЗК, Зубцовскуий р-н, д.Петровское</t>
  </si>
  <si>
    <t>286-ТП/05-09</t>
  </si>
  <si>
    <t>ООО "Строительная компания Запад"</t>
  </si>
  <si>
    <t>АЗС, 306-307 км р-н автодор Москва-Рига</t>
  </si>
  <si>
    <t>132-ТП/12-07</t>
  </si>
  <si>
    <t>ЗАО "Шелл Нефть"</t>
  </si>
  <si>
    <t>АЗС, Нелидовский р-н Селянское с/п</t>
  </si>
  <si>
    <t xml:space="preserve">261-ТП/12-08 </t>
  </si>
  <si>
    <t>ООО "Юридическое бюро "Содействие"</t>
  </si>
  <si>
    <t>Дом охотника, Тверская область, Старицкий район, Ново-Ямское с/п, д. Дегунино</t>
  </si>
  <si>
    <t>реабилит.центр, д.Н.Ямская</t>
  </si>
  <si>
    <t>90-ТП/11-07</t>
  </si>
  <si>
    <t>ГУП ТОСЗ старицкий филиал объедин. Гос. Музея, г. Старица ул. Володарского</t>
  </si>
  <si>
    <t>лед.спорткомплекс, Старица, Чернозерского</t>
  </si>
  <si>
    <t>97-ТП/11-07</t>
  </si>
  <si>
    <t>2-я очерпедь строит-ва поликлиники, г. Старица</t>
  </si>
  <si>
    <t>ЗАО Строительная компания "Союз"</t>
  </si>
  <si>
    <t>23-квартирный жилой дом, Тверская область, г. Старица, ул. Захарова, д. 95</t>
  </si>
  <si>
    <t>346-ТП/10-09</t>
  </si>
  <si>
    <t>Старицкий Свято-Успенский мужской монастырь Тверской Епархии Русской Православной церкви</t>
  </si>
  <si>
    <t>Дачный потребительский кооператив "Приток"</t>
  </si>
  <si>
    <t>Дачный потребительский кооператив "Приток", Кимрский район, Титовское с/п, д. Притыкино</t>
  </si>
  <si>
    <t>Петров Денис Михайлович</t>
  </si>
  <si>
    <t>приусадебное хозяйство, Сттарицкий район, Васильевское с/п, вблизи дер. Акишево, дер. Кучково</t>
  </si>
  <si>
    <t>344-ТП/10-09</t>
  </si>
  <si>
    <t xml:space="preserve">ООО Старземинвест </t>
  </si>
  <si>
    <t>70 дачных домов д. Сасынье Старицкий р-н</t>
  </si>
  <si>
    <t xml:space="preserve">Администрация Стариц района </t>
  </si>
  <si>
    <t>школа, Старицкий р-н д Степурино</t>
  </si>
  <si>
    <t xml:space="preserve">МИИПО Репутация </t>
  </si>
  <si>
    <t>Гост.комплекс, д.Гурьево</t>
  </si>
  <si>
    <t>Коттедж.посёлокд. Чурилово</t>
  </si>
  <si>
    <t xml:space="preserve">ЗАО Шелл нефть </t>
  </si>
  <si>
    <t>транс-логист. Комплекс, Торжок, Чехова</t>
  </si>
  <si>
    <t>227-ТП/09-08</t>
  </si>
  <si>
    <t xml:space="preserve">ГУП Тверьоблстройзаказчик </t>
  </si>
  <si>
    <t>педучилище, Торжок, Ленингр. Шоссе, 19</t>
  </si>
  <si>
    <t xml:space="preserve">ООО Трансстроймеханизация </t>
  </si>
  <si>
    <t>база в п. Славный Торжокского р-на территория ОНО ОПХ ВНИИЛ</t>
  </si>
  <si>
    <t>ГУП Тверьоблстройзакзачик</t>
  </si>
  <si>
    <t>дет сад г. Торжок</t>
  </si>
  <si>
    <t>ООО "Залесье"</t>
  </si>
  <si>
    <t>Охотохозяйство, г. Торжок</t>
  </si>
  <si>
    <t>26-ТП/11-06</t>
  </si>
  <si>
    <t xml:space="preserve">зал к школе, п.Грузины </t>
  </si>
  <si>
    <t xml:space="preserve">ЗАО Компания Волгодорстрой </t>
  </si>
  <si>
    <t>передв. база, д.Марьино</t>
  </si>
  <si>
    <t>134-ТП/12-07</t>
  </si>
  <si>
    <t xml:space="preserve">ФГУ Упрдор "Россия" </t>
  </si>
  <si>
    <t>нар.осв.автодороги М-10 д. Дубровка</t>
  </si>
  <si>
    <t>222-ТП/09-08</t>
  </si>
  <si>
    <t>ФГУ Упрдор "Россия"</t>
  </si>
  <si>
    <t>нар.осв.автодороги М-10, д. Марьино</t>
  </si>
  <si>
    <t>244-ТП/11-08</t>
  </si>
  <si>
    <t>нар.осв.автодороги, Торжокский район, на участке км 111+900 - км 258+00</t>
  </si>
  <si>
    <t>нар.осв.автодороги  М-10 д. Миронежье</t>
  </si>
  <si>
    <t>303-ТП/06-09</t>
  </si>
  <si>
    <t>Администр. Кувш. р-на</t>
  </si>
  <si>
    <t>27-кв. ж/дом, Кувшиново, Гагарина, 4а</t>
  </si>
  <si>
    <t>118-ТП/12-07</t>
  </si>
  <si>
    <t xml:space="preserve"> цех, Кувшин р-н,  п.Сокольники</t>
  </si>
  <si>
    <t>ООО "Управляющая компания Прагма Капитал</t>
  </si>
  <si>
    <t>ж/комплекс Селищенское с/п, т/б Чайка</t>
  </si>
  <si>
    <t>234-ТП/10-08</t>
  </si>
  <si>
    <t>ООО Эмирус-текстиль</t>
  </si>
  <si>
    <t xml:space="preserve">здание шв.цеха Селиж.р-н, д.Березуг </t>
  </si>
  <si>
    <t>Башкова В.Г.</t>
  </si>
  <si>
    <t>ж/комплекс, д.Хотошино</t>
  </si>
  <si>
    <t>215-ТП/09-08</t>
  </si>
  <si>
    <t xml:space="preserve">ООО "Тверьстроймаш"
</t>
  </si>
  <si>
    <t>Курортно-гостиничный комплекс Тверская обл., Селижаровский р-н.,п.Селище</t>
  </si>
  <si>
    <t>130-ТП/12-07</t>
  </si>
  <si>
    <t>ООО "Эколес"</t>
  </si>
  <si>
    <t>вводное устройство постоялого двора_Тверская область, Ржевский район, с/п "Итомля", дер. Дурово</t>
  </si>
  <si>
    <t>Филиал "Оргстройпроект" ОАО "Мосэнергострой</t>
  </si>
  <si>
    <t xml:space="preserve">12-14-16-этажный 5-ти секционный жилой дом_Тверская область, г.Тверь, ул. Склизкова, д. 100. </t>
  </si>
  <si>
    <t>Панкратьев Виктор Германович_вводное устройство кафе и автостоянки</t>
  </si>
  <si>
    <t>вводное устройство кафе и автостоянки_Конаковский район, с. Завидово, ул. Ленинградская, д. 97 а.</t>
  </si>
  <si>
    <t>Дефицит</t>
  </si>
  <si>
    <t>Профицит</t>
  </si>
  <si>
    <t>ПС  35/10 кВ Алексейково</t>
  </si>
  <si>
    <t xml:space="preserve">ПС 35/10 кВ Беляницы </t>
  </si>
  <si>
    <t xml:space="preserve">ПС 35/10 кВ Борисовское </t>
  </si>
  <si>
    <t xml:space="preserve">ПС 35/10 кВ Высокуша  </t>
  </si>
  <si>
    <t xml:space="preserve">ПС 35/10 кВ Гостиница </t>
  </si>
  <si>
    <t xml:space="preserve">ПС  35/10 кВ Григорово </t>
  </si>
  <si>
    <t xml:space="preserve">ПС 35/10 кВ Деледино </t>
  </si>
  <si>
    <t xml:space="preserve">ПС 35/10 кВ Зараменье </t>
  </si>
  <si>
    <t xml:space="preserve">ПС 35/10 кВ Зобы </t>
  </si>
  <si>
    <t xml:space="preserve">ПС 35/10 кВ Кой  </t>
  </si>
  <si>
    <t xml:space="preserve">ПС 35/10 кВ Ладожское  </t>
  </si>
  <si>
    <t xml:space="preserve">ПС 35/10 кВ Литвиново </t>
  </si>
  <si>
    <t xml:space="preserve">ПС 35/10 кВ Лощемля  </t>
  </si>
  <si>
    <t xml:space="preserve">ПС 35/10 кВ Любегощи </t>
  </si>
  <si>
    <t xml:space="preserve">ПС 35/10 кВ Мартыново </t>
  </si>
  <si>
    <t xml:space="preserve">ПС 35/10 кВ Михайловское  </t>
  </si>
  <si>
    <t xml:space="preserve">ПС 35/10 кВ Морозово  </t>
  </si>
  <si>
    <t xml:space="preserve">ПС 35/10 кВ Поповка </t>
  </si>
  <si>
    <t xml:space="preserve">ПС 35/10 кВ Романцево </t>
  </si>
  <si>
    <t xml:space="preserve">ПС 35/10 кВ Старое Сандово </t>
  </si>
  <si>
    <t xml:space="preserve">ПС 35/10 кВ Сукромны </t>
  </si>
  <si>
    <t xml:space="preserve">ПС 35/10 кВ Теблеши </t>
  </si>
  <si>
    <t xml:space="preserve">ПС 35/10 кВ Трестна </t>
  </si>
  <si>
    <t xml:space="preserve">ПС  35/10 кВ Фралёво </t>
  </si>
  <si>
    <t xml:space="preserve">ПС 35/10 кВ Чамерово </t>
  </si>
  <si>
    <t xml:space="preserve">ПС 110/10 кВ Ахматово </t>
  </si>
  <si>
    <t xml:space="preserve">ПС 110/10 кВ Кладово </t>
  </si>
  <si>
    <t xml:space="preserve">ПС 110/10 кВ Лаптиха </t>
  </si>
  <si>
    <t xml:space="preserve">ПС 110/10 кВ Малышево </t>
  </si>
  <si>
    <t xml:space="preserve">ПС 110/10 кВ Старт </t>
  </si>
  <si>
    <t xml:space="preserve">ПС 110/35 кВ Рассвет </t>
  </si>
  <si>
    <t xml:space="preserve">ПС 110/35/10 кВ Иваново </t>
  </si>
  <si>
    <t xml:space="preserve">ПС 110/35/10 кВ Кесьма </t>
  </si>
  <si>
    <t xml:space="preserve">ПС 110/35/10 кВ Моркины Горы </t>
  </si>
  <si>
    <t xml:space="preserve">ПС 110/35/10 кВ Топалки  </t>
  </si>
  <si>
    <t xml:space="preserve">ПС 35/10 кВ Березьё  </t>
  </si>
  <si>
    <t xml:space="preserve">ПС 35/10 кВ Лесное </t>
  </si>
  <si>
    <t xml:space="preserve">ПС 35/10 кВ Максатиха   </t>
  </si>
  <si>
    <t xml:space="preserve">ПС 35/10 кВ Молоково </t>
  </si>
  <si>
    <t>ПС 35/10 кВ Новокотово</t>
  </si>
  <si>
    <t xml:space="preserve">ПС 35/10 кВ Ривзавод  </t>
  </si>
  <si>
    <t xml:space="preserve">ПС 35/10 кВ Сонково </t>
  </si>
  <si>
    <t xml:space="preserve">ПС 35/10 кВ Сулежский Борок </t>
  </si>
  <si>
    <t xml:space="preserve">ПС 110/10 кВ Шишково Дуброво </t>
  </si>
  <si>
    <t xml:space="preserve">ПС 110/35/10 кВ Весьегонск </t>
  </si>
  <si>
    <t xml:space="preserve">ПС 110/35/10 кВ ДВП  </t>
  </si>
  <si>
    <t xml:space="preserve">ПС 110/35/10 кВ Красный Холм </t>
  </si>
  <si>
    <t xml:space="preserve">ПС 110/35/10 кВ Поречье </t>
  </si>
  <si>
    <t xml:space="preserve">ПС 110/35/10 кВ Сандово </t>
  </si>
  <si>
    <t xml:space="preserve">ПС 110/35/10 кВ Шолмино </t>
  </si>
  <si>
    <t xml:space="preserve">ПС 35/6 кВ Бельский Карьер </t>
  </si>
  <si>
    <t xml:space="preserve">ПС 35/10 кВ Дубровка </t>
  </si>
  <si>
    <t xml:space="preserve">ПС 35/10 кВ Жилотково </t>
  </si>
  <si>
    <t xml:space="preserve">ПС 35/10 кВ Копачево </t>
  </si>
  <si>
    <t xml:space="preserve">ПС 35/10 кВ Кузнецово </t>
  </si>
  <si>
    <t xml:space="preserve">ПС 35/10 кВ Лужниково </t>
  </si>
  <si>
    <t xml:space="preserve">ПС 35/10 кВ Насакино  </t>
  </si>
  <si>
    <t xml:space="preserve">ПС 110/35 кВ Октябрьский Карьер </t>
  </si>
  <si>
    <t xml:space="preserve">ПС 35/10 кВ Порожки </t>
  </si>
  <si>
    <t>ПС 35/6 кВ ХБК</t>
  </si>
  <si>
    <t xml:space="preserve">ПС 35/6 кВ №5 </t>
  </si>
  <si>
    <t xml:space="preserve">ПС 35/10 кВ 9-е Января  </t>
  </si>
  <si>
    <t xml:space="preserve">ПС 35/6 кВ АКУ </t>
  </si>
  <si>
    <t xml:space="preserve">ПС 35/6 кВ Афанасово </t>
  </si>
  <si>
    <t xml:space="preserve">ПС 35/6 кВ Борисово </t>
  </si>
  <si>
    <t xml:space="preserve">ПС 35/10 кВ Боровно </t>
  </si>
  <si>
    <t xml:space="preserve">ПС 110/10 кВ Бушевец </t>
  </si>
  <si>
    <t xml:space="preserve">ПС 35/6 кВ Великий Октябрь </t>
  </si>
  <si>
    <t xml:space="preserve">ПС 35/10 кВ Выдропужск </t>
  </si>
  <si>
    <t xml:space="preserve">ПС 35/10 кВ Голубые Озера  </t>
  </si>
  <si>
    <t xml:space="preserve">ПС 35/10 кВ ДОЗ </t>
  </si>
  <si>
    <t xml:space="preserve">ПС 35/10 кВ Дятлово </t>
  </si>
  <si>
    <t xml:space="preserve">ПС 35/10 кВ Есеновичи </t>
  </si>
  <si>
    <t xml:space="preserve">ПС 35/10 кВ ЖБИ  </t>
  </si>
  <si>
    <t>ПС  35/10 кВ Заозерная</t>
  </si>
  <si>
    <t xml:space="preserve">ПС 35/10 кВ Княщины  </t>
  </si>
  <si>
    <t xml:space="preserve">ПС 35/10 кВ Козлово </t>
  </si>
  <si>
    <t xml:space="preserve">ПС 35/10 кВ Красное Знамя </t>
  </si>
  <si>
    <t xml:space="preserve">ПС 35/6 кВ Красный Май </t>
  </si>
  <si>
    <t xml:space="preserve">ПС 35/10 кВ Куженкино </t>
  </si>
  <si>
    <t xml:space="preserve">ПС 35/10 кВ Лукино  </t>
  </si>
  <si>
    <t xml:space="preserve">ПС 35/6 кВ Макарово  </t>
  </si>
  <si>
    <t xml:space="preserve">ПС 110/10 кВ Манхино </t>
  </si>
  <si>
    <t xml:space="preserve">ПС 35/10 кВ Молдино </t>
  </si>
  <si>
    <t xml:space="preserve">ПС 35/10 кВ Ново-Кузьминская </t>
  </si>
  <si>
    <t xml:space="preserve">ПС 35/6 кВ ОЭЗ  </t>
  </si>
  <si>
    <t xml:space="preserve">ПС 35/10 кВ Плотично  </t>
  </si>
  <si>
    <t xml:space="preserve">ПС 35/10 кВ Попово  </t>
  </si>
  <si>
    <t>ПС 35/10 кВ Пролетарий</t>
  </si>
  <si>
    <t xml:space="preserve">ПС 35/10 кВ Рождество </t>
  </si>
  <si>
    <t xml:space="preserve">ПС 35/10 кВ Ряд </t>
  </si>
  <si>
    <t xml:space="preserve">ПС 35/10 кВ Сеглино  </t>
  </si>
  <si>
    <t xml:space="preserve">ПС 35/10 кВ Сороки </t>
  </si>
  <si>
    <t xml:space="preserve">ПС 35/10 кВ Терелесово </t>
  </si>
  <si>
    <t xml:space="preserve">ПС 35/10 кВ Тимково </t>
  </si>
  <si>
    <t xml:space="preserve">ПС 35/10 кВ Фирово </t>
  </si>
  <si>
    <t xml:space="preserve">ПС 35/6 кВ Юбилейная </t>
  </si>
  <si>
    <t xml:space="preserve">ПС 35/10 кВ Яконово </t>
  </si>
  <si>
    <t xml:space="preserve">ПС 110/35/10 кВ Брусово  </t>
  </si>
  <si>
    <t xml:space="preserve">ПС 110/35/6 кВ Вышний Волочек </t>
  </si>
  <si>
    <t xml:space="preserve">ПС 110/35/10-6 кВ Кашарово </t>
  </si>
  <si>
    <t xml:space="preserve">ПС 110/35/10 кВ Спирово </t>
  </si>
  <si>
    <t>ПС 110/35/10 кВ Труд</t>
  </si>
  <si>
    <t xml:space="preserve">ПС 110/35/10 кВ Удомля  </t>
  </si>
  <si>
    <t xml:space="preserve">ПС 110/35/10 кВ Холохоленка </t>
  </si>
  <si>
    <t xml:space="preserve">ПС 110/35/10 кВ Леонтьево </t>
  </si>
  <si>
    <t xml:space="preserve">ПС  35/6 кВ Микрорайонная </t>
  </si>
  <si>
    <t xml:space="preserve">ПС  35/10 кВ Барыково </t>
  </si>
  <si>
    <t xml:space="preserve">ПС 35/10 кВ Вега </t>
  </si>
  <si>
    <t xml:space="preserve"> ПС 35/10 кВ Волга </t>
  </si>
  <si>
    <t xml:space="preserve">ПС 35/10 кВ Ильинское </t>
  </si>
  <si>
    <t xml:space="preserve">ПС  35/10 кВ Калязин </t>
  </si>
  <si>
    <t xml:space="preserve">ПС 35/10 кВ Кимры </t>
  </si>
  <si>
    <t xml:space="preserve"> ПС 35/10 кВ Козьмодемьяновская </t>
  </si>
  <si>
    <t xml:space="preserve">ПС  35/10 кВ Курортная </t>
  </si>
  <si>
    <t xml:space="preserve"> ПС 35/10 кВ Маяк </t>
  </si>
  <si>
    <t xml:space="preserve"> ПС 35/10 кВ Микрорайонная </t>
  </si>
  <si>
    <t xml:space="preserve">ПС 35/10 кВ Плутково  </t>
  </si>
  <si>
    <t xml:space="preserve">ПС 35/10 кВ Савцино </t>
  </si>
  <si>
    <t xml:space="preserve">ПС 35/10 кВ Сотское </t>
  </si>
  <si>
    <t xml:space="preserve">ПС 35/10 кВ Стоянцы </t>
  </si>
  <si>
    <t>ООО «Тверской хладокомбинат»</t>
  </si>
  <si>
    <t>холодильное оборудование г.Тверь, пос. Элеватор, 3-й пер., д.6</t>
  </si>
  <si>
    <t>ЗАО «Тверской хладокомбинат»</t>
  </si>
  <si>
    <t>Эрлихман Г.Я.</t>
  </si>
  <si>
    <t>Адм.здание, В.Новгорода, 19</t>
  </si>
  <si>
    <t>г.Тверь, ул. 15 лет Октября</t>
  </si>
  <si>
    <t>ГУ УВО УВД Тверской области</t>
  </si>
  <si>
    <t>Адм.здание, Озерная, д.11</t>
  </si>
  <si>
    <t>106-ТП/12-07</t>
  </si>
  <si>
    <t>ООО "Петротест"</t>
  </si>
  <si>
    <t>Офис в г. Твери, ул. Макарова, д. 91</t>
  </si>
  <si>
    <t>86-ТП/11-07</t>
  </si>
  <si>
    <t>ООО Цитадель</t>
  </si>
  <si>
    <t>ж/дом ул. Учитьельская, д 6 кор 1</t>
  </si>
  <si>
    <t>Л.Б. Соклеткина</t>
  </si>
  <si>
    <t>8-ми кв. 4-х эт.ж/дом, Макарова, д.3</t>
  </si>
  <si>
    <t>193-ТП/07-08</t>
  </si>
  <si>
    <t xml:space="preserve">реконструкция  Драмтеатра, Советская </t>
  </si>
  <si>
    <t xml:space="preserve">Моторкина Б.Н., Торновская З.М </t>
  </si>
  <si>
    <t>гостиница г. Тверь, ул. Бебеля, д. 29</t>
  </si>
  <si>
    <t>офисное здание г. Тверь, ул. Брагина, д. 3</t>
  </si>
  <si>
    <t xml:space="preserve">кожно - вендиспансер - 2-ая очередь, 75 кВт (ранее разрешенная – 64 кВт)  </t>
  </si>
  <si>
    <t xml:space="preserve">ООО «Строительная Компания «АНТЕЙ»» </t>
  </si>
  <si>
    <t>реконструкция стадиона «Центральный»</t>
  </si>
  <si>
    <t>0226-ТП/12-08</t>
  </si>
  <si>
    <t>ООО Торговый дом Сокол</t>
  </si>
  <si>
    <t>объект недвиж-ти, г. Тверь, ул. П. Савельевой, 57</t>
  </si>
  <si>
    <t>ООО "Арсенал"</t>
  </si>
  <si>
    <t>Продовольственная база,
 г. Тверь, проезд Патона, дом 10</t>
  </si>
  <si>
    <t>218-ТП/09-08</t>
  </si>
  <si>
    <t xml:space="preserve">Лакуфа- Тверь </t>
  </si>
  <si>
    <t>Садоводческое товарищество "Швейник"</t>
  </si>
  <si>
    <t>Тверская область, Калининский район, дер. Кобячево</t>
  </si>
  <si>
    <t>236-ТП/10-08</t>
  </si>
  <si>
    <t>ОАО "Энергострой-Холдинг" (филиал ОАО "Энергострой-Холдинг" в Тверской области</t>
  </si>
  <si>
    <t>Офисное помещение, г. Тверь, ул. П.Савельевой, д. 53</t>
  </si>
  <si>
    <t>279-ТП/03-09</t>
  </si>
  <si>
    <t>ООО "Тверь-КОНФИ"</t>
  </si>
  <si>
    <t>УФНС России по Тв обл</t>
  </si>
  <si>
    <t>налог инспекция Комсомольский просп</t>
  </si>
  <si>
    <t>I очередь 9-этажного жилого жома г. Тверь, ул. Скворцова – Степанова, д.37</t>
  </si>
  <si>
    <t>ООО СК Заволжский посад</t>
  </si>
  <si>
    <t>Многоквартирный жилой дом № 23,1 пуск жилого квартала г. Тверь, ул. Мичурина-З. Коноплянниковой-Пугачева-Красина</t>
  </si>
  <si>
    <t>276/1-ТП/03-09</t>
  </si>
  <si>
    <t>строительство лечебно-производственных мастерских по ул.Фурманова в г.Твери г. Тверь, ул. Фурманова, д.13</t>
  </si>
  <si>
    <t xml:space="preserve">ООО «Терра Нова», </t>
  </si>
  <si>
    <t>офисные спортивно-оздоровительные помещения,ул. Горького, д. 4 «А», максимальной мощностью 33 кВт (5 кВт – ранее разрешенная мощность).</t>
  </si>
  <si>
    <t>ЗАО СК Тверьгражданстрой</t>
  </si>
  <si>
    <t>Сазонова А.А.</t>
  </si>
  <si>
    <t>жилой дом, ул. Соминка, дом 84</t>
  </si>
  <si>
    <t>МУП "Тверьстройзаказчик"</t>
  </si>
  <si>
    <t>ООО «ТК Дельта плюс»»</t>
  </si>
  <si>
    <t>нежилое помещение г.Тверь, бул. Шмидта, д.21</t>
  </si>
  <si>
    <t>Илизаров Л.Г.</t>
  </si>
  <si>
    <t>Торг-офис.п-е, Коминтерна, 18-а</t>
  </si>
  <si>
    <t>51-ПД/04-07</t>
  </si>
  <si>
    <t>Войсковая часть 14258</t>
  </si>
  <si>
    <t>120-кв.десятиэтажный ж/дом, Коминтерна</t>
  </si>
  <si>
    <t>ЗАО "Торговый дом Перекресток"</t>
  </si>
  <si>
    <t>Торгово-досуговый центр, ул.Коминтерна</t>
  </si>
  <si>
    <t>61-ТП/07-07</t>
  </si>
  <si>
    <t>ООО Центрстрой</t>
  </si>
  <si>
    <t>ж/дом, Волокалам.пр-кт.</t>
  </si>
  <si>
    <t>Шестев Д.К.</t>
  </si>
  <si>
    <t xml:space="preserve">Торг.-офис.п-е,Коминтерна, 47/102 </t>
  </si>
  <si>
    <t>52-ПД/04-07</t>
  </si>
  <si>
    <t>ООО Сонет - Тверь</t>
  </si>
  <si>
    <t>УФК по Тверской области г. Тверь</t>
  </si>
  <si>
    <t>Административное здание 
по пр-ту Победы, 35</t>
  </si>
  <si>
    <t>98-ТП/11-07</t>
  </si>
  <si>
    <t>ООО Трионон</t>
  </si>
  <si>
    <t>торг.- офис. здание, Трехсвятская, 32</t>
  </si>
  <si>
    <t>ООО «Сандра»</t>
  </si>
  <si>
    <t>жилой дом с административно-торговыми помещениями, пер. Свободный, д. 5</t>
  </si>
  <si>
    <t>ООО "Коммунальщик"</t>
  </si>
  <si>
    <t>магазин продовольственных товаров, ул. 1-я Суворова, д.16</t>
  </si>
  <si>
    <t>342-ТП/10-09</t>
  </si>
  <si>
    <t>ООО «Брау Сервис»</t>
  </si>
  <si>
    <t>бизнес – центр, пр-т Чайковского, д. 19 «Б»</t>
  </si>
  <si>
    <t>ООО ТОТ1</t>
  </si>
  <si>
    <t>торг-офис здание, Трехсвятская</t>
  </si>
  <si>
    <t>Баглай С.А.</t>
  </si>
  <si>
    <t>производственно-складская база, г.Тверь, ул.Коминтерна, 23</t>
  </si>
  <si>
    <t>подземный пешиходный переход, ул.Коминтерна и пр.Чайковског</t>
  </si>
  <si>
    <t>ЗАО "Эребус"</t>
  </si>
  <si>
    <t>магазин производственных товаров, ул.Склизкова, 6А</t>
  </si>
  <si>
    <t>Хромов О.Н.</t>
  </si>
  <si>
    <t>офисные помещения административно-жилого комплекса "Бульвар Радищева-48", г.Тверь, б-р Радищева, 48</t>
  </si>
  <si>
    <t xml:space="preserve">ООО Центрстрой </t>
  </si>
  <si>
    <t>ж/д Волокаламский пр-кт, 26</t>
  </si>
  <si>
    <t>ФГУ "ОДЕЗ ФНС России"</t>
  </si>
  <si>
    <t>Адм.здание Межрайонной ИФНС России № 10 по Тв. обл.</t>
  </si>
  <si>
    <t>33-ТП/12-06</t>
  </si>
  <si>
    <t>МУП Тверьстройзаказчик</t>
  </si>
  <si>
    <t>ж/дом, Георгиевская</t>
  </si>
  <si>
    <t>ООО "Автотехника"</t>
  </si>
  <si>
    <t>Дилерский центр по продаже л/а в Калининском р-не, Никулинский с/о, р-н д. Кривцово</t>
  </si>
  <si>
    <t>72-ТП/09-07</t>
  </si>
  <si>
    <t>Русаков В. А.</t>
  </si>
  <si>
    <t>поселок д. Палкино Калининского р-на</t>
  </si>
  <si>
    <t>С.В. Шумаков</t>
  </si>
  <si>
    <t>Дилерский центр по продаже л/ автомобилей</t>
  </si>
  <si>
    <t>99-ТП/12-07</t>
  </si>
  <si>
    <t xml:space="preserve">ООО Торговый Дом Тверьметалл </t>
  </si>
  <si>
    <t xml:space="preserve">металлобаза с подъезд путями Калининский р-н Никулинское с/п с Никольское </t>
  </si>
  <si>
    <t>ООО "Финанс Инвест"</t>
  </si>
  <si>
    <t>1 очередь ж/комплекса, Тверь, Оснабрюкская</t>
  </si>
  <si>
    <t>109-ТП/12-07</t>
  </si>
  <si>
    <t>ООО «Проект Инвест-2»</t>
  </si>
  <si>
    <t>застройка  ж/м-рна «Мамулино - 2», Оснабрюкская</t>
  </si>
  <si>
    <t>ООО «Тверское специализированное СМУ – 7»</t>
  </si>
  <si>
    <t>цех по изгот. конструкций и изделий из металла и администр.здание с гостиницей для команд. рабочих</t>
  </si>
  <si>
    <t>ООО "Проект Инвест-2"</t>
  </si>
  <si>
    <t>Строительные механизмы, Тверь, Оснабрюкская</t>
  </si>
  <si>
    <t>Данилюк Александр Николаевич</t>
  </si>
  <si>
    <t>195-ТП/07-08</t>
  </si>
  <si>
    <t xml:space="preserve">ж/комплекс, юго-зап.м-рн «Южный-Г» в границах улиц Октябрьский пр. и бульвар Гусева </t>
  </si>
  <si>
    <t>Стадольникова Ю.А.</t>
  </si>
  <si>
    <t>Склад-ангар, расположенный по адресу: 
г. Тверь, Волоколамское шоссе, д. 82</t>
  </si>
  <si>
    <t>258-ТП/12-08</t>
  </si>
  <si>
    <t>Тверской КЭЧ Московского военного округа</t>
  </si>
  <si>
    <t>4-х ж/дома, п. Мамулино, Касьянова</t>
  </si>
  <si>
    <t>1 очередь жилого комплекса г.Тверь, ул.Оснабрюкская</t>
  </si>
  <si>
    <t>ООО «Лидер»</t>
  </si>
  <si>
    <t>ж/застройки в пос.Мамулино</t>
  </si>
  <si>
    <t>СНТ "Ясная поляна"</t>
  </si>
  <si>
    <t>Калинин.р-н, Никулинское с/п, д.Палкино</t>
  </si>
  <si>
    <t xml:space="preserve">Потребительский Гаражно-строительный кооператив «Ягуар» </t>
  </si>
  <si>
    <t>гаражные боксы</t>
  </si>
  <si>
    <t>ООО «АММА Девелопмент»</t>
  </si>
  <si>
    <t>торгово - развлекательный центр, Калининский р-он, вблизи дер. Кривцово, заявленной мощностью 7 МВт (I очередь строительства – 4000 кВт; II очередь строительства 3000 кВт)</t>
  </si>
  <si>
    <t>ООО "Мега - Принт"</t>
  </si>
  <si>
    <t>здание бывшей школы, Калинин.р-н, с.Никольское, д.27</t>
  </si>
  <si>
    <t>РУЗКС МВО МО РФ</t>
  </si>
  <si>
    <t>2 жил.дома, пос.Мамулино, ул.Касьянова</t>
  </si>
  <si>
    <t>СНТ "МикроМамулино"</t>
  </si>
  <si>
    <t>СНТ, Калининский р-н, д.Палкино</t>
  </si>
  <si>
    <t>ФГУП "Госкорпорация по орг-ции воздушного движения в РФ</t>
  </si>
  <si>
    <t>радиотехническое обеспечение полетов и авиационной элетросвязи"</t>
  </si>
  <si>
    <t>СНТ "Микро Мамулино"</t>
  </si>
  <si>
    <t>СНТ, Никулинское с/п, район дер. Палкино</t>
  </si>
  <si>
    <t>Клитвина М.Ю.</t>
  </si>
  <si>
    <t>комплекс придорожного сервиса, Калининский район, Никулинское с/п, район д. Кривцово</t>
  </si>
  <si>
    <t>Департамент, архитекруры и стр-тва г.Твери</t>
  </si>
  <si>
    <t>водозаборная насосная станция № 2 в Палкино и в Никольском</t>
  </si>
  <si>
    <t>ООО ТехСтройЗаказчик</t>
  </si>
  <si>
    <t>Никулинское с/п, район дер. Брусилово</t>
  </si>
  <si>
    <t>торгово-складской комплекс_Калининский район, Никулинское с/п, дер. Кривцово</t>
  </si>
  <si>
    <t>ОАО «СПК Мосэнергострой»</t>
  </si>
  <si>
    <t>ж/дом по ул. Хрустальная</t>
  </si>
  <si>
    <t>270-ТП/01-09</t>
  </si>
  <si>
    <t>реконструкция Драматического театра, ул.Димитрова и 1-ая Плеханова</t>
  </si>
  <si>
    <t>ж/дом по ул. Дачная-Первитинская</t>
  </si>
  <si>
    <t>343-тп/10-09</t>
  </si>
  <si>
    <t>ОАО "Тверьагропродмаш"</t>
  </si>
  <si>
    <t>электроустановки производства, ул.Дачная, 11</t>
  </si>
  <si>
    <t>Фокин Е.М.</t>
  </si>
  <si>
    <t>здание по производству электронных устройств и систем, г.Тверь, ул.Дачная, 5/51</t>
  </si>
  <si>
    <t>дом г. Тверь ул. Виноградова 9</t>
  </si>
  <si>
    <t>ООО "Ель-Брус"</t>
  </si>
  <si>
    <t>физк.-оздоровит. Комплекс, Тверь,  Степанова, 19</t>
  </si>
  <si>
    <t>63-ТП/07-07</t>
  </si>
  <si>
    <t>120-кв.десятиэт. ж/дом по ул.Коминтерна</t>
  </si>
  <si>
    <t xml:space="preserve">ОАО "Тверьагрострой" 
</t>
  </si>
  <si>
    <t>Многоэт. ж/дом, 1-ая Трусова, многоэт. ж/дом, 1-ая Суворова и многоэтажн. стоянки на 500 а/м с пристроенными торг.-офисными помещ., 4-ая Путейская в г. Тверь</t>
  </si>
  <si>
    <t>138-ТП/12-07</t>
  </si>
  <si>
    <t xml:space="preserve">ТГООИ Стройгарант </t>
  </si>
  <si>
    <t>жилой дом, г. Тверь, ул. Коробкова, д. 20 кор. 1</t>
  </si>
  <si>
    <t>Дышеков Э.Р.</t>
  </si>
  <si>
    <t>торговый центр г. Калязин, ул. Чкалова, 25</t>
  </si>
  <si>
    <t xml:space="preserve">МУП Калязинстройзаказчик </t>
  </si>
  <si>
    <t>8-квартирный двухэтаж. жил дом г. Калязин, ул. К. Либкнехта, 46</t>
  </si>
  <si>
    <t>60-ИП/03-09</t>
  </si>
  <si>
    <t>ресторан, г. Калязин, ул. Ленина, 22/1</t>
  </si>
  <si>
    <t>ЗАО "Базис-Диалог"</t>
  </si>
  <si>
    <t>объекты дачного строительства "Никольская слобода",
Тверская область, Калязинский район, Семендяевское с/п, между д. Селищи и д. Высокое</t>
  </si>
  <si>
    <t>64-ИП/04-09</t>
  </si>
  <si>
    <t>ООО Дока-строй-7</t>
  </si>
  <si>
    <t>25-кварт. Жилой дом, г. Калязин, ул. Коминтерна, 76</t>
  </si>
  <si>
    <t>СНТ "Заволжские дали"</t>
  </si>
  <si>
    <t>Дачные дома, Тверская область, Калязинский район, Нерльское с/п, вблизи д. Теляшовка</t>
  </si>
  <si>
    <t>69-ИП/06-09</t>
  </si>
  <si>
    <t>КФХ Карина</t>
  </si>
  <si>
    <t>база, г. Калязин, ул. Заводская, 19</t>
  </si>
  <si>
    <t>ГРП № 3, г. Калязин</t>
  </si>
  <si>
    <t>24-ТП/11-06</t>
  </si>
  <si>
    <t>СНТ "Артемово"</t>
  </si>
  <si>
    <t>СНТ, Калязин.р-н, д.Ярославищи</t>
  </si>
  <si>
    <t>ГРП № 2, г. Калязин</t>
  </si>
  <si>
    <t>25-ТП/11-06</t>
  </si>
  <si>
    <t>ООО "РЭК"</t>
  </si>
  <si>
    <t>5-ти этажный двух подьездный 45-ти квартирный жилой дом_г. Калязин, ул. Урицкого, д. 14 б</t>
  </si>
  <si>
    <t>СНП Новово</t>
  </si>
  <si>
    <t xml:space="preserve">Садоводч.х-во, Каляз.р-н, вбл. д. Благуново </t>
  </si>
  <si>
    <t>23-ТП/11-06</t>
  </si>
  <si>
    <t>Администрация Калязин.р-на</t>
  </si>
  <si>
    <t>ж/дом, г Калязин ул. Володарского 51</t>
  </si>
  <si>
    <t>ООО Комплексные услуги</t>
  </si>
  <si>
    <t>ж/дом, д. Ново-Окатово</t>
  </si>
  <si>
    <t>Администрация Калязин.р-на,</t>
  </si>
  <si>
    <t>садоводч. посёлок, вбл.д.Благуново</t>
  </si>
  <si>
    <t>ДНП Волжский дачник</t>
  </si>
  <si>
    <t>дачн.некомм.партнёрство, Алфёровское с/п вблизи г Калязин</t>
  </si>
  <si>
    <t>Иванов И. С.</t>
  </si>
  <si>
    <t>произв.помещ.</t>
  </si>
  <si>
    <t>40-ТВ/02-07</t>
  </si>
  <si>
    <t>СНТ Заря</t>
  </si>
  <si>
    <t>СНТ Калязинский р-н м. Паулино</t>
  </si>
  <si>
    <t>44-ТВ/03-07</t>
  </si>
  <si>
    <t>ФГУП РСК Миг</t>
  </si>
  <si>
    <t xml:space="preserve"> г. Калязин , ул.Индустриальная, 5</t>
  </si>
  <si>
    <t>ООО УК РЭК</t>
  </si>
  <si>
    <t>спорткомплекс, г.Калязин  ул. Тверская</t>
  </si>
  <si>
    <t>ж/дом ул. Коминтерна, г. Калязин</t>
  </si>
  <si>
    <t>ж/дом ул. Володарского, 49, г. Калязин</t>
  </si>
  <si>
    <t>МУП Калязинстройзаказчик</t>
  </si>
  <si>
    <t>5-этажный ж/дом ул. Колхозная г. Калязин</t>
  </si>
  <si>
    <t>СНТ Паулино</t>
  </si>
  <si>
    <t>сад.товарищество, Калязинский р-н, д.Паулино</t>
  </si>
  <si>
    <t>ООО "АВК-Ойл-К"</t>
  </si>
  <si>
    <t>Калязинский р-н, Нерльское с/п, дер. Яринское</t>
  </si>
  <si>
    <t>330-ТП/09-09</t>
  </si>
  <si>
    <t>СНТ, Калязин.р-н, д.Теляшовка</t>
  </si>
  <si>
    <t>СНП Нерль</t>
  </si>
  <si>
    <t>сад.партнерство Каляз р-н, д.Высоково</t>
  </si>
  <si>
    <t>СНТ "Молочные реки"</t>
  </si>
  <si>
    <t>11 жилых домов, Твеская обл., Калязинский р-н, Старобисловское с/п, в р-не Болдиново</t>
  </si>
  <si>
    <t>Комитет по управлению муниципальным имуществом Калязинского района Тверской области</t>
  </si>
  <si>
    <t>карьер по добыче глины, Калязинский р-н, Алферовское с/п, вблизи дер. Елзыково</t>
  </si>
  <si>
    <t>Кириллова А.Ю.</t>
  </si>
  <si>
    <t>32 ж/д, р-н д.Болдиново</t>
  </si>
  <si>
    <t>СНТ "Речные просторы"</t>
  </si>
  <si>
    <t>331-ТП/09-09</t>
  </si>
  <si>
    <t>кирпичный завод, Калязинский р-н, Алферовское с/п, вблизи дер. Василево</t>
  </si>
  <si>
    <t>Румянцева С. С.</t>
  </si>
  <si>
    <t>СНТ Заимка</t>
  </si>
  <si>
    <t>13 жилых домов , Калязинский р-н, Старобисловское с/п, д. Высоково</t>
  </si>
  <si>
    <t>13 жил.домов Калязинский р-н, Старобисловское с/п, д. Высоково</t>
  </si>
  <si>
    <t>ООО Тверьземстрой</t>
  </si>
  <si>
    <t>жилая застройка, Калязинский район, Старобисловское с/п, район д. Болдиново</t>
  </si>
  <si>
    <t>ЗАО Базис-Диалог</t>
  </si>
  <si>
    <t xml:space="preserve">МУП Калязинстройзакзачик,  </t>
  </si>
  <si>
    <t>котельная, д.Семендяево</t>
  </si>
  <si>
    <t>ЗАО Базис Диалог</t>
  </si>
  <si>
    <t>строение вспомогательного назначения, Калязинский р-н, Семендяевское с/п, между д. Высокое и д. Селище</t>
  </si>
  <si>
    <t>Алпатиков Ф. С., Кравцов А. С., Соловьев В. П.</t>
  </si>
  <si>
    <t>ж/дома, Калязин. р-н, вбл.д.Вески-Поречские</t>
  </si>
  <si>
    <t>142-ТП/02-08</t>
  </si>
  <si>
    <t>ООО Бетиз и К</t>
  </si>
  <si>
    <t>Д/о комплекс, Каляз.р-н, с.Нерль</t>
  </si>
  <si>
    <t>с. Нерль, Калязинский район, многофункцю зал школы</t>
  </si>
  <si>
    <t>пристройка к школе, Кесова Гора, Ленинградская</t>
  </si>
  <si>
    <t>186-ТП/06-08</t>
  </si>
  <si>
    <t>ООО "Лисково -Агро"</t>
  </si>
  <si>
    <t>строительные механизмы,  д.Байково</t>
  </si>
  <si>
    <t>ИП Корчак</t>
  </si>
  <si>
    <t>цех</t>
  </si>
  <si>
    <t>мол.ферма, д.Байково</t>
  </si>
  <si>
    <t>Администрация Кесовогорского р-на</t>
  </si>
  <si>
    <t>станция очистки воды, п. Кесова Гора,  Первомайская и р. Кашинка</t>
  </si>
  <si>
    <t>ООО Дорожная строительная компания</t>
  </si>
  <si>
    <t>производств объекты, п Кесова Гора, Строительная 34</t>
  </si>
  <si>
    <t>251-ТП/12-08</t>
  </si>
  <si>
    <t>МФ Пармские рецепты</t>
  </si>
  <si>
    <t>колбасный цех, п. Кесова Гора,  Мелиоративная 4</t>
  </si>
  <si>
    <t>водозабор, п. Кесова Гора, Первомайская и р. Кашинка</t>
  </si>
  <si>
    <t>0,0438+0,143</t>
  </si>
  <si>
    <t>0,025+0,072</t>
  </si>
  <si>
    <t>0,0663+0,0245</t>
  </si>
  <si>
    <t>0,1063+0,133</t>
  </si>
  <si>
    <t>0,0913+0,045</t>
  </si>
  <si>
    <t>1,0025+0,084</t>
  </si>
  <si>
    <t>Витько В.П.</t>
  </si>
  <si>
    <t>объект на з.участке, д.Бор</t>
  </si>
  <si>
    <t>148-ТП/12-07</t>
  </si>
  <si>
    <t>ООО "Экологический союз"</t>
  </si>
  <si>
    <t>оздоровительный лагерь "Звездный", Нелидовский р-н, д. Матренино</t>
  </si>
  <si>
    <t>Науч.пр.лаборатория дичеразв(Алискеров)</t>
  </si>
  <si>
    <t>адм.база,  р-н н/п Марково и д.Нивы</t>
  </si>
  <si>
    <t>71-ТП/09-07</t>
  </si>
  <si>
    <t>Нелидовское МУП ЦРБ</t>
  </si>
  <si>
    <t>офис врача ОП п. Земцы</t>
  </si>
  <si>
    <t xml:space="preserve"> ООО "АНХК"</t>
  </si>
  <si>
    <t>н/п з-д, д.Соболево</t>
  </si>
  <si>
    <t>201-ТП/07/08</t>
  </si>
  <si>
    <t>36-ти квартирный жилой дом, г. Андреапогль, ул. Кленовая д.2</t>
  </si>
  <si>
    <t xml:space="preserve">ООО "Андреапольский ДОК"               </t>
  </si>
  <si>
    <t>Произв.база,  ул. 50 лет Октября, 1</t>
  </si>
  <si>
    <t xml:space="preserve">ООО "АНХК"
</t>
  </si>
  <si>
    <t>Узел учета нефти и нефтепродуктов Тверская обл., Андреапольское с/п, д.Ерохино</t>
  </si>
  <si>
    <t>133-ТП/12-07</t>
  </si>
  <si>
    <t>ООО "Стройсервис", мясной цех, Андеапольский р-н, д. Курово, ул.Средняя</t>
  </si>
  <si>
    <t>284/1-ТП/04-09</t>
  </si>
  <si>
    <t>Доброхвалов А.В.</t>
  </si>
  <si>
    <t>ж/дом, вбл д.Бенек</t>
  </si>
  <si>
    <t>152-ТП/12-07</t>
  </si>
  <si>
    <t>Многоквартирный жилой дом № 23, 2 пуск жилого квартала г. Тверь, ул. Коноплянниковой</t>
  </si>
  <si>
    <t>349-ТП/11-09</t>
  </si>
  <si>
    <t>производст.корпус, Тверь, ул. П.Савельевой, 45, стр.1</t>
  </si>
  <si>
    <t>многофункциональный жилой и торгово-офисный комплекса  в квартале застройки по ул Советской – ул. Рыбацкой – Татарскому пер. – Смоленскому пер. в г. Твери, ТП по 6 кВ</t>
  </si>
  <si>
    <t>НП "Солнечное"</t>
  </si>
  <si>
    <t>жилые дома, Калининский р-н д.Палкино</t>
  </si>
  <si>
    <t>завода по изготовлению подшипников ООО «СКФ Тверь», Тверская обл., Калининский р-н, Бурашевский с/о, д. Неготино</t>
  </si>
  <si>
    <t>ГОУ ВПО Тверской университет</t>
  </si>
  <si>
    <t>общеж-я №4 и №5, Тверь,  Плеханова</t>
  </si>
  <si>
    <t>жил застройка ул Фрунзе, 22</t>
  </si>
  <si>
    <t>ООО "ГОЭЛРО"</t>
  </si>
  <si>
    <t>Многоэтажная жилая застройка г.Тверь, ул.Луначарского</t>
  </si>
  <si>
    <t>165-ТП/04-08</t>
  </si>
  <si>
    <t>ООО Квадрат</t>
  </si>
  <si>
    <t>ж/ дом по ул Луначарского 9 кор 1</t>
  </si>
  <si>
    <t>ООО «Бином плюс»</t>
  </si>
  <si>
    <t>Центр многофункционального назначения
г. Тверь, ул. П. Савельевой, д. 44</t>
  </si>
  <si>
    <t>255-ТП/12-08</t>
  </si>
  <si>
    <t>ООО Строй капитал</t>
  </si>
  <si>
    <t>ж/дом по ул. Луначарского 32 корп. 1 и д. 32 кор. 2</t>
  </si>
  <si>
    <t>ЗАО ПКФ «АЛ» филиал РТБК «Околица»</t>
  </si>
  <si>
    <t>нежилое здание по 1-му пер. Вагонников</t>
  </si>
  <si>
    <t>277/1-ТП/03-09</t>
  </si>
  <si>
    <t>ОАО «Центртелеком»</t>
  </si>
  <si>
    <t>АТС – 56 на Молодежном б-ре г. Твери</t>
  </si>
  <si>
    <t>ООО Атлантис -Плюс</t>
  </si>
  <si>
    <t>ж/ дом по ул. Луначарского, 32</t>
  </si>
  <si>
    <t>294-ТП/05-09</t>
  </si>
  <si>
    <t>Филиал «Оргстройпроект» ОАО «СПК Мосэнергострой»</t>
  </si>
  <si>
    <t>многоэт. ж/дом ул. Хромова</t>
  </si>
  <si>
    <t xml:space="preserve">ОАО «Тверьстрой» </t>
  </si>
  <si>
    <t xml:space="preserve">10-ти эт. ж/дом по ул Хромова, 25 </t>
  </si>
  <si>
    <t xml:space="preserve">ИП Барсков Юрий Геннадьевич </t>
  </si>
  <si>
    <t xml:space="preserve"> магазин, П.Савельевой, 33-А</t>
  </si>
  <si>
    <t xml:space="preserve">Упр-е инкассации – филиал Российского объединения инкассации ЦентрБанка РФ </t>
  </si>
  <si>
    <t>центральный тепловой пункт, Луначарского, 20</t>
  </si>
  <si>
    <t>Фонд развития детского спорта</t>
  </si>
  <si>
    <t xml:space="preserve"> торговый центр, Молодежный б-р, 2</t>
  </si>
  <si>
    <t>ЗАО "Тверская сотовая связь"</t>
  </si>
  <si>
    <t>ЗАО "Тверская сотовая связь), коммутатор сотовой связи, ул.Оборонная, 5</t>
  </si>
  <si>
    <t>ООО "Юность"</t>
  </si>
  <si>
    <t xml:space="preserve"> административно-торговое здание, Молодежный б-р</t>
  </si>
  <si>
    <t>ООО "ТД "Сокол"</t>
  </si>
  <si>
    <t>объект недвижимости, ул.П.Савельевой, 56</t>
  </si>
  <si>
    <t>ООО "Квадрат", жилой комплекс " Башня Скворца", ул.Докучаева, 36 и ул. Скв.- Степанова, 85</t>
  </si>
  <si>
    <t>ООО "Квадрат", жилой комплекс " Башня Скворца", ул.Докучаева, 36 и ул. Скв.- Степанова, 86</t>
  </si>
  <si>
    <t>ОАО "Тверской мясокомбинат"</t>
  </si>
  <si>
    <t>магазин "Тверской купец", ул.С.-Петербургское шоссе, д.27</t>
  </si>
  <si>
    <t xml:space="preserve">ИП Жаров В. Н. </t>
  </si>
  <si>
    <t xml:space="preserve">здание закусочной "Бистро" г. Тверь, </t>
  </si>
  <si>
    <t>общежитие г. Тверь, ул.Фрунзе</t>
  </si>
  <si>
    <t>ООО «КАЗАК»</t>
  </si>
  <si>
    <t>строимеханизмы г.Тверь, ул.Хромова - 2-ой пер.Седова</t>
  </si>
  <si>
    <t>Управление ФСБ России по Тверской области</t>
  </si>
  <si>
    <t>64 квартирный жилой дом, г.Тверь, ул.1-ый пер.Вагонников</t>
  </si>
  <si>
    <t>производственная база для учреждений культуры, г. Тверь, ул. 1-я Плеханова</t>
  </si>
  <si>
    <t>1 очередь 9 этажного ж/д_г. Тверь, ул. Скворцова-Степанова,37</t>
  </si>
  <si>
    <t>ООО "Промопост"</t>
  </si>
  <si>
    <t xml:space="preserve">Склад "Горизонт-3" Тверь, Коняевская, 14 </t>
  </si>
  <si>
    <t>34-ТП/12-06</t>
  </si>
  <si>
    <t>ООО "Норд-Авто"</t>
  </si>
  <si>
    <t>Автоцентр "Renault", Тверь, Московское ш</t>
  </si>
  <si>
    <t>65-ТП/08-07</t>
  </si>
  <si>
    <t>ООО "Бизнес-Сервис"</t>
  </si>
  <si>
    <t>производственно-адм.комплекс, Московское ш,15 А</t>
  </si>
  <si>
    <t xml:space="preserve">Адм-складское здание почтово-обраб. комплекса, Тверь, Московск. ш, 5  </t>
  </si>
  <si>
    <t>80-ТП/10-07</t>
  </si>
  <si>
    <t>ООО "СО Тверьнефтепродукт"</t>
  </si>
  <si>
    <t>тверская нефтебаза, ул. Бочкина, 29</t>
  </si>
  <si>
    <t>ЗАО "ДКС"</t>
  </si>
  <si>
    <t>Объекты предприятия,  Тверь, Б. Перемерки, Бочкина 15</t>
  </si>
  <si>
    <t>102-ТП/12-07</t>
  </si>
  <si>
    <t>ООО "Межрегион.Торг.Центр"</t>
  </si>
  <si>
    <t xml:space="preserve">нежил.пом.,Тверь, Коняевская </t>
  </si>
  <si>
    <t>ОАО Бетиз-ЖБИ</t>
  </si>
  <si>
    <t>реконструкция цеха, Тверь, Сердюковская, 15</t>
  </si>
  <si>
    <t>257-ТП/12-08</t>
  </si>
  <si>
    <t>ООО "Ремонтно-эксплуатационное управление Московского района"</t>
  </si>
  <si>
    <t>производственная база для размещения снегоуборочной техники, Московское шоссе, д.84</t>
  </si>
  <si>
    <t>водозабор в п. Элеватор</t>
  </si>
  <si>
    <t>299-ТП/06-09</t>
  </si>
  <si>
    <t>технологическое оборудование, г.Тверь, промзона Лазурная, д.36</t>
  </si>
  <si>
    <t>318-ТП/09-09</t>
  </si>
  <si>
    <t>ООО "Компания АНТЭК"</t>
  </si>
  <si>
    <t>производственно-складская база_г. Тверь, Большие перемерки</t>
  </si>
  <si>
    <t>ж/квартал Маяковского-Добролюбова-Деревцова-Левобережная, ТП по 10 кВ</t>
  </si>
  <si>
    <t>ТГОИ "Инвастрой"</t>
  </si>
  <si>
    <t>1-я очередь жилого дома в г. Тверь, ул. Московская, д. 1</t>
  </si>
  <si>
    <t>66-ТП/08-07</t>
  </si>
  <si>
    <t xml:space="preserve">Адм. Калин. р-на </t>
  </si>
  <si>
    <t>пристройка наб. Лазури, ТП по 10 кВ</t>
  </si>
  <si>
    <t>Тришанкова Е.Ю.</t>
  </si>
  <si>
    <t>база отдыха "Усадьба Фонвизина", Калязин. Р-н д.Н.Окатово</t>
  </si>
  <si>
    <t>321-ТП/09-09</t>
  </si>
  <si>
    <t>ТУ ГУП "Тверьоблстройзаказчик"</t>
  </si>
  <si>
    <t>КНС №1, пос. Кесова Гора, ул. Полевая</t>
  </si>
  <si>
    <t>очистные сооружения, пос. Кесова Гора</t>
  </si>
  <si>
    <t>ТУ ГУП "Тверьоблстройзаказчик</t>
  </si>
  <si>
    <t>КНС №2, пос. Кесова Гора, ул. Юбилейная</t>
  </si>
  <si>
    <t>ООО "Васильевская заводь"</t>
  </si>
  <si>
    <t>жылые дома, Калязин.р-н, вблизи д.Селищи</t>
  </si>
  <si>
    <t>жилой дом с надворными постройками_Бельский район, Демяховское с/п, дер. Рожино, ул. Центральная</t>
  </si>
  <si>
    <t>реконструкция районнного Дома культуры_г. Западная Двина, ул. Культурная</t>
  </si>
  <si>
    <t>ООО "76 Ойл-АЗС"</t>
  </si>
  <si>
    <t>автозаправочный комплекс, Тверская обл, Нелидовский район, Земцовское с/п, 344 км+195 (право) автодорога М-9 "Балтия"</t>
  </si>
  <si>
    <t>Зубц.р-н д.Щеколдино (ТУ Герасим)</t>
  </si>
  <si>
    <t>240-ТП/10-08</t>
  </si>
  <si>
    <t>Администрация Ржевского района тверской области</t>
  </si>
  <si>
    <t>молочный цех,  Ржевкий район, с/о "Чертолино", дер. Чертолино</t>
  </si>
  <si>
    <t>ООО «ЛУКОЙЛ – Центрнефтепродукт»</t>
  </si>
  <si>
    <t xml:space="preserve">придорожный комплекс с АЗС Ржевский район, с/п Есинка, район дер. Захарово 223 км, трасса М-9 «Балтия» </t>
  </si>
  <si>
    <t>комплексная застройка и реконстр. Д. Подвязье, Старицкий район, Ново-Ямское с/п, дер. Подвязье</t>
  </si>
  <si>
    <t>МУ Администр. Тысяцкого с/п</t>
  </si>
  <si>
    <t>стройплощадка под 12 1-кв-ых жилых домов, Кувшиновский р-н, с.Тысяцкое</t>
  </si>
  <si>
    <t xml:space="preserve">ИП Филиппов С.В. </t>
  </si>
  <si>
    <t>модульно-блочная котельная № 1 в г. Осташков, пер. Южный</t>
  </si>
  <si>
    <t>ООО Тверьэнергогаз</t>
  </si>
  <si>
    <t>спортивный центр с универсальным игровым залом_г. Осташков</t>
  </si>
  <si>
    <t>Никифоров А.В.</t>
  </si>
  <si>
    <t>ЗАО "Тверь-Связь"</t>
  </si>
  <si>
    <t>база отдыха, Осташковский р-н, Мошенское  с/п, д. Бородино</t>
  </si>
  <si>
    <t>ООО Респект Групп"</t>
  </si>
  <si>
    <t>производственная площадка, Пеновский р-н, д.Осечно</t>
  </si>
  <si>
    <t xml:space="preserve">Соболев А.В. </t>
  </si>
  <si>
    <t>дачный поселок, Селижаровский район, Большекошкинское с/п, район дер. Большая Коша</t>
  </si>
  <si>
    <t>дачный поселок, Селижаровский район, Большекошкинское с/п, район дер. Пьянково</t>
  </si>
  <si>
    <t>осв.автодороги М-10 "Россия" - от Москвы через Тверь, Новгород до Санкт-Петербурга,  Тверская область, Торжок. район, а/дорога М-10 "Россия" км 218+390 - км 224+000</t>
  </si>
  <si>
    <t>336-ТП/10-09</t>
  </si>
  <si>
    <t>осв.автодороги  М-10 д. Думаново, Миронежье</t>
  </si>
  <si>
    <t>ФГУ "Дороги России", Торжокский район, на участке км 111+900 - км 258+01</t>
  </si>
  <si>
    <t>ООО "Селянка"</t>
  </si>
  <si>
    <t>птичник №1, №2, В.Волоцкий р-н, д.Дятлово</t>
  </si>
  <si>
    <t>Адм. Кесовогорского р-на</t>
  </si>
  <si>
    <t>с/х рынок, Кесовогорский р-н, пгт. Кесово Гора</t>
  </si>
  <si>
    <t>СНТ "Закат"</t>
  </si>
  <si>
    <t>СНТ, Кимр.р-н, д. Акулово</t>
  </si>
  <si>
    <t>СНТ "Бриз"</t>
  </si>
  <si>
    <t>СНТ, Кимр.р-н, д. Губин Угол</t>
  </si>
  <si>
    <t>СНТ "Исток"</t>
  </si>
  <si>
    <t>СНТ "Ручейный"</t>
  </si>
  <si>
    <t>СНТ "Победа"</t>
  </si>
  <si>
    <t>СНТ, Кимр.р-н, д. Калинино</t>
  </si>
  <si>
    <t>СНТ "Полевой"</t>
  </si>
  <si>
    <t>СНТ "Цветочный"</t>
  </si>
  <si>
    <t>СНТ "Опушка"</t>
  </si>
  <si>
    <t>СНТ "Горизонт"</t>
  </si>
  <si>
    <t>СНТ "Лотос"</t>
  </si>
  <si>
    <t>СНТ "Солнечный"</t>
  </si>
  <si>
    <t>СНТ "Лесной"</t>
  </si>
  <si>
    <t>СНТ "Отечество"</t>
  </si>
  <si>
    <t>ИП Бакаев</t>
  </si>
  <si>
    <t>мотель, в.Волоцкий р-н, д.Коломно</t>
  </si>
  <si>
    <t>Муниципальное образовательное учреждение Славнинская средняя общеобразовательная школа</t>
  </si>
  <si>
    <t>здание школы Торжокский район, п. Славный, ул. Школьная, д. 5 68,8</t>
  </si>
  <si>
    <t>Администрация МО "Михайловское с/п" Калининского района Тверской области</t>
  </si>
  <si>
    <t>площадка под размещение сельскохозяйственного кооперативного рынка на 50 торговых мест_Калининский район, Михайловское с/п, д. Глазково</t>
  </si>
  <si>
    <t>ООО "Ерофеево"</t>
  </si>
  <si>
    <t>база, Конаковский район, Первомайское с/о, дер. Перетрусово, д.4</t>
  </si>
  <si>
    <t>ЗАО племзавод "Заволжское"</t>
  </si>
  <si>
    <t>1-я площадка откорма_Калининский район, р-н дер. Городня</t>
  </si>
  <si>
    <t>2-я площадка откорма_Калининский район, р-н дер. Городня</t>
  </si>
  <si>
    <t>ГУ  «Дирекция территориального дорожного фонда Тверской области»</t>
  </si>
  <si>
    <t>линии освещения автомобильной дороги Тверь – Лотошино – Шаховская – Уваровка Калининский район, дер. Лебедево</t>
  </si>
  <si>
    <t>дачный поселок Калининский район, Никулинское с/п, район дер. Даниловское</t>
  </si>
  <si>
    <t xml:space="preserve">Журавлев ИЛ. </t>
  </si>
  <si>
    <t>здание административно-торгового назначения_бульвар Цанова, 1 б.</t>
  </si>
  <si>
    <t>Департамент ЖКХ и ГХ Тверской области</t>
  </si>
  <si>
    <t>административное здание, г.Тверь, бульвар Радищева, д. 31</t>
  </si>
  <si>
    <t>313-ТП/08-09</t>
  </si>
  <si>
    <t>линии освещения автомобильной дороги Тверь – Лотошино – Шаховская – Уваровка Калининский район, дер. Починки</t>
  </si>
  <si>
    <t>электроосвещение автодороги, Тверская оласть, автомобильная дорога М-10 "Россия" - от Москвы через Тверь, Новгород до Санкт-Петербурга подъезд к г. Твери км 134+780 - км 137+230</t>
  </si>
  <si>
    <t>ферма для разведения рыбы_Конаковский район, Городенское с/п, с. Городня</t>
  </si>
  <si>
    <t>торгово-промышленная зона, Калининский р-н, д.Кривцово</t>
  </si>
  <si>
    <t>ФГУ "Дороги России", Калининский район, на участке км 111+900 - км 207+75</t>
  </si>
  <si>
    <t>ФГУ "Дороги России", Калининский район, на участке км 111+900 - км 207+76</t>
  </si>
  <si>
    <t>Строительные механизмы жилой застройки, Тверская обл., Калининский р-н, д. Ямок</t>
  </si>
  <si>
    <t>ООО "Солнечный Рай"</t>
  </si>
  <si>
    <t>солярий_г. Тверь, пр-кт Ленина, д. 28</t>
  </si>
  <si>
    <t>объекты жилья и соцкультурбыта в микрорайоне "Архангельское", Конаковский район, Мокшинское с/п, вблизи д. Архангельское</t>
  </si>
  <si>
    <t>Московская дистанция гражданских сооружений, водоснабжения и водоотведения МО Октябрьской ж/д филиала ОАО "РЖД"</t>
  </si>
  <si>
    <t>электроотопление поста, Калининский р-н, ст.Доронинская</t>
  </si>
  <si>
    <t>Ермаков В.О. (выпад.доходы)</t>
  </si>
  <si>
    <t xml:space="preserve">земельный участок для садоводства, Калининский район, Михайловское с/п, 450 м от дер. Изворотень по направлению на восток </t>
  </si>
  <si>
    <t>(выпад.доходы)</t>
  </si>
  <si>
    <t>строймеханизмы для застройки в п. Никифоровское, район ВНИИСВ, г. Тверь</t>
  </si>
  <si>
    <t>ООО «ПоварЛюкс»</t>
  </si>
  <si>
    <t xml:space="preserve">здание цеха № 1 ПРА Конаковский район, н/п пос. Изоплит, пос. Озерки, Механический пр. 46 </t>
  </si>
  <si>
    <t>ООО ТверьПромИнвест</t>
  </si>
  <si>
    <t>АЗС с магазином и кафе_Конаковский район, Завидовское с/п, район с. Завидово на 109 км+400(лево) автодороги Москва-Санкт-Петербург</t>
  </si>
  <si>
    <t>Управление образования Администрации Конаковского района Тверской области</t>
  </si>
  <si>
    <t>детский сад  Конаковский район, Завидовское с/п, с. Завидово, ул. Школьная</t>
  </si>
  <si>
    <t>участок, Рамешковский р-н, д.Селище</t>
  </si>
  <si>
    <t>Государственное учреждение «Дирекция территориального дорожного фонда Тверской области»</t>
  </si>
  <si>
    <t>освещение кольцевой а/д по периметру промзоны п. Редкино Конаковский   р-н, п. Редкино, промзона62,5 кВт</t>
  </si>
  <si>
    <t>350-ТП/12-09</t>
  </si>
  <si>
    <t>Мин.</t>
  </si>
  <si>
    <t>Чепа Алексей Васильевич</t>
  </si>
  <si>
    <t>садоводческое некоммерческое товарищество Конаковский район, село Городня</t>
  </si>
  <si>
    <t>Юсуфов С.Ю.</t>
  </si>
  <si>
    <t>Жилой дом, Тверская область, Конаковский р-н, д. Дорино</t>
  </si>
  <si>
    <t>175-ТП/05-08</t>
  </si>
  <si>
    <t>Пучков А.С.</t>
  </si>
  <si>
    <t>Жилые дома, Тверская обл., Конаковский р-н, д. Павельцево, д. 75, 76, 77</t>
  </si>
  <si>
    <t>191-ТП/07-08</t>
  </si>
  <si>
    <t>Администрация Конаковского р-на</t>
  </si>
  <si>
    <t>7 жилых домов, с.Дмитрова Гора ул. Целинников</t>
  </si>
  <si>
    <t xml:space="preserve">Дмитрогорская сельская администрация </t>
  </si>
  <si>
    <t xml:space="preserve">38 жилых домов в с.Дмитрова Гора </t>
  </si>
  <si>
    <t>очистные сооружения, Конаковский р-он, д. Дмитрова Гора</t>
  </si>
  <si>
    <t xml:space="preserve">Шаталов Я.В. </t>
  </si>
  <si>
    <t>Администрации Конаковского района</t>
  </si>
  <si>
    <t>Ткачева А.А.</t>
  </si>
  <si>
    <t>жил/дом Конаковский район, Дмитровогорское с/п, д. Фролово, 13</t>
  </si>
  <si>
    <t>Отделение УФК по Конаковскому р-ну</t>
  </si>
  <si>
    <t>Тверская обл., г. Конаково, ул. Первомайская, д. 20-а</t>
  </si>
  <si>
    <t>105-ТП/12-07</t>
  </si>
  <si>
    <t>ОАО СПК Мосэнергострой,7</t>
  </si>
  <si>
    <t>г.Конаково, ул. Александровка, д.18</t>
  </si>
  <si>
    <t>Управление образования Администрации Конаковского района</t>
  </si>
  <si>
    <t>Общеобразовательная школа, г. Конаково</t>
  </si>
  <si>
    <t>121-ТП/12-07</t>
  </si>
  <si>
    <t>ООО "ТОЦ "Юго - Восток"</t>
  </si>
  <si>
    <t xml:space="preserve"> г.Конаково, ул. Учебная, д.21 а</t>
  </si>
  <si>
    <t>МУП "Отдел единого заказчика по кап.строительству"</t>
  </si>
  <si>
    <t>спортивный комплекс, г.Конаково, ул.Строителей</t>
  </si>
  <si>
    <t>304-ТП/07-09</t>
  </si>
  <si>
    <t>ООО "ТекКом-СП", г.Конаково, ул. Свободы, д.208</t>
  </si>
  <si>
    <t>ООО "ТекКом-СП", г.Конаково, ул. Свободы, д.209</t>
  </si>
  <si>
    <t>СНТ «Карачарово»</t>
  </si>
  <si>
    <t>12 дачных домов СНТ «Карачарово»,  г Конаково, СНТ «Карачарово»</t>
  </si>
  <si>
    <t>А.С. Соколов</t>
  </si>
  <si>
    <t>Мемориальный комплекс, Тверская область, Конаковский лесхоз, Вяземское лесничество, квартал 99, выделы 1,2,3,4 на площади 3,5 Га</t>
  </si>
  <si>
    <t>205-ТП/08-08</t>
  </si>
  <si>
    <t>СНТ "Меркурий"</t>
  </si>
  <si>
    <t>СНТ, Конаковский район, Вахонинское с/п, район дер. Вахромеево</t>
  </si>
  <si>
    <t>223-ТП/09-08</t>
  </si>
  <si>
    <t>ЗАО Тверская сотовая связь</t>
  </si>
  <si>
    <t>базовая станция п. Городня Конаковского района</t>
  </si>
  <si>
    <t>ЗАО «Ю - Тверь»</t>
  </si>
  <si>
    <t>АЗК № 7,Конаковский р-он, дер. Кошелево</t>
  </si>
  <si>
    <t>306-ТП/07-09</t>
  </si>
  <si>
    <t>ООО Редкинская АПК</t>
  </si>
  <si>
    <t>блочная котельная д. Кошелево Конаковский район</t>
  </si>
  <si>
    <t>Садоводческое некоммерческое товарищество «Яблонька»</t>
  </si>
  <si>
    <t>КТП-6/0,4 - 2500 кВА для электроснабжения участков с постройками - 25 домов (планируется увеличение до 76 домов),Тверская обл., Конаковский р-он, дер. Игуменка</t>
  </si>
  <si>
    <t>ООО "Дорошкевич и Ко"</t>
  </si>
  <si>
    <t>Колбасный цех,
 Конаковский р-н, с.Селихово</t>
  </si>
  <si>
    <t>30-ТП/11-06</t>
  </si>
  <si>
    <t>ООО Региональное развитие</t>
  </si>
  <si>
    <t>КНС, д.Мокшино</t>
  </si>
  <si>
    <t>МАЗК с придорож. Сервисом Конаковский роайон п. Мокшино, 117+600 право</t>
  </si>
  <si>
    <t>308/1-ТП/08-09</t>
  </si>
  <si>
    <t>жилая застройка , д.Архангельское Мокшинское с/п, 100 димов</t>
  </si>
  <si>
    <t>ООО "ТрастСтройИнвест"</t>
  </si>
  <si>
    <t>водозабороное устройство, Конаковский район, Мокшинское с/п, р-н д. Архангельское</t>
  </si>
  <si>
    <t>водозабор , д.Демидово Мокшинское с/п</t>
  </si>
  <si>
    <t>индивидуальная жилая застройка , д.Архангельское Мокшинское с/п</t>
  </si>
  <si>
    <t>ГлаваУпДК при МИД России"</t>
  </si>
  <si>
    <t>комплекс отдыха "Завидово"</t>
  </si>
  <si>
    <t>НП Дипломатич. Охотничий клуб</t>
  </si>
  <si>
    <t>застройка в д. Рябинки Вахонинский с/о, Конаковский район</t>
  </si>
  <si>
    <t>МУ Администрация Мокшинского с/п</t>
  </si>
  <si>
    <t>Глинский Н. Е.</t>
  </si>
  <si>
    <t>жил. дом, Селижаровский район, Оковецкое с/п, д. Высоково, ул. Центральная, 26</t>
  </si>
  <si>
    <t>ЗАО Форест</t>
  </si>
  <si>
    <t>т/б "Акватория", п.Селище</t>
  </si>
  <si>
    <t>ООО "Тверьстроймаш"</t>
  </si>
  <si>
    <t>гост.комплекс, п.Селижарово</t>
  </si>
  <si>
    <t>Егерев И. М.</t>
  </si>
  <si>
    <t>ж/д, Селиж.р-н, д.Завирье</t>
  </si>
  <si>
    <t>Яцко С.И.</t>
  </si>
  <si>
    <t>ж/д, д.Заручевье</t>
  </si>
  <si>
    <t>235-ТП/10-08</t>
  </si>
  <si>
    <t xml:space="preserve">Агеев В. П. </t>
  </si>
  <si>
    <t>ж/д, Селиж.р-н, д.Девичье</t>
  </si>
  <si>
    <t>281-ТП/04-09</t>
  </si>
  <si>
    <t>ООО Софья</t>
  </si>
  <si>
    <t>п.Свапуще</t>
  </si>
  <si>
    <t>№ 2</t>
  </si>
  <si>
    <t>Фролова Н.Ю.</t>
  </si>
  <si>
    <t>КФХ, д.Узгово</t>
  </si>
  <si>
    <t>68-ТП/08-07</t>
  </si>
  <si>
    <t>Горбаткин В.Н.</t>
  </si>
  <si>
    <t>ж/д, д.Третьники</t>
  </si>
  <si>
    <t>170-ТП/04-08</t>
  </si>
  <si>
    <t>Дружков Д.В.</t>
  </si>
  <si>
    <t>ж/д, д.Гуща</t>
  </si>
  <si>
    <t>131-ТП/12-07</t>
  </si>
  <si>
    <t>Крюченков С.А.</t>
  </si>
  <si>
    <t>ж/д, д.Задубье</t>
  </si>
  <si>
    <t>221-ТП/09-08</t>
  </si>
  <si>
    <t>Орлов А. В.</t>
  </si>
  <si>
    <t>ж/д, Осташ.р-н, д.Третники</t>
  </si>
  <si>
    <t>248-ТП/11-08</t>
  </si>
  <si>
    <t>СНТ "Гладкий луг"</t>
  </si>
  <si>
    <t>60 ж/д, Осташковск. р-н</t>
  </si>
  <si>
    <t>194-ТП/07-08</t>
  </si>
  <si>
    <t>Орлова Г.А.</t>
  </si>
  <si>
    <t>ж/д, Осташков   р-н Спецавтохоз-ва</t>
  </si>
  <si>
    <t>ООО "Строй-Капитал"</t>
  </si>
  <si>
    <t>застройка 5эт ж/д, Осташков, Заслонова</t>
  </si>
  <si>
    <t>146-ТП/12-07</t>
  </si>
  <si>
    <t>ЗАО МосДом</t>
  </si>
  <si>
    <t>оздор.-реабилитац комплекс, д. Заречье</t>
  </si>
  <si>
    <t xml:space="preserve">ЗАО ТЭКС </t>
  </si>
  <si>
    <t>дом и хоз постройки Осташковский р-н, Ботовское с/п, д. Заречье</t>
  </si>
  <si>
    <t>школа, д.Святое</t>
  </si>
  <si>
    <t>64-ТП/07-07</t>
  </si>
  <si>
    <t>строящиеся объекты, д. Глебово</t>
  </si>
  <si>
    <t>224-ТП/09-08</t>
  </si>
  <si>
    <t>ООО Турсервис</t>
  </si>
  <si>
    <t>тур.комплекс,Осташков р-н д.Пачково</t>
  </si>
  <si>
    <t>ООО Жемчужина Селигера</t>
  </si>
  <si>
    <t>жил. дома и хоз. постройки, Осташков. район, Сорожское с/п, район д. Пачково</t>
  </si>
  <si>
    <t>Юркова Л. И.</t>
  </si>
  <si>
    <t>4 ж/дома, Конак.р-н, д.Ляпино</t>
  </si>
  <si>
    <t>48-ТП/04-07</t>
  </si>
  <si>
    <t xml:space="preserve">Храм Пресвятой Троицы </t>
  </si>
  <si>
    <t>Пеновский район, с/о Ворошилово с. Отолово</t>
  </si>
  <si>
    <t>Молоканова Н. Е.</t>
  </si>
  <si>
    <t>ж/дом, Пеновск.р-н, п.Рунский</t>
  </si>
  <si>
    <t>263-ТП/12-08</t>
  </si>
  <si>
    <t>Отделение УФК Пеновский район</t>
  </si>
  <si>
    <t>здание УФК, Пено, 249 Стрелковой див.,22</t>
  </si>
  <si>
    <t>108-ТП/12-07</t>
  </si>
  <si>
    <t>Афиногенов М. Э.</t>
  </si>
  <si>
    <t xml:space="preserve"> КФК, д.Любеж</t>
  </si>
  <si>
    <t>ПРО Горские устья</t>
  </si>
  <si>
    <t>застройка, Пено, Советская, 60</t>
  </si>
  <si>
    <t>73-ТП/09-07</t>
  </si>
  <si>
    <t xml:space="preserve">ООО Руссо-ДИЗ </t>
  </si>
  <si>
    <t>произв. Здание п. Пено, ул. Л. Чайкиной, 103</t>
  </si>
  <si>
    <t>Администрация Пеновского р-на</t>
  </si>
  <si>
    <t xml:space="preserve"> котельная, п. Пено, ул. В. Павлова</t>
  </si>
  <si>
    <t xml:space="preserve">ИП Фролов С. С. </t>
  </si>
  <si>
    <t>пилорама п. Соблаго Пеновского района</t>
  </si>
  <si>
    <t>271-ТП/02-09</t>
  </si>
  <si>
    <t>, котельная, п. Пено, ул. Л. Чайкиной</t>
  </si>
  <si>
    <t>ООО "Фирма А.Р.Д."</t>
  </si>
  <si>
    <t>Многофункц.здание адм.-торг. назначения, Тверь, б.Цанова, 6, к 3</t>
  </si>
  <si>
    <t>ООО «Строительные технологии»</t>
  </si>
  <si>
    <t>ж/комплкс на юго-западе м-рна «Южный-Г» в границах улиц Октябрьский пр-кт и бульвар Гусева</t>
  </si>
  <si>
    <t>ООО Квантум</t>
  </si>
  <si>
    <t>Торг-развл центр, б-р Цанова, 8</t>
  </si>
  <si>
    <t>44/1-ТП/02-07</t>
  </si>
  <si>
    <t>ООО "Строй - Инвест"</t>
  </si>
  <si>
    <t xml:space="preserve"> жилая застройка, ориентир - ул.Восточная, 99/7</t>
  </si>
  <si>
    <t>ООО «Мансарда - С»</t>
  </si>
  <si>
    <t>жилой дом, г. Тверь, ул. Загородная, д. 9, корп. 1</t>
  </si>
  <si>
    <t>ЗАО Компания объединенных инвестиций «Магеллан»</t>
  </si>
  <si>
    <t xml:space="preserve">многоэтажные жилые дома со встроенными помещениями общественного назначения в  пос. Химинститут, Московского  района, г.Твери </t>
  </si>
  <si>
    <t>спорткомплекс, пос.Химинститут</t>
  </si>
  <si>
    <t>114-ТП/12-07</t>
  </si>
  <si>
    <t>застройка в п. Никифоровское, район ВНИИСВ, г. Тверь</t>
  </si>
  <si>
    <t>ВТМ Дорпроект</t>
  </si>
  <si>
    <t>Федотов В.В.</t>
  </si>
  <si>
    <t>административно-технический комплекс, г.Тверь, пос.Власьево, д.31</t>
  </si>
  <si>
    <t>ООО «ВТМ дорпроект»</t>
  </si>
  <si>
    <t>линия наружного освещения Московского шоссе, г.Тверь, Московское шоссе, участок от пл. Гагарина до границы г. Твери</t>
  </si>
  <si>
    <t>дилерские центры Фольксваг, Шкода пр. 50 лет Октября, 5</t>
  </si>
  <si>
    <t>ООО «Тверьстроймаш»</t>
  </si>
  <si>
    <t>2362 кВт (1662 кВт – ранее разреш. мощность) Старицкое шоссе, 30</t>
  </si>
  <si>
    <t>ООО «Солнечный рай»</t>
  </si>
  <si>
    <t>солярий г.Тверь, пр-т. Ленина, д.28</t>
  </si>
  <si>
    <t>ЗАО "Трест Тверьстрой № 1"</t>
  </si>
  <si>
    <t>Ж/ дом, Мигаловская наб., 1, к. 2, ТП по 6 кВ</t>
  </si>
  <si>
    <t>87-ТП/11-07</t>
  </si>
  <si>
    <t xml:space="preserve">ТСЖ ул. Бобкова 38 </t>
  </si>
  <si>
    <t>дом и ЦТП</t>
  </si>
  <si>
    <t>103-ТП /12-07</t>
  </si>
  <si>
    <t>Автокооператив № 20</t>
  </si>
  <si>
    <t>авто гараж, г. Тверь, Борихино поле</t>
  </si>
  <si>
    <t xml:space="preserve">транспортная развязка в районе м-рна Южный </t>
  </si>
  <si>
    <t>ООО "Мансарда-С"</t>
  </si>
  <si>
    <t>Ж/дом, Тверь,  Загородная-М. Ульяновой-Тургенева-1-й пер. М. Ульяновой</t>
  </si>
  <si>
    <t>89-ТП/11-07</t>
  </si>
  <si>
    <t>Беляков Д.И.</t>
  </si>
  <si>
    <t>Торговый центр, Тверь, Можайского, 52. 220кВт  (120 ранее разр.)</t>
  </si>
  <si>
    <t>171-ТП/04-08</t>
  </si>
  <si>
    <t>ООО "Мега-Принт"</t>
  </si>
  <si>
    <t>бывшая начальная школа, с. Никольское</t>
  </si>
  <si>
    <t>Мамедов Ф.И.</t>
  </si>
  <si>
    <t>ж/застройка,  Восточная, 20</t>
  </si>
  <si>
    <t>ООО "Логопартс"офисно-складской</t>
  </si>
  <si>
    <t>бизнес-парк, Калининский р-н, д. Андрейково, по 162км+450 м(вправо) а/д Москва-С. Пб</t>
  </si>
  <si>
    <t>02-ТП/06-06</t>
  </si>
  <si>
    <t>ООО "Гиперцентр -Тверь"</t>
  </si>
  <si>
    <t>многофункциональный торгово-развлекательный центр, м-рн Южный</t>
  </si>
  <si>
    <t>Стадольникова Юлия Алексеевна</t>
  </si>
  <si>
    <t>склад - ангар</t>
  </si>
  <si>
    <t>ООО "Билдинг"</t>
  </si>
  <si>
    <t>ж/ застройка, Левитано-Вологодская</t>
  </si>
  <si>
    <t>ООО "Клайд"</t>
  </si>
  <si>
    <t xml:space="preserve">АЗС Тверская область, г.Тверь, Московский район, ул. Псковская
</t>
  </si>
  <si>
    <t>290-ТП/05-09</t>
  </si>
  <si>
    <t>МУП «Тверьстройзаказчик»</t>
  </si>
  <si>
    <t xml:space="preserve">автодорога по ул. Псковская – Оснабрюкская г. Твери </t>
  </si>
  <si>
    <t>ООО «Магазин № 50 «Продукты»»</t>
  </si>
  <si>
    <t>кафетерий, г. Тверь, бульвару Гусева, д. 39 Б</t>
  </si>
  <si>
    <t>261/1-ТП-12-08</t>
  </si>
  <si>
    <t>Ж/дом, Тверь,  ул. Загородная, д. 9, корп. 1</t>
  </si>
  <si>
    <t>ООО «Строй-инвест»</t>
  </si>
  <si>
    <t>жилой дом, ул. 2-я Тургенева</t>
  </si>
  <si>
    <t>345-ТП/10-09</t>
  </si>
  <si>
    <t>ГУ Дирекция территориального дорожного фонда Тверской области"</t>
  </si>
  <si>
    <t>линия наружного освещения на уч-ке а/д Тверь-Лотошино_Шаховская - Уваровка на уч-ке км 6+000- км 10 + 000 (км 168 Волоколамская развязка)</t>
  </si>
  <si>
    <t>314-ТП/09-09</t>
  </si>
  <si>
    <t>ЗАО "Облинвестстрой"</t>
  </si>
  <si>
    <t xml:space="preserve">жилзастройка, м-н Южный Д </t>
  </si>
  <si>
    <t>ООО Монтажстрой</t>
  </si>
  <si>
    <t>жилая застройка в Южном Д</t>
  </si>
  <si>
    <t>Департамент архитектуры и строительства администрации г.Твери</t>
  </si>
  <si>
    <t>водопроводная станция регулирования с резервуаром чистой воды в микрорайоне «Южный»  ул. Королева</t>
  </si>
  <si>
    <t xml:space="preserve">детский сад, ул.Новая - Летное поле - ул.Взлетная </t>
  </si>
  <si>
    <t>ООО «Водоканал – Т»</t>
  </si>
  <si>
    <t>КНС Калининский район, Бурашевское шоссе, ул.Восточная</t>
  </si>
  <si>
    <t>ГУП "Тверьстройзаказчик"</t>
  </si>
  <si>
    <t xml:space="preserve">освещение строящейся трол.автодороги, ул.Псковская - Оснабрюкская </t>
  </si>
  <si>
    <t>ООО "ТехСтройЗаказчик"</t>
  </si>
  <si>
    <t>Калининский р-н, Бурашевское с/п, район дер. Кольцово</t>
  </si>
  <si>
    <t>МУП "Тверьгорэлектро"</t>
  </si>
  <si>
    <t>РП-39_г. Тверь, ул. Можайского, д. 70-78</t>
  </si>
  <si>
    <t xml:space="preserve">ОАО "Тверьстрой" </t>
  </si>
  <si>
    <t>10-ти эт. ж/дом на 360 кв.,Тверь, Хромова, д.27</t>
  </si>
  <si>
    <t>150-ТП/12-07</t>
  </si>
  <si>
    <t>ООО Омега Гранд застройка</t>
  </si>
  <si>
    <t xml:space="preserve"> Луначарского, 36</t>
  </si>
  <si>
    <t>ЗАО «Спецстройтрест ЗАТО - Центр»</t>
  </si>
  <si>
    <t xml:space="preserve">126 кв.ж/дом и строит. Механизмы, Тверь, Артюхиной, 15 </t>
  </si>
  <si>
    <t>Нежилое помещение, г.Тверь, Вагжановский пер., д.8 "А"</t>
  </si>
  <si>
    <t>164-ТП/04-08</t>
  </si>
  <si>
    <t>ТГООИ "Стройгарант"</t>
  </si>
  <si>
    <t>2-ой блок секции 1-ой очереди ж/дома с помещ. общественного назначения,  Тверь, ул. Московская, д. 1</t>
  </si>
  <si>
    <t>180-ТП/06-08</t>
  </si>
  <si>
    <t>Данилов В.Г.</t>
  </si>
  <si>
    <t>помещения, ул.Медниковская, д.55/25</t>
  </si>
  <si>
    <t>250-ТП/12-08</t>
  </si>
  <si>
    <t>Администрация муниципального образования Тверской области "Калининский район"</t>
  </si>
  <si>
    <t>Административно-хозяйственный блок, расположенный по адресу: г. Тверь, наб р. Лазури, д. 3</t>
  </si>
  <si>
    <t>259-ТП/12-08</t>
  </si>
  <si>
    <t>ОАО "Строительно-промышленная компания Мосэнергострой"</t>
  </si>
  <si>
    <t>стройплощадка жилого дома, г. Тверь, ул. Склизкова</t>
  </si>
  <si>
    <t>301-ТП/06-09</t>
  </si>
  <si>
    <t>ООО "На Набережной"</t>
  </si>
  <si>
    <t xml:space="preserve">Торгово-офисный центр, </t>
  </si>
  <si>
    <t>184-ТП/06-08</t>
  </si>
  <si>
    <t>ООО "Кеш и Керри"</t>
  </si>
  <si>
    <t>многофункционального торг. комплекса с парковкой на ул. Склизкова г. Тверь, ТП по 6 кВ</t>
  </si>
  <si>
    <t>ООО "Вираж"</t>
  </si>
  <si>
    <t xml:space="preserve">14-этажный жилой дом со встроенными помещениями общественного назначения, </t>
  </si>
  <si>
    <t xml:space="preserve">ООО Атлант </t>
  </si>
  <si>
    <t>жилой застройки в границах улиц Богданова – Т. Ильиной - 15 лет Октября - Склизкова г. Тверь, ТП по 6 кВ</t>
  </si>
  <si>
    <t xml:space="preserve">Областная многопрофильная детская больница,  г. Тверь, наб. С.Разина </t>
  </si>
  <si>
    <t>209-ТП/08-08</t>
  </si>
  <si>
    <t>ООО Тверьградстрой</t>
  </si>
  <si>
    <t>ООО "Капитал"</t>
  </si>
  <si>
    <t>Полная мощность, перераспределяемая в соответствии с ПТЭ, МВА за время</t>
  </si>
  <si>
    <t>Установленная мощность трансформаторов Sуст. с указанием их количества, шт/ МВА</t>
  </si>
  <si>
    <t>Суммарная полная мощность ЦП по результатам замеров максимума нагрузки Sмах , МВА</t>
  </si>
  <si>
    <t xml:space="preserve">Ограничивающие факторы,               МВА </t>
  </si>
  <si>
    <t>Итого:</t>
  </si>
  <si>
    <t>№п/п</t>
  </si>
  <si>
    <t>Ном. мощность НН, МВА</t>
  </si>
  <si>
    <t xml:space="preserve">Ном. Мощность СН, МВА </t>
  </si>
  <si>
    <t>Полная мощность                с учётом перераспределения, МВА</t>
  </si>
  <si>
    <t>таблица 1</t>
  </si>
  <si>
    <t>Установленная мощность трансформаторов Sуст. с указанием их количества в перспективе при  условии выполнения  ТУ на ТП или других мероприятий по реконструкции  ЦП          шт/ МВА</t>
  </si>
  <si>
    <t xml:space="preserve"> Дополнительная мощность по выданным ТУ на ТП, МВА</t>
  </si>
  <si>
    <t>Примечание</t>
  </si>
  <si>
    <t xml:space="preserve">Полная перераспределяемая мощность  в перспективе с учетом выполнения мероприятий ТУ или других мероприятий по реконструкции сети инвестпрограмм и др.                         </t>
  </si>
  <si>
    <t>Ожидаемая нагрузка ЦП,                 МВА</t>
  </si>
  <si>
    <t>Ожидаемый дефицит /профицит</t>
  </si>
  <si>
    <t>Дефицит /профицит ЦП,           МВА</t>
  </si>
  <si>
    <t>Дефицит/профицит  ЦП, МВА</t>
  </si>
  <si>
    <t>ПС 110/10 кВ Бибирево</t>
  </si>
  <si>
    <t>1сутки</t>
  </si>
  <si>
    <t>ПС 35/10 кВ Бор</t>
  </si>
  <si>
    <t>ПС 110/10 кВ Воробьи</t>
  </si>
  <si>
    <t>ПС 35/10 кВ Глазомичи</t>
  </si>
  <si>
    <t>ПС 35/10 кВ Жарки</t>
  </si>
  <si>
    <t>ПС 35/10 кВ Земцы</t>
  </si>
  <si>
    <t>ПС 35/10 кВ Ковалево</t>
  </si>
  <si>
    <t>ПС 35/10 кВ Коротыши</t>
  </si>
  <si>
    <t>ПС 110/10 кВ Монино</t>
  </si>
  <si>
    <t>ПС 35/10 кВ Озерец</t>
  </si>
  <si>
    <t>ПС 35/10 кВ Пожня</t>
  </si>
  <si>
    <t>ПС 35/10 кВ Половцово</t>
  </si>
  <si>
    <t>ПС 110/10 кВ Понизовье</t>
  </si>
  <si>
    <t>ПС 35/10 кВ Синьково</t>
  </si>
  <si>
    <t>ПС 35/10 кВ Улин</t>
  </si>
  <si>
    <t>ПС 35/10 кВ Бологово</t>
  </si>
  <si>
    <t>ПС 35/10 кВ Верховье</t>
  </si>
  <si>
    <t>ПС 35/10 кВ Воскресенское</t>
  </si>
  <si>
    <t>ПС 35/10 кВ Дашково</t>
  </si>
  <si>
    <t>ПС 35/10 кВ Ильино</t>
  </si>
  <si>
    <t>ПС 35/10 кВ Плоскошь</t>
  </si>
  <si>
    <t>ПС 35/6 кВ Половцово</t>
  </si>
  <si>
    <t>ПС 35/10 кВ Ст. Торопа</t>
  </si>
  <si>
    <t>ПС 110/35/10 кВ Андреаполь</t>
  </si>
  <si>
    <t>ПС 110/35/10 кВ Белый</t>
  </si>
  <si>
    <t>ПС 110/35/10 кВ Западная Двина</t>
  </si>
  <si>
    <t>ПС 110/35/10 кВ Торопец</t>
  </si>
  <si>
    <t xml:space="preserve">Ном. мощность СН, МВА </t>
  </si>
  <si>
    <t>ПС 35/10 кВ Кавельщино</t>
  </si>
  <si>
    <t>Процент загрузки к номинальной мощности, %</t>
  </si>
  <si>
    <t>Количество ПС, имеющие загрузку менее 30 %</t>
  </si>
  <si>
    <t>Количество ПС, имеющие загрузку менее от 30  до 70 %</t>
  </si>
  <si>
    <t>Количество ПС, имеющие загрузку более  105 %</t>
  </si>
  <si>
    <t>ПО</t>
  </si>
  <si>
    <t>Договора</t>
  </si>
  <si>
    <t>Актуальные заявки</t>
  </si>
  <si>
    <t>Неактуальные заявки</t>
  </si>
  <si>
    <t>Запросы</t>
  </si>
  <si>
    <t>Установленная мощность по заключенным договорам и выданным ТУ на ТП</t>
  </si>
  <si>
    <t>Установленная мощность по разработанным ТУ, но пока не заключенным договорам  на ТП и заявкам на ТП, находящихся на рассмотрении</t>
  </si>
  <si>
    <t>Установленная мощность по ранее разработанным ТУ, судьба которых не известна</t>
  </si>
  <si>
    <t xml:space="preserve">Установленная мощность по запросу </t>
  </si>
  <si>
    <t>Наименование заявителя</t>
  </si>
  <si>
    <t>Объект присоед-ия и место распол-ния объекта</t>
  </si>
  <si>
    <t>№ договора</t>
  </si>
  <si>
    <t>Р, МВт</t>
  </si>
  <si>
    <t>Cos φ</t>
  </si>
  <si>
    <t>S, МВА</t>
  </si>
  <si>
    <t>Объект присоединения и место расположения объекта</t>
  </si>
  <si>
    <t>Однотрансформаторные ПС</t>
  </si>
  <si>
    <t>ОАО "АБ "Пушкино"</t>
  </si>
  <si>
    <t>нежилое помещ-е, г.ю Бежецк, ул. Нечаева, д. 35/34</t>
  </si>
  <si>
    <t>274-ТП/02-09</t>
  </si>
  <si>
    <t>Итого по договорам</t>
  </si>
  <si>
    <t>Итого по актуальным заявкам</t>
  </si>
  <si>
    <t>Итого по не актуальным заявкам</t>
  </si>
  <si>
    <t>Итого по запросам</t>
  </si>
  <si>
    <t xml:space="preserve"> ПО "Бежецкие ЭС"</t>
  </si>
  <si>
    <t>Производственная база, с.Моркины горы</t>
  </si>
  <si>
    <t xml:space="preserve">ГУ «Юркинского дома интерната для престарелых и инвалидов системы социальной защиты населения Тверской области» Бежецкого района </t>
  </si>
  <si>
    <t>Здания Юркинского дома-интерната (стационар, пищеблок), Тверская область, Бежецкий район, д. Юркино</t>
  </si>
  <si>
    <t>296-ТП/06-09</t>
  </si>
  <si>
    <t>Двух- и более трансформаторные ПС</t>
  </si>
  <si>
    <t>Хохлов А. Н.</t>
  </si>
  <si>
    <t>ж/дом, д.Приворот</t>
  </si>
  <si>
    <t>43-ТП/01-07</t>
  </si>
  <si>
    <t>Ещенко Л. Н.</t>
  </si>
  <si>
    <t>ж/дом, д Противье</t>
  </si>
  <si>
    <t>246-ТП/11-08</t>
  </si>
  <si>
    <t>УФК Весьегонского района</t>
  </si>
  <si>
    <t>адм.здание, пр.Победы, 35</t>
  </si>
  <si>
    <t>94-ТП/11-07</t>
  </si>
  <si>
    <t>Администрация Весьегонского района,</t>
  </si>
  <si>
    <t>дет.сад, ул Кирова 83</t>
  </si>
  <si>
    <t>ООО "Первая базовая компания"</t>
  </si>
  <si>
    <t>установка по переработке углевод.сырья</t>
  </si>
  <si>
    <t>Манделькорн Г.А.</t>
  </si>
  <si>
    <t>нежилое здание Тверская область, Лесной район, Лесное с.п., дер. Городок, ул.Центральная, д. 48</t>
  </si>
  <si>
    <t>329-ТП/09-09</t>
  </si>
  <si>
    <t xml:space="preserve">ГУП Тверьоблстройзаказчик  </t>
  </si>
  <si>
    <t>дом досуга, с. Лесное, ул. Коммунистическая, 1</t>
  </si>
  <si>
    <t>ООО "Верхневолжский животноводческий комплекс"</t>
  </si>
  <si>
    <t>пилорама, д.Заречье</t>
  </si>
  <si>
    <t>253-ТП/12-08</t>
  </si>
  <si>
    <t>ГУП "Тверьоблстройзаказчик"</t>
  </si>
  <si>
    <t>спортзал, п.Сандово, Советская,12</t>
  </si>
  <si>
    <t>Прокуратура Тверской обл.</t>
  </si>
  <si>
    <t>Тверская обл., пос. Сонково, пр-т Ленина, д. 52</t>
  </si>
  <si>
    <t>Огурцов В. Н.</t>
  </si>
  <si>
    <t>скот двор, д.Гарусово</t>
  </si>
  <si>
    <t>264-ТП/12-08</t>
  </si>
  <si>
    <t xml:space="preserve">ЗАО Совместные инвестиции, лет/лагерь Солнышко </t>
  </si>
  <si>
    <t>п. Володарка Максатих. района</t>
  </si>
  <si>
    <t>ООО Агросервис</t>
  </si>
  <si>
    <t>ООО Тверьжилдорстрой", прудовое хозяйство</t>
  </si>
  <si>
    <t>Максатихинский район, д. Бараниха</t>
  </si>
  <si>
    <t>спортзал, п.Максатиха</t>
  </si>
  <si>
    <t>Отдел образования Администрации В.В.р-на</t>
  </si>
  <si>
    <t>детсад п.Пригородный</t>
  </si>
  <si>
    <t>СОТ "Пекарь"</t>
  </si>
  <si>
    <t>сад.огородничес. тов-во, с. Залучье</t>
  </si>
  <si>
    <t>ФГУ Упрдор</t>
  </si>
  <si>
    <t>линия наружного освещения, н.п. В.Волочек, а/д М-10 "Россия" км 293+135 - км 302+602</t>
  </si>
  <si>
    <t>334-ТП/09-09</t>
  </si>
  <si>
    <t>автодром, юж. часть города, уч. № 48, в р-не ул. 6-я Пролетарская и Пионерского переулка</t>
  </si>
  <si>
    <t>113-ТП/12-07</t>
  </si>
  <si>
    <t>ЗАО Тверская Керамика</t>
  </si>
  <si>
    <t>Кирпичный з-д, д. Ненорово</t>
  </si>
  <si>
    <t>75-ТП/10-07</t>
  </si>
  <si>
    <t>спорткомплекс, г. В. Волочек, Б.Садовая</t>
  </si>
  <si>
    <t>115-ТП/12-07</t>
  </si>
  <si>
    <t>ГУП ТОСЗ</t>
  </si>
  <si>
    <t xml:space="preserve"> г. Вышний Волочек, ул. Д. Бедного, 60</t>
  </si>
  <si>
    <t xml:space="preserve">ООО филма "Трейс плюс" </t>
  </si>
  <si>
    <t>эл.снабжение насоса, В.Волоцкий р-н, д. Кожино</t>
  </si>
  <si>
    <t>ООО " Истоки"</t>
  </si>
  <si>
    <t>база отдыха, п.Солнечный</t>
  </si>
  <si>
    <t>ООО Петрол Люкс</t>
  </si>
  <si>
    <t>МАЗК</t>
  </si>
  <si>
    <t>36-ТП/01-07</t>
  </si>
  <si>
    <t>д/сад, гБологое, Заозёрный м-н, 19</t>
  </si>
  <si>
    <t>ФГУ Дороги России</t>
  </si>
  <si>
    <t>Тверская обл., Бологовский район</t>
  </si>
  <si>
    <t>СПК "Салма-плюс" рыбхоз</t>
  </si>
  <si>
    <t>СПК Салма-плюсРыбное х-во,  п.Лубеньковский</t>
  </si>
  <si>
    <t xml:space="preserve"> 92-кв ж/дом,  г.Удомля, Энергетиков</t>
  </si>
  <si>
    <t>Удомельское ОСБ 2601, офис</t>
  </si>
  <si>
    <t>г. Удомля, ул. Попова , 26</t>
  </si>
  <si>
    <t>профилакторий Рогозно, урочище "Остриха"</t>
  </si>
  <si>
    <t>85-ТП/11-07</t>
  </si>
  <si>
    <t>ООО Сфера</t>
  </si>
  <si>
    <t>производственная база, г. Удомля, Полевая, 7</t>
  </si>
  <si>
    <t>ФГУП "Росэнергоатом" Филиал КАЭС</t>
  </si>
  <si>
    <t xml:space="preserve"> 40-кв ж/дом,  г.Удомля, ул.Весенняя</t>
  </si>
  <si>
    <t>112-ТП/12-07</t>
  </si>
  <si>
    <t>ООО "СтройПроект"</t>
  </si>
  <si>
    <t>Адм.здание,  Парковая 20</t>
  </si>
  <si>
    <t>282-ТП/04-09</t>
  </si>
  <si>
    <t>Отделение по Удомельскому УФК по Тверской обл.</t>
  </si>
  <si>
    <t>Административное здание, Тверская обл., г.Удомля, пр-т Энергетиков, д. 3</t>
  </si>
  <si>
    <t>071-2007</t>
  </si>
  <si>
    <t>76 ОКС  (в/ч 30008)</t>
  </si>
  <si>
    <t>хранилище, п.Брусово</t>
  </si>
  <si>
    <t>228-ТП/09-08</t>
  </si>
  <si>
    <t>ДНП Райский остров</t>
  </si>
  <si>
    <t>4 ж/дома, Удомельский район, Таракинский с/о</t>
  </si>
  <si>
    <t>289-ТП/05-09</t>
  </si>
  <si>
    <t>ООО Линза придорожный комплекс</t>
  </si>
  <si>
    <t>266 км а/д Москва-СПб, с. Выдропужск, Спировский р-н</t>
  </si>
  <si>
    <t>276-ТП/02-09</t>
  </si>
  <si>
    <t>Тверская область, Спировский район</t>
  </si>
  <si>
    <t>спортцентр</t>
  </si>
  <si>
    <t>Администрация Фировского р-на</t>
  </si>
  <si>
    <t>комплексная застройка, д. Б.Эскино</t>
  </si>
  <si>
    <t>ООО "Узмень+"</t>
  </si>
  <si>
    <t>завод по разливу воды_Фировский район, пос. Сосновка, д. 102</t>
  </si>
  <si>
    <t>Трофимов Сергей Николаевич</t>
  </si>
  <si>
    <t>жилы дома_Фировский район, Рождественское с/п, в районе д. Глыби</t>
  </si>
  <si>
    <t>Головина И. Н.</t>
  </si>
  <si>
    <t>ж/дом</t>
  </si>
  <si>
    <t>203-ТП/08-08</t>
  </si>
  <si>
    <t>ООО БЖУ</t>
  </si>
  <si>
    <t>станция водоп. , п.Белый городок</t>
  </si>
  <si>
    <t>Люстик С. А.</t>
  </si>
  <si>
    <t>204-ТП/08-08</t>
  </si>
  <si>
    <t>Илькевич Р. П.</t>
  </si>
  <si>
    <t>126-ТП/12-07</t>
  </si>
  <si>
    <t>ООО Городок</t>
  </si>
  <si>
    <t>культ.-развл комплекс</t>
  </si>
  <si>
    <t>50-ТП/04-07</t>
  </si>
  <si>
    <t>ООО Инвестсити</t>
  </si>
  <si>
    <t>база отдыха, д.Прислон</t>
  </si>
  <si>
    <t>272-ТП/02-09</t>
  </si>
  <si>
    <t>ООО Электрооптика</t>
  </si>
  <si>
    <t>жилой поселок Приток, Кимрский район, Титовское с/п, примык. к восточной границе д. Притыкино</t>
  </si>
  <si>
    <t>СНТ "Лесное</t>
  </si>
  <si>
    <t>СНТ, Кимрский район, Титовское с/п</t>
  </si>
  <si>
    <t>ИП Апыхтина О.Д.</t>
  </si>
  <si>
    <t>Количество Закрытых ЦП</t>
  </si>
  <si>
    <t>2009 г</t>
  </si>
  <si>
    <t>2008 г</t>
  </si>
  <si>
    <t>2007 г</t>
  </si>
  <si>
    <t>ИТОГО</t>
  </si>
  <si>
    <t>2006 г</t>
  </si>
  <si>
    <t>цех деревообработки_Лесной район, Лесное с/п, дер. Городок, ул. Новая, д. 12</t>
  </si>
  <si>
    <t>ЗАО «Основание», временно до 31.12.09г  0,037 кВт</t>
  </si>
  <si>
    <t>12 жилых домов, Дмитровское с/п, д.Верханово (отозвана) 0,06кВт</t>
  </si>
  <si>
    <t>40 жилых домов , с.Дмитрова Гора ул. Кимрская (отозвана) 0,2кВт</t>
  </si>
  <si>
    <t>жилые дома Шаталова Я.В.  Конаковский район, Дмитрогорского с/п, д. Коровино, дом 39 и д. 38 (отозвана) 0,02 кВт</t>
  </si>
  <si>
    <t>12 индивидуальных жилых домов Конаковский р-он, Дмитровогорское с/п, дер. Колодкино, (отозвана) 0,06 кВт</t>
  </si>
  <si>
    <t>ЗАО "Основание", временно до 31.12.09г</t>
  </si>
  <si>
    <t>Филиал КАЭС (присоединение по 35 кВ!)</t>
  </si>
  <si>
    <t>ООО "Фундамент"</t>
  </si>
  <si>
    <t>10 этажный 120 квартирный жилой дом, п. Сахарово, ул. Садовая</t>
  </si>
  <si>
    <t>технологическое оборудование, г.Тверь, промзона Лазурная, д.37</t>
  </si>
  <si>
    <t>341-ТП/10-09</t>
  </si>
  <si>
    <t>302-ТП/06-09</t>
  </si>
  <si>
    <t>спортцентр, г. Весьегонск, ул. Александровская</t>
  </si>
  <si>
    <t>ООО УК Региональная энергетика</t>
  </si>
  <si>
    <t>ООО "Региональная энергетическая комиссия"</t>
  </si>
  <si>
    <t>предприятие ООО Веселый берег, г. Весьегонск, ул. Заречная</t>
  </si>
  <si>
    <t>ОАО Бежецкое отделение №1558 Сбербанка России</t>
  </si>
  <si>
    <t>дополнительный офис, Тверская обл., г. Кр. Холм, пл. Народная, д. 22/25</t>
  </si>
  <si>
    <t>Манделькорн</t>
  </si>
  <si>
    <t>нежилое здание, Лесной р-н, Лесноес/п, дер.Городок, ул. Центральная, 48</t>
  </si>
  <si>
    <t>ООО "Ядро"</t>
  </si>
  <si>
    <t>АЗС_Сонковский район, пос. Сонково, пр. Ленина, д. № 130</t>
  </si>
  <si>
    <t>вводное устройство птичника №1 и №2_Вышневолоцкий район, Дятловское с/о, дер. Дятлово</t>
  </si>
  <si>
    <t xml:space="preserve">Торжокский район, п. Славный, ул. Школьная, д. 5 </t>
  </si>
  <si>
    <t>Филиал ОАО "Концерн Росэнергоатом" "Калининская атомная станция"</t>
  </si>
  <si>
    <t>защищенный пункт управления противоаварийными действиями в г. Удомля с внешним аварийным центром_г. Удомля, ул. Садовая в районе территория производственной базы ООО "Сантехмонтаж"</t>
  </si>
  <si>
    <t>г. Калязин, ул. Индустриальная, д. 5</t>
  </si>
  <si>
    <t>Калязинский машиностроительный завод - филиал ОАО "РСК МиГ"</t>
  </si>
  <si>
    <t>Садовое некоммерческое товарищество «Речные просторы»</t>
  </si>
  <si>
    <t>Тверская область, Калязинский район, Старобисловское с.п., в районе д.Болдиново</t>
  </si>
  <si>
    <t>Кулаковский Кирилл Александрович</t>
  </si>
  <si>
    <t>вводное устройство жилого дома с хозяйственными постройками_Андреапольский район, Волокское с/о, урочище Рогово</t>
  </si>
  <si>
    <t>Черкасов Анатолий Викторович</t>
  </si>
  <si>
    <t>жилой дом, Старицкий район, Ново-Ямское с/п, д. Дегунино</t>
  </si>
  <si>
    <t>ООО "Инновационный центр регионального развития</t>
  </si>
  <si>
    <t>г. Тверь, Беляковский пер., д. 46</t>
  </si>
  <si>
    <t>ЗАО "Центр инноваций и инвестиций", СНТ "Путилово-2"</t>
  </si>
  <si>
    <t>Калинин.р-н, Красногорское с/п, район д.Путилово</t>
  </si>
  <si>
    <t>1-я очередь застройки микрорайона_г. Тверь, ул. Оснабрюкская</t>
  </si>
  <si>
    <t>Рамешковский район, с/о Ведновский, дер. Ивица</t>
  </si>
  <si>
    <t>КФХ "Ручеек"</t>
  </si>
  <si>
    <t>вводное устройство крестьянского фермерского хозяйства_Конаковский район, Ручьевское с/п, село Дулово</t>
  </si>
  <si>
    <t>ООО "Каскад-Энергосеть</t>
  </si>
  <si>
    <t>ООО "Атвен"</t>
  </si>
  <si>
    <t>вводное устройство АЗС_Конаковский район, завидовское с/п, дер. Шорново</t>
  </si>
  <si>
    <t>ОАО фирма оптово-розничной торговли "Универсал</t>
  </si>
  <si>
    <t>вводное устройство продовольственного магазина_Конаковский район, пгт. Новозавидовский, ул. Новая, 22 б.</t>
  </si>
  <si>
    <t>04/6970-09-ТП</t>
  </si>
  <si>
    <t>72 квартирный жилой дом, г. Удомля, ул. Весенняя, блок 2</t>
  </si>
  <si>
    <t>магазин "Флагман плюс", г. Удомля, пр. Курчатова, д. 14-а</t>
  </si>
  <si>
    <t>ООО "КомплексПроектСтройСервис"</t>
  </si>
  <si>
    <t>зона отдыха "Олений бор"_Кашинское лесничество Тверской области, Пригородное участковое лесничество (по материалам лесоустройства Калязинский Лесхоз Пригородное лесничество) квартал 12 выдел 6-11, 15-18, 21-26, кадастровый номер 69:11:00 00 00:0005</t>
  </si>
  <si>
    <t>Гришин Александр Алексеевич</t>
  </si>
  <si>
    <t>фермерское хозяйство, Кимрский район, Центральное с/п, район дер. Слободка</t>
  </si>
  <si>
    <t>Муниципальное учреждение дошкольного образования детей "Детско-юношеская спортивная школа"</t>
  </si>
  <si>
    <t>вводное устройство многофункционального зала_Жарковский район, пос. Жарковский, ул. Советская, д. 30 а</t>
  </si>
  <si>
    <t>ООО "ПАРМА"</t>
  </si>
  <si>
    <t>база отдыха_Торопецкий район, Шешуринское с/о, дер. Наговье</t>
  </si>
  <si>
    <t>Коммерческая организация с иностранными инвестициями в форме ООО "Медеса"</t>
  </si>
  <si>
    <t>производственная территория по производству гранул - пеллетов_Западнодвинский район, пгт. Старая Торопа, ул. Комсомольская, д. 12</t>
  </si>
  <si>
    <t>ООО "Гекса - нетканые материалы"</t>
  </si>
  <si>
    <t>производство_Торопецкий район, Речанское с/п, дер. Лесная</t>
  </si>
  <si>
    <t>ООО "Тотал ойл-Ржев"</t>
  </si>
  <si>
    <t>вводное устройство многотопливного автозаправочного комплекса_Зубцовский район, Погорельское с/п, дер. Петровское (182 км+450 м а/д "Балтия")</t>
  </si>
  <si>
    <t>МУ "Администрация Дмитровогорского сельского поселения Конаковского района Тверской области</t>
  </si>
  <si>
    <t>вводное устройство очистных сооружении_Конаковский район, дер. Дмитрова Гора.</t>
  </si>
  <si>
    <t>Муниципальное учреждение "Администрация Дмитровогорского сельского поселения Конаковского района Тверской области"</t>
  </si>
  <si>
    <t>2010 г</t>
  </si>
  <si>
    <t>2010 г.</t>
  </si>
  <si>
    <t>ЗАО "Тверсой завод железобетонных изделий и труб"</t>
  </si>
  <si>
    <t>реконструкция нефтебазы ООО "Подольскнефтепродукт"_ул. Бочкина, д.11</t>
  </si>
  <si>
    <t>Меджлумян Рубен Даниэльевич и Хитров Анатолий Анатольевич</t>
  </si>
  <si>
    <t>вводное устройство цеха по производству пищевых продуктов из морских бурых водорослей _Калининский район, Медновское с/п, с. Медное, ул. Школьная, дом 30 а</t>
  </si>
  <si>
    <t>Орлова Елена Валерьевна</t>
  </si>
  <si>
    <t>вводное устройство фермерского хозяйства_Калининский район, Медновкое с/п, район д. Троица, кадастровый номер 69:10:0000008:673</t>
  </si>
  <si>
    <t>"Строителство газопровода - отвода и АГРС "Калинин - 3" (дом операторов)_Калининский район, Черногубовское с/п, район дер. Красное Знамя</t>
  </si>
  <si>
    <t>"Строителство газопровода - отвода и АГРС "Калинин - 3" (дом операторов)_Калининский район, Черногубовское с/п (1,2 км к северу от дер. Красное Знамя и 1,5 км к юго-западу от дер. Дубровки)</t>
  </si>
  <si>
    <t>ООО "Тверьмасстрой"</t>
  </si>
  <si>
    <t>вводное устройство административного здания с производственным корпусом и стоянками автомобилей_г. Тверь, ул. Красные Горки, д. 32</t>
  </si>
  <si>
    <t>ОАО "Строительная акционенрная компания "Стройцентр"</t>
  </si>
  <si>
    <t>4-5 этажный жилой дом (7 и 8 очереди строительства)_г. Тверь, микрорайон "Южный - Д" Лот 2А, ул. Стартовая, д. 7</t>
  </si>
  <si>
    <t>строительство газопровода - отвода и АГРС "Калинин - 3"_Калининский район, Черногубовское с/п, (1,2 км к северу от дер. Красное Знамя и 1,5 км к юго-западу от дер. Дубровки</t>
  </si>
  <si>
    <t>Водно -моторный потребителский кооператив "Глобус"</t>
  </si>
  <si>
    <t>лодочная станция_Конаковский район, пгт. Новозавидовский, ул. Пригородная, д. 26</t>
  </si>
  <si>
    <t>Панкратьев Виктор Германович</t>
  </si>
  <si>
    <t>вводное устройство здания автосервиса_Конаковский район, с. Завидово, ул. Ленинградская</t>
  </si>
  <si>
    <t>ООО "Тверская строительная фирма"</t>
  </si>
  <si>
    <t>вводное устройство 90 квартирного жилого дома_Конаковский район, пгт. Радченко, д. 76</t>
  </si>
  <si>
    <t>Администрация Эмаусского сельского поселения Калининского района Тверской области</t>
  </si>
  <si>
    <t>вводное устройство сельскохозяйственного рынка_Калининский район, Эмаусское с/п, пос. Эммаус</t>
  </si>
  <si>
    <t>Муниципальное учреждение "Администрация Дмитровогорского сельского поселения Конаковского района Тверской области</t>
  </si>
  <si>
    <t>вводное устройство жилой застройки с малоэтвжными жилыми домами_Конаковский район, с. Дмитрова Гора</t>
  </si>
  <si>
    <t>промышленная нагрузка_Ржевский Район, г. Ржев</t>
  </si>
  <si>
    <t>44-ТП/02-07</t>
  </si>
  <si>
    <t>СПК Сельское</t>
  </si>
  <si>
    <t>МТФ, Торопецкий р-н, д. Лохово</t>
  </si>
  <si>
    <t>ООО "Пересвет"</t>
  </si>
  <si>
    <t>произв.база, Торопец, Чистовский тракт, 30</t>
  </si>
  <si>
    <t>128-ТП/12-07</t>
  </si>
  <si>
    <t>ОВД, п. Жарковский</t>
  </si>
  <si>
    <t>83-ТП/10-07</t>
  </si>
  <si>
    <t>Жарковское поселковое потреб. Общество</t>
  </si>
  <si>
    <t>магазин, Жарковский р-н, п.Жарковский, ул.Советская</t>
  </si>
  <si>
    <t>ГУП «Тверьоблстройзаказчик»</t>
  </si>
  <si>
    <t xml:space="preserve">ООО Территория </t>
  </si>
  <si>
    <t>стройплощадка, Ржев.р-н, д.Появилово</t>
  </si>
  <si>
    <t>189-ТП/06-08</t>
  </si>
  <si>
    <t>ТУ ФГУ Упрдор "Россия"</t>
  </si>
  <si>
    <t>линия наружного освещения на участке автомобильной дороги М-9 - "Балтия" на участке км 223+300 - км 224+400 (поворот на г. Ржев с а/д М-9 "Балтия")</t>
  </si>
  <si>
    <t>очистные сооружения, Ржевский район, д. Хорошево</t>
  </si>
  <si>
    <t>Кривенко В. В</t>
  </si>
  <si>
    <t>с/х произв-во, д.Хомутово</t>
  </si>
  <si>
    <t>163-ТП/04-08</t>
  </si>
  <si>
    <t>ООО Верхневолжский АПК</t>
  </si>
  <si>
    <t>МТФ, Ржев.р-н, д.Тихменеево</t>
  </si>
  <si>
    <t>дачный поселок, р-н д.Появилово</t>
  </si>
  <si>
    <t>275-ТП/02-09</t>
  </si>
  <si>
    <t>280-ТП/03-09</t>
  </si>
  <si>
    <t xml:space="preserve">ООО Ржевский ДСК </t>
  </si>
  <si>
    <t>з-д каркасных домов п. Есинка, Ржев.р-н</t>
  </si>
  <si>
    <t>46-ТП/03-07</t>
  </si>
  <si>
    <t>ООО "Дантон-Птицепром"</t>
  </si>
  <si>
    <t>ф-л №1 Ржевской птицефабрики, п.Есинка</t>
  </si>
  <si>
    <t>ООО "Дюна"</t>
  </si>
  <si>
    <t>пункт охраны, Ржевский р-н  вблизи д.Зайцево</t>
  </si>
  <si>
    <t>Егоров О. К.</t>
  </si>
  <si>
    <t>ж/дом, д. Печеры</t>
  </si>
  <si>
    <t>317-ТП/09-09</t>
  </si>
  <si>
    <t>СНТ Княжий дом</t>
  </si>
  <si>
    <t xml:space="preserve">197 ж/домов, д.Стрелки </t>
  </si>
  <si>
    <t>213-ТП/08-08</t>
  </si>
  <si>
    <t>СНТ Княжеское</t>
  </si>
  <si>
    <t>сад.тов-во, 336 уч-ков,  д.Стрелки Зубцовский р-н Княжьегрское с/п</t>
  </si>
  <si>
    <t>СНТ Алмаз</t>
  </si>
  <si>
    <t xml:space="preserve">270 ж/домов, д.Стрелки </t>
  </si>
  <si>
    <t>212-ТП/08-08</t>
  </si>
  <si>
    <t>СПК Княжьи Горы</t>
  </si>
  <si>
    <t>животн.х-во, с.Кн.Горы, Садовая</t>
  </si>
  <si>
    <t>298-ТП/06-09</t>
  </si>
  <si>
    <t>СНТ Иваново</t>
  </si>
  <si>
    <t>ООО Прогресс</t>
  </si>
  <si>
    <t>Фермер. х-во, Зубцовский р-н, д. Быково</t>
  </si>
  <si>
    <t>05-ТП/09-06</t>
  </si>
  <si>
    <t>ООО Инициатива 1 пуск</t>
  </si>
  <si>
    <t xml:space="preserve">40 ж/д, м-н, 3 адм. здания, д.Коротнево </t>
  </si>
  <si>
    <t>100-ТП/11-07</t>
  </si>
  <si>
    <t>ООО Скорость</t>
  </si>
  <si>
    <t>АЗК, автодор. Москва-Рига, 207 км</t>
  </si>
  <si>
    <t>ООО Элит сервис 1 пуск</t>
  </si>
  <si>
    <t>зона лесн., охотн. и сельск.х-ва,  д.Марково</t>
  </si>
  <si>
    <t>95-ТП/11-07</t>
  </si>
  <si>
    <t xml:space="preserve">Администр. Вазузского с/п </t>
  </si>
  <si>
    <t xml:space="preserve">50 домов, Зубц.р-н,  д.Серговское </t>
  </si>
  <si>
    <t>ООО Элит сервис 2 пуск</t>
  </si>
  <si>
    <t>129-ТП/12-07</t>
  </si>
  <si>
    <t xml:space="preserve">50 домов, Зубц.р-н,  д.Щеколдино </t>
  </si>
  <si>
    <t>ООО Элит сервис 3 пуск</t>
  </si>
  <si>
    <t>посёлок, д.Марково</t>
  </si>
  <si>
    <t>135-ТП/12-07</t>
  </si>
  <si>
    <t>50 домов,Зубц.р-н,  д.М.Коробино</t>
  </si>
  <si>
    <t>Отдел. УФК Зубцовский Р-н</t>
  </si>
  <si>
    <t xml:space="preserve">Здание отделения, г. Зубцов, ул. Советская, д.1/12 </t>
  </si>
  <si>
    <t xml:space="preserve">ООО Инициатива </t>
  </si>
  <si>
    <t>ООО Элта ИГ</t>
  </si>
  <si>
    <t>дачн.посёлок, в границ. с/п Щеколдино</t>
  </si>
  <si>
    <t>237-ТП/10-08</t>
  </si>
  <si>
    <t>насосные станции, артскважина_Зубцовский район,Вазузское с/п, вблизи дер. Фомино-Городище</t>
  </si>
  <si>
    <t>ЧАК Иджерн Холдингс Лимитед</t>
  </si>
  <si>
    <t>Количество ПС, имеющие загрузкуот 70 до 105 %</t>
  </si>
  <si>
    <t>ООО "СтройЖилКомплект"</t>
  </si>
  <si>
    <t>Жилищное строительство_г.Тверь, ул. Фрунзе</t>
  </si>
  <si>
    <t>ФГУП "Научно-исследовательский институт прикладной аккустики"</t>
  </si>
  <si>
    <t>"Волжское отделение Федерального государственного унитарного предприятия "Научно-исследовательский институт прикладной аккустики"_Конаковский район, Дмитровогоррское с/п, в районе дер. Новое Домкино</t>
  </si>
  <si>
    <t>Потребительское общество "Садоводческое сельскохозяйственное общество "Юрьевское"</t>
  </si>
  <si>
    <t>Тверская область, Калининский район, Каблуковское с/п, район дер. Юрьевское</t>
  </si>
  <si>
    <t>Администрация Спировского района Тверской области_вводное устройство автозаправочного комплекса</t>
  </si>
  <si>
    <t>Тверская область, Спировксий район, Выдропужское с/п, с. Выдропужск, 265 км+800 м автодороги  Москва - Санкт-Петербург</t>
  </si>
  <si>
    <t>вводное устройство 2-х этажного 4-х квартирного жилого дома_Тверская область, Конаковский район, Дмитровогорское с/п, с.Дмитрова Гора, ул. Целинников</t>
  </si>
  <si>
    <t>ООО "Терминал"</t>
  </si>
  <si>
    <t>металлобаза с подъездными путями_Калининский район, Никулинское сельское поселение, с. Никольское</t>
  </si>
  <si>
    <t>ЗАО "Гостинница Волга"</t>
  </si>
  <si>
    <t>газовая котельная_Тверская область, г. Тверь, ул Желябова, д.1</t>
  </si>
  <si>
    <t>ЗАО "Ю - Тверь"</t>
  </si>
  <si>
    <t>многотопливный автозаправочный комплекс №19, Тверская область, Торжокский район, км 247+640 (правая сторона) автодороги М-10</t>
  </si>
  <si>
    <t>Черная Алла Александровна</t>
  </si>
  <si>
    <t>вводное устройство жилого дома_Тверская область, торопецкий район, Васильевское с/п, дер.  Цикорево кадастровы № 69:34:19:3001:0066:2/3:363/35:001/А</t>
  </si>
  <si>
    <t>0, 025</t>
  </si>
  <si>
    <t>Воробьева Тамара Николаевна</t>
  </si>
  <si>
    <t>СНТ "Тверская мануфактура"</t>
  </si>
  <si>
    <t>садоводческое некоммерческое товарищество_Тверская область, Калининский район, Михайловское с/п, дер. Александровка</t>
  </si>
  <si>
    <t>ООО "Тепличный комбинат "Ильинское"</t>
  </si>
  <si>
    <t>Лихославльский район, Ильинское с/п, с. Ильинское, ориентир с. Ильинскон</t>
  </si>
  <si>
    <t>ООО "Аргон"</t>
  </si>
  <si>
    <t>Тверская область, г. Тверь, промышленная зона "Боровлево"</t>
  </si>
  <si>
    <t>ООО "Агропредприятие Партнер"</t>
  </si>
  <si>
    <t>свиноферма на 2400 голов продуктивных свиноматок_Тверская область, сонковский район, Беляницкое с/п, между деревнями Пригорки и Рылово</t>
  </si>
  <si>
    <t>Реабилитационный центр для детей и подростков с ограниченными возможностями</t>
  </si>
  <si>
    <t>Тверская область, Лихославльский район, Вескинское с/п, дер. Владычня</t>
  </si>
  <si>
    <t>Индивидуальный предприниматель Ольховик Александр Иванович</t>
  </si>
  <si>
    <t>АЗС стационарного типа_Тверская область, Вышневолоцкий район, Коломенское с/п, с. Коломно</t>
  </si>
  <si>
    <t xml:space="preserve">  </t>
  </si>
  <si>
    <t>СНТ "Родничок"</t>
  </si>
  <si>
    <t>садоводческое некоммерческое товарищество_Тверская область,Кимрский район, п.Центральный</t>
  </si>
  <si>
    <t>ПС  35/6 кВ Каликино</t>
  </si>
  <si>
    <t>ООО "Тверьполимерсистемы"</t>
  </si>
  <si>
    <t>вводное устройство материального склада_г. Тверь, промзона ст. Лазурная</t>
  </si>
  <si>
    <t>Кунцевич Людмила Александровна</t>
  </si>
  <si>
    <t>Муниципальное унитарное предприятие электрических сетей "Тверьгорэлектро"</t>
  </si>
  <si>
    <t>жилой дом_Тверская область, г. Тверь, ул. Фрунзе, д. 24</t>
  </si>
  <si>
    <t xml:space="preserve">детская поликлиника №2 МУЗ "КГБ №6"_Тверская обл., г. Тверь, м-н. Южный, пересечение ул. Можайского с ул. Левитана. </t>
  </si>
  <si>
    <t>ООО Производственная фирма "ЛОТТ"</t>
  </si>
  <si>
    <t>вводное устройство складского комплекса_г.Тверь, Пролетарский район, ул. Освобожденная, д. 199</t>
  </si>
  <si>
    <t>микробиологический лабораторный корпус Федерального государствеееого учреждения здравоохраненияы "Центр гигиены и эпидемологии в Тверской области" (Заказчик - Муниципальное унитарное предприятие электрических сетей "Тверьгорэлектро")_г. Тверь, ул. Дарвина, д. 13, 17</t>
  </si>
  <si>
    <t>ООО "Волга-Мста-Сервис"</t>
  </si>
  <si>
    <t>объекты хоззоны_Тверская область, Конаковский район, Первомайское с/п, дер. Мыслятино, 23</t>
  </si>
  <si>
    <t>ООО "ТрастСтройИнвест"_дренажные насосы гольф-поля</t>
  </si>
  <si>
    <t>дренажные насосы гольф-поля_Конаковский район, Мокшинское с/п, дер. Архангельское</t>
  </si>
  <si>
    <t>здание по торгово-офисные помещения ООО "Сонет-Тверь"_г. Тверь, Свободный пер.,д.9</t>
  </si>
  <si>
    <t>СНТ "Светлый"</t>
  </si>
  <si>
    <t>жилые дома_Тверская область, Калининский район, Черногубовское с/п, в ррайоне Литвинки</t>
  </si>
  <si>
    <t>ООО "Союзспецтранс"</t>
  </si>
  <si>
    <t>ЗАО "Калининское"</t>
  </si>
  <si>
    <t>животноводческий комплекс_Калининский район, Михайловское с/п, пос. Загородный</t>
  </si>
  <si>
    <t>СНТ "Сосновка"</t>
  </si>
  <si>
    <t>ООО "Сервис-М"</t>
  </si>
  <si>
    <t>вводное устройство придорожного комплекса автосервиса_г. Торжок, ул. Кожевников (кадастровый номер 69:47:0150203:66)</t>
  </si>
  <si>
    <t>ООО "Спортивно-развлекательный парк культуры и отдыха "Яхрома"</t>
  </si>
  <si>
    <t>Тверская область, Торжокский район, с. Раек</t>
  </si>
  <si>
    <t>ИП Филиппов Сергей Викторович</t>
  </si>
  <si>
    <t>вводное устройство здания_Кувшиновксйий район, п. Сокольники, ул. Школьная</t>
  </si>
  <si>
    <t>ЗАО "УКС Вертикаль"</t>
  </si>
  <si>
    <t>вводное устройство базы отдыха_Тверская область, Осташковский район, Сорожский с/о, дер. Жар</t>
  </si>
  <si>
    <t>ДНТ "Ивановское"</t>
  </si>
  <si>
    <t>вводное устройство некоммерческого товарищества_Тверская область, Старицкий район, Ново-ямское с/п, вблизи дер. Калошино, Льгово.</t>
  </si>
  <si>
    <t>ООО "Региональная электросетевая компания"</t>
  </si>
  <si>
    <t>два 3-х этажных многоквартирных дома ООО "Межрегионстрой"_Тверская область, г. Западная Двина, ул. Больничная, д. №40 и №41-А</t>
  </si>
  <si>
    <t>7-ми этажный 3-х секционный жилой дом ОАО "Долгопруденское управление капитального строительства"_г. Зубцов, микрорайон Южный.</t>
  </si>
  <si>
    <t>Зона Вышневолоцкие электрические сети</t>
  </si>
  <si>
    <t>Зона Кимрские электрические сети</t>
  </si>
  <si>
    <t>Зона Нелидовские электрические сети</t>
  </si>
  <si>
    <t>Зона Ржевские Электрические сети</t>
  </si>
  <si>
    <t>Зона Торжокские электрические сети</t>
  </si>
  <si>
    <t>ООО "Нинэль"</t>
  </si>
  <si>
    <t>40084439 (договор заключен 15.01.2010)</t>
  </si>
  <si>
    <t>4001810 (договор заключен 22.01.2010)</t>
  </si>
  <si>
    <t>40083266 (договор заключен 01.01.2010)</t>
  </si>
  <si>
    <t>жилой дом, Максатинский район, п. Максатиха, кл. Звездная,д. № 19</t>
  </si>
  <si>
    <t>Московское отделение Октябрьской Железной дороги - филиал ОАО "РЖД"</t>
  </si>
  <si>
    <t>40061458 (договор заключен 01.01.2010)</t>
  </si>
  <si>
    <t>40085122 (договор заключен 27.01.2010)</t>
  </si>
  <si>
    <t>40085744
(договор заключен 12.01.2010)</t>
  </si>
  <si>
    <t>40068222
(договор заключен 03.02.2010)</t>
  </si>
  <si>
    <t>40063415 (договор заключен
16.02.2010)</t>
  </si>
  <si>
    <t>40063940
(договор заключен 24.02.2010)</t>
  </si>
  <si>
    <t>40083290
(договор заключен 17.02.2010)</t>
  </si>
  <si>
    <t>40081993
(договор заключен 17.02.2010)</t>
  </si>
  <si>
    <t>40081801
(договор заключен 17.02.2010)</t>
  </si>
  <si>
    <t>Федеральное государственное квартирно-эксплуатационное учреждение "Ржевская квартирно-эксплуатационная часть района" Министерства Обороны Российской Федерации</t>
  </si>
  <si>
    <t>Войсковая часть 96031, Тверская область, Калининский район, Бурашевское с/п, в/ч 96031</t>
  </si>
  <si>
    <t>40082799 (договор заключен 02.03.2010)</t>
  </si>
  <si>
    <t>№ 40096569 (договор заключен 02.03.2010)</t>
  </si>
  <si>
    <t>40073862
(договор заключен 02.03.2010)</t>
  </si>
  <si>
    <t>40081842
(Договор заключен 09.02.2010)</t>
  </si>
  <si>
    <t>40065775
(договор заключен 14.01.2010)</t>
  </si>
  <si>
    <t>40096555
(договор заключен 10.03.2010)</t>
  </si>
  <si>
    <t>40092258
(договор заключен 25.03.2010)</t>
  </si>
  <si>
    <t xml:space="preserve">40086489
(договор заключен 25.03.2010) </t>
  </si>
  <si>
    <t>40099204
(договор заключен 25.03.2010)</t>
  </si>
  <si>
    <t>40099203
(договор заключен 25.03.2010)</t>
  </si>
  <si>
    <t>40114370
(договор заключен 25.03.2010)</t>
  </si>
  <si>
    <t>40099057
(договор заключен 02.04.2010)</t>
  </si>
  <si>
    <t xml:space="preserve">40111518 
(договор заключен 07.04.2010) </t>
  </si>
  <si>
    <t>40111740 (договор заключен  07.04.2010)</t>
  </si>
  <si>
    <t>40103475
(договор заключен 08.04.2010)</t>
  </si>
  <si>
    <t>40096798
(договор заключен 13.04.2010)</t>
  </si>
  <si>
    <t xml:space="preserve">40086450 (договор заключен 14.04.2010) </t>
  </si>
  <si>
    <t>40103628
(договор заключен 24.04.2010)</t>
  </si>
  <si>
    <t>40108796
(договор заключен 22.04.2010)</t>
  </si>
  <si>
    <t>40118900
(договор заключен 27.04.2010)</t>
  </si>
  <si>
    <t>40118905
(договор заключен 27.04.2010)</t>
  </si>
  <si>
    <t>40118954
(договор заключен 04.05.2010)</t>
  </si>
  <si>
    <t>40124748
(договор заключен 04.05.2010)</t>
  </si>
  <si>
    <t>40114005
(договор заключен 11.05.2010)</t>
  </si>
  <si>
    <t>40114012
(договор заключен 11.05.2010)</t>
  </si>
  <si>
    <t>16027
(договор заключен 12.05.2010)</t>
  </si>
  <si>
    <t>40075843
(договор заключен 17.05.2010)</t>
  </si>
  <si>
    <t>40111587
(17.05.2010)</t>
  </si>
  <si>
    <t>40098949
(договор заключен 18.05.2010)</t>
  </si>
  <si>
    <t>40085129
(договор заключен 24.05.2010)</t>
  </si>
  <si>
    <t>40115895
(договор заключен 01.06.2010)</t>
  </si>
  <si>
    <t>40136614
(договор заключен 07.06.2010)</t>
  </si>
  <si>
    <t>40092242
(договор заключен 07.06.2010)</t>
  </si>
  <si>
    <t>40085481
(договор заключен 11.06.2010)</t>
  </si>
  <si>
    <t>40108770
(договор заключен 17.06.2010)</t>
  </si>
  <si>
    <t>40112892
(договор заключен 28.06.2010)</t>
  </si>
  <si>
    <t>40120335
(договор заключен 29.06.2010)</t>
  </si>
  <si>
    <t>ООО "Сбытовое объединение "Тверьнефтепродукт"</t>
  </si>
  <si>
    <t>40140765
(договор заключен 05.07.2010)</t>
  </si>
  <si>
    <t>40118940
(договор заключен 05.07.2010)</t>
  </si>
  <si>
    <t>40131141
(договор заключен 05.07.2010)</t>
  </si>
  <si>
    <t>40136576
(договор заключен 12.07.2010)</t>
  </si>
  <si>
    <t>40150638
(договор заключен 14.07.2010)</t>
  </si>
  <si>
    <t>40135715
(договор заключен 15.07.2010)</t>
  </si>
  <si>
    <t>40135710
(договор заключен 15.07.2010)</t>
  </si>
  <si>
    <t>40143681
(договор заключен 15.07.2010)</t>
  </si>
  <si>
    <t>40124734
(договор заключен 16.07.2010)</t>
  </si>
  <si>
    <t>40131221
(договор заключен 19.07.2010)</t>
  </si>
  <si>
    <t>40171681
(договор заключен 30.07.2010)</t>
  </si>
  <si>
    <t>40086498 (договор заключен 02.08.2010)</t>
  </si>
  <si>
    <t>40086492 (договор заключен 02.08.2010)</t>
  </si>
  <si>
    <t>40136669
(договор заключен 04.08.2010)</t>
  </si>
  <si>
    <t>40150485 (договор заключен 05.08.2010)</t>
  </si>
  <si>
    <t>40136599 (договор заключен 06.08.2010)</t>
  </si>
  <si>
    <t>40135330 
(договор заключен 06.08.2010)</t>
  </si>
  <si>
    <t>40177843
(договор заключен 13.08.2010)</t>
  </si>
  <si>
    <t>40178644
(договор заключен19.08.2010)</t>
  </si>
  <si>
    <t>40162293 (договор заключен 20.08.2010)</t>
  </si>
  <si>
    <t>40162228(заключен 26.08.2010)</t>
  </si>
  <si>
    <t>40150502
(договор заключен 31.08.2010)</t>
  </si>
  <si>
    <t>40152855
(договор заключен 31.08.2010)</t>
  </si>
  <si>
    <t>40188367
(договор заключен 31.08.2010)</t>
  </si>
  <si>
    <t xml:space="preserve">2010 г. </t>
  </si>
  <si>
    <t>40061132
(договор заключен 19.10.2010)</t>
  </si>
  <si>
    <t>40058889
(договор заключен 27.10.2010)</t>
  </si>
  <si>
    <t>40062820
(договор заключен 26.10.2010)</t>
  </si>
  <si>
    <t>40065432
(договор заключен 29.10.2010)</t>
  </si>
  <si>
    <t>40071327
(договор заключен 14.09.2010)</t>
  </si>
  <si>
    <t>40060977
(10.11.2009)</t>
  </si>
  <si>
    <t>40047744 (договор заключен
13.11.2009)</t>
  </si>
  <si>
    <t>40060123
(договор заключен 16.11.2009)</t>
  </si>
  <si>
    <t>40065246
(договор заключен 10.11.2009)</t>
  </si>
  <si>
    <t>40076381
(договор заключен 20.11.2009)</t>
  </si>
  <si>
    <t>40076407
(договор заключен 23.11.2009)</t>
  </si>
  <si>
    <t>40076909
(договор заключен 20.11.2009)</t>
  </si>
  <si>
    <t>40060379
(договор заключен 19.11.2009)</t>
  </si>
  <si>
    <t>40069344
(договор заключен 01.12.2009)</t>
  </si>
  <si>
    <t>40083424
(договор заключен 08.12.2009)</t>
  </si>
  <si>
    <t>40062943
(договор заключен 24.12.2009)</t>
  </si>
  <si>
    <t>40077786
(договор заключен 15.12.2009)</t>
  </si>
  <si>
    <t>ООО "Экополис"</t>
  </si>
  <si>
    <t>40085301
(договор заключен 14.12.2009)</t>
  </si>
  <si>
    <t>40063232
(договор заключен 17.12.2009)</t>
  </si>
  <si>
    <t>40077245
(договор заключен 23.12.2009)</t>
  </si>
  <si>
    <t>дачн.поселок Никольское 2, д.Высокое и д. Селище</t>
  </si>
  <si>
    <t>40076991
(договор заключен 22.12.2009)</t>
  </si>
  <si>
    <t>40075717
(договор заключен 07.12.2009)</t>
  </si>
  <si>
    <t>ООО "Оптимзация"</t>
  </si>
  <si>
    <t>Дом торговли и бытового обслуживания, г. Старица, ул. Коммунистическая, 27</t>
  </si>
  <si>
    <t>273-ТП/02-09</t>
  </si>
  <si>
    <t>277-ТП/03-09</t>
  </si>
  <si>
    <t>ООО "СтарЗемИнвест"</t>
  </si>
  <si>
    <t>дачный поселок, Старицкий район, вблизи д. Кулотино</t>
  </si>
  <si>
    <t>309-ТП/07-09</t>
  </si>
  <si>
    <t>332-ТП/09-09</t>
  </si>
  <si>
    <t>40060709
(договор заключен 12.10.2009)</t>
  </si>
  <si>
    <t>2007 г.</t>
  </si>
  <si>
    <t>2008 г.</t>
  </si>
  <si>
    <t>2009 г.</t>
  </si>
  <si>
    <t>40062908
(договор заключен 12.01.2010)</t>
  </si>
  <si>
    <t>300-ТП/06-09</t>
  </si>
  <si>
    <t>40061193
(договор заключен 21.01.2010)</t>
  </si>
  <si>
    <t>ООО "Техинвест"</t>
  </si>
  <si>
    <t xml:space="preserve">жилой микрорайон из шести одноэтажных домов_Тверская область, Калязинский район, Нерльское с/п, с. Нерль, ул. Садовая, ул. Полевая  </t>
  </si>
  <si>
    <t>СНП "НовоИгнатово"</t>
  </si>
  <si>
    <t>жилой комплекс_Калининский район, Бурашевское с/п, дер. Игнатово, д. 7-а</t>
  </si>
  <si>
    <t>ООО "Старицкий завод "Линарес"</t>
  </si>
  <si>
    <t>вводное устройство здания механического цеха_Тверская область, г. Старица, ул. Пионерская</t>
  </si>
  <si>
    <t>ООО "Луговое"</t>
  </si>
  <si>
    <t>жилая комплексная застройка_Тверская область, Конаковский район, Дмитровогорское с/п, дер. Коровино</t>
  </si>
  <si>
    <t>ОАО "Евротел"</t>
  </si>
  <si>
    <t>вводное устройство  контейнера связи_Тверская область, г. Удомля, ПС Удомля</t>
  </si>
  <si>
    <t>ООО "Камчатка"</t>
  </si>
  <si>
    <t>Сивирский А.И.</t>
  </si>
  <si>
    <t>жилой дом и хозяйственные постройки_Тверская область_Лихославльский район, Микшинское сельское поселение, д. Бойцово</t>
  </si>
  <si>
    <t>СППК "Медведица"</t>
  </si>
  <si>
    <t>вводное устройство с/х потребительского коопереатива_Лихославльский район, с. Толмачи, ул. Кооперативная , д.9</t>
  </si>
  <si>
    <t>ЗАО "Петрол Комплекс Эквипмент Кампани"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</si>
  <si>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(правая сторона)</t>
  </si>
  <si>
    <t>ООО "Петрол-ЛЮКС"</t>
  </si>
  <si>
    <t>40178670 (договор заключен 10.08.2010)</t>
  </si>
  <si>
    <t>40178957
(договор заключен 02.09.2010 г.)</t>
  </si>
  <si>
    <t>вводное устройство производственной базы_Тверская область, г. Тверь, в промзоне "Лазурная" в Московском районе</t>
  </si>
  <si>
    <t>40189122
(договор заключен 07.09.2010 г.)</t>
  </si>
  <si>
    <t>40184415
(договор заключен 08.09.2010)</t>
  </si>
  <si>
    <t>40184752
(договор заключен 10.09.2010)</t>
  </si>
  <si>
    <r>
      <t xml:space="preserve">172-ТП/04-08
</t>
    </r>
    <r>
      <rPr>
        <sz val="11"/>
        <color indexed="10"/>
        <rFont val="Times New Roman"/>
        <family val="1"/>
        <charset val="204"/>
      </rPr>
      <t>40200188
(договор заключен 15.09.2010)</t>
    </r>
  </si>
  <si>
    <t>40131191
(договор заключен 15.09.2010 г.)</t>
  </si>
  <si>
    <t>40128014
(договор заключен 15.09.2010 г.)</t>
  </si>
  <si>
    <t>40181187
(договор заключен 14.09.2010 г.)</t>
  </si>
  <si>
    <t>40159865
(договор заключен 09.2010)</t>
  </si>
  <si>
    <t>40162751
(договор заключен 24.09.2010 г.)</t>
  </si>
  <si>
    <t>вводно-распределительное устройство многофункционального автозаправочного комплекса_Тверская область, автодорога Москва - Санкт-Петербург, 171 км (левая сторона)</t>
  </si>
  <si>
    <t>ООО "Петрол _ ЛЮКС"</t>
  </si>
  <si>
    <t>вводное устройство многотопливного заправочного комплекса_местоположение  установлено относительно ориентира, расположенного за пределами участка. Ориентир дер. Кривцово. Участок находится примерно в 1470 м от ориентира по направлению на восток. Почтовый адрес ориентира: Тверская область, Калининский район, Никулинское с/пос, дер. Кривцово</t>
  </si>
  <si>
    <t>МУ "Администрация Вахонинского с/пос"</t>
  </si>
  <si>
    <t>вводное устройство дома культуры_Тверская область,Конаковский район, Вахонинское с/пос., д. Вахонино, ул. Весенняя, 18.</t>
  </si>
  <si>
    <t>Маринин Сергей Владимирович</t>
  </si>
  <si>
    <t>вводное устройство офисно-складского комплекса_ месопооложение установлено относительно ориентира, расположенного за пределами участка, ориентир: административный корпус завода "Центросвар", участок находится примерно в 25 м от ориентира по напралению на север, аочновый адрес ориентира: Тверская область, г. Тверь, ул. Паши Савельевой, д. 47</t>
  </si>
  <si>
    <t>ООО "Девон"</t>
  </si>
  <si>
    <t>многоуровневая стоянка_Тверская область, гю Тверь, Пролетарский район, Волоколамское шоссе.</t>
  </si>
  <si>
    <t>вводное устройство детского сада_Тверская область, Конаковский район, д. Вахонино, 72</t>
  </si>
  <si>
    <t>вводное устройство 21-квартирного жилого дома - I очередь_Тверская область, г. Бежецк, Первомайский пер., д. 44А.</t>
  </si>
  <si>
    <t>ЗАО "Ипотечная компания атомной отрасли"</t>
  </si>
  <si>
    <t>ООО "Электромонтажная компания"</t>
  </si>
  <si>
    <t>72-квартирный жилой дом Филиала ОАО "Концерн Росэнергоатом" "Калининская атомная станция"_Тверская область, г. Удомля, ул. Весенняя, блок 2.</t>
  </si>
  <si>
    <t>СТ "Смородинка"</t>
  </si>
  <si>
    <t>садоводческое товарищество_Тверска область, Кимрский район, с/п "Центральное"</t>
  </si>
  <si>
    <t>ООО "Красново"</t>
  </si>
  <si>
    <t>Застройка коттеджный поселок, Тверская область, Калининский район, Никулинское с/п, район дер. Красново</t>
  </si>
  <si>
    <t>12-563/2010</t>
  </si>
  <si>
    <t>40184432
(договор заключен 06.10.2010)</t>
  </si>
  <si>
    <t>40121518
(договор заключен 08.10.2010)</t>
  </si>
  <si>
    <t>40184740
(договор заключен 08.10.2010)</t>
  </si>
  <si>
    <t>40204965
(договор заключен 08.10.2010)</t>
  </si>
  <si>
    <t>вводно-распределительное устройство многотопливного автозаправочного комплекса_Тверская обл., Зубцовский р-н, Вазузское с/п, д. Ширкино, на 202 км + 800 м (слева) автодороги</t>
  </si>
  <si>
    <t>вводно-распределительное устройство многотопливного автозаправочного комплекса_Тверская обл., Зубцовский р-н, Вазузское с/п, д. Ширкино</t>
  </si>
  <si>
    <t>40204976
(договор заключен 08.10.2010)</t>
  </si>
  <si>
    <t>40213430
(договор заключен 08.10.2010)</t>
  </si>
  <si>
    <t>40206754
(договор заключен 12.10.2010)</t>
  </si>
  <si>
    <t>40165918
(договор заключен 13.10.2010)</t>
  </si>
  <si>
    <t>Сельскохозяйственный снабженческо-сбытовой потребительский кооператив "Бахмутово"</t>
  </si>
  <si>
    <t>вводное устройство сельскохозяйственного кооперативного рынка на 25 торговых мест_Тверская область, Ржевский район, с/п "Есинка", дер. Сбоево</t>
  </si>
  <si>
    <t xml:space="preserve">40185804
(договор заключен 27.10.2010) </t>
  </si>
  <si>
    <t>40185804
(договор заключен 27.10.2010)</t>
  </si>
  <si>
    <t xml:space="preserve">ПС 35/6 кВ Городок </t>
  </si>
  <si>
    <t>ФГУП "Российская телевизионная и радиовещательная сеть" филиал "Тверской областной радио и телепередающий центр" (филиал РТРС "Тверской ОРТПЦ"))</t>
  </si>
  <si>
    <t>вводное устройство телевизионной башни цифрового вещания_Пеновский район, Рунское с/п, дер. Слаутино</t>
  </si>
  <si>
    <t>ФГУП "Российская телефизионная и радиавещательная сеть" филиал "Тверской областной радио и телепередающий центр" (филиал РТРС "Тверской ОРТПЦ"</t>
  </si>
  <si>
    <t>вводное устройство телевизионной башни цифрового радиовещания_Тверская область, Весьегонский район, Кесемское с/п, с. Кесьма (100 метров в северном направлении от дома №31 по ул. Пушкинская)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</si>
  <si>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</t>
  </si>
  <si>
    <t>вводное устройство телевизионной башни цифрового радиовещания_Тверская область, Фиовский район, Рождественское с/п, дер. Рождество</t>
  </si>
  <si>
    <t>ДНТ "Элегия"</t>
  </si>
  <si>
    <t>дачное некоммерческое товарищество_Тверская область, Удомельский район, Удомельское с/п,дер. Липки</t>
  </si>
  <si>
    <t>Сливко Александр Петрович</t>
  </si>
  <si>
    <t>вводное устройство жилого дома_Тверская область, Старицкий район, Коречинское с/п, дер. Молоково, д. 19 б</t>
  </si>
  <si>
    <t>Государственное учреждение "Управление противопожарной службы, защиты населения т и территории Тверской области"</t>
  </si>
  <si>
    <t>вводное устройство здания пожарного депо на 4 автомобиля ПЧ-43_Тверская область, Оленининский район, п. Оленино, ул. Гагарина, д. 59</t>
  </si>
  <si>
    <t>ООО "Производственно-коммерческая фирма "ТОКО-2"</t>
  </si>
  <si>
    <t>вводное устрйство АЗС_Тверская область, Калязинский район, Нерльское сельское поселение, д. Большое Михайловское</t>
  </si>
  <si>
    <t>Русский фонд содействия образованию и науке</t>
  </si>
  <si>
    <t>вводное устройство здания школы_Тверская область, Фировский район, Рождественское с/п, дер. Мартюшино, д. 33.</t>
  </si>
  <si>
    <t>вводное устройство здания школы_Тверская область, Фировский район, Великооктябрьское с/п, дер. Трестино, д. 88 а</t>
  </si>
  <si>
    <t>ЗАО "Ю-Тверь"</t>
  </si>
  <si>
    <t>многотопливный автозаправочный комплекс №21_Тверская область, Бологовский район, Куженкинское с/п, вблизи дер. Лопатино</t>
  </si>
  <si>
    <t>ООО "Лидер"</t>
  </si>
  <si>
    <t>жилая застройка_Тверская область, г. Тверь, Поолетарский район, пос. Мамулино</t>
  </si>
  <si>
    <t>ДНТ "Русские дали"</t>
  </si>
  <si>
    <t>дачное некоммерческое товарищество_Тверская область, Зубцовский район, Зубцовское с/п, вблизи дер. Мозгово</t>
  </si>
  <si>
    <t>МУП электрических сетей "Тверьгорэлектро"</t>
  </si>
  <si>
    <t>здание кинотеатра "Звезда" ОАО "КРК Звезда"_Тверская область, г. Тверь, Центральный район, наб. Степана Разина, д.</t>
  </si>
  <si>
    <t>10 этажный 600 квартирный жилой дом с помещениями общественного назначения и торговым центром_Тверская область, г. Тверь, ул. Фрунзе, д.20</t>
  </si>
  <si>
    <t xml:space="preserve">4-х квартирный жилой дом ЗАО "ТЕЛЕНЕТ"_Тверская область, г. Тверь, ул. Медниковская , д. 17 </t>
  </si>
  <si>
    <t>Градусова Татьяна Николаевна</t>
  </si>
  <si>
    <t>вводное устройство жилого дома_Тверская область, Андреапольский район, Бологовское с/п, пос. Бологово, ул. Назимова, д.79</t>
  </si>
  <si>
    <t>ЗАО "Тандер"</t>
  </si>
  <si>
    <t>вводное устройство магазина "Магнит"_Тверская область, Максатихинский район, п. Максатиха, ул. Пролетарская, д. №2</t>
  </si>
  <si>
    <t>Депртамент архитектуры и строительства Администрации города Твери</t>
  </si>
  <si>
    <t>наружное освещение автодорога_Тверская область, г. Тверь, ул. Оснабрюкская от Волоколамского шоссе до ул. Складская</t>
  </si>
  <si>
    <t>ООО "СКФ Тверь"</t>
  </si>
  <si>
    <t>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</si>
  <si>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технологическая линия по производщству подшипников_Тверская область, Калининский район, Бурашевское с/п, торгово-промышленная зона Боровлево-2, № В</t>
  </si>
  <si>
    <t>Ковалев Илья Сергеевич</t>
  </si>
  <si>
    <t>жилая застройка_Тверская область, Калининский район, Щербинское с/п, д. Перхурово</t>
  </si>
  <si>
    <t>Братченко Алексей Геннадьевич</t>
  </si>
  <si>
    <t>жилая застройка_Тверская область, Калининский район, Щербинское с/п, дер. Перхурово</t>
  </si>
  <si>
    <t>Соколов Алексей Николаевич</t>
  </si>
  <si>
    <t>вводное устройство офисно-складского комплекса_ месопооложение установлено относительно ориентира, расположенного за пределами участка, ориентир: административный корпус завода "Центросвар", участок находится примерно в 25 м от ориентира по напралению на север, аочновый адрес ориентира: Тверская область, г. Тверь, ул. Паши Савельевой, д. 49</t>
  </si>
  <si>
    <t>Филиал "Оргстройпроект" ОАО "СПК Мосэнргострой"</t>
  </si>
  <si>
    <t>жилая застройка_Тверская область, г. Конаково, ул. Александровка, жилой дом позиция 7</t>
  </si>
  <si>
    <t>жилая застройка_Тверская область, г. Конаково, ул. Александровка, д. 4 "А"</t>
  </si>
  <si>
    <t>ФГУП "Российская телевизионная и радиавещательная сеть" (филиал РТРС "Тверсой ОРТПЦ"))</t>
  </si>
  <si>
    <t>Тверская область, Спировский район, восточная часть пгт. Спирово</t>
  </si>
  <si>
    <t>ООО "Газпром инвест Запад"</t>
  </si>
  <si>
    <t>вводное устройство газораспределительной  станции "Кашин" (ГРС)_Тверская область, г. Кашин, Стражковское шоссе</t>
  </si>
  <si>
    <t>ФГУП «Российская телевизионная и радиовещательная сеть» филиал «Тверской областной радио и телепередающий центр» (филиал РТРС «Тверской ОРТПЦ»)</t>
  </si>
  <si>
    <t>вводное устройство телевизионной башни цифрового радиовещания_Тверская область, Бологовский район, Березорядское с/п, с. Березовский Рядок, ул. Заречная, д. 37</t>
  </si>
  <si>
    <t>СНТ "Медведица"</t>
  </si>
  <si>
    <t>садоводческое некоммерческое товарищество_Тверская область, г. Куашин, д. Малечкино</t>
  </si>
  <si>
    <t>Зверев Денис Викторович</t>
  </si>
  <si>
    <t>вводное устройство телевизионной башни цифрового радиовещания_Тверская область, Сандовский район, Старосандовское сельское поселение, бнп. Горохово</t>
  </si>
  <si>
    <t>вводное устройство телевизионной башни цифрового радиовещания_Тверская область, Весьегонский район, Чамеровское с/п, с. Чамерово (80 метров в южном направлении от дома №122)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</si>
  <si>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ОРТПЦ"_вводное устройство телевизионной башни цифрового радиовещания</t>
  </si>
  <si>
    <t>вводное устройство телевизионной башни цифрового радиовещания_Тверская область, Весьегонский район, Любигощинское с/п, с. Любегощи (100 метров в восточном направлении от дома №40 по ул. Центральной)</t>
  </si>
  <si>
    <t>вводное устройство телевизионной башни цифрового радиовещания_Тверская область, Кесовогорский район, городское поселение, пгт. Кесова Гора(западная часть).</t>
  </si>
  <si>
    <t>40217613
(договор заключен 08.11.2010)</t>
  </si>
  <si>
    <t>40220455
(договор заключен 08.11.2010)</t>
  </si>
  <si>
    <t>40103778
(договор заключен 02.11.2010)</t>
  </si>
  <si>
    <t xml:space="preserve">                                                                                                             2010 г</t>
  </si>
  <si>
    <t>40162242
(договор заключен 12.11.2010)</t>
  </si>
  <si>
    <t>4021622
(договор заключен 17.11.2010)</t>
  </si>
  <si>
    <t>40180219
(договор заключен 17.11.2010)</t>
  </si>
  <si>
    <t>Бурашевский детский сад на 90 мест,Твекрская область, Калининский район, Бурашевское с/п, с. Бурашево</t>
  </si>
  <si>
    <t>40237681
(договор заключен 29.11.2010)</t>
  </si>
  <si>
    <t>40249349
(договор заключен 01.12.2010)</t>
  </si>
  <si>
    <t>Государственное образовательное учреждение высшего профессионального образования Тверской госуниверситет</t>
  </si>
  <si>
    <t>главный корпус университета, г. Тверь, ул. 2-я Красина-ул. Прошина</t>
  </si>
  <si>
    <t>40248671
договор заключен 01.12.2010 г.)</t>
  </si>
  <si>
    <t>40223780
(договор заключен 01.12.2010 г.)</t>
  </si>
  <si>
    <t>40200483
(договор заключен 07.12.2010 г.)</t>
  </si>
  <si>
    <t>40213629
(договор заключен 08.12.2010 г.)</t>
  </si>
  <si>
    <t>40222524
(договор заключен 14.12.2010 г.)</t>
  </si>
  <si>
    <t>40216015
(договор заключен 17.12.2010 г.)</t>
  </si>
  <si>
    <t>40261996
(договор заключен 17.12.2010 г.)</t>
  </si>
  <si>
    <t>филиал РТРС "Тверской ОРТПЦ"</t>
  </si>
  <si>
    <t>Тверская обл., Лихославльский р-н, Сосновицкое с/п, д. Михайлова Гора</t>
  </si>
  <si>
    <t>40163446
(договор заключен 17.12.2010 г.)</t>
  </si>
  <si>
    <t>40248789
(договор заключен 17.12.2010 г.)</t>
  </si>
  <si>
    <t>Жилой дом_Тверская область, Конаковский район, вблизи дер. Мал. Новоселье, земельный участок (кадастровый номер 69:15:0000011:1919)</t>
  </si>
  <si>
    <t>40206664
(договор заключен 25.12.2010)</t>
  </si>
  <si>
    <t>40248716
(договор заключен 31.12.2010)</t>
  </si>
  <si>
    <t>ДНТ, почтовый адрес ориентира: Тверская обл., Старицкий р-н, Ново-Ямское с/п, вблизи д. Калошино, Льгово</t>
  </si>
  <si>
    <t>40264105
(договор заключен 14.01.2011)</t>
  </si>
  <si>
    <t>2011 г</t>
  </si>
  <si>
    <t>ОАО "Инженерно-инвестиционная компания"</t>
  </si>
  <si>
    <t>40268468
(договор заключен 14.01.2011)</t>
  </si>
  <si>
    <t>117-ТП/12-07
- договор 40083972 от 24.12.2007 расторгнут 30.03.2010</t>
  </si>
  <si>
    <t>30/6920-09-ТП - договор 40032884 от 20.04.2009 расторгнут 23.05.2010</t>
  </si>
  <si>
    <t>Договор 40060845       от 22.01.2010 расторгнут 02.08.2010</t>
  </si>
  <si>
    <t>Договор 40114236 от 03.06.2008 расторгут 26.10.2010 г.</t>
  </si>
  <si>
    <t>111-ТП/12-07
договор 40256847 от 17.12.2007 расторгнут 30.12.2010</t>
  </si>
  <si>
    <t>187-ТП/06-08 договор 40248168 от 19.06.2008 расторгнут 30.12.2010 г.)</t>
  </si>
  <si>
    <t>200-ТП/07-08 договор 40256724 от 23.07.2008 расторгнут 30.12.2010</t>
  </si>
  <si>
    <t xml:space="preserve">254-ТП/12-08
договор 40016589 от 30.12.2008 расторгнут 05.10.2010 </t>
  </si>
  <si>
    <t xml:space="preserve"> 262-ТП/12-08 договор 40035269 от 31.12.2008 расторгнут 01.10.2010 </t>
  </si>
  <si>
    <t>278/1-ТП/03-09
договор 40256843 от 16.03.2009 расторгнут 30.12.2010</t>
  </si>
  <si>
    <t>37-ТП/01-07
договор 40034986 от 16.01.2007 расторгнут 30.12.2010</t>
  </si>
  <si>
    <t>договор 40081801
от 26.02.2010 расторгнут 01.10.2010</t>
  </si>
  <si>
    <t xml:space="preserve">Договор 40114001
от 07.04.2010 расторгнут 08.11.2010 </t>
  </si>
  <si>
    <t>74-ТП/10-07 договор 40248071 от 04.10.2007 расторгнут 30.12.2010</t>
  </si>
  <si>
    <t>32-ТП/12-06 договор от 21.12.2006 расторгнут</t>
  </si>
  <si>
    <t>Договор 202-ТП/08-08 от 06.08.2008 расторгнут</t>
  </si>
  <si>
    <t>ЗАО "Хамильтон Стандард - Наука"</t>
  </si>
  <si>
    <t>Научно-производственный комплекс, г. Кимры, ул. Старозаводская</t>
  </si>
  <si>
    <t>Договор 232-ТП/10-08 от 03.10.2008 расторгнут</t>
  </si>
  <si>
    <t>Договор 297-ТП/06-09 от 09.06.2009 расторгнут</t>
  </si>
  <si>
    <t>Расторгнутые договора</t>
  </si>
  <si>
    <t>Установленная мощность по расторгнутым договорам и выданным ТУ на ТП</t>
  </si>
  <si>
    <t xml:space="preserve"> 4-7 очереди "Застройки квартала по ул.Новая"</t>
  </si>
  <si>
    <t>ПС 110/10 кВ Механич. з-д.</t>
  </si>
  <si>
    <t>ПС 110/6 кВ Механич. з-д.</t>
  </si>
  <si>
    <t>ПС 110/10 кВ Экскаваторный з-д</t>
  </si>
  <si>
    <t>ПС 110/6 кВ Экскаваторный з-д</t>
  </si>
  <si>
    <t>40154047
(договор заключен 27.09.2010 г.)</t>
  </si>
  <si>
    <t>2006 г.</t>
  </si>
  <si>
    <t>Вводное устройство производственной базы, местоположение установлено относительно ориентира, расположенного за пределами участка. Ориентир жилой дом.Участок находится примерно в 2000 м от ориентира по направлению на юго-восток. Почтовый адрес ориентира: Тверская область, Конаковский район, Первомайское с/о, дер. Перетрусово, д.3</t>
  </si>
  <si>
    <t>СНТ "Урожай"</t>
  </si>
  <si>
    <t>ФГУП "Российская телевизионная и радиовещательная сеть" филиал "Тверской областной и телерадиопередающий центр" (филиал РТРС "Тверской ОРТПЦ")</t>
  </si>
  <si>
    <t>Вводное устройство объекта Газопровод-отвод г. Ржев - г. Нелидово Тверской области" (Газораспределительная станция) (в ОРЗТП с 20.01.2011)</t>
  </si>
  <si>
    <t>Вводное устройство телебашни цифрового радиовещания_Тверская область, Торжокский район, Борисцевское с/п, дер. Головинские горки, д. 36 (в ОРЗТП с 26.01.2011)</t>
  </si>
  <si>
    <t>Ввводное устройство телебашни цифрового вещания_Тверская область, г. Ржев, ул. К.Маркса, д. 40 (в ОРЗТП с 20.01.2011)</t>
  </si>
  <si>
    <t>Вводное устройство продовольственного магазина с административно-оффисными помещениями_Тверская область, г. Тверь, ул. 15 лет Октября, д. 10 (в ОРЗТП с 26.01.2011)</t>
  </si>
  <si>
    <t>жилой дом_Тверская область, г. Тверь, ул. Фрунзе, д. 22 (в ОРЗТП с 26.01.2011)</t>
  </si>
  <si>
    <t>Вводное устройство жилого дома Управления Федеральной службы безопасности РФ по Тв. Области_Тверская обл., г. Тверь, 1-ый пер. Вагонников (в ОРЗТП с 26.01.2011)</t>
  </si>
  <si>
    <t>газовая котельная_Тверская область, г. Тверь, ул Желябова, д.1 (в ОРЗТП с 26.01.20111)</t>
  </si>
  <si>
    <t>жилая застройка ЗАО "МосДом"_Тверскяа обл., гор. Тверь, пер. Трудолюбия, д.1 (в ОРЗТП с 26.01.2011)</t>
  </si>
  <si>
    <t>вводное устройство телебашни цифрового вещания_Тверская область, Андреаполький район, г. Андреаполь (в ОРЗТП с 26.01.2011)</t>
  </si>
  <si>
    <t>вводное устройство магазина ЗАО "ТАНДЕР"_Тверская обл., г. Калязин, ул. Шорина, д. №27/59 (в ОРЗТП с 17.01.2011)</t>
  </si>
  <si>
    <t>ООО "Паулинг Рус"</t>
  </si>
  <si>
    <t>Завод по производству продуктов питания_Тверская область, Калининский район, Бурашевское с/п, дер. Садыково (в ОРЗТП с 27.12.2010)</t>
  </si>
  <si>
    <t>Вводное устройство объекта Газопровод-отвод г. Ржев - г. Нелидово Тверской области"_Тверская область, Андреапольский район, Андреапольское с.п., на юго-востоке от дер. Карабаново (в ОРЗТП с 20.01.2011)</t>
  </si>
  <si>
    <t>Вводное устройство объекта Газопровод-отвод г. Ржев - г. Нелидово Тверской области"_Тверская область,Оленинский район, на северо-западе от п. Оленино (в ОРЗТП с 20.01.2011)</t>
  </si>
  <si>
    <t>СПССК "Развитие"</t>
  </si>
  <si>
    <t>вводное устройство пункта приема и переработки молока_Тверская область, Зубцовский район, Вазуское сельское поселение, д. Коровкино (в ОРЗТП с 20.01.2011)</t>
  </si>
  <si>
    <t>ГУП "Российская телефизионная и радиавещательная сеть" филиал "Тверской областной радио и телепередающий центр" (филиал РТРС "Тверской ОРТПЦ")</t>
  </si>
  <si>
    <t>ДНП "ОАЗИС"</t>
  </si>
  <si>
    <t>ДНП_Тверская область, Конаковский район, Юрьево-девичьевское с/п, район дер. Новенькое (в ОРЗТП с 20.01.2011)</t>
  </si>
  <si>
    <t>Государственное учреждение "Тверская областная картинная галерея"</t>
  </si>
  <si>
    <t>Тверская область, Удомельский район, Порожкинское с/п, дер. Касково, д. 110 А (в ОРЗТП с 17.01.2011)</t>
  </si>
  <si>
    <t>ООО "Верхневолжье СП"</t>
  </si>
  <si>
    <t>вводное устройство здания №2_Тверская область, Кесовогорский район, пгт Кесова Гора, ул. Мелиоративная, дом №2</t>
  </si>
  <si>
    <t>вводное устройство здания магазина с кафетерием Дубинина Н.Н._Тверская область, Московский район, ул. Можайского (около д. 76, 78) (в ОРЗТП с 17.12.2010)</t>
  </si>
  <si>
    <t>вторая очередь строящегося жилого дома с помещениями общественного назначения и автостоянкой (2-й пусковой комплекс) ГТООИ "Стройгарант"_Тверская область, г. Тверь, Центральный район, ул. Д.Донского, д. 40 (в ОРЗТП с 17.12.2010 г.)</t>
  </si>
  <si>
    <t>клуб многоцелевого назначения со встроенными помещениями общественного питания ООО "САН" (в ОРЗТП с 17.12.2010)</t>
  </si>
  <si>
    <t>СНТ_Тверская область, Калининский район, Красногорское с/п, дер. Некрасово (в ОРЗТП с 20.01.2011)</t>
  </si>
  <si>
    <t>Коммунально-бытовая нагрузка_г. Тверь, Московксое шоссе, район площади Гагарина (в ОРЗТП с 10.12.2010)</t>
  </si>
  <si>
    <t>вводное устройство телебашни цифрового вещания_Тверская область, Западнодвинский район, п. Старая Торопа, ул. Комсомольская (в ОРЗТП с 06.12.2010)</t>
  </si>
  <si>
    <t>МУ Администрация городского сельского поселения поселка Новозавидовский Конаковского района Тверской области</t>
  </si>
  <si>
    <t>ярмарка выходного дня_Тверская область, Конаковский район, пос. Новозавидовский, ул. Транспортная (в ОРЗТП с 06.12.2010)</t>
  </si>
  <si>
    <t>Королев Роман Михайлович</t>
  </si>
  <si>
    <t>Вводное устройство жилого дома_Тверская область, Конаковский район, пгт Завидовское с/п,дер. Высоково, д.9 (в ОРЗТП с 06.12.2010 г.)</t>
  </si>
  <si>
    <t>вводное устройство телебашни цифрового вещания_Тверская область, Западнодвинский район,Ильинское с/п, п. Ильино (в ОРЗТП с 06.12.2010)</t>
  </si>
  <si>
    <t>садоводческое некоммерческое товарищество_Кашинский район, Булатовское с/п, дер. Лужки (в ОРЗТП с 17.12.2010)</t>
  </si>
  <si>
    <t>40259887 (договор заключен 24.01.2011)</t>
  </si>
  <si>
    <t>40217565
(договор заключен 28.01.2011)</t>
  </si>
  <si>
    <t xml:space="preserve">40274325
(договор заключен 17.02.2011) </t>
  </si>
  <si>
    <t>40263316
(договор заключен 24.02.2011)</t>
  </si>
  <si>
    <t>ЗТП-10/0,4 кВ-2х2 500 кВА "Парето Принт", г. Тверь, промышленная зона "Боровлево-1"</t>
  </si>
  <si>
    <t>31-ТП/12-06</t>
  </si>
  <si>
    <t>319-ТП/09-09</t>
  </si>
  <si>
    <t>ОАО "Мегафон"</t>
  </si>
  <si>
    <t>ОАО "Энерго-Т"</t>
  </si>
  <si>
    <t>Промышленная нагрузка_ г. Тверь, промышленная зона "Боровлево-1"</t>
  </si>
  <si>
    <t>Буриличев Алексей Витальевич</t>
  </si>
  <si>
    <t>вводное устройство жилого дома_Тверская область, Торопецкий район, Речанское с/п, д. Лукьяново (в ОРЗТП с 24.02.2010)</t>
  </si>
  <si>
    <t>вводное устройство телебашни цифрового вещания_Тверская область, Кимрский район, Горицкое с/п, с. Горицы (в ОРЗТП с 02.2011)</t>
  </si>
  <si>
    <t>ООО "Дорожная Строительная компания"</t>
  </si>
  <si>
    <t>ОАО фирма ОРТ "Универсал"</t>
  </si>
  <si>
    <t>вводное устройство здания кинотеатра "Ракета"_Тверская область, Рамешковский район, пос. Рамешки, ул. Советская, д. 26 (в ОРЗТП с 24.02.2011)</t>
  </si>
  <si>
    <t>вводное устройство телевизионной башни цифрового радиовещания_Тверская область, Максатихинский район, дер. Сельцы (широта - 57,56'59'' , долгота 35,56'02'')
(в ОРЗТП с 24.02.2011)</t>
  </si>
  <si>
    <t>Вводное устройство телевизионной башни цифрового радиовещания_Тверская область, Старицкий район, Паньковское с/п, дер. Коньково (в ДО с 24.02.2011)</t>
  </si>
  <si>
    <t>Вводное устройство телевизионной башни цифрового радиовещания_Тверская область, Оленинский район, городское поселение пос. Оленино, пгт Оленино, ул. Райсельхозхимии (в ДО с 15.02.2011)</t>
  </si>
  <si>
    <t>Вводное устройство телебашни цифрового радиовещания_Тверская область, Селижаровский район, Березугское с/п, дер. Козловцы (в ОРЗТП с 15.02.2011)</t>
  </si>
  <si>
    <t>ООО "Гематек"</t>
  </si>
  <si>
    <t>Промышленная нагрузка_Тверская обл., г. Тверь, ул. Сердюковская, д. 1
(в ОРЗТП с 17.02.2011)</t>
  </si>
  <si>
    <t>Павлов Игорь Вячеславович</t>
  </si>
  <si>
    <t>МУ Администрация Торжокского района Тверской области</t>
  </si>
  <si>
    <t>Детский сад на 90 мест_Тверская область, Торжокский район, Грузинское с/п, дер. Грузины
(в ОРЗТП с 15.02.2011)</t>
  </si>
  <si>
    <t>Скобелев Владимир Юрьевич</t>
  </si>
  <si>
    <t>здание торгово-офисного комплекса ООО "Стандарт-ТМ"_г. Тверь, Заволжский район, ул. Маяковского - ул. Пржевальсского, кадастровый номер 69:40:01:00:620:0071
(в ОРЗТП с 15.02.2011)</t>
  </si>
  <si>
    <t>Управление Федеральной службы исполнения наказаний России по Тверской области</t>
  </si>
  <si>
    <t>!2 категория!10-этажный 300-квартирный жилой дом _Тверская область, г. Тверь, Бурашевское шоссе
(в ОРЗТП с 15.02.2011)</t>
  </si>
  <si>
    <t>ООО "Премьер"</t>
  </si>
  <si>
    <t>!2 категория! Вводное устройство жилого комплекса "Аврора"_Тверская област, г. Тверь, ул. Можайского, дом 62, корпус 1
(в ОРЗТП с 15.02.2011)</t>
  </si>
  <si>
    <t>вводное устройство телебашни цифрового вещания_Тверская область, Андреаполький район, г. Андреаполь (в ОРЗТП с 15.02.2011)</t>
  </si>
  <si>
    <t>Федеральное государственное учреждение культуры "Всероссийский историко-этнографический музей"</t>
  </si>
  <si>
    <t>Ввводное устройство объекта "Гостиница Пожарских"_Тверская область, г. Торжок, ул. Дзержинского, 48
(в ОРЗТП с 15.02.2011)</t>
  </si>
  <si>
    <t>ИП Петров Сергей Александрович</t>
  </si>
  <si>
    <t>Вводное устройство пилорамы_Тверская область, Осташковский район, Замошское с/п, д. Иванова гора
(в ОРЗТП с 15.02.2011)</t>
  </si>
  <si>
    <t>СНТ "Игуменка-2"</t>
  </si>
  <si>
    <t>СНТ_Тверская область, Конаковский район, дер. Игуменка
(в ОРЗТП с 20.01.2011)</t>
  </si>
  <si>
    <t>вводное устройство 4-х квартирного жилого дома со встроенными офисными помещениями Куприяновой Т.А._Тверская область, г. Тверь, набережная реки Тьмаки, д. 20 корпус 1</t>
  </si>
  <si>
    <t>!1 категория! вводное устройство телевизионной башни цифрового радиовещания_Тверская область, Удомельский район, Молжинский с/о, дер. Поддубье
(в ОРЗТП с 20.01.2011)</t>
  </si>
  <si>
    <t>!1 категория! вводное устройство телевизионной башни цифрового радиовещания_Тверская область, г. Кашин, Калининское шоссе, д.3
(в ОРЗТП с 08.02.2011)</t>
  </si>
  <si>
    <t>Вводное устройство телебашни цифрового вещания_Тверская область, Зубцовский район, пос. Погорелое городище, ул. Ленина, д. 5 В (в ОРЗТП с 08.02.2011)</t>
  </si>
  <si>
    <t>Вводное устройство телебашни цифрового вещания_Тверская область, г. Зубцов, ул. Ржевская д. 31 (в ОРЗТП с 08.02.2011)</t>
  </si>
  <si>
    <t>вводное устройство объекта Газопровод-отвод г. Ржев - г. Нелидово Тверской области"_Тверская область,Оленинский район, на севере пос. Мирный (в ОРЗТП с 08.02.2011)</t>
  </si>
  <si>
    <t>вводное устройство телебашни цифрового вещания_Тверская область, г. Торопец, ул. Советская, д.116 а (в ОРЗТП с 08.02.2011)</t>
  </si>
  <si>
    <t>вводное устройство телебашни цифрового вещания_Тверская область, г. Западная Двина, пер. Больничный, д. 10 (в ОРЗТП с 08.02.2011)</t>
  </si>
  <si>
    <t>Вводное устройство объекта Газопровод-отвод г. Ржев - г. Нелидово Тверской области"_Тверская область, Западнодвинский район на юго-востоке от г. Западная Двина (в ОРЗТП с 08.02.2011)</t>
  </si>
  <si>
    <t>вводное устройство телебашни цифрового вещания_Тверская область, г. Белый, пос. Пригородный, ул. Центральная, д.28 (в ОРЗТП с 08.02.2011)</t>
  </si>
  <si>
    <t>Филиал "Московский центр автоматизированного управления воздушным движением" ФГУП "Госкорпорация ОрВД"</t>
  </si>
  <si>
    <t>Вводное устройство объекта ВРДП 422 Тверского центра ОрВД филиала_Тверская область, Калининский район, Никулинское с/п, район с. Никольское
(в ОРЗТП с 08.02.2011)</t>
  </si>
  <si>
    <t>пел.цех, Селижар р-н,  д.Языково (было перераспределение мощности 17.02.2011)</t>
  </si>
  <si>
    <t>252-ТП/12-08
(перераспределение мощности - договор 40279891 в 2011)</t>
  </si>
  <si>
    <t>Ранее разрешенная мощность_промышленная нагрузка 2 категории_Тверскяа область, г. Тверь, ул. 2-я Грибоедова - ул. Прошина
(в ОРЗТП с 24.02.2011)</t>
  </si>
  <si>
    <t>вводное устройство телевизионной башни цифрового радиовещания_Тверская область, г. Красный Холм в районе учхоза, с левой стороны а/д Красный Холм - Васильки (широта - 58,03'59'' , долгота 37,08'07'')
(в ОРЗТП с 01.03.2011)</t>
  </si>
  <si>
    <t>"Строителство газопровода - отвода и АГРС "Калинин - 3" (газораспределительная станция)_Калининский район, Черногубовское с/п (1,2 км к северу от дер. Красное Знамя и 1,5 км к юго-западу от дер. Дубровки)
(в ОРЗТП с 01.03.2011)</t>
  </si>
  <si>
    <t>ООО "Тверская региональная строительная компания"</t>
  </si>
  <si>
    <t>2 категория КЛ-6 кВ и КТП-6/0,4 кВ 2х630 кВА для строительства инжененрной инфраструктуры
(в ОРЗТП с 01.03.2011)</t>
  </si>
  <si>
    <t>320-ТП/09-09
(договор заключен 11.09.2009)</t>
  </si>
  <si>
    <t>ООО "Василево"</t>
  </si>
  <si>
    <t>Комплексная жилищная застройка, г. Тверь, район ВНИИСВ, п. Никифоровское 
(в ОРЗТП с 23.03.2011)</t>
  </si>
  <si>
    <t>Модульная котельная_Тверская область, Калининский район, Бурашевское с/п, с. Бурашево
 (в ОРЗТП с 21.03.2011)</t>
  </si>
  <si>
    <t>Глава КФХ Большов Сергей Вячеславович</t>
  </si>
  <si>
    <t>ОАО "Головное системное конструкторское бюро Концерна ПВО "Алмаз-Антей" имени академика А.А. Расплетина (ОАО "ГСКБ "Алмаз-Антей"))</t>
  </si>
  <si>
    <t>Филиал РТРС "Тверской ОРТПЦ"</t>
  </si>
  <si>
    <t>ООО "Титов Бор"</t>
  </si>
  <si>
    <t>Здание усадьбы_Тверская область, Ржевский район, с/п. "Победа", дер. Харино
(в ОРЗТП 16.03.2011)</t>
  </si>
  <si>
    <t>Вводное устройство газовой котельной ММУ "Кувшиновская ЦРБ (с поликлиникой) в г. Кувшиново"_Тверская область, Кувшиновский район, г. Кувшиново, ул. Семашко, д. 11
(в ОРЗТП с 23.03.2011)</t>
  </si>
  <si>
    <t>ООО "Атлант"</t>
  </si>
  <si>
    <t xml:space="preserve"> исправительная колония № 10, Калининский р-н, п.Металлистов 
(в ОРЗТП с 23.03.2011)</t>
  </si>
  <si>
    <t>Жилые дома с помещениями общественного назначения по ул. Георгиевская_Тверская область, ул. Георгиевская, к. 1,2,3 пос. Мамулино
(в ОРЗТП с 23.03.2011)</t>
  </si>
  <si>
    <t>ВЛ-10 кВ и ТП-10/0,4 кВ для электроснабжения пристройки к школе пос. Рамешки_Тверская область, п. Рамешки, ул. Советская, д. 47
(в ОРЗТП с 21.03.2011)</t>
  </si>
  <si>
    <t>Садоводческое некоммерческое товарищество "Губино"</t>
  </si>
  <si>
    <t>ВЛ-10 кВ и ТП-10/0,4 кВ-400 кВА для электроснабжения базы отдыха "ЛУЧ", Калининский район, Михайловское с/п дер. Долматово (в ОРЗТП с 21.03.2011)</t>
  </si>
  <si>
    <t>МУП ЭС "Тверьгорэлектро"</t>
  </si>
  <si>
    <t>Торгово-офизное здание А.А.Ефанова_Тверская область, г. Тверь, ул. Благоева и Соминка, д. 74/19
(в ОРЗТП с 21.03.2011)</t>
  </si>
  <si>
    <t>вводное устройство предприятия общественного питания_Тверская область, Конаковкский район, Мокшинское с/пос, район д. Мокшино, земельный участок (кадастровый номер 69:15:0000027:464)
(в ОРЗТП с 02.03.2011)</t>
  </si>
  <si>
    <t>Вводное устройство здания цеха ООО "Тверьтехногрейд"_Тверская область, г. Тверь, промышленный проезд, д. 2а
(в ОРЗТП с 21.03.2011)</t>
  </si>
  <si>
    <t>ООО "Мегапласт"</t>
  </si>
  <si>
    <t>Промышленная нагрузка_Тверская область, г. Торопец, ул. Чистовский тракт, д. 30
(в ОРЗТП с 21.03.2011)</t>
  </si>
  <si>
    <t>вводное устройство телебашни цифрового вещания_Тверская область, Старицкий район, Архангельское с/п, дер. Кунилово (в ОРЗТП с 16.03.2011)</t>
  </si>
  <si>
    <t>вводное устройство газораспределительной  станции "Реконструкция ГРС "Кесова Гора", Тверская область"_Тверская область, Кесовогорский район, Кесовогорское с.п., на юге п. Кесова Гора (в ОРЗТП с 02.03.2011 г.)</t>
  </si>
  <si>
    <t>ООО "Тверьагропром"</t>
  </si>
  <si>
    <t>Промышленная нагрузка_Тверская область, Лихославльский район, дер. Вески, ул. Центральная, д. 14 а
(в ОРЗТП с 16.03.2011)</t>
  </si>
  <si>
    <t>вводное устройство телевизионной башни цифрового радиовещания_Тверская область, Бежецкий район, Житницкое с/п, д. Житищи (широта - 57,27'46'' , долгота 36,30'47'')
(в ОРЗТП с 02.03.2011)</t>
  </si>
  <si>
    <t>Волков Игорь Валентинович</t>
  </si>
  <si>
    <t>ВЛ-10 кВ и ТП-10/0,4 кВ-160 кВА для электроснабжения жилых домов и хозпостроек_Тверская область, Осташковский район, Свапущенское с.п., район дер. Старое Село, земельный участок с кадастровым № 69:24:000009:0681
(в ОРЗТП с 31.03.2011)</t>
  </si>
  <si>
    <t>ОАО "Завод по розливу минеральной воды "Вереск"</t>
  </si>
  <si>
    <t>ООО "У Городища"</t>
  </si>
  <si>
    <t>ВЛ-10 кВ и ТП-10/0,4 кВ - 160 кВА для электроснабжения базы отдыха
(в ОРЗТП с 31.03.2011)</t>
  </si>
  <si>
    <t xml:space="preserve">40266186
(договор заключен 01.03.2011) </t>
  </si>
  <si>
    <t>40217598
(договор заключен 03.03.2011)</t>
  </si>
  <si>
    <t>40285335
(договор заключен 
17.03.2011)</t>
  </si>
  <si>
    <t>40280182
(договор заключен
21.03.2011)</t>
  </si>
  <si>
    <t>2011 г.</t>
  </si>
  <si>
    <t xml:space="preserve">40296129
(договор
заключен
22.03.2011)
</t>
  </si>
  <si>
    <t>40176296
(договор 23.03.2011)</t>
  </si>
  <si>
    <t xml:space="preserve">ПС 35/10 кВ Овсище </t>
  </si>
  <si>
    <t xml:space="preserve">ПС 110/6 кВ Б-4 </t>
  </si>
  <si>
    <t>ПС  110/35/10 кВ Чертолино</t>
  </si>
  <si>
    <t xml:space="preserve">ПС  35/6 кВ Б.Городок </t>
  </si>
  <si>
    <t>ПС 35/10 кВ Нагорское</t>
  </si>
  <si>
    <t>ПС 35/10 кВ Неклюдово</t>
  </si>
  <si>
    <t>ПС 35/10 кВ Нерль</t>
  </si>
  <si>
    <t>ООО "Хорошие колеса"</t>
  </si>
  <si>
    <t>Администрация Бельского района Тверской области</t>
  </si>
  <si>
    <t>ВЛ-10 кВ и ТП-10/0,4 кВ-160 кВА для электроснабжения объекта "Пункт приемки и переработки молока в г. Белый"_Тверская область, Бельский район, г. Белый, ул. Строителей, 4а_в ОРЗТП с 08.04.2011</t>
  </si>
  <si>
    <t>!2 категория! Многоквартирные жилые дома НПВК "Первомайский - 2"_г. Тверь, Пролетарский район, ул. Б. Полевого, 2 корп. 2_в ОРЗТП с 19.04.2011</t>
  </si>
  <si>
    <t>Сельскохозяйственный производственный кооператив "Красный октябрь"</t>
  </si>
  <si>
    <t>Два зерносклада_Тверская область, Рамешковский район, село Волосково_в ОРЗТП с 22.04.2011</t>
  </si>
  <si>
    <t>ВЛ-10 кВ и ТП-10/0,4 кВ - 40 кВА "АЗС" для электроснабжения автозаправочного комплекса №14_Тверская область, Калининский район, Медновский с/о, район дер. Букарево, земельный участок с кадастровым номером 69:10:00:00:08:0173_в ОРЗТП с 22.04.2011</t>
  </si>
  <si>
    <t>ВЛ-10 кВ и ТП-10/0,4 кВ - 100 кВА для электроснабжения линии наружного освещения на участке автомобильной дороги М-10 "Россия" 172+000 - км 176+000_в ОРЗТП с  19.04.2011</t>
  </si>
  <si>
    <t>Администрация Жарковского района Тверской области</t>
  </si>
  <si>
    <t>вводное устройство здания объекта "ГУ Социальный приют для детей и подростков, многофункциональный зал, пос. Жарковский"_Тверская область, Жарковский район, пгт. Жарковский, ул. Советская_в ОРЗТП с 19.04.2011</t>
  </si>
  <si>
    <t>Дачное некоммерческое товарищество "Тверьземстрой"</t>
  </si>
  <si>
    <t>ВЛ-10 кВ и ТП-10/0,4 кВ - 400 кВА для электроснабжения дачного поселка_Тверская область, Калязинский район, Алферовское с.п., дер. Медвежье, земельный участок с кадастровым № 69:11:0000019:162_в ОРЗТП с 19.04.2011</t>
  </si>
  <si>
    <t>Промышленная нагрузка_г. Тверь, Московский р-н, пл. Гагарина, 5_в ОРЗТП с 19.04.2011</t>
  </si>
  <si>
    <t>Ордена Ленина колхоз "Красный Путиловец" Кашинского района Тверской области</t>
  </si>
  <si>
    <t>Вводные устройства молочно-товарного комплекса на 800 голов КРС и телятника на 150 голов_Тверская область, Кашинский район, Письяковское с.п., д. Путилово_в ОРЗТП с 13.04.2011</t>
  </si>
  <si>
    <t>Электроустановки жилого комплекса "Аврора"_Тверская область, г. Тверь, ул. Можайского, дом 62, корпус 1, земельный участок с кадастровым № 69:40:0200105:0027_в ОРЗТП с 22.04.2011</t>
  </si>
  <si>
    <t>Администрация Лесного района Тверской области</t>
  </si>
  <si>
    <t>вводное устройство объекта "Спортивный комплекс с универскальным игровым залом"_Тверская область, Лесной район, с. Лесное, ул. Пионерская_в ОРЗТП с 22.04.2011 г.</t>
  </si>
  <si>
    <t>ЗАО "Центр инноваций и инвестиций"</t>
  </si>
  <si>
    <t>Коттеджный поселок_Тверская область, Калининский район, Красногорское с.п., земельный участок с кадастровым № 69:10:0000038:1267_в ОРЗТП с 19.04.2011</t>
  </si>
  <si>
    <t>ИП Рожков Дмитрий Николаевич</t>
  </si>
  <si>
    <t>вводное устройство производственного здания_Тверская область, Калининский район, пгт. Орша, ул. Ленина, д. 11 а, земельный участок с кадастровым № 69:10:16:19:09:0008:3-66:1000/А_в ОРЗТП с 22.04.2011</t>
  </si>
  <si>
    <t>Садоводческое некоммерческое товаричество_Тверскяа область, Калининский район, Эмаусское с/п, дер. Губино</t>
  </si>
  <si>
    <t>40296263
(договор заключен 30.03.2011)</t>
  </si>
  <si>
    <t>СНТ_Тверская область, Конаковский район, Вахонинское с/п</t>
  </si>
  <si>
    <t>40266192
(договор заключен 05.04.2011)</t>
  </si>
  <si>
    <t>Вводное устройство административно-производственного здания_Тверская область, Калининский район, Никулинское с/о, с. Никольское, д. 26</t>
  </si>
  <si>
    <t>40197699
(договор 
заключен 12.10.2010)</t>
  </si>
  <si>
    <t>40306741
(договор заключен 05.04.2011)</t>
  </si>
  <si>
    <t>ВЛ-10 кВ и ТП-10/0,4 кВ комплексной застройки_Тверская область, Кесовогорский район, г/пос п. Кесова Гора, ул. Им. Алелюхина, 45</t>
  </si>
  <si>
    <t>40295820
(договор заключен 06.04.2011)</t>
  </si>
  <si>
    <t>40226185
(договор заключен 05.04.2011)</t>
  </si>
  <si>
    <t>Вводное устройство школы на 100 мест_Тверская область, Кашинский район, Барыковское с/п, дер. Барыково</t>
  </si>
  <si>
    <t>вводное устройство здания супермаркета (1 этаж)_Тверская область, Молоковский район, п. Молоково, пл. Корнилова, д. 4</t>
  </si>
  <si>
    <t>40280143
(договор заключен 15.04.2011)</t>
  </si>
  <si>
    <t>вводное устройство крестьянского фермерского хозяйства "Большов С.В."_Тверская область, Калязинский район, Капшинский с/о, вблизи дер. Коротково, кадастровый №69:11:000020:0347</t>
  </si>
  <si>
    <t>40307900
(договор заключен 26.04.2011)</t>
  </si>
  <si>
    <t>Воздушный поршневой компрессор VC-В 160-40_Тверская область, Кашинский район, г. Кашин, ул. Ленина, д.49</t>
  </si>
  <si>
    <t>40306227
(договор заключен 27.04.2011)</t>
  </si>
  <si>
    <t>Вводное устройство здания шиномонтажа_Тверская область, Бологовский район, Выползовское с.п., пос. Выползово, ул. Шоссейная, д. 46, земельный участок с кадастровым № 69:04:131309:0035</t>
  </si>
  <si>
    <t>40305912
(договор
заключен
28.04.2011)</t>
  </si>
  <si>
    <t>ООО "Софья"</t>
  </si>
  <si>
    <t>Промышленная нагрузка_Тверская область, Осташковский район, дер. Свапуще, ул. Центральная, дом 1 А_в ОРЗТП с 08.04.2011</t>
  </si>
  <si>
    <t>ООО "Экстраком"</t>
  </si>
  <si>
    <t>комбикормовый завод_Тверская область, Калининский район, Бурашевское с/п., в районе дер. Цветково, земельный участок с кадастровым номером 69:10:0000030:239_в ОРЗТП с 05.2011</t>
  </si>
  <si>
    <t>ООО "Макдоналдс"</t>
  </si>
  <si>
    <t>ЗАО "ТАНДЕР" Тверской филиал</t>
  </si>
  <si>
    <t>ООО "Унимаркет - Тверь"</t>
  </si>
  <si>
    <t>Государственное учреждение Тверской области "Спортивный ледовый комплекс "Триумф"</t>
  </si>
  <si>
    <t>!2 категория! вводное устройство модульной котельной_Тверская область, Калининский район, Бурашевкое с/п, дер. Березино (в ОРЗТП с 05.2011)</t>
  </si>
  <si>
    <t>40299584
(договор заключен 16.04.2011)</t>
  </si>
  <si>
    <t>40305637
(договор заключен 29.04.2011)</t>
  </si>
  <si>
    <t>40327527
(договор заключен 03.05.2011)</t>
  </si>
  <si>
    <t>40293759
(договор заключен 04.05.2011)</t>
  </si>
  <si>
    <t>ООО "Большой берег"</t>
  </si>
  <si>
    <t>ЛЭП-0,4 кВ для электроснабжения коттеджного поселка (в ОРЗТП с 25.05.2011)</t>
  </si>
  <si>
    <t>ЛЭП-0,4 кВ для электроснабжения телевизионной башни цифрового радиовещания_Тверская область, Конаковский район, пгт. Новозавидовский, ул. Октябрьская, район д. 59 а
(в ОРЗТП с 25.05.2011)</t>
  </si>
  <si>
    <t>ООО "Агропромышленный комплекс Кушалино"</t>
  </si>
  <si>
    <t>Ферма крупного рогатого скота, расположенная по адресу Тверская область, Рамешковский район, с/п Кушалино, д. Вельшино
(в ОРЗТП с 25.05.2011)</t>
  </si>
  <si>
    <t>ООО "Диет-Кроль"</t>
  </si>
  <si>
    <t>ЛЭП-0,4 кВ для электроснабжения производственного комплекса промышленного кролиководства, расположенного по адресу:Тверская область, Калининский район, Бурашевское с/п, в районе дер. Цветково
(в ОРЗТП с 05.2011)</t>
  </si>
  <si>
    <t>Государственное учреждение "13 отряд федеральной противопожарной службы по Тверской области"</t>
  </si>
  <si>
    <t>ВЛ-10 кВ и ТП-10/0,4 кВ - 40 кВА расположенные по адресу: Тверская обл., Конаковский район, п. Изоплит
(в ОРЗТП с 05.2011)</t>
  </si>
  <si>
    <t>Администрация Максатихинского района Тверской области</t>
  </si>
  <si>
    <t>ГУП "Тверьоблстройзаказчик" Тверской области</t>
  </si>
  <si>
    <t>вводное устройство объекта "Реконструкция физкультурно-оздоровительного комплекса (ФОК) в г. Красный Холм", по адресу: Тверская область, г. Красный холм, ул. Красноармейская
(в ОРЗТП с 25.05.2011)</t>
  </si>
  <si>
    <t>!2 категория 20 кВт! здание гостиницы "Молога" под поликлиннику, расположенная по адресу Тверская область, п. Максатиха, ул. Им. Нового, д. №2
(в ОРЗТП с 25.05.2011)</t>
  </si>
  <si>
    <t>строительные механизмы (временное электроснабжение на период строителства индустриального парка "Раслово")_Тверская область, Калининский район, Никулинское с/п., дер. Лебедево_в ОРЗТП с 04.05.2011)</t>
  </si>
  <si>
    <t>электроустановки объекта "Разделение системы хозпитьевого водоснабжения г. Удомля и АЭС"_Тверская область, Удомельский район, Удомельское с/п., район дер. Елманова Горка и дер. Братаново, земельный участок с кадастровым номером 69:35:0000020:969  
( в ОРЗТП с 04.05.2011)</t>
  </si>
  <si>
    <t>Административное здание "Управление делами аппарата Губернатора Тверской области"_Тверская область, г. Тверь, ул. Советская, д. 44 (в ОРЗТП с 16.05.2011 г.)</t>
  </si>
  <si>
    <t>КЛ-6 кВ и РТП-6/0,4 кВ 2х1000 кВА для электроснабжения спорткомплекса с универсальным игровым залом_Тверская область, г. Тверь, пос. Химинститута, земельный участок с кадастровым номером 69:40:0200092:23 (в ОРЗТП с 04.05.2011)</t>
  </si>
  <si>
    <t>Жилищная застройка_Тверская область, г. Тверь, ул. Богданова - ул. Т. Ильиной - ул. 15 лет Октября - ул. Склизкова
(в ОРЗТП с 18.05.2011)</t>
  </si>
  <si>
    <t>Жуков Александр Алексеевич</t>
  </si>
  <si>
    <t>склад-ангар, расположенный по адресу: Тверская область, г. Тверь, проспект Октябрьский, д. 56 а
(в ОРЗТП с 18.05.2011)</t>
  </si>
  <si>
    <t>Вводное устройство здания магазина смешанной группы товаров_Тверская область, г. Торжок, ул. Мира, приблизительно в 6 м по направлению на юго-восток от жилого дома №38 
(в ОРЗТП с 04.05.2011)</t>
  </si>
  <si>
    <t>ЗАО "Свободный Труд" Кашинского района Тверской области</t>
  </si>
  <si>
    <t>вводное устройство здания картофелехранилища на 3500 кг, расположенное по адресу: Тверская область, Кашинский район, Барыковское с/п, дер. Барыково, земельный участок с кадастровым номером 69:12:000025:0212
(в ОРЗТП с 16.05.2011)</t>
  </si>
  <si>
    <t>вводное устройство объекта "Спортивный комплекс с универскальным игровым залом"_Тверская область, Максатихинский район, п. Максатиха, ул. Красноармейская, 58-а, (в ОРЗТП с 16.05.2011 г.)</t>
  </si>
  <si>
    <t>Администрация Молоковского района Тверской области</t>
  </si>
  <si>
    <t>вводное устройство объекта "Спортивный комплекс с универскальным игровым залом"_Тверская область, Молоковский район, п. Молоково, ул. Красноармейская
(в ОРЗТП с 16.05.2011 г.)</t>
  </si>
  <si>
    <t>Администрация Пеновского р-на Тверской области</t>
  </si>
  <si>
    <t>здание культурно-спортивного комплекса в п. Пено_Тверская область, Пеновский район, пос. Пено, ул. Советская, д. 15
(в ОРЗТП с 16.05.2011)</t>
  </si>
  <si>
    <t>Шакиров Борис Мухаметович</t>
  </si>
  <si>
    <t>ВЛ-10 кВ и ТП 10/0,4 кВ - 40 кВА для электроснабжения жилого дома_Тверская область, Жарковский район, Жарковское с/п, дер. Озеры, земельный участок с кадастровым номером 69:07:0081101:2
(в ОРЗТП с 05.2011)</t>
  </si>
  <si>
    <t>!2 категория! вводное устройство модульной котельной_Тверская область, Калининский район, Бурашевкое с/п, дер. Березино (в ОРЗТП с 04.05.2011)</t>
  </si>
  <si>
    <t>ЛЭП-10 кВ и КТП-10/0,4 кВ для резервного электроснабжения объектов_Тверская область, Конаковский район, дер. Домкино, НИБ "Большая Волга"
(в ОРЗТП с 04.05.2011)</t>
  </si>
  <si>
    <t>40327607
(договор заключен 27.05.2011)</t>
  </si>
  <si>
    <t>40334350
(договор заключен 01.06.2011 г.)</t>
  </si>
  <si>
    <t>40344903
(договор заключен 03.06.2011 г.)</t>
  </si>
  <si>
    <t>40343511
(договор заключен 16.06.2011)</t>
  </si>
  <si>
    <t>40339517
(договор заключен 16.06.2011)</t>
  </si>
  <si>
    <t>40282861
(договор заключен 16.06.2011)</t>
  </si>
  <si>
    <t>40288864
(договор заключен 16.06.2011)</t>
  </si>
  <si>
    <t>40288853
(договор 16.06.2011 г.)</t>
  </si>
  <si>
    <t>40286534
(договор заключен 16.06.2011 г.)</t>
  </si>
  <si>
    <t>ООО "Крафтлайнер"</t>
  </si>
  <si>
    <t>завод по производству гофротары_Тверская область, Кимрский район, с. Ильинское, ул. Мира, уч. 15</t>
  </si>
  <si>
    <t>40351734
(договор заключен 24.06.2011)</t>
  </si>
  <si>
    <t>ПС 110/10 кВ Ерохино</t>
  </si>
  <si>
    <t>Договор 
185-ТП/06-08
расторгнут 07.12.2010 (40035217 16.06.2008)</t>
  </si>
  <si>
    <t>ООО "Ритм-2000"</t>
  </si>
  <si>
    <t>!2 категория! технологическая линия по производщству подшипников_Тверская область, Калининский район, Бурашевское с/п, торгово-промышленная зона Боровлево-2, № В</t>
  </si>
  <si>
    <t>40245770
(договор заключен 01.07.2011 г.)</t>
  </si>
  <si>
    <t>!2! категория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</si>
  <si>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40245798
(договор заключен 01.07.2011)</t>
  </si>
  <si>
    <t>!2 категория! здания склада хранения отходов производства, контрольно-пропускного пункта, котельной, насосной станции пожаротушения_Тверская область, Калининский район, Бурашевское с/п, торгово-промышленная зона Боровлево-2, № В</t>
  </si>
  <si>
    <t>40351717
(договор заключен 04.07.2011)</t>
  </si>
  <si>
    <t>40337060
(договор заключен 04.07.2011)</t>
  </si>
  <si>
    <t>40342036
(договор заключен 12.07.2011)</t>
  </si>
  <si>
    <t>40312369
(договор заключен 13.07.2011)</t>
  </si>
  <si>
    <t>Семенова Татьяна Николаевна</t>
  </si>
  <si>
    <t>Вводное устройство здания крытого рынка_Тверская область, Пеновский район, пос. Пено, ул. Л. Чайкиной, д. 38
(в ОРЗТП с 04.07.2011)</t>
  </si>
  <si>
    <t>Администрация: Муниципальное образование городского поселения - город Кашин Тверской области</t>
  </si>
  <si>
    <t>"Водозабор с комплексом обработки воды для города Кашина Тверской области (1 очередь)"_Тверская область, Кашинский район, г. Кашин, северная часть (в ОРЗТП с 02.06.2011)</t>
  </si>
  <si>
    <t>ООО "ВИВО"</t>
  </si>
  <si>
    <t>Туристическая база_Тверская область, Кимрский район, Федоровское с.п., д. Крева, ул. Сосновый бор, участок № 91А (в ОЗТП с 03.06.2011)</t>
  </si>
  <si>
    <t>ДНП "Караси на Волге"</t>
  </si>
  <si>
    <t>Дачное поселение (ВЛ-6 кВ и ТП-6/0,4 кВ)_Тверская область, Кимрский район, Титовское с.п., д. Папулово
(в ОРЗТП с 02.06.2011)</t>
  </si>
  <si>
    <t>СНТ "Восход"</t>
  </si>
  <si>
    <t>СНТ_Тверская область, Калининский район, Михайловское с/п, район дер. Александровка (в ОРЗТП с 05.07.2011)</t>
  </si>
  <si>
    <t>Электроснабжение 54 жилых домов_расположение относительно ориентира - адрес: Тверская область, Калининский район, Михайловское с/п, пос. Загородный, д. 4</t>
  </si>
  <si>
    <t>ООО "Бокарево"</t>
  </si>
  <si>
    <t>Жилой дом_Тверская область, Сонковский район, Беляницкое с/п, дер. Бокарево, д. 4
(в ОРЗТП с 05.07.2011)</t>
  </si>
  <si>
    <t>ООО "Лодочная станция"</t>
  </si>
  <si>
    <t>Лодочная станция_Тверская область, Кимрской район, Приволжское с/п, дер. Кадниково, земельный участок с кадастровым номером 69:14:0203301:415
(в ОРЗТП с 05.07.2011)</t>
  </si>
  <si>
    <t>вводное устройство административного здания_Тверская область, г. Красный Холм, ул. Красноармейская, д. 73/21
(в ОРЗТП с 05.07.2011)</t>
  </si>
  <si>
    <t>ООО "Петрол-Люкс"</t>
  </si>
  <si>
    <t>Земельный учасок с кадастровым номером 69:33:0000019:0322, Тверская область, Торжокский район, Мирновское с/п, район дер. Гальково, 222 км+60 м (правая сторона) автодороги Москва - Санкт-Петербург 
(в ОРЗТП с 04.07.2011)</t>
  </si>
  <si>
    <t>ООО "Новая Орлинка"</t>
  </si>
  <si>
    <t>Хозпостройка_Адрес ориентира: Тверская область, Пеновский район, Заевское с/п, дер. Орлинка
(в ОРЗТП с 29.07.2011)</t>
  </si>
  <si>
    <t>ВЛ-6 кВ и ТП-6/0,4 кВ - 2х400 кВА для электроснабжения ресторана быстрого обслуживания "Макдоналдс"
(в ОРЗТП с 27.07.2011)</t>
  </si>
  <si>
    <t>ООО "ТверьЭнергоСервис"</t>
  </si>
  <si>
    <t>Ввводное устройство газовой котельной_Тверская область, Торжокский район, п. Славный
(в ОРЗТП с 27.07.2011)</t>
  </si>
  <si>
    <t>вводное устройство телевизионной башни цифрового радиовещания_Тверская область, г. Красный Холм в районе учхоза, с левой стороны а/д Красный Холм - Васильки (широта - 58,03'59'' , долгота 37,08'07'')
(в ОРЗТП с 27.07.2011)</t>
  </si>
  <si>
    <t>ООО "Аргамак"</t>
  </si>
  <si>
    <t>Хозяйственная постройка_Тверская область, Кимрский район, Федоровское с/п, д. Богунино. Уч. 127
(в ОРЗТП с 27.07.11)</t>
  </si>
  <si>
    <t>ООО "ЖСК "Слободка"</t>
  </si>
  <si>
    <t>Жилой социальный комплекс "Слободка"_Твесркая область, Калининскиий район, Бурашевское с/п., д. Слободка 
(в ОРЗТП с 27.07.2011)</t>
  </si>
  <si>
    <t>ООО "Завидово Плаза"</t>
  </si>
  <si>
    <t>ООО "Оршинские зори"</t>
  </si>
  <si>
    <t>Жилая застройка_г. Тверь, Пролетарский район, пос. Мамулино 
(в ОРЗТП с 11.07.2011)</t>
  </si>
  <si>
    <t>Пункт по приемке и первичной переработке сельскохозяйственных животных_Калининский район, п.Заволжский, д. 2
(в ОРЗТП с 15.06.2011)</t>
  </si>
  <si>
    <t>Индивидуальная жилая застройка, Тверская область. Калининский район, Каблуковское с/п, район д. Иенево
(в ОРЗТП с 07.06.2011)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</si>
  <si>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69:33:0000022:429 (209 км автодороги М-10 Россия (правая сторона.
(в ОРЗТП с 09.06.2011)</t>
  </si>
  <si>
    <t>Автозаправочный комплекс_Тверская область, Торжокский район, Марьинское с/п, в границах колхоза "Марьино". Земенльный участок с кадастровым номером 69:33:0000022:427 (209 км автодороги М-10 Россия (левая сторона.
(в ОРЗТП с 09.06.2011)</t>
  </si>
  <si>
    <t>ООО "Унимаркет-Тверь"</t>
  </si>
  <si>
    <t>Магазин смешанной группы товаров_Тверская область, г. Торжок, ул. Мира, приблизительно в 6 м по направлению на юго-восток от жилого дома №38 (в ОРЗТП с 09.06.2011)</t>
  </si>
  <si>
    <t>Чигринов Дмитрий Александрович</t>
  </si>
  <si>
    <t>Подсобное хозяйство_почтовый адрес ориентира: Тверская область, Вышневолоцкий район, с/п Овсищенское, дер. Чеполшево (в ОРЗТП с 04.07.2011)</t>
  </si>
  <si>
    <t>Автозаправочный комплекс_Тверская область, Торжокский район, Мирновское с/п, район дер. Паники, 222 км + 800 м (левая сторона) автодороги Москво - Санкт-Петербург, земельный участок с кадастровым номером 69:33:0000019:0321_
(в ОРЗТП с 04.07.2011)</t>
  </si>
  <si>
    <t>ООО "ПоварЛюкс"</t>
  </si>
  <si>
    <t>Здание материального склада_Тверская область, Конаковский район, пос. Озерки, ул. Комсомольская, д. 15
(в ОРЗТП с 05.07.2011)</t>
  </si>
  <si>
    <t>ООО "Интек"</t>
  </si>
  <si>
    <t>Жилой комплекс с газовой котельной_Тверская область, г. Тверь, ул. Лрасина, д. 46/38_(В ОРЗТП с 16.06.2011)</t>
  </si>
  <si>
    <t>вводное устройство телебашни цифрового вещания_Тверская область, Торопецкий район, Плоскошское с/п, юго-восточная часть п. Плоскошь (в ОРЗТП с 02.06.2011)</t>
  </si>
  <si>
    <t>Торгово-административный центр, Тверская область, г. Тверь, ул. Луночарского, д. 18
(в ОРЗТП с 22.07.2011)</t>
  </si>
  <si>
    <t>Договора заключены в 2011 г.</t>
  </si>
  <si>
    <t>Алла Николаевна Жукова</t>
  </si>
  <si>
    <t>Жилая застройка, Калининский район, д. Никола</t>
  </si>
  <si>
    <t>Договор 150/40306236 заключен 01.08.2011 г.</t>
  </si>
  <si>
    <t>ОАО "Каменская бумажно-картонная фабрика"</t>
  </si>
  <si>
    <t>"Бумагоделательная машина"_Тверская область, г. Кувшиново, ул. Октябрьская, д. 5</t>
  </si>
  <si>
    <t>Договор 40380073 заключен 01.08.2011</t>
  </si>
  <si>
    <t>"Массоподготовка"_Тверская область, г. Кувшиново, ул. Октябрьская, д. 5</t>
  </si>
  <si>
    <t>Договор 40380092
заключен 01.08.2011</t>
  </si>
  <si>
    <t>40327344
(договор заключен 02.08.2011)</t>
  </si>
  <si>
    <t>Договор 40377938 заключен 02.08.2008</t>
  </si>
  <si>
    <t>Электроснабжение здания материального склада_Тверская область, Конаковский район, пос. Озерки, ул. Комсомольская, д. 15</t>
  </si>
  <si>
    <t>Договор 40380625 заключен 02.08.2011</t>
  </si>
  <si>
    <t>Договор 40366156 заключен 03.08.2011</t>
  </si>
  <si>
    <t>Договор 40386382 заключен 05.08.2011</t>
  </si>
  <si>
    <t xml:space="preserve">Жилая застройка_г. Тверь, Пролетарский район, пос. Мамулино </t>
  </si>
  <si>
    <t>40244803
(договор заключен 09.08.2011)</t>
  </si>
  <si>
    <t>40387130
(договор заключен 15.08.2011)</t>
  </si>
  <si>
    <t>40390107
(договор заключен 16.08.2011)</t>
  </si>
  <si>
    <t>40347148
(договор заключен 25.08.2011)</t>
  </si>
  <si>
    <t>Зерносклад_Тверская область, Рамешковский район, село Волосково_в ОРЗТП с 25.08.2011</t>
  </si>
  <si>
    <t>Администрация муниципального образования "Михайловское сельское поселение" Калининского района Тверской области</t>
  </si>
  <si>
    <t>ЛЭП-0,4 кВ для электроснабжения здания котельной_Тверская область, Калининский район, Михайловское с/п, с. Михайловское</t>
  </si>
  <si>
    <t>Управление министерства внутренних дел Российской Федерации по Тверской области</t>
  </si>
  <si>
    <t>Муниципальное унитарное межрайонное предприятие электрических сетей "Тверьгорэлектро"</t>
  </si>
  <si>
    <t>пешеходный переход Департамента архитектуры и строительства Администрации города Твери, расположенный по адресу: Тверская область, г. Тверь, ул. Коминтерна - пр-кт. Чайковского (в ОРЗТП с 25.08.2011)</t>
  </si>
  <si>
    <t>Торгово-офисный комплекс ОАО фирма ОРТ "Универсал", расположенный по адресу: Тверская область, г. Тверь, ул. Софьи Перовской, д. 6
(в ОРЗТП с 25.08.2011)</t>
  </si>
  <si>
    <t>1/2 часть здания цеха ООО "Твертехногрейд" расположенного по адресу: Тверская область, г. Тверь, Промышленный проезд, д. 2 а
(в ОРЗТП с 25.08.2011)</t>
  </si>
  <si>
    <t>Встроено-пристроенное 2-х этажное с подвалом здание магазина ООО "Корвет"_расположенное по адресу: Тверская область, г. Тверь, б-р Ногина, д.7
(в ОРЗТП с 25.08.2011)</t>
  </si>
  <si>
    <t>Здание выставочного зала с магазином и административными помещениями Бондаренко Е.В. И Захарова С.В., расположенного по адресу: Тверская область, г. Тверь, ул. Веры Бонч-Бруевич, д. 16
(в ОРЗТП с 19.08.2011)</t>
  </si>
  <si>
    <t>1/2 часть здания цеха ЗАО "ДиалогЦентр" расположенного по адресу: Тверская область, г. Тверь, Промышленный проезд, д. 2 а.</t>
  </si>
  <si>
    <t>12-этажный двухсекционный жилой дом ОАО "СПК Мосэнергострой" расположенный по адресу: Местоположение установлено относительно ориентира, расположенного за пределами участка. Риентир жилой дом. Участок находится примернов 4 м. от ориентира по направлению на запад. Почтовый адрес ориентира: Тверская область, Калининский район, г. Тверь, ул. 8-я Красной Слободы, д. 4, корпус 1 
(в ОРЗТП с 25.08.2011)</t>
  </si>
  <si>
    <t>ООО "ВитОМЭК"</t>
  </si>
  <si>
    <t>ВЛ-10 кВ и ТП-10/0,4 кВ для электроснабжения здания семяочистительного завода_Тверская область, г. Лихославль, ул. Северная, д. 5
(в ОРЗТП с 15.08.2011)</t>
  </si>
  <si>
    <t>Государственное образовательное учреждение начального профессионального образования "Профессиональный лицей № 20"</t>
  </si>
  <si>
    <t>Вводное устройство спортивного комплекса с многофункциональным залом в г. Белый_Тверская область, г. Белый, ул. Кирова, д. 40 
(в ОРЗТП с 15.08.2011)</t>
  </si>
  <si>
    <t>ООО "Сокол"</t>
  </si>
  <si>
    <t>Коттеджный поселок_Тверская область, Калязинский район, Алферовское с.п., в районе д. Заручье
(в ОРЗТП с 19.08.2011)</t>
  </si>
  <si>
    <t>ЛЭП-0,4 кВ для жилого социального комплекса_Тверская область, Калининский район, Бурашевское с/п, д. Слободка
(в ОРЗТП с 27.07.2011)</t>
  </si>
  <si>
    <t>ООО "Газпромнефть-Центр"</t>
  </si>
  <si>
    <t>Автозаправачная станция_почтовый адрес ориентира: Тверская область, Торжокский район, с/п Будовское, дер. Большая Киселенка
(в ОРЗТП с 15.08.2011)</t>
  </si>
  <si>
    <t>ОАО "Агрофирма Дмитрова Гора"</t>
  </si>
  <si>
    <t>ЛЭП-0,4 кВ для электроснабжения площадки №2, №3 доращивания и откорма_Тверская область, Ржевский район, Успенское с/п, район д. Глебово
(в ОРЗТП с 04.08.2011)</t>
  </si>
  <si>
    <t>ЛЭП-0,4 кВ для электроснабжения площадки №1 племрепродуктора_Тверская область, Ржевский район, Успенское с/п, район с. Заречная
(в ОРЗТП с 04.08.2011)</t>
  </si>
  <si>
    <t>Администрация Лихославлского района Тверской области</t>
  </si>
  <si>
    <t>ЛЭП-0,4 кВ для электроснабжения спортивного центра с плавательным бассейном_почтовый адрес ориентира - Тверская область, Лихославльский район, г/пос. г. Лихославль, ул. Афанасьева, д. 2</t>
  </si>
  <si>
    <t>ЛЭП-0,4 кВ для элетроснабжения автозаправочного комплекса_адрес ориентира: Тверская область, г. Тверь, проспет Октябрьский 
(в ОРЗТП с 02.08.2011)</t>
  </si>
  <si>
    <t>Денисова Оксана Вячеславовна</t>
  </si>
  <si>
    <t>Вводное устройство жилого дома, Тверская область, Калязинский район, Алферовское с.п., дер. Петрушино
(в ОРЗТП с 02.08.2011)</t>
  </si>
  <si>
    <t>ООО "Прогресс"</t>
  </si>
  <si>
    <t>Здание магазина промышленных товаров_Тверская область, г. Торжок, ул. Дзержинского, примерно в 9 м по направлению на север от дома №30
(в ОРЗТП с 02.08.2011)</t>
  </si>
  <si>
    <t>ООО "Тверьэнергогаз"</t>
  </si>
  <si>
    <t>40392648
(договор
заключен
16.08.2011)</t>
  </si>
  <si>
    <t>40380052
(договор заключен 30.08.2011)</t>
  </si>
  <si>
    <t>40388176
(договор заключен 29.08.2011)</t>
  </si>
  <si>
    <t>40342816
(договор заключен 31.08.2011)</t>
  </si>
  <si>
    <t>40342229
(договор заключен 02.09.2011)</t>
  </si>
  <si>
    <t>40392588
(договор заключен 05.09.2011)</t>
  </si>
  <si>
    <t>40354049
(договор заключен 05.09.2011)</t>
  </si>
  <si>
    <t>40354016
(договор заключен 05.09.2011)</t>
  </si>
  <si>
    <t>40390902
(договор заключен 05.09.2011)</t>
  </si>
  <si>
    <t>40288898
(договор
заключен
06.09.2011)</t>
  </si>
  <si>
    <t>40363838
(договор заключен 07.09.2011)</t>
  </si>
  <si>
    <t>40330588
(договор заключен 09.09.2011)</t>
  </si>
  <si>
    <t>40400530
(договор заключен 09.09.2011)</t>
  </si>
  <si>
    <t>40409848
(договор заключен 25.08.2011)</t>
  </si>
  <si>
    <t xml:space="preserve">40120712
(договор заключен 13.09.2011) </t>
  </si>
  <si>
    <t xml:space="preserve">40291946
(договор заключен 14.09.2011) </t>
  </si>
  <si>
    <t>40359051
(договор заключен 15.09.2011)</t>
  </si>
  <si>
    <t>40414319
(договор заключен 20.09.2011 г.)</t>
  </si>
  <si>
    <t>ЛЭП-0,4 кВ для электроснабжения свинокомплекса_Тверская область, Ржевский район, Успенское с/п, район д. Глебово (в ОРЗТП с 16.09.2011)</t>
  </si>
  <si>
    <t>ЛЭП-0,4 кВ для электроснабжения площадки №2 и №3 доращивания и откорма_Тверская область, Ржевский район, Успенское с/п, район д. Глебово (в ОРЗТП с 16.09.2011)</t>
  </si>
  <si>
    <t>ООО "ВИСТА"</t>
  </si>
  <si>
    <t>ВЛ-10 кВ и ТП-10/0,4 кВ - 25 кВА для электроснабжения автозаправочной станции, почтовый адрес ориентира : Тверская область, Оленинский район, Мостовское с/п, дер. Луни. Земельный участок с кадастровым номером 69:23:0000016:102
(в ОРЗТП с 16.09.2011)</t>
  </si>
  <si>
    <t>ЛЭП-0,4 кВ для электроснабжения комбикормого завода_Тверская область, Ржевский район, Успенское с/п, район д. Глебово (в ОРЗТП с 16.09.2011)</t>
  </si>
  <si>
    <t>ООО "Коралл"</t>
  </si>
  <si>
    <t>ВЛ-10 кВ и ТП-10/0,4 кВ для электроснабжения стройплощадки свинокомплекса_Тверская область, Бежецкий район, Шишковское с.п., д. Викторово
(в ОРЗТП с 16.09.2011)</t>
  </si>
  <si>
    <t>ООО "Мастер - Ресурс"</t>
  </si>
  <si>
    <t>ЛЭП-10 кВ и ТП-10/0,4 кВ для электроснабжения карьера глинистого сырья, Тверская область, Ржевский район, с/п "Хорошево", дер. Соколово, дер. Малахово
(в ОРЗТП с 16.09.2011)</t>
  </si>
  <si>
    <t>усадьба Верхняя Волга, Зубцовский район, д. Юркино
(в ОРЗТП с 13.09.2011)</t>
  </si>
  <si>
    <t>Электроустановки Администрации МО "Бурашевское сельское поселение" Калининского района Тверской области для электроснабжения объекта "Жилой комплекс в с. Бурашево"</t>
  </si>
  <si>
    <t>здание магазина смешанной группы товаров_Тверская область, г. Торжок, ул. Старицкая, д. 98, корпус 1, пом. 88 
(в ОРЗТП с 02.09.2011)</t>
  </si>
  <si>
    <t>ОАО "СПК Мосэнергострой"</t>
  </si>
  <si>
    <t>ООО "Газпромнефть - Центр"</t>
  </si>
  <si>
    <t>ЛЭП-0,4 кВ для электроснабжения автозаправочного комплекса, почтовый адрес ориентира: Тверская область, Калининский район, Никулинсское с/п, дер. Кривцово
(в ОРЗТП с 02.09.2011)</t>
  </si>
  <si>
    <t>ВЛ-10 кВ и ТП-10/0,4 кВ - 25 кВА для электроснабжения автозаправочной станции, почтовый адрес ориентира : Тверская область, Оленинский район, Глазовское с/п, дер. Бобровка. Земельный участок с кадастровым номером 69:23:0000017:263
(в ОРЗТП с 16.09.2011)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</si>
  <si>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вблизи дер. Кузьминка (в ОРЗТП с 16.09.2011)</t>
  </si>
  <si>
    <t>Вводное устройство телевизионной башни цифрового радиовещания_местоположение установлено относительно ориентира, расположенного за пределами участка. Участок находится примерно в 180 м от ориентира по направлению на запад. Почтовый адрес ориентира: Тверская область, Рамешковский район, пос. Рамешки, ул. Советская, д. 2 (в ДО с 15.08.2011)</t>
  </si>
  <si>
    <t>ООО "ПромАгроБизнес" (Максатихинский комбикормовый завод)</t>
  </si>
  <si>
    <t>!Ранее присоединение от ПС 110/35/10 кВ ДВП! ВЛ-10 кВ для резервного электроснабжения ТП-10/0,4 кВ-2х630 кВА №1_Тверская область, Максатихинский район, п. Максатиха, ул. 2-ая Железнодорожная, д. 1-а
(в ОРЗТП с 26.09.2011)</t>
  </si>
  <si>
    <t>Федеральнон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</si>
  <si>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ВЛ-10 кВ и ТП-10/0,4 кВ для электроснабжения линии наружного освещения на автомобильной дороге М-10 "Россия" км 120+150 - км 127+150 (Конаковский район)_Тверская область, Конаковский район, автомобильая дорога М-10 "Россия"-от Москвы через Тверь, Новгород до Санкт-Петербурга, на участке км 120+150 - км 127+150
(в ОРЗТП с 26.09.2011)</t>
  </si>
  <si>
    <t>ВЛ-10 кВ и ТП-10/0,4 кВ-25 кВА для электроснабжения автозаправочной станции, Почтовый адрес ориентира: Тверская область, Зубцовский район, Княжьегорское с/п, в районе дер. Буево
(в ОРЗТП с 27.09.2011)</t>
  </si>
  <si>
    <t xml:space="preserve">Бурашевский детский сад на 90 мест_Тверская область, Калининский район, Бурашевское с/п, с. Бурашево
(в ОРЗТП с 26.09.2011) </t>
  </si>
  <si>
    <t>ВЛ-6 кВ и ТП-6/0,4 кВ для электроснабжения линии наружного освещения на автомобильной дороге М-10 "Россия" км 129+150 - км 130+400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129+150 - км 130+400
(в ОРЗТП с 26.09.2011)</t>
  </si>
  <si>
    <t>ВЛ-6 кВ и ТП-6/0,4 кВ для электроснабжения линии наружного освещения на участке автомобильной дороги М-10 "Россия" км 137+100 - км 138+560_Тверская область, Конаковский район, а/д М-10 "Россия" - от Москвы через Тверь, Новгород до Санкт-Петербурга, на участке км 137+100 - км 138+560
(в ОРЗТП с 09.2011)</t>
  </si>
  <si>
    <t>Федеральное казенное учреждение "Управление автомобильной магистрали Москва - Санкт-Петербург Федерального дорожного агенства" (ФКУ Упрдор "Россия")</t>
  </si>
  <si>
    <t>Оганнисян Сос Меружанович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</si>
  <si>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район, а/д М-10 "Россия" - от Москвы через Тверь, Новгород до Санкт-Петербурга, на участке км 193+200 - км 209+600
(в ОРЗТП с 09.2011)</t>
  </si>
  <si>
    <t>ВЛ-6 кВ и ТП-6/0,4 кВ - 63 кВА для электроснабжения линия наружного освещения на участке автомобильной дороги М-10 "Россия" км 139+690 - км 142+200_Тверская область, Конаковский район, а/д М-10 "Россия" - от Москвы через Тверь, Новгород до Санкт-Петербурга,</t>
  </si>
  <si>
    <t>ВЛ-6 кВ и ТП-6/0,4 кВ для электроснабжения линии наружного освещения на автомобильной дороге М-10 "Россия" км 132+800 - км 135+900 (Конаковский район)_Тверская область, Конаковский район, автомобильная дорога М-10 "Россия" - от Москвы через Тверь, Новгород до Санкт-Петербурга, на участке км 132+800 - км 135+900
(в ОРЗТП с 09.2011)</t>
  </si>
  <si>
    <t>Исмаилов Намик Яшар оглы</t>
  </si>
  <si>
    <t>Вводное устройство административно-хозяйственного здания с комплексом автообслуживания_почтовый адрес ориентира: Тверская область, Калининский район, г. Тверь, ул. Марины Расковой
(в ОРЗТП с 25.08.2011)</t>
  </si>
  <si>
    <t>!2 категория! Гостинница "Radisson Завидово", Тверская область, Конаковский район, д. Вараксино
(в ОРЗТП с 08.08.2011)</t>
  </si>
  <si>
    <t xml:space="preserve">ПС 35/10 кВ Киверичи </t>
  </si>
  <si>
    <t>Филиал "МЦ АУВД" ФГУП "Госкорпорация по ОрВД"</t>
  </si>
  <si>
    <t>ВЛ-10 кВ и ТП-10/0.4 кВ для электроснабжения объекта ОПРС "Белый"_Адрес ориентира: Тверская область, Бельский район, г. Белый. Ул. Октябрьская
(в ОРЗТП с 20.10.11)</t>
  </si>
  <si>
    <t>ЛЭП-10 кВ и ТП-10/0,4 кВ для электроснабжения водозаборного узла со станцией очистки воды_Тверская область, Лихославльский район, юго-западная часть г. Лихославль_в ОРЗТП с 14.10.11</t>
  </si>
  <si>
    <t>Христенко Александр Алексеевич</t>
  </si>
  <si>
    <t>ВЛ-10 кВ и ТП-10/0,4 кВ для электроснабжения производственной базы_местоположение установлено относительно ориентира, расположенного за пределами участка. Участок находится примерно в 2000 м. от ориентира по направлению на север. Почтовый адрес ориентира: Тверская область, Рамешковский район, с/п Некрасово, д. Заручье</t>
  </si>
  <si>
    <t>ФКУ Упрдор "Россия"</t>
  </si>
  <si>
    <t>ВЛ-6 кВ и ТП-6/0,4 кВ для электроснабжения линии наружного освещения на автомобильной дороге М-10 "Россия" км 142+800-км 144+000 (Конаковский район)_Адрес: Тверская область, Конаковский район, автомобильная дорога М-10 "Россия" - от Москвы через Тверь. Новгород до Санкт-Петербурга, на участке км 142+800 - км 144+000_в ОРЗТП с 26.09.11</t>
  </si>
  <si>
    <t>ВЛ-6 кВ и ТП-6/0,4 кВ для электроснабжения линии наружного освещения на автомобильной дороге М-10 "Россия" км 145+550-км 150+500 (Конаковский район)_Адрес: Тверская область, Конаковский район, автомобильная дорога М-10 "Россия" - от Москвы через Тверь_В ОРЗТП с 26.09.11</t>
  </si>
  <si>
    <t>ВЛ-10 кВ и ТП-10/0,4 кВ - 40 кВА "АЗС" для электроснабжения автозаправочного комплекса №14_Тверская область, Калининский район, Медновский с/о, район дер. Букарево, земельный участок с кадастровым номером 69:10:00:00:08:0173_в ОРЗТП с 07.10.2011</t>
  </si>
  <si>
    <t>ЛЭП-0,4 кВ для электроснабжения объекта подсобного сельского хозяйства_Почтовый адрес ориентира: Тверская область, Калининский район, Бурашевское с/п, дер. Лукъяново
(в ОРЗТП с 07.10.2011)</t>
  </si>
  <si>
    <t>40412867
(договор заключен 28.09.2011)</t>
  </si>
  <si>
    <t>40306240
(договор заключен 28.09.2011)</t>
  </si>
  <si>
    <t>40422519
(договор заключен 05.10.2011)</t>
  </si>
  <si>
    <t>40423318
(договор заключен 05.10.2011)</t>
  </si>
  <si>
    <t>40412896
(в ОРЗТП с 05.10.2011)</t>
  </si>
  <si>
    <t>40412899
(договор заключен 05.10.2011 г.)</t>
  </si>
  <si>
    <t>40412887
(договор заключен 05.10.2011 г.)</t>
  </si>
  <si>
    <t>40412913
(договор заключен 06.10.2011)</t>
  </si>
  <si>
    <t>40393742
(договор заключен 18.10.2011)</t>
  </si>
  <si>
    <t>40393844
(договор заключен 18.10.2011)</t>
  </si>
  <si>
    <t>40426105
(договор заключен 19.10.2011)</t>
  </si>
  <si>
    <t>40426132
(договор заключен 19.10.2011)</t>
  </si>
  <si>
    <t>"Хладобойня"_Тверская область, Конаковский район, Дмитровогорское с/п, район с. Дмитрова Гора</t>
  </si>
  <si>
    <t>40431069
(договор заключен 19.10.2011)</t>
  </si>
  <si>
    <t>40439052
(договор заключен 25.10.2011)</t>
  </si>
  <si>
    <t>ВЛ-10 кВ и ТП-10/0,4 кВ-100 кВА "Мост" для электроснабжения линии наружного освещения на автомобильной дороге М-10 "Россия" км 120+150 - км 127+150 (Конаковский район)_в ОРЗТП с 25.10.2011</t>
  </si>
  <si>
    <t>Производственная база_две ВЛ-10 кВ и ТП-10/0,4 кВ 2х1000 кВА для электроснабжения производственной базы_Тверская область, Калининсткий район, г/п пос. Суховерково, пгт. Суховерково (в ОРЗТП с 25.10.2011)</t>
  </si>
  <si>
    <t xml:space="preserve">!2 категория! автокомплекс, Калининский район, Бурашевское с/п, район д. Неготино. </t>
  </si>
  <si>
    <t>СНТ "Металлист"</t>
  </si>
  <si>
    <t>ЛЭП-6 кВ фид. "РП-24", административное здание (Музыкальное педагогическое училище) Управления Министерства Юстиции Российской Федерации по тверско й области, расположенного по адресу Тверская обл., г. Тверь, ул. Крылова, д.18</t>
  </si>
  <si>
    <t>ОО "Лидер"</t>
  </si>
  <si>
    <t>СНТ "Заря"</t>
  </si>
  <si>
    <t>ВЛ-6 кВ и распределительная сеть 6-0.4 кВ для эс СНТ_Тверская обл., Конаковский район, пгт. Новозавидовский. СНТ "Заря"_в ОРЗТП с 20.10.2011 г.</t>
  </si>
  <si>
    <t>СНТ "Виктория"</t>
  </si>
  <si>
    <t>ВЛ-6 кВ и распределительная сеть 6-0.4 кВ для электроснабжения садоводческого некоммерческого товарищества_Тверская область, Конаковский район, п.г.т. Редкино
(в ОРЗТП с 20.10.2011)</t>
  </si>
  <si>
    <t xml:space="preserve">ПС  35/3 кВ №6 </t>
  </si>
  <si>
    <t>ЛЭП-0,4 кВ для электроснабжения продовольственного магазина_Тверская область, Конаковский район, пгт. Новозавидовский, ул. Моховая, д.6_в ОРЗТП с 01.11.2011</t>
  </si>
  <si>
    <t>Отдел жилищно-коммунального хозяйства, транспорта и связи Администрация Калязинского района Тверской области</t>
  </si>
  <si>
    <t>ЛЭП-0,4 кВ для электроснабжения блочно-модульной газовой котельной_Тверская область, Калязинский район, Семендяевское с/п, с. Семендяево_в ОРЗТП с 01.11.11</t>
  </si>
  <si>
    <t>Муниципальное дошкольное образовательное учреждение Тысяцкий детский сад №5</t>
  </si>
  <si>
    <t>ЛЭП-0,4 кВ для электроснабжения детского сада_Тверская область, Кувшиновксий район, с. Тысяцкое_в ОРЗТП с 09.11.11</t>
  </si>
  <si>
    <t>ООО "Истра-Сол"</t>
  </si>
  <si>
    <t>ЛЭП-0,4 кВ для электроснабжения свинофермы на 6000 постановочных свиномест_Почтовый адрес ориентира: Тверская область, Рамешковский район, с/п Кушалино, с. Кушалино_в ОРЗТП с 23.11.11.</t>
  </si>
  <si>
    <t>СНТ_Тверская область, Калининский район, Красногорское с/п, район дер. Некрасово 
(в ОРЗТП с 09.11.2011)</t>
  </si>
  <si>
    <t>ЛЭП-10 кВ и ТП-10/0,4 кВ - 250 кВА для электроснабжения жилой застройки_Тверская область, Калязинский район, Алферовское с/п, дер. Авсергово_в ОРЗТП с 17.11.11</t>
  </si>
  <si>
    <t>ЛЭП-0,4 кВ для электроснабжения жилой застройки_Тверская область, г. Тверь, Пролетарский район, пос. Мамулино_в ОРЗТП с 09.11.2011</t>
  </si>
  <si>
    <t>СНТ "Кимрячка"</t>
  </si>
  <si>
    <t>ЛЭП-0,4 кВ для электроснабжения СНТ_Тверская область, Кимрский район, пос. Центральный_в ОРЗТП с 01.01.2011</t>
  </si>
  <si>
    <t>ООО "Полигон"</t>
  </si>
  <si>
    <t>ЛЭП-0,4 кВ для электроснабжения полигона твердых бытовых отходов_почтовый адрес ориентира: Тверская область, Калининский район, Славновское с/п, в рйоне д. Славное_в ОРЗТП с 17.11.11</t>
  </si>
  <si>
    <t>ЛЭП-0,4 кВ для электроснабжения индустриального парака "Раслово"_Почтовый адрес ориентира: Тверская область, Калининский район, Никулинское с/п, дер. Лебедево (в ОРЗТП с 30.11.2011)</t>
  </si>
  <si>
    <t>Смирнов Владимир Иванович</t>
  </si>
  <si>
    <t>ЛЭП-0,4 кВ для электроснабжения рыбного хозяйства_Почтовый адрес ориентира: Тверская область, Калининский район,  Каблуковское с/п, в районе н.п. "Савватьевское лесничество"_в ОРЗТП с 17.11.11</t>
  </si>
  <si>
    <t>ООО "ВЕМАС - агро"</t>
  </si>
  <si>
    <t>"Животноводческая ферма до 1200 фуражных коров со шлейфом"_Тверская область, Калининский район, Славновское с/п, район дер. Славное_в ОРЗТП с 29.11.11</t>
  </si>
  <si>
    <t>Департамент архитектуры и строительства администрации города Твери</t>
  </si>
  <si>
    <t>ЛЭП-6 кВ и ТП-6/0,4 кВ для электроснабжения объекта "Строительство инженерной инфраструктуры в п. Никифоровское под комплексную жилищную застройку"_Тверская область, г. Тверь, район ВНИИСВ, п. Никифоровское
(в ОРЗТП с 01.11.2011)</t>
  </si>
  <si>
    <t>ООО "ВИП Гласс"</t>
  </si>
  <si>
    <t>Стеклозавод по производству парфюмерного стекла_Тверская область, Спировский район, Пеньковское с.п., дер. Пеньково, ул. Центральная, д.77 Б_в ОРЗТП с 09.11.11</t>
  </si>
  <si>
    <t>ВЛ-10 кВ и ТП-10/0,4 кВ для электроснабжения линии наружного освещения на участке автомобильной дороги М-10 "Россия" км 193+200 - км 209+600_Тверская область, Калининский район</t>
  </si>
  <si>
    <t>40429903
(договор заключен 14.10.2011)</t>
  </si>
  <si>
    <t>40430260
(договор загружен 14.10.2011)</t>
  </si>
  <si>
    <t>40429944
(договор заключен 14.10.2011)</t>
  </si>
  <si>
    <t>40429465
(договор заключен
14.10.2011)</t>
  </si>
  <si>
    <t>40430358
(договор заключен 14.10.2011)</t>
  </si>
  <si>
    <t>40429658
(договор заключен 14.10.2011)</t>
  </si>
  <si>
    <t>40430392
(договор заключен 14.11.2011)</t>
  </si>
  <si>
    <t>40432583(договор заключен 14.10.2011)</t>
  </si>
  <si>
    <t>40429848
(договор заключен 14.10.2011)</t>
  </si>
  <si>
    <t>40426051
(договор заключен 10.11.2011)</t>
  </si>
  <si>
    <t>40441088
(договор заключен 03.11.2011)</t>
  </si>
  <si>
    <t>40454799
(договор заключен 17.11.2011)</t>
  </si>
  <si>
    <t>40447174
(договор заключен 25.11.2011)</t>
  </si>
  <si>
    <t>40443080
(договор заключен 
23.11.2011)</t>
  </si>
  <si>
    <t>40378118
(договор заключен 30.11.11)</t>
  </si>
  <si>
    <t>ИП Фролов Виктор Иванович</t>
  </si>
  <si>
    <t>Тверская область, Калязинский район, с. Нерли, ул. Больничный участок, д. 4 а_ЛЭП-0,4 кВ для электроснабжения жилого дома_в ОРЗТП с 23.12.11</t>
  </si>
  <si>
    <t>ООО "ТоргЦентр"</t>
  </si>
  <si>
    <t>ЛЭП-0,4 кВ для электроснабжения зданий придорожного сервиса_Тверская область, Калининский район, Никулинское с/п, в районе дер. Кривцово_в ОРЗТП с 23.12.11</t>
  </si>
  <si>
    <t>ООО "Зеленый остров"</t>
  </si>
  <si>
    <t>Губашев Ваха Курешевич</t>
  </si>
  <si>
    <t>ЛЭП-0,4 кВ для электроснабжения ленточной пилорамы_Тверская область, Спировский район, Пеньковское с/п, п. Новое Ободово_в ОРЗТП с 07.12.2011</t>
  </si>
  <si>
    <t>СТ "Надежда"</t>
  </si>
  <si>
    <t>ВЛ-6 кВ и распределительная сеть 6-0,4 кВ для электроснабжения садоводческого некоммерческого товарищества_Тверская область, Калининский район, Савватьевский с/о, населенный пункт "Савватьевское лесничество", СНТ "Металлист"_в ОРЗТП с 19.12.11</t>
  </si>
  <si>
    <t>Архипова Тамара Ивановна</t>
  </si>
  <si>
    <t>ЛЭП-0,4 кВ для электроснабжения жилого дома и хозяйственных построек_Тверская область, Осташковской район, Ботовское с/п, район озера Кривское_в ОРЗТП с 13.12.11</t>
  </si>
  <si>
    <t>ООО "КАЗАК"</t>
  </si>
  <si>
    <t>ЛЭП-0,4 кВ для электроснабжения квартальной многоэтажной жилой комплексной застройки II квартала по ул. Луначарского в г. Тверь_почтовый адрес ориентира: Тверская область, г. Тверь, ул. Луначарского, д. 34_в ОРЗТП с 19.12.11</t>
  </si>
  <si>
    <t>Две ЛЭП-10 кВ для электроснабжения РП-10 кВ_Тверская область, г. Тверь, пос. Элеватор, 1-й переулок, д. 6_в ОРЗТП с 13.12.11</t>
  </si>
  <si>
    <t>ОАО "ВЕМАС - агро"</t>
  </si>
  <si>
    <t>ЛЭП-10 кВ и ТП-10/0,4 кВ для электроснабжения строительных механизмов (временное электроснабжение на период строительства объекта "Животноводческая ферма до 1200 фуражных коров со шлейфом")_Тверская область, Калининский район, Славновское с/п, район дер. Славное_в ОРЗТП с 07.12.11</t>
  </si>
  <si>
    <t>Соболев Алексей Викторович</t>
  </si>
  <si>
    <t>ЛЭП-0,4 кВ для электроснабжения объекта промышленности_Тверская область, Калининский район, Никулинское с/п, в районе дер. Кривцово_в ОРЗТП с 07.12.11</t>
  </si>
  <si>
    <t>40451894 (договор заключен 30.11.11)</t>
  </si>
  <si>
    <t>40466218
(договор заключен 05.12.2011)</t>
  </si>
  <si>
    <t>40447857
(договор заключен 20.12.2011)</t>
  </si>
  <si>
    <t>40455937
(договор заключен 27.12.2011)</t>
  </si>
  <si>
    <t>ЗАО "Спецстройтрест ЗАТО-центр"</t>
  </si>
  <si>
    <t>ООО Управляющая компания "Энергосервис"</t>
  </si>
  <si>
    <t>ООО "Микро ДСК"</t>
  </si>
  <si>
    <t>ЛЭП-0,4 кВ для электроснабжения обьекта "Многоквартирные жилые дома со встроенными помещениями общественного назначения по улице Псковская в г. Твери_в ОРЗТП с 19.01.12</t>
  </si>
  <si>
    <t>ВЛ-10 кВ и ТП-10/0,4 кВ для электроснабжения 2-х этажного 27 квартирного жилого дома_Тверская область, Калининский район, Бурашевское с/п, д. Салыгино (в ОРЗТП с 19.01.12)</t>
  </si>
  <si>
    <t>ОАО "РЖД"</t>
  </si>
  <si>
    <t>ЛЭП-0,4 кВ для электроснабжения многоквартирных жилых домов_Тверская область, г. Торжок, ул. Ржевская, примерно в 9 м. по направлению на запад от дома №73. Земельный участок с кадастровым номером 69:47:0160121:26_в ОРЗТП с 19.01.2012</t>
  </si>
  <si>
    <t>ООО "Завидовский текстиль"</t>
  </si>
  <si>
    <t>РУ-10 кВ_Тверская область, Конаковский район, пгт Козлово, ул. Октябрьская, д. 41_в ОРЗТП с 30.12.11</t>
  </si>
  <si>
    <t>40483889
(договор заключен 23.12.2011)</t>
  </si>
  <si>
    <t>40475657
(договор заключен 12.01.2012)</t>
  </si>
  <si>
    <t>2012 г.</t>
  </si>
  <si>
    <t>2012 г</t>
  </si>
  <si>
    <t>40478366
(договор заключен 20.01.2012)</t>
  </si>
  <si>
    <t>Заключенные договора по ТУ до 15 кВт</t>
  </si>
  <si>
    <t>Жилые дома</t>
  </si>
  <si>
    <t>Выполненные и заключенные договора по ТУ до 15 кВ</t>
  </si>
  <si>
    <t xml:space="preserve">ПС 110/35/10 кВ Зубцов </t>
  </si>
  <si>
    <t>ПС 35/6 кВ Карачарово</t>
  </si>
  <si>
    <t>Ошиновка, шины</t>
  </si>
  <si>
    <t>Ошиновка</t>
  </si>
  <si>
    <t>Примечание с указанием ограничивающего фактора</t>
  </si>
  <si>
    <t>tgφ</t>
  </si>
  <si>
    <t>Приборы, по которым выполнялась оценка</t>
  </si>
  <si>
    <t>нет приб.</t>
  </si>
  <si>
    <t>счетч.</t>
  </si>
  <si>
    <t>A,V</t>
  </si>
  <si>
    <t>A,V,ТИ</t>
  </si>
  <si>
    <t>40488265
(договор заключен 30.01.2012)</t>
  </si>
  <si>
    <t>40492022
(договор заключен 31.01.2012)</t>
  </si>
  <si>
    <t>40466272
(договор заключен 02.02.2012)</t>
  </si>
  <si>
    <t>МУ "Администрация Клоковского сельского поселения Торжокского района Тверской области"</t>
  </si>
  <si>
    <t>ЛЭП-0,4 кВ для электроснабжения 12-ти квартирного жилого дома _Тверская область, Торжокский район, Клоковское с/п, ж.д. станция Терешкино_в ОРЗТП с 22.02.2012</t>
  </si>
  <si>
    <t>ООО "Трансстроймеханизация"</t>
  </si>
  <si>
    <t>ТП-10/0,4 кВ - 630 кВА для электроснабжения жилого комплекса_адрес ориентира: Тверская область, Торжокский район, Тверецкое с/п, пос. Тверецкий_в ОРЗТП ч 22.02.2012</t>
  </si>
  <si>
    <t>МУП г. Торжка "Горэнерго"</t>
  </si>
  <si>
    <t>II категория_ЛЭП-0,4 кВ для электроснабжения блочно-модульной котельной_Тверская область, Торжокский район, г. Торжок, Калининское шоссе, 33-б (земельный участок с кадастровым номером 69:47:0170304:51)_в ОРЗТП с 22.02.2012</t>
  </si>
  <si>
    <t>Детский сад на 120 мест_Тверская область, Конаковский район, Мокшинское с/п, дер. Мокшино (в ОРЗТП с 16.02.2012)</t>
  </si>
  <si>
    <t>Хромов Олег Витальевич</t>
  </si>
  <si>
    <t>Электроснабжение объекта "Жилой комплекс"_адрес ориентира: Тверская область, Калининский район, Бурашевское с/п, дер. Большое Гришкино_в ОРЗТП с 17.02.2012</t>
  </si>
  <si>
    <t>ООО "ДорХан - Селигер"</t>
  </si>
  <si>
    <t>Производственно-складской комплекс_адрес ориентира: Тверская область, г. Осташков, ул. Загородная_в ОРЗТП с 02.2012 г.</t>
  </si>
  <si>
    <t>СНТ "Огонек" Управления государственной противопожарной службы УВД</t>
  </si>
  <si>
    <t>Вновь сооружаемая распределительная сеть 6-0,4 кВ_Тверская область, Калининский район, Аввакумовское с/п,  в районе дер. Сокол_в ОРЗТП 17.02.2012</t>
  </si>
  <si>
    <t>Блочно-модульная котельная тепловой мощностью_Почтовый адрес ориентира г. Тверь, пос. ВНИИСВ Московского района, земельный участок с кадастровым номером 69:40:0200092:31
(в ОРЗТП с 17.02.2012</t>
  </si>
  <si>
    <t>Соловьев Иван Валерьевич</t>
  </si>
  <si>
    <t>ТП-6/0,4 кВ для электроснабжения производственного цеха_Тверская область, Конаковсий район, гпп. Изоплит, пос. Озерки_в ОРЗТП с 13.02.2012</t>
  </si>
  <si>
    <t>6 коттеджных домов и гостинницы на территории базы отдыха "Мстино"_Тверская область, Вышневолоцкий район, Солнечное с/п, пос. Солнечный, ул. Светлая, д. №7_в ОРЗТП с 03.02.2012</t>
  </si>
  <si>
    <t>Торгово-офисный центр ООО "Восток", расположенный по адресу: Тверская область, г. Тверь, ул. Оржоникидзе, д. 51</t>
  </si>
  <si>
    <t>ЛЭП-6 кВ и ТП-6/0,4 кВ для электроснабжения 1 очереди жилого комплекса "Зеленый остров"_Тверская область, г. Тверь, ул. Ротмистрова, д. 29 г_в ОРЗТП с 21.12.2011</t>
  </si>
  <si>
    <t>ЛЭП-6 кВ и ТП-6/0,4 кВ для электроснабжения 2 очереди жилого комплекса "Зеленый остров"_Тверская оласть, г. Тверь, ул. Ротмистрова, д. 29 г_в ОРЗТП с 21.12.2011</t>
  </si>
  <si>
    <t>Ресторанно-гостинничный комплекс Молчановой Прасковьи Александровны_Тверская область, г. Тверь, ул. Крылова, д. 16_в ОРЗТП с 27.01.2012</t>
  </si>
  <si>
    <t>ВЛ-10 кВ и ТП-10/0,4 кВ для электроснабжения объекта "Газопровод - отвод г. Ржев - г. Нелидово Тверской области" (блок-бокс станции катодной защиты 81 км с оборудованим телемеханики)_Тверская область, Западнодвинский район, Западнодвинское с/п, на северо-востоке от дер. Дорофеево (в ОРЗТП с 27.01.2012)</t>
  </si>
  <si>
    <t>ООО "Диалог"</t>
  </si>
  <si>
    <t>Малоэтажные жилые дома_Тверская область, Бологовский район, Куженкинское с/п, с. Куженкино, ул. Полевая, д. №13_в ОРЗТП с 16.02.2012</t>
  </si>
  <si>
    <t>Строительные механизмы (для строительства жилых домов)_почтовый адрес ориентира: Тверская область, г. Тверь, пр-кт Октябрьский, д. 95, корп. 5_в ОРЗТП с 13.02.2012</t>
  </si>
  <si>
    <t>ООО "Бетон Трейд"</t>
  </si>
  <si>
    <t>ВЛ-10 кВ и ТП-10/0,4 кВ для электроснабжения бетонного завода БСУ-30_адрес ориентира: Тверская область, Пеновский район, Охватское с/п, п. Соблаго_в ОРЗТП с 27.01.2012</t>
  </si>
  <si>
    <t>ООО "Строитель-плюс"</t>
  </si>
  <si>
    <t>Многоквартирный жилой комплекс_Тверская область, Конаковский район, пгт. Новозавидовский, ул. Октябрьская, д. 63</t>
  </si>
  <si>
    <t>ООО "РжевМашИнвест"</t>
  </si>
  <si>
    <t>Распределительная сеть 10/0,4 кВ и ТП 10/0,4 кВ_Тверская область, Ржевский район, с/п "Есинка" вблизи д. Домашино_в ОРЗТП с 24.01.2012</t>
  </si>
  <si>
    <t>Детский сад на 135 мест в г. Торжке, Тверская область, Торжокский район, г. Торжок, Калининское шоссе, 18-д (земельный участок с кадастровым номером 69:47:0170202:86)_в ОРЗТП с 03.02.2012</t>
  </si>
  <si>
    <t>Многоквартирный жилой дом с помещениями общественного назначения по ул. Металлистов в г. Торжке_адрес ориентира: Тверская область, г. Торжок, ул. Металлистов, д. 1-а (земельный участок с кадастровым номером 69:47:0100303:13)_в ОРЗТП с 03.02.2012</t>
  </si>
  <si>
    <t>Панкратов Юрий Анатольевич</t>
  </si>
  <si>
    <t>Жилой дом_Тверская область, Пеновский район, Рунское с/п, п. Рунский</t>
  </si>
  <si>
    <t>1</t>
  </si>
  <si>
    <t>40502823
договор заключен 01.03.2012</t>
  </si>
  <si>
    <t>40506889
(договор заключен 02.03.2012)</t>
  </si>
  <si>
    <t>40504052
(договор заключен 05.03.2012)</t>
  </si>
  <si>
    <t>40463899
(договор заключен 12.03.2012)</t>
  </si>
  <si>
    <t>40504421
(договор заключен 16.03.2012)</t>
  </si>
  <si>
    <t>Белов Александр Владимирович</t>
  </si>
  <si>
    <t>Вводное устройство жилого дома_почтовый адрес ориентира: Тверская область, Андреапольский район, Волокское с/п, урочище Покровское (земельный участок с кадастровым номером 69:01:0000012:272)</t>
  </si>
  <si>
    <t>40528263
(договор заключен 20.03.2012)</t>
  </si>
  <si>
    <t>40507653
(договор заключен 21.03.2012)</t>
  </si>
  <si>
    <t>40523947
(договор заключен 21.03.2012)</t>
  </si>
  <si>
    <t>40524063
(договор заключен 21.03.2012)</t>
  </si>
  <si>
    <t>40524050
(договор заключен 21.03.2012)</t>
  </si>
  <si>
    <t>40524031
(договор заключен 21.03.2012)</t>
  </si>
  <si>
    <t>40525803
(договор заключен 21.03.2012)</t>
  </si>
  <si>
    <t>40523569
(договор заключен 21.03.2012)</t>
  </si>
  <si>
    <t>40466274
(договор заключен 27.03.2012)</t>
  </si>
  <si>
    <t>Колхоз им. Чапаева</t>
  </si>
  <si>
    <t>ВЛ-0,4 кВ и ТП 10/0,4 кВ для электроснабжения карьера_Тверская область, Кувшиновский район, Могилевское с/п, в районе дер. Силино (земельный участок с кадастровым номером 69:17:0000008:195)</t>
  </si>
  <si>
    <t>40528558 (договор заключен 27.03.2012)</t>
  </si>
  <si>
    <t>ООО "Комбинат ЖБИ-6"</t>
  </si>
  <si>
    <t>ЛЭП-0,4 кВ для электроснабжения бетонного завода_Тверская область, Калининский район, Бурашевское с/п, дер. Садыково (земельный участок с кадастровым номером 69:10:0000025:641)_в ОРЗТП с 21.03.2012</t>
  </si>
  <si>
    <t>Тверской район гидротехнических сооружений - филиал ФГУП "Канал имени Москвы"</t>
  </si>
  <si>
    <t>ТП 10/0,4 кВ для электроснабжения отстойного-ремонтного пункта "Малые перемерки"_Тверская область, г. Тверь, ул. Малые перемерки, д. 15 А_в ОРЗТП с 21.03.2012</t>
  </si>
  <si>
    <t>ЛЭП-0,4 кВ для электроснабжения многофункционального автозаправочного комплекса_Тверская область, г. Тверь, ш. Московское (земельный участок с кадастровым номером 69:40:0200016:120)_В орзтп С 30.03.2012</t>
  </si>
  <si>
    <t>ВЛ-10 кВ и ТП-10/0,4 кВ - 25 кВА "Арония" для электроснабжения СНТ_Тверская область, Калининский район, дер. Труново_в ОРЗТП с 21.03.2012</t>
  </si>
  <si>
    <t>"Жилые кварталы по улице Псковской в г. Твери"_Тверская область, г. Тверь_в ОРЗТП с 29.03.2012</t>
  </si>
  <si>
    <t>ТП-10/0,4 кВ-400 кВА для электроснабжения нефтеперерабатывающего завода_в ОРЗТПс 29.03.2012</t>
  </si>
  <si>
    <t>ЗАО "Торжокский топливно-энергетический комплекс"</t>
  </si>
  <si>
    <t>ООО "РСУ №1"</t>
  </si>
  <si>
    <t>Вводное устройство жилого дома_Тверская область, Жарковский район, п. Жарковский, ул. Комсомольская, 9_в ОРЗТП с 21.03.2012</t>
  </si>
  <si>
    <t>Телевизионная башня цифорового радиовещания_Тверская область, Калининский район, дер. Андрианово_в ОРЗТП с 21.03.2012</t>
  </si>
  <si>
    <t>Дышеков Эдуард Русланович</t>
  </si>
  <si>
    <t>ЛЭП-10 кВ и ТП-10/0,4 кВ  - 2х160 кВА для электроснабжения жилой застройки_Тверская область, г. Тверь, ул. Макакрова, д. 4_в ОРЗТП с 21.03.2012</t>
  </si>
  <si>
    <t>СНТ "Перелески"</t>
  </si>
  <si>
    <t>ВЛ-10 кВ и ТП-10/0,4 кВ для электроснабжения СНТ_Тверская область, Калининский район, Авввакумовское с/п, врайоне дер. Пищалкино СНТ "Перелески"_в ОРЗТП с 12.03.2012</t>
  </si>
  <si>
    <t>ООО "Песком"</t>
  </si>
  <si>
    <t>ЛЭП-0,4 кВ для электроснабжения оборудования для разработки прудового хозяйства_Тверская область, Калининский район, с/п Кулицкое, дер. Копылово_в ОРЗТП с 12.03.2012</t>
  </si>
  <si>
    <t>ЛЭП-0,4 кВ для электроснабжения объектов жилья и соцкультбыта_Тверская область, Конаковский район, Мокшинское с/п, дер. Вараксино (земельный участок с кадастровым номером 69:15:0000027:590)_в ОРЗТП с 13.03.2012</t>
  </si>
  <si>
    <t>Существующая ЛЭП-0,4 кВ для электроснабжения антенно-мачтового сооружения (АМС) телевизионной башни цифрового радиовещания_Тверская область, Торжокский район, Борисцевское с/п, дер. Головинские Горки, д. 36_в ОРЗТП с 12.03.2012</t>
  </si>
  <si>
    <t>Макаров Александр Александрович</t>
  </si>
  <si>
    <t>ЛЭП-0,4 кВ для электроснабжения жилого домма_Тверская область, Кимрский район, Приволжское с/п, дер. Сенькино, увчасток с кадастровым номером 69:14:20:19:01:0123_в ОРЗТП с 12.03.2012</t>
  </si>
  <si>
    <t>Государственное учреждение - Управление Пенсионного фонда Российской Федерации в Максатихинсом районе Тверской области</t>
  </si>
  <si>
    <t>ЛЭП-0,4 кВ для электроснабжения административного здания_Тверская область, Максатихинский район, пос. Максатиха, ул. Санаторная, д. 5 (земельный участок с кадастровым номером 69:20:0070131:7:19)_в ОРЗТП с 12.03.2012</t>
  </si>
  <si>
    <t>сад.тов-во "Княжеская поляна", Зубцовский район, Княжьегорское с/п_в ОРЗТП с 13.03.2012</t>
  </si>
  <si>
    <t>вводное устройство телебашни цифрового вещания_Тверская область, Кимрский район, Горицкое с/п, с. Горицы, ул. Спортивная, участок 25 (земельный участок с кадастровым номером 69:14:0100904:405)_в ОРЗТП с 12.03.2012</t>
  </si>
  <si>
    <t>Турчанович Владимир Олегович</t>
  </si>
  <si>
    <t>Вводное устройство жилого дома_почтовый адрес ориентира: Тверская область, Кимрский район, Федоровское с/п, район дер. Крева (земельный участок с кадастровым номером 69:14:0000024:1122)_в ОРЗТП с 12.03.2012</t>
  </si>
  <si>
    <t>Благотоворительный фонд "Дмитровогорский храм"</t>
  </si>
  <si>
    <t>ЛЭП-0,4 кВ для электроснабжения Храмового комплекса во имя Святого Преподобного Сергия Радонежского_Тверская область, Конаковский район, Дмитровское с/п, с. Дмитрова Гора, ул. Центральная (земельный участок с кадастровым номером 69:15:0110101:582)_в ОРЗТП с 29.03.2012</t>
  </si>
  <si>
    <t>ЛЭП-10 кВ и ТП-10/0,4 кВ для электроснабжения ДНП_Тверская область, Калязинский район, г. Калязин, городской водозабор_в ОРЗТП с 12.03.2012</t>
  </si>
  <si>
    <t>ЛЭП-10 кВ и ТП-10/0,4 кВ для электроснабжения СНТ_Тверская область, Калязинский район, Алферовское с/п, сНТ "Эра", вблизи д. Благуново</t>
  </si>
  <si>
    <t>49-квартирный жилой дом с офисными помещениями (2-й пусковой комплекс) ТГООИ "Стройгарант" расположенный по адресу: Тверская область, г. Тверь, ул. Д.Донского, д. 40_в ОРЗТП с 21.03.2012</t>
  </si>
  <si>
    <t>ООО "Тверьоблэлектро"</t>
  </si>
  <si>
    <t>ЛЭП-10 кВ фид. №1 "РП-51" от ячейки 10 кВ №13 и ЛЭП-10 кВ фид. №2 "РП-51" от ячейки 10 кВ №16_Тверская обл, г. Калязин, ул. Тверская_в ОРЗТП с 03.2012</t>
  </si>
  <si>
    <t>спортзал, п.Максатиха, Красноармейская, 58-а (земельный участок с кадастровым номером 69:20:070127:0060)</t>
  </si>
  <si>
    <t>Вводное устройство объекта "Водозаборный узел"_Тверская область, Калининский район, Никулинское с/п, район дер. Даниловское_в ОРЗТП с 29.03.2012</t>
  </si>
  <si>
    <t>40521356
(договор заключен 03.04.2012)</t>
  </si>
  <si>
    <t>40531296
(договор заключен 06.04.2012)</t>
  </si>
  <si>
    <t>40528225
(договор заключен 10.04.2012)</t>
  </si>
  <si>
    <t>40510917
(договор заключен 10.04.2012)</t>
  </si>
  <si>
    <t>40525037
(договор заключен 10.04.2012)</t>
  </si>
  <si>
    <t>40531682
(договор заключен 18.04.2012)</t>
  </si>
  <si>
    <t>Фролов А.Ю.</t>
  </si>
  <si>
    <t>40532200
(договор заключен 18.04.2012)</t>
  </si>
  <si>
    <t>40500183
(договор заключен 24.04.2012)</t>
  </si>
  <si>
    <t>40524643
(договор заключен 25.04.2012)</t>
  </si>
  <si>
    <t>ГБУ "КЦСОН" Краснохолмского района</t>
  </si>
  <si>
    <t>ЛЭП-0,4 кВ для электроснабжения административного здания_Тверская область, г. Красный Холм, ул. Красноарамейская, д. №73/21_в ОРЗТП с 23.04.2012</t>
  </si>
  <si>
    <t>ВЛ-10 кВ и ТП-10/0,4 кВ -100 кВА для электроснабжения линии наружного освещения на участке автомобильной дороги М-10 "Россия" 172+000 - км 176+000_Тверкая область, Калининский район, а/д М-10 "Россия"- от Москвы через Тверь, Новгород до Санкт-Петербурга, на участке 172+000 - км 176+000_ в ОРЗТП с 29.03.2012</t>
  </si>
  <si>
    <t>ООО "САНДРА"</t>
  </si>
  <si>
    <t>ЛЭП-0,4 кВ для электроснабжения объекта "Многоквартирный жилой дом с помещениями административно-торгового назначения"</t>
  </si>
  <si>
    <t>Коттеджный поселок с зоной рекреации_Тверская область, Калининский район, с/п Каблуковское, дер. Орша
(в ОРЗТП с 17.04.2012)</t>
  </si>
  <si>
    <t>ООО "ЭМК"</t>
  </si>
  <si>
    <t>Существующая ПС 35/10 кВ Удомля_Тверская область, Удомельский район, Удомельское с/п, район дер. Елманова Горка и дер. Братаново (земельный участок с кадастровым номером 69:35:0000020:969)_в ОРЗТП с 13.04.2012)</t>
  </si>
  <si>
    <t>Магазин продовольственных товаров ООО "Концепт"_Тверская область, г. Удомля, ул. Космонавтов, между д. 5 и д.7_в ОРЗТП с 13.04.2012</t>
  </si>
  <si>
    <t>Арсентьев Василий Фридрихович</t>
  </si>
  <si>
    <t>Предприятие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Михайловское с/п, в районе дер. Глазково (1/4 часть земельного участка с кадастровым номером 69:10:0000012:0100)_в ОРЗТП с 02.04.2012</t>
  </si>
  <si>
    <t>Многоквартирный жилой комплекс_Тверская область, Конаковский район, пгт. Новозавидовский, ул. Октябрьская, д. 63_в ОРЗТП с 02.04.2012</t>
  </si>
  <si>
    <t>СНТ "Колос"</t>
  </si>
  <si>
    <t>ЛЭП-0,4 кВ для электроснабжения технологической линии по производству торфобрикетов_Адрес ориентира Тверская область, Торжокский район, Сукромленское с/п, с. Сукромля, ул. Центральная, д. 62 (земельный участок с кадастровым номером 69:33:0261204:65)_в ОРЗТП с 19.01.2012</t>
  </si>
  <si>
    <t>Ангиографический комплекс, гемодиализный центр, реконструкция операционной, комплекс томографический ренгеновский_г. Тверь, С. Петербургское шоссе, д. 105</t>
  </si>
  <si>
    <t>Уведомление МУП "Тверьгорэлектро" от 19.04.2012 № 019-16/934 об увеличений мощности на 894 кВт</t>
  </si>
  <si>
    <t>40512562
(договор заключен
26.04.2012)</t>
  </si>
  <si>
    <t>40534788
(договор заключен 04.05.2012)</t>
  </si>
  <si>
    <t>40534795
(договор заключен 04.05.2012)</t>
  </si>
  <si>
    <t>40538843
(договор заключен 11.05.2012)</t>
  </si>
  <si>
    <t>40536177
(договор заключен 16.05.2012)</t>
  </si>
  <si>
    <t>40532516
(договор заключен 21.05.2012)</t>
  </si>
  <si>
    <t>40532795
(договор заключен 24.05.2012)</t>
  </si>
  <si>
    <t>Щербина Александр Николаевич</t>
  </si>
  <si>
    <t>ЛЭП-0,4 кВ для электроснабжения  крестьянско-фермерского хозяйства_Тверская область, Конаковский район, пгт. Радченко, район п. Новомелково (земельный участок с кадастровым номером 69:15:0000014:394)</t>
  </si>
  <si>
    <t>40550247
(договор заключен 29.05.2012)</t>
  </si>
  <si>
    <t>40533383
(договор заключен 02.04.2012)</t>
  </si>
  <si>
    <t>ОАО "Вымпел-Коммуникации"</t>
  </si>
  <si>
    <t>Существующие ВЛ-10 кВ и ТП-10/0,4 кВ-25 кВА для электроснабжения базовой станции сотовой радиотелефонной связи сети "Билайн"_Тверская область, Осташковский район, Сорожское с/п, район дер. Светлица_в ОРЗТП с 21.05.2012</t>
  </si>
  <si>
    <t>Федеральное казенное учреждение "Исправительная колония №4 Управления Федеральной службы исполнения наказаний России по Тверской области"</t>
  </si>
  <si>
    <t>Исправительная колония_Тверская облсть, г. Торжок, ул. Старицкая, д.79</t>
  </si>
  <si>
    <t>ООО "Спорт"</t>
  </si>
  <si>
    <t>Распределительная сеть 10-0,4 кВ с необходимым количеством ТП-10/0,4 кВ, запитанная от концевой опоры проектируемой ЛЭП-10 кВ, построенной от ВЛ-10 кВ фид. №15 "Новенькое" ПС 35/10 кВ Юрьево-Девичье_Тверская область, Конаковский район, Тверское лесничество Волжское участковое лесничество, квартал 40 вылел 3,5-15</t>
  </si>
  <si>
    <t>ЗАО "Диэлектрические кабельные системы"</t>
  </si>
  <si>
    <t>Гаражный кооператив № 36</t>
  </si>
  <si>
    <t>ВЛ-10 кВ и ТП-10/0,4 кВ для электроснабжения гаражного кооператива_Тверская область, г. Кимры, ул. Ильича_в ОРЗТП с 21.05.2012</t>
  </si>
  <si>
    <t>ООО "Шинэнергоснаб"</t>
  </si>
  <si>
    <t>Вводное устройство предприятия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Никулинское с/п, район дер. Кривцово (земельный учсаток с кадастровым номером 69:10:0000024:2430)_в ОРЗТП с 21.05.2012</t>
  </si>
  <si>
    <t>Русский Фонд Содействия образованию и науке</t>
  </si>
  <si>
    <t>ЛЭП-6 кВ и ТП-6/0,4 кВ - 400 кВА для электроснабжения строительной площадки университета_Тверская область, Фировский район, Великооктябрьское с/п, в границах АО "Новоселье" (земельный участок с кадастровым номером 69:36:0000016:810)_в ОРЗТП с 16.05.2012</t>
  </si>
  <si>
    <t>ДНТ "Рябинки"</t>
  </si>
  <si>
    <t>Существующие ЛЭП-0,4 кВ для электроснабжения ДНП_Тверская область, Калининский район, Аввакумовское с/п, ДНТ "Рябинки"_в ОРЗТП с 29.04.2012</t>
  </si>
  <si>
    <t>Лукин Евгений Рафаилдович</t>
  </si>
  <si>
    <t>Вводное устройство хозяйственной постройки_Тверская область, Осташковский район, Сорожское с/п, район дер. Зорино (1/4 часть земельного участка с кадастровым номером 69:24:0000013:2846)_в ОРЗТП с 10.05.2012</t>
  </si>
  <si>
    <t>Две существующие ЛЭП-10 кВ для электроснабжения РП-10 кВ_Тверская область, г. Тверь, пос. Элеватор, 1-й переулок, д. 6_в ОРЗТП с 28.04.2012</t>
  </si>
  <si>
    <t>ТП-10/0,4 кВ для электроснабжения административно-производсвенного здания_Тверская область, Калининский район, Никулинское с/п, с. Никольское, д. 26 (земельный участок с кадастровым номером 69:10:0241001:0:19)</t>
  </si>
  <si>
    <t>ТП-10/0,4 кВ - 250 кВА для электроснабжения офисно-бытового городка_Тверская область, Вышневолоцкий район, Лужниковское с/п, дер. Жилотково_в ОРЗТП с 28.04.2012</t>
  </si>
  <si>
    <t>ОАО "Ритм" ТПТА</t>
  </si>
  <si>
    <t>Электроснабжение литейного цеха (производство тормозной араматуры)_Тверская область, г. Кашин, ул. Строителей, д.7_в ОРЗТП с 15.05.2012)</t>
  </si>
  <si>
    <t>Морозов Аркадий Юрьевич</t>
  </si>
  <si>
    <t>ВЛ-10 кВ и ТП-10/0,4 кВ для электроснабжения пункта технического обслуживания со складом_Тверская область, г. Тверь, ул. Хрустальная, д. 61 (1/3 часть земельного участка с кадастровым номером 69:40:0100292:2767:42)_в ОРЗТП с 21.05.2012</t>
  </si>
  <si>
    <t>Администрация муниципального образования "город Торжок" Тверской области</t>
  </si>
  <si>
    <t>ДНП "Бриллиант"</t>
  </si>
  <si>
    <t>ООО "Русская мостостроительная компания"</t>
  </si>
  <si>
    <t>ДНП "Федневское"</t>
  </si>
  <si>
    <t>ВЛ-10 кВ и ТП-10/0,4 кВ для электроснабжения дачных домов_Тверская область, Удомельский район, Котлованское с/п, в 100 метрах на северо-восток от дер. Феднево_в ОРЗТП с 31.05.2012</t>
  </si>
  <si>
    <t>Отдел образования Администрации Вышневолоцкого района Тверской области</t>
  </si>
  <si>
    <t>ВЛ-6 кВ и ТП-6/0,4 кВ для электроснабжения объекта "Здание детского сада на 100 мест"_Адрес ориентира: Тверская область, Вышневолоцкий район, Сорокинское с/п, пос. Пригородный, ул. Ленинградская, 2б (земельный участок с кадастровым номером 69:06:0170602:641)_в ОРЗТП с 31.05.2012</t>
  </si>
  <si>
    <t>ООО "Трасстройинвест"</t>
  </si>
  <si>
    <t>ЛЭП-0,4 кВ для электроснабжения производственной базы и бытового городка_Тверская область, Вышневолоцкий район, вблизи дер. Иваньково_в ОРЗТП с 31.05.2012</t>
  </si>
  <si>
    <t>ООО "АтомТеплоЭлектроСеть"</t>
  </si>
  <si>
    <t>Вводное устройство теплового пункта_Тверская область, удомельский район, Удомельское с/п, дер. Лайково-Попово (земельный участок с кадастровым номером 69:35:02000901:0:2)_в ОРЗТП с 31.05.2012</t>
  </si>
  <si>
    <t xml:space="preserve">40556478
(договор заключен 07.06.2012) </t>
  </si>
  <si>
    <t>40533893
(договор заключен
26.06.2012</t>
  </si>
  <si>
    <t>Зинин Михаил Владимирович</t>
  </si>
  <si>
    <t>Вводное устройство хоз. Блока_Тверская область, Кимрский район, Приволжское с/п, участок примыкет к дер. Кочнево по направлению на север (земельный участок с кадастровым номером 69:14:000020:0118)_в ОРЗТП с 27.06.2012</t>
  </si>
  <si>
    <t>40578404
(договор заключен 27.06.2012)</t>
  </si>
  <si>
    <t>40344876
(договор закллючен 28.06.2012)</t>
  </si>
  <si>
    <t>Гаджимусаева Валентина Николаевна</t>
  </si>
  <si>
    <t>Вводное устройство жилого дома_Тверская область, Оленинский район, Гришкинское с/п, дер. Зубовка, д. 3 (земельный участок с кадастровым номером 69:23:0241801:4)_в ОРЗТП с 27.06.2012</t>
  </si>
  <si>
    <t>Садоводческое товарищество "Полянка"</t>
  </si>
  <si>
    <t>ЛЭП-0,4 кВ для электроснабжения садоводческого товарищества_Тверская область, Кимрский район, Титовское с/п, дер. Притыкино, СТ "Полянка"_в ОРЗТП с 27.06.2012</t>
  </si>
  <si>
    <t>Многоквартирный жилой дом с помещениями административно-торгового назначения_Тверская область, г. Тверь, ул. З. Коноплянниковой, д. 85, 87, 89_в ОРЗТП с 14.06.2012 г.</t>
  </si>
  <si>
    <t>Кшенина Татьяна Ивановна</t>
  </si>
  <si>
    <t>Вводное устройство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14.06.2012</t>
  </si>
  <si>
    <t>Год ввода в эксплуатацию</t>
  </si>
  <si>
    <t>Год реконструкции с заменой силовых трансформаторов</t>
  </si>
  <si>
    <t>-</t>
  </si>
  <si>
    <t>Текущий статус</t>
  </si>
  <si>
    <t>Перспективный статус</t>
  </si>
  <si>
    <t>Широта</t>
  </si>
  <si>
    <t>Долгота</t>
  </si>
  <si>
    <t>5</t>
  </si>
  <si>
    <t>6</t>
  </si>
  <si>
    <t>7</t>
  </si>
  <si>
    <t>8</t>
  </si>
  <si>
    <t>40559306
(договор заключен 29.06.2012)</t>
  </si>
  <si>
    <t>40554474
(договор заключен 02.07.2012)</t>
  </si>
  <si>
    <t>40551395
(договор заключен 02.07.2012)</t>
  </si>
  <si>
    <t>40466241
(договор заключен 23.07.2012)</t>
  </si>
  <si>
    <t>40554470 (договор заключен
30.07.2012)</t>
  </si>
  <si>
    <t>ООО "Эколеспром"</t>
  </si>
  <si>
    <t>Ввводное устройство жилого дома_адрес ориентира Тверская область, Рамешковский район, с/п. Кушалино, с. Кушалино, п. Электросеть, д. 16 (земельный участок с кадастровым номером 69:26:0241021:56)_в ОРЗТП с 09.07.2012</t>
  </si>
  <si>
    <t>Вводное устройство предприятия материально-технического снабжения с мастерскими по изготовлению и сбыту санитарно-технических заготовок и оборудования_Тверская область, Калининский район, Никулинское с/п, район дер. Кривцово (земельный учсаток с кадастровым номером 69:10:0000024:2430)_в ОРЗТП с 19.07.2012</t>
  </si>
  <si>
    <t>СНТ "Дорожник"</t>
  </si>
  <si>
    <t>Вводное устройство здания ведомственной гостинницы_Тверская область, Калининский район, Михайловское с/п, в районе пос. Загородный (земельный участок с кадастровым номером 69:10:0000012:1813)_в ОРЗТП с 07.2012</t>
  </si>
  <si>
    <t>Вводное устройство 2-этажного 22-квартирного жилого дома санатория "Черногубово"_Тверская область, Калининский район, Черногубовское с/п, пос. Черногубово_в ОРЗТП с 07.2012</t>
  </si>
  <si>
    <t>Илюнов Андрей Валерьевич</t>
  </si>
  <si>
    <t>ТП-10/0,4 кВ для электроснабжения производственной базы_Тверская область, г. Тверь, промзона Лазурная, д. 9_в ОРЗТП с 19.07.2012</t>
  </si>
  <si>
    <t>ООО "Водоканал-Т"</t>
  </si>
  <si>
    <t>ЛЭП-0,4 кВ для электроснабжения водозаборного узла ТПЗ "Боровлево"_адрес Тверская область, Калининский район, Бурашевское с/п, в районе дер. Неготино (земельный участок с кадастровым номером 69:10:0000025:0568)_в ОРЗТП с 16.07.2012</t>
  </si>
  <si>
    <t>ООО Редкинская "АПК"</t>
  </si>
  <si>
    <t>Вводное устройство здания телятника на 130 голов с пристройкоой_Тверская область, Конаковский район, Городенское с/п, дер. Кошелево (земеьный участок с кадастровым номером 69:15:00:00:00:0022:000)_в ОРЗТП с 16.07.2012</t>
  </si>
  <si>
    <t>Ряполов Юрий Григорьевич</t>
  </si>
  <si>
    <t>Вводное устройство жилого дома_Тверская область, Нелидовский район, Высокинсеое с/п, дер. Нива (земельный участок с кадастровым номером 69:22:0102201:4)_в ОРЗТП с 09.07.2012</t>
  </si>
  <si>
    <t>ЛЭП-0,4 кВ для электроснабжения садоводческого товарищества_Тверская область, Калязинсий район, Алферовское с/п, дер. Дымово_в ОРЗТП с 09.07.2012</t>
  </si>
  <si>
    <t>ОАО СФ "Тверьагрострой"</t>
  </si>
  <si>
    <t>Вводное устройство 2-х этажного многоквартирного жилого дома_адрес: Тверская область, Зубцовский район, Погорельское с/п, с. Погорелое Городище, ул. Ленина (земельный участок с кадатровым номером 69:09:0191702:48)_в ОРЗТП с 09.07.2012</t>
  </si>
  <si>
    <t>Косарев Игорь Дмитриевич</t>
  </si>
  <si>
    <t>ЛЭП-0,4 кВ для электроснабжения коттеджного поселка_адрес ориентира: Тверская область, Осташковский район, Сорожское с/п, район дер. Залучье, д. 57 (земельный участок с кадастровым номером 69:24:0000013:2720)_в ОРЗТП с 03.07.2012</t>
  </si>
  <si>
    <t>ЛЭП-0,4 кВ для электроснабжения многоквартирного жилого дома_Тверская область, г. Торжок, ул. Ржевская, примерно в 9 м по направлению на запад от дома №73 (земельный участок с кадастровым номером 69:47:0160121:26)_В ОРЗТП с 03.07.2012</t>
  </si>
  <si>
    <t>Две ЛЭП-0,4 кВ для электроснабжения блочно-модульной котельной жилой застройки мкр. "Мамулино-2"_Тверская область, Пролетарский район, пос. Мамулино_в ОРЗТП с 29.06.2012</t>
  </si>
  <si>
    <t>40587499
(договор заключен 02.08.2012)</t>
  </si>
  <si>
    <t>40589152
(договор заключен 07.08.2012)</t>
  </si>
  <si>
    <t>40490958
(договор заключен 09.08.2012)</t>
  </si>
  <si>
    <t>ООО "Автосоюз"</t>
  </si>
  <si>
    <t>КЛ-6 кВ и ТП-6/0,4 кВ для электроснабжения объектов_г. Тверь, Петербургское шоссе, д. 3_в ОРЗТП с 04.09.2012</t>
  </si>
  <si>
    <t xml:space="preserve">40111569 (договор заключен 05.04.2010) , договор расторгнут 26.04.2012 </t>
  </si>
  <si>
    <t xml:space="preserve">233-ТП/10-08 (40242388), доровор расторгнут 30.01.2012 </t>
  </si>
  <si>
    <t xml:space="preserve">347-ТП/10-09 (40068664) договор расторгнут 30.01.2012 </t>
  </si>
  <si>
    <t>40551374
(договор заключен 03.05.2012), договор расторгнут 02.05.2012</t>
  </si>
  <si>
    <t>40186113
(договор заключен 05.10.2010) договор расторгнут 01.06.2012</t>
  </si>
  <si>
    <t>40338033
(договор заключен 03.06.2011) договор расторгнут 10.07.2012</t>
  </si>
  <si>
    <t>40605104
(договор заключен 21.08.2012)</t>
  </si>
  <si>
    <t>40586155
(договор заключен 18.09.2012)</t>
  </si>
  <si>
    <t>ОАО "Мостоотряд №19"</t>
  </si>
  <si>
    <t>ДНП_Тверская область, Калининский район, Никулинское с/п, район дер. Красново</t>
  </si>
  <si>
    <t>ЛЭП-6 кВ фид. "РП-24" от ячейки 6 кВ №9 и ЛЭП-6 кВ фид. "РП-1" от ячейки 6 кВ №16_Тверская обл., г. Тверь, Беляковский пер., д. 1 а_в ОРЗТП с 26.09.2012</t>
  </si>
  <si>
    <t>ЗАО "Хамильтон Стандарт - Наука"</t>
  </si>
  <si>
    <t>Вводное устройство здания отдела внутренних дел по Вышневолоцкому району_Тверская область, г. Вышний Волочек, Московское шоссе, 2
(в ОРЗТП с 19.09.2012)</t>
  </si>
  <si>
    <t>цех переработки отходов с санитарным убоем_Тверская область, Калининский район, Заволжское с/п, район дер. Дмитрово-Черкассы_в ОРЗТП с 18.09.2012</t>
  </si>
  <si>
    <t>ОАО племзавод "Заволжское"</t>
  </si>
  <si>
    <t>Завод по производству комбикормов_Тверская область, Калининский район, с.п. Заволжское, п. Гордня_в ОРЗТП с 18.09.2012 г.</t>
  </si>
  <si>
    <t>ООО "Кимрский завод теплового оборудования "РАДИАТОР" (ООО "КЗТО "РАДИАТОР")</t>
  </si>
  <si>
    <t>Завод теплового оборудования_Тверская область, г. Кимры, ул. Оржоникидзе, д. 83 а_в ОРЗТП с 19.09.2012 г.</t>
  </si>
  <si>
    <t>ООО СК "Альянс"</t>
  </si>
  <si>
    <t>Жилая и торговая застройка в мкрн. Южный_Тверская обл., г. Тверь, просп. Октябрьский, д. 56 а_в ОРЗТП с 10.08.2012</t>
  </si>
  <si>
    <t>ООО "Завидово Энергосервис"</t>
  </si>
  <si>
    <t>Элекроснабжение стройплощадки для жилого дома_Тверская область, Конаковский район, Мокшинское с/п, дер. Мокшино_в ОРЗТП с 03.08.2012</t>
  </si>
  <si>
    <t>ЗАО "Парок"</t>
  </si>
  <si>
    <t>ООО "Тверское специализированное строительно-монтажное управление - 7"</t>
  </si>
  <si>
    <t>Электроснабжение цеха по производству металлоконструкции_Тверская область, Калининский район, Никулинское с/п, район лер. Кривцово (земельный участок с кадастровым номером 69:10:00:00:24:0319)_в ОРЗТП с 08.08.2012 г.</t>
  </si>
  <si>
    <t>ООО "Альянс-Агро"</t>
  </si>
  <si>
    <t>Электроснабжение объекта "Складской комплекс"_Тверская область, Спировский район, Козловское с/п, дер. Малое Козлово_в ОРЗТП с 13.09.2012 г.</t>
  </si>
  <si>
    <t>Вводное устройство предприятия по производству пищевой продукции_Тверская область, Калининский район, Бурашевское с/п, дер. Садыково (земельный участок с кадастровым номером 69:10:0000025:653)</t>
  </si>
  <si>
    <t>ЗАО "Грод"</t>
  </si>
  <si>
    <t>Электроснабжение коттеджного поселка_Тверская область, Кимрский район, Федоровское с/п, дер. Крева, ул. Лесная, д. 30_в ОРЗТП с 13.09.2012</t>
  </si>
  <si>
    <t>ТП-10/0,4 кВ - 250 кВА для электроснабжения производственной базы_почтовый адрес ориентира: Тверская область, Вышневолоцкий район, Есеновическое с/п, д. Бухолово, д. 14_в ОРЗТП с 21.08.2012</t>
  </si>
  <si>
    <t>ДНП "Волжанка"</t>
  </si>
  <si>
    <t>ТП-10/0,4 кВ для электроснабжения дачных домов_Тверская область, Конаковский раон, Вахонинское с/п, дер. Шоша_в ОРЗТП с 13.09.2012</t>
  </si>
  <si>
    <t>ВЛ-10 кВ и КТП-10/0,4 кВ - 160 кВА для электроснабжения СНТ_Тверская область, Кашинский район, Барыковское с/п, СНТ "Дорожник"_в ОРЗТП  с 13.09.2012</t>
  </si>
  <si>
    <t>Васильев Сергей Анатольевич</t>
  </si>
  <si>
    <t>Существующая ЛЭП-0,4 кВ для электроснабжения усадьбы "Степановское"_Тверская область, Зубцовский район, Дорожаевское с/п, вблизи  дер. Волосово (земельный участок с кадастровым номером 69:09:0000016:129)_в ОРЗТП с 08.08.2012 г.</t>
  </si>
  <si>
    <t>Распределительная сеть 10-0,4 кВ, запитанная по двум существующим ЛЭП-10 кВ от линейных ячеек 10 кВ фид. №12 и фид. №36 ПС 110/35/10 кВ Лазурная_Тверская область, г. Тверь, Большие перемерки, ул. Бочкина, д. 15_в ОРЗТП с 24.08.2012</t>
  </si>
  <si>
    <t>Присоединение ПС 35/10 кВ_Тверская область, Ржевский район, г. Ржев_в ОРЗТП с 19.08.2012</t>
  </si>
  <si>
    <t>Электроснабжение автозаправочного комплекса_Тверская область, Калининский район, Бурашевское с/п, с. Андрейково (земельный участок с кадастровым номером 69:10:0251201:376)_в ОРЗТП с 08.08.2012 г.</t>
  </si>
  <si>
    <t>ФГУП филиал РТРС "Тверской ОРТПЦ"</t>
  </si>
  <si>
    <t xml:space="preserve">Башня цифрового радиовещания_Тверская область, Калининский район, дер. Андрианово_в ОРЗТП с 08.08.2012 г. </t>
  </si>
  <si>
    <t>СНТ "Садовод-3"</t>
  </si>
  <si>
    <t>ТП-6/0,4 кВ для электроснабжения дачных домов_Тверская область, Калининский район, Аввакумовское с/п, дер. Сокол_в ОРЗТП с 08.08.2012</t>
  </si>
  <si>
    <t>СНТ "Дружба"</t>
  </si>
  <si>
    <t>Садоводческое некоммерческое товарищество_Тверская область, Конаковский район, городское поселение п. Радченко, пгт. Радченко, СНТ "Дружба"_в ОРЗТП с 08.08.2012 г.</t>
  </si>
  <si>
    <t>40625686
(договор заключен 12.09.2012)</t>
  </si>
  <si>
    <t>40590763
(договор заключен 27.09.2012)</t>
  </si>
  <si>
    <t>40534172
(договор заключен 28.09.2012)</t>
  </si>
  <si>
    <t xml:space="preserve">40561287
(договор заключен 01.10.2012) </t>
  </si>
  <si>
    <t xml:space="preserve">2012 г. </t>
  </si>
  <si>
    <t>40551353
(договор заключен 03.10.2012)</t>
  </si>
  <si>
    <t>40601199
(договор заключен 03.10.2012)</t>
  </si>
  <si>
    <t>40632055
(договор заключен 10.10.2012)</t>
  </si>
  <si>
    <t>40614824
(договор заключен 17.10.2012)</t>
  </si>
  <si>
    <t>ООО "Вэриус Сервис"</t>
  </si>
  <si>
    <t>40615006
(договор заключен 29.10.2012)</t>
  </si>
  <si>
    <t>ООО "САНАРагро-Сандово"</t>
  </si>
  <si>
    <t>Вводное устройство цеха по переработке древесины (строительная площадка)_Почтовый адрес ориентира: Тверская область, Сандовский район, Топоровское с/п, дер. Радиониха (земельный участок с кадастровым номером 69:28:0000014:49)_в ОРЗТП с 08.10.2012</t>
  </si>
  <si>
    <t>Объект "Апартотель"_Тверская область, Конаковский район, Мокшинское с/п, район дер. Вараксино_в ОРЗТП с 16.10.2012</t>
  </si>
  <si>
    <t>ООО "Мега-Пак"</t>
  </si>
  <si>
    <t>ТП-10/0,4 кВ - 160 кВА для электроснабжения предприятия по изготовлению гофроупаковки_Тверская область, Калининский район, Никулинское с/п, с. Никольское, д. 26_ в ОРЗТП с 23.10.2012</t>
  </si>
  <si>
    <t>ООО "Олимп"</t>
  </si>
  <si>
    <t>Торговый магазин_Тверская область, Конаковский район, пгт. Новозавидовский, ул. Транспортная (земельный участок с кадастровым номером 69:15:220121:0024:1/1926/16:1000/А)_ в ОРЗТП с 12.10.2012</t>
  </si>
  <si>
    <t>Угольников Петр Анатольевич</t>
  </si>
  <si>
    <t>Жилой дом и хозяйственная пристройка_Тверская область, осташковский район, Сорожское с/п, дер. Твердякино (кад. № 69:24:0000013:3477)_в ОРЗТП с 08.10.2012 г.</t>
  </si>
  <si>
    <t>Жилой дом и хозяйственная пристройка_Тверская область, осташковский район, Сорожское с/п, дер. Твердякино (кад. № 69:24:0000013:3476)_в ОРЗТП с 08.10.2012 г.</t>
  </si>
  <si>
    <t>Мансуров Омар Надырович</t>
  </si>
  <si>
    <t>Жилой дом_Тверская область, Конаковский район, Завидовское с/п, район с. Завидово, ул. Ленинградская, район д. 76 (земельный участок с кадастровым номером 69:15:0210101:1560)_в ОРЗТП с 12.10.2012</t>
  </si>
  <si>
    <t>Федеральное унитарное предприятие "Космическая связь" - филиал Центр космической связи "Дубна"</t>
  </si>
  <si>
    <t>ЛЭП-10 кВ и ТП 10/0,4 кВ 1000 кВА для обеспечения резервного питания ТП ЦКС "Дубна"_Московская область, г. Дубна, ул. Александровка, д. 43_в ОРЗТП с 12.10.2012 г.</t>
  </si>
  <si>
    <t>ЛЭП-0,4 кВ для электроснабжения автозаправочного комплекса_Тверская область, Калининский район, Никулинское с/п, дер. Кривцово, земельный участок с кадастровым номером 69:10:0000024:1763_ТУ в ОРЗТП с 08.10.2012</t>
  </si>
  <si>
    <t>ТП-6/0,4 кВ №106_г. Тверь, ул. Паши Савельевой, д. 41_в ОРЗТП с 13.09.2012</t>
  </si>
  <si>
    <t>"Строительство, содержание, ремонт, капитальный ремонт и эксплуатация на платной основе скоростной автодороги Москва - Санкт - Петербург на участке км 258 - км 334 (обход В.Волочка"_Торжокскй район, Будовское с/п, в границах колхоза "Родина"_в ОРЗТП с 08.10.2012</t>
  </si>
  <si>
    <t>Администрация Андреапольского района Тверской области</t>
  </si>
  <si>
    <t>Вводные устройства 25-ти индивидуальных жилых домов и уличное освещение_Тверская область, Андреапольский район, г. Андреаполь (земельный участок с кадастровым номером 69:01:0070115:79)_в ОРЗТП с 08.10.2012</t>
  </si>
  <si>
    <t>закрыт</t>
  </si>
  <si>
    <t>Тверская обл., Лихославльский р-н, Сосновицкое с/п, д. Михайлова Гора_в ОРЗТП с 28.11.2012</t>
  </si>
  <si>
    <t>Смирнова Юлия Валерьевна</t>
  </si>
  <si>
    <t>ЛЭП-0,4 кВ для электроснабжения жилого дома_Почтовый алдрес ориентира: Тверская область, Оленинский район, Глазовское с/п, дер. Глазки, ул. Центральная, д. 37 (земельный участок с кадастровым номером 69:23:0180501:11)_в ОРЗТП с 28.11.2012.</t>
  </si>
  <si>
    <t>МБОУ ДОД ДЮСШ "Тверь"</t>
  </si>
  <si>
    <t>ЛЭП-0,4 кВ для электроснабжения спорткомплекса, расположенного по адресу: Тверская область, г. Тверь, ул. П. Савельевой, д. 51, корп. 1_в ОРЗТП с 28.11.2012.</t>
  </si>
  <si>
    <t>ООО "Старица Авиа"</t>
  </si>
  <si>
    <t>ЛЭП-0,4 кВ для электроснабжения аэродрома_почтовый адрес ориентира: Тверская область, Старицкий район, НовоЯмское с/п, вблизи д. Ново-Ямская (земельный участок с кадастровым номером 69:32:0000022:258)_в ОРЗТП с 01.11.2012 г.</t>
  </si>
  <si>
    <t>ООО "Универсал"</t>
  </si>
  <si>
    <t>ЛЭП-0,4 кВ для электроснабжения торгового центра_Почтовы адрес ориентира: Тверская область,ж Старицкий район, Ново-Ямское с/п, дер. Луговая, д. 33 (земельный участок с кадастровым номером 69:32:0221602:338)_в ОРЗТП  с 23.10.2012</t>
  </si>
  <si>
    <t>Магеррамов Агалар Магеррам оглы</t>
  </si>
  <si>
    <t>ТП-10/0,4 кВ - 63 кВА для электроснабжения коровника_Тверская область, Калининский район, Бурашевское с/п, дер. Измайлово (земельный участок с кадастровым номером 69:10: 00 00 030:0138:5-1676:1000/А)_в ОРЗТП с 14.11.2012</t>
  </si>
  <si>
    <t>Бондаренко Инорь Сергеевич</t>
  </si>
  <si>
    <t>ВЛ-6 кВ и ТП-6/0,4 кВ для электроснабжения жилого дома_Тверская область, Калининский район, Никулинское с/п, дер. Прудище (земельный участок с кадастровым номером 69:10:0240101:0197)_в ОРЗТП с 14.11.2012</t>
  </si>
  <si>
    <t>КЛ-6 кВ и ТП-6/0,4 кВ для электроснабжения объектов_г. Тверь, Петербурское шоссе, д. 3_в ОРЗТП с 07.11.2012</t>
  </si>
  <si>
    <t>"Многоквартирные жилые дома со встроенными помещениями общественного назначения по улице Псковской в г. Твери"_Тверская область, г. Тверь_в ОРЗТП с 01.11.2012</t>
  </si>
  <si>
    <t>ООО "Домовой"</t>
  </si>
  <si>
    <t>Вводное устройство магазина_Тверская область, г. Торжок, ул. Дзержинского, д. 37</t>
  </si>
  <si>
    <t>ЗАО "ДИКСИ Юг"</t>
  </si>
  <si>
    <t>Существующая ЛЭП-0,4 кВ для электроснабжения здания магазина_Тверская область, г. Торжок, ул. Пролетарская, д. 2_в ОРЗТП с 01.11.2012</t>
  </si>
  <si>
    <t>ООО "Союз"</t>
  </si>
  <si>
    <t>ТП-10/0,4 кВ для электроснабжения торгово-гостинничного комплекса_Тверская область, г. Тверь, ш. Московское (земельный участок с кадастровым номером 69:40:0200063:32)_в ОРЗТП с 01.11.2012</t>
  </si>
  <si>
    <t>Барков Анатолий Александрович</t>
  </si>
  <si>
    <t>ЛЭП-10 кВ и ТП-10/0,4 кВ для электроснабжения жилого дома_Тверская область, Конаковский район, Дмитровогорский с/о, дер. Малое Новоселье, ул. Лесная, д. 5 (земельный участок с кадастровым номером 69:15:11:08:03:0020:0:0)_в ОРЗТП с 01.11.2012 г.</t>
  </si>
  <si>
    <t>40629249
(договор заключен 26.10.2012)</t>
  </si>
  <si>
    <t>ДНП "Светлый путь"</t>
  </si>
  <si>
    <t>40618821,
(договор заключен 31.10.2012)</t>
  </si>
  <si>
    <t>40648780
(договор заключен 06.11.2012)</t>
  </si>
  <si>
    <t>40594153
(договор заключен 12.11.2012)</t>
  </si>
  <si>
    <t>40657532
(договор заключен 19.11.2012)</t>
  </si>
  <si>
    <t>40657776
(договор заключен 22.11.2012)</t>
  </si>
  <si>
    <t>40653741
(договор заключен 27.11.2012)</t>
  </si>
  <si>
    <t>ПС  35/6 кВ Даниловская</t>
  </si>
  <si>
    <t>ГБУ"Михайловский специальный дом-интернат для престарелых и инвалидов"</t>
  </si>
  <si>
    <t>Вводное устройство здания прачки по 0,4 кВ_Тверская область, Торопецкий район, с. Михайловское_в ОРЗТП с 24.12.12</t>
  </si>
  <si>
    <t>Вводное устройство здания кухни по 0,4 кВ_Тверская область, Торопецкий район, с. Михайловское_в ОРЗТП с 24.12.13</t>
  </si>
  <si>
    <t>Администрация муниципального образования Лесного района Тверской области</t>
  </si>
  <si>
    <t>ЛЭП-0,4 кВ для электроснабжения здания котельной_Тверская область, Лесной раон, с. Лесное, ул. Дзержинского_в ОРЗТП с 19.12.12</t>
  </si>
  <si>
    <t>ОАО "Мостотрест"</t>
  </si>
  <si>
    <t>ООО "Мостотрест"</t>
  </si>
  <si>
    <t>ООО "Интернет Логистика"</t>
  </si>
  <si>
    <t>Линейная ячейка 10 кВ проектируемого РП-10 кВ, запитанного от вновь установленной линейной ячейки 10 кВ в РУ-10 кВ 3 секции шин 10 кВ ПС 110/35/10 кВ Южная и от ВЛ-10 кВ фид. 31 ПС 110/35/10 кВ Южная_Тверская область, Калининский район, Бурашевское с/п, в районе дер. Садыково, д. 1 "А"_в ОРЗТП с 17.12.12</t>
  </si>
  <si>
    <t>ГК "Завидово" Федеральной службы охраны РФ</t>
  </si>
  <si>
    <t>Две ЛЭП-10 кВ, РП-10 кВ № 2 и ТП-10/0.4 кВ № 403_Тверская область, Конаковский район, п. Козлово_в ОРЗТП с 12.12.12</t>
  </si>
  <si>
    <t>ВЛ-10 кВ  и ТП-10/0,4 кВ для электроснабжения строительных механизмов на стрительной площадке, расположенной на земельом участке общей площадью 49032 кв.м._Тверская область, Калининский район, Бурашевское с/п, дер. Неготино (земельный участок с кадстровам номером 69:10:0000025:616)_в ОРЗТП с 05.12.12</t>
  </si>
  <si>
    <t>ООО "Акведук"</t>
  </si>
  <si>
    <t>Существующая ВЛ-6 кВ и ТП-6/0.4 кВ - 180 кВА для электроснабжения производственной базы_Тверская область, Калининский район, Черногубовское с/п, дер. Дубровки, д. 45_в ОРЗТП с 27.12.12</t>
  </si>
  <si>
    <t>ООО "АгроПекинг"</t>
  </si>
  <si>
    <t>ТП-6/0,4 кВ - 2х1000 кВА для  электроснабжения объекта "Пищевое предприятие по производству фруктовых и офощных пюре, конценратов и напитков"_Тверская область, Конаковский район, Городенское с/п, дер. Кошелево, д. 7 (земельный участок с кадастровым номером 69:15:0130902:35)_в ОРЗТП с 27.12.12</t>
  </si>
  <si>
    <t>Инбер Екатерина Израилевна</t>
  </si>
  <si>
    <t>ЛЭП-0,4 кВ для электроснабжения жилого дома_Тверская область, Калининский район, Каблуковское с/п, дер. Орша_в ОРЗТП с 27.12.12</t>
  </si>
  <si>
    <t>Вводное устройство торгово-складского комплекса_адрес ориентира Тверская область, Калининский район, Никулинское с/п, район дер. Кривцово (земельный участок с кадастровым номером 69:10:0000024:2430)_в ОРЗТП с 27.12.12</t>
  </si>
  <si>
    <t>Вводное устройство 3-х этажного 33-квартирного жилого дома_Тверская область, Калининкий район, Черногубовское с/п, пос. Черогубово_в ОРЗТП с 28.11.12</t>
  </si>
  <si>
    <t>ВЛ-10 кВ и ТП-10/0,4 кВ-100 кВА для электронабжения линия наружного освещения на участке автомобильной дороги М-10 "Россия" км 218+390 - км 230+000_в ОРЗТП с 17.12.12</t>
  </si>
  <si>
    <t>ООО "Паулиг Рус"</t>
  </si>
  <si>
    <t>ЛЭП-10 кВ и ТП-10/0,4 кВ - 630 кВА для электроснабжения кофеобжарочного завода_Тверская область, Калининский район, Бурашевское с/п, торгово-промышленная зона Боровлево - 2. № 2 (земельный участок с кадастровым номером 69:10:0000025:642:79)_в ОРЗТП с 05.12.12</t>
  </si>
  <si>
    <t>ООО "ГРАНД МАРИН ЗАВИДОВО"</t>
  </si>
  <si>
    <t>ЛЭП-0,4 кВ для электроснабжения строительной бытовки_Тверская область, Конаковский район, Мокшинское с/п, дер. Безбородово (земельный участок с кадастровым номером 69:15:0190302:97)_в ОРЗТП с 28.11.12ъ</t>
  </si>
  <si>
    <t>40647388
(договор заключен 07.12.12)</t>
  </si>
  <si>
    <t>40676772
(договор заключен 12.12.12)</t>
  </si>
  <si>
    <t>40620978
(договор заключен 13.12.2012)</t>
  </si>
  <si>
    <t>40639104
(договор заключен 20.12.12)</t>
  </si>
  <si>
    <t>40632634
(договор заключен 24.12.2012)</t>
  </si>
  <si>
    <t>Ошиновка Т-1,2, шины</t>
  </si>
  <si>
    <t>счетчик</t>
  </si>
  <si>
    <t xml:space="preserve"> -</t>
  </si>
  <si>
    <t>прибора нет</t>
  </si>
  <si>
    <t>40177092
(договор был заключен 04.08.2010)</t>
  </si>
  <si>
    <t>Суммарная мощность ТУ до 15 кВт, находящихся на исполнении</t>
  </si>
  <si>
    <t>Суммарная можность ТУ до 15 кВт. находящихся на исполнении</t>
  </si>
  <si>
    <t>Суммарная мощность ТУ до 15 кВ, находящихся на исполнении</t>
  </si>
  <si>
    <t>Суммарная мощность ТУ до 15 кВт, находящихся на рассмотрении</t>
  </si>
  <si>
    <t>2013 г.</t>
  </si>
  <si>
    <t>Симбирцева Евгения Валентиновна</t>
  </si>
  <si>
    <t>КТП-10/0,4 кВ для электроснабжения  жилого дома_Тверская область, Зубцовский район, Столининское с/п, дер. Колчеватики, д. 6 (земельный участок с кадастровым номером 69:09:0110301:0040)_ТУ в ОРЗТП с 29.01.2013 г.</t>
  </si>
  <si>
    <t>ЛЭП-0,4 кВ для электроснабжения коттеджного поселка_Тверская область, Калининский район, Никулинское с/п, дер. Кривцово (земельный участок с кадастровым номером 69:10:0241301:470)_в ОРЗТП с 01.2013</t>
  </si>
  <si>
    <t>ООО "Торг-Импекс"</t>
  </si>
  <si>
    <t>Тверской район гидротехнических сооружений - филиал ФГУП "Канал имени Москвы" (ТРГС - филиал ФГУП "Канал имени Москвы"</t>
  </si>
  <si>
    <t>Существующие ВЛ-10 кВ и КТП-10/0,4 кВ - 25 кВА "Комкино-плотина" для электроснабжения плотины.</t>
  </si>
  <si>
    <t>Филиал ОАО "СО ЕЭС" Тверское РДУ</t>
  </si>
  <si>
    <t>Электроустановки объекта "Скоростная автомобильная дорога Москва-Санкт-Петербург на участке км 58-км 684" ОАО "Мостотрест"_Тверская область, Вышневолоцкий район, на участке км 312_в ОРЗТП с 24.012013</t>
  </si>
  <si>
    <t>ЛЭП-6 кВ и ТП-6/0,4 кВ -630 кВА для электроснабжения жилых домов_Тверская область, Конаковский район, Городенское с/п, дер. Игуменка, д. 1 (земельный участок с кадастровым номером 69:15:0130502:0012)_в ОРЗТП с 14.01.2013</t>
  </si>
  <si>
    <t>Захаров Сергей Валерьевич</t>
  </si>
  <si>
    <t>ЛЭП-0,4 кВ для электроснабжения жилой застройки_Тверская область, Калининский район, Тургиновское с/п, дер. Рязаново (земельный участок с кадастровым номером 69:10:0000033:426)_в ОРЗТП с 14.01.2013 г.</t>
  </si>
  <si>
    <t>Электроустановки объекта "Скоростная авомобильная дорога Москва - Санкт-Петербург на участке км 58-км 684" ОАО "Мостотрест"_Тверская область на участке км 330_в ОРЗТП с 15.01.2013 г.</t>
  </si>
  <si>
    <t>40680415
(договор заключен 24.12.2012)</t>
  </si>
  <si>
    <t>40680401
(договор заключен 24.12.2012)</t>
  </si>
  <si>
    <t>ЛЭП-0,4 кВ для электроснабжения коттеджного поселка_Тверская область, Калининский район, Никулинское с/п, дер. Кривцово (земельный участок с кадастровым номером 69:10:0241301:469)_в ОРЗТП с 01.2013</t>
  </si>
  <si>
    <t>ООО "МСК №1"</t>
  </si>
  <si>
    <t>Две укомплектованные линейные ячейки 10 кВ вновь ссоружаемого РТП-10 кВ. запитанного от вновь установленных линейных ячеек 10 кВ на 1 и 2 секции шин 10 кВ ПС 110 кВ Южная_Тверская область, г. Тверь, м-н Мамулино-2 в границах улиц Оснабрюкская, Складская, Степана Горобца (земельный участок с кадастровым номером 69:40:0300015:55)_в ОРЗТП с 22.02.13</t>
  </si>
  <si>
    <t>Острая Зоя Евгеньевна</t>
  </si>
  <si>
    <t>ВЛ-10 кВ и ТП-10/0,4 кВ для электроснабжения хоз.постройки_Тверская область, Калининский район, Никулинское с/п, дер. Брусилово (земельный участок с кадастровым номером 69:10:0241201:136)_в ОРЗТП с 20.02.13</t>
  </si>
  <si>
    <t>ООО "Манан"</t>
  </si>
  <si>
    <t>Вводное устройство молочного завода_Тверская область, Бежецкий район, Городищенское с/п, дер. Городищи, ул. Центральная, д. 8_в ОРЗТП с 12.02.2013</t>
  </si>
  <si>
    <t>ООО "Спектор-И"</t>
  </si>
  <si>
    <t>ЛЭП-0,4 кВ для электроснабжения 112-квартирного жилого дома_Тверская область, Конаковский район, городское поселение п. Радченко, пгт. Радченко, д. 76 (земельный участок с кадастровым номером 69:15:0000017:193)_в ОРЗТП с 25.02.13</t>
  </si>
  <si>
    <t>ООО НПО "Мобильные клиники"</t>
  </si>
  <si>
    <t>Муниципальное образование "Никулинское сельское поселение Калинского района Тверской области"</t>
  </si>
  <si>
    <t>Вводное устройство котельной_Тверская область, Калининский район, д. Никулино, ул. Школьная, д. 2_в ОРЗТП с 17.09.2012</t>
  </si>
  <si>
    <t>Вводное устройство здания детского сада на 135 мест в г. Торжке_адрес ориентира: Тверская область, Торжокский район, г. Торжок, Калиниское шоссе, 18-д_в ОРЗТП с 30.01.2013</t>
  </si>
  <si>
    <t>!1 категория! ЛЭП-0,4 кВ для электроснабжения телевизионной башни цифрового радиовещания_Тверскяа область, Калининский район, дер. Андрианово_в ОРЗТП с 02.13</t>
  </si>
  <si>
    <t>Электроснабжение объекта "Складской комплекс для хранения картофеля и овощей"_Тверская область, Спировский район, Ориентир дер. Малое Козлово_участок находится примерно в 460 м от ориентира по направлению на юго восток. Почтовый адрес ориентира: Тверская область, Спировский район, Козловское с/п, дер. Малое Козлово (земельный участок с кадстровым номером 69:31:0000010:318_в ОРЗТП с 12.02.2013 г.</t>
  </si>
  <si>
    <t>ЛЭП-10 кВ, РТП-10/0,4 кВ - 2х100 кВА №89 и шесть БКТП-10/0,4 кВ - 2х100 кВА (БКТП-10/0,4 кВ №87, БКТП-10/0,4 кВ №88, БКТП-10/0,4 кВ № 90, БКТП-10/0,4 кВ № 91, БКТП-10/0.4 кВ № 92, БКТП-10/0,4 кВ № 93) для электроснабжения объекта "Скоростная автомобильная дорога Москва-Санкт-Петербург на участке км 58 - км 684"_Тверская область, Спировский район, на участке км 273_в ОРЗТП с 01.03.13</t>
  </si>
  <si>
    <t>ЛЭП-10 кВ, РТП-10/0.4 кВ - 2х100 кВА № 97 и шесть БКТП-10/0,4 кВ - 2х100 кВА (БКТП-10/0,4 кВ № 94, БКТП-10/0,4 кВ № 95, БКТП -10/0,4 кВ № 96,  БКТП-10/0,4 кВ № 98, БКТП № 99, БКТП № 100) для электроснабжения объекта "Скоростная автомобильная дорога Москва-Санкт-Петербург на участке км 58-км 684"_Тверская область, Вышневолоцкий район, на участке км 58 - км 684"_в ОРЗТП 01.03.13</t>
  </si>
  <si>
    <t>ООО "Снайп"</t>
  </si>
  <si>
    <t>Существующая ЛЭП-0,4 кВ для электроснабжения кумысной фермы_Тверская область, Кашинский район, Верхнетроицкое с/п, дер. Слободка, дом б/н (Кумысный цех) (земельный участок с кадастровым номером 69:12:0000022:0:1)_в ОРЗТП  с 01.03.13</t>
  </si>
  <si>
    <t>Фонд энергоэффективности и новых коммунальных технологий</t>
  </si>
  <si>
    <t>ЛЭП-0,4 кВ для электроснабжения объекта "Бизнес - Центр "Энергопарк"_Тверская область, Конаковский район, Мокшинское с/п, дер. Мокшино (земельный участок с кадастровым номером 69:15:0000019:0135)_в ОРЗТП с 01.03.13</t>
  </si>
  <si>
    <t>ЛЭП-6 кВ и ТП-6/0,4 кВ-63 кВА для электроснабжения мех.мастерских_Тверская область, Фировский район, Великооктябрьское с/п, в район дер. Кузнецово (земельный участок с кадастровым номером 69:36:0000016:735)_в ОРЗТП с 01.03.13</t>
  </si>
  <si>
    <t>Крестьянское фермерское хозяйство "Созь" (КФХ "Созь")</t>
  </si>
  <si>
    <t>ЛЭП-0,4 кВ для электроснабжения крестьянского фермерского хозяйства_Адрес ориентира: Тверская область, Конаковский район, Первомайское с/о, дер. Мыслятино (земельный участок с кадастровым номером 69:15:0000008:0221)_в ОРЗТП с 01.03.13</t>
  </si>
  <si>
    <t>ЛЭП-0,4 кВ для электроснабжения здания котельной_Тверская область, Калининский район, Михайловское с/п, с. Михайловское (земельный участок с кадастровым номером 69:10:0121:01:0:16)_в ОРЗТП с 01.03.13</t>
  </si>
  <si>
    <t>Две ЛЭП-6 кВ и распределительная сеть 6-0,4 кВ_Тверская область, Конаковский район р-н, п. Редкино_в ОРЗТП с 01.03.13</t>
  </si>
  <si>
    <t>Две существующие ЛЭП-10 кВ для электроснабжения объекта "Столовая, поле для игры в мини-футбол с трибунами по адресу: г. Тверь, пер. 1-й пос. Элеватор, д. 6"_в ОРЗТП с 01.03.13</t>
  </si>
  <si>
    <t>2013 г</t>
  </si>
  <si>
    <t>40654432
(договор заключен 01.02.2013)</t>
  </si>
  <si>
    <t>40686022
(договор заключен 05.02.13)</t>
  </si>
  <si>
    <t>40663206
(договор заключен 06.02.13)</t>
  </si>
  <si>
    <t>40657159
(договор заключен 11.02.13)</t>
  </si>
  <si>
    <t>40662647
(договор заключен  19.02.2013)</t>
  </si>
  <si>
    <t>40692474
(договор заключен 19.02.2012)</t>
  </si>
  <si>
    <t xml:space="preserve">             </t>
  </si>
  <si>
    <t>СНТ "50 лет Октября"</t>
  </si>
  <si>
    <t>ЛЭП-6 кВ и ТП-6/0,4 кВ для электноснабжнения СНТ_Тверская область, Конаковский район, пгт Редкино_в ОРЗТП с 27.03.13 г.</t>
  </si>
  <si>
    <t>МУ "Никулинское сельское поселение Калининское района Тверской области"</t>
  </si>
  <si>
    <t>Вводное устройство газовой котельной_Тверская область, Калининский район, д. Никулино, ул. Школьная, д. 2_в ОРЗТП с 21.03.2013 г.</t>
  </si>
  <si>
    <t>ЗАО "ИКС 5 Недвижимость"</t>
  </si>
  <si>
    <t>Черепнова Татьяна Степановна</t>
  </si>
  <si>
    <t>ЛЭП-0,4 кВ для электроснабжения здания котельной_Тверская область, г. Торжок, Калининское шоссе, д. 14 (земельный участок с кадастровым номером 69:47:17:02:02:0007:569:1000/А)_в ОРЗТП с 27.03.13</t>
  </si>
  <si>
    <t>вводное устройство физкультурно-оздоровительного комплекса_Конаковский район, с . Дмитрова Гора. (земельный участок с кадастровым номером 69:15:0110101:593)_в ОРЗТП с 28.03.13</t>
  </si>
  <si>
    <t>Тонких Евгений Александрович</t>
  </si>
  <si>
    <t>ВЛ-10 кВ и ТП-10/0,4 кВ для электроснабжения производственной базы_Тверская область, Калининский район, Никулинское с/п, район дер. Кривцово (земельный участок с кадастровым номером 69:10:0000024:2868)_в ОРЗТП с 25.03.13</t>
  </si>
  <si>
    <t>Вологин Валентин Васильевич</t>
  </si>
  <si>
    <t>Вводное устройство овчарни_Почтовый адрес ориентира: Тверская область, Рамешковский район, с/п Ильгоши, село Волосково (земельный участок с кадастровым номером 69:26:0000017:77)_в ОРЗТП с 25.03.13</t>
  </si>
  <si>
    <t>ЛЭП-0,4 кВ для элктроснабжения предприятия розничной торговли_Почтовый адрес ориентира: Тверская область, Максатихинский район, пгт. Максатиха, ул. Спортивная (земельный участок с кадастровым номером 69:20:0070123:71)</t>
  </si>
  <si>
    <t>Администрация городского поселения - поселок Молоково Молоковксого района Тверской области</t>
  </si>
  <si>
    <t>Калашников Никита Сергеевич</t>
  </si>
  <si>
    <t>КТП-10/0,4 кВ - 63 кВА для электроснабжения жилого дома_Тверская область, Торопецкий район, Василевское с/п, дер. Ново-Троицкое, ул. Сосновая, д. 30 (земельный участок с кадастровым номером 69:34:0192601:0:30)_в ОРЗТП с 21.03.13</t>
  </si>
  <si>
    <t>ЗАО "Управление перспективных технологий"</t>
  </si>
  <si>
    <t>Существующие ВЛ-10 кВ и ТП-10/0,4 кВ - 25 кВА для электроснабжения вспомогательного сооружения по обслуживанию волоконно-оптической системы передачи_Тверская область, Кимрский район, Титовское с/п, дер. Замятино_в ОРЗТП с 15.03.13</t>
  </si>
  <si>
    <t>Темрюков Олег Вячеславович</t>
  </si>
  <si>
    <t>ВЛ-10 кВ и ТП-10/0,4 кВ для электроснабжения торгово-производственного помещения_Почтовый адрес ориентира: Тверская область, Калининский район, Никулинское с/п, дер. Кривцово (земельный участок с каджастровым номером 69:10:0000024:1761/31)</t>
  </si>
  <si>
    <t>Существующая ЛЭП-0,4 кВ для электроснабжения СНТ_Тверская область, Кимрский район, п. Центральный_в ОРЗТП с 15.03.2013</t>
  </si>
  <si>
    <t>Малов Иван Евгеньевич</t>
  </si>
  <si>
    <t>Вводное устройство цеха по производству  строительных материалов_Тверская область, Калининский район, Бурашевское с/п, дер. Березино (земельный участок с кадастровым номером 69:10:0300601:205)_в ОРЗТП с 13.03.13</t>
  </si>
  <si>
    <t>Телевизионная башня цифрового вещания_Тверская область, Оленинский район, городское поселение пос. Оленино, пгт. Оленино, ул. Сельхозхимии_в ОРЗТП с 12.03.13</t>
  </si>
  <si>
    <t>СНТ "Наш сад"</t>
  </si>
  <si>
    <t>ЛЭП-0,4 кВ для электроснабжения жилых домов_Тверская область, Калининский район, Эмаусское с/п, в районе дер. Горохово (земельный участок с кадастровым номером 69:10:00 00 26: 0274)_в ОРЗТП с 05.03.2013 г.</t>
  </si>
  <si>
    <t>ООО "Михайлово"</t>
  </si>
  <si>
    <t>ЛЭП-10 кВ и ТП-10/0,4 кВ для электроснабжения здания коровника_почтовый адрес ориентира Тверская область, Удомельский район, Порожкинское с/п, дер. Михайлово (земельный участок с кадастровым номером 69:35:0000016:679)_в ОРЗТП с 15.03.2013</t>
  </si>
  <si>
    <t>ГБУ Тверской области "ФОК имени Султана Ахмерова"</t>
  </si>
  <si>
    <t>ЛЭП-0,4 кВ для электроснабжения плавательного бассейна_Тверская область, г. Тверь, ул. Индустриальная, д.11 (земельный участок с кадастровым номером 69:40:0200008:20)_в ОРЗТП с 27.03.13</t>
  </si>
  <si>
    <t>Чумаков Александр Владимирович</t>
  </si>
  <si>
    <t>40694120
(договор заключен 26.02.2013)</t>
  </si>
  <si>
    <t xml:space="preserve">2013 г. </t>
  </si>
  <si>
    <t>40700970
(договор заключен 15.03.2013)</t>
  </si>
  <si>
    <t>40690548
(договор заключен 15.03.2013)</t>
  </si>
  <si>
    <t>40660000
(договор заключен 19.03.2013)</t>
  </si>
  <si>
    <t>40692152
(договор заключен 19.03.2013)</t>
  </si>
  <si>
    <t>40705096
(договор заключен 27.03.2013)</t>
  </si>
  <si>
    <t>40712396
(договор заключен 28.03.2013)</t>
  </si>
  <si>
    <t>40712463
(договор заключен 29.03.2013)</t>
  </si>
  <si>
    <t>40697908
(договор заключен 01.04.2013)</t>
  </si>
  <si>
    <t>40702193
(договор заключен 05.04.2013)</t>
  </si>
  <si>
    <t>40687061
(договор заключен 12.04.2013)</t>
  </si>
  <si>
    <t>40715255
(договор заключен 18.04.2013)</t>
  </si>
  <si>
    <t>40662146
(договор заключен 22.04.2013)</t>
  </si>
  <si>
    <t>40709332
(договор заключен 23.04.2013)</t>
  </si>
  <si>
    <t>40700976
(договор заключен 23.04.2013)</t>
  </si>
  <si>
    <t>40713304
(договор договор 06.05.2013)</t>
  </si>
  <si>
    <t>ЗАО "РН - Тверь"</t>
  </si>
  <si>
    <t>ЛЭП-10 кВ и ТП-10/0,4 кВ для электноснабжения автозаправочного комплекса № 5_Тверская область, Конаковский район, Мокшинское с/о, дер. Демидово (земельный участок с кадастровым номером 69:15:0190502:42)_в ОРЗТП с 17.04.13</t>
  </si>
  <si>
    <t>ЗАО "Гарант - Холдинг"</t>
  </si>
  <si>
    <t>ЛЭП-0,4 кВ для электроснабжения производственного цеха_Тверская область, Конаковский район, дер. Мокшино_в ОРЗТП с 08.04.2013</t>
  </si>
  <si>
    <t>ООО "Виктория"</t>
  </si>
  <si>
    <t>ЛДЭП-0,4 кВ для электроснабжэения ТЦ "Березовая роща"_Тверская область, Бологовский район, пос. Выползово, ул. Березовая роща, д. 10_в ОРЗТП с 02.04.2013 г.</t>
  </si>
  <si>
    <t>ООО "Вериус Сервис"</t>
  </si>
  <si>
    <t>ВЛ-10 кВ и ТП-10/0,4 кВ для электроснабжения промышленно-логистического комплекса_Тверская область, Калининский район, Бурашевское с/п, дер. Садыково (земельный участок с кадастровым номером 69:10:0000025:1069)_в ОРЗТП с 08.04.2013</t>
  </si>
  <si>
    <t>Довганюк Владимир Федорович</t>
  </si>
  <si>
    <t>Вводное устройство жилого дома_Тверская область, Калязинский район, Алферовское с/п, СНТ "Звезда", вблизи д. Носово (земельный участок с кадастровым номером 69:11:0000010:328)_в ОРЗТП с 02.04.2013</t>
  </si>
  <si>
    <t>ООО "Орбиталь"</t>
  </si>
  <si>
    <t>ЛЭП-10 кВ и ТП-10/0,4 кВ для электроснабжения жилой застройки_Тверская область, Калининский район, Никулинское с/п, дер. Кривцово, дер. Кривцово (земельный участок с кадастровым номером 69:10:0241301:470)_ в ОРЗТП с 02.04.2013 г.</t>
  </si>
  <si>
    <t>Плотников Вячеслав Леонидович</t>
  </si>
  <si>
    <t>ТП-6/0,4 кВ для электроснабжения придорожного комплекса_Тверская область, Калининский район, Заволжское с/п, пос. Заволжский (земельный участок с кадастровым номером 69:10:21:10:01:0241)_в ОРЗТП с 02.04.2013 г.</t>
  </si>
  <si>
    <t>Бруяк Ирина Николаевна</t>
  </si>
  <si>
    <t>ЛЭП-0,4 кВ для электроснабжения нежилого здания_Тверская область, г. Торжок, ул. Торговые ряды, д. 4 (земельный участок с кадастровым номером 69:47:0130206:1:10)_в ОРЗТП с 02.04.2013 г.</t>
  </si>
  <si>
    <t>Хромов Олег Николаевич</t>
  </si>
  <si>
    <t>Вводное устройство загородного дома_Тверская область, Калинининский район, Кулицкое с/п, ПСК "Надежда", в районе дер. Протасово, уч. 78 (земельный участок с кадастровым номером 69:10:0105501:109)_в ОРЗТП с 02.04.2013 г.</t>
  </si>
  <si>
    <t>Электроустановки ОАО "Ритм" ТПТА_ г. Тверь, пр-т 50 лет Октября, д. 45_в ОРЗТП с 04.04.13 г.</t>
  </si>
  <si>
    <t>ООО "ТверьЖилДорСтрой"</t>
  </si>
  <si>
    <t>Существующие КЛ-10 кВ и ТП-10/0,4 кВ - 160 кВА "Пептек" для электроснабжения жилого дома_Тверская область, г. Тверь, ул. Кольцевая, д. 81_в ОРЗТП с 25.04.2013 г.</t>
  </si>
  <si>
    <t>Существующие КЛ-10 кВ , ВЛ-10 кВ и ТП-10/0,4 кВ - 2х630 кВА "Новое строительство" для электроснабжения жилой застройки_Тверская область, г. Тверь, ул. Голландская_в ОРЗТП с 25.04.2013 г.</t>
  </si>
  <si>
    <t>Викентьев Дмитрий Наумович</t>
  </si>
  <si>
    <t>ВЛ-10 кВ и ТП-10/0,4 кВ для электроснабжения пяти жилых домов_Тверская область, Вышневолоцкий район, Сорокинское с/п, дер. Камушки, д. 2А, 3 А, 9, 10, 27 (земельные участки с кадастровыми номерами 48, 47,9, 10, 26)_ в ОРЗТП с 25.04.2013 г.</t>
  </si>
  <si>
    <t>СНТ "Елена"</t>
  </si>
  <si>
    <t>ЛЭП-0,4 кВ для электроснабжения СНТ_Тверская область, Калязинский район, Алферовское с.п., СНТ "Елена"_в ОРЗТП с 17.04.2013 г.</t>
  </si>
  <si>
    <t>Евдокимов Максим Дмитриевич</t>
  </si>
  <si>
    <t>ЛЭП-10 кВ и ТП-10/0,4 кВ для электроснабжения фермы _Тверская область, Весьегонский район, Романовское с/п, СПК "Труженик" (земельный участок с кадастровым номером 69:05:0000019:960)_в ОРЗТП с 17.04.2013 г.</t>
  </si>
  <si>
    <t>ОАО строительная фирма "Тверьагрострой"</t>
  </si>
  <si>
    <t>ТП электроустановок_Тверская область, г. Тверь, ул. Спартака, д. 2_в ОРЗТП с 30.04.2013 г.</t>
  </si>
  <si>
    <t>ГБОУДО ОДООЛ "Бригантина"</t>
  </si>
  <si>
    <t>ЛЭП-6 кВ и ЗТП-6/0,4 кВ - 2х400 для электроснабжения Областного детского оздоровительно-образовательного лагеря "Бригантина"_Тверская область, Кимрский район, Приволжское с/п, дер. Малышково, д. 16_ в ОРЗТП с 17.04.2013 г.</t>
  </si>
  <si>
    <t>ООО "Земля Верхневолжья"</t>
  </si>
  <si>
    <t>ВЛ-6 кВ и ТП-6/0,4 кВ - 63 кВА для электроснабжения производзственных помещений_Тверская область, Калининский район, Никулинское с/п, район дер. Даниловское (земельный участок с кадастровым номером 69:10:0000024:2113)_в ОРЗТП с 17.04.2013</t>
  </si>
  <si>
    <t>ЛЭП-6 кВ и ТП 6/0,4 кВ -100 кВ СНТ "Солнечный" для электроснабжения садоводческого некоммерческого товарищества_Тверская область, Конаковский район, Вахонинское с/пос, район дер. Долинки_в ОРЗТП с 17.04.13 г.</t>
  </si>
  <si>
    <t>ТП-10/0,4 кВ для электроснабжения административного здания и офисных помещений_Тверская область, г. Тверь, ул. Спартака, д. 14 и д. 15_в ОРЗТП с 17.04.2013</t>
  </si>
  <si>
    <t>Кожанов Николай Федорович</t>
  </si>
  <si>
    <t>ЛЭП-0,4 кВ для электроснабжения сельскохозяйственного ангара_Тверская область, Кимрский район, Красновское с/п_в ОРЗТП с 17.04.2013 г.</t>
  </si>
  <si>
    <t>Пономарева Иветта Николаевна</t>
  </si>
  <si>
    <t>ЛЭП-10 кВ и ТП-10/0,4 кВ для электроснабжения базы отдыха_Тверская область, Конаковский район, Первомайское с/о, дер. Устье (земельный участок с кадастровым номером 69:15:0000008:120)_в ОРЗТП с 17.04.2013</t>
  </si>
  <si>
    <t>ООО "Лик"</t>
  </si>
  <si>
    <t>Вводное устройство административного здания_Тверская Область, г. Красный Холм, пл. Народная, д. 6(в ОРЗТП с 30.05.2013)</t>
  </si>
  <si>
    <t>Вводное устройство объекта "ГАУ "Многофункциональный центр"_Тверская область, Максатихинский район, пгт. Максатиха, ул. Пролетарская, д. 4 (в ОРЗТП с 30.05.2013)</t>
  </si>
  <si>
    <t>Администрация муниципального образования Верхневолжское сельское поселение Калининского района Тверской области</t>
  </si>
  <si>
    <t>Вводное устройство газовой котельной_Тверская область, Калининский район, Верхневолжское с/п, с. Пушкино (в ОРЗТП с 05.2013)</t>
  </si>
  <si>
    <t>Вводное устройство телебашни цифрового вещания_Тверская область, Зубцовский район, сю Погорелое Городище, ул. Ленина, д. 5 в, земельный участок с кадастровым номером 69:09:0191702:0015_в ОРЗТП с 21.05.2013 г.</t>
  </si>
  <si>
    <t>вводное устройство телебашни цифрового вещания_Тверская область, Жарковский район, пгт. Жарковский, пер. Больничный (земельный участок с кадастровым номером 69:07:0070120:33)_в ОРЗТП с 21.05.2013</t>
  </si>
  <si>
    <t>вводное устройство телебашни цифрового вещания_Тверская область, Старицкий район, Паньсковское с/п, дер. Коньково, земельный участок с кадастровым номером 69:32:0141001:183_в ОРЗТП с 05.2013</t>
  </si>
  <si>
    <t>ООО "Вектор"</t>
  </si>
  <si>
    <t>ПГСК "Ягуар"</t>
  </si>
  <si>
    <t>ВЛ-10 кВ и ТП-10/0,4 кВ для электроснабжения потребительского гаражно-строительного кооператива_в ОРЗТП с 21.05.2013</t>
  </si>
  <si>
    <t>ЛЭП-10 кВ и ТП-10/0,4 кВ - 160 кВ для электроснабжения склада - ангара_Тверская область, г. Тверь, Волокаламское шоссе, д. 82 (земельный участок с кадастровым номером 69:40:0300338:16)_в ОРЗТП с 28.05.2013 г.</t>
  </si>
  <si>
    <t>Насибуллин Руслан Аликович</t>
  </si>
  <si>
    <t>ВЛ-10 кВ и ТП-10/0,4 кВ - 630 кВА для электроснабжения 50 жилых домов_Тверская область, Калининский район, Каблуковское с/п, район, дер. Поддубье_в ОРЗТП с 28.05.13 г.</t>
  </si>
  <si>
    <t>ТП-6/0,4 кВ -100 кВА для электроснабжения жилого дома_почтовый адрес ориентира: Тверская область, Калининский район, Никулинское с/п, район дер. Калиново (земельный участок с кадастровым номером 69:10:0000024:2833)_в ОРЗТП с 28.05.2013</t>
  </si>
  <si>
    <t>Воробьев Игорь Николаевич</t>
  </si>
  <si>
    <t>ВЛ-10 кВ и ТП-10/0,4 кВ для электроснабжения 2-х этажного 27 квартирного жилого дома_Тверская область, Калининский район, Бурашевское с/п, район сел. Бурашево (земльные участки с кадастровыми номерами 69:10:0000028:119 - 69:10:0000028:158)_в ОРЗТП с 28.05.13</t>
  </si>
  <si>
    <t>ЛЭП-0,4 кВ для электроснабжения объекта "Котельная в дер. Кошелево"_в ОРЗТП с 28.05.13 г.</t>
  </si>
  <si>
    <t>МУ "Администрация Городенского сельского поселения" Конаковского района Тверской области</t>
  </si>
  <si>
    <t>ООО "ТверьТехМаш"</t>
  </si>
  <si>
    <t>ВЛ-10 кВ и ТП-10/0,4 кВ-400 кВА для электроснабжения производственного цеха_Тверская область, Калининский район, с. Никольское, территория ОАО "Мотор", земельный участок с кадастровым номером 69:10:0241001:3</t>
  </si>
  <si>
    <t>ТП-10/0,4 кВ - 2х630 кВА "Кольцевая 80-82" для электроснабжения жилого дома №3 с помещениями общественного назначения_Тверская область, г. Тверь, ул. Хрустальная, д. 37 а 
(в ОРЗТП с 30.05.2013)</t>
  </si>
  <si>
    <t>Вводное устройство школьной котельной_Тверская обл., Молоковский район, пос. Молоково, ул. Красноармейская, 26 (земельный участок с кадастровым номером 69:21:0070116:0:13)_в ОРЗТП с 21.05.13</t>
  </si>
  <si>
    <t>Герасименко Ирина Валерьевна</t>
  </si>
  <si>
    <t>ЛЭП-0,4 кВ для электроснабжения жилого дома_Тверская область, Конаковский район, гпп. Новозавидовский, район дер. Лазурная (земельный участок с кадастровым номером 69:15:000024:0290)_в ОРЗТП с 14.05.2013 г.</t>
  </si>
  <si>
    <t>Савельев Александр Викторович</t>
  </si>
  <si>
    <t>Существующая ВЛ-0,4 кВ для электроснабжения нежилого здания_Тверская область, г. Тверь, ул. Луначарского, д. 16 (кадастровый номер 69:40:0100084:489)_в ОРЗТП с 15.05.2013 г.</t>
  </si>
  <si>
    <t>Кича Виталий Васильевич</t>
  </si>
  <si>
    <t>ЛЭП-0,4 кВ для электроснабжения бетонного узла_в ОРЗТП с 15.05.13</t>
  </si>
  <si>
    <t>Горбунов Андрей Александрович</t>
  </si>
  <si>
    <t>ТП-6/0,4 кВ - 100 кВА для электроснабжения нежилого здания_Тверская область, г. Тверь, ул. Паши Савельевой, д. 41 (земельный участок с кадастровым номером 69:40:0100029:37)_в ОРЗТП с 15.05.2013</t>
  </si>
  <si>
    <t>Завод по производству мобильных медицинских комплексов в дер. Итомля сельского поселения Итомля" Ржевского района Тверской области_Почтовый адрес ориентира Тверская область, Ржевский район, с/п "Итомля", земельный участок с кадастровым номером 69:27:0141101:392_в ОРЗТП с 15.05.15</t>
  </si>
  <si>
    <t>ООО "Марилай"</t>
  </si>
  <si>
    <t>40720259
(договор заключен 06.05.2013)</t>
  </si>
  <si>
    <t>40714163
(договор заключен 06.05.2013)</t>
  </si>
  <si>
    <t>40701658
(договор заключен 15.05.2013 г.)</t>
  </si>
  <si>
    <t>40611962
(договор заключен 16.05.2013)</t>
  </si>
  <si>
    <t>Гусева Елена Александровна</t>
  </si>
  <si>
    <t>Сущесттвующая ВЛ-10 кВ и ТП-10/0,4 кВ для электроснабжения многоквартирных домов_Тверская область, Калининский район, Никулинское с/п, дер. Палкино (земельный участок с кадастровым номером 69:10:0000024:1320)_в ОРЗТП с 04.2013</t>
  </si>
  <si>
    <t>40720352
(договор заключен 23.05.2013)</t>
  </si>
  <si>
    <t>40727956
(договор заключен 23.05.2013 г.)</t>
  </si>
  <si>
    <t>40717286
(договор заключен 28.05.2013 г.)</t>
  </si>
  <si>
    <t>Существуюющие две ВЛ-35 кВ и ПС 35/10 кВ Удомля-2_Тверская область, г. Удомля, ул. Тверская, д. 5_в ОРЗТП с 01.07.2013 г.</t>
  </si>
  <si>
    <t>Существуюющие две ВЛ-35 кВ и ПС 35/10 кВ Удомля-2_Тверская область, г. Удомля, ул. Энергетиков, д.2_в ОРЗТП с 01.07.2013 г.</t>
  </si>
  <si>
    <t>Заргарян Алик Валерикович</t>
  </si>
  <si>
    <t>ЛЭП-0,4 кВ для картофелехранилища_почтовый адрес ориентира Твкерская область, Ржевский район, с/п "Победа", дер. Добрая (с кадастровыми номерами 69:27:0000019:0224, 69:27:000019:0224:318:100/А)_в ОРЗТП с 01.07.13</t>
  </si>
  <si>
    <t>Пулькин Игорь Валерьевич</t>
  </si>
  <si>
    <t>Вводное устройство предприятия по призводству пищевой продукции_Тверская область, Калининский район, Бурашевское с/п, дер. Садыково (земельный участок с кадастровым номером 69:10:0000025:653)_в ОРЗТП с 01.07.13 г.</t>
  </si>
  <si>
    <t>СТ "Спринклер"</t>
  </si>
  <si>
    <t>Существующая ЛЭП-0,4 кВ для электроснабжения СТ_Тверская область, Кимрский район, СТ "Спринклер"_в ОРЗТП с 17.06.13 г.</t>
  </si>
  <si>
    <t>Объект "Апартотель"_Тверская область, Конаковский раойн, Мокшинское с/п, район дер. Вараксино (кадастровый номер земельного участка 69:15:0000027:493)_в ОРЗТП с 13.06.2013 г.</t>
  </si>
  <si>
    <t>ДНТ "Солнечная поляна"</t>
  </si>
  <si>
    <t>ЛЭП-10 кВ и ТП-10/0,4 кВ - 630 кВА для электроснабжения дачных домов_почтовый адрес ориентира: Тверская область, Ржевский район, с/п "Шолохово", СПК - колхоз "Свердловский" (земельные участки с кадастровыми номерами 69:27:0000011:416, 69:27:0000011:417, 69:27:0000011:418, 69:27:0000011:419)_в ОРЗТП с 21.05.13</t>
  </si>
  <si>
    <t>КЛ-6 кВ и ТП-6/0,4 кВ для электроснабжения производственного комплекса_Тверская область, г. Вышний Волочек, ул. Желябова, д.7_в ОРЗТП с 16.05.2013 г.</t>
  </si>
  <si>
    <t>ООО "Олдвуд Девелопмент"</t>
  </si>
  <si>
    <t>Технологическое присоединение электроустановок_Тверская область, гпг. Конаково, г. Конаково, ул. Белавинская, д. 61-а (земельный участок с кадастровым номером 69:43:070322:0021)_в ОРЗТП с 18.06.13</t>
  </si>
  <si>
    <t>Существующие ВЛ-10 кВ и ТП-10/0,4 кВ -100 кВА "Телевышка" для электроснабжения антенно-мачтового сооружения (АМС) телевизионной башни цифрового радиовещания_почтовый адрес ориентира Тверская область, Удомельский район, Молдинское с/п, дер. Поддубье,д. 5, земельный участок с кадастровым номером 69:35:0000018:234)_в ОРЗТП с 01.07.13</t>
  </si>
  <si>
    <t>Быков Андрей Анатольевич</t>
  </si>
  <si>
    <t>ВЛ-10 кВ и ТП-10/0,4 кВ - 630 кВА для электроснабжения складского комплекса_Тверская область, Калининский район, Никулинское с/п, дер. Кривцово (земельный участок с кадастровым номером 69:10:0000024:2943)_в ОРЗТП С 26.06.13 г.</t>
  </si>
  <si>
    <t>ФГБУ "ОК "Тетьково"</t>
  </si>
  <si>
    <t>ЛЭП-0,4 кВ для электроснабжения спального корпуса на 16 номеров_Тверская область, Кашинский район, Верхнетроицкое с/п (земельный участок с кадастровым номером 69:12:00:00:22:0179)_в ОРЗТП с 01.07.13 г.</t>
  </si>
  <si>
    <t>ТП-10/0,4 кВ-2х400 кВА для электроснабжения физкультурно-оздоровительного комплекса_Тверская область, Кашинский район, Верхнетроицкое с/п (земельный участок с кадастровым номером 69:12:00:00:22:0179)_в ОРЗТП с 26.06.13 г.</t>
  </si>
  <si>
    <t>Мальгина Юлия Игоревна</t>
  </si>
  <si>
    <t>ЛЭП-10 кВ и ТП-10/0,4 кВ для электроснабжения спортивного комплекса_Тверская область, Весьегонский район, Ивановское с/п, дер. Бараново (земельный участок с кадастровым номером 69:05:100102:008)_в ОРЗТП с 26.06.2013 г.</t>
  </si>
  <si>
    <t>ВЛ-6 кВ и ТП-6/0,4 кВ для электроснабжения цеха по производству мебели_г. Тверь, ул. Паши Савельевой, д. 55 (кадастровые номера 69:40:01:00:007:0016:1/019164/37:10001/И-1, 69:40:01:00:007:0016:1/019164/37:10002/И-1)_в ОРЗТП с 26.06.2013</t>
  </si>
  <si>
    <t>ООО "КЗТО "РАДИАТОР"</t>
  </si>
  <si>
    <t>ЛЭП-10 кВ и ЗТП-10/0,4 кВ - 2х1600 кВА для электроснабжения производственного предприятия_Тверская область, г. Кимры, ул. Орджоникидзе, д. 83 а (земельный участок с кадастровым номером 69:42:070730:0140)_в ОРЗТП с 26.06.13</t>
  </si>
  <si>
    <t>ООО "Инвест-Проект"</t>
  </si>
  <si>
    <t>ЛЭП-6 кВ и ТП-6/0,4 кВ - 160 кВ для электроснабжения одноэтажного 6-ти квартирного жилого дома_Тверская область, г. Тверь, ул. Александра Невского 1-я, д. 72 (земельный участок с кадастровым номером 69:40:0100558:5)_в ОРЗТП с 19.06.13</t>
  </si>
  <si>
    <t>ООО "Пестово"</t>
  </si>
  <si>
    <t>ЛЭП-10 кВ и ТП-10/0,4 кВ - 40 кВА для электроснабжения жилых и нежилых бытовых помещений жилого городка и освещения_Тверская область, Селижаровский район, Большекошинское с/п, вблизи дер. Пестово (земельный участок с кадастровым номером 69:29:0181501:3)_в ОРЗТП с 19.06.13</t>
  </si>
  <si>
    <t>Существующие две отпайки 10 кВ, КТП-10/0,4 кВ - 40 кВА № 1 и КТП-10/0,4 кВ - 40 КВА № 2 для электроснабжения пунктов охраны № 1,2_почтовый адрес ориентира: Тверская область, Калязинский район, Семендяевское с/п, д. Селищи_в ОРЗТП с 26.06.13 г.</t>
  </si>
  <si>
    <t>ЛЭП-10 кВ и две ТП-10/0,4 кВ-63 кВА для электроснабжения линии наружного освещения на участке автомобильной дороги М-10 "Россия" км 246+000 - км 251+000_Тверская область, Торжокский район, а/д М-10 "Россия" - от Москвы через Тверь, Новгород до Санкт-Петербурга, на участке км 246+000 - км 251+000_в ОРЗТП с 19.06.13</t>
  </si>
  <si>
    <t>Существующие ВЛ-10 кВ и ТП-10/0,4 кВ - 25 кВА дшля электроснабжения сооружения вспомогательного назначения для обслуживания волоконно-оптической системы передачи_Тверская область, Кимрский район, Титовское с/п, дер. Замятино_в ОРЗТП с 19.06.13</t>
  </si>
  <si>
    <t>ЛЭП-6 кВ и ТП-6/0,4 кВ для электроснабжения хозяйственной постройки_Тверская область, Кимрский район, Приволжское с/п, дер. Кадниково, уч. № 1а (земельный участок с кадастровым номером 69:14:0203301:415)_в ОРЗТП с 19.06.2013 г.</t>
  </si>
  <si>
    <t>Митрофаненко Николай Николаевич</t>
  </si>
  <si>
    <t>ЛЭП-0,4 кВ для электроснабжения нежилого помещения_Тверская область, Конаковский район, г. Тверь, ул. Луначарского, д. 30 а (кадастровые номера 69:40:0100084:0:4/1, 69:40:0100084:0:4/3, 69:40:0100084:0:4/4)_в ОРЗТП с 19.06.13</t>
  </si>
  <si>
    <t>Вводное устройство торгового павильона_Тверская область, Конаковский район, гпп. Новозавидовский, ул. Транспортная (земельный участок с какдастровым номером 69:15:220121:59)_в ОРЗТП с 19.06.13</t>
  </si>
  <si>
    <t>ЛЭП-0,4 кВ для электроснабжения жилого дома (на период строительства - для электроснабжения строительных механизмов)_Почтовый адрес ориентира Тверская область, г. Тверь, ул. Левитана, д. 48 (земельный участок с кадастровым номером 69:40:0200180:40)_в ОРЗТП с 19.06.2013 г.</t>
  </si>
  <si>
    <t>Никитин Евгений Алиевич</t>
  </si>
  <si>
    <t>Вводное устройство помещения коровника_Тверская область, Спировский район, Козловское с/п, дер. Линдино_в ОРЗТП с 19.06.2013 г.</t>
  </si>
  <si>
    <t>ООО "Талнах"</t>
  </si>
  <si>
    <t>ВЛ-10 кВ и ТП-10/0,4 кВ для электроснабжения деревообрабатывающего цеха_Тверская область, г. Бежецк, пос. Северный (с кадастровым номером 69:37:070208:0001:4/181/02:1000/А)_в ОРЗТП с 19.06.2013 г.</t>
  </si>
  <si>
    <t>ООО "Содружество Тверских садоводов"</t>
  </si>
  <si>
    <t>Жилой комплекс "Чистый ручей"_Тверская область, Калининский район, Никулинское с/п, район дер. Мотавино_в ОРЗТП с 14.06.2013</t>
  </si>
  <si>
    <t>40717230
(договор заключен 30.05.2013)</t>
  </si>
  <si>
    <t>40737622
(договор заключен 31.05.2013)</t>
  </si>
  <si>
    <t>40733363
(договор заключен 01.06.2013)</t>
  </si>
  <si>
    <t>40739269
(договор заключен 03.06.2013)</t>
  </si>
  <si>
    <t>40732974
(договор заключен 03.06.2013)</t>
  </si>
  <si>
    <t>40739089
(договор заключен 04.06.2013 г.)</t>
  </si>
  <si>
    <t>40728400
(договор заключен 05.06.2013)</t>
  </si>
  <si>
    <t>40736105
(договор заключен 11.06.2013)</t>
  </si>
  <si>
    <t>40686764
(договор заключен 17.06.2013 г.)</t>
  </si>
  <si>
    <t>40733893
(договор заключен 17.06.2013)</t>
  </si>
  <si>
    <t>40714765
(договор заключен 18.06.13)</t>
  </si>
  <si>
    <t>40712497
(договор заключен 19.06.2013)</t>
  </si>
  <si>
    <t>40717227
(договор заключен 21.06.2013)</t>
  </si>
  <si>
    <t>40722859
(договор заключен 24.06.2013)</t>
  </si>
  <si>
    <t>40717229
(договор заключен 21.06.2013)</t>
  </si>
  <si>
    <t>40740296
(договор заключен 27.06.2013 г.)</t>
  </si>
  <si>
    <t>40740067
(договор заключен 01.07.2013)</t>
  </si>
  <si>
    <t xml:space="preserve">Год ввода /Год реконструкции(при изменении установленной мощности) </t>
  </si>
  <si>
    <t>Установленная мощность трансформаторов</t>
  </si>
  <si>
    <t>Существующая нагрузка по замерам, МВА</t>
  </si>
  <si>
    <t>Фактический резерв мощности с учетом замеров режимного дня, МВА</t>
  </si>
  <si>
    <t>Мощность по заключенным договорам на ТП, МВА</t>
  </si>
  <si>
    <t>Мощность по договорам на ТП находящихся на исполнении, МВА</t>
  </si>
  <si>
    <t>Максимальная разрешенная мощность (по актам ТП), МВт</t>
  </si>
  <si>
    <t>9</t>
  </si>
  <si>
    <t xml:space="preserve">Планируемые сроки снятия ограничения </t>
  </si>
  <si>
    <t>10</t>
  </si>
  <si>
    <t>Населенный пункт</t>
  </si>
  <si>
    <t>Район субъекта РФ</t>
  </si>
  <si>
    <t>Наименование РЭС</t>
  </si>
  <si>
    <t xml:space="preserve">№ ТП -6-10/0,4 кВ  </t>
  </si>
  <si>
    <t>Установленная мощность и количество трансформаторов, кВА</t>
  </si>
  <si>
    <t xml:space="preserve">Свободная полная трансформаторная мощность для технологического присоединения потребителей * по результатам замера максимума нагрузки, кВА </t>
  </si>
  <si>
    <t>Вышневолоцкий</t>
  </si>
  <si>
    <t xml:space="preserve"> ТП 10/0,4 кВ. Горка</t>
  </si>
  <si>
    <t xml:space="preserve"> ТП 10/0,4 кВ.Гаврилово</t>
  </si>
  <si>
    <t xml:space="preserve"> ТП 10/0,4 кВ.Дубровка</t>
  </si>
  <si>
    <t>д.Улиткино</t>
  </si>
  <si>
    <t xml:space="preserve"> ТП 10/0,4 кВ.Улиткино</t>
  </si>
  <si>
    <t xml:space="preserve"> ТП 10/0,4 кВ.Оч.сооружения</t>
  </si>
  <si>
    <t xml:space="preserve"> ТП 10/0,4 кВ.Княщины-4</t>
  </si>
  <si>
    <t xml:space="preserve"> ТП 10/0,4 кВ.Княщины-3</t>
  </si>
  <si>
    <t xml:space="preserve"> ТП 10/0,4 кВ.Княщины-2</t>
  </si>
  <si>
    <t>д.Редкино</t>
  </si>
  <si>
    <t xml:space="preserve"> ТП 10/0,4 кВ.АВМ ПСЛВ</t>
  </si>
  <si>
    <t xml:space="preserve"> ТП 10/0,4 кВ.Редкино</t>
  </si>
  <si>
    <t>д.Березено</t>
  </si>
  <si>
    <t xml:space="preserve"> ТП 10/0,4 кВ.Березино</t>
  </si>
  <si>
    <t>д.Агрызково</t>
  </si>
  <si>
    <t xml:space="preserve"> ТП 10/0,4 кВ.Агрызково</t>
  </si>
  <si>
    <t>д.Федориха</t>
  </si>
  <si>
    <t xml:space="preserve"> ТП 10/0,4 кВ.Федориха</t>
  </si>
  <si>
    <t>д.Черенцово</t>
  </si>
  <si>
    <t xml:space="preserve"> ТП 10/0,4 кВ.Черенцово</t>
  </si>
  <si>
    <t>д.Еляково</t>
  </si>
  <si>
    <t xml:space="preserve"> ТП 10/0,4 кВ.Еляково</t>
  </si>
  <si>
    <t>д.Шитовичи</t>
  </si>
  <si>
    <t xml:space="preserve"> ТП 10/0,4 кВ.Шитовичи</t>
  </si>
  <si>
    <t>д.Сухохлебово</t>
  </si>
  <si>
    <t xml:space="preserve"> ТП 10/0,4 кВ.Сухохлебово</t>
  </si>
  <si>
    <t>д.Починок</t>
  </si>
  <si>
    <t xml:space="preserve"> ТП 10/0,4 кВ.Починок</t>
  </si>
  <si>
    <t>п.Ильинское</t>
  </si>
  <si>
    <t xml:space="preserve"> ТП 10/0,4кВ.Школа</t>
  </si>
  <si>
    <t>п.Ножкино</t>
  </si>
  <si>
    <t xml:space="preserve"> ТП 10/0,4 кВ.Ножкино</t>
  </si>
  <si>
    <t xml:space="preserve"> ТП 10/0,4 кВ.Мехмастерские</t>
  </si>
  <si>
    <t xml:space="preserve"> ТП 10/0,4 кВ.Красная Заря</t>
  </si>
  <si>
    <t>д.Кресилово</t>
  </si>
  <si>
    <t xml:space="preserve"> ТП 10/0,4 кВ.Кресилово</t>
  </si>
  <si>
    <t>д.Борки</t>
  </si>
  <si>
    <t xml:space="preserve"> ТП 10/0,4 кВ.Борки ж/д</t>
  </si>
  <si>
    <t xml:space="preserve"> ТП 10/0,4 кВ.Мехмастерсике</t>
  </si>
  <si>
    <t xml:space="preserve"> ТП 10/0,4 кВ.Борки -1</t>
  </si>
  <si>
    <t xml:space="preserve"> ТП 10/0,4 кВ.Борки -2</t>
  </si>
  <si>
    <t>д.Боры</t>
  </si>
  <si>
    <t xml:space="preserve"> ТП 10/0,4 кВ.Боры</t>
  </si>
  <si>
    <t xml:space="preserve"> ТП 10/0,4 кВ.Великий двор</t>
  </si>
  <si>
    <t>д.Горелышево</t>
  </si>
  <si>
    <t xml:space="preserve"> ТП 10/0,4 кВ.Горелышево</t>
  </si>
  <si>
    <t>д.Рученая</t>
  </si>
  <si>
    <t xml:space="preserve"> ТП 10/0,4 кВ.Рученая</t>
  </si>
  <si>
    <t>д.Колотово</t>
  </si>
  <si>
    <t xml:space="preserve"> ТП 10/0,4 кВ.Колотово</t>
  </si>
  <si>
    <t>д.Жилотково</t>
  </si>
  <si>
    <t xml:space="preserve"> ТП 10/0,4 кВ.Жилотково</t>
  </si>
  <si>
    <t>д.Железняки</t>
  </si>
  <si>
    <t xml:space="preserve"> ТП 10/0,4 кВ.Железняки</t>
  </si>
  <si>
    <t>д.Никифорково</t>
  </si>
  <si>
    <t xml:space="preserve"> ТП 10/0,4 кВ.Никифорково</t>
  </si>
  <si>
    <t>д.Язвиха</t>
  </si>
  <si>
    <t xml:space="preserve"> ТП 10/0,4 кВ.Язвиха</t>
  </si>
  <si>
    <t>д.Перерва</t>
  </si>
  <si>
    <t xml:space="preserve"> ТП 10/0,4 кВ.Перерва</t>
  </si>
  <si>
    <t xml:space="preserve"> ТП 10/0,4 кВ.№176</t>
  </si>
  <si>
    <t xml:space="preserve"> ТП 10/0,4 кВ.Подсобное хоз-во</t>
  </si>
  <si>
    <t xml:space="preserve"> ТП 10/0,4 кВ.Картофелехранилище</t>
  </si>
  <si>
    <t>400+100</t>
  </si>
  <si>
    <t xml:space="preserve"> ТП 10/0,4 кВ.Котельная</t>
  </si>
  <si>
    <t xml:space="preserve"> ТП 10/0,4 кВ.Свинарник</t>
  </si>
  <si>
    <t xml:space="preserve"> ТП 10/0,4 кВ.Коровник</t>
  </si>
  <si>
    <t>д.Тверстянка</t>
  </si>
  <si>
    <t xml:space="preserve"> ТП 10/0,4 кВ.Тверстянка</t>
  </si>
  <si>
    <t xml:space="preserve"> ТП 10/0,4 кВ.Обрадово</t>
  </si>
  <si>
    <t xml:space="preserve"> ТП 10/0,4 кВ.Детсад</t>
  </si>
  <si>
    <t xml:space="preserve"> ТП 10/0,4 кВ.Белый омут</t>
  </si>
  <si>
    <t xml:space="preserve"> ТП 10/0,4 кВ Очистные сооружения</t>
  </si>
  <si>
    <t>д.Теплое</t>
  </si>
  <si>
    <t xml:space="preserve"> ТП 10/0,4 кВ.Теплое</t>
  </si>
  <si>
    <t>д.Горончарово</t>
  </si>
  <si>
    <t xml:space="preserve"> ТП 10/0,4 кВ.Горончарово</t>
  </si>
  <si>
    <t>д.Ермаково</t>
  </si>
  <si>
    <t xml:space="preserve"> ТП 10/0,4 кВ.Ермаково</t>
  </si>
  <si>
    <t>д.Старое</t>
  </si>
  <si>
    <t xml:space="preserve"> ТП 10/0,4 кВ.Старое</t>
  </si>
  <si>
    <t xml:space="preserve"> ТП 10/0,4 кВ.Черная грязь</t>
  </si>
  <si>
    <t>д.Нива-Прямик</t>
  </si>
  <si>
    <t xml:space="preserve"> ТП 10/0,4 кВ.Нива-Прямик</t>
  </si>
  <si>
    <t>д.Подольховец</t>
  </si>
  <si>
    <t xml:space="preserve"> ТП 10/0,4 кВ.Подольховец</t>
  </si>
  <si>
    <t>п.Зеленогорский</t>
  </si>
  <si>
    <t xml:space="preserve"> ТП 10/0,4 кВ.№6</t>
  </si>
  <si>
    <t xml:space="preserve"> ТП 10/0,4 кВ.№9</t>
  </si>
  <si>
    <t xml:space="preserve"> ТП 10/0,4 кВ.Школа</t>
  </si>
  <si>
    <t>д.Ненорово</t>
  </si>
  <si>
    <t xml:space="preserve"> ТП 10/0,4 кВ.Ненорово</t>
  </si>
  <si>
    <t>д.Шунково</t>
  </si>
  <si>
    <t xml:space="preserve"> ТП 10/0,4 кВ.Шунково</t>
  </si>
  <si>
    <t>д.Федово</t>
  </si>
  <si>
    <t xml:space="preserve"> ТП 10/0,4 кВ.Федово 5 Ферма</t>
  </si>
  <si>
    <t xml:space="preserve"> ТП 10/0,4 кВ.Федово 3 ЗСП</t>
  </si>
  <si>
    <t>д.Рогачево</t>
  </si>
  <si>
    <t xml:space="preserve"> ТП 10/0,4 кВ.Рогачево</t>
  </si>
  <si>
    <t>д.Крутец</t>
  </si>
  <si>
    <t xml:space="preserve"> ТП 10/0,4 кВ.Крутец</t>
  </si>
  <si>
    <t>д.Иевцево</t>
  </si>
  <si>
    <t xml:space="preserve"> ТП 10/0,4 кВ.Иевцево</t>
  </si>
  <si>
    <t>д.Колокольня</t>
  </si>
  <si>
    <t xml:space="preserve"> ТП 10/0,4 кВ.Колокольня</t>
  </si>
  <si>
    <t>д.Беньково</t>
  </si>
  <si>
    <t xml:space="preserve"> ТП 10/0,4 кВ.Беньково-2 ж/д</t>
  </si>
  <si>
    <t>д.Холохоленка</t>
  </si>
  <si>
    <t xml:space="preserve"> ТП 10/0,4 кВ.Холохенка (пр.ст)</t>
  </si>
  <si>
    <t xml:space="preserve"> ТП 10/0,4 кВ.Беньково-3</t>
  </si>
  <si>
    <t xml:space="preserve"> ТП 10/0,4 кВ.Холохоленка (лев.ст)</t>
  </si>
  <si>
    <t xml:space="preserve"> ТП 10/0,4 кВ.Картофелехранилище-1</t>
  </si>
  <si>
    <t xml:space="preserve"> ТП 10/0,4 кВ.Картофелехранилище-2</t>
  </si>
  <si>
    <t>п.Афимьино</t>
  </si>
  <si>
    <t xml:space="preserve"> ТП 10/0,4 кВ.Поселок</t>
  </si>
  <si>
    <t xml:space="preserve"> ТП 10/0,4 кВ.Афимьино-мастерские</t>
  </si>
  <si>
    <t>д.Домославль</t>
  </si>
  <si>
    <t xml:space="preserve"> ТП 10/0,4 кВ.Домославль 1</t>
  </si>
  <si>
    <t xml:space="preserve"> ТП 10/0,4 кВ.Домославль 4 маш.двор</t>
  </si>
  <si>
    <t>д.Добрецово</t>
  </si>
  <si>
    <t xml:space="preserve"> ТП 10/0,4 кВ.Добрецово</t>
  </si>
  <si>
    <t>д.Василево</t>
  </si>
  <si>
    <t xml:space="preserve"> ТП 10/0,4 кВ.Василево</t>
  </si>
  <si>
    <t>д.Гирино</t>
  </si>
  <si>
    <t xml:space="preserve"> ТП 10/0,4 кВ.Гирино</t>
  </si>
  <si>
    <t>д.Олохово</t>
  </si>
  <si>
    <t xml:space="preserve"> ТП 10/0,4 кВ.Олохово</t>
  </si>
  <si>
    <t xml:space="preserve"> ТП10/0,4кВ.Ильинское-4</t>
  </si>
  <si>
    <t xml:space="preserve"> ТП 10/0,4 кВ.Ильинское-1</t>
  </si>
  <si>
    <t>д.Смородино</t>
  </si>
  <si>
    <t xml:space="preserve"> ТП 10/0,4 кВ.Смородино</t>
  </si>
  <si>
    <t>д.Выходцы</t>
  </si>
  <si>
    <t xml:space="preserve"> ТП 10/0,4 кВ.Выходцы</t>
  </si>
  <si>
    <t>д.Липино</t>
  </si>
  <si>
    <t xml:space="preserve"> ТП 10/0,4 кВ.Липино</t>
  </si>
  <si>
    <t>д.Сергиевское</t>
  </si>
  <si>
    <t xml:space="preserve"> ТП 10/0,4 кВ.Сергиевское</t>
  </si>
  <si>
    <t>д.Акшонтово</t>
  </si>
  <si>
    <t xml:space="preserve"> ТП 10/0,4 кВ.Акшонтово</t>
  </si>
  <si>
    <t>д.Иванково</t>
  </si>
  <si>
    <t xml:space="preserve"> ТП 10/0,4 кВ.Иванково</t>
  </si>
  <si>
    <t xml:space="preserve"> ТП 10/0,4 кВ.База РЭС</t>
  </si>
  <si>
    <t xml:space="preserve"> ТП 10/0,4 кВ.СИО</t>
  </si>
  <si>
    <t>п.Октябрьский</t>
  </si>
  <si>
    <t xml:space="preserve"> ТП 10/0,4 кВ.Октябрьский</t>
  </si>
  <si>
    <t>п.Солнечный</t>
  </si>
  <si>
    <t xml:space="preserve"> ТП 10/0,4 кВ.ЗСП</t>
  </si>
  <si>
    <t xml:space="preserve"> ТП 10/0,4 кВ.Молокозавод</t>
  </si>
  <si>
    <t>д.Лютивля</t>
  </si>
  <si>
    <t xml:space="preserve"> ТП 10/0,4 кВ.Лютивля</t>
  </si>
  <si>
    <t>д.Борисково</t>
  </si>
  <si>
    <t xml:space="preserve"> ТП 10/0,4 кВ.Борисково</t>
  </si>
  <si>
    <t>д.Котчище</t>
  </si>
  <si>
    <t xml:space="preserve"> ТП 10/0,4 кВ.Котчище</t>
  </si>
  <si>
    <t>д.Леонтьево</t>
  </si>
  <si>
    <t xml:space="preserve"> ТП 10/0,4 кВ.Леонтьево</t>
  </si>
  <si>
    <t>д.Деревково</t>
  </si>
  <si>
    <t xml:space="preserve"> ТП 10/0,4 кВ.Деревково</t>
  </si>
  <si>
    <t>д.Почвино</t>
  </si>
  <si>
    <t xml:space="preserve"> ТП 10/0,4 кВ.Почвино</t>
  </si>
  <si>
    <t>д.Н.Почвино</t>
  </si>
  <si>
    <t xml:space="preserve"> ТП 10/0,4 кВ.н.Почвино</t>
  </si>
  <si>
    <t>д.Городок</t>
  </si>
  <si>
    <t xml:space="preserve"> ТП 10/0,4 кВ.Городок</t>
  </si>
  <si>
    <t xml:space="preserve"> ТП 10/0,4 кВ.Художники-1</t>
  </si>
  <si>
    <t>д.Желниха</t>
  </si>
  <si>
    <t xml:space="preserve"> ТП 10/0,4 кВ.Желниха-деревня</t>
  </si>
  <si>
    <t>д.Кишарино</t>
  </si>
  <si>
    <t xml:space="preserve"> ТП 10/0,4 кВ.Кишарино</t>
  </si>
  <si>
    <t>п.Садовый</t>
  </si>
  <si>
    <t xml:space="preserve"> ТП 10/0,4 кВ.Садовый-Парники</t>
  </si>
  <si>
    <t>д.Ст.Котчище</t>
  </si>
  <si>
    <t xml:space="preserve"> ТП 10/0,4 кВ.Ст.Котчище</t>
  </si>
  <si>
    <t xml:space="preserve"> ТП 10/0,4 кВ.Коттджи</t>
  </si>
  <si>
    <t>д.Подол</t>
  </si>
  <si>
    <t xml:space="preserve"> ТП 10/0,4 кВ.Подол-деревня</t>
  </si>
  <si>
    <t xml:space="preserve"> ТП 10/0,4 кВ.Подол-ферма</t>
  </si>
  <si>
    <t>д.Островиха</t>
  </si>
  <si>
    <t xml:space="preserve"> ТП 10/0,4 кВ.Островиха</t>
  </si>
  <si>
    <t>д.Быстрое</t>
  </si>
  <si>
    <t xml:space="preserve"> ТП 10/0,4 кВ.Быстрое-деревня</t>
  </si>
  <si>
    <t xml:space="preserve"> ТП 10/0,4 кВ.Быстрое-ферма</t>
  </si>
  <si>
    <t>д.Рагозино</t>
  </si>
  <si>
    <t xml:space="preserve"> ТП 10/0,4 кВ.Рагозино</t>
  </si>
  <si>
    <t>д.Терпигорево</t>
  </si>
  <si>
    <t xml:space="preserve"> ТП 10/0,4 кВ.Терпигорево</t>
  </si>
  <si>
    <t>д.Рудневка</t>
  </si>
  <si>
    <t xml:space="preserve"> ТП 10/0,4 кВ.Рудневка-школа</t>
  </si>
  <si>
    <t xml:space="preserve"> ТП 10/0,4 кВ.Желниха-пилорама</t>
  </si>
  <si>
    <t>д.Пашино</t>
  </si>
  <si>
    <t xml:space="preserve"> ТП 10/0,4 кВ.Пашино-1</t>
  </si>
  <si>
    <t>д.Рябиновка</t>
  </si>
  <si>
    <t xml:space="preserve"> ТП 10/0,4 кВ.Рябиновка</t>
  </si>
  <si>
    <t xml:space="preserve"> ТП 10/0,4 кВ.С-з Тверца</t>
  </si>
  <si>
    <t xml:space="preserve"> ТП 10/0,4 кВ.Жилые дома</t>
  </si>
  <si>
    <t>д.Сороки</t>
  </si>
  <si>
    <t xml:space="preserve"> ТП 10/0,4 кВ.Сороки-1</t>
  </si>
  <si>
    <t xml:space="preserve"> ТП 10/0,4 кВ.Сороки-2 ферма</t>
  </si>
  <si>
    <t xml:space="preserve"> ТП 10/0,4 кВ.Сороки-3</t>
  </si>
  <si>
    <t xml:space="preserve"> ТП 10/0,4 кВ.Мастерские</t>
  </si>
  <si>
    <t xml:space="preserve"> ТП 10/0,4 кВ.Сороки-пилорама</t>
  </si>
  <si>
    <t>д.Борьково</t>
  </si>
  <si>
    <t xml:space="preserve"> ТП 10/0,4 кВ.Борьково-деревня</t>
  </si>
  <si>
    <t xml:space="preserve"> ТП 10/0,4 кВ.Борьково-ферма</t>
  </si>
  <si>
    <t xml:space="preserve"> ТП 10/0,4 кВ.Теплица</t>
  </si>
  <si>
    <t xml:space="preserve"> ТП 10/0,4 кВ.Сороки дет сад</t>
  </si>
  <si>
    <t>д.Шипелькино</t>
  </si>
  <si>
    <t xml:space="preserve"> ТП 10/0,4 кВ.Шипелькино</t>
  </si>
  <si>
    <t>д.Ящины</t>
  </si>
  <si>
    <t xml:space="preserve"> ТП 10/0,4 кВ.Ящины</t>
  </si>
  <si>
    <t>д.Гряды</t>
  </si>
  <si>
    <t xml:space="preserve"> ТП 10/0,4 кВ.Гряды-1</t>
  </si>
  <si>
    <t xml:space="preserve"> ТП 10/0,4 кВ.Гряды-2</t>
  </si>
  <si>
    <t>п.Пригородный</t>
  </si>
  <si>
    <t xml:space="preserve"> ТП 10/0,4 кВ. Льносемстанция</t>
  </si>
  <si>
    <t>д.Фендеряево</t>
  </si>
  <si>
    <t xml:space="preserve"> ТП 10/0,4 кВ.Фендеряево</t>
  </si>
  <si>
    <t>д.Туббос</t>
  </si>
  <si>
    <t xml:space="preserve"> ТП 10/0,4 кВ.Туббос</t>
  </si>
  <si>
    <t>д.Фефелово</t>
  </si>
  <si>
    <t xml:space="preserve"> ТП 10/0,4 кВ.Фефелово</t>
  </si>
  <si>
    <t xml:space="preserve"> ТП 10/0,4 кВ.Федово</t>
  </si>
  <si>
    <t>д.Дивинец</t>
  </si>
  <si>
    <t xml:space="preserve"> ТП 10/0,4 кВ.Дивинец</t>
  </si>
  <si>
    <t>п.Боровно</t>
  </si>
  <si>
    <t xml:space="preserve"> ТП 10/0,4 кВ.Птичник-3</t>
  </si>
  <si>
    <t xml:space="preserve"> ТП 10/0,4 кВ.Боровно Торг центр</t>
  </si>
  <si>
    <t>д.Липовец</t>
  </si>
  <si>
    <t xml:space="preserve"> ТП 10/0,4 кВ.Липовец</t>
  </si>
  <si>
    <t>д.Березки</t>
  </si>
  <si>
    <t xml:space="preserve"> ТП 10/0,4 кВ.Березки</t>
  </si>
  <si>
    <t>д.Остров</t>
  </si>
  <si>
    <t xml:space="preserve"> ТП 10/0,4 кВ.Остров</t>
  </si>
  <si>
    <t>д.Лялино</t>
  </si>
  <si>
    <t xml:space="preserve"> ТП 10/0,4 кВ.Лялино</t>
  </si>
  <si>
    <t>д.Лядины</t>
  </si>
  <si>
    <t xml:space="preserve"> ТП 10/0,4 кВ.Лядины</t>
  </si>
  <si>
    <t>д.Солпа</t>
  </si>
  <si>
    <t xml:space="preserve"> ТП 10/0,4 кВ.Солпа</t>
  </si>
  <si>
    <t>д.Садовый</t>
  </si>
  <si>
    <t xml:space="preserve"> ТП 10/0,4 кВ.Садовый</t>
  </si>
  <si>
    <t xml:space="preserve"> ТП 10/0,4 кВ. Картофелехранилище</t>
  </si>
  <si>
    <t>д.Лутково</t>
  </si>
  <si>
    <t xml:space="preserve"> ТП 10/0,4 кВ.Лутково</t>
  </si>
  <si>
    <t>д.Дунай</t>
  </si>
  <si>
    <t xml:space="preserve"> ТП 10/0,4 кВ.Дунай</t>
  </si>
  <si>
    <t>д.Норфино</t>
  </si>
  <si>
    <t xml:space="preserve"> ТП 10/0,4 кВ.Норфино</t>
  </si>
  <si>
    <t>д.Мануйлово</t>
  </si>
  <si>
    <t xml:space="preserve"> ТП 10/0,4 кВ.Мануйлово</t>
  </si>
  <si>
    <t>д.Камушки</t>
  </si>
  <si>
    <t xml:space="preserve"> ТП 10/0,4 кВ.Камушки</t>
  </si>
  <si>
    <t>д.Болдырево</t>
  </si>
  <si>
    <t xml:space="preserve"> ТП 10/0,4 кВ.Болдырево</t>
  </si>
  <si>
    <t>д.Пуйга</t>
  </si>
  <si>
    <t xml:space="preserve"> ТП 10/0,4 кВ.Пуйга-1совхоз</t>
  </si>
  <si>
    <t>д.Дуброво</t>
  </si>
  <si>
    <t xml:space="preserve"> ТП 10/0,4 кВ.Дуброво-2</t>
  </si>
  <si>
    <t>д.Алексеевское</t>
  </si>
  <si>
    <t xml:space="preserve"> ТП 10/0,4 кВ.Алексеевское-1</t>
  </si>
  <si>
    <t>д.Ширяево</t>
  </si>
  <si>
    <t xml:space="preserve"> ТП 6/0,4 кВ.Ширяево</t>
  </si>
  <si>
    <t xml:space="preserve"> ТП 6/0,4 кВ.Новое заречье</t>
  </si>
  <si>
    <t xml:space="preserve"> ТП 6/0,4 кВ.Дет дом</t>
  </si>
  <si>
    <t>п.Академический</t>
  </si>
  <si>
    <t xml:space="preserve"> ТП 6/0,4 кВ.Водозабор</t>
  </si>
  <si>
    <t xml:space="preserve"> ТП 6/0,4 кВ.Насосная</t>
  </si>
  <si>
    <t xml:space="preserve"> ТП 6/0,4 кВ.№4 дет сад</t>
  </si>
  <si>
    <t xml:space="preserve"> ТП 6/0,4 кВ.№7 школа</t>
  </si>
  <si>
    <t xml:space="preserve"> ТП 6/0,4 кВ.Котельная</t>
  </si>
  <si>
    <t xml:space="preserve"> ТП 6/0,4 кВ.№19</t>
  </si>
  <si>
    <t xml:space="preserve"> ТП 6/0,4 кВ.Оч.сооружения.</t>
  </si>
  <si>
    <t>д.Находно</t>
  </si>
  <si>
    <t xml:space="preserve"> ТП 6/0,4 кВ.Находно</t>
  </si>
  <si>
    <t>д.Ст.заречье</t>
  </si>
  <si>
    <t xml:space="preserve"> ТП 6/0,4 кВ.Ст.Заречье</t>
  </si>
  <si>
    <t>д.Никулино</t>
  </si>
  <si>
    <t xml:space="preserve"> ТП 6/0,4 кВ.Никулино</t>
  </si>
  <si>
    <t>л.Бахмара</t>
  </si>
  <si>
    <t xml:space="preserve"> ТП 6/0,4 кВ.Бахмара</t>
  </si>
  <si>
    <t>д.Коломно</t>
  </si>
  <si>
    <t xml:space="preserve"> ТП 6/0,4 кВ.Коломно-1 ферма</t>
  </si>
  <si>
    <t xml:space="preserve"> ТП 6/0,4 кВ.Коломно-2 деревня</t>
  </si>
  <si>
    <t xml:space="preserve"> ТП 6/0,4 кВ.Коломно-3 гараж</t>
  </si>
  <si>
    <t>д.Горчель</t>
  </si>
  <si>
    <t xml:space="preserve"> ТП 6/0,4 кВ.Горчель</t>
  </si>
  <si>
    <t>п.Бельский</t>
  </si>
  <si>
    <t xml:space="preserve"> ТП 6/0,4 кВ.630</t>
  </si>
  <si>
    <t>д.Белая</t>
  </si>
  <si>
    <t xml:space="preserve"> ТП 10/0,4 кВ.Белая</t>
  </si>
  <si>
    <t xml:space="preserve"> ТП 10/0,4 кВ.Бельский</t>
  </si>
  <si>
    <t>д.Осечно</t>
  </si>
  <si>
    <t xml:space="preserve"> ТП 10/0,4 кВ.Осечно-1</t>
  </si>
  <si>
    <t xml:space="preserve"> ТП 10/0,4 кВ.Осечно-2 детсад</t>
  </si>
  <si>
    <t>д.Лукино</t>
  </si>
  <si>
    <t xml:space="preserve"> ТП 10/0,4 кВ.Осечно-3 </t>
  </si>
  <si>
    <t xml:space="preserve"> ТП 10/0,4 кВ.Осечно-5 дома</t>
  </si>
  <si>
    <t xml:space="preserve"> ТП 10/0,4 кВ.Лукино-телятник</t>
  </si>
  <si>
    <t xml:space="preserve"> ТП 10/0,4 кВ.Лукино</t>
  </si>
  <si>
    <t xml:space="preserve"> ТП 10/0,4 кВ.Элеватор</t>
  </si>
  <si>
    <t>д.Кулотино</t>
  </si>
  <si>
    <t xml:space="preserve"> ТП 10/0,4 кВ.Кулотино</t>
  </si>
  <si>
    <t>д.Бор</t>
  </si>
  <si>
    <t xml:space="preserve"> ТП 10/0,4 кВ.Бор</t>
  </si>
  <si>
    <t>д.Граница</t>
  </si>
  <si>
    <t xml:space="preserve"> ТП 10/0,4 кВ.Граница</t>
  </si>
  <si>
    <t>д.Мякишево</t>
  </si>
  <si>
    <t xml:space="preserve"> ТП 10/0,4 кВ.Мякишево</t>
  </si>
  <si>
    <t>д.Глебцево</t>
  </si>
  <si>
    <t xml:space="preserve"> ТП 10/0,4 кВ.Глебцево</t>
  </si>
  <si>
    <t>д.Мазово</t>
  </si>
  <si>
    <t xml:space="preserve"> ТП 10/0,4 кВ.Мазово</t>
  </si>
  <si>
    <t>д.Нивище</t>
  </si>
  <si>
    <t xml:space="preserve"> ТП 10/0,4 кВ.Нивище</t>
  </si>
  <si>
    <t xml:space="preserve"> ТП 10/0,4 кВ.Цибульская гора</t>
  </si>
  <si>
    <t xml:space="preserve"> ТП 10/0,4 кВ.Русская гора</t>
  </si>
  <si>
    <t>д.Ермолкино</t>
  </si>
  <si>
    <t xml:space="preserve"> ТП 10/0,4 кВ.Ермолкино</t>
  </si>
  <si>
    <t>д.Горбово</t>
  </si>
  <si>
    <t xml:space="preserve"> ТП 10/0,4 кВ.Горбово</t>
  </si>
  <si>
    <t>д.Облино</t>
  </si>
  <si>
    <t xml:space="preserve"> ТП 10/0,4 кВ.Облино</t>
  </si>
  <si>
    <t>д.Ладыгино</t>
  </si>
  <si>
    <t xml:space="preserve"> ТП 10/0,4 кВ.Ладыгино</t>
  </si>
  <si>
    <t>д.Фенютиха</t>
  </si>
  <si>
    <t xml:space="preserve"> ТП 10/0,4 кВ.Фенютиха</t>
  </si>
  <si>
    <t>д.Дятлово</t>
  </si>
  <si>
    <t xml:space="preserve"> ТП 10/0,4 кВ.Дятлово 5 школа</t>
  </si>
  <si>
    <t xml:space="preserve"> ТП 10/0,4 кВ.Дятлово 1</t>
  </si>
  <si>
    <t xml:space="preserve"> ТП 10/0,4 кВ.Дятлово 2</t>
  </si>
  <si>
    <t>д.Юняхино</t>
  </si>
  <si>
    <t xml:space="preserve"> ТП 10/0,4 кВ.Юнахино</t>
  </si>
  <si>
    <t>д.Прохово</t>
  </si>
  <si>
    <t xml:space="preserve"> ТП 10/0,4 кВ.Прохово</t>
  </si>
  <si>
    <t>д.Белавино</t>
  </si>
  <si>
    <t xml:space="preserve"> ТП 10/0,4 кВ.Белавино</t>
  </si>
  <si>
    <t xml:space="preserve"> ТП 10/0,4 кВ.Старое-2</t>
  </si>
  <si>
    <t xml:space="preserve"> ТП 10/0,4 кВ.Старое-4</t>
  </si>
  <si>
    <t xml:space="preserve"> ТП 10/0,4 кВ.Старое-1</t>
  </si>
  <si>
    <t>д.Речка</t>
  </si>
  <si>
    <t xml:space="preserve"> ТП 10/0,4 кВ.Речка</t>
  </si>
  <si>
    <t>д.Малошевины</t>
  </si>
  <si>
    <t xml:space="preserve"> ТП 10/0,4 кВ.Малошевины</t>
  </si>
  <si>
    <t>д.Б.Малошевины</t>
  </si>
  <si>
    <t xml:space="preserve"> ТП 10/0,4 кВ.Б.Малошевины.</t>
  </si>
  <si>
    <t>д.Волково</t>
  </si>
  <si>
    <t xml:space="preserve"> ТП 10/0,4 кВ.Волково-1</t>
  </si>
  <si>
    <t xml:space="preserve"> ТП 10/0,4 кВ.Волково-2</t>
  </si>
  <si>
    <t>д.Рог</t>
  </si>
  <si>
    <t xml:space="preserve"> ТП 10/0,4 кВ.Рог</t>
  </si>
  <si>
    <t>д.Дудиха</t>
  </si>
  <si>
    <t xml:space="preserve"> ТП 10/0,4 кВ.Дудиха</t>
  </si>
  <si>
    <t>д.Глубокое</t>
  </si>
  <si>
    <t xml:space="preserve"> ТП 10/0,4 кВ.Глубокое</t>
  </si>
  <si>
    <t>д.Мальцево</t>
  </si>
  <si>
    <t xml:space="preserve"> ТП 10/0,4 кВ.Мальцево</t>
  </si>
  <si>
    <t>д.Волошно</t>
  </si>
  <si>
    <t xml:space="preserve"> ТП 10/0,4 кВ.Волошно 3 ЗСП</t>
  </si>
  <si>
    <t>д.Кузнецово</t>
  </si>
  <si>
    <t xml:space="preserve"> ТП 10/0,4 кВ.Кузнецово-6</t>
  </si>
  <si>
    <t xml:space="preserve"> ТП 10/0,4 кВ.Кузнецово-7</t>
  </si>
  <si>
    <t xml:space="preserve"> ТП 10/0,4 кВ.Кузнецово</t>
  </si>
  <si>
    <t xml:space="preserve"> ТП 10/0,4 кВ.Кузнецово-5</t>
  </si>
  <si>
    <t>д.Бережок</t>
  </si>
  <si>
    <t xml:space="preserve"> ТП 10/0,4 кВ.Бережок</t>
  </si>
  <si>
    <t>д.Карзово</t>
  </si>
  <si>
    <t xml:space="preserve"> ТП 10/0,4 кВ.Карзово</t>
  </si>
  <si>
    <t>д.Очеп</t>
  </si>
  <si>
    <t xml:space="preserve"> ТП 10/0,4 кВ.Очеп</t>
  </si>
  <si>
    <t>д.Шихино</t>
  </si>
  <si>
    <t xml:space="preserve"> ТП 10/0,4 кВ.Шихино</t>
  </si>
  <si>
    <t>д.Синьково</t>
  </si>
  <si>
    <t xml:space="preserve"> ТП 10/0,4 кВ.Синьково</t>
  </si>
  <si>
    <t>д.Труфаниха</t>
  </si>
  <si>
    <t xml:space="preserve"> ТП 10/0,4 кВ.Труфаниха</t>
  </si>
  <si>
    <t>д.Богатково</t>
  </si>
  <si>
    <t xml:space="preserve"> ТП 10/0,4 кВ.Богатково</t>
  </si>
  <si>
    <t>д.Филатиха</t>
  </si>
  <si>
    <t xml:space="preserve"> ТП 10/0,4 кВ.Филатиха</t>
  </si>
  <si>
    <t>д.Пустынь</t>
  </si>
  <si>
    <t xml:space="preserve"> ТП 10/0,4 кВ.Пустынь</t>
  </si>
  <si>
    <t>д.н.Курово</t>
  </si>
  <si>
    <t xml:space="preserve"> ТП 10/0,4 кВ.н.Курово</t>
  </si>
  <si>
    <t>д.Ст.Курово</t>
  </si>
  <si>
    <t xml:space="preserve"> ТП 10/0,4 кВ.Пилорама</t>
  </si>
  <si>
    <t xml:space="preserve"> ТП 10/0,4 кВ.ст.Курово</t>
  </si>
  <si>
    <t xml:space="preserve"> ТП 10/0,4 кВ.ст.Курово-3-ферма</t>
  </si>
  <si>
    <t>д.Рябиниха</t>
  </si>
  <si>
    <t xml:space="preserve"> ТП 10/0,4 кВ.Рябиниха</t>
  </si>
  <si>
    <t>д.Сухинино</t>
  </si>
  <si>
    <t xml:space="preserve"> ТП 10/0,4 кВ.Сухинино</t>
  </si>
  <si>
    <t>д.юБор-Космыниха</t>
  </si>
  <si>
    <t xml:space="preserve"> ТП 10/0,4 кВ.Бор-космныха</t>
  </si>
  <si>
    <t>д.Космыниха</t>
  </si>
  <si>
    <t xml:space="preserve"> ТП 10/0,4 кВ.Космыниха</t>
  </si>
  <si>
    <t>д.Сопино</t>
  </si>
  <si>
    <t xml:space="preserve"> ТП 10/0,4 кВ.Сопино</t>
  </si>
  <si>
    <t>д.Хребтово</t>
  </si>
  <si>
    <t xml:space="preserve"> ТП 10/0,4 кВ.Хребтово</t>
  </si>
  <si>
    <t>п.Овсище</t>
  </si>
  <si>
    <t xml:space="preserve"> ТП 10/0,4 кВ.Артскважина</t>
  </si>
  <si>
    <t>д.Анисимово</t>
  </si>
  <si>
    <t xml:space="preserve"> ТП 10/0,4 кВ.Анисимово</t>
  </si>
  <si>
    <t>д.Урвитово</t>
  </si>
  <si>
    <t xml:space="preserve"> ТП 10/0,4 кВ.Урвитово</t>
  </si>
  <si>
    <t xml:space="preserve"> ТП 10/0,4 кВ.Овсище-деревня</t>
  </si>
  <si>
    <t xml:space="preserve"> ТП 10/0,4 кВ.Овище-2 ферма</t>
  </si>
  <si>
    <t xml:space="preserve"> ТП 10/0,4 кВ.Дет сад</t>
  </si>
  <si>
    <t xml:space="preserve"> ТП 10/0,4 кВ.Овсище-1</t>
  </si>
  <si>
    <t>д.Лисково</t>
  </si>
  <si>
    <t xml:space="preserve"> ТП 10/0,4 кВ.Лисково</t>
  </si>
  <si>
    <t>д.Табошево</t>
  </si>
  <si>
    <t xml:space="preserve"> ТП 10/0,4 кВ.Табошево</t>
  </si>
  <si>
    <t>д.Шелемиха</t>
  </si>
  <si>
    <t xml:space="preserve"> ТП 10/0,4 кВ.Шелемиха</t>
  </si>
  <si>
    <t xml:space="preserve"> ТП 10/0,4 кВ.Дом рыбака</t>
  </si>
  <si>
    <t>д.Терелесово</t>
  </si>
  <si>
    <t xml:space="preserve"> ТП 10/0,4 кВ.Терелесово</t>
  </si>
  <si>
    <t>п.Терелесово</t>
  </si>
  <si>
    <t xml:space="preserve"> ТП 10/0,4 кВ.№2</t>
  </si>
  <si>
    <t>320+180</t>
  </si>
  <si>
    <t xml:space="preserve"> ТП 10/0,4 кВ.№18</t>
  </si>
  <si>
    <t xml:space="preserve"> ТП 10/0,4 кВ.№15</t>
  </si>
  <si>
    <t>д.Осеченка</t>
  </si>
  <si>
    <t xml:space="preserve"> ТП 10/0,4 кВ.Осеченка</t>
  </si>
  <si>
    <t>п.Трудовой</t>
  </si>
  <si>
    <t xml:space="preserve"> ТП 10/0,4 кВ.Трудовой</t>
  </si>
  <si>
    <t>п.Есеновичи</t>
  </si>
  <si>
    <t xml:space="preserve"> ТП 10/0,4 кВ.Пекарня</t>
  </si>
  <si>
    <t xml:space="preserve"> ТП 10/0,4 кВ.Клуб</t>
  </si>
  <si>
    <t xml:space="preserve"> ТП 10/0,4 кВ.Торговый центр</t>
  </si>
  <si>
    <t xml:space="preserve"> ТП 10/0,4 кВ.Сенной сарай</t>
  </si>
  <si>
    <t xml:space="preserve"> ТП 10/0,4 кВ.ЗСП-1</t>
  </si>
  <si>
    <t xml:space="preserve"> ТП 10/0,4 кВ.ЗСП-2</t>
  </si>
  <si>
    <t xml:space="preserve"> ТП 10/0,4 кВ.ЗСП-3</t>
  </si>
  <si>
    <t xml:space="preserve"> ТП 10/0,4 кВ.Мастерская</t>
  </si>
  <si>
    <t xml:space="preserve"> ТП 10/0,4 кВ.Заречьная</t>
  </si>
  <si>
    <t xml:space="preserve"> ТП 10/0,4 кВ.ЛПХ</t>
  </si>
  <si>
    <t>д.Макарино</t>
  </si>
  <si>
    <t xml:space="preserve"> ТП 10/0,4 кВ.Макарино</t>
  </si>
  <si>
    <t>д.Кожино</t>
  </si>
  <si>
    <t xml:space="preserve"> ТП 10/0,4 кВ.Кожино</t>
  </si>
  <si>
    <t>д.Кузлово</t>
  </si>
  <si>
    <t xml:space="preserve"> ТП 10/0,4 кВ.Кузлово</t>
  </si>
  <si>
    <t>д.Артюхино</t>
  </si>
  <si>
    <t xml:space="preserve"> ТП 10/0,4 кВ.Артюхино</t>
  </si>
  <si>
    <t>д.Думино</t>
  </si>
  <si>
    <t xml:space="preserve"> ТП 10/0,4 кВ.Думино</t>
  </si>
  <si>
    <t>д.Дуплево</t>
  </si>
  <si>
    <t xml:space="preserve"> ТП 10/0,4 кВ.Дуплево</t>
  </si>
  <si>
    <t xml:space="preserve"> ТП 10/0,4 кВ.Ферма Есеновичи</t>
  </si>
  <si>
    <t xml:space="preserve"> ТП 10/0,4 кВ.Дуброво</t>
  </si>
  <si>
    <t>д.Матеево</t>
  </si>
  <si>
    <t xml:space="preserve"> ТП 10/0,4 кВ.Матеево</t>
  </si>
  <si>
    <t>д.Стройково</t>
  </si>
  <si>
    <t xml:space="preserve"> ТП 10/0,4 кВ.Стройково</t>
  </si>
  <si>
    <t>д.Фешино</t>
  </si>
  <si>
    <t xml:space="preserve"> ТП 10/0,4 кВ.Фешино -1 ПСЛВ</t>
  </si>
  <si>
    <t>д.Яковлево</t>
  </si>
  <si>
    <t xml:space="preserve"> ТП 10/0,4 кВ.Яковлево</t>
  </si>
  <si>
    <t xml:space="preserve"> ТП 10/0,4 кВ.Фешино -2 коровник</t>
  </si>
  <si>
    <t xml:space="preserve"> ТП 10/0,4 кВ.Фешино -3- поселок</t>
  </si>
  <si>
    <t>д.Печниково</t>
  </si>
  <si>
    <t xml:space="preserve"> ТП 10/0,4 кВ.Печниково</t>
  </si>
  <si>
    <t>д.Щемелево</t>
  </si>
  <si>
    <t xml:space="preserve"> ТП 10/0,4 кВ.Щемелево</t>
  </si>
  <si>
    <t>д.Шубино</t>
  </si>
  <si>
    <t xml:space="preserve"> ТП 10/0,4 кВ.Шубино</t>
  </si>
  <si>
    <t>д.Бронницы</t>
  </si>
  <si>
    <t xml:space="preserve"> ТП 10/0,4 кВ.Бронницы</t>
  </si>
  <si>
    <t>д.Житово</t>
  </si>
  <si>
    <t xml:space="preserve"> ТП 10/0,4 кВ.Житово</t>
  </si>
  <si>
    <t>д.Плотично</t>
  </si>
  <si>
    <t xml:space="preserve"> ТП 10/0,4 кВ.Плотично</t>
  </si>
  <si>
    <t xml:space="preserve"> ТП 10/0,4 кВ.Пашино</t>
  </si>
  <si>
    <t>д.Еськино</t>
  </si>
  <si>
    <t xml:space="preserve"> ТП 10/0,4 кВ.Еськино</t>
  </si>
  <si>
    <t>д.Третниково</t>
  </si>
  <si>
    <t xml:space="preserve"> ТП 10/0,4 кВ.Третниково</t>
  </si>
  <si>
    <t>д.Палицкое</t>
  </si>
  <si>
    <t xml:space="preserve"> ТП 10/0,4 кВ.Палицкое</t>
  </si>
  <si>
    <t>д.Игнатиха</t>
  </si>
  <si>
    <t xml:space="preserve"> ТП 10/0,4 кВ.Игнатиха</t>
  </si>
  <si>
    <t>д.Усаново</t>
  </si>
  <si>
    <t xml:space="preserve"> ТП 10/0,4 кВ.Усаново</t>
  </si>
  <si>
    <t>д.Иваньково</t>
  </si>
  <si>
    <t xml:space="preserve"> ТП 10/0,4 кВ.Иваньково</t>
  </si>
  <si>
    <t>д.Широково</t>
  </si>
  <si>
    <t xml:space="preserve"> ТП 10/0,4 кВ.Широково</t>
  </si>
  <si>
    <t>д.Гарусово</t>
  </si>
  <si>
    <t xml:space="preserve"> ТП 10/0,4 кВ.Гарусово</t>
  </si>
  <si>
    <t>д.Горка</t>
  </si>
  <si>
    <t xml:space="preserve"> ТП 10/0,4 кВ.Горка</t>
  </si>
  <si>
    <t>д.Зеленцово</t>
  </si>
  <si>
    <t xml:space="preserve"> ТП 10/0,4 кВ.Зеленцово</t>
  </si>
  <si>
    <t>д.Бобровец</t>
  </si>
  <si>
    <t xml:space="preserve"> ТП 10/0,4 кВ.Бобровец</t>
  </si>
  <si>
    <t xml:space="preserve"> ТП 10/0,4 кВ.Федоров двор</t>
  </si>
  <si>
    <t>д.Башково</t>
  </si>
  <si>
    <t xml:space="preserve"> ТП 10/0,4 кВ.Башково</t>
  </si>
  <si>
    <t xml:space="preserve"> ТП 10/0,4 кВ.Башково-2 ПСЛВ</t>
  </si>
  <si>
    <t>д.Жальцы</t>
  </si>
  <si>
    <t xml:space="preserve"> ТП 10/0,4 кВ.Жальцы</t>
  </si>
  <si>
    <t>д.Кузнечиха</t>
  </si>
  <si>
    <t xml:space="preserve"> ТП 10/0,4 кВ.Кузнечиха</t>
  </si>
  <si>
    <t>д.Колмаково</t>
  </si>
  <si>
    <t xml:space="preserve"> ТП 10/0,4 кВ.Колмаково</t>
  </si>
  <si>
    <t>д.Бухлово</t>
  </si>
  <si>
    <t xml:space="preserve"> ТП 10/0,4 кВ.Дома</t>
  </si>
  <si>
    <t>д.Кожакино</t>
  </si>
  <si>
    <t xml:space="preserve"> ТП 10/0,4 кВ.Кожакино</t>
  </si>
  <si>
    <t xml:space="preserve"> ТП 10/0,4 кВ.Бухлово-3</t>
  </si>
  <si>
    <t xml:space="preserve"> ТП 10/0,4 кВ.Бухлово-2 котельная</t>
  </si>
  <si>
    <t xml:space="preserve"> ТП 10/0,4 кВ.Гарусово-2</t>
  </si>
  <si>
    <t xml:space="preserve"> ТП 10/0,4 кВ.Бухлово 4 ферма</t>
  </si>
  <si>
    <t xml:space="preserve"> ТП 10/0,4 кВ.Бухлово-школа</t>
  </si>
  <si>
    <t>п.Лужниково</t>
  </si>
  <si>
    <t xml:space="preserve"> ТП 10/0,4 кВ.Лужниково 2 ЗСП</t>
  </si>
  <si>
    <t xml:space="preserve"> ТП 10/0,4 кВ. Лужниково 4 АВМ</t>
  </si>
  <si>
    <t xml:space="preserve"> ТП 10/0,4 кВ.Лужниково-7</t>
  </si>
  <si>
    <t>д.Смотрово</t>
  </si>
  <si>
    <t xml:space="preserve"> ТП 10/0,4 кВ.Смоторово</t>
  </si>
  <si>
    <t>д.Петрилово</t>
  </si>
  <si>
    <t xml:space="preserve"> ТП 10/0,4 кВ.Петрилово-подберезье</t>
  </si>
  <si>
    <t>д.Межуиха</t>
  </si>
  <si>
    <t xml:space="preserve"> ТП 10/0,4 кВ.Межуиха</t>
  </si>
  <si>
    <t>д.Богайкино</t>
  </si>
  <si>
    <t xml:space="preserve"> ТП 10/0,4 кВ.Богайкино</t>
  </si>
  <si>
    <t xml:space="preserve"> ТП 10/0,4 кВ.Лужниково-1 школа</t>
  </si>
  <si>
    <t>д.Ситниково</t>
  </si>
  <si>
    <t xml:space="preserve"> ТП 10/0,4 кВ.Ситниково</t>
  </si>
  <si>
    <t>д.Сушино</t>
  </si>
  <si>
    <t xml:space="preserve"> ТП 10/0,4 кВ.Сушино-горка</t>
  </si>
  <si>
    <t>д.Хорево</t>
  </si>
  <si>
    <t xml:space="preserve"> ТП 10/0,4 кВ.Хорево</t>
  </si>
  <si>
    <t>д.Первитино</t>
  </si>
  <si>
    <t xml:space="preserve"> ТП 10/0,4 кВ.Первитино</t>
  </si>
  <si>
    <t>2х400</t>
  </si>
  <si>
    <t>2х160</t>
  </si>
  <si>
    <t>2х100</t>
  </si>
  <si>
    <t>2х250</t>
  </si>
  <si>
    <t>400х2</t>
  </si>
  <si>
    <t>Кимрский</t>
  </si>
  <si>
    <t>КТП 073</t>
  </si>
  <si>
    <t>д.Малышково</t>
  </si>
  <si>
    <t>КТП 074</t>
  </si>
  <si>
    <t>КТП 001</t>
  </si>
  <si>
    <t>д.Башарино</t>
  </si>
  <si>
    <t>КТП 004</t>
  </si>
  <si>
    <t>КТП 008</t>
  </si>
  <si>
    <t>д.Головино</t>
  </si>
  <si>
    <t>КТП 012</t>
  </si>
  <si>
    <t>д.Кадниково</t>
  </si>
  <si>
    <t>КТП 017</t>
  </si>
  <si>
    <t>КТП 022</t>
  </si>
  <si>
    <t>КТП 077</t>
  </si>
  <si>
    <t>д.Юркино</t>
  </si>
  <si>
    <t>КТП 081 Юркино</t>
  </si>
  <si>
    <t>д.Папулово</t>
  </si>
  <si>
    <t>КТП-6кВ 126</t>
  </si>
  <si>
    <t>д.Шепелиха</t>
  </si>
  <si>
    <t xml:space="preserve">КТП 026 </t>
  </si>
  <si>
    <t>д.Пелагеинское-Шурманка</t>
  </si>
  <si>
    <t>КТП 027</t>
  </si>
  <si>
    <t xml:space="preserve">КТП 028 </t>
  </si>
  <si>
    <t>д.Кочнево</t>
  </si>
  <si>
    <t>КТП 029</t>
  </si>
  <si>
    <t>д.Бурцево</t>
  </si>
  <si>
    <t>КТП 031</t>
  </si>
  <si>
    <t>д.Луканино</t>
  </si>
  <si>
    <t>КТП 037</t>
  </si>
  <si>
    <t>д.Азарово</t>
  </si>
  <si>
    <t>КТП 035</t>
  </si>
  <si>
    <t>д.Турово</t>
  </si>
  <si>
    <t>КТП 036</t>
  </si>
  <si>
    <t>д.Стрельчиха</t>
  </si>
  <si>
    <t>КТП 038</t>
  </si>
  <si>
    <t>д.Плоское-Ширяево</t>
  </si>
  <si>
    <t>КТП 039</t>
  </si>
  <si>
    <t>п.Черемушки</t>
  </si>
  <si>
    <t>КТП 041</t>
  </si>
  <si>
    <t xml:space="preserve">ЗТП 042 </t>
  </si>
  <si>
    <t>д.Поповка</t>
  </si>
  <si>
    <t>КТП 044</t>
  </si>
  <si>
    <t>д.Поповка-2</t>
  </si>
  <si>
    <t xml:space="preserve">КТП 045 </t>
  </si>
  <si>
    <t>д.Сенькино</t>
  </si>
  <si>
    <t xml:space="preserve">КТП 047 </t>
  </si>
  <si>
    <t>д.Юминское</t>
  </si>
  <si>
    <t>КТП 048</t>
  </si>
  <si>
    <t xml:space="preserve">КТП 050 </t>
  </si>
  <si>
    <t>д.Хотилово</t>
  </si>
  <si>
    <t>КТП 051</t>
  </si>
  <si>
    <t>д.Брехово</t>
  </si>
  <si>
    <t>КТП 052</t>
  </si>
  <si>
    <t>с.Хотча</t>
  </si>
  <si>
    <t>КТП 054</t>
  </si>
  <si>
    <t>д.Грозино</t>
  </si>
  <si>
    <t>КТП 055</t>
  </si>
  <si>
    <t>д.Зверево</t>
  </si>
  <si>
    <t>КТП 057</t>
  </si>
  <si>
    <t>д.Алексино</t>
  </si>
  <si>
    <t>КТП 061</t>
  </si>
  <si>
    <t>КТП-6кВ 091</t>
  </si>
  <si>
    <t>КТП 125</t>
  </si>
  <si>
    <t>ЗТП 063</t>
  </si>
  <si>
    <t>ЗТП 064</t>
  </si>
  <si>
    <t>КТП 065</t>
  </si>
  <si>
    <t>ЗТП 066</t>
  </si>
  <si>
    <t>ЗТП 067</t>
  </si>
  <si>
    <t>ЗТП 068</t>
  </si>
  <si>
    <t>ЗТП 069</t>
  </si>
  <si>
    <t>ЗТП 070</t>
  </si>
  <si>
    <t>КТП-10/0,4 кВ 155 Борковская</t>
  </si>
  <si>
    <t>КТП-10/0,4 кВ 156 д. Борки-2</t>
  </si>
  <si>
    <t>д.Клетино</t>
  </si>
  <si>
    <t>КТП-10/0,4 кВ 158 Клетино</t>
  </si>
  <si>
    <t>д.Нутрома</t>
  </si>
  <si>
    <t>КТП-10/0,4 кВ 160 Нутрома</t>
  </si>
  <si>
    <t>КТП-10/0,4 кВ 161 Нутрома-2</t>
  </si>
  <si>
    <t>КТП-10/0,4 кВ 162 Нутрома-№3</t>
  </si>
  <si>
    <t>д.Прислон</t>
  </si>
  <si>
    <t>КТП-10/0,4 кВ 163 Прислон-1</t>
  </si>
  <si>
    <t>КТП-10/0,4 кВ 164 Прислон-2</t>
  </si>
  <si>
    <t>КТП-10/0,4 кВ 167 Прислон-5</t>
  </si>
  <si>
    <t>д.Титово</t>
  </si>
  <si>
    <t>КТП-10 кВ №151 д.Титово</t>
  </si>
  <si>
    <t>д.Притыкино</t>
  </si>
  <si>
    <t>КТП-10/0,4 кВ 172 Притыкино-1</t>
  </si>
  <si>
    <t>КТП-10/0,4 кВ 173 Притыкино-2</t>
  </si>
  <si>
    <t>КТП-10/0,4 кВ 174 Притыкино-3</t>
  </si>
  <si>
    <t>КТП-10/0,4 кВ 179 Сплинкер</t>
  </si>
  <si>
    <t>КТП-10/0,4 кВ 181 Полянка</t>
  </si>
  <si>
    <t>д.Цыганово</t>
  </si>
  <si>
    <t>КТП-10/0,4 кВ 185 Цыганово</t>
  </si>
  <si>
    <t>д.Григорьево</t>
  </si>
  <si>
    <t>КТП-10/0,4 кВ 186 Григорьево Столбово</t>
  </si>
  <si>
    <t>д.Муравьево</t>
  </si>
  <si>
    <t>КТП-10/0,4 кВ 187 Муравьево</t>
  </si>
  <si>
    <t>ЗТП-10/0,4 кВ 188 Титово школа</t>
  </si>
  <si>
    <t>ЗТП-10/0,4 кВ 189 Титово ФКРС</t>
  </si>
  <si>
    <t>д.Щелково</t>
  </si>
  <si>
    <t>МТП-10/0,4 кВ 190 Щелково</t>
  </si>
  <si>
    <t>д.Замятино</t>
  </si>
  <si>
    <t>КТП-10/0,4 кВ 191 Замятино</t>
  </si>
  <si>
    <t>КТП-10/0,4 кВ 192 Головино</t>
  </si>
  <si>
    <t>д.Лахирево</t>
  </si>
  <si>
    <t>КТП-10/0,4 кВ 193 Лахирево</t>
  </si>
  <si>
    <t>д.Гомоново</t>
  </si>
  <si>
    <t>КТП-10/0,4 кВ 194 Гомоново</t>
  </si>
  <si>
    <t>ЗТП-10кВ 195 Титово Мастерские</t>
  </si>
  <si>
    <t>ЗТП-10кВ №2 Жил.поселок</t>
  </si>
  <si>
    <t>КТПП-10кВ 197 Титово котельная</t>
  </si>
  <si>
    <t>КТП-10 кВ Титово(Богом)</t>
  </si>
  <si>
    <t>д.Абатурово</t>
  </si>
  <si>
    <t>КТП-10кВ д.Абатурово</t>
  </si>
  <si>
    <t>д.Бортниково</t>
  </si>
  <si>
    <t>КТП-10кВ д.Бортниково</t>
  </si>
  <si>
    <t>д.Глинцово</t>
  </si>
  <si>
    <t>КТП-10кВ д.Глинцово</t>
  </si>
  <si>
    <t>д.Заручьево</t>
  </si>
  <si>
    <t>КТП 10кВ д.Заручьево</t>
  </si>
  <si>
    <t>д.Жилино</t>
  </si>
  <si>
    <t>КТП-10кВ д.Жилино</t>
  </si>
  <si>
    <t>КТП-10кВ д.Троице Кочки</t>
  </si>
  <si>
    <t>КТП-10кВ д.Плосково</t>
  </si>
  <si>
    <t xml:space="preserve">КТПП-10кВ Очистные </t>
  </si>
  <si>
    <t>КТП-10кВ Насосная</t>
  </si>
  <si>
    <t>ЗТП-10кВ Клуб, школа</t>
  </si>
  <si>
    <t>КТПП-10кВ Торговый центр</t>
  </si>
  <si>
    <t>КТПП-10кВ Жилой поселок</t>
  </si>
  <si>
    <t>КТП-10кВ  Быт</t>
  </si>
  <si>
    <t>КТП-10кВ д.Алексино</t>
  </si>
  <si>
    <t>д.Воронцово</t>
  </si>
  <si>
    <t>КТП-10кВ д.Воронцово</t>
  </si>
  <si>
    <t>д.Уткино</t>
  </si>
  <si>
    <t>КТП-10кВ д.Уткино</t>
  </si>
  <si>
    <t>д.Сакулино</t>
  </si>
  <si>
    <t>КТП-10кВ д.Сакулино</t>
  </si>
  <si>
    <t>КТПП-10кВ Маш.рем.двор</t>
  </si>
  <si>
    <t>ЗТП-10кВ ФКРС</t>
  </si>
  <si>
    <t>КТПП-10кВ АВМ</t>
  </si>
  <si>
    <t>КТПП-10кВ КЗС карт.хр.</t>
  </si>
  <si>
    <t>ЗТП-10кВ Котельная</t>
  </si>
  <si>
    <t>КТП-10/0,4кВ 084</t>
  </si>
  <si>
    <t xml:space="preserve">КТП-10/0,4кВ 085 </t>
  </si>
  <si>
    <t>КТП-10кВ д.Дуброво</t>
  </si>
  <si>
    <t>д.Каменка</t>
  </si>
  <si>
    <t>КТП-10кВ д.Каменка</t>
  </si>
  <si>
    <t>с.Горицы</t>
  </si>
  <si>
    <t>ЗТП-10кВ Комплекс с.Горицы</t>
  </si>
  <si>
    <t>д.Горожанкино</t>
  </si>
  <si>
    <t>КТПП-10кВ д.Горожанкино</t>
  </si>
  <si>
    <t>д.Ярославец</t>
  </si>
  <si>
    <t>КТП-10кВ д.Ярославец</t>
  </si>
  <si>
    <t>д.Кошкино</t>
  </si>
  <si>
    <t>КТП-10кВ д.Кошкино</t>
  </si>
  <si>
    <t>д.Круглица</t>
  </si>
  <si>
    <t>КТП-10кВ д.Круглица</t>
  </si>
  <si>
    <t>д.Лыково</t>
  </si>
  <si>
    <t>КТП 127 Лыково</t>
  </si>
  <si>
    <t>д.Москвитино</t>
  </si>
  <si>
    <t>КТП-10кВ д.Москвитино</t>
  </si>
  <si>
    <t>д.Паньсково</t>
  </si>
  <si>
    <t>КТП-10кВ д.Паньсково</t>
  </si>
  <si>
    <t>д.Путышино</t>
  </si>
  <si>
    <t>КТП-10кВ д.Путышино</t>
  </si>
  <si>
    <t>д.Яковлевское</t>
  </si>
  <si>
    <t>КТП-10кВ д.Яковлевское</t>
  </si>
  <si>
    <t>КТПП-10кВ дЯковлевское-ЗСП</t>
  </si>
  <si>
    <t>д.Степаново</t>
  </si>
  <si>
    <t>КТП-10кВ д.Степаново</t>
  </si>
  <si>
    <t>д.Савино</t>
  </si>
  <si>
    <t>КТП-10кВ д.Савино</t>
  </si>
  <si>
    <t>д.Овсевьево</t>
  </si>
  <si>
    <t>КТП-10кВ д.Овсевьево</t>
  </si>
  <si>
    <t>КТП-10кВ д.Шубино</t>
  </si>
  <si>
    <t>д.Сафоньево</t>
  </si>
  <si>
    <t>КТП-10кВ д.Сафоньево</t>
  </si>
  <si>
    <t>д.Подмошье</t>
  </si>
  <si>
    <t>КТП-10кВ д.Подмошье</t>
  </si>
  <si>
    <t>д.Лазарево</t>
  </si>
  <si>
    <t>КТП-10кВ д.Лазарево</t>
  </si>
  <si>
    <t>д.Ошитково</t>
  </si>
  <si>
    <t>КТП-10кВ д.Ошитково</t>
  </si>
  <si>
    <t>д.Неверо-Бели</t>
  </si>
  <si>
    <t>КТП-10кВ д.Неверово-Бели</t>
  </si>
  <si>
    <t>д.Правда</t>
  </si>
  <si>
    <t>КТП-10кВ д.Правда</t>
  </si>
  <si>
    <t>д.Сорокино</t>
  </si>
  <si>
    <t>КТП-10кВ д.Сорокино</t>
  </si>
  <si>
    <t>КТП 10кВ Хознужды</t>
  </si>
  <si>
    <t>КТП-10кВ Копт.цех-ул.Кооп-я</t>
  </si>
  <si>
    <t>КТП-10кВ ул.Совхозная</t>
  </si>
  <si>
    <t>КТПП-10кВ ул.Октябрьская</t>
  </si>
  <si>
    <t>КТП-10кВ ул.Калинина</t>
  </si>
  <si>
    <t>ЗТП-10кВ Сельхозтехника</t>
  </si>
  <si>
    <t>КТП-10кВ ул.Советская</t>
  </si>
  <si>
    <t>КТП-10кВ ул.Школьная</t>
  </si>
  <si>
    <t>ЗТП-10кВ Школа</t>
  </si>
  <si>
    <t>д.Борисово</t>
  </si>
  <si>
    <t>КТП-10кВ д.Борисово</t>
  </si>
  <si>
    <t>д.Наумово</t>
  </si>
  <si>
    <t>КТП-10кВ д.Наумово</t>
  </si>
  <si>
    <t>КТП-10 кВ д.Наумово-№2</t>
  </si>
  <si>
    <t>д.Колково</t>
  </si>
  <si>
    <t>КТП-10кВ д.Колково</t>
  </si>
  <si>
    <t>КТП-10кВ Дорожный Участок</t>
  </si>
  <si>
    <t>КТП-10кВ Коттеджи</t>
  </si>
  <si>
    <t>д.Глебово</t>
  </si>
  <si>
    <t>КТП-10кВ д.Глебово</t>
  </si>
  <si>
    <t>д.Раменье</t>
  </si>
  <si>
    <t>КТП-10кВ д.Раменье</t>
  </si>
  <si>
    <t>д.Якимцево</t>
  </si>
  <si>
    <t>КТП-10кВ д.Якимцево</t>
  </si>
  <si>
    <t>д.Сиблово</t>
  </si>
  <si>
    <t>КТП-10кВ д.Сиблово</t>
  </si>
  <si>
    <t>д.Збыневля</t>
  </si>
  <si>
    <t>КТП-10кВ д.Збыневля</t>
  </si>
  <si>
    <t>д.Коршево</t>
  </si>
  <si>
    <t>КТП-10кВ д.Коршево</t>
  </si>
  <si>
    <t>д.Рыбушкино</t>
  </si>
  <si>
    <t>КТП-10кВ д.Рыбушкино</t>
  </si>
  <si>
    <t>д.Лебзуново-Молоди</t>
  </si>
  <si>
    <t>КТП-10кВ д.Лебзуново, Молоди</t>
  </si>
  <si>
    <t>КТПП-10кВ КЗС,АВМ</t>
  </si>
  <si>
    <t xml:space="preserve">КТП-10кВ Горбачево-Майково </t>
  </si>
  <si>
    <t>КТП-10кВ Больница</t>
  </si>
  <si>
    <t>д.Вереинка</t>
  </si>
  <si>
    <t>КТП-10кВ д.Вереинка</t>
  </si>
  <si>
    <t>КТП-10кВ д.Кр.Выселок</t>
  </si>
  <si>
    <t>д.Киселево</t>
  </si>
  <si>
    <t>КТП-10кВ д.Киселево</t>
  </si>
  <si>
    <t>КТП-10кВ МСО</t>
  </si>
  <si>
    <t>д.Татищево</t>
  </si>
  <si>
    <t>КТП-10кВ д.Татищево</t>
  </si>
  <si>
    <t>д.Соловьево</t>
  </si>
  <si>
    <t>КТП-10кВ д.Соловьево</t>
  </si>
  <si>
    <t>д.Бабенки</t>
  </si>
  <si>
    <t>ЗТП-10кВ д.Бабенки-ФКРС</t>
  </si>
  <si>
    <t>КТП-10кВ Д.Бабенки-быт</t>
  </si>
  <si>
    <t>КТПП-10кВ КЗС</t>
  </si>
  <si>
    <t>д.Крячково</t>
  </si>
  <si>
    <t>КТП-10 кВ Крячково</t>
  </si>
  <si>
    <t>КТП-10кВ д.Незденово</t>
  </si>
  <si>
    <t>КТП-10кВ д.Бородино</t>
  </si>
  <si>
    <t>КТП-10кВ Бородино-ск.двор</t>
  </si>
  <si>
    <t>КТП-10кВ д.Мартынцево</t>
  </si>
  <si>
    <t>КТП-10кВ д.Н.Иван-е-ферма</t>
  </si>
  <si>
    <t>КТП-10кВ д.Н.Ивановское</t>
  </si>
  <si>
    <t>КТП-10кВ д.М.Семеново</t>
  </si>
  <si>
    <t>КТП-10кВ д.Барановская</t>
  </si>
  <si>
    <t>КТП-10кВ д.Михалково</t>
  </si>
  <si>
    <t>КТП-10кВ д.Максимцево</t>
  </si>
  <si>
    <t xml:space="preserve">КТП-10кВ д.Воронцово </t>
  </si>
  <si>
    <t>КТП-10кВ д.Василево</t>
  </si>
  <si>
    <t>КТП-10кВ д.Мануково</t>
  </si>
  <si>
    <t>с.Ильинское</t>
  </si>
  <si>
    <t>КТП-10кВ Столовая</t>
  </si>
  <si>
    <t>КТП-10кВ  д.Б.Аксеново</t>
  </si>
  <si>
    <t xml:space="preserve">КТПП-10кВ №2 АВМ </t>
  </si>
  <si>
    <t>ЗТП-10кВ №10 Школа</t>
  </si>
  <si>
    <t>д.Труфаново</t>
  </si>
  <si>
    <t>КТП-10кВ д.Труфаново</t>
  </si>
  <si>
    <t>КТП-10кВ д.Владышино</t>
  </si>
  <si>
    <t>КТП-10кВ Ж/д эл.сетей</t>
  </si>
  <si>
    <t>КТП-10кВ д.Андрейцево</t>
  </si>
  <si>
    <t>КТП-10кВ  д.Матвеевка</t>
  </si>
  <si>
    <t>КТП-10кВ д.Семенцево</t>
  </si>
  <si>
    <t>КТП-10кВ д.Сошниково</t>
  </si>
  <si>
    <t>КТП-10кВ д.Янино</t>
  </si>
  <si>
    <t>КТП-10кВ д.Б.Огрызково</t>
  </si>
  <si>
    <t>д.Покровское-3</t>
  </si>
  <si>
    <t>КТП-10 кВ Покровское-3</t>
  </si>
  <si>
    <t>д.Фетенино</t>
  </si>
  <si>
    <t>КТП-10кВ д.Фетенино</t>
  </si>
  <si>
    <t>КТП-10кВ д.Одинцово</t>
  </si>
  <si>
    <t>КТП-10кВ  д.Покровское</t>
  </si>
  <si>
    <t>КТП-10кВПолевая-4</t>
  </si>
  <si>
    <t>КТП-10кВ Центральная 7</t>
  </si>
  <si>
    <t>КТПП-10кВ Телятник</t>
  </si>
  <si>
    <t>КТПП-10кВ  Котельная № 1</t>
  </si>
  <si>
    <t xml:space="preserve">ЗТП-10кВ №6 Комплекс </t>
  </si>
  <si>
    <t>КТПП-10кв  Мастерские№2</t>
  </si>
  <si>
    <t>д.Молоствово</t>
  </si>
  <si>
    <t>КТП-10кВ  д.Молоствово</t>
  </si>
  <si>
    <t>Резервн.с.н.ПС220кВ</t>
  </si>
  <si>
    <t>КТП-10кВРезервн.с.н.ПС220кВ</t>
  </si>
  <si>
    <t>д.Желково</t>
  </si>
  <si>
    <t>КТП-10кВ  д.Желково</t>
  </si>
  <si>
    <t>д.Усад</t>
  </si>
  <si>
    <t>КТП-10кВ  д.Усад</t>
  </si>
  <si>
    <t>КТП-10кВ  д.Тепенино</t>
  </si>
  <si>
    <t>КТП-10кВ  д.Раздобарино</t>
  </si>
  <si>
    <t>КТП-10кВ д.Кучино-дер.</t>
  </si>
  <si>
    <t>д.Митино</t>
  </si>
  <si>
    <t>КТП-10кВ  д.Митино</t>
  </si>
  <si>
    <t>д.Анино</t>
  </si>
  <si>
    <t>КТП-10кВ  д.Анино</t>
  </si>
  <si>
    <t>д.Князево</t>
  </si>
  <si>
    <t>КТП-10кВ  д.Князево</t>
  </si>
  <si>
    <t>д.Теплиново</t>
  </si>
  <si>
    <t>КТП-10кВ  д.Теплиново</t>
  </si>
  <si>
    <t>д.Папино</t>
  </si>
  <si>
    <t>КТП-10кВ  д.Папино</t>
  </si>
  <si>
    <t>д.Слободка</t>
  </si>
  <si>
    <t>КТП-10кВ  д.Слободка</t>
  </si>
  <si>
    <t>КТП-10кВ  д.Яковлево</t>
  </si>
  <si>
    <t>д.Отрубнево</t>
  </si>
  <si>
    <t>КТП-10кВ  д.Отрубнево</t>
  </si>
  <si>
    <t>КТП-10кВ  д.Юрино</t>
  </si>
  <si>
    <t>КТП-10кВ  д.Долматов</t>
  </si>
  <si>
    <t>КТП-10кВ  д.Костенево</t>
  </si>
  <si>
    <t>КТП-10кВ  д.Бронницы</t>
  </si>
  <si>
    <t>д.Селищи</t>
  </si>
  <si>
    <t>КТП-10кВ  д.Селищи-1</t>
  </si>
  <si>
    <t>КТП-10кВ  д.Селищи-2</t>
  </si>
  <si>
    <t>КТП-10кВ  д.Селищи-4</t>
  </si>
  <si>
    <t>КТП-10кВ Компл. Октябрь</t>
  </si>
  <si>
    <t>КТП-10 кВ 088</t>
  </si>
  <si>
    <t>КТП-10кВ  Заводской</t>
  </si>
  <si>
    <t>КТП-10 кВ Слободка-2</t>
  </si>
  <si>
    <t>д.Шатрищи</t>
  </si>
  <si>
    <t xml:space="preserve">КТП 10кВ д.Шатрищи-№4 </t>
  </si>
  <si>
    <t>КТП-10кВ  д.Шатрищи-1</t>
  </si>
  <si>
    <t>КТП-10кВ  д.Шатрищи-2</t>
  </si>
  <si>
    <t>д.Кожухово</t>
  </si>
  <si>
    <t>КТП-10кВ  д.Кожухово</t>
  </si>
  <si>
    <t>КТП-10кВ База участка</t>
  </si>
  <si>
    <t>КТП-10кВ д.Ильинское-маст</t>
  </si>
  <si>
    <t>КТП-10кВд.Ильинское-8 ж/д</t>
  </si>
  <si>
    <t>ЗТП-10кВ №4 Кормоцех</t>
  </si>
  <si>
    <t>КТП 10кВ д.Титово-№6</t>
  </si>
  <si>
    <t>ЗТП-10кВ №2 Птичники-Титово</t>
  </si>
  <si>
    <t>ЗТП-10кВ №1Птичники-Титово</t>
  </si>
  <si>
    <t>ЗТП-10кВ №3 Птичники-Титово</t>
  </si>
  <si>
    <t>ЗТП-10кВ №4 Птичники-Титово</t>
  </si>
  <si>
    <t>ЗТП-10кВ  №111</t>
  </si>
  <si>
    <t>КТПП-10кВ Сенной сарай</t>
  </si>
  <si>
    <t>ЗТП-10кВ д.Шевелево</t>
  </si>
  <si>
    <t>КТП-10кВ д.Ваулино-1</t>
  </si>
  <si>
    <t>КТП-10 кВ д. Ваулино-№7</t>
  </si>
  <si>
    <t>КТП-10кВ д.Семенково</t>
  </si>
  <si>
    <t>д.Глазово</t>
  </si>
  <si>
    <t>КТП-10кВ д.Глазово-1</t>
  </si>
  <si>
    <t>д.Михеево</t>
  </si>
  <si>
    <t>КТП-10кВ д.Михеево</t>
  </si>
  <si>
    <t>КТП-10кВ д.Михеево №2</t>
  </si>
  <si>
    <t>д.Абрамово</t>
  </si>
  <si>
    <t>КТП-10кВ д.Абрамово</t>
  </si>
  <si>
    <t>КТП-10кВ б/о Абрам.бор</t>
  </si>
  <si>
    <t>КТП-10кВ д.Остров-1</t>
  </si>
  <si>
    <t>КТП-10кВ д.Остров-2</t>
  </si>
  <si>
    <t>КТП-10 кВ Остров-4</t>
  </si>
  <si>
    <t>д.Каюрово</t>
  </si>
  <si>
    <t>КТП-10кВ д.Каюрово</t>
  </si>
  <si>
    <t>КТП-10кВд.Каюрово-шк</t>
  </si>
  <si>
    <t>д.Мельгуново</t>
  </si>
  <si>
    <t>КТП-10кВд.Мельгуново</t>
  </si>
  <si>
    <t>д.Тихоново</t>
  </si>
  <si>
    <t>КТП-10кВ д.Тихоново</t>
  </si>
  <si>
    <t>КТП-10 кВ д.Тихоново-2</t>
  </si>
  <si>
    <t>КТП 124 Родничок</t>
  </si>
  <si>
    <t>КТП 123 Смородинка</t>
  </si>
  <si>
    <t>д.Скулино</t>
  </si>
  <si>
    <t>КТП-10кВ д.Скулино-2</t>
  </si>
  <si>
    <t>КТП-10кВ д.Скулино-1</t>
  </si>
  <si>
    <t>д.Плешково</t>
  </si>
  <si>
    <t>КТП-10кВд.Плешково-1</t>
  </si>
  <si>
    <t>КТП-10кВд.Плешково-1а</t>
  </si>
  <si>
    <t>КТП-10кВд.Плешково-2</t>
  </si>
  <si>
    <t>КТП-10кВ "Квейл"-4</t>
  </si>
  <si>
    <t>КТП-10кВ д.Плешково-6</t>
  </si>
  <si>
    <t>КТП-10кВ б/о Полет</t>
  </si>
  <si>
    <t>КТП-10кВд.Плешково-12</t>
  </si>
  <si>
    <t>д.Ваулино</t>
  </si>
  <si>
    <t>КТП 128</t>
  </si>
  <si>
    <t>п.Центральный</t>
  </si>
  <si>
    <t>КТП-10кВ Профил-рий</t>
  </si>
  <si>
    <t>КТП-10кВ№106 Клубн.пер</t>
  </si>
  <si>
    <t>ЗТП-10кВ №109 Мастерские</t>
  </si>
  <si>
    <t xml:space="preserve">ЗТП-10кВ №110 ж/д </t>
  </si>
  <si>
    <t>ЗТП-10кВ №116 Лесхоз</t>
  </si>
  <si>
    <t>КТП-10кВ №117 Телятник</t>
  </si>
  <si>
    <t>КТП-10кВ ПМК-10 №153</t>
  </si>
  <si>
    <t>КТП-10кВ № 91 ДРСУ</t>
  </si>
  <si>
    <t>г.Кимры,пр.Лоткова</t>
  </si>
  <si>
    <t>КТП-10кВ Жил.дома</t>
  </si>
  <si>
    <t>КТПП-10кВ д.Н.Ив.-склады</t>
  </si>
  <si>
    <t>КТП-10 кВ 224 Керузино ФКРС</t>
  </si>
  <si>
    <t>д.Неклюдово</t>
  </si>
  <si>
    <t>КТП-10кВ223 Клуб, с/совет</t>
  </si>
  <si>
    <t>д.Спирово</t>
  </si>
  <si>
    <t>КТП-10кВ д.Спирово</t>
  </si>
  <si>
    <t>КТП-10/0,4кВ 225 Керузино</t>
  </si>
  <si>
    <t>д.Сыркино</t>
  </si>
  <si>
    <t>КТП-10кВ 226 Сыркино</t>
  </si>
  <si>
    <t>д.Чириково</t>
  </si>
  <si>
    <t>КТП-10кВ 227 Чириково</t>
  </si>
  <si>
    <t>д.Сосновицы</t>
  </si>
  <si>
    <t>КТП-10/0,4 кВ 228 Сосновицы</t>
  </si>
  <si>
    <t>д.Николо-Ям</t>
  </si>
  <si>
    <t>КТП-10кВ КТП 229 Николо-Ям</t>
  </si>
  <si>
    <t>д.Бабинское</t>
  </si>
  <si>
    <t>КТП-10/0,4 кВ 230 Бабинское</t>
  </si>
  <si>
    <t>д.Набережная</t>
  </si>
  <si>
    <t>КТП-10/0,4 кВ 231 Набережная</t>
  </si>
  <si>
    <t>д.Вороново</t>
  </si>
  <si>
    <t>КТП-10/0,4 кВ 232 Вороново-1</t>
  </si>
  <si>
    <t>КТП-10,04 кВ 233 Вороново-2</t>
  </si>
  <si>
    <t>д.Клясово</t>
  </si>
  <si>
    <t>КТП-10/0,4 кВ 234 Клясово</t>
  </si>
  <si>
    <t>д.Ново-Неклюдово</t>
  </si>
  <si>
    <t>КТП-10кВ д.Ново-Неклюдово-маст</t>
  </si>
  <si>
    <t>д.Тушаково</t>
  </si>
  <si>
    <t>КТП-10/0,4 кВ 200 Тушаково</t>
  </si>
  <si>
    <t>КТПП-10/0,4 кВ 201 Коттеджи</t>
  </si>
  <si>
    <t>КТПП-10/0,4 кВ 203 Пилорама</t>
  </si>
  <si>
    <t>д.Норбужье</t>
  </si>
  <si>
    <t>КТП-10/0,4 кВ 205 Норбужье-1</t>
  </si>
  <si>
    <t>д.Романово</t>
  </si>
  <si>
    <t>КТП-10/0,4 кВ 207 Романово-1</t>
  </si>
  <si>
    <t>КТП-10/0,4 кВ 208 Романово-2</t>
  </si>
  <si>
    <t>КТП-10/0,4 кВ 209 Романово-3</t>
  </si>
  <si>
    <t>д.Подосеново</t>
  </si>
  <si>
    <t>КТП-10/0,4кВ 210 Подосеново</t>
  </si>
  <si>
    <t>д.Ченцы</t>
  </si>
  <si>
    <t>КТП-10/0,4 кВ 211 Ченцы</t>
  </si>
  <si>
    <t>д.Назарово</t>
  </si>
  <si>
    <t>КТП-10/0,4кВ 212 Назарово</t>
  </si>
  <si>
    <t>д.Высоково</t>
  </si>
  <si>
    <t>КТП-10/0,4 кВ 213 Высоково</t>
  </si>
  <si>
    <t>КТП-10 кВ 135 д. Высоково-2</t>
  </si>
  <si>
    <t>КТП-10/0,4 кВ 215 Ст. Акатово</t>
  </si>
  <si>
    <t>КТП-10/0,4 кВ 216 База Рыболов-Спортсмен</t>
  </si>
  <si>
    <t>КТП-10/0,4 кВ 219 Н. Акатово</t>
  </si>
  <si>
    <t>КТП-10/0,4 кВ 220 Ст.Миглощи</t>
  </si>
  <si>
    <t>КТП-10/0,4 кВ 221 Н. Миглощи</t>
  </si>
  <si>
    <t>КТП-10/0,4 кВ 222 Медведицкое</t>
  </si>
  <si>
    <t>ЗТП-10кВ №114</t>
  </si>
  <si>
    <t>КТП-10кВ Гараж</t>
  </si>
  <si>
    <t>ЗТП-10кВ №146</t>
  </si>
  <si>
    <t>КТП-10кВ  Жил.дома</t>
  </si>
  <si>
    <t>ЗТП-10кВ №113 ц.у.Шелковка</t>
  </si>
  <si>
    <t>КТПП-10кВ Теплицы</t>
  </si>
  <si>
    <t>д.Крева</t>
  </si>
  <si>
    <t>КТП 122</t>
  </si>
  <si>
    <t>д.Богунино</t>
  </si>
  <si>
    <t>КТП-10 кВ Богунино-1</t>
  </si>
  <si>
    <t>КТП-10кВ д.Богунино-2</t>
  </si>
  <si>
    <t>КТП-10 кВ Богунино-3</t>
  </si>
  <si>
    <t>д.Богунино-ферма</t>
  </si>
  <si>
    <t>КТПП-10кВ д.Богунино-ферма</t>
  </si>
  <si>
    <t>КТП-10кВ д.Пекуново-2</t>
  </si>
  <si>
    <t>КТП-10кВ д.Крева-1</t>
  </si>
  <si>
    <t>КТП-10кВ д.Крева-3</t>
  </si>
  <si>
    <t>КТП-10кВ д.Крева-№6</t>
  </si>
  <si>
    <t>д.Святье</t>
  </si>
  <si>
    <t>КТП-10 кВ №129 Святье</t>
  </si>
  <si>
    <t>КТП-10кВ д.Святье-1</t>
  </si>
  <si>
    <t>КТП-10кВ д.Святье-2</t>
  </si>
  <si>
    <t>КТП-10кВ д.Святье-4(бахитов)</t>
  </si>
  <si>
    <t>КТП-10кВ д.Пекуново</t>
  </si>
  <si>
    <t>д.Ушаковка</t>
  </si>
  <si>
    <t>КТП-10кВ д.Ушаковка-1</t>
  </si>
  <si>
    <t>КТП-10кВ д.Ушаковка-2</t>
  </si>
  <si>
    <t>КТП-10 кВ 136 (д.Ушаковка-3)</t>
  </si>
  <si>
    <t>КТП-10кВ д.Слободищи</t>
  </si>
  <si>
    <t>КТП-10кВ д.Подберезье</t>
  </si>
  <si>
    <t>д.Топорок</t>
  </si>
  <si>
    <t>КТП-10кВ д.Топорок</t>
  </si>
  <si>
    <t>КТП-10кВ д.Топорок-№2</t>
  </si>
  <si>
    <t>КТП-10кВ д.Соболево-1</t>
  </si>
  <si>
    <t>КТП-10кВ д.Соболево-2</t>
  </si>
  <si>
    <t>д.Емельяновка</t>
  </si>
  <si>
    <t>КТП-10 кВ 086</t>
  </si>
  <si>
    <t>д.Мерлино</t>
  </si>
  <si>
    <t>КТП-10кВ д.Мерлино</t>
  </si>
  <si>
    <t>КТП-10кВ д.Кореньково</t>
  </si>
  <si>
    <t>КТП-10кВ Пилорама</t>
  </si>
  <si>
    <t xml:space="preserve">КТП-10кВ д.Шутово-быт </t>
  </si>
  <si>
    <t>КТП-10кВ  д.Азарово</t>
  </si>
  <si>
    <t xml:space="preserve">КТП-10кВ д.Горычкино </t>
  </si>
  <si>
    <t>КТПП-10кВ д.Рязань</t>
  </si>
  <si>
    <t>д.Воробьево</t>
  </si>
  <si>
    <t>КТП-10кВ д.Воробьево</t>
  </si>
  <si>
    <t>д.Строево</t>
  </si>
  <si>
    <t>КТПП-10кВ д.Строево</t>
  </si>
  <si>
    <t>д.Федоровка</t>
  </si>
  <si>
    <t>КТП-10кВ д.Федоровка-очист.</t>
  </si>
  <si>
    <t>д.Филиппово</t>
  </si>
  <si>
    <t>КТП-10кВ д.Филиппово</t>
  </si>
  <si>
    <t>д.Кругловка-Поповка</t>
  </si>
  <si>
    <t>КТП-10кВд.Кругловка-Поповка</t>
  </si>
  <si>
    <t>КТП-10кВ Мастерские №98</t>
  </si>
  <si>
    <t>ЗТПП 134 д. Паскино ЦУ</t>
  </si>
  <si>
    <t>КТП 140 д. Сотское</t>
  </si>
  <si>
    <t>КТП-10кВ 141 д.Лукьяново-Завидово</t>
  </si>
  <si>
    <t>д.Чириково,Редриково</t>
  </si>
  <si>
    <t>КТП 142 д.Чириково,Редриково</t>
  </si>
  <si>
    <t>д.Паскино</t>
  </si>
  <si>
    <t>КТПП-10кВ 144 Паскино-школа</t>
  </si>
  <si>
    <t>КТП 145 д. Петровское, Володарское</t>
  </si>
  <si>
    <t>КТП 147 д. Радилово-быт</t>
  </si>
  <si>
    <t>КТП 148 д. Выглово</t>
  </si>
  <si>
    <t>КТПП 149 д. Творогово</t>
  </si>
  <si>
    <t>КТП 150 д. Биколово</t>
  </si>
  <si>
    <t>д.Ченцово</t>
  </si>
  <si>
    <t>КТП 097</t>
  </si>
  <si>
    <t>д.Н.Заручьево</t>
  </si>
  <si>
    <t>КТП 098</t>
  </si>
  <si>
    <t>д.Фролово</t>
  </si>
  <si>
    <t>КТП 099</t>
  </si>
  <si>
    <t>д.Лосево-Пантелеево</t>
  </si>
  <si>
    <t>КТП 094</t>
  </si>
  <si>
    <t>д.Верино-Молгино</t>
  </si>
  <si>
    <t>КТП 095</t>
  </si>
  <si>
    <t>д.Вербилково-Носково</t>
  </si>
  <si>
    <t>КТП 096</t>
  </si>
  <si>
    <t>КТП 105</t>
  </si>
  <si>
    <t>д.Стоянцы</t>
  </si>
  <si>
    <t>КТПП 101</t>
  </si>
  <si>
    <t>КТП 102</t>
  </si>
  <si>
    <t>КТП 103</t>
  </si>
  <si>
    <t>КТП 104</t>
  </si>
  <si>
    <t>д.Петухово</t>
  </si>
  <si>
    <t>КТП 107</t>
  </si>
  <si>
    <t>д.Русилово</t>
  </si>
  <si>
    <t>КТП 106</t>
  </si>
  <si>
    <t>д.Гайново</t>
  </si>
  <si>
    <t>КТП 108</t>
  </si>
  <si>
    <t>д.Рожново-Пестово</t>
  </si>
  <si>
    <t xml:space="preserve">КТПП 109 </t>
  </si>
  <si>
    <t>д.Якшино</t>
  </si>
  <si>
    <t>КТП 110</t>
  </si>
  <si>
    <t>д.Пустыри</t>
  </si>
  <si>
    <t>КТП 111</t>
  </si>
  <si>
    <t>д.Пекарево</t>
  </si>
  <si>
    <t>КТП 112</t>
  </si>
  <si>
    <t>д.Ломово</t>
  </si>
  <si>
    <t>КТП 113</t>
  </si>
  <si>
    <t>д.Зубырино</t>
  </si>
  <si>
    <t>КТП 114</t>
  </si>
  <si>
    <t>д.Дитятево</t>
  </si>
  <si>
    <t>КТП 115</t>
  </si>
  <si>
    <t>КТП 116</t>
  </si>
  <si>
    <t>д.Бардуково</t>
  </si>
  <si>
    <t>КТП 117</t>
  </si>
  <si>
    <t>д.Семеново</t>
  </si>
  <si>
    <t>КТП 118</t>
  </si>
  <si>
    <t>д.Вандышево</t>
  </si>
  <si>
    <t>КТП 119</t>
  </si>
  <si>
    <t>КТП-10кВ д.Выркино</t>
  </si>
  <si>
    <t>КТП-10кВ д.Старово,Быково</t>
  </si>
  <si>
    <t>КТП-10кВ д.Борисково</t>
  </si>
  <si>
    <t>КТП-10кВ д.Ненорово</t>
  </si>
  <si>
    <t>КТП-10кВ д.Богуново-Дор</t>
  </si>
  <si>
    <t>ЗТП-10кВ Кошкино-Комплекс</t>
  </si>
  <si>
    <t>КТП-10кВ д.Чухово</t>
  </si>
  <si>
    <t>КТП-10кВ д.Михалево</t>
  </si>
  <si>
    <t>КТП-10кВ д.Никитское</t>
  </si>
  <si>
    <t>КТПП-10кВ Кошкино-Коттеджи</t>
  </si>
  <si>
    <t>д.Старово</t>
  </si>
  <si>
    <t>КТП-10кВ д.Старово</t>
  </si>
  <si>
    <t>КТП-10кВ д.Сергово</t>
  </si>
  <si>
    <t>КТПП-10кВ д.Красное-КЗС</t>
  </si>
  <si>
    <t>КТП-10кВ д.Вески</t>
  </si>
  <si>
    <t>д.Красное</t>
  </si>
  <si>
    <t>КТП-10кВ Красное-быт</t>
  </si>
  <si>
    <t>д.Подъелье</t>
  </si>
  <si>
    <t>КТП-10кВ д.Подъелье</t>
  </si>
  <si>
    <t>КТП-10кВ д.Петрово</t>
  </si>
  <si>
    <t>КТПП-10кВ Красное-Клуб</t>
  </si>
  <si>
    <t>КТПП-10кВ д.Кучино-мастерск</t>
  </si>
  <si>
    <t>КТПП-10кВ д.Кучино-Центр</t>
  </si>
  <si>
    <t>КТП-10кВ д.Данильцево</t>
  </si>
  <si>
    <t>КТП-10кВ  д.Исаево</t>
  </si>
  <si>
    <t>д.Печетово</t>
  </si>
  <si>
    <t>КТПП-10кВ д.Печетово-клуб</t>
  </si>
  <si>
    <t>ЗТП-10кВ Печетово-коттеджи</t>
  </si>
  <si>
    <t>КТПП-10кВ д.Ильино-Костино</t>
  </si>
  <si>
    <t>д.Николо-Неверьево</t>
  </si>
  <si>
    <t>КТП-10кВд.Николо-Неверьево</t>
  </si>
  <si>
    <t>КТП-10кВ д.Бересловлево</t>
  </si>
  <si>
    <t>д.Сельцы</t>
  </si>
  <si>
    <t>КТП-10кВ д.Сельцы</t>
  </si>
  <si>
    <t>КТП-10кВ д.Овсянн.-Раменье</t>
  </si>
  <si>
    <t>д.Салово-Глухово</t>
  </si>
  <si>
    <t>КТП-10кВд.Салово-Глухово</t>
  </si>
  <si>
    <t>КТП-10кВ д.Обутьково</t>
  </si>
  <si>
    <t>д.Лосево</t>
  </si>
  <si>
    <t>КТП-10кВ МастерскиеЛосево</t>
  </si>
  <si>
    <t>КТП-10кВ д.Скорнево</t>
  </si>
  <si>
    <t>КТП-10кВ д.Городищи</t>
  </si>
  <si>
    <t>КТП-10кВ д.Поляны</t>
  </si>
  <si>
    <t>д.Алешово</t>
  </si>
  <si>
    <t>КТП-10кВ д.Алешово</t>
  </si>
  <si>
    <t>д.Шумилово</t>
  </si>
  <si>
    <t>КТП-10 кВ д.Шумилово</t>
  </si>
  <si>
    <t>КТП-10кВ д.Колюбеево</t>
  </si>
  <si>
    <t>д.Константиново</t>
  </si>
  <si>
    <t>КТП-10кВ д.Константиново</t>
  </si>
  <si>
    <t>КТП-10кВ д.Глазачево</t>
  </si>
  <si>
    <t>КТП-10кВ д.Прокунино</t>
  </si>
  <si>
    <t>КТП-10кВ д.Лосево-деревня</t>
  </si>
  <si>
    <t>КТП-10кВ ЗСП д.Лосево</t>
  </si>
  <si>
    <t xml:space="preserve">КТП-10кВ д.Сотницы-Конст </t>
  </si>
  <si>
    <t>КТП-10кВ д.Лосево-Клуб</t>
  </si>
  <si>
    <t>д.Устиново</t>
  </si>
  <si>
    <t>КТПП-10кВ д.Устиново-ферма</t>
  </si>
  <si>
    <t>КТП-10кВ д.Устиново-маст.</t>
  </si>
  <si>
    <t>д.Голузино</t>
  </si>
  <si>
    <t>КТП-10кВ  д.Голузино-Харпаево-Пузаково</t>
  </si>
  <si>
    <t xml:space="preserve">КТП-10кВ д.Кокориха </t>
  </si>
  <si>
    <t>д.Чупеево</t>
  </si>
  <si>
    <t>КТП-10кВ д.Чупеево</t>
  </si>
  <si>
    <t>КТП-10кВ д.Шушпаново</t>
  </si>
  <si>
    <t>КТП-10кВ База ВМФ</t>
  </si>
  <si>
    <t>КТП-10кВ д.Клыпино</t>
  </si>
  <si>
    <t>д.Кокоурово</t>
  </si>
  <si>
    <t>КТП-10кВ д.Кокоурово</t>
  </si>
  <si>
    <t>КТП-10кВ д.Григорьевское</t>
  </si>
  <si>
    <t>КТП-10кВ д.Медведково</t>
  </si>
  <si>
    <t>д.Бяшево</t>
  </si>
  <si>
    <t>КТП-10кВ д.Бяшево</t>
  </si>
  <si>
    <t>д.Леоново-Журово</t>
  </si>
  <si>
    <t>КТП-10кВд.Леоново-Журово</t>
  </si>
  <si>
    <t>д.Абросимово</t>
  </si>
  <si>
    <t>КТП-10кВ д.Абросимово</t>
  </si>
  <si>
    <t>д.Никитино-Нефедово</t>
  </si>
  <si>
    <t>КТП-10кВд.Никитино-Нефедово</t>
  </si>
  <si>
    <t>КТП-10кВ д.Демидово</t>
  </si>
  <si>
    <t>д.Симоново</t>
  </si>
  <si>
    <t>КТП-10кВ д.Симоново</t>
  </si>
  <si>
    <t>КТП-10кВ д.Устиново-ЗСП</t>
  </si>
  <si>
    <t>КТП-10кВ д.Шиблино</t>
  </si>
  <si>
    <t>д.Дудино</t>
  </si>
  <si>
    <t>КТП-10кВ д.Дудино</t>
  </si>
  <si>
    <t>д.Прудцы</t>
  </si>
  <si>
    <t>КТП-10кВ д.Прудцы</t>
  </si>
  <si>
    <t>д.Кислово-Кожухово</t>
  </si>
  <si>
    <t>КТП-10кВ д.Кислово-Кожухово</t>
  </si>
  <si>
    <t>КТП-10кВ д.Усово</t>
  </si>
  <si>
    <t>КТП-10кВд.Устиново-коттед.</t>
  </si>
  <si>
    <t>КТП-10кВ д.Устиново-школа</t>
  </si>
  <si>
    <t>КТП-10кВ д.Реутово</t>
  </si>
  <si>
    <t>КТПП-10кВ Комплекс</t>
  </si>
  <si>
    <t>д.Ларцево</t>
  </si>
  <si>
    <t>КТП-10кВ д.Ларцево</t>
  </si>
  <si>
    <t>КТПП-10кВд.Федоровка-быт</t>
  </si>
  <si>
    <t>КТП-10кВд.Федоровка-маст.</t>
  </si>
  <si>
    <t>КТПП-10квд.Федоровка КЗС</t>
  </si>
  <si>
    <t>д.Демидовка</t>
  </si>
  <si>
    <t>КТП-10кВ д.Демидовка-ферм.</t>
  </si>
  <si>
    <t>КТП-10кВ  д.Игнатово</t>
  </si>
  <si>
    <t>КТП-10кВ д.Губин Угол-2</t>
  </si>
  <si>
    <t>КТП-10кВ д.Калинино</t>
  </si>
  <si>
    <t>КТП-10кВ д.Губин Угол-1</t>
  </si>
  <si>
    <t>160+400</t>
  </si>
  <si>
    <t>250+160</t>
  </si>
  <si>
    <t>630+400</t>
  </si>
  <si>
    <t>250+400</t>
  </si>
  <si>
    <t>п.Земцы</t>
  </si>
  <si>
    <t>Нелидовский</t>
  </si>
  <si>
    <t>ЗТП-10кВ Земцы ЛПХ</t>
  </si>
  <si>
    <t>д.Новоникольское</t>
  </si>
  <si>
    <t>ЗТП-10кВ Новоникольское</t>
  </si>
  <si>
    <t>д.Новоселки</t>
  </si>
  <si>
    <t>д.Селы</t>
  </si>
  <si>
    <t>ЗТП-10кВ Селы ж/к</t>
  </si>
  <si>
    <t>ЗТП-10кВ Селы школа</t>
  </si>
  <si>
    <t>КТП 10кВ Новоникольское ул.Ветеранов</t>
  </si>
  <si>
    <t>д.Шарыкино</t>
  </si>
  <si>
    <t>КТП 10кВ Шарыкино</t>
  </si>
  <si>
    <t>д.Алексеево</t>
  </si>
  <si>
    <t>КТП-10кВ Алексеево</t>
  </si>
  <si>
    <t>д.Антипово</t>
  </si>
  <si>
    <t>КТП-10кВ Антипово</t>
  </si>
  <si>
    <t>д.Арбузово</t>
  </si>
  <si>
    <t>КТП-10кВ Арбузово</t>
  </si>
  <si>
    <t>д.Батурино</t>
  </si>
  <si>
    <t>КТП-10кВ Батурино</t>
  </si>
  <si>
    <t>КТП-10кВ Белая Гора</t>
  </si>
  <si>
    <t>д.Белейка</t>
  </si>
  <si>
    <t>КТП-10кВ Белейка</t>
  </si>
  <si>
    <t>д.Березники</t>
  </si>
  <si>
    <t>КТП-10кВ Березники</t>
  </si>
  <si>
    <t>д.Березовка</t>
  </si>
  <si>
    <t>КТП-10кВ Березовка</t>
  </si>
  <si>
    <t>КТП-10кВ Березовка маст.</t>
  </si>
  <si>
    <t>д.Богданово</t>
  </si>
  <si>
    <t>КТП-10кВ Богданово</t>
  </si>
  <si>
    <t>КТП-10кВ Богданово пионер лагерь</t>
  </si>
  <si>
    <t>КТП-10кВ Большая Каменка</t>
  </si>
  <si>
    <t>КТП-10кВ Бор Монинский</t>
  </si>
  <si>
    <t>КТП-10кВ Бор Нелидовский</t>
  </si>
  <si>
    <t>КТП-10кВ Борисово</t>
  </si>
  <si>
    <t>д.Борщевка</t>
  </si>
  <si>
    <t>КТП-10кВ Борщевка</t>
  </si>
  <si>
    <t>КТП-10кВ Бурцево</t>
  </si>
  <si>
    <t>д.Волчищево</t>
  </si>
  <si>
    <t>КТП-10кВ Волчищево</t>
  </si>
  <si>
    <t>д.Высокое</t>
  </si>
  <si>
    <t>КТП-10кВ Высокое</t>
  </si>
  <si>
    <t>КТП-10кВ Высокое ж/к</t>
  </si>
  <si>
    <t>КТП-10кВ Высокое КЗС</t>
  </si>
  <si>
    <t>КТП-10кВ Высокое мастерские</t>
  </si>
  <si>
    <t>д.Вяземка</t>
  </si>
  <si>
    <t>КТП-10кВ Вяземка</t>
  </si>
  <si>
    <t>д.Голаново</t>
  </si>
  <si>
    <t>КТП-10кВ Голаново</t>
  </si>
  <si>
    <t>д.Голосово</t>
  </si>
  <si>
    <t>КТП-10кВ Голосово</t>
  </si>
  <si>
    <t>КТП-10кВ Голосово ж/к</t>
  </si>
  <si>
    <t>д.Горки</t>
  </si>
  <si>
    <t>КТП-10кВ Горки</t>
  </si>
  <si>
    <t>д.Дорохи</t>
  </si>
  <si>
    <t>КТП-10кВ Дорохи</t>
  </si>
  <si>
    <t>д.Драньково</t>
  </si>
  <si>
    <t>КТП-10кВ Драньково</t>
  </si>
  <si>
    <t>д.Дрогачево</t>
  </si>
  <si>
    <t>КТП-10кВ Дрогачево</t>
  </si>
  <si>
    <t>КТП-10кВ Дятлово</t>
  </si>
  <si>
    <t>д.Жердовка</t>
  </si>
  <si>
    <t>КТП-10кВ Жердовка</t>
  </si>
  <si>
    <t>д.Жиглицы</t>
  </si>
  <si>
    <t>КТП-10кВ Жиглицы</t>
  </si>
  <si>
    <t>д.Заборье</t>
  </si>
  <si>
    <t>КТП-10кВ Заборье водокачка</t>
  </si>
  <si>
    <t>КТП-10кВ Заборье ЗСП</t>
  </si>
  <si>
    <t>КТП-10кВ Заборье мастерские</t>
  </si>
  <si>
    <t>КТП-10кВ Земцы детсад</t>
  </si>
  <si>
    <t>д.Ильюшено</t>
  </si>
  <si>
    <t>КТП-10кВ Ильюшено</t>
  </si>
  <si>
    <t>КТП-10кВ Ильюшино л/у</t>
  </si>
  <si>
    <t>д.Иоткино</t>
  </si>
  <si>
    <t>КТП-10кВ Иоткино</t>
  </si>
  <si>
    <t>д.Казарино</t>
  </si>
  <si>
    <t>КТП-10кВ Казарино</t>
  </si>
  <si>
    <t>КТП-10кВ Каменка</t>
  </si>
  <si>
    <t>д.Каменцы</t>
  </si>
  <si>
    <t>КТП-10кВ Каменцы</t>
  </si>
  <si>
    <t>д.Канаево</t>
  </si>
  <si>
    <t>КТП-10кВ Канаево</t>
  </si>
  <si>
    <t>д.Карпово</t>
  </si>
  <si>
    <t>КТП-10кВ Карпово</t>
  </si>
  <si>
    <t>КТП-10кВ Карпово водокачка</t>
  </si>
  <si>
    <t>д.Киркорово</t>
  </si>
  <si>
    <t>КТП-10кВ Киркорово</t>
  </si>
  <si>
    <t>КТП-10кВ Кирпичная</t>
  </si>
  <si>
    <t>д.Клевцы</t>
  </si>
  <si>
    <t>КТП-10кВ Клевцы</t>
  </si>
  <si>
    <t>д.Клютиково</t>
  </si>
  <si>
    <t>КТП-10кВ Клютиково</t>
  </si>
  <si>
    <t>д.Ковалево</t>
  </si>
  <si>
    <t>КТП-10кВ Ковалево</t>
  </si>
  <si>
    <t>д.Бахвалово</t>
  </si>
  <si>
    <t>КТП-10кВ Козино-Бахвалово</t>
  </si>
  <si>
    <t>д.Колесня</t>
  </si>
  <si>
    <t>КТП-10кВ Колесня</t>
  </si>
  <si>
    <t>д.Копейки</t>
  </si>
  <si>
    <t>КТП-10кВ Копейки</t>
  </si>
  <si>
    <t>д.Кортяшево</t>
  </si>
  <si>
    <t>КТП-10кВ Кортяшево</t>
  </si>
  <si>
    <t>д.Костино</t>
  </si>
  <si>
    <t>КТП-10кВ Костино</t>
  </si>
  <si>
    <t>д.Кошелево</t>
  </si>
  <si>
    <t>КТП-10кВ Кошелево</t>
  </si>
  <si>
    <t>д.Кривцово</t>
  </si>
  <si>
    <t>КТП-10кВ Кривцово КЗС</t>
  </si>
  <si>
    <t>КТП-10кВ Кривцово коттеджи</t>
  </si>
  <si>
    <t>д.Кукуево</t>
  </si>
  <si>
    <t>КТП-10кВ Кукуево</t>
  </si>
  <si>
    <t>д.Кутьево</t>
  </si>
  <si>
    <t>КТП-10кВ Кутьево</t>
  </si>
  <si>
    <t>д.Липенское</t>
  </si>
  <si>
    <t>КТП-10кВ Липенское</t>
  </si>
  <si>
    <t>КТП-10кВ Максимова Гора</t>
  </si>
  <si>
    <t>КТП-10кВ Малая Каменка</t>
  </si>
  <si>
    <t>д.Малюшкино</t>
  </si>
  <si>
    <t>КТП-10кВ Малюшкино</t>
  </si>
  <si>
    <t>д.Мешки</t>
  </si>
  <si>
    <t>КТП-10кВ Мешки</t>
  </si>
  <si>
    <t>д.Михайловка</t>
  </si>
  <si>
    <t>КТП-10кВ Михайловка</t>
  </si>
  <si>
    <t>КТП-10кВ Монино</t>
  </si>
  <si>
    <t>д.Мохоярово</t>
  </si>
  <si>
    <t>КТП-10кВ Мохоярово</t>
  </si>
  <si>
    <t>д.Н-Федоровское</t>
  </si>
  <si>
    <t>КТП-10кВ Н-Федоровское</t>
  </si>
  <si>
    <t>д.Нелидовка</t>
  </si>
  <si>
    <t>КТП-10кВ Нелидовка</t>
  </si>
  <si>
    <t>КТП-10кВ Нивы Пролетарий</t>
  </si>
  <si>
    <t>д.Никитино</t>
  </si>
  <si>
    <t>КТП-10кВ Никитино</t>
  </si>
  <si>
    <t>КТП-10кВ Никулинка (коттеджи)</t>
  </si>
  <si>
    <t>КТП-10кВ Никулинка ж/к</t>
  </si>
  <si>
    <t>д.Ново-Богданово</t>
  </si>
  <si>
    <t>КТП-10кВ Ново-Богданово</t>
  </si>
  <si>
    <t>КТП-10кВ Новоникольское ж/к</t>
  </si>
  <si>
    <t>КТП-10кВ Новоникольское коттеджи</t>
  </si>
  <si>
    <t>КТП-10кВ Новоселки ж/к</t>
  </si>
  <si>
    <t>КТП-10кВ Новоселки контора</t>
  </si>
  <si>
    <t>КТП-10кВ Новоселки коттеджи</t>
  </si>
  <si>
    <t>КТП-10кВ Новоселки почта</t>
  </si>
  <si>
    <t>д.Овсянкино</t>
  </si>
  <si>
    <t>КТП-10кВ Овсянкино</t>
  </si>
  <si>
    <t>д.П-Подлесье</t>
  </si>
  <si>
    <t>КТП-10кВ П-Подлесье школа</t>
  </si>
  <si>
    <t>КТП-10кВ п.Земцы (ул.Заводская)</t>
  </si>
  <si>
    <t>д.Паникля</t>
  </si>
  <si>
    <t>КТП-10кВ Паникля</t>
  </si>
  <si>
    <t>д.Перевоз</t>
  </si>
  <si>
    <t>КТП-10кВ Перевоз</t>
  </si>
  <si>
    <t>д.Плавенка</t>
  </si>
  <si>
    <t>КТП-10кВ Плавенка</t>
  </si>
  <si>
    <t>д.Половцово</t>
  </si>
  <si>
    <t>КТП-10кВ Половцово</t>
  </si>
  <si>
    <t>п.Бутаки</t>
  </si>
  <si>
    <t>КТП-10кВ пос.Бутаки</t>
  </si>
  <si>
    <t>д.Прудня</t>
  </si>
  <si>
    <t>КТП-10кВ Прудня-Борки</t>
  </si>
  <si>
    <t>КТП-10кВ Прудня-Селезенкино</t>
  </si>
  <si>
    <t>д.Прудянка</t>
  </si>
  <si>
    <t>КТП-10кВ Прудянка</t>
  </si>
  <si>
    <t>КТП-10кВ Пустое Подлесье</t>
  </si>
  <si>
    <t>д.Реданово</t>
  </si>
  <si>
    <t>КТП-10кВ Реданово</t>
  </si>
  <si>
    <t>д.Рожки</t>
  </si>
  <si>
    <t>КТП-10кВ Рожки</t>
  </si>
  <si>
    <t>КТП-10кВ Селы бани</t>
  </si>
  <si>
    <t>КТП-10кВ Селы мастерские</t>
  </si>
  <si>
    <t>КТП-10кВ Селы молодежная</t>
  </si>
  <si>
    <t>КТП-10кВ Селы-Козлово</t>
  </si>
  <si>
    <t>КТП-10кВ Сельэлектро</t>
  </si>
  <si>
    <t>КТП-10кВ Семеново</t>
  </si>
  <si>
    <t>д.Семеновское</t>
  </si>
  <si>
    <t>КТП-10кВ Семеновское</t>
  </si>
  <si>
    <t>д.Смольники</t>
  </si>
  <si>
    <t>КТП-10кВ Смольники</t>
  </si>
  <si>
    <t>д.Соболевка</t>
  </si>
  <si>
    <t>КТП-10кВ Соболевка</t>
  </si>
  <si>
    <t>д.Соболи</t>
  </si>
  <si>
    <t>КТП-10кВ Соболи</t>
  </si>
  <si>
    <t>д.Сюльки</t>
  </si>
  <si>
    <t>КТП-10кВ Сюльки</t>
  </si>
  <si>
    <t>д.Тесы</t>
  </si>
  <si>
    <t>КТП-10кВ Тесы</t>
  </si>
  <si>
    <t>д.Толухино</t>
  </si>
  <si>
    <t>КТП-10кВ Толухино</t>
  </si>
  <si>
    <t>д.Ульянино</t>
  </si>
  <si>
    <t>КТП-10кВ Ульянино</t>
  </si>
  <si>
    <t>д.Ущане</t>
  </si>
  <si>
    <t>КТП-10кВ Ущане</t>
  </si>
  <si>
    <t>д.Фильченки</t>
  </si>
  <si>
    <t>КТП-10кВ Фильченки</t>
  </si>
  <si>
    <t>д.Хлюстовка</t>
  </si>
  <si>
    <t>КТП-10кВ Хлюстовка</t>
  </si>
  <si>
    <t>д.Хмелевка</t>
  </si>
  <si>
    <t>КТП-10кВ Хмелевка</t>
  </si>
  <si>
    <t>д.Чернецово</t>
  </si>
  <si>
    <t>КТП-10кВ Чернецово</t>
  </si>
  <si>
    <t>КТП-10кВ Черницово Л/У</t>
  </si>
  <si>
    <t>д.Шанино</t>
  </si>
  <si>
    <t>КТП-10кВ Шанино</t>
  </si>
  <si>
    <t>д.Шарапкино</t>
  </si>
  <si>
    <t>КТП-10кВ Шарапкино</t>
  </si>
  <si>
    <t>д.Шейкино</t>
  </si>
  <si>
    <t>КТП-10кВ Шейкино</t>
  </si>
  <si>
    <t>д.Шумилы</t>
  </si>
  <si>
    <t>КТП-10кВ Шумилы</t>
  </si>
  <si>
    <t>КТП-6кВ Гараж шахта 3</t>
  </si>
  <si>
    <t>КТП-6кВ пос.Северный (Котедж)</t>
  </si>
  <si>
    <t>КТП-6кВ УЦР</t>
  </si>
  <si>
    <t>КТП-6кВ Шахта 4</t>
  </si>
  <si>
    <t>КТПН-10кВ Горки ж/к</t>
  </si>
  <si>
    <t>КТПН-10кВ Земцы водокачка</t>
  </si>
  <si>
    <t>КТПН-10кВ Земцы школа</t>
  </si>
  <si>
    <t>КТПН-10кВ Ковалево ж/к</t>
  </si>
  <si>
    <t>КТПН-10кВ Кривцово контора</t>
  </si>
  <si>
    <t>КТПН-10кВ Кривцово мастерские</t>
  </si>
  <si>
    <t>д.Лемешиха</t>
  </si>
  <si>
    <t>КТПН-10кВ Лемешиха</t>
  </si>
  <si>
    <t>д.Матренино</t>
  </si>
  <si>
    <t>КТПН-10кВ Матренино</t>
  </si>
  <si>
    <t>д.Никулинка</t>
  </si>
  <si>
    <t>КТПН-10кВ Никулинка АВМ</t>
  </si>
  <si>
    <t>КТПН-10кВ Никулинка мастерские</t>
  </si>
  <si>
    <t>КТПН-10кВ Новоселки КЗС</t>
  </si>
  <si>
    <t>КТПН-10кВ Новоселки мастерские</t>
  </si>
  <si>
    <t>д.Поличино</t>
  </si>
  <si>
    <t>КТПН-10кВ Поличино-Марьино</t>
  </si>
  <si>
    <t>КТПН-10кВ Селы КЗС</t>
  </si>
  <si>
    <t>КТПН-10кВ Селы МБК</t>
  </si>
  <si>
    <t>КТПН-6кВ Шахта 11</t>
  </si>
  <si>
    <t>КТПН-6кВ Шахта 7</t>
  </si>
  <si>
    <t>КТПП-10кВ Антипово ж/к (в резерве)</t>
  </si>
  <si>
    <t>КТПП-10кВ Заборье</t>
  </si>
  <si>
    <t>КТПП-10кВ Нижнее заборье</t>
  </si>
  <si>
    <t>КТПП-6кВ Шахта 5</t>
  </si>
  <si>
    <t>д.Бутаки</t>
  </si>
  <si>
    <t>МТП-10 кВ Бутаки</t>
  </si>
  <si>
    <t>МТП-10 кВ Дятловский Тупик</t>
  </si>
  <si>
    <t>МТП-10 кВ Макарьево</t>
  </si>
  <si>
    <t>МТП-10 кВ Малая Хмелевка</t>
  </si>
  <si>
    <t>д.Миндюри</t>
  </si>
  <si>
    <t>МТП-10 кВ Миндюри</t>
  </si>
  <si>
    <t>МТП-10 кВ Нивы</t>
  </si>
  <si>
    <t>д.Подберезье</t>
  </si>
  <si>
    <t>МТП-10 кВ Подберезье</t>
  </si>
  <si>
    <t>д.Прохорово</t>
  </si>
  <si>
    <t>МТП-10 кВ Прохорово</t>
  </si>
  <si>
    <t>д.Чернушка</t>
  </si>
  <si>
    <t>МТП-10/04кВ д. Чернушка</t>
  </si>
  <si>
    <t>Ржевский</t>
  </si>
  <si>
    <t>КТП 302 Высокое</t>
  </si>
  <si>
    <t>ЗТП 010 Путеец</t>
  </si>
  <si>
    <t>д.Абрамково</t>
  </si>
  <si>
    <t>МТП 152 Абрамково</t>
  </si>
  <si>
    <t>КТП 416 Толстиково</t>
  </si>
  <si>
    <t>МТП 214 Кузьмарино</t>
  </si>
  <si>
    <t>КТПП 020 Медведево-8</t>
  </si>
  <si>
    <t>КТП 221 Медведево-2</t>
  </si>
  <si>
    <t>КТП 365 Медведево-4</t>
  </si>
  <si>
    <t>д.Лигостаево</t>
  </si>
  <si>
    <t>КТП 358 Лигостаево</t>
  </si>
  <si>
    <t>КТП 180 Дубровка</t>
  </si>
  <si>
    <t>КТП 366 Медведево-5</t>
  </si>
  <si>
    <t>КТП 364 Медведео-3</t>
  </si>
  <si>
    <t>КТП 179 Домашино-1</t>
  </si>
  <si>
    <t>КТП 178 Домашино-3</t>
  </si>
  <si>
    <t>КТП 177 Домашино-4</t>
  </si>
  <si>
    <t>ЗТП 018 Домашино-2</t>
  </si>
  <si>
    <t>КТП 267 Турбаево</t>
  </si>
  <si>
    <t>д.Кротково</t>
  </si>
  <si>
    <t>КТП 212 Кротково</t>
  </si>
  <si>
    <t>д.Алёшево</t>
  </si>
  <si>
    <t>МТП 284 Алёшево-1</t>
  </si>
  <si>
    <t>КТП 385 Папино</t>
  </si>
  <si>
    <t>КТП 273 Харитоново</t>
  </si>
  <si>
    <t>КТП 402 Сбоево</t>
  </si>
  <si>
    <t>КТП 148 Юрятино</t>
  </si>
  <si>
    <t>КТП 242 Бых. Слобода Пестриково</t>
  </si>
  <si>
    <t>КТП 261 Таблино</t>
  </si>
  <si>
    <t>КТП 249 Появилово</t>
  </si>
  <si>
    <t>КТП 204 Ковалёво</t>
  </si>
  <si>
    <t>КТП 252 Санталово</t>
  </si>
  <si>
    <t>КТП 373 Муравьёво-2</t>
  </si>
  <si>
    <t>д.Зарубино</t>
  </si>
  <si>
    <t>КТП 091 Зарубино</t>
  </si>
  <si>
    <t>д.Муравьёво</t>
  </si>
  <si>
    <t>КТП 230 Муравьёво-1</t>
  </si>
  <si>
    <t>КТП 085 Грешниково</t>
  </si>
  <si>
    <t>КТП 078 Бурмосово</t>
  </si>
  <si>
    <t>КТП 257 Сосновка</t>
  </si>
  <si>
    <t>КТП 469 Верхний Бор</t>
  </si>
  <si>
    <t>КТП 086 Гришино-1</t>
  </si>
  <si>
    <t>КТП 515 Редькино</t>
  </si>
  <si>
    <t>КТП 247 Почигаево</t>
  </si>
  <si>
    <t>КТП 229 Мужищево</t>
  </si>
  <si>
    <t>КТП 103 Мончалово</t>
  </si>
  <si>
    <t>д.Тростино</t>
  </si>
  <si>
    <t>КТП 266 Тростино-2</t>
  </si>
  <si>
    <t>КТП 265 Тростино-1</t>
  </si>
  <si>
    <t>д.Мончорово</t>
  </si>
  <si>
    <t>КТП 104 Мончорово</t>
  </si>
  <si>
    <t>КТП 153 Абрамово</t>
  </si>
  <si>
    <t>КТП 243 Петуново</t>
  </si>
  <si>
    <t>КТП 236 Нечаево</t>
  </si>
  <si>
    <t>КТП 447 Жуково</t>
  </si>
  <si>
    <t>КТП 079 Малахово Волжское</t>
  </si>
  <si>
    <t>КТП 057 Шопорово-1</t>
  </si>
  <si>
    <t>КТП 483 Шопорово-2</t>
  </si>
  <si>
    <t>МТП 151 Лазарево</t>
  </si>
  <si>
    <t>КТП 206 Ковынёво-1</t>
  </si>
  <si>
    <t>КТП 205 Ковынёво-2</t>
  </si>
  <si>
    <t>КТП 389 Поволжье-1</t>
  </si>
  <si>
    <t>КТП 051 Поволжье-2</t>
  </si>
  <si>
    <t>КТП 176 Добрая</t>
  </si>
  <si>
    <t>ЗТП 009 Победа д/с</t>
  </si>
  <si>
    <t>КТП 231 Мурылёво</t>
  </si>
  <si>
    <t>ЗТП 017 Победа школа</t>
  </si>
  <si>
    <t>КТП 159 Борисово</t>
  </si>
  <si>
    <t>КТП 239 Осипово</t>
  </si>
  <si>
    <t>КТП 218 Леонтьево</t>
  </si>
  <si>
    <t>КТП 195 Знаменское-1</t>
  </si>
  <si>
    <t>д.Знаменское</t>
  </si>
  <si>
    <t>КТП 196 Знаменское-2</t>
  </si>
  <si>
    <t>д.Починки</t>
  </si>
  <si>
    <t>КТП 248 Починки</t>
  </si>
  <si>
    <t>КТП 202 Карамлино</t>
  </si>
  <si>
    <t>КТПП 024 с-з техникум</t>
  </si>
  <si>
    <t>КТП 141 Хорошево-4</t>
  </si>
  <si>
    <t>КТП 275 Хорошево ФКРС</t>
  </si>
  <si>
    <t>КТП 424 Хорошево-5</t>
  </si>
  <si>
    <t>КТП 140 Хорошево-2 д/с</t>
  </si>
  <si>
    <t>КТПП 011 Хорошево-1</t>
  </si>
  <si>
    <t>КТП 111 Пирютино</t>
  </si>
  <si>
    <t>КТП 505 Хорошево-3</t>
  </si>
  <si>
    <t>КТП 029 Стройкомплект</t>
  </si>
  <si>
    <t>КТП 039 кооп. «Верхневолжский»</t>
  </si>
  <si>
    <t>КТП Центр ПВ музей</t>
  </si>
  <si>
    <t>д.Зеленькино</t>
  </si>
  <si>
    <t>КТП 192 Зеленькино-2</t>
  </si>
  <si>
    <t>КТП 194 Зеленькино-5</t>
  </si>
  <si>
    <t>КТП 149 к-в Москвич</t>
  </si>
  <si>
    <t>КТП 193 Зеленькино-3</t>
  </si>
  <si>
    <t>д.Тимофеево</t>
  </si>
  <si>
    <t>КТП 262 Тимофеево</t>
  </si>
  <si>
    <t>КТП 390 Полунино</t>
  </si>
  <si>
    <t>д.Образцово</t>
  </si>
  <si>
    <t>КТП 237 Образцово-1</t>
  </si>
  <si>
    <t>КТП 174 Дешёвки</t>
  </si>
  <si>
    <t>КТП 428 Шеломово</t>
  </si>
  <si>
    <t>КТП 288 Артёмово</t>
  </si>
  <si>
    <t>КТП 417 Ульянково</t>
  </si>
  <si>
    <t>КТП 287 Артёмово-3</t>
  </si>
  <si>
    <t>д.Артёмово</t>
  </si>
  <si>
    <t>КТПП 289 Артёмово-1</t>
  </si>
  <si>
    <t>д.Рыково</t>
  </si>
  <si>
    <t>КТП 400 Рыково</t>
  </si>
  <si>
    <t>д.Зинаидово</t>
  </si>
  <si>
    <t>КТП 468 Зинаидово</t>
  </si>
  <si>
    <t>КТП 353 Курьяново</t>
  </si>
  <si>
    <t>КТП 427 Шандалово</t>
  </si>
  <si>
    <t>КТП 374 Мясоедово</t>
  </si>
  <si>
    <t>КТП 356 Лебедево</t>
  </si>
  <si>
    <t>КТП 325 Замятино-3</t>
  </si>
  <si>
    <t>КТП 190 Замятино-2</t>
  </si>
  <si>
    <t>КТП 351 Кудрино</t>
  </si>
  <si>
    <t>КТП 410 Ст. Кузнецово</t>
  </si>
  <si>
    <t>КТП 106 Мясищево</t>
  </si>
  <si>
    <t>КТП 094 п. Карьер</t>
  </si>
  <si>
    <t>КТП 481 Хвостово-1</t>
  </si>
  <si>
    <t>КТП 382 п. Осуга</t>
  </si>
  <si>
    <t>КТП 203 Клешнево</t>
  </si>
  <si>
    <t>МТП 184 Демкино</t>
  </si>
  <si>
    <t>МТП 391 Пудово</t>
  </si>
  <si>
    <t>КТП 234 Старцево Находово</t>
  </si>
  <si>
    <t>КТП 137 Успенское-2</t>
  </si>
  <si>
    <t>КТП 097 Маломахово Грибоедово</t>
  </si>
  <si>
    <t>КТП 271 Успенское-4</t>
  </si>
  <si>
    <t>КТП 269 Успенское-1</t>
  </si>
  <si>
    <t>КТП Власово</t>
  </si>
  <si>
    <t>КТП 270 Успенское-5</t>
  </si>
  <si>
    <t>КТП 419 Успенское-3</t>
  </si>
  <si>
    <t>КТП 305 Гляденово</t>
  </si>
  <si>
    <t>КТП 172 Гузынино</t>
  </si>
  <si>
    <t>КТП 164 Васюково</t>
  </si>
  <si>
    <t>КТП Глебово</t>
  </si>
  <si>
    <t>КТП 304 Выдрино</t>
  </si>
  <si>
    <t>ЗТПП 015 Глебово школа</t>
  </si>
  <si>
    <t>КТП 167 Глебово маст.</t>
  </si>
  <si>
    <t>КТП 182 Дунилово</t>
  </si>
  <si>
    <t>КТП 361 Макарово</t>
  </si>
  <si>
    <t>КТП 241 Плотниково</t>
  </si>
  <si>
    <t>КТП 235 Немцово</t>
  </si>
  <si>
    <t>МТП 279 Щетинино</t>
  </si>
  <si>
    <t>КТП 258 Ст. Рукав</t>
  </si>
  <si>
    <t>КТП 299 Бурцево</t>
  </si>
  <si>
    <t>КТП 306 Гнилёво</t>
  </si>
  <si>
    <t>КТП 187 Житенки</t>
  </si>
  <si>
    <t>КТП 362 Мануйлово</t>
  </si>
  <si>
    <t>КТП 375 Ненаедово</t>
  </si>
  <si>
    <t>КТП 445 Дом охотника</t>
  </si>
  <si>
    <t>КТП 213 Крупцово-1</t>
  </si>
  <si>
    <t>КТП 438 Терешково</t>
  </si>
  <si>
    <t>КТП 437 Орехово-2</t>
  </si>
  <si>
    <t>КТП 440 Масальское</t>
  </si>
  <si>
    <t>КТП 412 Столыпино</t>
  </si>
  <si>
    <t>КТП 316 Плешки-2</t>
  </si>
  <si>
    <t>КТПП 112 Плешки-4</t>
  </si>
  <si>
    <t>КТП 363 Маслово</t>
  </si>
  <si>
    <t>КТП 301 Вороничево</t>
  </si>
  <si>
    <t>КТП 241 Пантюково</t>
  </si>
  <si>
    <t>КТП 053 Появилово-2</t>
  </si>
  <si>
    <t>КТП 084 Горшково-2</t>
  </si>
  <si>
    <t>КТП 311 Горшково-1</t>
  </si>
  <si>
    <t>КТП 155 Антоново</t>
  </si>
  <si>
    <t>КТП Голышкино-2</t>
  </si>
  <si>
    <t>МТП 434 Першино Голышкино</t>
  </si>
  <si>
    <t>д.Семёновское</t>
  </si>
  <si>
    <t>КТП 122 Семёновское-1</t>
  </si>
  <si>
    <t>КТП 087 Деньгино</t>
  </si>
  <si>
    <t>КТП 105 Моржово</t>
  </si>
  <si>
    <t>КТП 100 Степанцево-Бураково-Висино</t>
  </si>
  <si>
    <t>КТП 139 Деняшино Харино</t>
  </si>
  <si>
    <t>КТП 411 Степакино</t>
  </si>
  <si>
    <t>д.Парихино</t>
  </si>
  <si>
    <t>КТП 060 Парихино-1</t>
  </si>
  <si>
    <t>КТП 386 Парихино-2</t>
  </si>
  <si>
    <t>КТП 110 Парихино-3</t>
  </si>
  <si>
    <t>КТПП Парихино-4</t>
  </si>
  <si>
    <t>д.Ефимово</t>
  </si>
  <si>
    <t>КТП 186 Ефимово</t>
  </si>
  <si>
    <t>КТП 473 Парихино-5</t>
  </si>
  <si>
    <t>КТП 142 Хрипелёво</t>
  </si>
  <si>
    <t>КТП 061 Парихино-6</t>
  </si>
  <si>
    <t>КТП 107 Мясцово Анукшино</t>
  </si>
  <si>
    <t>КТП 322 Забелино Свитово</t>
  </si>
  <si>
    <t>КТП 062 Першино</t>
  </si>
  <si>
    <t>КТП 101 Михерёво-1</t>
  </si>
  <si>
    <t>КТП 254 Свёклино</t>
  </si>
  <si>
    <t>КТП 450 Крутики-Соломино</t>
  </si>
  <si>
    <t>КТП 125 Струйское</t>
  </si>
  <si>
    <t>д.Коростелёво</t>
  </si>
  <si>
    <t>КТП 207 Коростелёво</t>
  </si>
  <si>
    <t>КТП 138 Филькино</t>
  </si>
  <si>
    <t>д.Митьково</t>
  </si>
  <si>
    <t>КТП 370 Митьково-1</t>
  </si>
  <si>
    <t>КТП 225 Митьково-2</t>
  </si>
  <si>
    <t>КТП 069 Бахмутово-8</t>
  </si>
  <si>
    <t>КТПП 073 Бахмутово-7</t>
  </si>
  <si>
    <t>КТП 067 Бахмутово-1</t>
  </si>
  <si>
    <t>КТП 068 Бахмутово-2</t>
  </si>
  <si>
    <t>КТП 074 Бахмутово-3</t>
  </si>
  <si>
    <t>КТП 072 Бахмутово-5</t>
  </si>
  <si>
    <t>КТП 070 Бахмутово-4</t>
  </si>
  <si>
    <t>КТП 126 Сувитки Ерши</t>
  </si>
  <si>
    <t>КТП 423 Харламово</t>
  </si>
  <si>
    <t>ЗТП 022 Жилая зона</t>
  </si>
  <si>
    <t>КТП 077 Антоново</t>
  </si>
  <si>
    <t>д.Овсяники</t>
  </si>
  <si>
    <t>КТП Овсяники</t>
  </si>
  <si>
    <t>КТП 461 Смощево Юсино</t>
  </si>
  <si>
    <t>д.Холнино</t>
  </si>
  <si>
    <t>КТП 465 Холнино</t>
  </si>
  <si>
    <t>д.Переварово</t>
  </si>
  <si>
    <t>КТП 454 Переварово-3</t>
  </si>
  <si>
    <t>д.Озерёнки</t>
  </si>
  <si>
    <t>МТП 455 Озерёнки-1</t>
  </si>
  <si>
    <t>КТП 442 Озерёнки-2</t>
  </si>
  <si>
    <t>КТП 210 Красное</t>
  </si>
  <si>
    <t>КТП 169 Горня</t>
  </si>
  <si>
    <t>КТП 383 Калина-Осуйское-1</t>
  </si>
  <si>
    <t>КТП 209 Кр. улица</t>
  </si>
  <si>
    <t>КТП 276 Хоршево</t>
  </si>
  <si>
    <t>КТП 246 Поротики</t>
  </si>
  <si>
    <t>КТП 404 Светителево-1</t>
  </si>
  <si>
    <t>д.Светителево</t>
  </si>
  <si>
    <t>КТП 403 Светителево-2</t>
  </si>
  <si>
    <t>КТП 308 Ивлецы</t>
  </si>
  <si>
    <t>КТП 224 Мироново-1</t>
  </si>
  <si>
    <t>КТП 369 Мироново-2</t>
  </si>
  <si>
    <t>КТП 307 Горенка-1</t>
  </si>
  <si>
    <t>КТП 329 Звягино ПСВЛ</t>
  </si>
  <si>
    <t>КТП 240 Павлюки-2</t>
  </si>
  <si>
    <t>д.Пятницкое</t>
  </si>
  <si>
    <t>КТП 393 Пятницкое-2</t>
  </si>
  <si>
    <t>КТП 384 Пятницкое-3</t>
  </si>
  <si>
    <t>ЗТПП 392 Пятницкое-1</t>
  </si>
  <si>
    <t>КТП 350 Крутики</t>
  </si>
  <si>
    <t>КТП 281 Азарово-1 Дмитрово</t>
  </si>
  <si>
    <t>КТП 219 Люнино</t>
  </si>
  <si>
    <t>КТП 115 Починки</t>
  </si>
  <si>
    <t>КТП 282 Азарово-2</t>
  </si>
  <si>
    <t>КТП 283 Азарово-3</t>
  </si>
  <si>
    <t>КТП 158 Блазново</t>
  </si>
  <si>
    <t>д.Усово</t>
  </si>
  <si>
    <t>КТП 136 Усово</t>
  </si>
  <si>
    <t>КТП 114 Погорелки</t>
  </si>
  <si>
    <t>КТП 334 Ильченко-1</t>
  </si>
  <si>
    <t>КТП 335 Ильченко-2</t>
  </si>
  <si>
    <t>КТП 127 Сухуша</t>
  </si>
  <si>
    <t>КТП 336 Ильченко-3</t>
  </si>
  <si>
    <t>КТП 113 Плоты</t>
  </si>
  <si>
    <t>КТП 298 Букарево</t>
  </si>
  <si>
    <t>КТП 347 Котлово</t>
  </si>
  <si>
    <t>КТП 431 Шпалево</t>
  </si>
  <si>
    <t>КТП 422 Харино</t>
  </si>
  <si>
    <t>КТП 494 Зайцево-3</t>
  </si>
  <si>
    <t>КТП 189 Зайцево-1</t>
  </si>
  <si>
    <t>КТП 324 Зайцево-2</t>
  </si>
  <si>
    <t>КТП 407 Слобырёво</t>
  </si>
  <si>
    <t>КТП 312 Гузино</t>
  </si>
  <si>
    <t>КТП 296 Бровцино</t>
  </si>
  <si>
    <t>ЗТПП Звягино-6</t>
  </si>
  <si>
    <t>КТП 326 Звягино-1</t>
  </si>
  <si>
    <t>КТП 191 Звягино-2</t>
  </si>
  <si>
    <t>КТП 328 Звягино-4</t>
  </si>
  <si>
    <t>КТП 327 Звягино-3</t>
  </si>
  <si>
    <t>ЗТПП 004 Звягино-7</t>
  </si>
  <si>
    <t>КТП 255 Свербиха</t>
  </si>
  <si>
    <t>КТП 341 Клины</t>
  </si>
  <si>
    <t>д.Бахарево</t>
  </si>
  <si>
    <t>КТП 293 Бахарево</t>
  </si>
  <si>
    <t>КТП 425 Чертолино-1</t>
  </si>
  <si>
    <t>КТП 426 Чертолино-2</t>
  </si>
  <si>
    <t>КТП 233 Н. Кузнецы</t>
  </si>
  <si>
    <t>КТП 409 Ст. Кузнецы</t>
  </si>
  <si>
    <t>КТП 292 Барыгино</t>
  </si>
  <si>
    <t>КТП 433 Чертолино ФКРС</t>
  </si>
  <si>
    <t>д.Половинино</t>
  </si>
  <si>
    <t>КТП 245 Половинино</t>
  </si>
  <si>
    <t>д.Свистуны</t>
  </si>
  <si>
    <t>КТП 121 Свистуны-1</t>
  </si>
  <si>
    <t>КТП 355 Лаптево-1</t>
  </si>
  <si>
    <t>КТП 406 Свистуны-2</t>
  </si>
  <si>
    <t>д.Светлая</t>
  </si>
  <si>
    <t>ЗТПП 026 Светлая-3</t>
  </si>
  <si>
    <t>КТП 161 Соколово-Бродниково</t>
  </si>
  <si>
    <t>КТП 297 Брехово</t>
  </si>
  <si>
    <t>КТП 031 Бургово</t>
  </si>
  <si>
    <t>КТП 401 Рязанцево</t>
  </si>
  <si>
    <t>КТПП 027 Кокошкино-1</t>
  </si>
  <si>
    <t>КТП 345 Костерёво-3</t>
  </si>
  <si>
    <t>КТП 090 Есемово</t>
  </si>
  <si>
    <t>КТПП 346 Костерёво-2</t>
  </si>
  <si>
    <t>КТПП 208 Костерёво-1</t>
  </si>
  <si>
    <t>КТП 349 Кривцово-1</t>
  </si>
  <si>
    <t>КТП 183 Дурнево</t>
  </si>
  <si>
    <t>КТП 088 Климово</t>
  </si>
  <si>
    <t>КТП 294 Борисово-1</t>
  </si>
  <si>
    <t>КТП 295 Борисово-2</t>
  </si>
  <si>
    <t>КТП 215 Курово</t>
  </si>
  <si>
    <t>КТП 171 Гримино</t>
  </si>
  <si>
    <t>КТП 181 Дуброво-2</t>
  </si>
  <si>
    <t>КТП 319 Дуброво-1</t>
  </si>
  <si>
    <t>КТП 320 Дуброво-3</t>
  </si>
  <si>
    <t>КТП 462 Трёхгорная</t>
  </si>
  <si>
    <t>КТП 092 Итомля бол.</t>
  </si>
  <si>
    <t>КТП 338 Итомля -1 аптека</t>
  </si>
  <si>
    <t>КТП 337 Итомля-2 маст.</t>
  </si>
  <si>
    <t>КТПП Итомля-8 школа</t>
  </si>
  <si>
    <t>КТП 201 Итомля-4 д/с</t>
  </si>
  <si>
    <t>КТП 199 Итомля-5 ж.д.</t>
  </si>
  <si>
    <t>КТП 378 Овсяники</t>
  </si>
  <si>
    <t>КТПП 200 Итомля-6 кот.</t>
  </si>
  <si>
    <t>КТПП 197 Итомля-7 ФКРС</t>
  </si>
  <si>
    <t>КТП 066 Бабинки</t>
  </si>
  <si>
    <t>КТП 098 Мешино</t>
  </si>
  <si>
    <t>КТП 313 Двойни</t>
  </si>
  <si>
    <t>КТП Кривцово</t>
  </si>
  <si>
    <t>КТП 263 Тихменёво-1</t>
  </si>
  <si>
    <t>КТП 259 Сытьково-1</t>
  </si>
  <si>
    <t>КТП Хомутово</t>
  </si>
  <si>
    <t>д.Сытьково</t>
  </si>
  <si>
    <t>КТП 260 Сытьково-2</t>
  </si>
  <si>
    <t>КТП 128 Сытьково-3</t>
  </si>
  <si>
    <t>КТП 162 Бунегино Варатово</t>
  </si>
  <si>
    <t>КТП 163 Бураково Рогово</t>
  </si>
  <si>
    <t>КТП 232 Ново-садовая</t>
  </si>
  <si>
    <t>МТП 277 Цузово</t>
  </si>
  <si>
    <t>КТП 467 Кононово</t>
  </si>
  <si>
    <t>КТП 429 Шиблино</t>
  </si>
  <si>
    <t>КТП 228 Мохначи</t>
  </si>
  <si>
    <t>КТП 197 Ильи Горы</t>
  </si>
  <si>
    <t>КТП 333 Дмитрово-2</t>
  </si>
  <si>
    <t>КТП 314 Дмитрово-3</t>
  </si>
  <si>
    <t>КТП 285 Анисимиха</t>
  </si>
  <si>
    <t>КТП 291 Байгорово</t>
  </si>
  <si>
    <t>КТП 253 Сахарово</t>
  </si>
  <si>
    <t>КТП 082 Высоково</t>
  </si>
  <si>
    <t>КТП 342 Кожухово</t>
  </si>
  <si>
    <t>МТП 170 Городище</t>
  </si>
  <si>
    <t>КТП 165 Вороново</t>
  </si>
  <si>
    <t>КТП 310 Городище-2</t>
  </si>
  <si>
    <t>д.Шолохово</t>
  </si>
  <si>
    <t>КТПП 145 Шолохово-1</t>
  </si>
  <si>
    <t>КТП 415 Суходол</t>
  </si>
  <si>
    <t>КТП 430 Шолохово-3</t>
  </si>
  <si>
    <t>КТП 146 Шолохово-2</t>
  </si>
  <si>
    <t>КТП 095 Климово</t>
  </si>
  <si>
    <t>КТП 157 Балаши</t>
  </si>
  <si>
    <t>д.Минино</t>
  </si>
  <si>
    <t>КТП Минино-2</t>
  </si>
  <si>
    <t>МТП 368 Минино</t>
  </si>
  <si>
    <t>МТП 343 Казицино</t>
  </si>
  <si>
    <t>д.Тупицыно</t>
  </si>
  <si>
    <t>КТП 135 Тупицыно</t>
  </si>
  <si>
    <t>КТПУ 446 Дорки</t>
  </si>
  <si>
    <t>КТП 083 Горки</t>
  </si>
  <si>
    <t>КТП 454 Мясцово</t>
  </si>
  <si>
    <t>д.Н.Алексеевское</t>
  </si>
  <si>
    <t>КТП 108 Н.Алексеевское</t>
  </si>
  <si>
    <t>д.Трубино</t>
  </si>
  <si>
    <t>КТП 131 Трубино-2</t>
  </si>
  <si>
    <t>КТПУ 129 Трубино-4</t>
  </si>
  <si>
    <t>ЗТП 130 Трубино-1</t>
  </si>
  <si>
    <t>КТП Трубино-7</t>
  </si>
  <si>
    <t>КТП 132 Трубино-5</t>
  </si>
  <si>
    <t>КТП 457 Орехово</t>
  </si>
  <si>
    <t>КТП 075 Бочарово</t>
  </si>
  <si>
    <t>КТП 109 Нестерово</t>
  </si>
  <si>
    <t>КТП 387 Петрищево</t>
  </si>
  <si>
    <t>КТП 449 Картошино</t>
  </si>
  <si>
    <t>КТП 421 Филатово</t>
  </si>
  <si>
    <t>МТП 359 Лукино</t>
  </si>
  <si>
    <t>д.Радюкино</t>
  </si>
  <si>
    <t>КТП 250 Радюкино</t>
  </si>
  <si>
    <t>КТП 081 Воскресенское</t>
  </si>
  <si>
    <t>д.Раменское</t>
  </si>
  <si>
    <t>КТПУ 395 Раменское</t>
  </si>
  <si>
    <t>д.Суково</t>
  </si>
  <si>
    <t>КТП 413 Суково</t>
  </si>
  <si>
    <t>КТП 274 Холмово</t>
  </si>
  <si>
    <t>КТП 173 Денино</t>
  </si>
  <si>
    <t>д.Овцино</t>
  </si>
  <si>
    <t>КТП 379 Овцино</t>
  </si>
  <si>
    <t>КТП 357 Либзино</t>
  </si>
  <si>
    <t>д.Ивановское</t>
  </si>
  <si>
    <t>КТП 332 Ивановское</t>
  </si>
  <si>
    <t>КТП 321 Жаднево</t>
  </si>
  <si>
    <t>д.Мигуново</t>
  </si>
  <si>
    <t>КТП 367 Мигуново</t>
  </si>
  <si>
    <t>КТП 300 Вараксино</t>
  </si>
  <si>
    <t>д.Колокольцево</t>
  </si>
  <si>
    <t>КТП 456 Колокольцево</t>
  </si>
  <si>
    <t>КТП 444 Бойково</t>
  </si>
  <si>
    <t>КТП 466 Щербинино</t>
  </si>
  <si>
    <t>КТП 076 Бочарово</t>
  </si>
  <si>
    <t>МТП 451 Лыткино</t>
  </si>
  <si>
    <t>КТП 226 Михалёво л. дойка</t>
  </si>
  <si>
    <t>КТП 453 Михалево-1 ж. зона</t>
  </si>
  <si>
    <t>КТП 408 Смолёво</t>
  </si>
  <si>
    <t>д.Зуево</t>
  </si>
  <si>
    <t>КТП 448 Зуево</t>
  </si>
  <si>
    <t>КТП 458 Михалёво-2</t>
  </si>
  <si>
    <t>КТП 099 Михалёво-5</t>
  </si>
  <si>
    <t>КТП Михалёво-3</t>
  </si>
  <si>
    <t>КТП 441 Михалёво-4</t>
  </si>
  <si>
    <t>КТПУ 360 Лыкшино</t>
  </si>
  <si>
    <t>КТП 380 Овчинники</t>
  </si>
  <si>
    <t>д.Хватково</t>
  </si>
  <si>
    <t>МТП 464 Хватково</t>
  </si>
  <si>
    <t>КТП 272 Харино</t>
  </si>
  <si>
    <t>КТП 211 Кривцово-2</t>
  </si>
  <si>
    <t>КТП 143 Черменино</t>
  </si>
  <si>
    <t>д.Андреевское</t>
  </si>
  <si>
    <t>КТП 154 Андреевское</t>
  </si>
  <si>
    <t>КТП Итомля</t>
  </si>
  <si>
    <t>КТП 280 Яковлево-1</t>
  </si>
  <si>
    <t>КТП 432 Яковлево-2</t>
  </si>
  <si>
    <t>КТП 396 Раменье</t>
  </si>
  <si>
    <t>КТП 238 Озерютино</t>
  </si>
  <si>
    <t>д.Кокошилово</t>
  </si>
  <si>
    <t>КТП 344 Кокошилово</t>
  </si>
  <si>
    <t>КТП 398 Рудница-2</t>
  </si>
  <si>
    <t>КТП 117 Рудница-1</t>
  </si>
  <si>
    <t>КТП 397 Рудница-7</t>
  </si>
  <si>
    <t>КТП 251 Рудница-3</t>
  </si>
  <si>
    <t>КТПП 399 Рудница-4</t>
  </si>
  <si>
    <t>КТП 331 Зорино</t>
  </si>
  <si>
    <t>КТП 188 Займище</t>
  </si>
  <si>
    <t>КТП 348 Кресты Михайлики</t>
  </si>
  <si>
    <t>КТП 168 Горбыль</t>
  </si>
  <si>
    <t>д.Мологино</t>
  </si>
  <si>
    <t>КТП 372 Мологино</t>
  </si>
  <si>
    <t>КТП 156 Апалево</t>
  </si>
  <si>
    <t>2х630</t>
  </si>
  <si>
    <t>Бологовский</t>
  </si>
  <si>
    <t xml:space="preserve">ТП001   </t>
  </si>
  <si>
    <t xml:space="preserve">ТП002   </t>
  </si>
  <si>
    <t xml:space="preserve">ТП003   </t>
  </si>
  <si>
    <t xml:space="preserve">ТП004   </t>
  </si>
  <si>
    <t xml:space="preserve">ТП005   </t>
  </si>
  <si>
    <t>160+250</t>
  </si>
  <si>
    <t xml:space="preserve">ТП006   </t>
  </si>
  <si>
    <t xml:space="preserve">ТП007   </t>
  </si>
  <si>
    <t xml:space="preserve">ТП008   </t>
  </si>
  <si>
    <t>д.Молчаново</t>
  </si>
  <si>
    <t xml:space="preserve">ТП009   </t>
  </si>
  <si>
    <t>д.Нарачино</t>
  </si>
  <si>
    <t xml:space="preserve">ТП010   </t>
  </si>
  <si>
    <t xml:space="preserve">ТП011   </t>
  </si>
  <si>
    <t xml:space="preserve">ТП012 </t>
  </si>
  <si>
    <t>д.Погарино</t>
  </si>
  <si>
    <t xml:space="preserve">ТП013   </t>
  </si>
  <si>
    <t>д.Базарово</t>
  </si>
  <si>
    <t xml:space="preserve">ТП014   </t>
  </si>
  <si>
    <t xml:space="preserve">ТП015  </t>
  </si>
  <si>
    <t>д.Никитировец</t>
  </si>
  <si>
    <t xml:space="preserve">ТП016   </t>
  </si>
  <si>
    <t xml:space="preserve">ТП017  </t>
  </si>
  <si>
    <t xml:space="preserve">ТП018   </t>
  </si>
  <si>
    <t xml:space="preserve">ТП019   </t>
  </si>
  <si>
    <t xml:space="preserve">ТП020  </t>
  </si>
  <si>
    <t xml:space="preserve">ТП021   </t>
  </si>
  <si>
    <t xml:space="preserve">ТП022   </t>
  </si>
  <si>
    <t xml:space="preserve">ТП023 </t>
  </si>
  <si>
    <t xml:space="preserve">ТП024  </t>
  </si>
  <si>
    <t xml:space="preserve">ТП025   </t>
  </si>
  <si>
    <t xml:space="preserve">ТП026   </t>
  </si>
  <si>
    <t xml:space="preserve">ТП027   </t>
  </si>
  <si>
    <t xml:space="preserve">ТП028  </t>
  </si>
  <si>
    <t xml:space="preserve">ТП029   </t>
  </si>
  <si>
    <t xml:space="preserve">ТП030   </t>
  </si>
  <si>
    <t xml:space="preserve">ТП031  </t>
  </si>
  <si>
    <t xml:space="preserve">ТП032   </t>
  </si>
  <si>
    <t xml:space="preserve">ТП033   </t>
  </si>
  <si>
    <t xml:space="preserve">ТП034   </t>
  </si>
  <si>
    <t xml:space="preserve">ТП035   </t>
  </si>
  <si>
    <t xml:space="preserve">ТП036   </t>
  </si>
  <si>
    <t xml:space="preserve">ТП037  </t>
  </si>
  <si>
    <t xml:space="preserve">ТП038   </t>
  </si>
  <si>
    <t xml:space="preserve">ТП039  </t>
  </si>
  <si>
    <t xml:space="preserve">ТП040   </t>
  </si>
  <si>
    <t>250+530</t>
  </si>
  <si>
    <t xml:space="preserve">ТП041   </t>
  </si>
  <si>
    <t xml:space="preserve">ТП042   </t>
  </si>
  <si>
    <t xml:space="preserve">ТП043 </t>
  </si>
  <si>
    <t xml:space="preserve">ТП044   </t>
  </si>
  <si>
    <t xml:space="preserve">ТП045  </t>
  </si>
  <si>
    <t xml:space="preserve">ТП046  </t>
  </si>
  <si>
    <t xml:space="preserve">ТП047   </t>
  </si>
  <si>
    <t xml:space="preserve">ТП048   </t>
  </si>
  <si>
    <t xml:space="preserve">ТП049   </t>
  </si>
  <si>
    <t xml:space="preserve">ТП050   </t>
  </si>
  <si>
    <t xml:space="preserve">ТП051   </t>
  </si>
  <si>
    <t xml:space="preserve">ТП052  </t>
  </si>
  <si>
    <t xml:space="preserve">ТП053   </t>
  </si>
  <si>
    <t xml:space="preserve">ТП054   </t>
  </si>
  <si>
    <t xml:space="preserve">ТП055   </t>
  </si>
  <si>
    <t xml:space="preserve">ТП056  </t>
  </si>
  <si>
    <t xml:space="preserve">ТП057   </t>
  </si>
  <si>
    <t xml:space="preserve">ТП058   </t>
  </si>
  <si>
    <t xml:space="preserve">ТП059   </t>
  </si>
  <si>
    <t xml:space="preserve">ТП060   </t>
  </si>
  <si>
    <t xml:space="preserve">ТП061   </t>
  </si>
  <si>
    <t xml:space="preserve">ТП062   </t>
  </si>
  <si>
    <t xml:space="preserve">ТП063 </t>
  </si>
  <si>
    <t xml:space="preserve">ТП064  </t>
  </si>
  <si>
    <t xml:space="preserve">ТП065 </t>
  </si>
  <si>
    <t xml:space="preserve">ТП066  </t>
  </si>
  <si>
    <t xml:space="preserve">ТП067  </t>
  </si>
  <si>
    <t xml:space="preserve">ТП068 </t>
  </si>
  <si>
    <t xml:space="preserve">ТП069  </t>
  </si>
  <si>
    <t xml:space="preserve">ТП070   </t>
  </si>
  <si>
    <t xml:space="preserve">ТП071   </t>
  </si>
  <si>
    <t xml:space="preserve">ТП072   </t>
  </si>
  <si>
    <t xml:space="preserve">ТП073  </t>
  </si>
  <si>
    <t xml:space="preserve">ТП074  </t>
  </si>
  <si>
    <t xml:space="preserve">ТП075   </t>
  </si>
  <si>
    <t xml:space="preserve">ТП076   </t>
  </si>
  <si>
    <t xml:space="preserve">ТП077  </t>
  </si>
  <si>
    <t xml:space="preserve">ТП078  </t>
  </si>
  <si>
    <t xml:space="preserve">ТП079   </t>
  </si>
  <si>
    <t xml:space="preserve">ТП080    </t>
  </si>
  <si>
    <t xml:space="preserve">ТП081    </t>
  </si>
  <si>
    <t xml:space="preserve">ТП082  </t>
  </si>
  <si>
    <t xml:space="preserve">ТП083    </t>
  </si>
  <si>
    <t xml:space="preserve">ТП086   </t>
  </si>
  <si>
    <t xml:space="preserve">ТП087   </t>
  </si>
  <si>
    <t xml:space="preserve">ТП088   </t>
  </si>
  <si>
    <t xml:space="preserve">ТП089  </t>
  </si>
  <si>
    <t xml:space="preserve">ТП090  </t>
  </si>
  <si>
    <t xml:space="preserve">ТП091  </t>
  </si>
  <si>
    <t xml:space="preserve">ТП092   </t>
  </si>
  <si>
    <t xml:space="preserve">ТП093   </t>
  </si>
  <si>
    <t xml:space="preserve">ТП094   </t>
  </si>
  <si>
    <t xml:space="preserve">ТП095   </t>
  </si>
  <si>
    <t xml:space="preserve">ТП096  </t>
  </si>
  <si>
    <t xml:space="preserve">ТП097   </t>
  </si>
  <si>
    <t xml:space="preserve">ТП098   </t>
  </si>
  <si>
    <t xml:space="preserve">ТП099   </t>
  </si>
  <si>
    <t xml:space="preserve">ТП100   </t>
  </si>
  <si>
    <t xml:space="preserve">ТП101   </t>
  </si>
  <si>
    <t xml:space="preserve">ТП102   </t>
  </si>
  <si>
    <t xml:space="preserve">ТП103   </t>
  </si>
  <si>
    <t xml:space="preserve">ТП104   </t>
  </si>
  <si>
    <t xml:space="preserve">ТП105   </t>
  </si>
  <si>
    <t xml:space="preserve">ТП106   </t>
  </si>
  <si>
    <t xml:space="preserve">ТП107   </t>
  </si>
  <si>
    <t xml:space="preserve">ТП108   </t>
  </si>
  <si>
    <t xml:space="preserve">ТП109   </t>
  </si>
  <si>
    <t xml:space="preserve">ТП111   </t>
  </si>
  <si>
    <t xml:space="preserve">ТП112  </t>
  </si>
  <si>
    <t xml:space="preserve">ТП113  </t>
  </si>
  <si>
    <t xml:space="preserve">ТП114    </t>
  </si>
  <si>
    <t xml:space="preserve">ТП115   </t>
  </si>
  <si>
    <t xml:space="preserve">ТП116   </t>
  </si>
  <si>
    <t xml:space="preserve">ТП117   </t>
  </si>
  <si>
    <t xml:space="preserve">ТП118   </t>
  </si>
  <si>
    <t xml:space="preserve">ТП119   </t>
  </si>
  <si>
    <t xml:space="preserve">ТП120   </t>
  </si>
  <si>
    <t xml:space="preserve">ТП121   </t>
  </si>
  <si>
    <t xml:space="preserve">ТП122  </t>
  </si>
  <si>
    <t xml:space="preserve">ТП123   </t>
  </si>
  <si>
    <t xml:space="preserve">ТП124   </t>
  </si>
  <si>
    <t xml:space="preserve">ТП125  </t>
  </si>
  <si>
    <t xml:space="preserve">ТП126  </t>
  </si>
  <si>
    <t xml:space="preserve">ТП127   </t>
  </si>
  <si>
    <t xml:space="preserve">ТП128   </t>
  </si>
  <si>
    <t xml:space="preserve">ТП129   </t>
  </si>
  <si>
    <t xml:space="preserve">ТП130  </t>
  </si>
  <si>
    <t xml:space="preserve">ТП131   </t>
  </si>
  <si>
    <t xml:space="preserve">ТП132  </t>
  </si>
  <si>
    <t xml:space="preserve">ТП133  </t>
  </si>
  <si>
    <t xml:space="preserve">ТП134  </t>
  </si>
  <si>
    <t xml:space="preserve">ТП135  </t>
  </si>
  <si>
    <t xml:space="preserve">ТП136   </t>
  </si>
  <si>
    <t xml:space="preserve">ТП137   </t>
  </si>
  <si>
    <t xml:space="preserve">ТП138   </t>
  </si>
  <si>
    <t xml:space="preserve">ТП139   </t>
  </si>
  <si>
    <t xml:space="preserve">ТП140  </t>
  </si>
  <si>
    <t xml:space="preserve">ТП141   </t>
  </si>
  <si>
    <t xml:space="preserve">ТП142  </t>
  </si>
  <si>
    <t xml:space="preserve">ТП143  </t>
  </si>
  <si>
    <t xml:space="preserve">ТП144   </t>
  </si>
  <si>
    <t xml:space="preserve">ТП145   </t>
  </si>
  <si>
    <t xml:space="preserve">ТП146 </t>
  </si>
  <si>
    <t xml:space="preserve">ТП147   </t>
  </si>
  <si>
    <t xml:space="preserve">ТП148  </t>
  </si>
  <si>
    <t xml:space="preserve">ТП149  </t>
  </si>
  <si>
    <t xml:space="preserve">ТП150   </t>
  </si>
  <si>
    <t xml:space="preserve">ТП151   </t>
  </si>
  <si>
    <t xml:space="preserve">ТП152  </t>
  </si>
  <si>
    <t xml:space="preserve">ТП153  </t>
  </si>
  <si>
    <t xml:space="preserve">ТП154  </t>
  </si>
  <si>
    <t xml:space="preserve">ТП155    </t>
  </si>
  <si>
    <t xml:space="preserve">ТП156   </t>
  </si>
  <si>
    <t xml:space="preserve">ТП157   </t>
  </si>
  <si>
    <t xml:space="preserve">ТП158  </t>
  </si>
  <si>
    <t>400+400</t>
  </si>
  <si>
    <t xml:space="preserve">ТП159   </t>
  </si>
  <si>
    <t xml:space="preserve">ТП160  </t>
  </si>
  <si>
    <t xml:space="preserve">ТП161  </t>
  </si>
  <si>
    <t xml:space="preserve">ТП162   </t>
  </si>
  <si>
    <t xml:space="preserve">ТП163  </t>
  </si>
  <si>
    <t xml:space="preserve">ТП164   </t>
  </si>
  <si>
    <t xml:space="preserve">ТП165   </t>
  </si>
  <si>
    <t xml:space="preserve">ТП166   </t>
  </si>
  <si>
    <t xml:space="preserve">ТП167   </t>
  </si>
  <si>
    <t xml:space="preserve">ТП168   </t>
  </si>
  <si>
    <t xml:space="preserve">ТП169  </t>
  </si>
  <si>
    <t xml:space="preserve">ТП170   </t>
  </si>
  <si>
    <t xml:space="preserve">ТП171  </t>
  </si>
  <si>
    <t xml:space="preserve">ТП172   </t>
  </si>
  <si>
    <t xml:space="preserve">ТП173   </t>
  </si>
  <si>
    <t xml:space="preserve">ТП175   </t>
  </si>
  <si>
    <t xml:space="preserve">ТП176  </t>
  </si>
  <si>
    <t xml:space="preserve">ТП177  </t>
  </si>
  <si>
    <t xml:space="preserve">ТП179  </t>
  </si>
  <si>
    <t xml:space="preserve">ТП180  </t>
  </si>
  <si>
    <t xml:space="preserve">ТП181   </t>
  </si>
  <si>
    <t xml:space="preserve">ТП182  </t>
  </si>
  <si>
    <t xml:space="preserve">ТП183  </t>
  </si>
  <si>
    <t xml:space="preserve">ТП185   </t>
  </si>
  <si>
    <t xml:space="preserve">ТП186   </t>
  </si>
  <si>
    <t xml:space="preserve">ТП187  </t>
  </si>
  <si>
    <t xml:space="preserve">ТП188   </t>
  </si>
  <si>
    <t xml:space="preserve">ТП189    </t>
  </si>
  <si>
    <t xml:space="preserve">ТП190    </t>
  </si>
  <si>
    <t xml:space="preserve">ТП191   </t>
  </si>
  <si>
    <t xml:space="preserve">ТП192  </t>
  </si>
  <si>
    <t xml:space="preserve">ТП193    </t>
  </si>
  <si>
    <t xml:space="preserve">ТП194   </t>
  </si>
  <si>
    <t xml:space="preserve">ТП195  </t>
  </si>
  <si>
    <t xml:space="preserve">ТП196  </t>
  </si>
  <si>
    <t xml:space="preserve">ТП197   </t>
  </si>
  <si>
    <t xml:space="preserve">ТП198   </t>
  </si>
  <si>
    <t xml:space="preserve">ТП199   </t>
  </si>
  <si>
    <t xml:space="preserve">ТП200   </t>
  </si>
  <si>
    <t xml:space="preserve">ТП201  </t>
  </si>
  <si>
    <t>250+250</t>
  </si>
  <si>
    <t xml:space="preserve">ТП202   </t>
  </si>
  <si>
    <t xml:space="preserve">ТП203  </t>
  </si>
  <si>
    <t xml:space="preserve">ТП204   </t>
  </si>
  <si>
    <t xml:space="preserve">ТП205   </t>
  </si>
  <si>
    <t xml:space="preserve">ТП206  </t>
  </si>
  <si>
    <t xml:space="preserve">ТП207  </t>
  </si>
  <si>
    <t xml:space="preserve">ТП208  </t>
  </si>
  <si>
    <t xml:space="preserve">ТП209  </t>
  </si>
  <si>
    <t xml:space="preserve">ТП210  </t>
  </si>
  <si>
    <t xml:space="preserve">ТП211   </t>
  </si>
  <si>
    <t xml:space="preserve">ТП212  </t>
  </si>
  <si>
    <t xml:space="preserve">ТП213  </t>
  </si>
  <si>
    <t xml:space="preserve">ТП214  </t>
  </si>
  <si>
    <t xml:space="preserve">ТП215   </t>
  </si>
  <si>
    <t xml:space="preserve">ТП216  </t>
  </si>
  <si>
    <t xml:space="preserve">ТП217  </t>
  </si>
  <si>
    <t xml:space="preserve">ТП218  </t>
  </si>
  <si>
    <t xml:space="preserve">ТП219   </t>
  </si>
  <si>
    <t xml:space="preserve">ТП223     </t>
  </si>
  <si>
    <t xml:space="preserve">ТП224  </t>
  </si>
  <si>
    <t xml:space="preserve">ТП225  </t>
  </si>
  <si>
    <t xml:space="preserve">ТП226   </t>
  </si>
  <si>
    <t xml:space="preserve">ТП228   </t>
  </si>
  <si>
    <t xml:space="preserve">ТП229  </t>
  </si>
  <si>
    <t xml:space="preserve">ТП230  </t>
  </si>
  <si>
    <t>Спировский</t>
  </si>
  <si>
    <t xml:space="preserve">КТП-10кВ Ст.Обудово-1  </t>
  </si>
  <si>
    <t xml:space="preserve">КТП-10кВ Климово </t>
  </si>
  <si>
    <t>КТП-10кВ Перхово</t>
  </si>
  <si>
    <t>КТП-10кВ Ободово-1</t>
  </si>
  <si>
    <t xml:space="preserve">КТП-10кВ Ольховка </t>
  </si>
  <si>
    <t>КТП-10кВ Селище-1</t>
  </si>
  <si>
    <t xml:space="preserve">КТП-10кВ Селище-3 </t>
  </si>
  <si>
    <t xml:space="preserve">КТП-10кВ Селище-4 </t>
  </si>
  <si>
    <t xml:space="preserve">КТП-10кВ Хвошня </t>
  </si>
  <si>
    <t>ЗТП-10кВ Мир-2</t>
  </si>
  <si>
    <t xml:space="preserve">КТП-10кВ Казиха </t>
  </si>
  <si>
    <t>с.Матвеево</t>
  </si>
  <si>
    <t>КТП-10кВ Матвеево-2</t>
  </si>
  <si>
    <t xml:space="preserve">КТП-10кВ Мир-1 </t>
  </si>
  <si>
    <t xml:space="preserve">КТП-10кВ Мир-3 </t>
  </si>
  <si>
    <t>п.Спирово</t>
  </si>
  <si>
    <t>КТП-10кВ Подсобн.х-во</t>
  </si>
  <si>
    <t xml:space="preserve">КТП-10кВ Реброво-1  </t>
  </si>
  <si>
    <t xml:space="preserve">КТП-10кВ Б.Петрово </t>
  </si>
  <si>
    <t xml:space="preserve">КТП-10кВ Дупле </t>
  </si>
  <si>
    <t xml:space="preserve">КТП-10кВ Заболотье-1 </t>
  </si>
  <si>
    <t xml:space="preserve">КТП-10кВ Будилово </t>
  </si>
  <si>
    <t>КТП-10кВ М.Наумково</t>
  </si>
  <si>
    <t xml:space="preserve">КТП-10кВ Наумково </t>
  </si>
  <si>
    <t xml:space="preserve">КТП-10кВ Олехново-1 </t>
  </si>
  <si>
    <t xml:space="preserve">КТП-10кВ Головино </t>
  </si>
  <si>
    <t xml:space="preserve">КТП-10кВ Городок-1 </t>
  </si>
  <si>
    <t xml:space="preserve">КТП-10кВ Городок-3 </t>
  </si>
  <si>
    <t xml:space="preserve">КТП-10кВ Песчаница </t>
  </si>
  <si>
    <t xml:space="preserve">КТП-10кВ Бабье </t>
  </si>
  <si>
    <t xml:space="preserve">КТП-10кВ Будовка </t>
  </si>
  <si>
    <t xml:space="preserve">КТП-10кВ Локтево </t>
  </si>
  <si>
    <t>КТП-10кВ Ст.Лукино</t>
  </si>
  <si>
    <t xml:space="preserve">КТП-10кВ Цирибушево-1 </t>
  </si>
  <si>
    <t>КТП-10кВ Юхово</t>
  </si>
  <si>
    <t xml:space="preserve">КТП-10 кВ Ладеньково </t>
  </si>
  <si>
    <t xml:space="preserve">МТП-10 к В Яковцево </t>
  </si>
  <si>
    <t>КТП 10кВ Черенковка</t>
  </si>
  <si>
    <t xml:space="preserve">КТП-10кВ Вешки-1 </t>
  </si>
  <si>
    <t xml:space="preserve">КТП-10кВ Горка </t>
  </si>
  <si>
    <t>КТП-10кВ Добрынь</t>
  </si>
  <si>
    <t>КТП-10кВ Дубровка-2</t>
  </si>
  <si>
    <t>КТП-10кВ Заболотье-1</t>
  </si>
  <si>
    <t xml:space="preserve">КТП-10кВ Мышлятино </t>
  </si>
  <si>
    <t xml:space="preserve">КТП-10кВ Пестово </t>
  </si>
  <si>
    <t>КТП-10кВ Борлино - Стройково</t>
  </si>
  <si>
    <t>КТПП-10кВ Заболотье-2</t>
  </si>
  <si>
    <t xml:space="preserve">КТПП-10кВ Заболотье-4 </t>
  </si>
  <si>
    <t xml:space="preserve">КТП-10 кВ Дядькино </t>
  </si>
  <si>
    <t xml:space="preserve">МТП-10 кВ Рачково </t>
  </si>
  <si>
    <t xml:space="preserve">МТП-10 кВ Пень </t>
  </si>
  <si>
    <t xml:space="preserve">ЗТП-10кВ Школа </t>
  </si>
  <si>
    <t xml:space="preserve">КТП-10кВ Выдропужск-1 </t>
  </si>
  <si>
    <t xml:space="preserve">КТП-10кВ Шунково-3 </t>
  </si>
  <si>
    <t xml:space="preserve">ЗТП-10кВ Выдропужск-3  </t>
  </si>
  <si>
    <t xml:space="preserve">КТП-10кВ Гараж </t>
  </si>
  <si>
    <t>КТП-10кВ Свинарник-2</t>
  </si>
  <si>
    <t xml:space="preserve">КТП-10кВ Шунково-2 </t>
  </si>
  <si>
    <t xml:space="preserve">КТП-10кВ Пеньково-1 </t>
  </si>
  <si>
    <t xml:space="preserve">КТПП-10кВ Пеньково-2 </t>
  </si>
  <si>
    <t xml:space="preserve">КТПП-10кВ Пеньково-3  </t>
  </si>
  <si>
    <t>КТП-10кВ База РРЭС</t>
  </si>
  <si>
    <t xml:space="preserve">КТП-10кВ Горбуново </t>
  </si>
  <si>
    <t xml:space="preserve">КТП-10кВ Катиха </t>
  </si>
  <si>
    <t xml:space="preserve">КТП-10кВ Красноармеец  </t>
  </si>
  <si>
    <t xml:space="preserve">КТП-10кВ Мошково-1 </t>
  </si>
  <si>
    <t>КТП-10кВ Поселок</t>
  </si>
  <si>
    <t xml:space="preserve">КТП-10кВ Р.Козлово </t>
  </si>
  <si>
    <t xml:space="preserve">КТП-10кВ Скоморохово </t>
  </si>
  <si>
    <t>КТП 10кВ Калягино</t>
  </si>
  <si>
    <t>МТП-10  кВ Н. Лукино</t>
  </si>
  <si>
    <t xml:space="preserve">КТП 10кВ Пилорама </t>
  </si>
  <si>
    <t xml:space="preserve">КТП-10кВ Бухолово </t>
  </si>
  <si>
    <t xml:space="preserve">КТП-10кВ Трубино </t>
  </si>
  <si>
    <t xml:space="preserve">КТП-10кВ Фомиково </t>
  </si>
  <si>
    <t xml:space="preserve">МТП-10 кВ Грествянка </t>
  </si>
  <si>
    <t xml:space="preserve">ЗТП-10кВ Бирючево-4  </t>
  </si>
  <si>
    <t xml:space="preserve">КТП-10кВ Алуферьево </t>
  </si>
  <si>
    <t xml:space="preserve">МТП-10 кВ Новгородка </t>
  </si>
  <si>
    <t xml:space="preserve">КТП-10кВ Волхово-Стешково </t>
  </si>
  <si>
    <t>КТП-10кВ Дербужье</t>
  </si>
  <si>
    <t xml:space="preserve">КТП-10кВ Полюжье-1 </t>
  </si>
  <si>
    <t xml:space="preserve">КТП-10кВ Бирючево-1 </t>
  </si>
  <si>
    <t xml:space="preserve">КТП-10кВ Бирючево-5 </t>
  </si>
  <si>
    <t xml:space="preserve">КТП-10кВ Бирючево-6 </t>
  </si>
  <si>
    <t xml:space="preserve">КТП-10кВ Бирючево-3 </t>
  </si>
  <si>
    <t>КТП-10кВ Вожайново</t>
  </si>
  <si>
    <t xml:space="preserve">КТП-10кВ Ворожебкино </t>
  </si>
  <si>
    <t xml:space="preserve">КТП-10кВ Лукино </t>
  </si>
  <si>
    <t>КТП-10кВ Матвеево-5</t>
  </si>
  <si>
    <t xml:space="preserve">КТП-10кВ Черный Ручей </t>
  </si>
  <si>
    <t>КТП-10кВ Чудины</t>
  </si>
  <si>
    <t xml:space="preserve">КТП-10кВ Язвище </t>
  </si>
  <si>
    <t xml:space="preserve">КТП-10кВ Винжа  </t>
  </si>
  <si>
    <t xml:space="preserve">КТП-10кВ Долино </t>
  </si>
  <si>
    <t xml:space="preserve">КТП-10кВ Лухново </t>
  </si>
  <si>
    <t xml:space="preserve">КТП-10кВ Пивоварово </t>
  </si>
  <si>
    <t xml:space="preserve">КТП-10кВ Вязины </t>
  </si>
  <si>
    <t xml:space="preserve">КТП-10кВ Больница </t>
  </si>
  <si>
    <t xml:space="preserve">КТП-10кВ Никулино-1 </t>
  </si>
  <si>
    <t xml:space="preserve">КТП-10кВ Никулино-5 </t>
  </si>
  <si>
    <t xml:space="preserve">КТП-10кВ Спасоклинье </t>
  </si>
  <si>
    <t xml:space="preserve">КТП-10кВ Горма  </t>
  </si>
  <si>
    <t xml:space="preserve">КТП-10кВ Еремеевка-2  </t>
  </si>
  <si>
    <t xml:space="preserve">КТП-10кВ Лежа </t>
  </si>
  <si>
    <t>Линдино</t>
  </si>
  <si>
    <t xml:space="preserve">КТП-10кВ Линдино-1 </t>
  </si>
  <si>
    <t xml:space="preserve">КТП-10кВ Тихменево </t>
  </si>
  <si>
    <t xml:space="preserve">КТП-10кВ Цивилево-2 </t>
  </si>
  <si>
    <t xml:space="preserve">КТП-10кВ Цивилево-3 </t>
  </si>
  <si>
    <t xml:space="preserve">КТП-10кВ База участка </t>
  </si>
  <si>
    <t>с.Козлово</t>
  </si>
  <si>
    <t>КТП-10кВ Козлово-3</t>
  </si>
  <si>
    <t>КТП-10кВ Козлово-5</t>
  </si>
  <si>
    <t xml:space="preserve">КТП-10кВ Козлово-7 </t>
  </si>
  <si>
    <t xml:space="preserve">КТП-10кВ Козлово-8 </t>
  </si>
  <si>
    <t xml:space="preserve">КТП-10кВ Козлово-10  </t>
  </si>
  <si>
    <t xml:space="preserve">КТП-10кВ Козлово-11  </t>
  </si>
  <si>
    <t xml:space="preserve">ЗТП-10кВ Козлово-12  </t>
  </si>
  <si>
    <t xml:space="preserve">КТП-10кВ Лесхоз </t>
  </si>
  <si>
    <t xml:space="preserve">КТП-10кВ Двойки  </t>
  </si>
  <si>
    <t xml:space="preserve">КТПП-10кВ Горня  </t>
  </si>
  <si>
    <t xml:space="preserve">КТПП-10кВ Еремеевка-6  </t>
  </si>
  <si>
    <t xml:space="preserve">КТП-10кВ Нестериха  </t>
  </si>
  <si>
    <t>КТП-10кВ Раменье</t>
  </si>
  <si>
    <t>КТП-10кВ Цивилево-1</t>
  </si>
  <si>
    <t xml:space="preserve">КТПП-10кВ Цивилево-4 </t>
  </si>
  <si>
    <t xml:space="preserve">КТП  Еремеевка-8 </t>
  </si>
  <si>
    <t xml:space="preserve">КТП-10кВ Городок-1  </t>
  </si>
  <si>
    <t>Городок</t>
  </si>
  <si>
    <t xml:space="preserve">КТП-10кВ Городок-2  </t>
  </si>
  <si>
    <t>КТП-10кВ Б.Нивище</t>
  </si>
  <si>
    <t xml:space="preserve">КТП-10кВ Б.Плоское  </t>
  </si>
  <si>
    <t xml:space="preserve">КТП-10кВ Овсяники  </t>
  </si>
  <si>
    <t>Тимошкино</t>
  </si>
  <si>
    <t xml:space="preserve">КТП-10кВ Тимошкино-1  </t>
  </si>
  <si>
    <t xml:space="preserve">КТП-10кВ Горка-1 </t>
  </si>
  <si>
    <t xml:space="preserve">КТП-10кВ Крапивка-1 </t>
  </si>
  <si>
    <t xml:space="preserve">КТП-10кВ М.Нивище </t>
  </si>
  <si>
    <t xml:space="preserve">КТП-10кВ Морозовка </t>
  </si>
  <si>
    <t xml:space="preserve">КТП-10кВ Никулино-2 </t>
  </si>
  <si>
    <t xml:space="preserve">КТП-10кВ Пасынки-1 </t>
  </si>
  <si>
    <t xml:space="preserve">КТП-10кВ Пасынки-2 </t>
  </si>
  <si>
    <t>Никулино</t>
  </si>
  <si>
    <t xml:space="preserve">ЗТП-10кВ Никулино-3 </t>
  </si>
  <si>
    <t xml:space="preserve">КТП-10кВ Антипково </t>
  </si>
  <si>
    <t xml:space="preserve">КТП-10кВ Бутино </t>
  </si>
  <si>
    <t xml:space="preserve">КТП-10кВ Грязновец </t>
  </si>
  <si>
    <t xml:space="preserve">КТП-10кВ Коды-Кочка </t>
  </si>
  <si>
    <t xml:space="preserve">МТП-10кВ Ломовка </t>
  </si>
  <si>
    <t xml:space="preserve">КТП-10кВ М.Козлово </t>
  </si>
  <si>
    <t>Медведково</t>
  </si>
  <si>
    <t xml:space="preserve">КТП-10кВ Медведково-2 </t>
  </si>
  <si>
    <t xml:space="preserve">КТП-10кВ Пустошка </t>
  </si>
  <si>
    <t xml:space="preserve">КТП-10кВДанилково </t>
  </si>
  <si>
    <t xml:space="preserve">КТП-10кВ Аржаное </t>
  </si>
  <si>
    <t xml:space="preserve">КТП-10кВ Борисково </t>
  </si>
  <si>
    <t xml:space="preserve">КТП-10кВ Костыгово </t>
  </si>
  <si>
    <t xml:space="preserve">КТП-10кВ Медведково-1 </t>
  </si>
  <si>
    <t xml:space="preserve">КТП-10кВ Тарасово </t>
  </si>
  <si>
    <t xml:space="preserve">КТП-10кВ Ямное </t>
  </si>
  <si>
    <t xml:space="preserve">МТП-10кВ Береговая </t>
  </si>
  <si>
    <t xml:space="preserve">КТП-10кВ Богданиха </t>
  </si>
  <si>
    <t xml:space="preserve">КТП-10кВ Ососье-1 </t>
  </si>
  <si>
    <t xml:space="preserve">КТП-10кВ Ососье-3 </t>
  </si>
  <si>
    <t>Ососье</t>
  </si>
  <si>
    <t xml:space="preserve">КТП-10кВ Ососье-4 </t>
  </si>
  <si>
    <t>Удомельский</t>
  </si>
  <si>
    <t>Елманова Горка-1</t>
  </si>
  <si>
    <t>Галичено</t>
  </si>
  <si>
    <t>Дерягино котельная</t>
  </si>
  <si>
    <t>Дерягино Ж/Ф</t>
  </si>
  <si>
    <t>Дерягино пилорама</t>
  </si>
  <si>
    <t>Дерягино школа</t>
  </si>
  <si>
    <t>Пальцево</t>
  </si>
  <si>
    <t>Л.Попово</t>
  </si>
  <si>
    <t>КТПП Дерягино ЗСП</t>
  </si>
  <si>
    <t>Елманова Горка-2</t>
  </si>
  <si>
    <t>Бряково</t>
  </si>
  <si>
    <t>Дерягино мастерские</t>
  </si>
  <si>
    <t>Дерягино</t>
  </si>
  <si>
    <t>Лаиково Храповицкое</t>
  </si>
  <si>
    <t>Липки</t>
  </si>
  <si>
    <t>Ясная поляна</t>
  </si>
  <si>
    <t>Моржевец</t>
  </si>
  <si>
    <t>Выскодня</t>
  </si>
  <si>
    <t>Выскодня ЗСП</t>
  </si>
  <si>
    <t>Выскодня Ж/Ф</t>
  </si>
  <si>
    <t>Агрофенино</t>
  </si>
  <si>
    <t>Ватутино</t>
  </si>
  <si>
    <t>Ватутино-2</t>
  </si>
  <si>
    <t>Ватутино-3</t>
  </si>
  <si>
    <t>Перхово</t>
  </si>
  <si>
    <t>Перхово-1</t>
  </si>
  <si>
    <t>Перхово-2</t>
  </si>
  <si>
    <t>КТПП Выскодня клуб</t>
  </si>
  <si>
    <t>Бачурино</t>
  </si>
  <si>
    <t>Дубище</t>
  </si>
  <si>
    <t>Ольховец</t>
  </si>
  <si>
    <t>Дягилево</t>
  </si>
  <si>
    <t>Быково</t>
  </si>
  <si>
    <t>Выскодня школа</t>
  </si>
  <si>
    <t>Лайково-Попово</t>
  </si>
  <si>
    <t>ГИБДД</t>
  </si>
  <si>
    <t xml:space="preserve">Тараки </t>
  </si>
  <si>
    <t>Тараки хранилище</t>
  </si>
  <si>
    <t>Сменово</t>
  </si>
  <si>
    <t>Удомля</t>
  </si>
  <si>
    <t>Паношено АВМ</t>
  </si>
  <si>
    <t>Паношено теплицы</t>
  </si>
  <si>
    <t>Александрово</t>
  </si>
  <si>
    <t>Кирпичный завод</t>
  </si>
  <si>
    <t>Городки</t>
  </si>
  <si>
    <t>Иевково</t>
  </si>
  <si>
    <t xml:space="preserve">Митрошино </t>
  </si>
  <si>
    <t>Митрошино свинарник</t>
  </si>
  <si>
    <t>Гайново</t>
  </si>
  <si>
    <t>Мишнево клуб</t>
  </si>
  <si>
    <t>Мишнево жил.поселок</t>
  </si>
  <si>
    <t>Корякино Митронино</t>
  </si>
  <si>
    <t>Верескуново промзона</t>
  </si>
  <si>
    <t>Иваньково Григорево</t>
  </si>
  <si>
    <t>Мишнево Ж/Ф</t>
  </si>
  <si>
    <t>Щеберино</t>
  </si>
  <si>
    <t>Васильево</t>
  </si>
  <si>
    <t>Стан</t>
  </si>
  <si>
    <t>Акулово</t>
  </si>
  <si>
    <t>Льнозавод.</t>
  </si>
  <si>
    <t>Бережок</t>
  </si>
  <si>
    <t>Порожки Ж/Ф</t>
  </si>
  <si>
    <t>Порожки котельная-2</t>
  </si>
  <si>
    <t>Порожки детсад</t>
  </si>
  <si>
    <t>Стенецкое</t>
  </si>
  <si>
    <t>Стенецкое пилорама</t>
  </si>
  <si>
    <t>Мосты</t>
  </si>
  <si>
    <t>Роднево</t>
  </si>
  <si>
    <t>Рудеево</t>
  </si>
  <si>
    <t>КТПП Порожки кот. -1</t>
  </si>
  <si>
    <t>Касково ПСЛВ</t>
  </si>
  <si>
    <t>Касково ЗСП</t>
  </si>
  <si>
    <t>Касково магазин</t>
  </si>
  <si>
    <t>Касково водокачка</t>
  </si>
  <si>
    <t>Касково мастерские</t>
  </si>
  <si>
    <t>Касково школа</t>
  </si>
  <si>
    <t>400, 250</t>
  </si>
  <si>
    <t>Хларево</t>
  </si>
  <si>
    <t>Архангельское</t>
  </si>
  <si>
    <t>Снапугино</t>
  </si>
  <si>
    <t>Дритуни</t>
  </si>
  <si>
    <t>Торфяное</t>
  </si>
  <si>
    <t>Павлово</t>
  </si>
  <si>
    <t>Дубники</t>
  </si>
  <si>
    <t>Хвалово</t>
  </si>
  <si>
    <t>Погорелец</t>
  </si>
  <si>
    <t>Никулкино</t>
  </si>
  <si>
    <t>Никулкино-1</t>
  </si>
  <si>
    <t>Никулкино-2</t>
  </si>
  <si>
    <t>Ольховка</t>
  </si>
  <si>
    <t>Удино</t>
  </si>
  <si>
    <t>Колпинец</t>
  </si>
  <si>
    <t>Ряд мастерские</t>
  </si>
  <si>
    <t>Ряд ФКРС</t>
  </si>
  <si>
    <t>Саминец</t>
  </si>
  <si>
    <t>Ряд-1</t>
  </si>
  <si>
    <t>Ряд-3</t>
  </si>
  <si>
    <t>Ряд-2</t>
  </si>
  <si>
    <t xml:space="preserve">Ванюнькино </t>
  </si>
  <si>
    <t>Маяк</t>
  </si>
  <si>
    <t>Мушино</t>
  </si>
  <si>
    <t>Зарьково</t>
  </si>
  <si>
    <t>Зарьково двор</t>
  </si>
  <si>
    <t>Волчихово Трестино</t>
  </si>
  <si>
    <t>Иваньково</t>
  </si>
  <si>
    <t>Брусово</t>
  </si>
  <si>
    <t>Жилой дом</t>
  </si>
  <si>
    <t>Райсовет</t>
  </si>
  <si>
    <t>Дом Культуры</t>
  </si>
  <si>
    <t>Первомайска</t>
  </si>
  <si>
    <t>Радиоузел</t>
  </si>
  <si>
    <t>Ишутиха</t>
  </si>
  <si>
    <t>Ежиха</t>
  </si>
  <si>
    <t>Братское</t>
  </si>
  <si>
    <t>КТПП Брусово ПСЛВ</t>
  </si>
  <si>
    <t>Рыжково</t>
  </si>
  <si>
    <t>Голубково</t>
  </si>
  <si>
    <t>Попово</t>
  </si>
  <si>
    <t>Сергино</t>
  </si>
  <si>
    <t>Н. Алфимово</t>
  </si>
  <si>
    <t>Едутино Ж/Ф</t>
  </si>
  <si>
    <t>Едутино ЗСП</t>
  </si>
  <si>
    <t>Н.Еремково</t>
  </si>
  <si>
    <t>Еремково мастерские</t>
  </si>
  <si>
    <t>Еремково школа</t>
  </si>
  <si>
    <t>Старое</t>
  </si>
  <si>
    <t>Еремково пекарня</t>
  </si>
  <si>
    <t>Пеньково</t>
  </si>
  <si>
    <t>Наташино</t>
  </si>
  <si>
    <t>Еремково</t>
  </si>
  <si>
    <t>Займище</t>
  </si>
  <si>
    <t>Займище Ж/Ф</t>
  </si>
  <si>
    <t>Петрово</t>
  </si>
  <si>
    <t>Дмитровка</t>
  </si>
  <si>
    <t>Дмитровка-Ворониха</t>
  </si>
  <si>
    <t>Найденка</t>
  </si>
  <si>
    <t>Всесвятское</t>
  </si>
  <si>
    <t>Слиньково</t>
  </si>
  <si>
    <t>Молодежная</t>
  </si>
  <si>
    <t>Парковая</t>
  </si>
  <si>
    <t>Больница</t>
  </si>
  <si>
    <t>Школа</t>
  </si>
  <si>
    <t>Красное</t>
  </si>
  <si>
    <t>Урицкого</t>
  </si>
  <si>
    <t>Марьино</t>
  </si>
  <si>
    <t>Мастерские</t>
  </si>
  <si>
    <t>КТПП Молдино АВМ1</t>
  </si>
  <si>
    <t>Молдино детсад</t>
  </si>
  <si>
    <t>Михайлово деревня</t>
  </si>
  <si>
    <t>Михайлово АВМ</t>
  </si>
  <si>
    <t>Котеджи</t>
  </si>
  <si>
    <t>КТПП Михайлово ЖК</t>
  </si>
  <si>
    <t>Молдино</t>
  </si>
  <si>
    <t>Молдино молзавод</t>
  </si>
  <si>
    <t>Покровское</t>
  </si>
  <si>
    <t>Шептуново</t>
  </si>
  <si>
    <t>КТПП Шептуново</t>
  </si>
  <si>
    <t>Молдино ЗСП</t>
  </si>
  <si>
    <t>Воронцово</t>
  </si>
  <si>
    <t>Малец Ж/Ф</t>
  </si>
  <si>
    <t>Кр. Горка</t>
  </si>
  <si>
    <t>Сосновицы</t>
  </si>
  <si>
    <t>Климатино</t>
  </si>
  <si>
    <t>Климатино-1</t>
  </si>
  <si>
    <t>КТПП Малец-1</t>
  </si>
  <si>
    <t>Лугинино</t>
  </si>
  <si>
    <t>Лугинино-1</t>
  </si>
  <si>
    <t>Лугинино-2</t>
  </si>
  <si>
    <t>Лугинино-3</t>
  </si>
  <si>
    <t>Мануйлово</t>
  </si>
  <si>
    <t>Заручье</t>
  </si>
  <si>
    <t>ул. Новая</t>
  </si>
  <si>
    <t>Михалево</t>
  </si>
  <si>
    <t>Цветково</t>
  </si>
  <si>
    <t>Полукарпово</t>
  </si>
  <si>
    <t>Ильино</t>
  </si>
  <si>
    <t>Горы</t>
  </si>
  <si>
    <t>Максиха</t>
  </si>
  <si>
    <t>Мекашиха</t>
  </si>
  <si>
    <t>Новая Ж/Ф</t>
  </si>
  <si>
    <t>Очистные-2</t>
  </si>
  <si>
    <t>АВМ-ЗСП</t>
  </si>
  <si>
    <t>Попово ДК</t>
  </si>
  <si>
    <t>Дет.комбинат</t>
  </si>
  <si>
    <t>Попово ЗСП</t>
  </si>
  <si>
    <t>Мастино Ж/Ф</t>
  </si>
  <si>
    <t>Мастино дер.</t>
  </si>
  <si>
    <t>Сытино</t>
  </si>
  <si>
    <t>Сытино-1</t>
  </si>
  <si>
    <t>Сытино-2</t>
  </si>
  <si>
    <t>Сытино-3</t>
  </si>
  <si>
    <t>Шишелово</t>
  </si>
  <si>
    <t>Шишелово-1</t>
  </si>
  <si>
    <t>Шишелово-2</t>
  </si>
  <si>
    <t>Лебедиха</t>
  </si>
  <si>
    <t>Бычиха</t>
  </si>
  <si>
    <t>Каменец</t>
  </si>
  <si>
    <t>Устье</t>
  </si>
  <si>
    <t>Венецианово</t>
  </si>
  <si>
    <t>Венецианово-2</t>
  </si>
  <si>
    <t>Казикино</t>
  </si>
  <si>
    <t>Городище</t>
  </si>
  <si>
    <t>Поляны</t>
  </si>
  <si>
    <t>Мста</t>
  </si>
  <si>
    <t>Мста поселок</t>
  </si>
  <si>
    <t>Мста столовая</t>
  </si>
  <si>
    <t>Мста школа</t>
  </si>
  <si>
    <t>Бельтеньево</t>
  </si>
  <si>
    <t>Ножкино</t>
  </si>
  <si>
    <t>Ножкино Ж/Ф</t>
  </si>
  <si>
    <t>Кожино</t>
  </si>
  <si>
    <t>КТП Кожино</t>
  </si>
  <si>
    <t>Гоголино</t>
  </si>
  <si>
    <t>КТПП Казикино клуб-1</t>
  </si>
  <si>
    <t>Манихино</t>
  </si>
  <si>
    <t>Манихино ФКРС</t>
  </si>
  <si>
    <t>Залучье</t>
  </si>
  <si>
    <t>Шабаново</t>
  </si>
  <si>
    <t>Шабаново-красноселье</t>
  </si>
  <si>
    <t>Млево</t>
  </si>
  <si>
    <t>Манихино деревня</t>
  </si>
  <si>
    <t>Захарово</t>
  </si>
  <si>
    <t>Званица дерервня</t>
  </si>
  <si>
    <t>Званица ферма</t>
  </si>
  <si>
    <t>Малая Званица</t>
  </si>
  <si>
    <t>Ганино</t>
  </si>
  <si>
    <t>Гриблянка Юг</t>
  </si>
  <si>
    <t>Копачево школа</t>
  </si>
  <si>
    <t>Копачево свиноферма</t>
  </si>
  <si>
    <t>Копачево мастерские</t>
  </si>
  <si>
    <t>Копачево детсад</t>
  </si>
  <si>
    <t>Копачево пилорама</t>
  </si>
  <si>
    <t>Копачево деревня</t>
  </si>
  <si>
    <t>Копачево двор</t>
  </si>
  <si>
    <t>Гриблянка север</t>
  </si>
  <si>
    <t>Красный май</t>
  </si>
  <si>
    <t>Грибны ферма</t>
  </si>
  <si>
    <t>Лишутино</t>
  </si>
  <si>
    <t>Копачево свинарник</t>
  </si>
  <si>
    <t>Анисимово</t>
  </si>
  <si>
    <t>Глазачи</t>
  </si>
  <si>
    <t>Бойково</t>
  </si>
  <si>
    <t>Ровени</t>
  </si>
  <si>
    <t>Озера столовая</t>
  </si>
  <si>
    <t>Горка ЗСП</t>
  </si>
  <si>
    <t>Горка КЗС</t>
  </si>
  <si>
    <t>Сельцо ферма</t>
  </si>
  <si>
    <t>Сельцо деревня</t>
  </si>
  <si>
    <t>Сельцо ЗСП</t>
  </si>
  <si>
    <t>Озера школа</t>
  </si>
  <si>
    <t>Хотеново</t>
  </si>
  <si>
    <t>Максимовское</t>
  </si>
  <si>
    <t>Свирка</t>
  </si>
  <si>
    <t>Карасино</t>
  </si>
  <si>
    <t>Бабино</t>
  </si>
  <si>
    <t>Кузьминское КЗС</t>
  </si>
  <si>
    <t>Кузьминское ЗСП</t>
  </si>
  <si>
    <t>Заселище</t>
  </si>
  <si>
    <t>Белохово Ж/Ф</t>
  </si>
  <si>
    <t>Ионино</t>
  </si>
  <si>
    <t>Березно</t>
  </si>
  <si>
    <t>Староселье ж/ф</t>
  </si>
  <si>
    <t>Курово ДКУ</t>
  </si>
  <si>
    <t>Курово мастерские</t>
  </si>
  <si>
    <t>Васьково</t>
  </si>
  <si>
    <t>Быки</t>
  </si>
  <si>
    <t>Быки школа</t>
  </si>
  <si>
    <t>Речка ЗСП</t>
  </si>
  <si>
    <t>Елейкино</t>
  </si>
  <si>
    <t>Ханеево</t>
  </si>
  <si>
    <t>Сидорово</t>
  </si>
  <si>
    <t>Кузьминское Ж/Ф</t>
  </si>
  <si>
    <t>Матренино Ж/Ф</t>
  </si>
  <si>
    <t>Ледины Ж/Ф</t>
  </si>
  <si>
    <t>Пашнево</t>
  </si>
  <si>
    <t>Котлован ПСЛВ</t>
  </si>
  <si>
    <t>Черед</t>
  </si>
  <si>
    <t>Мартусы</t>
  </si>
  <si>
    <t>Мининское</t>
  </si>
  <si>
    <t>Федорково</t>
  </si>
  <si>
    <t>Артемьево</t>
  </si>
  <si>
    <t>Т.Комарно</t>
  </si>
  <si>
    <t>Кузьминское</t>
  </si>
  <si>
    <t>Кузьминское дерские</t>
  </si>
  <si>
    <t>Кузьминское маст.</t>
  </si>
  <si>
    <t>Астафьево Ж/Ф</t>
  </si>
  <si>
    <t>Мешково</t>
  </si>
  <si>
    <t>Лоховское</t>
  </si>
  <si>
    <t>Лоховское Ж./Ф</t>
  </si>
  <si>
    <t>Лоховское дер.</t>
  </si>
  <si>
    <t xml:space="preserve">Островно </t>
  </si>
  <si>
    <t xml:space="preserve">Доронино </t>
  </si>
  <si>
    <t>Сорокино</t>
  </si>
  <si>
    <t>Стенецкое ЗСП</t>
  </si>
  <si>
    <t>Баранатово Ж/Ф</t>
  </si>
  <si>
    <t>Фоминское</t>
  </si>
  <si>
    <t>Фоминское Ж/Ф</t>
  </si>
  <si>
    <t>Князево</t>
  </si>
  <si>
    <t>Тарасиха</t>
  </si>
  <si>
    <t>Тарасиха Ж/Ф</t>
  </si>
  <si>
    <t>Мишуги деревня</t>
  </si>
  <si>
    <t>КТПП Мишуги Ж/Ф</t>
  </si>
  <si>
    <t>Артемьево Ж/Ф</t>
  </si>
  <si>
    <t>Овсяниково</t>
  </si>
  <si>
    <t>Феднево</t>
  </si>
  <si>
    <t>Маслово ЗСП</t>
  </si>
  <si>
    <t>Маслово телятник</t>
  </si>
  <si>
    <t>Маслово Ж/Ф</t>
  </si>
  <si>
    <t>Маслово мастерские</t>
  </si>
  <si>
    <t>КТПП Маслово ЗСП</t>
  </si>
  <si>
    <t>Климовское</t>
  </si>
  <si>
    <t>Крапивно</t>
  </si>
  <si>
    <t>Липны</t>
  </si>
  <si>
    <t>Жаворонково</t>
  </si>
  <si>
    <t>Фировский</t>
  </si>
  <si>
    <t>10/0,4кВ ТП 001</t>
  </si>
  <si>
    <t>10/0,4кВ ТП 002</t>
  </si>
  <si>
    <t>10/0,4кВ ТП 004</t>
  </si>
  <si>
    <t>10/0,4кВ ТП 005</t>
  </si>
  <si>
    <t>10/0,4кВ ТП 006</t>
  </si>
  <si>
    <t>10/0,4кВ ТП 007</t>
  </si>
  <si>
    <t>10/0,4кВ ТП 008</t>
  </si>
  <si>
    <t>10/0,4кВ ТП 009</t>
  </si>
  <si>
    <t>10/0,4кВ ТП 010</t>
  </si>
  <si>
    <t>10/0,4кВ ТП 011</t>
  </si>
  <si>
    <t>10/0,4кВ ТП 012</t>
  </si>
  <si>
    <t>10/0,4кВ ТП 013</t>
  </si>
  <si>
    <t>2x250</t>
  </si>
  <si>
    <t>10/0,4кВ ТП 014</t>
  </si>
  <si>
    <t>2x400</t>
  </si>
  <si>
    <t>10/0,4кВ ТП 016</t>
  </si>
  <si>
    <t>10/0,4кВ ТП 017</t>
  </si>
  <si>
    <t>10/0,4кВ ТП 019</t>
  </si>
  <si>
    <t>10/0,4кВ ТП 020</t>
  </si>
  <si>
    <t>10/0,4кВ ТП 021</t>
  </si>
  <si>
    <t>10/0,4кВ ТП 022</t>
  </si>
  <si>
    <t>10/0,4кВ ТП 023</t>
  </si>
  <si>
    <t>10/0,4кВ ТП 024</t>
  </si>
  <si>
    <t>10/0,4кВ ТП 025</t>
  </si>
  <si>
    <t>10/0,4кВ ТП 026</t>
  </si>
  <si>
    <t>10/0,4кВ ТП 027</t>
  </si>
  <si>
    <t>10/0,4кВ ТП 028</t>
  </si>
  <si>
    <t>10/0,4кВ ТП 029</t>
  </si>
  <si>
    <t>10/0,4кВ ТП 030</t>
  </si>
  <si>
    <t>10/0,4кВ ТП 031</t>
  </si>
  <si>
    <t>10/0,4кВ ТП 032</t>
  </si>
  <si>
    <t>10/0,4кВ ТП 033</t>
  </si>
  <si>
    <t>10/0,4кВ ТП 034</t>
  </si>
  <si>
    <t>10/0,4кВ ТП 035</t>
  </si>
  <si>
    <t>10/0,4кВ ТП 036</t>
  </si>
  <si>
    <t>10/0,4кВ ТП 037</t>
  </si>
  <si>
    <t>10/0,4кВ ТП 038</t>
  </si>
  <si>
    <t>10/0,4кВ ТП 039</t>
  </si>
  <si>
    <t>10/0,4кВ ТП 040</t>
  </si>
  <si>
    <t>10/0,4кВ ТП 041</t>
  </si>
  <si>
    <t>10/0,4кВ ТП 042</t>
  </si>
  <si>
    <t>10/0,4кВ ТП 043</t>
  </si>
  <si>
    <t>10/0,4кВ ТП 044</t>
  </si>
  <si>
    <t>10/0,4кВ ТП 045</t>
  </si>
  <si>
    <t>10/0,4кВ ТП 046</t>
  </si>
  <si>
    <t>10/0,4кВ ТП 047</t>
  </si>
  <si>
    <t>10/0,4кВ ТП 048</t>
  </si>
  <si>
    <t>10/0,4кВ ТП 049</t>
  </si>
  <si>
    <t>10/0,4кВ ТП 050</t>
  </si>
  <si>
    <t>10/0,4кВ ТП 051</t>
  </si>
  <si>
    <t>10/0,4кВ ТП 052</t>
  </si>
  <si>
    <t>10/0,4кВ ТП 053</t>
  </si>
  <si>
    <t>10/0,4кВ ТП 054</t>
  </si>
  <si>
    <t>10/0,4кВ ТП 055</t>
  </si>
  <si>
    <t>10/0,4кВ ТП 056</t>
  </si>
  <si>
    <t>10/0,4кВ ТП 057</t>
  </si>
  <si>
    <t>10/0,4кВ ТП 058</t>
  </si>
  <si>
    <t>10/0,4кВ ТП 059</t>
  </si>
  <si>
    <t>10/0,4кВ ТП 060</t>
  </si>
  <si>
    <t>10/0,4кВ ТП 061</t>
  </si>
  <si>
    <t>10/0,4кВ ТП 062</t>
  </si>
  <si>
    <t>10/0,4кВ ТП 063</t>
  </si>
  <si>
    <t>10/0,4кВ ТП 064</t>
  </si>
  <si>
    <t>10/0,4кВ ТП 065</t>
  </si>
  <si>
    <t>10/0,4кВ ТП 066</t>
  </si>
  <si>
    <t>10/0,4кВ ТП 067</t>
  </si>
  <si>
    <t>10/0,4кВ ТП 068</t>
  </si>
  <si>
    <t>10/0,4кВ ТП 069</t>
  </si>
  <si>
    <t>10/0,4кВ ТП 070</t>
  </si>
  <si>
    <t>10/0,4кВ ТП 071</t>
  </si>
  <si>
    <t>10/0,4кВ ТП 072</t>
  </si>
  <si>
    <t>10/0,4кВ ТП 073</t>
  </si>
  <si>
    <t>10/0,4кВ ТП 074</t>
  </si>
  <si>
    <t>10/0,4кВ ТП 075</t>
  </si>
  <si>
    <t>10/0,4кВ ТП 076</t>
  </si>
  <si>
    <t>10/0,4кВ ТП 077</t>
  </si>
  <si>
    <t>10/0,4кВ ТП 078</t>
  </si>
  <si>
    <t>10/0,4кВ ТП 079</t>
  </si>
  <si>
    <t>10/0,4кВ ТП 080</t>
  </si>
  <si>
    <t>10/0,4кВ ТП 081</t>
  </si>
  <si>
    <t>10/0,4кВ ТП 082</t>
  </si>
  <si>
    <t>10/0,4кВ ТП 083</t>
  </si>
  <si>
    <t>10/0,4кВ ТП 084</t>
  </si>
  <si>
    <t>10/0,4кВ ТП 085</t>
  </si>
  <si>
    <t>10/0,4кВ ТП 086</t>
  </si>
  <si>
    <t>10/0,4кВ ТП 087</t>
  </si>
  <si>
    <t>10/0,4кВ ТП 088</t>
  </si>
  <si>
    <t>10/0,4кВ ТП 089</t>
  </si>
  <si>
    <t>10/0,4кВ ТП 090</t>
  </si>
  <si>
    <t>10/0,4кВ ТП 091</t>
  </si>
  <si>
    <t>10/0,4кВ ТП 092</t>
  </si>
  <si>
    <t>10/0,4кВ ТП 093</t>
  </si>
  <si>
    <t>10/0,4кВ ТП 094</t>
  </si>
  <si>
    <t>10/0,4кВ ТП 095</t>
  </si>
  <si>
    <t>10/0,4кВ ТП 096</t>
  </si>
  <si>
    <t>10/0,4кВ ТП 097</t>
  </si>
  <si>
    <t>10/0,4кВ ТП 098</t>
  </si>
  <si>
    <t>10/0,4кВ ТП 099</t>
  </si>
  <si>
    <t>10/0,4кВ ТП 100</t>
  </si>
  <si>
    <t>10/0,4кВ ТП 101</t>
  </si>
  <si>
    <t>10/0,4кВ ТП 102</t>
  </si>
  <si>
    <t>10/0,4кВ ТП 103</t>
  </si>
  <si>
    <t>10/0,4кВ ТП 104</t>
  </si>
  <si>
    <t>10/0,4кВ ТП 105</t>
  </si>
  <si>
    <t>6/0,4кВ ТП 106</t>
  </si>
  <si>
    <t>6/0,4кВ ТП 107</t>
  </si>
  <si>
    <t>6/0,4кВ ТП 108</t>
  </si>
  <si>
    <t>6/0,4кВ ТП 109</t>
  </si>
  <si>
    <t>6/0,4кВ ТП 110</t>
  </si>
  <si>
    <t>6/0,4кВ ТП 111</t>
  </si>
  <si>
    <t>6/0,4кВ ТП 112</t>
  </si>
  <si>
    <t>6/0,4кВ ТП 113</t>
  </si>
  <si>
    <t>6/0,4кВ ТП 114</t>
  </si>
  <si>
    <t>6/0,4кВ ТП 115</t>
  </si>
  <si>
    <t>6/0,4кВ ТП 116</t>
  </si>
  <si>
    <t>6/0,4кВ ТП 117</t>
  </si>
  <si>
    <t>6/0,4кВ ТП 118</t>
  </si>
  <si>
    <t>6/0,4кВ ТП 119</t>
  </si>
  <si>
    <t>6/0,4кВ ТП 120</t>
  </si>
  <si>
    <t>6/0,4кВ ТП 121</t>
  </si>
  <si>
    <t>6/0,4кВ ТП 122</t>
  </si>
  <si>
    <t>6/0,4кВ ТП 123</t>
  </si>
  <si>
    <t>6/0,4кВ ТП 124</t>
  </si>
  <si>
    <t>6/0,4кВ ТП 125</t>
  </si>
  <si>
    <t>6/0,4кВ ТП 126</t>
  </si>
  <si>
    <t>6/0,4кВ ТП 127</t>
  </si>
  <si>
    <t>6/0,4кВ ТП 128</t>
  </si>
  <si>
    <t>6/0,4кВ ТП 129</t>
  </si>
  <si>
    <t>6/0,4кВ ТП 130</t>
  </si>
  <si>
    <t>6/0,4кВ ТП 131</t>
  </si>
  <si>
    <t>6/0,4кВ ТП 132</t>
  </si>
  <si>
    <t>6/0,4кВ ТП 133</t>
  </si>
  <si>
    <t>6/0,4кВ ТП 134</t>
  </si>
  <si>
    <t>6/0,4кВ ТП 135</t>
  </si>
  <si>
    <t>6/0,4кВ ТП 136</t>
  </si>
  <si>
    <t>6/0,4кВ ТП 137</t>
  </si>
  <si>
    <t>6/0,4кВ ТП 138</t>
  </si>
  <si>
    <t>6/0,4кВ ТП 139</t>
  </si>
  <si>
    <t>6/0,4кВ ТП 140</t>
  </si>
  <si>
    <t>6/0,4кВ ТП 141</t>
  </si>
  <si>
    <t>6/0,4кВ ТП 142</t>
  </si>
  <si>
    <t>6/0,4кВ ТП 143</t>
  </si>
  <si>
    <t>6/0,4кВ ТП 144</t>
  </si>
  <si>
    <t>6/0,4кВ ТП 145</t>
  </si>
  <si>
    <t>Краснохолмский</t>
  </si>
  <si>
    <t>Костино-Бельково</t>
  </si>
  <si>
    <t>д.Суслово</t>
  </si>
  <si>
    <t>Захариха</t>
  </si>
  <si>
    <t>Гущино</t>
  </si>
  <si>
    <t>д.Гущино</t>
  </si>
  <si>
    <t>д.Дмитровка</t>
  </si>
  <si>
    <t>д.Тучево</t>
  </si>
  <si>
    <t>д.Рыжково</t>
  </si>
  <si>
    <t>д.Турково</t>
  </si>
  <si>
    <t>д.Слобода</t>
  </si>
  <si>
    <t>д.Коробово</t>
  </si>
  <si>
    <t>д.Дор</t>
  </si>
  <si>
    <t>д.Филипково</t>
  </si>
  <si>
    <t>д.Струбищи</t>
  </si>
  <si>
    <t>д.Лохово</t>
  </si>
  <si>
    <t>д.Сутоки</t>
  </si>
  <si>
    <t>д.Терешково</t>
  </si>
  <si>
    <t>Медведево</t>
  </si>
  <si>
    <t>д.Медведево</t>
  </si>
  <si>
    <t>Ргени</t>
  </si>
  <si>
    <t>Хабоцкое-котеджи</t>
  </si>
  <si>
    <t>Хабоцкое-брод</t>
  </si>
  <si>
    <t>Жил.зона ЛЭМЗ</t>
  </si>
  <si>
    <t>АЗС</t>
  </si>
  <si>
    <t>Д/К №5 +кочегарка</t>
  </si>
  <si>
    <t>ЧП-Круглов (ДРСУ)</t>
  </si>
  <si>
    <t>Думино</t>
  </si>
  <si>
    <t>Глебени-мастерская</t>
  </si>
  <si>
    <t>Глебени</t>
  </si>
  <si>
    <t>Глебени-ЗСП</t>
  </si>
  <si>
    <t>Лаптево</t>
  </si>
  <si>
    <t>д.Лаптево</t>
  </si>
  <si>
    <t>Кокошкино</t>
  </si>
  <si>
    <t>д.Кокошкино</t>
  </si>
  <si>
    <t>Костево,Буньково,Заполек</t>
  </si>
  <si>
    <t>Лапшино</t>
  </si>
  <si>
    <t>д.Лапшино</t>
  </si>
  <si>
    <t>.Поповское</t>
  </si>
  <si>
    <t>Поповское-ферма</t>
  </si>
  <si>
    <t>Нивы</t>
  </si>
  <si>
    <t>д.Нивы</t>
  </si>
  <si>
    <t>Нивы-сушилка</t>
  </si>
  <si>
    <t>Дашкино</t>
  </si>
  <si>
    <t>Сиднева</t>
  </si>
  <si>
    <t>.Рачево</t>
  </si>
  <si>
    <t>Рачево-ферма</t>
  </si>
  <si>
    <t>Рачево-мастерская</t>
  </si>
  <si>
    <t>Рачево-сушилка</t>
  </si>
  <si>
    <t>Крюково</t>
  </si>
  <si>
    <t>д.Крюково</t>
  </si>
  <si>
    <t>Лопатиха</t>
  </si>
  <si>
    <t>д.Лопатиха</t>
  </si>
  <si>
    <t>Бекрени</t>
  </si>
  <si>
    <t>Гришки</t>
  </si>
  <si>
    <t>Васьки</t>
  </si>
  <si>
    <t>д.Васьки</t>
  </si>
  <si>
    <t>Стяжки</t>
  </si>
  <si>
    <t>Чернуха</t>
  </si>
  <si>
    <t>Будакино</t>
  </si>
  <si>
    <t>Литвиново</t>
  </si>
  <si>
    <t>д.Литвиново</t>
  </si>
  <si>
    <t>Нива-мастерские</t>
  </si>
  <si>
    <t>Трофимово</t>
  </si>
  <si>
    <t>д.Трофимово</t>
  </si>
  <si>
    <t>Козлово</t>
  </si>
  <si>
    <t>д.Козлово</t>
  </si>
  <si>
    <t>Поляны-сушилка</t>
  </si>
  <si>
    <t>.Поляны</t>
  </si>
  <si>
    <t>д.Поляны</t>
  </si>
  <si>
    <t>Пронино</t>
  </si>
  <si>
    <t>Назимово</t>
  </si>
  <si>
    <t>д.Григорово</t>
  </si>
  <si>
    <t>д.Бабино</t>
  </si>
  <si>
    <t>Починок</t>
  </si>
  <si>
    <t>Машино</t>
  </si>
  <si>
    <t>Путилово</t>
  </si>
  <si>
    <t>д.Путилово</t>
  </si>
  <si>
    <t>Пальниково</t>
  </si>
  <si>
    <t>Бибирево</t>
  </si>
  <si>
    <t>д.Бибирево</t>
  </si>
  <si>
    <t>Хвалево</t>
  </si>
  <si>
    <t>Скоросово-сушилка</t>
  </si>
  <si>
    <t>Петелино</t>
  </si>
  <si>
    <t>Высокуша-поселок</t>
  </si>
  <si>
    <t>Кочерово</t>
  </si>
  <si>
    <t>д.Кочерово</t>
  </si>
  <si>
    <t>Плишкино</t>
  </si>
  <si>
    <t>Лобнево</t>
  </si>
  <si>
    <t>Высокуша</t>
  </si>
  <si>
    <t>Васюнино-КРС</t>
  </si>
  <si>
    <t>Васюнино-мастерск.</t>
  </si>
  <si>
    <t>Васюнино</t>
  </si>
  <si>
    <t>Васюнино-котеджи</t>
  </si>
  <si>
    <t>Васюнино-КЗС</t>
  </si>
  <si>
    <t>Григорково</t>
  </si>
  <si>
    <t>д.Григорково</t>
  </si>
  <si>
    <t>Холмцы</t>
  </si>
  <si>
    <t>д.Холмцы</t>
  </si>
  <si>
    <t>Завидово</t>
  </si>
  <si>
    <t>д.Завидово</t>
  </si>
  <si>
    <t>.Морозово</t>
  </si>
  <si>
    <t>д.Морозово</t>
  </si>
  <si>
    <t>Пруды</t>
  </si>
  <si>
    <t>д.Пруды</t>
  </si>
  <si>
    <t>Поповка-поселок</t>
  </si>
  <si>
    <t>Александровка</t>
  </si>
  <si>
    <t>д.Александровка</t>
  </si>
  <si>
    <t>Поповка</t>
  </si>
  <si>
    <t>.Покровское</t>
  </si>
  <si>
    <t>д.Покровское</t>
  </si>
  <si>
    <t>Утехово</t>
  </si>
  <si>
    <t>Толстиково-мастер.</t>
  </si>
  <si>
    <t>Толстиково</t>
  </si>
  <si>
    <t>д.Толстиково</t>
  </si>
  <si>
    <t>д.Гаврилово</t>
  </si>
  <si>
    <t>д.Гаврилово-суш.2</t>
  </si>
  <si>
    <t>д.Мартыново</t>
  </si>
  <si>
    <t>д.Коровкино</t>
  </si>
  <si>
    <t>Осташево-Поповка</t>
  </si>
  <si>
    <t>Перха</t>
  </si>
  <si>
    <t>д.Братское-мастер.</t>
  </si>
  <si>
    <t>Братское-КРС</t>
  </si>
  <si>
    <t>Чернава</t>
  </si>
  <si>
    <t>Огибалово</t>
  </si>
  <si>
    <t>Кожанково</t>
  </si>
  <si>
    <t>Крапивкино</t>
  </si>
  <si>
    <t>Потешкино</t>
  </si>
  <si>
    <t>д.Васильки</t>
  </si>
  <si>
    <t>Максимцы</t>
  </si>
  <si>
    <t>д.Михалево</t>
  </si>
  <si>
    <t>д.Воскресенское</t>
  </si>
  <si>
    <t>Молоковский</t>
  </si>
  <si>
    <t>10/0,4 кВ  КТП 001</t>
  </si>
  <si>
    <t>10/0,4 кВ  КТП 002</t>
  </si>
  <si>
    <t>10/0,4 кВ  МТП 003</t>
  </si>
  <si>
    <t>д.Расловино</t>
  </si>
  <si>
    <t>10/0,4 кВ  КТП 004</t>
  </si>
  <si>
    <t>д.Михалиха</t>
  </si>
  <si>
    <t>10/0,4 кВ  КТП 005</t>
  </si>
  <si>
    <t>д.Ельцино</t>
  </si>
  <si>
    <t>10/0,4 кВ  КТП 006</t>
  </si>
  <si>
    <t>д.Михайловское</t>
  </si>
  <si>
    <t>10/0,4 кВ  КТП 007</t>
  </si>
  <si>
    <t>д.Церпени</t>
  </si>
  <si>
    <t>10/0,4 кВ  КТП 008</t>
  </si>
  <si>
    <t>д.Черкасово</t>
  </si>
  <si>
    <t>10/0,4 кВ  КТП 009</t>
  </si>
  <si>
    <t>10/0,4 кВ  КТП 010</t>
  </si>
  <si>
    <t>10/0,4 кВ  КТП 011</t>
  </si>
  <si>
    <t>д.Андрюшино</t>
  </si>
  <si>
    <t>10/0,4 кВ  КТП 012</t>
  </si>
  <si>
    <t>д.Лутовинино</t>
  </si>
  <si>
    <t>10/0,4 кВ  КТП 013</t>
  </si>
  <si>
    <t>д.Павловское</t>
  </si>
  <si>
    <t>10/0,4 кВ  КТП 014</t>
  </si>
  <si>
    <t>д.Родичево</t>
  </si>
  <si>
    <t>10/0,4 кВ  КТП 015</t>
  </si>
  <si>
    <t>д.Галкино</t>
  </si>
  <si>
    <t>10/0,4 кВ  КТП 016</t>
  </si>
  <si>
    <t>д.М.Мотолоша</t>
  </si>
  <si>
    <t xml:space="preserve">10/0,4 кВ  МТП 017 </t>
  </si>
  <si>
    <t>д.Порошково</t>
  </si>
  <si>
    <t>10/0,4 кВ  КТП 018</t>
  </si>
  <si>
    <t>10/0,4 кВ  КТП 020</t>
  </si>
  <si>
    <t>д.Михайлово</t>
  </si>
  <si>
    <t>10/0,4 кВ  КТП 021</t>
  </si>
  <si>
    <t>д.Бикалово</t>
  </si>
  <si>
    <t>10/0,4 кВ  КТП 022</t>
  </si>
  <si>
    <t>д.Стогиново</t>
  </si>
  <si>
    <t>10/0,4 кВ  КТП 023</t>
  </si>
  <si>
    <t>д.Гора</t>
  </si>
  <si>
    <t>10/0,4 кВ  КТП 024</t>
  </si>
  <si>
    <t>д.Комарицы</t>
  </si>
  <si>
    <t>10/0,4 кВ  КТП 025</t>
  </si>
  <si>
    <t>д.Борок</t>
  </si>
  <si>
    <t>10/0,4 кВ  КТП 026</t>
  </si>
  <si>
    <t>д.Лохнёво</t>
  </si>
  <si>
    <t>10/0,4 кВ  КТП 027</t>
  </si>
  <si>
    <t>д.Залужанье</t>
  </si>
  <si>
    <t>10/0,4 кВ  КТП 028</t>
  </si>
  <si>
    <t>10/0,4 кВ  КТП 029</t>
  </si>
  <si>
    <t>10/0,4 кВ  КТП 031</t>
  </si>
  <si>
    <t>10/0,4 кВ  КТП 032</t>
  </si>
  <si>
    <t>д.Нипиты</t>
  </si>
  <si>
    <t>10/0,4 кВ  КТП 033</t>
  </si>
  <si>
    <t>д.Бели</t>
  </si>
  <si>
    <t>10/0,4 кВ  КТП 034</t>
  </si>
  <si>
    <t>д.Свобода</t>
  </si>
  <si>
    <t>10/0,4 кВ  КТП 035</t>
  </si>
  <si>
    <t>10/0,4 кВ  КТП 036</t>
  </si>
  <si>
    <t>10/0,4 кВ  КТП 037</t>
  </si>
  <si>
    <t>10/0,4 кВ  КТП 038</t>
  </si>
  <si>
    <t>10/0,4 кВ  КТП 039</t>
  </si>
  <si>
    <t>д.Андрейцево</t>
  </si>
  <si>
    <t>10/0,4 кВ  КТП 040</t>
  </si>
  <si>
    <t>10/0,4 кВ  КТП 041</t>
  </si>
  <si>
    <t>д.Бесово</t>
  </si>
  <si>
    <t>10/0,4 кВ  КТП 042</t>
  </si>
  <si>
    <t>д.Репищи</t>
  </si>
  <si>
    <t>10/0,4 кВ  КТП 043</t>
  </si>
  <si>
    <t>д.Пупцево</t>
  </si>
  <si>
    <t>10/0,4 кВ  КТП 044</t>
  </si>
  <si>
    <t>д.Б.Дельки</t>
  </si>
  <si>
    <t>10/0,4 кВ  КТП 045</t>
  </si>
  <si>
    <t>п.Молоково</t>
  </si>
  <si>
    <t>10/0,4 кВ  КТП 047</t>
  </si>
  <si>
    <t>д.Рамешки</t>
  </si>
  <si>
    <t>10/0,4 кВ  КТП 054</t>
  </si>
  <si>
    <t>10/0,4 кВ  КТП 055</t>
  </si>
  <si>
    <t>10/0,4 кВ  КТП 056</t>
  </si>
  <si>
    <t>10/0,4 кВ  КТП 057</t>
  </si>
  <si>
    <t>д.Могутово</t>
  </si>
  <si>
    <t>10/0,4 кВ  КТП 058</t>
  </si>
  <si>
    <t>д.Подсосенье</t>
  </si>
  <si>
    <t>10/0,4 кВ  КТП 059</t>
  </si>
  <si>
    <t>д.Анниково</t>
  </si>
  <si>
    <t>10/0,4 кВ  КТП 060</t>
  </si>
  <si>
    <t>д.Коромыслово</t>
  </si>
  <si>
    <t>10/0,4 кВ  КТП 062</t>
  </si>
  <si>
    <t>д.Белёво</t>
  </si>
  <si>
    <t>10/0,4 кВ  КТП 063</t>
  </si>
  <si>
    <t>10/0,4 кВ  КТП 064</t>
  </si>
  <si>
    <t>д.Кудрино</t>
  </si>
  <si>
    <t>10/0,4 кВ  КТП 066</t>
  </si>
  <si>
    <t>10/0,4 кВ  КТП 067</t>
  </si>
  <si>
    <t>д.Кривонское</t>
  </si>
  <si>
    <t>10/0,4 кВ  КТП 068</t>
  </si>
  <si>
    <t>д.Марково</t>
  </si>
  <si>
    <t>10/0,4 кВ  КТП 069</t>
  </si>
  <si>
    <t>д.Лентиха</t>
  </si>
  <si>
    <t>10/0,4 кВ  КТП 070</t>
  </si>
  <si>
    <t>д.Еруново</t>
  </si>
  <si>
    <t>10/0,4 кВ  КТП 071</t>
  </si>
  <si>
    <t>д.Антоновское</t>
  </si>
  <si>
    <t>10/0,4 кВ  КТП 073</t>
  </si>
  <si>
    <t>10/0,4 кВ  КТП 074</t>
  </si>
  <si>
    <t>10/0,4 кВ  КТП 075</t>
  </si>
  <si>
    <t>10/0,4 кВ  КТП 076</t>
  </si>
  <si>
    <t>10/0,4 кВ  КТП 077</t>
  </si>
  <si>
    <t>д.Еваново</t>
  </si>
  <si>
    <t>10/0,4 кВ  КТП 078</t>
  </si>
  <si>
    <t>10/0,4 кВ  КТП 079</t>
  </si>
  <si>
    <t>10/0,4 кВ  КТП 080</t>
  </si>
  <si>
    <t>10/0,4 кВ  КТП 081</t>
  </si>
  <si>
    <t>10/0,4 кВ  КТП 082</t>
  </si>
  <si>
    <t>10/0,4 кВ  КТП 083</t>
  </si>
  <si>
    <t xml:space="preserve"> 2x250</t>
  </si>
  <si>
    <t>10/0,4 кВ  КТП 084</t>
  </si>
  <si>
    <t>10/0,4 кВ  КТП 085</t>
  </si>
  <si>
    <t>10/0,4 кВ  КТП 086</t>
  </si>
  <si>
    <t>10/0,4 кВ  КТП 088</t>
  </si>
  <si>
    <t>10/0,4 кВ  КТП 090</t>
  </si>
  <si>
    <t>10/0,4 кВ  КТП 091</t>
  </si>
  <si>
    <t>10/0,4 кВ  КТП 093</t>
  </si>
  <si>
    <t>10/0,4 кВ  КТП 096</t>
  </si>
  <si>
    <t>10/0,4 кВ  КТП 097</t>
  </si>
  <si>
    <t>10/0,4 кВ  КТП 098</t>
  </si>
  <si>
    <t>10/0,4 кВ  КТП 099</t>
  </si>
  <si>
    <t>д.Кузнецково</t>
  </si>
  <si>
    <t>10/0,4 кВ  КТП 100</t>
  </si>
  <si>
    <t>10/0,4 кВ  КТП 101</t>
  </si>
  <si>
    <t>д.Тушитово</t>
  </si>
  <si>
    <t>10/0,4 кВ  КТП 104</t>
  </si>
  <si>
    <t>10/0,4 кВ  КТП 105</t>
  </si>
  <si>
    <t>д.М.Дельки</t>
  </si>
  <si>
    <t>10/0,4 кВ  КТП 106</t>
  </si>
  <si>
    <t>10/0,4 кВ  КТП 108</t>
  </si>
  <si>
    <t>10/0,4 кВ  КТП 109</t>
  </si>
  <si>
    <t>10/0,4 кВ  КТП 110</t>
  </si>
  <si>
    <t>10/0,4 кВ  КТП 111</t>
  </si>
  <si>
    <t>10/0,4 кВ  КТП 112</t>
  </si>
  <si>
    <t>10/0,4 кВ  КТП 114</t>
  </si>
  <si>
    <t>10/0,4 кВ  КТП 115</t>
  </si>
  <si>
    <t>10/0,4 кВ  КТП 116</t>
  </si>
  <si>
    <t>10/0,4 кВ  КТП 117</t>
  </si>
  <si>
    <t>10/0,4 кВ  КТП 118</t>
  </si>
  <si>
    <t>10/0,4 кВ  КТП 119</t>
  </si>
  <si>
    <t>10/0,4 кВ  КТП 120</t>
  </si>
  <si>
    <t>10/0,4 кВ  КТП 121</t>
  </si>
  <si>
    <t>10/0,4 кВ  КТП 122</t>
  </si>
  <si>
    <t>д.Брызгалиха</t>
  </si>
  <si>
    <t>10/0,4 кВ  КТП 123</t>
  </si>
  <si>
    <t>д.Богдаево</t>
  </si>
  <si>
    <t>10/0,4 кВ  КТП 124</t>
  </si>
  <si>
    <t>д.Косово</t>
  </si>
  <si>
    <t>10/0,4 кВ  КТП 125</t>
  </si>
  <si>
    <t>10/0,4 кВ  КТП 126</t>
  </si>
  <si>
    <t>д.Савачёво</t>
  </si>
  <si>
    <t>10/0,4 кВ  КТП 127</t>
  </si>
  <si>
    <t>10/0,4 кВ  КТП 128</t>
  </si>
  <si>
    <t>д.Дубровка</t>
  </si>
  <si>
    <t>10/0,4 кВ  КТП 129</t>
  </si>
  <si>
    <t>д.Заречье</t>
  </si>
  <si>
    <t>10/0,4 кВ  КТП 130</t>
  </si>
  <si>
    <t>д.Перово</t>
  </si>
  <si>
    <t>10/0,4 кВ  КТП 131</t>
  </si>
  <si>
    <t>10/0,4 кВ  КТП 132</t>
  </si>
  <si>
    <t>д.Чисти</t>
  </si>
  <si>
    <t>10/0,4 кВ  КТП 133</t>
  </si>
  <si>
    <t>д.Юрьево</t>
  </si>
  <si>
    <t>10/0,4 кВ  КТП 134</t>
  </si>
  <si>
    <t>д.Волховицы</t>
  </si>
  <si>
    <t>10/0,4 кВ  КТП 135</t>
  </si>
  <si>
    <t>д.Микшеево</t>
  </si>
  <si>
    <t>10/0,4 кВ  КТП 136</t>
  </si>
  <si>
    <t>д.Залезино</t>
  </si>
  <si>
    <t>10/0,4 кВ  КТП 138</t>
  </si>
  <si>
    <t>д.Лисичное</t>
  </si>
  <si>
    <t>10/0,4 кВ  КТП 140</t>
  </si>
  <si>
    <t>д.Черемись</t>
  </si>
  <si>
    <t>10/0,4 кВ  КТП 141</t>
  </si>
  <si>
    <t>д.Новосёлка</t>
  </si>
  <si>
    <t>10/0,4 кВ  КТП 143</t>
  </si>
  <si>
    <t>д.Кулачево</t>
  </si>
  <si>
    <t>10/0,4 кВ  КТП 144</t>
  </si>
  <si>
    <t>д.Уменицы</t>
  </si>
  <si>
    <t>10/0,4 кВ  КТП 145</t>
  </si>
  <si>
    <t>д.Покров</t>
  </si>
  <si>
    <t>10/0,4 кВ  КТП 146</t>
  </si>
  <si>
    <t>д.Ахматово</t>
  </si>
  <si>
    <t>10/0,4 кВ  КТП 148</t>
  </si>
  <si>
    <t>10/0,4 кВ  КТП 149</t>
  </si>
  <si>
    <t>10/0,4 кВ  КТП 150</t>
  </si>
  <si>
    <t>10/0,4 кВ  КТП 151</t>
  </si>
  <si>
    <t>д.Ляпино</t>
  </si>
  <si>
    <t>10/0,4 кВ  КТП 152</t>
  </si>
  <si>
    <t>д.Перевёртка</t>
  </si>
  <si>
    <t>10/0,4 кВ  КТП 153</t>
  </si>
  <si>
    <t>д.Введеньё</t>
  </si>
  <si>
    <t>10/0,4 кВ  КТП 154</t>
  </si>
  <si>
    <t>10/0,4 кВ  КТП 155</t>
  </si>
  <si>
    <t>10/0,4 кВ  КТП 156</t>
  </si>
  <si>
    <t>д.Сабель</t>
  </si>
  <si>
    <t>10/0,4 кВ  КТП 157</t>
  </si>
  <si>
    <t>д.Дымцево</t>
  </si>
  <si>
    <t>10/0,4 кВ  КТП 160</t>
  </si>
  <si>
    <t>д.Даниловское</t>
  </si>
  <si>
    <t>10/0,4 кВ  КТП 162</t>
  </si>
  <si>
    <t>д.Суборь</t>
  </si>
  <si>
    <t>10/0,4 кВ  КТП 163</t>
  </si>
  <si>
    <t>д.Восново</t>
  </si>
  <si>
    <t>10/0,4 кВ  КТП 164</t>
  </si>
  <si>
    <t>д.Гостерачки</t>
  </si>
  <si>
    <t>10/0,4 кВ  КТП 165</t>
  </si>
  <si>
    <t>д.Подертово</t>
  </si>
  <si>
    <t>10/0,4 кВ  КТП 166</t>
  </si>
  <si>
    <t>д.Бор.Шалаев</t>
  </si>
  <si>
    <t>10/0,4 кВ  КТП 167</t>
  </si>
  <si>
    <t>10/0,4 кВ  КТП 168</t>
  </si>
  <si>
    <t>д.Рашино</t>
  </si>
  <si>
    <t>10/0,4 кВ  КТП 169</t>
  </si>
  <si>
    <t>д.Ровново</t>
  </si>
  <si>
    <t>10/0,4 кВ  КТП 170</t>
  </si>
  <si>
    <t>д.Передово</t>
  </si>
  <si>
    <t>10/0,4 кВ  КТП 171</t>
  </si>
  <si>
    <t>10/0,4 кВ  КТП 172</t>
  </si>
  <si>
    <t>д.Обросово</t>
  </si>
  <si>
    <t>10/0,4 кВ  КТП 173</t>
  </si>
  <si>
    <t>10/0,4 кВ  КТП 174</t>
  </si>
  <si>
    <t>10/0,4 кВ  КТП 175</t>
  </si>
  <si>
    <t>10/0,4 кВ  КТП 176</t>
  </si>
  <si>
    <t>10/0,4 кВ  КТП 178</t>
  </si>
  <si>
    <t>д.Кар.Городок</t>
  </si>
  <si>
    <t>10/0,4 кВ  КТП 180</t>
  </si>
  <si>
    <t>10/0,4 кВ  КТП 181</t>
  </si>
  <si>
    <t>10/0,4 кВ  КТП 182</t>
  </si>
  <si>
    <t>10/0,4 кВ  КТП 183</t>
  </si>
  <si>
    <t>10/0,4 кВ  КТП 185</t>
  </si>
  <si>
    <t>10/0,4 кВ  КТП 186</t>
  </si>
  <si>
    <t>10/0,4 кВ  КТП 187</t>
  </si>
  <si>
    <t>д.Гричево</t>
  </si>
  <si>
    <t>10/0,4 кВ  КТП 188</t>
  </si>
  <si>
    <t>д.Алешково</t>
  </si>
  <si>
    <t>10/0,4 кВ  КТП 189</t>
  </si>
  <si>
    <t>10/0,4 кВ  КТП 190</t>
  </si>
  <si>
    <t>д.Новокотово</t>
  </si>
  <si>
    <t>10/0,4 кВ  КТП 191</t>
  </si>
  <si>
    <t>д.Деледино</t>
  </si>
  <si>
    <t>10/0,4 кВ  КТП 192</t>
  </si>
  <si>
    <t>д.Алексейцево</t>
  </si>
  <si>
    <t>10/0,4 кВ  КТП 194</t>
  </si>
  <si>
    <t>10/0,4 кВ  КТП 195</t>
  </si>
  <si>
    <t>д.Мануилово</t>
  </si>
  <si>
    <t>10/0,4 кВ  КТП 197</t>
  </si>
  <si>
    <t>д.Власиха</t>
  </si>
  <si>
    <t>10/0,4 кВ  КТП 198</t>
  </si>
  <si>
    <t>10/0,4 кВ  КТП 199</t>
  </si>
  <si>
    <t>д.Чернево</t>
  </si>
  <si>
    <t>10/0,4 кВ  КТП 200</t>
  </si>
  <si>
    <t>10/0,4 кВ  КТП 201</t>
  </si>
  <si>
    <t>10/0,4 кВ  КТП 202</t>
  </si>
  <si>
    <t>д.Легково</t>
  </si>
  <si>
    <t>10/0,4 кВ  КТП 203</t>
  </si>
  <si>
    <t>10/0,4 кВ  КТП 204</t>
  </si>
  <si>
    <t>10/0,4 кВ  КТП 205</t>
  </si>
  <si>
    <t>д.Ивашево</t>
  </si>
  <si>
    <t>10/0,4 кВ  КТП 206</t>
  </si>
  <si>
    <t>д.Выголово</t>
  </si>
  <si>
    <t>10/0,4 кВ  КТП 207</t>
  </si>
  <si>
    <t>д.Тужилово</t>
  </si>
  <si>
    <t>10/0,4 кВ  КТП 208</t>
  </si>
  <si>
    <t>д.Десна</t>
  </si>
  <si>
    <t>10/0,4 кВ  КТП 209</t>
  </si>
  <si>
    <t>д.Рожково</t>
  </si>
  <si>
    <t>10/0,4 кВ  КТП 210</t>
  </si>
  <si>
    <t>д.Мышкино</t>
  </si>
  <si>
    <t>10/0,4 кВ  КТП 211</t>
  </si>
  <si>
    <t>10/0,4 кВ  КТП 212</t>
  </si>
  <si>
    <t>10/0,4 кВ  КТП 213</t>
  </si>
  <si>
    <t>10/0,4 кВ  КТП 214</t>
  </si>
  <si>
    <t>10/0,4 кВ  КТП 216</t>
  </si>
  <si>
    <t>Щербово</t>
  </si>
  <si>
    <t>Сандовский</t>
  </si>
  <si>
    <t>КТП-10кВ №3 дер. Щербово</t>
  </si>
  <si>
    <t>КТП-10кВ №5 ж/зона Щербово</t>
  </si>
  <si>
    <t>Коурово</t>
  </si>
  <si>
    <t>МТП-10кВ №6 Коурово</t>
  </si>
  <si>
    <t>Пономарево</t>
  </si>
  <si>
    <t>МТП-10кВ №9 Пономарево</t>
  </si>
  <si>
    <t>Ракитино</t>
  </si>
  <si>
    <t>МТП-10кВ №7  Ракитино</t>
  </si>
  <si>
    <t>Дремучево</t>
  </si>
  <si>
    <t>КТП-10кВ №10 Дремучево</t>
  </si>
  <si>
    <t>Б.Никитино</t>
  </si>
  <si>
    <t>МТП-10кВ №11 Б.Никитино</t>
  </si>
  <si>
    <t>М.Никитино</t>
  </si>
  <si>
    <t>МТП-10кВ №12 М.Никитино</t>
  </si>
  <si>
    <t>Заднее</t>
  </si>
  <si>
    <t>МТП-10кВ №13 Заднее</t>
  </si>
  <si>
    <t>Горка</t>
  </si>
  <si>
    <t>КТП-10кВ №14 Горка</t>
  </si>
  <si>
    <t>МТП-10кВ №15 Ольховец</t>
  </si>
  <si>
    <t>Тухани</t>
  </si>
  <si>
    <t>МТП-10кВ №16 Молзавод Тухани</t>
  </si>
  <si>
    <t>КТП-10кВ №17 ФКРС Тухани</t>
  </si>
  <si>
    <t>Надеево</t>
  </si>
  <si>
    <t>МТП-10кВ №20 Надеево</t>
  </si>
  <si>
    <t>Дегтярка</t>
  </si>
  <si>
    <t>КТП-10кВ № 21 Дегтярка</t>
  </si>
  <si>
    <t>Нивицы</t>
  </si>
  <si>
    <t>КТП-10кВ №23 Нивицы</t>
  </si>
  <si>
    <t>Александровское</t>
  </si>
  <si>
    <t>МТП-10кВ №24 Александровское</t>
  </si>
  <si>
    <t>Кресты-Погорелка</t>
  </si>
  <si>
    <t>КТП-10кВ №26 Кресты-Погорелка</t>
  </si>
  <si>
    <t>Кресты</t>
  </si>
  <si>
    <t>КТП-10кВ №28 ж/зона Кресты</t>
  </si>
  <si>
    <t>Борок</t>
  </si>
  <si>
    <t>МТП-10 кВ №30 Борок</t>
  </si>
  <si>
    <t>Лукино</t>
  </si>
  <si>
    <t>КТП-10кВ №39 ЗСП Лукино</t>
  </si>
  <si>
    <t>КТП-10кВ №37 Ж/зона Лукино</t>
  </si>
  <si>
    <t>КТП-10кВ №38 д/сад, школа д. Лукино</t>
  </si>
  <si>
    <t>КТП-10кВ №41 Ж/зона Лукино</t>
  </si>
  <si>
    <t>КТП-10кВ №40 мастерские Лукино</t>
  </si>
  <si>
    <t>КТПП-10кВ №36 ФКРС Лукино</t>
  </si>
  <si>
    <t>Перфильево</t>
  </si>
  <si>
    <t>КТП-10кВ №32 Ж/зона Перфильево</t>
  </si>
  <si>
    <t>КТП-10кВ №33 ФКРС Перфильево</t>
  </si>
  <si>
    <t>МТП-10кВ №27 д. Кресты</t>
  </si>
  <si>
    <t>Никольское</t>
  </si>
  <si>
    <t>КТП-10кВ №42 Никольское</t>
  </si>
  <si>
    <t>МТП-10 кВ №43 Белые Межи</t>
  </si>
  <si>
    <t>Мухино</t>
  </si>
  <si>
    <t>КТП-10кВ №44 Мухино</t>
  </si>
  <si>
    <t>Ворсино</t>
  </si>
  <si>
    <t>КТП-10кВ №45 Ворсино</t>
  </si>
  <si>
    <t>Сушигорицы</t>
  </si>
  <si>
    <t>КТП-10кВ №48 Сушигорицы( КТПП)</t>
  </si>
  <si>
    <t>МТП-10 кВ №50 д. Сушигорицы жил/зона</t>
  </si>
  <si>
    <t>КТП-10кВ №47 ж/дома Сушигорицы</t>
  </si>
  <si>
    <t>Детково</t>
  </si>
  <si>
    <t>МТП-10 кВ №56 Детково</t>
  </si>
  <si>
    <t>Куниково</t>
  </si>
  <si>
    <t>МТП-10 кВ №54 Куниково</t>
  </si>
  <si>
    <t>Дупли</t>
  </si>
  <si>
    <t>КТП-10кВ №55 Дупли</t>
  </si>
  <si>
    <t>Сулоиха</t>
  </si>
  <si>
    <t>МТП-10 кВ №51 Сулоиха</t>
  </si>
  <si>
    <t>Нефедьево</t>
  </si>
  <si>
    <t>КТП-10кВ №52 Нефедьево</t>
  </si>
  <si>
    <t>Раменец</t>
  </si>
  <si>
    <t>КТП-10кВ №53 Раменец</t>
  </si>
  <si>
    <t>Крылово</t>
  </si>
  <si>
    <t>МТП-10 кВ №57 Крылово</t>
  </si>
  <si>
    <t>Сандово</t>
  </si>
  <si>
    <t>КТП-10кВ №69 ул. С. Звонарева п. Сандово</t>
  </si>
  <si>
    <t>КТП-10кВ №71 ж/зона Нивицы</t>
  </si>
  <si>
    <t>КТП-10кВ №70 Нивицы фкрс</t>
  </si>
  <si>
    <t>МТП-10кВ №72 Глебени</t>
  </si>
  <si>
    <t>Матвейково</t>
  </si>
  <si>
    <t>МТП-10кВ №73 Матвейково</t>
  </si>
  <si>
    <t>Рекуша</t>
  </si>
  <si>
    <t>МТП-10кВ №74 Рекуша</t>
  </si>
  <si>
    <t>Мантурьево</t>
  </si>
  <si>
    <t>КТП-10кВ №76 ЗСП Мантурьево</t>
  </si>
  <si>
    <t>КТП-10кВ №77 жил/зона  Мантурьево</t>
  </si>
  <si>
    <t>Давыдово</t>
  </si>
  <si>
    <t>КТП-10кВ №78 Давыдово</t>
  </si>
  <si>
    <t>Квашенки</t>
  </si>
  <si>
    <t>КТП-10кВ №63 Квашенки</t>
  </si>
  <si>
    <t>Маслово</t>
  </si>
  <si>
    <t>МТП-10кВ №68 Маслово</t>
  </si>
  <si>
    <t>Соболины</t>
  </si>
  <si>
    <t>ЗТП-10кВ №59 пилорама Соболины</t>
  </si>
  <si>
    <t>Брехово</t>
  </si>
  <si>
    <t>КТП-10кВ № 64 Брехово</t>
  </si>
  <si>
    <t>Стулово</t>
  </si>
  <si>
    <t>КТП-10кВ №66 Стулово</t>
  </si>
  <si>
    <t>Молоково</t>
  </si>
  <si>
    <t>МТП-10 кВ №65 Молоково</t>
  </si>
  <si>
    <t>КТП-10кВ №61 ж/зона Соболины</t>
  </si>
  <si>
    <t>КТП-10кВ №60 мастерские Соболины</t>
  </si>
  <si>
    <t>Григорово</t>
  </si>
  <si>
    <t>КТП-10кВ №82 Григорово</t>
  </si>
  <si>
    <t>Дурниково</t>
  </si>
  <si>
    <t>МТП-10кВ №81 Дурниково</t>
  </si>
  <si>
    <t>Березницы</t>
  </si>
  <si>
    <t>КТП-10кВ №83 ФКРС Березницы</t>
  </si>
  <si>
    <t>КТП-10кВ №84 Клуб Березницы (2КТПП)</t>
  </si>
  <si>
    <t>КТП-10кВ №86 ЗСП Березницы</t>
  </si>
  <si>
    <t>КТП-10кВ №85 дер.Березницы</t>
  </si>
  <si>
    <t>Саваны</t>
  </si>
  <si>
    <t>МТП-10кВ №88 Саваны</t>
  </si>
  <si>
    <t>Харавичи</t>
  </si>
  <si>
    <t>КТП-10кВ №87 Харавичи</t>
  </si>
  <si>
    <t>Косячиха</t>
  </si>
  <si>
    <t>МТП-10кВ №94 Косячиха</t>
  </si>
  <si>
    <t>Мариниха</t>
  </si>
  <si>
    <t>КТП-10кВ №93 Мариниха</t>
  </si>
  <si>
    <t>Пожарье</t>
  </si>
  <si>
    <t>КТП-10кВ №96 Пожарье</t>
  </si>
  <si>
    <t>Горошково</t>
  </si>
  <si>
    <t>КТП-10кВ №97 Горошково</t>
  </si>
  <si>
    <t>Логаниха</t>
  </si>
  <si>
    <t>КТП-10кВ №95 Логаниха</t>
  </si>
  <si>
    <t>МТП-10кВ №98 Иваньково</t>
  </si>
  <si>
    <t>Х.Язвиха</t>
  </si>
  <si>
    <t>МТП-10кВ №99 Х.Язвиха</t>
  </si>
  <si>
    <t>Язвиха</t>
  </si>
  <si>
    <t>КТП-10кВ №100 д.Язвиха</t>
  </si>
  <si>
    <t>Тюхтово</t>
  </si>
  <si>
    <t>КТП-10кВ №101 Тюхтово</t>
  </si>
  <si>
    <t>Речица</t>
  </si>
  <si>
    <t>МТП-10кВ №102 Речица</t>
  </si>
  <si>
    <t>Артемиха</t>
  </si>
  <si>
    <t>МТП-10кВ №107 Артемиха</t>
  </si>
  <si>
    <t>КТП-10кВ №108 ЗСП Большемалинское</t>
  </si>
  <si>
    <t>КТП-10 кВ №110 Б. Малинское</t>
  </si>
  <si>
    <t>КТП-10кВ №112 ж/зона Б.Малинское</t>
  </si>
  <si>
    <t>Гольцово</t>
  </si>
  <si>
    <t>КТП-10кВ №114 Гольцово</t>
  </si>
  <si>
    <t>КТП-10кВ №119 каротофелехранилище</t>
  </si>
  <si>
    <t>Апаркино</t>
  </si>
  <si>
    <t>МТП-10 кВ №116 Апаркино</t>
  </si>
  <si>
    <t>Садовая</t>
  </si>
  <si>
    <t>МТП-10 кВ №115 Садовая</t>
  </si>
  <si>
    <t>Желонки</t>
  </si>
  <si>
    <t>МТП-10кВ №117 Желонки</t>
  </si>
  <si>
    <t>Никаниха</t>
  </si>
  <si>
    <t>МТП-10кВ №118 Никаниха</t>
  </si>
  <si>
    <t>Шерепово</t>
  </si>
  <si>
    <t>КТП-10кВ №122 Шерепово</t>
  </si>
  <si>
    <t>д.Куклино</t>
  </si>
  <si>
    <t>КТП-10кВ №121 Парфеньево</t>
  </si>
  <si>
    <t>Удали</t>
  </si>
  <si>
    <t>КТП-10кВ №120 Удали</t>
  </si>
  <si>
    <t>Ладожское</t>
  </si>
  <si>
    <t>КТП-10кВ №217 школа Ладожское</t>
  </si>
  <si>
    <t>Боровское</t>
  </si>
  <si>
    <t>МТП-10кВ №218 Боровское</t>
  </si>
  <si>
    <t>Кольцово</t>
  </si>
  <si>
    <t>КТП-10кВ №219 Кольцово</t>
  </si>
  <si>
    <t>Павское</t>
  </si>
  <si>
    <t>КТП-10кВ №221 Павское</t>
  </si>
  <si>
    <t>Ст.Выставка</t>
  </si>
  <si>
    <t>МТП-10кВ №222 Ст.Выставка</t>
  </si>
  <si>
    <t>Н.Выставка</t>
  </si>
  <si>
    <t>МТП-10кВ №225 Н.Выставка</t>
  </si>
  <si>
    <t>Решетиха</t>
  </si>
  <si>
    <t>КТП-10кВ ТП№123 Решетиха</t>
  </si>
  <si>
    <t>Батиха</t>
  </si>
  <si>
    <t>МТП-10кВ №124 Батиха</t>
  </si>
  <si>
    <t>КТП-10кВ №129 Детково</t>
  </si>
  <si>
    <t>Отрубнево</t>
  </si>
  <si>
    <t>КТП-10кВ №130 Отрубнево</t>
  </si>
  <si>
    <t>Плосково</t>
  </si>
  <si>
    <t>МТП-10кВ №131 Плосково</t>
  </si>
  <si>
    <t>Лунево</t>
  </si>
  <si>
    <t>КТП-10кВ №132 Лунево</t>
  </si>
  <si>
    <t>КТП-10кВ №133 Горка</t>
  </si>
  <si>
    <t>Пнево</t>
  </si>
  <si>
    <t>ЗТП-10кВ №128 котельная Пнево</t>
  </si>
  <si>
    <t>КТП-10кВ №126 АВМ Пнево</t>
  </si>
  <si>
    <t>КТП-10кВ №127 Пнево</t>
  </si>
  <si>
    <t>Остречиха</t>
  </si>
  <si>
    <t>МТП-10кВ №136 Остречиха</t>
  </si>
  <si>
    <t>Туково</t>
  </si>
  <si>
    <t>КТП-10кВ №137 Туково</t>
  </si>
  <si>
    <t>Руско-Васильково</t>
  </si>
  <si>
    <t>КТП-10кВ №138 Руско-Васильково</t>
  </si>
  <si>
    <t>Григорцево</t>
  </si>
  <si>
    <t>КТП-10кВ №139 Григорцево</t>
  </si>
  <si>
    <t>Молвино</t>
  </si>
  <si>
    <t>МТП-10кВ №140 Молвино</t>
  </si>
  <si>
    <t>Сосновец</t>
  </si>
  <si>
    <t>МТП-10кВ №141 Сосновец</t>
  </si>
  <si>
    <t>Станки</t>
  </si>
  <si>
    <t>МТП-10кВ №142 Станки</t>
  </si>
  <si>
    <t>Якушино</t>
  </si>
  <si>
    <t>МТП-10кВ №143 Якушино</t>
  </si>
  <si>
    <t>Муравино</t>
  </si>
  <si>
    <t>КТП-10кВ №144 Муравино</t>
  </si>
  <si>
    <t>Федосеево</t>
  </si>
  <si>
    <t>КТП-10кВ №145 Федосеево</t>
  </si>
  <si>
    <t>Залужье</t>
  </si>
  <si>
    <t>КТП-10кВ №146 д.Залужье</t>
  </si>
  <si>
    <t>Дымцево</t>
  </si>
  <si>
    <t>КТП-10кВ №148 Дымцево</t>
  </si>
  <si>
    <t>Вокшино</t>
  </si>
  <si>
    <t>ЗТП-10кВ  №151 Школа Вокшино</t>
  </si>
  <si>
    <t>Михеево</t>
  </si>
  <si>
    <t>МТП-10кВ №155 Михеево</t>
  </si>
  <si>
    <t>КТП-10кВ №154 ж/зона Вокшино</t>
  </si>
  <si>
    <t>Соснино</t>
  </si>
  <si>
    <t>МТП-10кВ №158 Соснино</t>
  </si>
  <si>
    <t>Мистилиха</t>
  </si>
  <si>
    <t>МТП-10кВ №159 Мистилиха</t>
  </si>
  <si>
    <t>Искра</t>
  </si>
  <si>
    <t>СТП-10кВ №171 Искра</t>
  </si>
  <si>
    <t>Б.Раменье</t>
  </si>
  <si>
    <t>КТП-10кВ №168 Б.Раменье</t>
  </si>
  <si>
    <t>Топорово</t>
  </si>
  <si>
    <t>МТП-10кВ №167 Топорово</t>
  </si>
  <si>
    <t>Радиониха</t>
  </si>
  <si>
    <t>МТП-10кВ №169 Радиониха</t>
  </si>
  <si>
    <t>К.Гора</t>
  </si>
  <si>
    <t>МТП-10кВ №170 К.Гора</t>
  </si>
  <si>
    <t>Андрейцево</t>
  </si>
  <si>
    <t>МТП-10кВ №172 Андрейцево</t>
  </si>
  <si>
    <t>Завражье</t>
  </si>
  <si>
    <t>КТП-10кВ №173 Завражье</t>
  </si>
  <si>
    <t>Запрудье</t>
  </si>
  <si>
    <t>МТП-10кВ №174 Запрудье</t>
  </si>
  <si>
    <t>МТП-10кВ №178 Мокей Гора</t>
  </si>
  <si>
    <t>Сменцево</t>
  </si>
  <si>
    <t>МТП-10кВ №175 Сменцево</t>
  </si>
  <si>
    <t>Болота</t>
  </si>
  <si>
    <t>КТП-10кВ №176 ж/з Болота</t>
  </si>
  <si>
    <t>Устровка</t>
  </si>
  <si>
    <t>КТП-10кВ №181 ЗСП Устровка</t>
  </si>
  <si>
    <t>МТП-10кВ №179 Устровка</t>
  </si>
  <si>
    <t>КТПП-10кВ №180 ФКРС Устровка</t>
  </si>
  <si>
    <t>Благовещение</t>
  </si>
  <si>
    <t>МТП-10кВ №186 Благовещение</t>
  </si>
  <si>
    <t>Ст.Сандово</t>
  </si>
  <si>
    <t>КТП-10кВ №182 Ж/зона Ст.Сандово</t>
  </si>
  <si>
    <t>КТП-10кВ №183 мастерские Ст.Сандово</t>
  </si>
  <si>
    <t>КТП-10кВ №185 школа Ст.Сандово</t>
  </si>
  <si>
    <t>Пропасти</t>
  </si>
  <si>
    <t>МТП-10кВ №190 Пропасти</t>
  </si>
  <si>
    <t>Грядки</t>
  </si>
  <si>
    <t>КТП-10кВ №191 Грядки</t>
  </si>
  <si>
    <t>Агафаново</t>
  </si>
  <si>
    <t>МТП-10кВ №188 Агафаново</t>
  </si>
  <si>
    <t>Горохово</t>
  </si>
  <si>
    <t>Березье</t>
  </si>
  <si>
    <t>КТПП-10кВ №194 ФКРС Березье</t>
  </si>
  <si>
    <t>КТП-10кВ №195 Березье</t>
  </si>
  <si>
    <t>КТП-10кВ №196 АВМ Березье</t>
  </si>
  <si>
    <t>КТП-10кВ №197 клуб Березье</t>
  </si>
  <si>
    <t>КТПП-10кВ №198 школа Березье</t>
  </si>
  <si>
    <t>Рославлево</t>
  </si>
  <si>
    <t>МТП-10кВ №199 Рославлево</t>
  </si>
  <si>
    <t>Вяжищи</t>
  </si>
  <si>
    <t>МТП-10кВ №200 Вяжищи</t>
  </si>
  <si>
    <t>Рожково</t>
  </si>
  <si>
    <t>КТП-10кВ №201 Рожково</t>
  </si>
  <si>
    <t>Парфеньево</t>
  </si>
  <si>
    <t>МТП-10кВ №203 Парфеньево</t>
  </si>
  <si>
    <t>КТП-10кВ №204 Устровка</t>
  </si>
  <si>
    <t>Веригино</t>
  </si>
  <si>
    <t>МТП-10кВ №205 Веригино</t>
  </si>
  <si>
    <t>КТПП-10кВ №206 ФКРС Веригино</t>
  </si>
  <si>
    <t>Юрьево</t>
  </si>
  <si>
    <t>КТП-10кВ №207 Юрьево деревня</t>
  </si>
  <si>
    <t>КТП-10кВ №208 Юрьево водокачка</t>
  </si>
  <si>
    <t>Медово</t>
  </si>
  <si>
    <t>МТП-10кВ №209 Медово</t>
  </si>
  <si>
    <t>Арханское</t>
  </si>
  <si>
    <t>КТП-10кВ №211 Арханское деревня</t>
  </si>
  <si>
    <t>КТП-10кВ №213 Пальцево</t>
  </si>
  <si>
    <t>КТП-10кВ №214 Толстиково</t>
  </si>
  <si>
    <t>Холм</t>
  </si>
  <si>
    <t>КТП-10кВ №215 Холм</t>
  </si>
  <si>
    <t>Карповское</t>
  </si>
  <si>
    <t>КТП-10кВ №216 Карповское</t>
  </si>
  <si>
    <t>КТП-10кВ №228 Мастерские Ладожское</t>
  </si>
  <si>
    <t>КТПП-10кВ №229 ФКРС Ладожское</t>
  </si>
  <si>
    <t>КТПП-10кВ №230 АВМ Ладожское</t>
  </si>
  <si>
    <t>КТП-10кВ №231 Путилово</t>
  </si>
  <si>
    <t>КТП-10кВ №232 Плосково</t>
  </si>
  <si>
    <t>Путилово-Зарека</t>
  </si>
  <si>
    <t>КТП-10кВ №233 Путилово-Зарека</t>
  </si>
  <si>
    <t>Львовское</t>
  </si>
  <si>
    <t>МТП-10кВ №234 Львовское</t>
  </si>
  <si>
    <t>МТП-10кВ №235 ФКРС Львовское</t>
  </si>
  <si>
    <t>Судилово</t>
  </si>
  <si>
    <t>КТП-10кВ №236 Судилово</t>
  </si>
  <si>
    <t>Х.Югский</t>
  </si>
  <si>
    <t>КТП-10кВ №238 х.Югский</t>
  </si>
  <si>
    <t>Городищи</t>
  </si>
  <si>
    <t>КТП-10кВ №239 Городищи</t>
  </si>
  <si>
    <t>Борисково</t>
  </si>
  <si>
    <t>КТП-10кВ №240 Борисково</t>
  </si>
  <si>
    <t>Дрездово</t>
  </si>
  <si>
    <t>КТП-10кВ №241 Дрездово</t>
  </si>
  <si>
    <t>Подгорье</t>
  </si>
  <si>
    <t>КТП-10кВ №242 Подгорье</t>
  </si>
  <si>
    <t>Молевец</t>
  </si>
  <si>
    <t>КТП-10кВ №245 Молевец</t>
  </si>
  <si>
    <t>Петровское</t>
  </si>
  <si>
    <t>МТП-10кВ №243 Петровское</t>
  </si>
  <si>
    <t>Анненское</t>
  </si>
  <si>
    <t>КТПП-10кВ №244 Анненское</t>
  </si>
  <si>
    <t>Гавшиха</t>
  </si>
  <si>
    <t>МТП-10кВ №251 Гавшиха</t>
  </si>
  <si>
    <t>КТП-10кВ №246 Ладожское</t>
  </si>
  <si>
    <t>Перми</t>
  </si>
  <si>
    <t>МТП-10кВ №247 Перми</t>
  </si>
  <si>
    <t>Заречье</t>
  </si>
  <si>
    <t>КТП-10кВ №18 ж/зона Тухани</t>
  </si>
  <si>
    <t>КТП-10кВ №58 ФКРС Соболины</t>
  </si>
  <si>
    <t>Сельцы</t>
  </si>
  <si>
    <t>КТП-10кВ №220 Сельцы</t>
  </si>
  <si>
    <t>Елизаветка</t>
  </si>
  <si>
    <t>КТП-10кВ №224 Елизаветка</t>
  </si>
  <si>
    <t>Караваево</t>
  </si>
  <si>
    <t>КТП-10кВ №226 Караваево</t>
  </si>
  <si>
    <t>Топалки</t>
  </si>
  <si>
    <t>КТП-10кВ №105 Топалки</t>
  </si>
  <si>
    <t>КТП-10кВ №106 Топалки</t>
  </si>
  <si>
    <t>КТП-10кВ №134 ж/з Топалки</t>
  </si>
  <si>
    <t>КТП-10кВ №152 Вокшино</t>
  </si>
  <si>
    <t>КТП-10кВ №156 Высокуша</t>
  </si>
  <si>
    <t>Каменка</t>
  </si>
  <si>
    <t>КТП-10кВ №160 Каменка</t>
  </si>
  <si>
    <t>Вычиха-Топорово</t>
  </si>
  <si>
    <t>КТП-10кВ №157 Вычиха-Топорово</t>
  </si>
  <si>
    <t>К.Васильково</t>
  </si>
  <si>
    <t>КТП-10кВ №161 К.Васильково</t>
  </si>
  <si>
    <t>Кстинкино</t>
  </si>
  <si>
    <t>МТП-10кВ №8 Кстинкино</t>
  </si>
  <si>
    <t>Еськино</t>
  </si>
  <si>
    <t>КТП-10кВ №22 Еськино</t>
  </si>
  <si>
    <t>КТП-10кВ №104 ФКРС Топалки</t>
  </si>
  <si>
    <t>ЗТП-10кВ №163 Топорово</t>
  </si>
  <si>
    <t>М.Малинское</t>
  </si>
  <si>
    <t>КТП-10кВ №113 М.Малинское</t>
  </si>
  <si>
    <t>КТП-10кВ №62 "Магазин" Соболины</t>
  </si>
  <si>
    <t>Карпово</t>
  </si>
  <si>
    <t>КТП-10кВ №31 Карпово</t>
  </si>
  <si>
    <t>КТП-10кВ №89 база РЭС</t>
  </si>
  <si>
    <t>Гаврилово</t>
  </si>
  <si>
    <t>МТП-10кВ №25 Гаврилово</t>
  </si>
  <si>
    <t>КТП-10кВ №255 Дмитровка</t>
  </si>
  <si>
    <t>Сыропятово</t>
  </si>
  <si>
    <t>КТП-10кВ №256 Сыропятово</t>
  </si>
  <si>
    <t>КТП-10кВ №223 Ст.Выставка</t>
  </si>
  <si>
    <t>ТП отключены в виду отсутствия нагрузки, идет процесс списания с основных фондов.</t>
  </si>
  <si>
    <t>КТП-10кВ №2 сарай Щербово</t>
  </si>
  <si>
    <t>КТПП-10кВ №1 ФКРС Щербово</t>
  </si>
  <si>
    <t>КТП-10кВ №4 ЗСП Щербово</t>
  </si>
  <si>
    <t>КТП-10кВ №46 д. Сушигорицы ФКРС</t>
  </si>
  <si>
    <t>КТП-10кВ №92 Топалки ПСЛВ</t>
  </si>
  <si>
    <t>КТП-10кВ №91 ЗСП Топалки</t>
  </si>
  <si>
    <t>КТП-10кВ №125 ЗСП Пнево</t>
  </si>
  <si>
    <t>КТП-10кВ №166 мастерская Топорово</t>
  </si>
  <si>
    <t>ЗТП-10кВ №184 пилорама Ст.Сандово</t>
  </si>
  <si>
    <t>МТП-10кВ №252 ФКРС Вокшино</t>
  </si>
  <si>
    <t>КТП-10кВ №153 ЗСП Вокшино</t>
  </si>
  <si>
    <t>КТП-10кВ №212 ЗСП Арханское</t>
  </si>
  <si>
    <t>КТП-10кВ №135 ДКУ Топалки</t>
  </si>
  <si>
    <t>д.Озерки</t>
  </si>
  <si>
    <t>Сонковский</t>
  </si>
  <si>
    <t>КТП-10кВ д.Озерки</t>
  </si>
  <si>
    <t>д.Беляницы</t>
  </si>
  <si>
    <t>КТП-10кВ д.Беляницы комплекс № 8</t>
  </si>
  <si>
    <t>КТП-10кВ д.Беляницы сушилка № 10</t>
  </si>
  <si>
    <t>КТП-10кВ д.Беляницы сушилка № 11</t>
  </si>
  <si>
    <t>КТП-10кВ д.Беляницы сушилка № 9</t>
  </si>
  <si>
    <t>КТП-10кВ д.Беляницы больница № 7</t>
  </si>
  <si>
    <t>д.Коммуна</t>
  </si>
  <si>
    <t>ЗТП-10кВ д.Коммуна школа</t>
  </si>
  <si>
    <t>КТП-10кВ д.Коммуна деревня</t>
  </si>
  <si>
    <t>КТП 10кВ д.С.Горицы Пупцево</t>
  </si>
  <si>
    <t>КТП-10кВ База РЭС</t>
  </si>
  <si>
    <t>д.Быльцино</t>
  </si>
  <si>
    <t>КТП-10кВ Быльцино 30 квА</t>
  </si>
  <si>
    <t>КТП-10кВ д.Бабаево (Сонк) 63 кВА</t>
  </si>
  <si>
    <t>д.Вольское</t>
  </si>
  <si>
    <t>КТП-10кВ д.Вольское</t>
  </si>
  <si>
    <t>КТП-10кВ д.Григорково магаз №1 63 кВА</t>
  </si>
  <si>
    <t>КТП-10кВ д.Григорково почта №2 63 кВА</t>
  </si>
  <si>
    <t>КТП-10кВ д.Константиново дер 100 кВА</t>
  </si>
  <si>
    <t>КТП-10кВ д.Константиново маст 250 кВА</t>
  </si>
  <si>
    <t>КТП-10кВ д.Н.Горицы клуб № 4</t>
  </si>
  <si>
    <t>КТП-10кВ д.Н.Горицы мастерские № 1</t>
  </si>
  <si>
    <t>КТП-10кВ д.Н.Горицы ферма № 2</t>
  </si>
  <si>
    <t>д.Н.Горицы</t>
  </si>
  <si>
    <t>КТП-10кВ д.Н.Горицы хранилище № 3</t>
  </si>
  <si>
    <t>д.Рогово</t>
  </si>
  <si>
    <t>КТП-10кВ д.Рогово 10 кВА</t>
  </si>
  <si>
    <t>д.Хатенка</t>
  </si>
  <si>
    <t>КТП-10кВ д.Хатенка 63 кВА</t>
  </si>
  <si>
    <t>д.Погорелка</t>
  </si>
  <si>
    <t>МТП-10 кВ д.Погорелка</t>
  </si>
  <si>
    <t>д.Радование</t>
  </si>
  <si>
    <t>ТП д.Радование</t>
  </si>
  <si>
    <t>д.Булдыриха</t>
  </si>
  <si>
    <t>КТП-10 кВ д.Булдыриха</t>
  </si>
  <si>
    <t>д.Мосеиха</t>
  </si>
  <si>
    <t>КТП-10 кВ д.Мосеиха</t>
  </si>
  <si>
    <t>КТП-10 кВ  д.Савелихины хутора</t>
  </si>
  <si>
    <t>КТП-10кВ д. Анисимово</t>
  </si>
  <si>
    <t>КТП-10кВ д.Ботвино кар.суш. № 4</t>
  </si>
  <si>
    <t>КТП-10кВ д.Ботвино мастерские № 6</t>
  </si>
  <si>
    <t>КТП-10кВ д.Ботвино пилор. № 2</t>
  </si>
  <si>
    <t>д.Ботвино</t>
  </si>
  <si>
    <t>КТП-10кВ д.Ботвино склады №  1</t>
  </si>
  <si>
    <t>КТП-10кВ д.Ботвино сушилка № 3</t>
  </si>
  <si>
    <t>КТП-10кВ д.Ботвино ферма №  5</t>
  </si>
  <si>
    <t>д.Гладышево</t>
  </si>
  <si>
    <t>КТП-10кВ д.Гладышево дет.сад № 7</t>
  </si>
  <si>
    <t>КТП-10кВ д.Гладышево ЗСП № 4</t>
  </si>
  <si>
    <t>КТП-10кВ д.Гладышево маст. № 3</t>
  </si>
  <si>
    <t>КТП-10кВ д.Гладышево стар.дер. № 5</t>
  </si>
  <si>
    <t>КТП-10кВ д.Гладышево ФКРС № 6</t>
  </si>
  <si>
    <t>КТП-10кВ д.Гладышево школа № 1</t>
  </si>
  <si>
    <t>д.Григоревка</t>
  </si>
  <si>
    <t>КТП-10кВ д.Григоревка дер. № 1</t>
  </si>
  <si>
    <t>д.Лесные</t>
  </si>
  <si>
    <t>КТП-10кВ д.Лесные</t>
  </si>
  <si>
    <t>д.Никола</t>
  </si>
  <si>
    <t>КТП-10кВ д.Никола</t>
  </si>
  <si>
    <t>КТП-10кВ Жилые дома РЭС</t>
  </si>
  <si>
    <t>КТП-10кВ д.Струбищи</t>
  </si>
  <si>
    <t>д.Сносы</t>
  </si>
  <si>
    <t>КТП-10кВ д.Сносы</t>
  </si>
  <si>
    <t>д.Прилуки</t>
  </si>
  <si>
    <t>КТП-10кВ д.Прилуки</t>
  </si>
  <si>
    <t>КТП-10кВ д.Сверчково</t>
  </si>
  <si>
    <t>д.Денисово</t>
  </si>
  <si>
    <t>МТП-10 кВ д.Денисово</t>
  </si>
  <si>
    <t>д.Фомино-Лукино</t>
  </si>
  <si>
    <t>МТП-10 кВ д.Фомино-Лукино</t>
  </si>
  <si>
    <t>д.Ястребиха</t>
  </si>
  <si>
    <t>МТП-10 кВ д.Ястребиха</t>
  </si>
  <si>
    <t>МТП-10 кВ д.Селы</t>
  </si>
  <si>
    <t>КТП-10кВ д. Б.Сменки 100 кВА</t>
  </si>
  <si>
    <t>КТП-10кВ д.Горка Пищалкино</t>
  </si>
  <si>
    <t>д.Задорье</t>
  </si>
  <si>
    <t>КТП-10кВ д.Задорье дерев № 6</t>
  </si>
  <si>
    <t>КТП-10кВ д.Задорье школа № 5</t>
  </si>
  <si>
    <t>КТП-10кВ д.Дубровка</t>
  </si>
  <si>
    <t>КТП-10кВ д.Ивановское</t>
  </si>
  <si>
    <t>д.Корнеиха</t>
  </si>
  <si>
    <t>КТП-10кВ д.Корнеиха дер № 2</t>
  </si>
  <si>
    <t>КТП-10кВ д.Корнеиха жил.дома № 4</t>
  </si>
  <si>
    <t>КТП-10кВ д.Корнеиха ЗСП № 3</t>
  </si>
  <si>
    <t>КТП-10кВ д.Корнеиха фер № 1</t>
  </si>
  <si>
    <t>д.Кривоногово</t>
  </si>
  <si>
    <t>КТП-10кВ д.Кривоногово</t>
  </si>
  <si>
    <t>КТП-10кВ д.Литвиново</t>
  </si>
  <si>
    <t>д.Петровское</t>
  </si>
  <si>
    <t>КТП-10кВ д.Петровское больница №6</t>
  </si>
  <si>
    <t>КТП-10кВ д.Петровское деревня №5</t>
  </si>
  <si>
    <t>КТП-10кВ д.Петровское мастер №4</t>
  </si>
  <si>
    <t>КТП-10кВ д.Петровское сушилка №1</t>
  </si>
  <si>
    <t>КТП-10кВ д.Петровское сушилка №2</t>
  </si>
  <si>
    <t>КТП-10кВ д.Петровское ФКРС №3</t>
  </si>
  <si>
    <t>КТП-10кВ д.Петровское школа № 7</t>
  </si>
  <si>
    <t>д.Пищалкино</t>
  </si>
  <si>
    <t>КТП-10кВ д.Пищалкино котеджи № 3</t>
  </si>
  <si>
    <t>КТП-10кВ д.Пищалкино поселок № 2</t>
  </si>
  <si>
    <t>д.Нестерово-д.Рогулиха</t>
  </si>
  <si>
    <t>КТП-10кВ д.Нестерово-д.Рогулиха</t>
  </si>
  <si>
    <t>д.Новоселье</t>
  </si>
  <si>
    <t>КТП-10кВ д.Новоселье дер № 2</t>
  </si>
  <si>
    <t>КТП-10кВ д.Новоселье фер № 1</t>
  </si>
  <si>
    <t>д.Парфеново</t>
  </si>
  <si>
    <t>КТП-10кВ д.Парфеново дер №1</t>
  </si>
  <si>
    <t>КТП-10кВ д.Парфеново фер №2</t>
  </si>
  <si>
    <t>д.Молоди</t>
  </si>
  <si>
    <t>КТП-10кВ д.Молоди 100 кВА</t>
  </si>
  <si>
    <t>д.Снегиревка</t>
  </si>
  <si>
    <t>КТП-10кВ д.Снегиревка</t>
  </si>
  <si>
    <t>КТП-10кВ д.Хвостино, д.Печище.</t>
  </si>
  <si>
    <t>д.Марково-Высока</t>
  </si>
  <si>
    <t>МТП-10 кВ д.Марково-Высока</t>
  </si>
  <si>
    <t>МТП-10 кВ д.Ореховец д.Хатенка</t>
  </si>
  <si>
    <t>МТП-10 кВ д.Пищалкино дер № 1</t>
  </si>
  <si>
    <t>КТП-10кВд. Савелово</t>
  </si>
  <si>
    <t>д.Бережки</t>
  </si>
  <si>
    <t>КТП-10кВ д.Бережки дер № 2</t>
  </si>
  <si>
    <t>КТП-10кВ Бережки зерноток № 1</t>
  </si>
  <si>
    <t>КТП-10кВ Бережки Клуб № 4</t>
  </si>
  <si>
    <t>КТП-10кВ Бережки фер № 3</t>
  </si>
  <si>
    <t>КТП-10кВд. Боброво</t>
  </si>
  <si>
    <t>КТП-10кВ д.Добрыни жил.дома № 3</t>
  </si>
  <si>
    <t>КТП-10кВ д.Добрыни клуб № 4</t>
  </si>
  <si>
    <t>д.Маланьино</t>
  </si>
  <si>
    <t>КТП-10кВ д.Маланьино</t>
  </si>
  <si>
    <t>д.Полуево</t>
  </si>
  <si>
    <t>КТП-10кВ д.Полуево</t>
  </si>
  <si>
    <t>д.Трояки</t>
  </si>
  <si>
    <t>МТП-10 кВ д.Трояки</t>
  </si>
  <si>
    <t>КТП-10кВд. Пуршево</t>
  </si>
  <si>
    <t>д.Федосеиха</t>
  </si>
  <si>
    <t>КТП-10кВ д.Федосеиха</t>
  </si>
  <si>
    <t>д.Алферово</t>
  </si>
  <si>
    <t>КТП-10кВ д.Алферово</t>
  </si>
  <si>
    <t>д.Вымлы</t>
  </si>
  <si>
    <t>КТП-10кВ д.Вымлы</t>
  </si>
  <si>
    <t>КТП-10кВ д.Куклино сушилка № 2</t>
  </si>
  <si>
    <t>КТП-10кВ д.Куклино ферма № 1</t>
  </si>
  <si>
    <t>д.Афонасово</t>
  </si>
  <si>
    <t>КТП-10кВ д.Афонасово</t>
  </si>
  <si>
    <t>д.Сергеевское</t>
  </si>
  <si>
    <t>КТП-10кВ д.Сергеевское дер № 1</t>
  </si>
  <si>
    <t>КТП-10кВ д.Сергеевское правление № 3</t>
  </si>
  <si>
    <t>КТП-10кВ д.Сергеевское фер № 2</t>
  </si>
  <si>
    <t>д.Романцево</t>
  </si>
  <si>
    <t>МТП-10 кВ д.Романцево</t>
  </si>
  <si>
    <t>д.Божонка</t>
  </si>
  <si>
    <t>МТП-10 кВ д.Божонка</t>
  </si>
  <si>
    <t>д.Турчаниново</t>
  </si>
  <si>
    <t>КТП-10кВ д.Турчаниново</t>
  </si>
  <si>
    <t>МТП-10 кВ д.Горка</t>
  </si>
  <si>
    <t>д.Болтино</t>
  </si>
  <si>
    <t>КТП-10кВ д.Ашекрино</t>
  </si>
  <si>
    <t>КТП-10кВ д.Болтино 30 кВА</t>
  </si>
  <si>
    <t>д.Беклемишево</t>
  </si>
  <si>
    <t>КТП-10кВ д.Беклемишево</t>
  </si>
  <si>
    <t>КТП-10кВ д.Горка Зубарево</t>
  </si>
  <si>
    <t>КТП 10кВ д.Александровка</t>
  </si>
  <si>
    <t>д.Дронино</t>
  </si>
  <si>
    <t>КТП-10кВ д.Дронино</t>
  </si>
  <si>
    <t>д.Зубарево</t>
  </si>
  <si>
    <t>КТП-10кВ д.Зубарево жил.компл. № 5</t>
  </si>
  <si>
    <t>КТП-10кВ д.Зубарево ЗСП № 1</t>
  </si>
  <si>
    <t>КТП-10кВ д.Зубарево маст. № 4</t>
  </si>
  <si>
    <t>КТП-10кВ д.Зубарево телятник № 3</t>
  </si>
  <si>
    <t>КТП-10кВ д.Зубарево ферма № 2</t>
  </si>
  <si>
    <t>д.Ломтево</t>
  </si>
  <si>
    <t>КТП-10кВ д.Ломтево</t>
  </si>
  <si>
    <t>д.Н.Бошарово</t>
  </si>
  <si>
    <t>КТП-10кВ д.Н.Бошарово</t>
  </si>
  <si>
    <t>д.Наумково</t>
  </si>
  <si>
    <t>КТП-10кВ д.Наумково</t>
  </si>
  <si>
    <t>д.Одинцово</t>
  </si>
  <si>
    <t>д.Тимонино</t>
  </si>
  <si>
    <t>КТП-10кВ д.Тимонино</t>
  </si>
  <si>
    <t>д.Ст.Бошарово</t>
  </si>
  <si>
    <t>КТП-10кВ д.Ст.Бошарово</t>
  </si>
  <si>
    <t>д.Федоровское</t>
  </si>
  <si>
    <t>КТП-10кВ д.Федоровское дер. № 1</t>
  </si>
  <si>
    <t>КТП-10кВ д.Федоровское ферма № 2</t>
  </si>
  <si>
    <t>КТП-10кВ д.Беляницы АЗС № 6</t>
  </si>
  <si>
    <t>КТП-10кВ д.Беляницы школа № 2</t>
  </si>
  <si>
    <t>КТП-10кВ д.Беляницы деревня № 3</t>
  </si>
  <si>
    <t>КТП-10кВ д.Беляницы деревня № 4</t>
  </si>
  <si>
    <t>КТП-10кВ д.Беляницы деревня № 5</t>
  </si>
  <si>
    <t>ЗТП-10кВ д.Беляницы больница № 1</t>
  </si>
  <si>
    <t>д.Болково</t>
  </si>
  <si>
    <t>КТП-10кВ д.Болково</t>
  </si>
  <si>
    <t>д.Бабаево</t>
  </si>
  <si>
    <t>КТП-10кВ д.Бабаево (Кой)</t>
  </si>
  <si>
    <t>д.Кобылино</t>
  </si>
  <si>
    <t>КТП-10кВ д.Кобылино</t>
  </si>
  <si>
    <t>д.Кой</t>
  </si>
  <si>
    <t>КТП-10кВ д.Кой дер № 4</t>
  </si>
  <si>
    <t>КТП-10кВ д.Кой ЗСП № 3</t>
  </si>
  <si>
    <t>КТП-10кВ д.Кой клуб № 2</t>
  </si>
  <si>
    <t>КТП-10кВ д.Кой ФКРС № 1</t>
  </si>
  <si>
    <t>д.Перетерье</t>
  </si>
  <si>
    <t>КТП-10кВ д.Перетерье</t>
  </si>
  <si>
    <t>КТП-10кВ д.Старово дер</t>
  </si>
  <si>
    <t>КТП-10кВ д.Старово мастер.</t>
  </si>
  <si>
    <t>КТП-10кВ д.Старово ферма</t>
  </si>
  <si>
    <t>д.Корино</t>
  </si>
  <si>
    <t>МТП-10 кВ д.Корино</t>
  </si>
  <si>
    <t>д.Марьино</t>
  </si>
  <si>
    <t>МТП-10 кВ д.Марьино</t>
  </si>
  <si>
    <t>МТП-10 кВд. Яругино</t>
  </si>
  <si>
    <t>д.Васьяны</t>
  </si>
  <si>
    <t>КТП-10кВ д.Васьяны</t>
  </si>
  <si>
    <t>д.Вепрь</t>
  </si>
  <si>
    <t>КТП-10кВ д.Вепрь дер. № 3</t>
  </si>
  <si>
    <t>КТП-10кВ д.Вепрь ферма № 2</t>
  </si>
  <si>
    <t>КТП-10кВ д.Вепрь школа № 1</t>
  </si>
  <si>
    <t>КТП-10кВ д.Вешка д.Буянцево 25 кВА</t>
  </si>
  <si>
    <t>д.Кулатино</t>
  </si>
  <si>
    <t>КТП-10кВ д.Кулатино</t>
  </si>
  <si>
    <t>д.Поводнево</t>
  </si>
  <si>
    <t>КТП-10кВ д.Поводнево</t>
  </si>
  <si>
    <t>д.Поречье</t>
  </si>
  <si>
    <t>КТП-10кВ д.Поречье деревня № 2</t>
  </si>
  <si>
    <t>КТП-10кВ д.Поречье котеджи №1</t>
  </si>
  <si>
    <t>КТП-10кВ д.Поречье мастер. № 3</t>
  </si>
  <si>
    <t>д.Власово</t>
  </si>
  <si>
    <t>КТП-10кВ д.Власово дер № 4</t>
  </si>
  <si>
    <t>КТП-10кВ д.Власово ЗСП № 1</t>
  </si>
  <si>
    <t>КТП-10кВ д.Власово фер № 3</t>
  </si>
  <si>
    <t>д.Холм</t>
  </si>
  <si>
    <t>КТП-10кВ д.Холм</t>
  </si>
  <si>
    <t>д.Рыльково</t>
  </si>
  <si>
    <t>КТП-10кВ д.Рыльково</t>
  </si>
  <si>
    <t>д.Сабурово</t>
  </si>
  <si>
    <t>КТП-10кВ д.Сабурово</t>
  </si>
  <si>
    <t>д.Савелиха</t>
  </si>
  <si>
    <t>КТП-10кВ д.Савелиха</t>
  </si>
  <si>
    <t>КТП-10кВд.Сорокино</t>
  </si>
  <si>
    <t>КТП-10кВ д.Воскресенское</t>
  </si>
  <si>
    <t>КТП-10кВ д.Горка правл. № 1</t>
  </si>
  <si>
    <t>КТП-10кВ д.Горка ст.дер. № 4</t>
  </si>
  <si>
    <t>КТП-10кВ д.Горка котедж. № 2</t>
  </si>
  <si>
    <t>д.Сосновка</t>
  </si>
  <si>
    <t>КТП-10кВ д.Сосновка</t>
  </si>
  <si>
    <t>КТП-10кВ д.Горка комнл. № 5</t>
  </si>
  <si>
    <t>д.Гремячиха</t>
  </si>
  <si>
    <t>КТП-10кВ д.Гремячиха</t>
  </si>
  <si>
    <t>д.Душково</t>
  </si>
  <si>
    <t>КТП-10кВ д.Душково</t>
  </si>
  <si>
    <t>КТП-10кВ д.Душково, д.Шейно</t>
  </si>
  <si>
    <t>КТП-10кВ д.Калиниха, д.Горбовец</t>
  </si>
  <si>
    <t>КТП-10кВ д.Муравьево</t>
  </si>
  <si>
    <t>КТП-10кВ д.Горка мастер. № 3</t>
  </si>
  <si>
    <t>д.Дельки</t>
  </si>
  <si>
    <t>КТП-10кВ д.Дельки</t>
  </si>
  <si>
    <t>д.Ново-Ильинское</t>
  </si>
  <si>
    <t>КТП-10кВ д.Ново-Ильинское № 1</t>
  </si>
  <si>
    <t>КТП-10кВ д.Ново-Ильинское № 2</t>
  </si>
  <si>
    <t>д.Макариха</t>
  </si>
  <si>
    <t>КТП-10кВ д.Макариха дер № 3</t>
  </si>
  <si>
    <t>д.Колесники</t>
  </si>
  <si>
    <t>КТП-10кВ д.Колесники</t>
  </si>
  <si>
    <t>д.Синево-Дуброво</t>
  </si>
  <si>
    <t>КТП-10кВ д.Синево-Дуброво</t>
  </si>
  <si>
    <t>КТП-10кВ д.Привольное деревня № 2</t>
  </si>
  <si>
    <t>КТП-10кВ д.Привольное котеджи № 4</t>
  </si>
  <si>
    <t>КТП-10кВ д.Привольное сушилка № 3</t>
  </si>
  <si>
    <t>д.Пригорки</t>
  </si>
  <si>
    <t>КТП-10кВ д.Пригорки дер № 4</t>
  </si>
  <si>
    <t>д.Хонеево</t>
  </si>
  <si>
    <t>КТП-10кВ д.Хонеево дер № 1</t>
  </si>
  <si>
    <t>КТП-10кВ д.Хонеево зерноток № 2</t>
  </si>
  <si>
    <t>КТП-10кВ д.Красные</t>
  </si>
  <si>
    <t>д.Лечищево</t>
  </si>
  <si>
    <t>КТП-10кВ д.Лечищево</t>
  </si>
  <si>
    <t>д.Лаврово</t>
  </si>
  <si>
    <t>КТП-10кВ д.Лаврово деревня № 2</t>
  </si>
  <si>
    <t>КТП-10кВ д.Лаврово мастерские № 4 250кВ</t>
  </si>
  <si>
    <t>КТП-10кВ д.Лаврово сушилка № 3</t>
  </si>
  <si>
    <t>д.Рылово</t>
  </si>
  <si>
    <t>КТП-10кВ д.Рылово</t>
  </si>
  <si>
    <t>д.Палкино</t>
  </si>
  <si>
    <t>КТП-10кВд.Палкино</t>
  </si>
  <si>
    <t>д.Мериново</t>
  </si>
  <si>
    <t>МТП-10 кВ д.Мериново</t>
  </si>
  <si>
    <t>д.Спиридово</t>
  </si>
  <si>
    <t>КТП-10кВ д.Спиридово</t>
  </si>
  <si>
    <t>КТП-10кВ д.Григоревка ферма № 2 нет потр</t>
  </si>
  <si>
    <t>КТП-10кВ д.Лаврово свинарник № 1</t>
  </si>
  <si>
    <t>КТП-10кВ д.Пригорки суш № 3</t>
  </si>
  <si>
    <t>КТП-10кВ д.Пригорки ФКРС № 1</t>
  </si>
  <si>
    <t>КТП-10кВ д.Привольное ферма № 1</t>
  </si>
  <si>
    <t>КТП-10кВ д.Макариха клуб № 1 ТП отключен</t>
  </si>
  <si>
    <t>КТП-10кВ д.Макариха фер № 2</t>
  </si>
  <si>
    <t>КТП-10кВ д.Власово фер № 2</t>
  </si>
  <si>
    <t>д.Волосово</t>
  </si>
  <si>
    <t>КТП-10кВ д.Волосово</t>
  </si>
  <si>
    <t>КТП-10кВ д.Кой правл № 6</t>
  </si>
  <si>
    <t>КТП-10кВ д.Кой ПСЛВ № 5</t>
  </si>
  <si>
    <t>КТП-10кВ д.Добрыни ФКРС № 1</t>
  </si>
  <si>
    <t>КТП-10кВ Бережки мастерские</t>
  </si>
  <si>
    <t>г.Калязин</t>
  </si>
  <si>
    <t>Калязинский</t>
  </si>
  <si>
    <t>КТП-10кВ База РРС ф10 ПС Калязин</t>
  </si>
  <si>
    <t>КТП-10кВ Алферово-5 стол. ф15 ПС Калязин</t>
  </si>
  <si>
    <t>КТП-10кВ Алферово-4 АВМ ф15 ПС Калязин</t>
  </si>
  <si>
    <t>КТП-10кВ Алферово-3 ФКРС ф15 ПС Калязин</t>
  </si>
  <si>
    <t>КТП-10кВ Каменка ф15 ПС Калязин</t>
  </si>
  <si>
    <t>д.Ярославищи</t>
  </si>
  <si>
    <t>КТП-10кВ Ярославищи ф15 ПС Калязин</t>
  </si>
  <si>
    <t>д.Носатово</t>
  </si>
  <si>
    <t>КТП-10кВ Носатово ф15 ПС Калязин</t>
  </si>
  <si>
    <t>д.Осечек</t>
  </si>
  <si>
    <t>КТП-10кВ Осечек ф15 ПС Калязин</t>
  </si>
  <si>
    <t>д.Вертягино</t>
  </si>
  <si>
    <t>КТП-10кВ Вертягино ф15 ПС Калязин</t>
  </si>
  <si>
    <t>КТП-10кВ Якимовская ф15 ПС Калязин</t>
  </si>
  <si>
    <t>д.Чаплино</t>
  </si>
  <si>
    <t>КТП-10 кВ Чаплино-2 ф15 ПС Калязин</t>
  </si>
  <si>
    <t>КТП-10кВ Василево маст. ф15 ПС Калязин</t>
  </si>
  <si>
    <t>КТП-10кВ Куст ф15 ПС Калязин</t>
  </si>
  <si>
    <t>д.Матвейково</t>
  </si>
  <si>
    <t>КТП-10кВ Матвейково ф15 ПС Калязин</t>
  </si>
  <si>
    <t>КТП-10кВ Мордв.-Горбово ф15 ПС Калязин</t>
  </si>
  <si>
    <t>КТП-10кВ Чаплино ф15 ПС Калязин</t>
  </si>
  <si>
    <t>КТПП-10кВ Алферово-6 суш. ф15 ПС Калязин</t>
  </si>
  <si>
    <t>д.Дымово</t>
  </si>
  <si>
    <t>КТПП-10кВ Дымово ферма ф3 ПС Луч</t>
  </si>
  <si>
    <t>КТПП 10кВ Дымово ферма-2 ф3 ПС Луч</t>
  </si>
  <si>
    <t>КТП-10кВ Иванково ф19 ПС Луч</t>
  </si>
  <si>
    <t>д.Староселка</t>
  </si>
  <si>
    <t>КТП-10кВ Староселка ф19 ПС Луч</t>
  </si>
  <si>
    <t>КТП-10 кВ Водозабор ф19 ПС Луч</t>
  </si>
  <si>
    <t>д.Овсянниково</t>
  </si>
  <si>
    <t>КТП -10кВ Овсянниково ф4 ПС Луч</t>
  </si>
  <si>
    <t>КТП-10кВ  Осташково ф4 ПС Луч</t>
  </si>
  <si>
    <t>д.Ильицино</t>
  </si>
  <si>
    <t>КТП-10кВ  Ильицино ф4 ПС Луч</t>
  </si>
  <si>
    <t>КТП -10кВ Алексино  ф4 ПС Луч</t>
  </si>
  <si>
    <t>КТП-10кВ  Ново окатово  ф.4 ПСЛуч</t>
  </si>
  <si>
    <t>д.Брыкино</t>
  </si>
  <si>
    <t>КТП-10кВ  Брыкино ф4 ПС Луч</t>
  </si>
  <si>
    <t>д.Благуново</t>
  </si>
  <si>
    <t>КТП -10кВ Благуново-1 ф4 ПС Луч</t>
  </si>
  <si>
    <t>КТП-10 кВ д.Благуново-3 Алферовское с.п.</t>
  </si>
  <si>
    <t>КТПП10кВ Ново окатово коттеджи  ф4 ПСЛуч</t>
  </si>
  <si>
    <t>КТП-10кВ Эра  ф.4 ПС Луч</t>
  </si>
  <si>
    <t>КТП -10кВ Благуново-2 ф4 ПС Луч</t>
  </si>
  <si>
    <t>д.Новово</t>
  </si>
  <si>
    <t>КТП -10кВ д.Новово  ф.4 ПС Луч</t>
  </si>
  <si>
    <t>КТП -10кВ Дымово быт 5 ф10 ПС Луч</t>
  </si>
  <si>
    <t>КТПП-10кВ Дымово мастерские 4 ф10 ПС Луч</t>
  </si>
  <si>
    <t>КТП -10кВ Дымово д/сад1 ф10 ПС Луч</t>
  </si>
  <si>
    <t>КТП-10кВ Дымово пилорама 6 ф10 ПС Луч</t>
  </si>
  <si>
    <t>д.Никитское</t>
  </si>
  <si>
    <t>КТП -10кВ Никитское ф10 ПС Луч</t>
  </si>
  <si>
    <t>д.Авсергово</t>
  </si>
  <si>
    <t>КТП-10кВ Авсергово  ф10 ПС Луч</t>
  </si>
  <si>
    <t>д.Коноплино</t>
  </si>
  <si>
    <t>КТП-10кВ  Коноплино ф10 ПС Луч</t>
  </si>
  <si>
    <t>ЗТП-10кВ Дымово ф10 ПС Луч</t>
  </si>
  <si>
    <t>КТП освещение опор пер.110кВ ф10 ПС Луч</t>
  </si>
  <si>
    <t>КТП 005 (Мякишево) №03 ПС Нерль</t>
  </si>
  <si>
    <t>д.Апухтино</t>
  </si>
  <si>
    <t>КТП 017(Апухтино-фер.) №03ПС Нерл</t>
  </si>
  <si>
    <t>д.Федоровская</t>
  </si>
  <si>
    <t>КТП 018(Федоровская) №03 ПСНерль</t>
  </si>
  <si>
    <t>КТП 019(Ногино-Павлово) №03ПС Нерль</t>
  </si>
  <si>
    <t>д.Плутино</t>
  </si>
  <si>
    <t>КТП 021 (Плутино)  №03 ПС Нерль</t>
  </si>
  <si>
    <t>с.Нерль</t>
  </si>
  <si>
    <t>ЗТП 002 (КБО)  №03 ПС Нерль</t>
  </si>
  <si>
    <t>ЗТП 004 (Школа)  №03 ПС Нерль</t>
  </si>
  <si>
    <t>д.Твердилово</t>
  </si>
  <si>
    <t>КТП 020(Твердилово)  №03 ПС Нерль</t>
  </si>
  <si>
    <t>КТП 014(Апухтино шк.) №03ПС Нерль</t>
  </si>
  <si>
    <t>КТП 012 (Горки)  №03 ПС Нерль</t>
  </si>
  <si>
    <t>КТП 022 (Старово)  №03 ПС Нерль</t>
  </si>
  <si>
    <t>д.Байкусово</t>
  </si>
  <si>
    <t>КТП 023 (Байкусово)  №03 ПС Нерль</t>
  </si>
  <si>
    <t>КТП 016 (Апухтино КЗС) №03 ПС Нерль</t>
  </si>
  <si>
    <t>КТП 015(Апухтино мас.) №03 ПС Нерль</t>
  </si>
  <si>
    <t>д.Сужа</t>
  </si>
  <si>
    <t>КТП 009 (Сужа дом)  №03 ПС Нерль</t>
  </si>
  <si>
    <t>д.Курилово</t>
  </si>
  <si>
    <t>КТП 007 (Курилово)  №03 ПС Нерль</t>
  </si>
  <si>
    <t>КТП 010 (Сужа ФКРС) №03 ПС Нерль</t>
  </si>
  <si>
    <t>д.Льняки</t>
  </si>
  <si>
    <t>КТП 011 (Льняки) №03 ПС Нерль</t>
  </si>
  <si>
    <t>КТПП 003 (№2)  №03 ПС Нерль</t>
  </si>
  <si>
    <t>д.Родионцево</t>
  </si>
  <si>
    <t>КТП 024(Родионцево)  №03 ПС Нерль</t>
  </si>
  <si>
    <t>КТП 013 (Новенькая) №03 ПС Нерль</t>
  </si>
  <si>
    <t>ЗТП 001 (Нерль №1)</t>
  </si>
  <si>
    <t>д.Губино</t>
  </si>
  <si>
    <t>КТП 008(Губино быт) №03 ПС Нерль</t>
  </si>
  <si>
    <t>КТП 006 (Тимонино)  № 03 ПС Нерль</t>
  </si>
  <si>
    <t>КТП 054 (Ситьково)  №07 ПС Нерль</t>
  </si>
  <si>
    <t>д.Устье</t>
  </si>
  <si>
    <t>КТП 055(Устье №1 быт) №07 ПС Нерль</t>
  </si>
  <si>
    <t>КТП 056(Устье №2 быт) №07 ПС Нерль</t>
  </si>
  <si>
    <t>КТП 053 (Жил. дома)  №07 ПС Нерль</t>
  </si>
  <si>
    <t>КТП 052 (Дет.сад)  №07 ПС Нерль</t>
  </si>
  <si>
    <t>КТП 057 (Боково)  №13 ПС Нерль</t>
  </si>
  <si>
    <t>КТП 058 (Андреевское) №13ПС Нерль</t>
  </si>
  <si>
    <t>КТП(Крюково ЗСП)  №13 ПС Нерль</t>
  </si>
  <si>
    <t>КТП (Крюково)  №13 ПС Нерль</t>
  </si>
  <si>
    <t>КТП 065 (Минино №2) №13 ПС Нерль</t>
  </si>
  <si>
    <t>д.Туфаново</t>
  </si>
  <si>
    <t>КТП 066 (Туфаново)  №13 ПС Нерль</t>
  </si>
  <si>
    <t>КТП 068 (М.Нагорское) №13 ПСНерль</t>
  </si>
  <si>
    <t>КТП 071(Воронцово маст.№1)№13ПСНерль</t>
  </si>
  <si>
    <t>КТП 072 (Воронцово клуб№2) №13ПСНерл</t>
  </si>
  <si>
    <t>КТП 076(ПСЛВ Воронцово№2)№13ПСНерль</t>
  </si>
  <si>
    <t>д.Альфимово</t>
  </si>
  <si>
    <t>КТП 080(Альфимово) №13 ПС Нерль</t>
  </si>
  <si>
    <t>КТП 073 (Воронцово котел.) №13ПСНерл</t>
  </si>
  <si>
    <t>КТП 063 (Черково-Крюково) №13ПСНерль</t>
  </si>
  <si>
    <t>д.Кортино</t>
  </si>
  <si>
    <t>КТПП 061 (Кортино №2) №13 ПСНерль</t>
  </si>
  <si>
    <t>КТП 077(Клетинка Дмитровка) №13ПСНерль</t>
  </si>
  <si>
    <t>КТП 075(Воронцово ск.двор) №13ПСНерль</t>
  </si>
  <si>
    <t>КТП 081(Михайлово Чирики)№13ПСНерль</t>
  </si>
  <si>
    <t>д.Филатка</t>
  </si>
  <si>
    <t>КТП 069 (Филатка №1) №13 ПСНерль</t>
  </si>
  <si>
    <t>д.Положилово</t>
  </si>
  <si>
    <t>КТП 067 (Положилово) №13 ПСНерль</t>
  </si>
  <si>
    <t>д.Ксыкино</t>
  </si>
  <si>
    <t>КТП 060 (Ксыкино)  №13 ПС Нерль</t>
  </si>
  <si>
    <t>КТП 078 (Сорокино) №13 ПС Нерль</t>
  </si>
  <si>
    <t>КТП 074(Фоминское №1) №13ПСНерль</t>
  </si>
  <si>
    <t>д.Афонино</t>
  </si>
  <si>
    <t>КТП 059 (Афонино)  №13 ПС Нерль</t>
  </si>
  <si>
    <t>д.Зиново</t>
  </si>
  <si>
    <t>КТП 070 (Зиново) №13 ПС Нерль</t>
  </si>
  <si>
    <t>КТП 064 (Волосово№1)  №13 ПС Нерль</t>
  </si>
  <si>
    <t>д.Зайцево</t>
  </si>
  <si>
    <t>КТП 079 (Зайцево) №13 ПС Нерль</t>
  </si>
  <si>
    <t>КТП 089 (Больница) №15 ПС Нерль</t>
  </si>
  <si>
    <t>КТП 090 (Пилорама)  №15 ПС Нерль</t>
  </si>
  <si>
    <t>КТП 092 (Романово)  №15 ПС Нерль</t>
  </si>
  <si>
    <t>д.Серговка</t>
  </si>
  <si>
    <t>КТП 093 (Серговка)  №15 ПС Нерль</t>
  </si>
  <si>
    <t>КТП 094(Непейно-Бунькино)№15ПСНерль</t>
  </si>
  <si>
    <t>д.Кулигино</t>
  </si>
  <si>
    <t>КТП 098 (Кулигино) №15 ПС Нерль</t>
  </si>
  <si>
    <t>КТП 086 (Пилорама №3)  №15ПСНерль</t>
  </si>
  <si>
    <t>КТП 087 (ПСЛВ ЗСП №2) №15 ПС Нерль</t>
  </si>
  <si>
    <t>д.Провалино</t>
  </si>
  <si>
    <t>КТП 101 (Провалино) №15 ПС Нерль</t>
  </si>
  <si>
    <t>КТП 095(Перечково Быково) №15ПСНерль</t>
  </si>
  <si>
    <t>КТП 103 (Красная горка) №15ПСНерль</t>
  </si>
  <si>
    <t>КТП 099 (Кривцово Королево) №15ПСНерль</t>
  </si>
  <si>
    <t>КТП 096 (Раменье) №15 ПС Нерль</t>
  </si>
  <si>
    <t>КТП 102 (Селищи)  №15 ПС Нерль</t>
  </si>
  <si>
    <t>д.Хомутница</t>
  </si>
  <si>
    <t>КТП 097 (Хомутница) №15 ПС Нерль</t>
  </si>
  <si>
    <t>д.Грибачево</t>
  </si>
  <si>
    <t>КТП 100 (Грибачево)  №15 ПС Нерль</t>
  </si>
  <si>
    <t>д.Сандырево</t>
  </si>
  <si>
    <t>КТП 091 (Сандырево) №15 ПС Нерль</t>
  </si>
  <si>
    <t>д.Окатово</t>
  </si>
  <si>
    <t>КТП 027 (Окатово) №04 ПС Нерль</t>
  </si>
  <si>
    <t>КТП 029 (Вески Неронов.) №04ПСНер</t>
  </si>
  <si>
    <t>с.Пенье</t>
  </si>
  <si>
    <t>КТП 032 (Пенье конт.№7) №04ПС Нер</t>
  </si>
  <si>
    <t>КТПП 030 (Пенье №8) №04 ПС Нерль</t>
  </si>
  <si>
    <t>д.Фенино</t>
  </si>
  <si>
    <t>КТП 038 (Фенино)  №04 ПС Нерль</t>
  </si>
  <si>
    <t>д.Сталино</t>
  </si>
  <si>
    <t>КТП 042 (Сталино) №04 ПС Нерль</t>
  </si>
  <si>
    <t>д.Сажино</t>
  </si>
  <si>
    <t>КТП 045 (Сажино)  №04 ПС Нерль</t>
  </si>
  <si>
    <t>с.Старобислово</t>
  </si>
  <si>
    <t>КТП 047 (Старобислово быт) №04ПС Нерль</t>
  </si>
  <si>
    <t>КТП 048(Старобислово суш.) №04ПС Нерль</t>
  </si>
  <si>
    <t>д.Языково</t>
  </si>
  <si>
    <t>КТП 049 (Языково)  №04 ПС Нерль</t>
  </si>
  <si>
    <t>ЗТП 035 (Пенье компл.№4) №04ПС Нерль</t>
  </si>
  <si>
    <t>КТП 028(Окатово торфопре.) №04ПСНер</t>
  </si>
  <si>
    <t>КТПП 036(Пенье ЗСП №2) №04 ПС Нерль</t>
  </si>
  <si>
    <t>КТП 037 (Инархово) №04 ПС Нерль</t>
  </si>
  <si>
    <t>КТПП 025 (Пож.депо) №04 ПС Нерль</t>
  </si>
  <si>
    <t>д.Расловка</t>
  </si>
  <si>
    <t>КТП 041(Расловка)  №04 ПС Нерль</t>
  </si>
  <si>
    <t>д.Б.Рогатино</t>
  </si>
  <si>
    <t>КТП 050(Б.Рогатино быт) №04ПС Нерл</t>
  </si>
  <si>
    <t>КТП 040 (Хребтово)  №04 ПС Нерль</t>
  </si>
  <si>
    <t>д.Ознобиха</t>
  </si>
  <si>
    <t>КТП 044 (Ознобиха) №04 ПС Нерль</t>
  </si>
  <si>
    <t>д.Дыбулино</t>
  </si>
  <si>
    <t>КТП 046 (Дыбулино школа) №04ПС Нерль</t>
  </si>
  <si>
    <t>д.Збуйнево</t>
  </si>
  <si>
    <t>КТП 043 (Збуйнево) №04 ПС Нерль</t>
  </si>
  <si>
    <t>д.Лесуново</t>
  </si>
  <si>
    <t>КТП 031 (Лесуново) №04 ПС Нерль</t>
  </si>
  <si>
    <t>д.Петрецово</t>
  </si>
  <si>
    <t>КТП 039 (Петрецово быт) №04 ПСНер</t>
  </si>
  <si>
    <t>КТПП 033 (Пенье школа№5) №04ПСНерль</t>
  </si>
  <si>
    <t>КТП 034 (Пенье маст.№1) №04ПС Нер</t>
  </si>
  <si>
    <t>КТП 026 (Нерль быт) №04 ПС Нерль</t>
  </si>
  <si>
    <t>КТП 051 (м.Рогатино) №04 ПС Нерль</t>
  </si>
  <si>
    <t>КТП 082 (Теремец Нерльская)№14ПСНерл</t>
  </si>
  <si>
    <t>д.Вески-Поречские</t>
  </si>
  <si>
    <t>КТП 084 (Вески-Поречские) №14ПСНерль</t>
  </si>
  <si>
    <t>КТП(Вески Поречские №2 )№14ПСНерль</t>
  </si>
  <si>
    <t>д.Саврасово</t>
  </si>
  <si>
    <t>КТП 083 (Саврасово)  №14 ПС Нерль</t>
  </si>
  <si>
    <t>д.Сухарево</t>
  </si>
  <si>
    <t>КТП 085 (Сухарево)  №14 ПС Нерль</t>
  </si>
  <si>
    <t>КТП 104 (База участка)  №16ПСНерль</t>
  </si>
  <si>
    <t>с.Поречье</t>
  </si>
  <si>
    <t>КТП 105 (Поречье ФКРС№3) №16ПСНерль</t>
  </si>
  <si>
    <t>КТП 106 (Поречье свинар.) №16ПСНерль</t>
  </si>
  <si>
    <t>КТП(Поречье жил.дома ) №16ПСНерль</t>
  </si>
  <si>
    <t>МТП 107 (жил.дома №2)  №16ПСНерль</t>
  </si>
  <si>
    <t>ЗТП 108(Поречье ж/быт №1)№16ПСНерль</t>
  </si>
  <si>
    <t>ЗТП 088 (ФКРС) №16 ПС Нерль</t>
  </si>
  <si>
    <t>КТПП 109 (Поречье ПСЛВ№5) №16ПС Нерл</t>
  </si>
  <si>
    <t>с.Капшино</t>
  </si>
  <si>
    <t>КТП-10кВ Капшино ферма ф№1пс Плутково</t>
  </si>
  <si>
    <t>д.Плутково</t>
  </si>
  <si>
    <t>КТП-10кВ Плутково компл. ф3 ПС Плутково</t>
  </si>
  <si>
    <t>КТП-10кВ Плутково ф3 ПС Плутково</t>
  </si>
  <si>
    <t>.Дуброво</t>
  </si>
  <si>
    <t>КТП-10кВ Дуброво ф3 ПС Плутково</t>
  </si>
  <si>
    <t>КТП-10кВ Медвежье ф3 ПС Плутково</t>
  </si>
  <si>
    <t>КТП-10кВ Устиново ф3 ПС Плутково</t>
  </si>
  <si>
    <t>д.Сущево</t>
  </si>
  <si>
    <t>КТП-10кВ Сущево ф3 ПС Плутково</t>
  </si>
  <si>
    <t>д.Иванищи</t>
  </si>
  <si>
    <t>КТП-10кВ Иванищи ф3 ПС Плутково</t>
  </si>
  <si>
    <t>КТП-10кВ Коги-Хорхоры ф3 ПС Плутково</t>
  </si>
  <si>
    <t>КТП-10кВ Петрецово ф3 ПС Плутково</t>
  </si>
  <si>
    <t>д.Черныхово</t>
  </si>
  <si>
    <t>КТП-10кВ Чернохово ф3 ПС Плутково</t>
  </si>
  <si>
    <t>КТП-10кВ Устиново ферма ф3 ПС Плутково</t>
  </si>
  <si>
    <t>д.Шереметьево</t>
  </si>
  <si>
    <t>КТП-10кВ Шереметьево ф3 ПС Плутково</t>
  </si>
  <si>
    <t>КТП-10кВ Ремнево-Хонино ф5 ПС Плутково</t>
  </si>
  <si>
    <t>КТПП-10кВ Василево ЗCП ф5 ПС Плутково</t>
  </si>
  <si>
    <t>КТП-10кВ Василево-2 ф5 ПС Плутково</t>
  </si>
  <si>
    <t>КТП-10кВ Василево столов. ф5 ПС Плутково</t>
  </si>
  <si>
    <t>ЗТП-10кВ Василево телятник ф5ПС Плутково</t>
  </si>
  <si>
    <t>КТПП-10кВ Василево школа ф5 ПС Плутково</t>
  </si>
  <si>
    <t>с.Спасское</t>
  </si>
  <si>
    <t>КТП-10кВ Спасское ПСВЛ ф7 ПС Плутково</t>
  </si>
  <si>
    <t>д.Соломидино</t>
  </si>
  <si>
    <t>КТП-10кВ Соломидино ф7 ПС Плутково</t>
  </si>
  <si>
    <t>КТП-10кВ Высоково ф7 ПС Плутково</t>
  </si>
  <si>
    <t>д.Болдиново</t>
  </si>
  <si>
    <t>КТПП-10кВ Болдиново конт. ф7 ПС Плутково</t>
  </si>
  <si>
    <t>КТП-10кВ Болдиново-3 ф7 ПС Плутково</t>
  </si>
  <si>
    <t>КТП-10кВ Болдиново ФКРС ф7 ПС Плутково</t>
  </si>
  <si>
    <t>д.Тарцево</t>
  </si>
  <si>
    <t>КТП-10кВ Тарцево ф7 ПС Плутково</t>
  </si>
  <si>
    <t>д.Ложкино</t>
  </si>
  <si>
    <t>КТП-10кВ Ложкино ф7 ПС Плутково</t>
  </si>
  <si>
    <t>д.Зыковская</t>
  </si>
  <si>
    <t>КТП-10кВ Зыковская-1 ф7 ПС Плутково</t>
  </si>
  <si>
    <t>д.Макарьевская</t>
  </si>
  <si>
    <t>КТП-10кВ Макарьевская-1 ф7 ПС Плутково</t>
  </si>
  <si>
    <t>КТП-10кВ Макарьевская-2 ф7 ПС Плутково</t>
  </si>
  <si>
    <t>д.Тимирязево</t>
  </si>
  <si>
    <t>КТП-10кВ Тимирязево школа ф7 ПС Плутково</t>
  </si>
  <si>
    <t>КТПП-10кВ Тимирязево-клуб ф7ПС Плутково</t>
  </si>
  <si>
    <t>КТП-10кВ Тимирязево ФКРС ф7 ПС Плутково</t>
  </si>
  <si>
    <t>КТПП 10кВ Тимирязево-2 ф7 ПС Плутково</t>
  </si>
  <si>
    <t>КТП-10кВ Спасское правл. ф7 ПС Плутково</t>
  </si>
  <si>
    <t>КТП-10 кВ СНТ Речные прос ф7 ПС Плутково</t>
  </si>
  <si>
    <t>КТП-10 кВ СНТ Молочн реки ф7 ПС Плутково</t>
  </si>
  <si>
    <t>КТП-10 кВ СНТ Заимка ф7 ПС Плутково</t>
  </si>
  <si>
    <t>КТП-10кВ Тимирязево быт ф7ПС Плутково</t>
  </si>
  <si>
    <t>КТП-10кВ Тимирязево АВМ ф7 ПС Плутково</t>
  </si>
  <si>
    <t>ЗТП-10кВ Спасское ферма ф7 ПС Плутково</t>
  </si>
  <si>
    <t>КТП-10кВ Спасское быт ф7 ПС Плутково</t>
  </si>
  <si>
    <t>КТП-10кВ Болдиново-4 ф7 ПС Плутково</t>
  </si>
  <si>
    <t>д.Монаково</t>
  </si>
  <si>
    <t>КТП-10кВ Монаково ф7 ПС Плутково</t>
  </si>
  <si>
    <t>д.Сидоровская</t>
  </si>
  <si>
    <t>КТП-10кВ Сидоровская ф7 ПС Плутково</t>
  </si>
  <si>
    <t>д.Трофимовская</t>
  </si>
  <si>
    <t>КТП-10кВ Трофимовская ф7 ПС Плутково</t>
  </si>
  <si>
    <t>д.Сендрюхово</t>
  </si>
  <si>
    <t>КТП-10кВ Сендрюково ф7 ПС Плутково</t>
  </si>
  <si>
    <t>д.Балахонка</t>
  </si>
  <si>
    <t>КТП-10кВ Балахонка ф7 ПС Плутково</t>
  </si>
  <si>
    <t>1ТПП10кВ Болдиново ЗСП ф7 ПС Плутково</t>
  </si>
  <si>
    <t>д.Берегово</t>
  </si>
  <si>
    <t>КТП-10кВ Берегово ф7 ПС Плутково</t>
  </si>
  <si>
    <t>КТП-10кВ Спасское ЗСП ф7 ПС Плутково</t>
  </si>
  <si>
    <t>КТП-10кВ Бердовка-Калинино ф7ПС Плутково</t>
  </si>
  <si>
    <t>д.Бибиково</t>
  </si>
  <si>
    <t>КТП-10кВ Бибиково ф7 ПС Плутково</t>
  </si>
  <si>
    <t>д.Ворошилово</t>
  </si>
  <si>
    <t>КТП-10кВ Ворошилово ф6 ПС Плутково</t>
  </si>
  <si>
    <t>д.Попово</t>
  </si>
  <si>
    <t>КТП-10кВ Попово ф6 ПС Плутково</t>
  </si>
  <si>
    <t>КТП-10кВ Капшино маст. ф6 ПС Плутково</t>
  </si>
  <si>
    <t>КТП-10кВ Капшино с/с ф6 ПС Плутково</t>
  </si>
  <si>
    <t>КТП-10кВ Мордв.-Жуковка ф6 ПС Плутково</t>
  </si>
  <si>
    <t>д.Берниково</t>
  </si>
  <si>
    <t>КТП-10кВ д.Берниково ф.6 ПС Плутково</t>
  </si>
  <si>
    <t>д.Юряхино</t>
  </si>
  <si>
    <t>КТП-10кВ СНТ Богданово ф.6 ПС Плутково</t>
  </si>
  <si>
    <t>д.Коротково</t>
  </si>
  <si>
    <t>КТП-10кВ Коротково ф6 ПС Плутково</t>
  </si>
  <si>
    <t>КТП-10кВ Капшино школа ф6 ПС Плутково</t>
  </si>
  <si>
    <t>КТП-10кВ Капшино маг. ф6 ПС Плутково</t>
  </si>
  <si>
    <t>КТП-10кВ Капшино суш. ф6 ПС Плутково</t>
  </si>
  <si>
    <t>д.Теляшовка</t>
  </si>
  <si>
    <t>КТП-10кВ Теляшовка ф6 ПС Плутково</t>
  </si>
  <si>
    <t>КТП-10кВ Богданово-Рог ф6 ПС Плутково</t>
  </si>
  <si>
    <t>КТП-10кВ Сорокино ф6 ПС Плутково</t>
  </si>
  <si>
    <t>д.Волнога</t>
  </si>
  <si>
    <t>КТП-10кВ Волнога ф6 ПС Плутково</t>
  </si>
  <si>
    <t>д.Бельская</t>
  </si>
  <si>
    <t>КТП-10кВ Бельская ф6 ПС Плутково</t>
  </si>
  <si>
    <t>д.Панютино</t>
  </si>
  <si>
    <t>КТП-10кВ Панютино ф6 ПС Плутково</t>
  </si>
  <si>
    <t>д.Александроково</t>
  </si>
  <si>
    <t>КТП-10кВ Александровка ф1 ПС Уланово</t>
  </si>
  <si>
    <t>КТП-10кВ Александровка КЭС ф1 ПС Уланово</t>
  </si>
  <si>
    <t>д.Плоховка</t>
  </si>
  <si>
    <t>КТП-10кВ Плоховка школа ф1 ПС Уланово</t>
  </si>
  <si>
    <t>КТП-10кВ Плоховка маст. ф1 ПС Уланово</t>
  </si>
  <si>
    <t>1ТПП-10кВ Плоховка быт ф1 ПС Уланово</t>
  </si>
  <si>
    <t>КТП-10кВ Светлый Луч ф1 ПС Уланово</t>
  </si>
  <si>
    <t>д.Судовая</t>
  </si>
  <si>
    <t>КТП-10кВ Судовая ф1 ПС Уланово</t>
  </si>
  <si>
    <t>д.Рябово</t>
  </si>
  <si>
    <t>КТП-10кВ Рябово ф1 ПС Уланово</t>
  </si>
  <si>
    <t>д.Пахомово</t>
  </si>
  <si>
    <t>КТП-10кВ Пахомово ф1 ПС Уланово</t>
  </si>
  <si>
    <t>КТП-10кВ Киселево ф1 ПС Уланово</t>
  </si>
  <si>
    <t>КТП-10кВ Новинки-Брониха ф1 ПС Уланово</t>
  </si>
  <si>
    <t>КТП-10кВ Уланово хоз.нужды ф3 ПС Уланово</t>
  </si>
  <si>
    <t>КТП-10кВ Бекетово-Волкушино ф3 ПСУланово</t>
  </si>
  <si>
    <t>д.Злобино</t>
  </si>
  <si>
    <t>КТП-10кВ Злобино ф3 ПС Уланово</t>
  </si>
  <si>
    <t>КТП-10кВ Ульянино ф3 ПС Уланово</t>
  </si>
  <si>
    <t>д.Малахово</t>
  </si>
  <si>
    <t>КТПП Малахово жил.быт ф3 ПС Уланово</t>
  </si>
  <si>
    <t>КТП-10 кВ д.Селищи №2 Семендяевское с/п</t>
  </si>
  <si>
    <t>КТП-10кВ Митино-3 ф3 ПС Уланово</t>
  </si>
  <si>
    <t>КТП-10кВ Василево-Спирово ф3 ПС Уланово</t>
  </si>
  <si>
    <t>д.Бачманово</t>
  </si>
  <si>
    <t>КТП-10кВ Бачманово ф3 ПС Уланово</t>
  </si>
  <si>
    <t>д.Моншино</t>
  </si>
  <si>
    <t>КТП-10кВ Моншино-2 ф3 ПС Уланово</t>
  </si>
  <si>
    <t>КТП-10кВ Селищи ф3 ПС Уланово</t>
  </si>
  <si>
    <t>КТП-10кВ Митино-1 ф3 ПС Уланово</t>
  </si>
  <si>
    <t>КТП-10кВ Моншино-1 ф3 ПС Уланово</t>
  </si>
  <si>
    <t>КТП-10кВ Проскурино ф3 ПС Уланово</t>
  </si>
  <si>
    <t>КТП-10кВ Трояки ф3 ПС Уланово</t>
  </si>
  <si>
    <t>КТП-10кВ Высоково ф3 ПС Уланово</t>
  </si>
  <si>
    <t>КТП-10кВ Кондраково-Юрново ф5 ПС Уланово</t>
  </si>
  <si>
    <t>КТП-10кВ Рылово ф5 ПС Уланово</t>
  </si>
  <si>
    <t>КТП-10кВ Кетково-Колотово ф5 ПС Уланово</t>
  </si>
  <si>
    <t>с.Семендяево</t>
  </si>
  <si>
    <t>КТП-10кВ Семендяево кот. ф5 ПС Уланово</t>
  </si>
  <si>
    <t>КТП-10кВ Семендяево стол. ф5 ПС Уланово</t>
  </si>
  <si>
    <t>КТП-10кВ Семендяево маст. ф5 ПС Уланово</t>
  </si>
  <si>
    <t>ЗТП-10кВ Семендяево жив.ком.ф5 ПСУланово</t>
  </si>
  <si>
    <t>д.Зобово</t>
  </si>
  <si>
    <t>КТП-10кВ Зобово ф5 ПС Уланово</t>
  </si>
  <si>
    <t>КТПП10кВ Семендяево школа ф5 ПС Уланово</t>
  </si>
  <si>
    <t>д.Баринцево</t>
  </si>
  <si>
    <t>КТП-10кВ Баренцево ф4 ПС Уланово</t>
  </si>
  <si>
    <t>КТП-10кВ Баренцево маст. ф4 ПС Уланово</t>
  </si>
  <si>
    <t>КТП-10кВ Баренцево ФКРС 1 ф4 ПС Уланово</t>
  </si>
  <si>
    <t>КТП-10кВ Баренцево ФКРС 2 ф4 ПС Уланово</t>
  </si>
  <si>
    <t>д.Пашня</t>
  </si>
  <si>
    <t>КТП-10кВ Пашня ф4 ПС Уланово</t>
  </si>
  <si>
    <t>д.Конышкино</t>
  </si>
  <si>
    <t>КТП-10кВ Конышкино ф4 ПС Уланово</t>
  </si>
  <si>
    <t>КТП-10кВ Дорохово-Пепелино ф4 ПС Уланово</t>
  </si>
  <si>
    <t>д.Льгово</t>
  </si>
  <si>
    <t>КТП-10кВ Льгово ф4 ПС Уланово</t>
  </si>
  <si>
    <t>д.Бородино</t>
  </si>
  <si>
    <t>КТП-10кВ Бородино Мытарево ф4 ПС Уланово</t>
  </si>
  <si>
    <t>д.Потаповка</t>
  </si>
  <si>
    <t>КТП-10кВ Потаповка ф4 ПС Уланово</t>
  </si>
  <si>
    <t>д.Яхромино</t>
  </si>
  <si>
    <t>КТП-10кВ Яхромино ф6 ПС Уланово</t>
  </si>
  <si>
    <t>КТП-10кВ Погорелка ф6 ПС Уланово</t>
  </si>
  <si>
    <t>д.Сидорово</t>
  </si>
  <si>
    <t>КТП-10кВ Сидорово ф6 ПС Уланово</t>
  </si>
  <si>
    <t>д.Запрудье</t>
  </si>
  <si>
    <t>КТП-10кВ Запрудье телятник ф6 ПС Уланово</t>
  </si>
  <si>
    <t>КТПП-10кВ Запрудье ПСВЛ ф6 ПС Уланово</t>
  </si>
  <si>
    <t>д.Данилово</t>
  </si>
  <si>
    <t>КТП-10кВ Данилово ф6 ПС Уланово</t>
  </si>
  <si>
    <t>д.Матренкино</t>
  </si>
  <si>
    <t>КТП-10кВ Матренкино ф6 ПС Уланово</t>
  </si>
  <si>
    <t>КТП-10кВ Семендяево больн ф6 ПС Уланово</t>
  </si>
  <si>
    <t>КТПП-10кВ ЗСП ДКУ ф6 ПС Уланово</t>
  </si>
  <si>
    <t>КТП-10кВ Истопки-Тюшино ф6 ПС Уланово</t>
  </si>
  <si>
    <t>д.Кожевня</t>
  </si>
  <si>
    <t>КТП-10кВ Кожевня ф6 ПС Уланово</t>
  </si>
  <si>
    <t>КТП-10кВ Раменье ф6 ПС Уланово</t>
  </si>
  <si>
    <t>КТП-10кВ Пахомово ф6 ПС Уланово</t>
  </si>
  <si>
    <t>КТП-10кВ Запрудье быт ф6 ПС Уланово</t>
  </si>
  <si>
    <t>КТП-10кВ Старово ф6 ПС Уланово</t>
  </si>
  <si>
    <t>КТП-10кВ Запрудье КЭС ф6 ПС Уланово</t>
  </si>
  <si>
    <t>д.Волковойня</t>
  </si>
  <si>
    <t>КТП-10кВ Волковойня ФКРС ф7ПС Нагорское</t>
  </si>
  <si>
    <t>КТП-10кВ Волковойня-2 ф 7 ПС Нагорское</t>
  </si>
  <si>
    <t>д.Дидерево</t>
  </si>
  <si>
    <t>КТП-10кВ Дидерево ф 7 ПС Нагорское</t>
  </si>
  <si>
    <t>КТП-10кВ Селищи ф 7 ПС Нагорское</t>
  </si>
  <si>
    <t>д.Луки</t>
  </si>
  <si>
    <t>КТП-10кВ Луки ф 7 ПС Нагорское</t>
  </si>
  <si>
    <t>КТП-10кВ д.Яринское ф.7 ПС Нагорское</t>
  </si>
  <si>
    <t>д.Осиновец</t>
  </si>
  <si>
    <t>КТП-10кВ Осиновец ф 7 ПС Нагорское</t>
  </si>
  <si>
    <t>КТП-10кВ Крутая ферма ф 7 ПС Нагорское</t>
  </si>
  <si>
    <t>КТП-10кВ Новая ф 7 ПС Нагорское</t>
  </si>
  <si>
    <t>д.Кузнечково</t>
  </si>
  <si>
    <t>КТП-10кВ Кузнечково ф 7 ПС Нагорское</t>
  </si>
  <si>
    <t>КТП-10кВ Крутая ф 7 ПС Нагорское</t>
  </si>
  <si>
    <t>д.Б.Михаловское</t>
  </si>
  <si>
    <t>КТП-10кВ Б.Михайловское ф1 ПС Нагорское</t>
  </si>
  <si>
    <t>д.Полумихалево</t>
  </si>
  <si>
    <t>КТП-10кВ Полумихалево ф1 ПС Нагорское</t>
  </si>
  <si>
    <t>д.Бителево</t>
  </si>
  <si>
    <t>КТП-10кВ Бителево КЭС ф1 ПС Нагорское</t>
  </si>
  <si>
    <t>КТП-10кВ Бителево ф 1 ПС Нагорское</t>
  </si>
  <si>
    <t>д.Садки</t>
  </si>
  <si>
    <t>КТП-10кВ Садки ф 1 ПС Нагорское</t>
  </si>
  <si>
    <t>д.Дворики</t>
  </si>
  <si>
    <t>КТП-10кВ Дворики ф 1 ПС Нагорское</t>
  </si>
  <si>
    <t>д.Гришкино</t>
  </si>
  <si>
    <t>КТП-10кВ Гришкино ф 4 ПС Нагорское</t>
  </si>
  <si>
    <t>д.Деревеньки</t>
  </si>
  <si>
    <t>КТП-10кВ Деревеньки ф 4 ПС Нагорское</t>
  </si>
  <si>
    <t>д.Белоглазово</t>
  </si>
  <si>
    <t>КТП-10кВ Белоглазово ф 4 ПС Нагорское</t>
  </si>
  <si>
    <t>д.Конякино</t>
  </si>
  <si>
    <t>КТП-10кВ Конякино ф 4 ПС Нагорское</t>
  </si>
  <si>
    <t>д.Акулово</t>
  </si>
  <si>
    <t>КТП-10кВ Акулово ф 4 ПС Нагорское</t>
  </si>
  <si>
    <t>КТП-10кВ Старово ф4 ПС Нагорское</t>
  </si>
  <si>
    <t>КТП-10кВ Гора Поневица ф4 ПС Нагорское</t>
  </si>
  <si>
    <t>д.Нагорское</t>
  </si>
  <si>
    <t>КТП-10кВ Нагорское ферма ф4 ПС Нагорское</t>
  </si>
  <si>
    <t>КТП-10кВ Воскресенское ф 4 ПС Нагорское</t>
  </si>
  <si>
    <t>д.Будимирово</t>
  </si>
  <si>
    <t>КТП-10кВ Будимирово ф6 ПС Нагорское</t>
  </si>
  <si>
    <t>д.Хализеево</t>
  </si>
  <si>
    <t>КТП-10кВ Хализево ф 6 ПС Нагорское</t>
  </si>
  <si>
    <t>д.Яринское</t>
  </si>
  <si>
    <t>КТП-10кВ Яринское КЭС ф6ПС Нагорское</t>
  </si>
  <si>
    <t>КТПП-10кВ Яринское котедж.ф6ПС Нагорское</t>
  </si>
  <si>
    <t>КТП-10кВ Малахово ф 6 ПС Нагорское</t>
  </si>
  <si>
    <t>КТП-10кВ Яринское маст. ф6 ПС Нагорское</t>
  </si>
  <si>
    <t>д.Екатериновка</t>
  </si>
  <si>
    <t>КТП 10кВ д. Марьино ф3 ПС Вега</t>
  </si>
  <si>
    <t>КТП10кВ пос.Лесная поляна лесхоз ф3ПСВег</t>
  </si>
  <si>
    <t>КТПП-10кВ д.Чигирево-2 быт ф5 ПС Вега</t>
  </si>
  <si>
    <t>д.Доскино</t>
  </si>
  <si>
    <t>КТП-10кВ д Доскино ф5 ПС Вега</t>
  </si>
  <si>
    <t>д.Носово</t>
  </si>
  <si>
    <t>КТП-10 кВ СНТ "Звезда" ф.5ПС35/10кВ Вега</t>
  </si>
  <si>
    <t>д.Мицеево</t>
  </si>
  <si>
    <t>КТП-10 кВ д.Мицеево-Рябинушка ф5 ПС Вега</t>
  </si>
  <si>
    <t>КТП-10кВ д. Носово-1 ф5 ПС Вега</t>
  </si>
  <si>
    <t>КТП-10кВ д. Глазково-Копылово ф5 ПС Вега</t>
  </si>
  <si>
    <t>КТП-10кВ д Мицеево-1 быт ф5 ПС Вега</t>
  </si>
  <si>
    <t>КТП-10кВ д. Носово-2 ф5 ПС Вега</t>
  </si>
  <si>
    <t>д.Васюсино</t>
  </si>
  <si>
    <t>КТП-10кВ д. Васюсино ф5 ПС Вега</t>
  </si>
  <si>
    <t>КТП10кВ д Савинская, Николаевка ф4ПСВега</t>
  </si>
  <si>
    <t>д.Липовка</t>
  </si>
  <si>
    <t>КТП-10кВ Пилорама Д.Липовка ф4 ПС Вега</t>
  </si>
  <si>
    <t>КТП10кВ д.Инальцево-Парашино ферма ф4Вег</t>
  </si>
  <si>
    <t>КТП-10кВ Зверево-Скорятьево ф4 ПСВега</t>
  </si>
  <si>
    <t>д.Фомино</t>
  </si>
  <si>
    <t>КТП-10кВ д.Фомино ф4 ПС Вега</t>
  </si>
  <si>
    <t>КТП10кВ д Нестерово-Родионово ф4 ПС Вега</t>
  </si>
  <si>
    <t>д.Бородулино</t>
  </si>
  <si>
    <t>КТП-10кВ д. Бородулино ф 4 ПС Вега</t>
  </si>
  <si>
    <t>КТП-10кВ д.Аверково- Н. Село ф4 ПС Вега</t>
  </si>
  <si>
    <t>д.Выдохино</t>
  </si>
  <si>
    <t>КТП-10кВ д.Выдохино ф4 ПС Вега</t>
  </si>
  <si>
    <t>КТПП 10кВ Липовка-2 ФКРС ф4 ПС "Вега"</t>
  </si>
  <si>
    <t>КТП-10кВ д Юркино ф4 ПС Вега</t>
  </si>
  <si>
    <t>д.Пузарино</t>
  </si>
  <si>
    <t>КТП-10кВ д. Пузарино ф4 ПС Вега</t>
  </si>
  <si>
    <t>д.Плещеево</t>
  </si>
  <si>
    <t>КТП-10кВ д. Плещеево ф 4 ПС Вега</t>
  </si>
  <si>
    <t>д.Никольское</t>
  </si>
  <si>
    <t>КТП-10кВ д. Никольское ф4 ПС Вега</t>
  </si>
  <si>
    <t>КТП-10кВ д. Щелково ф4 ПС Вега</t>
  </si>
  <si>
    <t>КТП-10кВ Сушилка д. Липовка ф4 Пс Вега</t>
  </si>
  <si>
    <t>д.Исаково</t>
  </si>
  <si>
    <t>КТПП-10кВ д.Исаково АВМ ф4 ПС Вег</t>
  </si>
  <si>
    <t>КТП-10кВ д. Федюлино ф4 ПС Вега</t>
  </si>
  <si>
    <t>КТПП-10кВ д.Инальцево-2 школа ф4 ПС Вега</t>
  </si>
  <si>
    <t>КТП-10кВ Детсад д. Липовка ф4 ПС Вега</t>
  </si>
  <si>
    <t>д.Толстоухово</t>
  </si>
  <si>
    <t>КТП-10кВ Толстоухово ф8 ПС Вега</t>
  </si>
  <si>
    <t>КТП-10 кВ "Павлова пристань"</t>
  </si>
  <si>
    <t>д.Мышино</t>
  </si>
  <si>
    <t>КТП-10кВ Мышино ф8 ПС Вега</t>
  </si>
  <si>
    <t>КТП-10кВ Сосновка ф8 ПС Вега</t>
  </si>
  <si>
    <t>д.Клыпино</t>
  </si>
  <si>
    <t>КТП-10кВ Клыпино ф8 ПС Вега</t>
  </si>
  <si>
    <t>2x630</t>
  </si>
  <si>
    <t>Кашинский</t>
  </si>
  <si>
    <t xml:space="preserve">КТП Безгузово </t>
  </si>
  <si>
    <t>КТП Апраксино</t>
  </si>
  <si>
    <t>КТПП Барыково-4 ЗСП</t>
  </si>
  <si>
    <t xml:space="preserve">КТП Крапивино </t>
  </si>
  <si>
    <t>МТП Леушино</t>
  </si>
  <si>
    <t>КТП Жуково</t>
  </si>
  <si>
    <t>КТП Киселево</t>
  </si>
  <si>
    <t>КТП Леушино-2 контора</t>
  </si>
  <si>
    <t>КТПП Черемухино-1</t>
  </si>
  <si>
    <t xml:space="preserve">КТП Сусолиха-1 </t>
  </si>
  <si>
    <t>КТПП Тиволино-1 компл-Малыгино</t>
  </si>
  <si>
    <t xml:space="preserve">КТП Селихово </t>
  </si>
  <si>
    <t xml:space="preserve">КТП Киселево </t>
  </si>
  <si>
    <t xml:space="preserve">КТП Никулино ферма </t>
  </si>
  <si>
    <t xml:space="preserve">КТП Отрубнево </t>
  </si>
  <si>
    <t>д.Ордынка</t>
  </si>
  <si>
    <t xml:space="preserve">КТП Ордынка </t>
  </si>
  <si>
    <t>д.Чернышево</t>
  </si>
  <si>
    <t xml:space="preserve">КТП Чернышево </t>
  </si>
  <si>
    <t>д.Славково</t>
  </si>
  <si>
    <t xml:space="preserve">КТП Славково-1 детсад </t>
  </si>
  <si>
    <t>д.Сафонеево</t>
  </si>
  <si>
    <t xml:space="preserve">КТП Сафонеево </t>
  </si>
  <si>
    <t>д.Шевригино</t>
  </si>
  <si>
    <t xml:space="preserve">КТП Шевригино </t>
  </si>
  <si>
    <t>д.Горлово</t>
  </si>
  <si>
    <t xml:space="preserve">КТП Горлово </t>
  </si>
  <si>
    <t>д.Антюшино</t>
  </si>
  <si>
    <t xml:space="preserve">КТП Антюшино </t>
  </si>
  <si>
    <t>д.Борщево</t>
  </si>
  <si>
    <t xml:space="preserve">КТП Борщево-Девясилово </t>
  </si>
  <si>
    <t>д.Коробеньково</t>
  </si>
  <si>
    <t>КТП Коробеньково-Степаньково</t>
  </si>
  <si>
    <t>д.Никулкино</t>
  </si>
  <si>
    <t xml:space="preserve">КТП Никулкино-Плюгино </t>
  </si>
  <si>
    <t>д.Хрипелево</t>
  </si>
  <si>
    <t xml:space="preserve">КТП Хрипелево </t>
  </si>
  <si>
    <t xml:space="preserve">КТП Подберезье </t>
  </si>
  <si>
    <t>д.Филитово</t>
  </si>
  <si>
    <t xml:space="preserve">КТП Филитово </t>
  </si>
  <si>
    <t>д.Вознесенье</t>
  </si>
  <si>
    <t xml:space="preserve">КТП Вознесенье </t>
  </si>
  <si>
    <t>д.Власьево</t>
  </si>
  <si>
    <t xml:space="preserve">КТП Власьево-3 быт </t>
  </si>
  <si>
    <t>д.Маковницы</t>
  </si>
  <si>
    <t xml:space="preserve">КТП Маковницы </t>
  </si>
  <si>
    <t>д.Панкратово</t>
  </si>
  <si>
    <t xml:space="preserve">КТП Панкратово </t>
  </si>
  <si>
    <t xml:space="preserve">КТП Старово </t>
  </si>
  <si>
    <t xml:space="preserve">КТП Турово </t>
  </si>
  <si>
    <t>д.Бухвостово</t>
  </si>
  <si>
    <t xml:space="preserve">КТП Бухвостово-Гоготово </t>
  </si>
  <si>
    <t>д.Батурово</t>
  </si>
  <si>
    <t xml:space="preserve">КТП Батурово </t>
  </si>
  <si>
    <t xml:space="preserve">КТП Щелково </t>
  </si>
  <si>
    <t>д.Горбуново</t>
  </si>
  <si>
    <t xml:space="preserve">КТП Горбуново </t>
  </si>
  <si>
    <t>д.Итьково</t>
  </si>
  <si>
    <t xml:space="preserve">КТП Итьково </t>
  </si>
  <si>
    <t>д.Захарово</t>
  </si>
  <si>
    <t xml:space="preserve">КТП Захарово-Дементьево </t>
  </si>
  <si>
    <t>д.Кочемли</t>
  </si>
  <si>
    <t xml:space="preserve">КТП Кочемли </t>
  </si>
  <si>
    <t>д.Клититино</t>
  </si>
  <si>
    <t>КТП Клитино</t>
  </si>
  <si>
    <t>д.Деревенька</t>
  </si>
  <si>
    <t xml:space="preserve">КТП Деревенька </t>
  </si>
  <si>
    <t xml:space="preserve">КТП Василево </t>
  </si>
  <si>
    <t>д.Заводы</t>
  </si>
  <si>
    <t xml:space="preserve">КТП Заводы-1 </t>
  </si>
  <si>
    <t>д.Свезево</t>
  </si>
  <si>
    <t xml:space="preserve">КТП Свезево </t>
  </si>
  <si>
    <t>д.Губцево</t>
  </si>
  <si>
    <t xml:space="preserve">КТП Губцево </t>
  </si>
  <si>
    <t>д.Зобнино</t>
  </si>
  <si>
    <t xml:space="preserve">КТП Зобнино-4 школа </t>
  </si>
  <si>
    <t>д.Рудлево</t>
  </si>
  <si>
    <t xml:space="preserve">КТП Рудлево-Рождественно </t>
  </si>
  <si>
    <t xml:space="preserve">КТП Трубино </t>
  </si>
  <si>
    <t>д.М.Макарово</t>
  </si>
  <si>
    <t xml:space="preserve">КТП М.Макарово </t>
  </si>
  <si>
    <t>д.Давыдово</t>
  </si>
  <si>
    <t xml:space="preserve">КТП Давыдово-9 школа </t>
  </si>
  <si>
    <t>д.Братково</t>
  </si>
  <si>
    <t xml:space="preserve">КТП Братково </t>
  </si>
  <si>
    <t xml:space="preserve">КТП Савино </t>
  </si>
  <si>
    <t>д.Шилково</t>
  </si>
  <si>
    <t xml:space="preserve">КТП Шилково </t>
  </si>
  <si>
    <t xml:space="preserve">КТП Языково </t>
  </si>
  <si>
    <t>д.Сумино</t>
  </si>
  <si>
    <t xml:space="preserve">КТП Сумино </t>
  </si>
  <si>
    <t>д.Курово</t>
  </si>
  <si>
    <t xml:space="preserve">КТП Курово </t>
  </si>
  <si>
    <t>д.Чеканово</t>
  </si>
  <si>
    <t xml:space="preserve">КТП Чеканово </t>
  </si>
  <si>
    <t>КТП Федоровское</t>
  </si>
  <si>
    <t xml:space="preserve">КТП Ладыгино-Костюшино </t>
  </si>
  <si>
    <t>КТП Овсянниково-Громилово</t>
  </si>
  <si>
    <t>д.Окороково</t>
  </si>
  <si>
    <t xml:space="preserve">КТП Окороково </t>
  </si>
  <si>
    <t>д.Холстово</t>
  </si>
  <si>
    <t xml:space="preserve">КТП Холстово </t>
  </si>
  <si>
    <t>д.Леванидово</t>
  </si>
  <si>
    <t xml:space="preserve">КТП Леванидово </t>
  </si>
  <si>
    <t>д.Чернятино</t>
  </si>
  <si>
    <t xml:space="preserve">КТП Чернятино </t>
  </si>
  <si>
    <t xml:space="preserve">КТП Малахово </t>
  </si>
  <si>
    <t>д.Перетрясово</t>
  </si>
  <si>
    <t xml:space="preserve">КТП Перетрясово-Митино </t>
  </si>
  <si>
    <t>д.Осипово</t>
  </si>
  <si>
    <t>КТП Осипово</t>
  </si>
  <si>
    <t>д.Тушнево</t>
  </si>
  <si>
    <t xml:space="preserve">КТП Тушнево-Золотиково </t>
  </si>
  <si>
    <t>д.Конопелки</t>
  </si>
  <si>
    <t>КТП Конопелки</t>
  </si>
  <si>
    <t>д.Ивайково</t>
  </si>
  <si>
    <t xml:space="preserve">КТП Ивайково-Терехино </t>
  </si>
  <si>
    <t>КТП Кортино</t>
  </si>
  <si>
    <t>д.Данильцево</t>
  </si>
  <si>
    <t xml:space="preserve">КТПП Данильцево-2 </t>
  </si>
  <si>
    <t>д.Новинки</t>
  </si>
  <si>
    <t xml:space="preserve">КТП Новинки </t>
  </si>
  <si>
    <t>д.Деулино</t>
  </si>
  <si>
    <t xml:space="preserve">КТП Деулино </t>
  </si>
  <si>
    <t>д.Колбасино</t>
  </si>
  <si>
    <t xml:space="preserve">КТП Колбасино-Мехтенево </t>
  </si>
  <si>
    <t>д.Клюкино</t>
  </si>
  <si>
    <t xml:space="preserve">КТП Клюкино </t>
  </si>
  <si>
    <t xml:space="preserve">МТП Литвиново </t>
  </si>
  <si>
    <t>д.Тербатунь</t>
  </si>
  <si>
    <t xml:space="preserve">КТП Тербатунь </t>
  </si>
  <si>
    <t xml:space="preserve">КТП Слобода-Шишкино </t>
  </si>
  <si>
    <t>д.Савелково</t>
  </si>
  <si>
    <t xml:space="preserve">КТП Савелково </t>
  </si>
  <si>
    <t>д.Б.Крутцы</t>
  </si>
  <si>
    <t xml:space="preserve">КТП Б.Крутцы-Марково </t>
  </si>
  <si>
    <t>д.Головеньки</t>
  </si>
  <si>
    <t xml:space="preserve">КТП Головеньки </t>
  </si>
  <si>
    <t>д.Шепели</t>
  </si>
  <si>
    <t xml:space="preserve">КТП Шепели-1-Кр.Долина </t>
  </si>
  <si>
    <t>д.Соколово</t>
  </si>
  <si>
    <t xml:space="preserve">КТП Соколово-Кошкарово </t>
  </si>
  <si>
    <t>д.Калицыно</t>
  </si>
  <si>
    <t xml:space="preserve">КТП Калицыно </t>
  </si>
  <si>
    <t>д.Апарниково</t>
  </si>
  <si>
    <t xml:space="preserve">КТП Апарниково-Васильевск </t>
  </si>
  <si>
    <t xml:space="preserve">КТП Слободка </t>
  </si>
  <si>
    <t>д.Туровино</t>
  </si>
  <si>
    <t xml:space="preserve">КТП Туровино </t>
  </si>
  <si>
    <t>д.Вощилово</t>
  </si>
  <si>
    <t>КТП Вощилово</t>
  </si>
  <si>
    <t xml:space="preserve">КТП Павловское </t>
  </si>
  <si>
    <t xml:space="preserve">КТП Никольское </t>
  </si>
  <si>
    <t>д.Дуботолки</t>
  </si>
  <si>
    <t xml:space="preserve">КТП Дуботолки </t>
  </si>
  <si>
    <t>д.Жилкино</t>
  </si>
  <si>
    <t xml:space="preserve">КТП Жилкино </t>
  </si>
  <si>
    <t>д.Морево</t>
  </si>
  <si>
    <t xml:space="preserve">КТП Морево </t>
  </si>
  <si>
    <t>д.Стулово</t>
  </si>
  <si>
    <t xml:space="preserve">КТП Стулово-2 быт </t>
  </si>
  <si>
    <t>д.К.Демьяновское</t>
  </si>
  <si>
    <t xml:space="preserve">КТПП К.Демьяновское-2 ЗСП </t>
  </si>
  <si>
    <t>д.Челагино</t>
  </si>
  <si>
    <t xml:space="preserve">КТП Челагино </t>
  </si>
  <si>
    <t>д.Петраково</t>
  </si>
  <si>
    <t xml:space="preserve">КТП Петраково </t>
  </si>
  <si>
    <t>д.Демино</t>
  </si>
  <si>
    <t xml:space="preserve">КТП Демино </t>
  </si>
  <si>
    <t>д.Мартынки</t>
  </si>
  <si>
    <t xml:space="preserve">КТП Мартынки-Жидинки </t>
  </si>
  <si>
    <t>д.Егорьевское</t>
  </si>
  <si>
    <t xml:space="preserve">КТП Егорьевское </t>
  </si>
  <si>
    <t>д.Бурмакино</t>
  </si>
  <si>
    <t xml:space="preserve">КТП Бурмакино </t>
  </si>
  <si>
    <t>д.Малафеево</t>
  </si>
  <si>
    <t xml:space="preserve">КТП Малафеево </t>
  </si>
  <si>
    <t>д.Ручейки</t>
  </si>
  <si>
    <t xml:space="preserve">КТП Ручейки </t>
  </si>
  <si>
    <t>д.Маринино</t>
  </si>
  <si>
    <t xml:space="preserve">КТП Маринино-2 быт </t>
  </si>
  <si>
    <t>д.Опухлово</t>
  </si>
  <si>
    <t xml:space="preserve">КТП Опухлово </t>
  </si>
  <si>
    <t>КТП Зеленцово-1 быт</t>
  </si>
  <si>
    <t>д.Староселье</t>
  </si>
  <si>
    <t xml:space="preserve">КТП Староселье </t>
  </si>
  <si>
    <t>д.Рагузино</t>
  </si>
  <si>
    <t>КТП Рагузино</t>
  </si>
  <si>
    <t xml:space="preserve">КТП Волково </t>
  </si>
  <si>
    <t xml:space="preserve">КТП Данильцево-1 </t>
  </si>
  <si>
    <t xml:space="preserve">КТП Спасское-3 </t>
  </si>
  <si>
    <t>д.Мокриха</t>
  </si>
  <si>
    <t xml:space="preserve">КТП Мокриха </t>
  </si>
  <si>
    <t>д.Дьяково</t>
  </si>
  <si>
    <t xml:space="preserve">КТП Дьяково-Новинки </t>
  </si>
  <si>
    <t>д.Фарафонофка</t>
  </si>
  <si>
    <t>КТПП Фарафоновка-2 мастерские</t>
  </si>
  <si>
    <t>д.Рождествено</t>
  </si>
  <si>
    <t xml:space="preserve">КТП Рождествено </t>
  </si>
  <si>
    <t xml:space="preserve">КТП Фролово-1 быт </t>
  </si>
  <si>
    <t xml:space="preserve">КТП Медведево </t>
  </si>
  <si>
    <t>д.Артемово</t>
  </si>
  <si>
    <t xml:space="preserve">КТП Артемово-Кондратово </t>
  </si>
  <si>
    <t>д.Зеленцыно</t>
  </si>
  <si>
    <t xml:space="preserve">КТП Зеленцыно-2 ферма </t>
  </si>
  <si>
    <t>КТП Подберезье</t>
  </si>
  <si>
    <t>д.Барыково</t>
  </si>
  <si>
    <t xml:space="preserve">КТПП Барыково-3 мол.з-д </t>
  </si>
  <si>
    <t>д.Булатово</t>
  </si>
  <si>
    <t xml:space="preserve">КТПП Булатово-4 поселок </t>
  </si>
  <si>
    <t>д.Игнатово</t>
  </si>
  <si>
    <t xml:space="preserve">КТП Игнатово </t>
  </si>
  <si>
    <t>д.Размесово</t>
  </si>
  <si>
    <t xml:space="preserve">КТП Размесово </t>
  </si>
  <si>
    <t>КТП Серговка</t>
  </si>
  <si>
    <t xml:space="preserve">КТП Лапшино </t>
  </si>
  <si>
    <t xml:space="preserve">КТП Семеновское-1 быт </t>
  </si>
  <si>
    <t>д.Стражково</t>
  </si>
  <si>
    <t xml:space="preserve">КТПП Стражково-1 быт </t>
  </si>
  <si>
    <t>д.Тарбаево</t>
  </si>
  <si>
    <t xml:space="preserve">КТП Тарбаево </t>
  </si>
  <si>
    <t>д.Пушкино</t>
  </si>
  <si>
    <t xml:space="preserve">КТП Пушкино </t>
  </si>
  <si>
    <t xml:space="preserve">КТП Ченцово </t>
  </si>
  <si>
    <t>д.Ваньково</t>
  </si>
  <si>
    <t>КТП Ваньково</t>
  </si>
  <si>
    <t>д.Мизгирево</t>
  </si>
  <si>
    <t xml:space="preserve">КТП Мизгирево-Свитино </t>
  </si>
  <si>
    <t xml:space="preserve">КТП Покровское-Фаладьино </t>
  </si>
  <si>
    <t xml:space="preserve">КТП Горки-1-Курьяново </t>
  </si>
  <si>
    <t>д.Потупово</t>
  </si>
  <si>
    <t xml:space="preserve">КТП Потупово-Лежнево </t>
  </si>
  <si>
    <t>д.Бормосово</t>
  </si>
  <si>
    <t xml:space="preserve">КТП Бормосово-Илькино </t>
  </si>
  <si>
    <t>д.Задово</t>
  </si>
  <si>
    <t xml:space="preserve">КТП Задово-Ратчино </t>
  </si>
  <si>
    <t>д.Маслово</t>
  </si>
  <si>
    <t xml:space="preserve">КТП Маслово </t>
  </si>
  <si>
    <t>д.Прокофьево</t>
  </si>
  <si>
    <t>КТП Прокофьево</t>
  </si>
  <si>
    <t>д.Троицкое</t>
  </si>
  <si>
    <t xml:space="preserve">КТП Троицкое </t>
  </si>
  <si>
    <t>д.Гапшино</t>
  </si>
  <si>
    <t>КТП Гапшино</t>
  </si>
  <si>
    <t>д.Ляхово</t>
  </si>
  <si>
    <t xml:space="preserve">КТП Ляхово </t>
  </si>
  <si>
    <t>д.Золотилово</t>
  </si>
  <si>
    <t>КТП Золотилово</t>
  </si>
  <si>
    <t>КТП Константиново</t>
  </si>
  <si>
    <t>д.Введенское</t>
  </si>
  <si>
    <t xml:space="preserve">КТП Введенское-Почапки </t>
  </si>
  <si>
    <t>д.Раднево</t>
  </si>
  <si>
    <t xml:space="preserve">КТП Раднево-1 </t>
  </si>
  <si>
    <t>д.Тросухино</t>
  </si>
  <si>
    <t>КТП Тросухино</t>
  </si>
  <si>
    <t>д.Акулинкино</t>
  </si>
  <si>
    <t xml:space="preserve">КТП Акулинкино </t>
  </si>
  <si>
    <t>д.Булатниково</t>
  </si>
  <si>
    <t xml:space="preserve">КТП Булатниково </t>
  </si>
  <si>
    <t>д.Тетьково-1</t>
  </si>
  <si>
    <t xml:space="preserve">ЗТП Тетьково-1 </t>
  </si>
  <si>
    <t>2х500</t>
  </si>
  <si>
    <t>д.Тетьково-2</t>
  </si>
  <si>
    <t xml:space="preserve">ЗТП Тетьково-2  </t>
  </si>
  <si>
    <t>2х800</t>
  </si>
  <si>
    <t>д.Тетьково-3</t>
  </si>
  <si>
    <t xml:space="preserve">ЗТП Тетьково-3  </t>
  </si>
  <si>
    <t>д.Рахманово</t>
  </si>
  <si>
    <t xml:space="preserve">КТП Рахманово  </t>
  </si>
  <si>
    <t>д.Башвино</t>
  </si>
  <si>
    <t xml:space="preserve">КТП Башвино  </t>
  </si>
  <si>
    <t xml:space="preserve">КТП Нижняя Троица  </t>
  </si>
  <si>
    <t>д.Алехино</t>
  </si>
  <si>
    <t xml:space="preserve">КТП Алехино  </t>
  </si>
  <si>
    <t xml:space="preserve">КТП Лисова Слобода  </t>
  </si>
  <si>
    <t xml:space="preserve">КТП Шепели-2 больница  </t>
  </si>
  <si>
    <t xml:space="preserve">КТПП Льгово-1 сушилка  </t>
  </si>
  <si>
    <t>д.Бакланово</t>
  </si>
  <si>
    <t xml:space="preserve">КТП Бакланово  </t>
  </si>
  <si>
    <t>д.Судниково</t>
  </si>
  <si>
    <t xml:space="preserve">КТП Судниково  </t>
  </si>
  <si>
    <t>д.Алпатово</t>
  </si>
  <si>
    <t xml:space="preserve">КТП Алпатово-Данилово </t>
  </si>
  <si>
    <t>д.Леушино</t>
  </si>
  <si>
    <t xml:space="preserve">КТП Леушино-3 пилорама </t>
  </si>
  <si>
    <t>КТП Кузнецово-Архангельское</t>
  </si>
  <si>
    <t>д.Ст.Сташино</t>
  </si>
  <si>
    <t xml:space="preserve">КТП Ст.Сташино  </t>
  </si>
  <si>
    <t>д.Гордеево</t>
  </si>
  <si>
    <t xml:space="preserve">КТП Гордеево  </t>
  </si>
  <si>
    <t>д.Сологовское</t>
  </si>
  <si>
    <t xml:space="preserve">КТП Сологовское </t>
  </si>
  <si>
    <t>д.Борихино</t>
  </si>
  <si>
    <t xml:space="preserve">КТП Борихино-2-Никулино  </t>
  </si>
  <si>
    <t>д.Заручье</t>
  </si>
  <si>
    <t xml:space="preserve">КТП Заручье-1  </t>
  </si>
  <si>
    <t>д.Козино</t>
  </si>
  <si>
    <t xml:space="preserve">КТП Козино </t>
  </si>
  <si>
    <t>д.Юрино</t>
  </si>
  <si>
    <t xml:space="preserve">КТП Юрино  </t>
  </si>
  <si>
    <t>д.Кубасово</t>
  </si>
  <si>
    <t xml:space="preserve">КТП Кубасово  </t>
  </si>
  <si>
    <t>д.Ластома</t>
  </si>
  <si>
    <t xml:space="preserve">КТП Ластома  </t>
  </si>
  <si>
    <t>д.Сташино</t>
  </si>
  <si>
    <t xml:space="preserve">КТП Н.Сташино  </t>
  </si>
  <si>
    <t>д.Милославское</t>
  </si>
  <si>
    <t xml:space="preserve">КТП Милославское  </t>
  </si>
  <si>
    <t xml:space="preserve">КТП Высоково-Ромашино </t>
  </si>
  <si>
    <t>д.Климатино</t>
  </si>
  <si>
    <t xml:space="preserve">КТП Климатино  </t>
  </si>
  <si>
    <t>д.Глазатово</t>
  </si>
  <si>
    <t xml:space="preserve">КТП Глазатово-4  </t>
  </si>
  <si>
    <t>д.Б.Сафроново</t>
  </si>
  <si>
    <t xml:space="preserve">КТП Б.Сафроново  </t>
  </si>
  <si>
    <t>д.Постельниково</t>
  </si>
  <si>
    <t xml:space="preserve">КТП Постельниково ферма  </t>
  </si>
  <si>
    <t>д.Клепцово</t>
  </si>
  <si>
    <t xml:space="preserve">КТП Клепцово  </t>
  </si>
  <si>
    <t xml:space="preserve">КТП Славково-3 школа  </t>
  </si>
  <si>
    <t>д.Пузиково</t>
  </si>
  <si>
    <t xml:space="preserve">КТП Пузиково-1 быт  </t>
  </si>
  <si>
    <t>д.В.Троица</t>
  </si>
  <si>
    <t xml:space="preserve">ЗТП В.Троица-7  </t>
  </si>
  <si>
    <t>д.Тиволино</t>
  </si>
  <si>
    <t xml:space="preserve">КТП Тиволино-2 быт  </t>
  </si>
  <si>
    <t>д.Маслятка</t>
  </si>
  <si>
    <t xml:space="preserve">КТП Льносемстанция  </t>
  </si>
  <si>
    <t>д.Мялицыно</t>
  </si>
  <si>
    <t xml:space="preserve">КТП Мялицыно  </t>
  </si>
  <si>
    <t>д.Савцыно</t>
  </si>
  <si>
    <t xml:space="preserve">КТП Савцыно-1  </t>
  </si>
  <si>
    <t>д.Македоново</t>
  </si>
  <si>
    <t xml:space="preserve">КТП Македоново  </t>
  </si>
  <si>
    <t xml:space="preserve">КТП Уницкая Горка  </t>
  </si>
  <si>
    <t xml:space="preserve">КТП Савцыно-3 быт </t>
  </si>
  <si>
    <t>д.Хлябово</t>
  </si>
  <si>
    <t>КТП Хлябово-Петровская больница</t>
  </si>
  <si>
    <t>КТП Постельниково-Игнатово</t>
  </si>
  <si>
    <t xml:space="preserve">КТП Фролово-3 ферма  </t>
  </si>
  <si>
    <t>д.Эндогорово</t>
  </si>
  <si>
    <t xml:space="preserve">КТП Эндогорово  </t>
  </si>
  <si>
    <t xml:space="preserve">КТПП Устиново-1  </t>
  </si>
  <si>
    <t xml:space="preserve">КТП Введенское-1  </t>
  </si>
  <si>
    <t>д.Сальково</t>
  </si>
  <si>
    <t xml:space="preserve">КТП Сальково </t>
  </si>
  <si>
    <t>д.Вантеево</t>
  </si>
  <si>
    <t xml:space="preserve">КТП Вантеево-2  </t>
  </si>
  <si>
    <t xml:space="preserve">КТП Власьево-1 водокачка </t>
  </si>
  <si>
    <t>д.Пустынька</t>
  </si>
  <si>
    <t xml:space="preserve">КТП Пустынька-1  </t>
  </si>
  <si>
    <t xml:space="preserve">КТП Славково-2 ферма </t>
  </si>
  <si>
    <t xml:space="preserve">ЗТП Глазатово-3  </t>
  </si>
  <si>
    <t xml:space="preserve">КТП Чириково </t>
  </si>
  <si>
    <t>д.Спасское</t>
  </si>
  <si>
    <t xml:space="preserve">КТП Спасское-1 склад  </t>
  </si>
  <si>
    <t xml:space="preserve">КТП Пустынька-2  </t>
  </si>
  <si>
    <t>д.Коржавино</t>
  </si>
  <si>
    <t xml:space="preserve">КТП Коржавино-Ясная Поляна  </t>
  </si>
  <si>
    <t xml:space="preserve">КТП Льгово-3 хранилище </t>
  </si>
  <si>
    <t xml:space="preserve">КТП Зеленцыно-1 быт </t>
  </si>
  <si>
    <t>д.Пестриково</t>
  </si>
  <si>
    <t xml:space="preserve">КТПП Пестриково-2 гаражи </t>
  </si>
  <si>
    <t>д.Карабузино</t>
  </si>
  <si>
    <t xml:space="preserve">КТП Карабузино-3 мастер </t>
  </si>
  <si>
    <t>д.Дьяконово</t>
  </si>
  <si>
    <t xml:space="preserve"> КТП Дьяконово</t>
  </si>
  <si>
    <t xml:space="preserve">КТП Овсянниково  </t>
  </si>
  <si>
    <t xml:space="preserve">КТП Воронцовский лесхоз  </t>
  </si>
  <si>
    <t xml:space="preserve">КТПП Коробово-2 ферма  </t>
  </si>
  <si>
    <t xml:space="preserve">КТПП Давыдово-5 ЗСП  </t>
  </si>
  <si>
    <t>д.Пенье</t>
  </si>
  <si>
    <t xml:space="preserve">КТП Пенье  </t>
  </si>
  <si>
    <t xml:space="preserve">КТПП Шепели-4 школа  </t>
  </si>
  <si>
    <t xml:space="preserve">КТП Слободка  </t>
  </si>
  <si>
    <t xml:space="preserve">ЗТП В.Троица-2  </t>
  </si>
  <si>
    <t xml:space="preserve">КТПП Спасское-5 школа  </t>
  </si>
  <si>
    <t>д.Уницы</t>
  </si>
  <si>
    <t xml:space="preserve">КТПП Уницы мастерские </t>
  </si>
  <si>
    <t xml:space="preserve">КТПП Зобнино-8 хранилище  </t>
  </si>
  <si>
    <t xml:space="preserve">ЗТП Леушино-5 комплекс </t>
  </si>
  <si>
    <t xml:space="preserve">КТПП Уницы насосная </t>
  </si>
  <si>
    <t>д.Щекотово</t>
  </si>
  <si>
    <t xml:space="preserve">КТП Щекотово  </t>
  </si>
  <si>
    <t>КТП Пестриково-5 ст.деревня</t>
  </si>
  <si>
    <t xml:space="preserve">ЗТП В.Троица-5  </t>
  </si>
  <si>
    <t xml:space="preserve">ЗТП В.Троица-6  </t>
  </si>
  <si>
    <t xml:space="preserve">ЗТП В.Троица-1  </t>
  </si>
  <si>
    <t xml:space="preserve">КТПП Барыково-2 контора  </t>
  </si>
  <si>
    <t>д.Сусолиха</t>
  </si>
  <si>
    <t xml:space="preserve">КТП Сусолиха-2 </t>
  </si>
  <si>
    <t>КТП Фарафоновка-1 пилорама</t>
  </si>
  <si>
    <t xml:space="preserve">ЗТП В.Троица-4  </t>
  </si>
  <si>
    <t xml:space="preserve">КТП Студеное Поле-1  </t>
  </si>
  <si>
    <t>д.Федосьино</t>
  </si>
  <si>
    <t xml:space="preserve">КТП Федосьино-Бяково  </t>
  </si>
  <si>
    <t xml:space="preserve">КТП К.Демьяновское-1  </t>
  </si>
  <si>
    <t xml:space="preserve">КТП Давыдово-2 скважина  </t>
  </si>
  <si>
    <t>д.Бузыково</t>
  </si>
  <si>
    <t xml:space="preserve">КТПП Бузыково-1 школа </t>
  </si>
  <si>
    <t xml:space="preserve">КТП Тиволино-3 мастерские  </t>
  </si>
  <si>
    <t xml:space="preserve">КТПП Фарафоновка-4 хранилище  </t>
  </si>
  <si>
    <t xml:space="preserve">КТПП Льгово-5 комплекс  </t>
  </si>
  <si>
    <t>д.Вячково</t>
  </si>
  <si>
    <t xml:space="preserve">КТП Вячково  </t>
  </si>
  <si>
    <t>д.Фалево</t>
  </si>
  <si>
    <t xml:space="preserve">КТП Фалево-1 быт  </t>
  </si>
  <si>
    <t>д.Филипищево</t>
  </si>
  <si>
    <t xml:space="preserve">КТП Филипищево-2  </t>
  </si>
  <si>
    <t xml:space="preserve">ЗТП Поповка объект связи  </t>
  </si>
  <si>
    <t xml:space="preserve">КТП Льгово-2 свинарник </t>
  </si>
  <si>
    <t xml:space="preserve">КТП Булатово-2 школа  </t>
  </si>
  <si>
    <t>д.Бакшеево</t>
  </si>
  <si>
    <t xml:space="preserve">КТП Бакшеево  </t>
  </si>
  <si>
    <t>КТПП Савцыно-2 мастерские</t>
  </si>
  <si>
    <t xml:space="preserve">ЗТП Барыково-6 комплекс  </t>
  </si>
  <si>
    <t xml:space="preserve">КТПП Спасское-2  </t>
  </si>
  <si>
    <t xml:space="preserve">КТП Большие Сетки  </t>
  </si>
  <si>
    <t xml:space="preserve">КТП Кожино  </t>
  </si>
  <si>
    <t xml:space="preserve">КТП К.Демьяновское-3 быт  </t>
  </si>
  <si>
    <t>д.Вениково</t>
  </si>
  <si>
    <t xml:space="preserve">КТП Вениково-Чагино  </t>
  </si>
  <si>
    <t>д.Гостинеж</t>
  </si>
  <si>
    <t xml:space="preserve">КТП Гостинеж  </t>
  </si>
  <si>
    <t>д.Б.Макарово</t>
  </si>
  <si>
    <t xml:space="preserve">КТП Б.Макарово </t>
  </si>
  <si>
    <t xml:space="preserve">КТП Бибиково  </t>
  </si>
  <si>
    <t>д.Дольницы</t>
  </si>
  <si>
    <t xml:space="preserve">КТП Дольницы  </t>
  </si>
  <si>
    <t xml:space="preserve">КТП Красный Бор  </t>
  </si>
  <si>
    <t xml:space="preserve">КТП Малые Сетки  </t>
  </si>
  <si>
    <t>д.Сухолом</t>
  </si>
  <si>
    <t xml:space="preserve">КТП Сухолом  </t>
  </si>
  <si>
    <t>д.Раково</t>
  </si>
  <si>
    <t xml:space="preserve">КТП Раково </t>
  </si>
  <si>
    <t>КТП К.Демьяновское-4 школа</t>
  </si>
  <si>
    <t xml:space="preserve">КТП Борки-Коляково  </t>
  </si>
  <si>
    <t>д.Нивищи</t>
  </si>
  <si>
    <t xml:space="preserve">КТП Нивищи  </t>
  </si>
  <si>
    <t>д.Шевелево</t>
  </si>
  <si>
    <t xml:space="preserve">КТП Шевелево  </t>
  </si>
  <si>
    <t>д.Харлово</t>
  </si>
  <si>
    <t xml:space="preserve">КТП Харлово  </t>
  </si>
  <si>
    <t xml:space="preserve">КТП Починки  </t>
  </si>
  <si>
    <t>д.Мостищи</t>
  </si>
  <si>
    <t xml:space="preserve">КТП Мостищи  </t>
  </si>
  <si>
    <t xml:space="preserve">КТП Карабузино-1 быт  </t>
  </si>
  <si>
    <t xml:space="preserve">КТП Козлово  </t>
  </si>
  <si>
    <t>д.Матино</t>
  </si>
  <si>
    <t xml:space="preserve"> КТП Матино</t>
  </si>
  <si>
    <t xml:space="preserve">КТПП Зеленцово-2 школа  </t>
  </si>
  <si>
    <t>д.Лобково</t>
  </si>
  <si>
    <t xml:space="preserve">КТП Лобково-1  </t>
  </si>
  <si>
    <t xml:space="preserve">КТПП Заручье-2 ферма  </t>
  </si>
  <si>
    <t xml:space="preserve">КТПП Глазатово-1  </t>
  </si>
  <si>
    <t>д.Эскино</t>
  </si>
  <si>
    <t xml:space="preserve">КТПП Эскино  </t>
  </si>
  <si>
    <t xml:space="preserve">КТПП Филипищево-3  </t>
  </si>
  <si>
    <t xml:space="preserve">КТПП Льгово-6 комплекс  </t>
  </si>
  <si>
    <t>д.Колобово</t>
  </si>
  <si>
    <t xml:space="preserve">КТП Колобово  </t>
  </si>
  <si>
    <t>д.Чупрово</t>
  </si>
  <si>
    <t xml:space="preserve">КТП Чупрово  </t>
  </si>
  <si>
    <t xml:space="preserve">КТПП Давыдово-3 мастерские  </t>
  </si>
  <si>
    <t xml:space="preserve">КТП Давыдово-1 быт  </t>
  </si>
  <si>
    <t xml:space="preserve">КТПП Фалево-3  </t>
  </si>
  <si>
    <t>д.Черемухино</t>
  </si>
  <si>
    <t xml:space="preserve">КТПП Черемухино-2 ферма  </t>
  </si>
  <si>
    <t xml:space="preserve">КТПП Стулово-4 АВМ  </t>
  </si>
  <si>
    <t xml:space="preserve">КТП Шепели-3 быт  </t>
  </si>
  <si>
    <t xml:space="preserve">КТП Раднево комплекс  </t>
  </si>
  <si>
    <t>д.Ванчугово</t>
  </si>
  <si>
    <t xml:space="preserve">КТП Ванчугово  </t>
  </si>
  <si>
    <t xml:space="preserve">КТПП Шепели-5 ферма В </t>
  </si>
  <si>
    <t xml:space="preserve">КТП Фалево-2 школа  </t>
  </si>
  <si>
    <t xml:space="preserve">КТПП Стражково-2  </t>
  </si>
  <si>
    <t>КТПП Карабузино-2 коттеджи</t>
  </si>
  <si>
    <t xml:space="preserve">КТП Славково-5 пилорама  </t>
  </si>
  <si>
    <t xml:space="preserve">КТП Лобково-2  </t>
  </si>
  <si>
    <t xml:space="preserve">КТП Покровское </t>
  </si>
  <si>
    <t xml:space="preserve">КТП Соколово  </t>
  </si>
  <si>
    <t xml:space="preserve">КТПП Коробово-5 ЗСП  </t>
  </si>
  <si>
    <t xml:space="preserve">КТП Вантеево-1-Ременницы  </t>
  </si>
  <si>
    <t xml:space="preserve">КТП Семеновское-2 ферма  </t>
  </si>
  <si>
    <t xml:space="preserve">КТП Пестриково-6 очистные  </t>
  </si>
  <si>
    <t xml:space="preserve">КТП Льгово-4 льноворошилка </t>
  </si>
  <si>
    <t xml:space="preserve">КТП Зобнино-1 жилая зона  </t>
  </si>
  <si>
    <t xml:space="preserve">КТПП Спасское-6 ск.двор  </t>
  </si>
  <si>
    <t xml:space="preserve">КТП В.Троица-3  </t>
  </si>
  <si>
    <t>д.Непотягово</t>
  </si>
  <si>
    <t xml:space="preserve">КТП Непотягово-Митрохино  </t>
  </si>
  <si>
    <t>д.Рыкулино</t>
  </si>
  <si>
    <t xml:space="preserve">КТП Рыкулино-Марково  </t>
  </si>
  <si>
    <t xml:space="preserve">КТП Маслятка-2  </t>
  </si>
  <si>
    <t>д.Письяковка</t>
  </si>
  <si>
    <t xml:space="preserve">КТП Письяковка д/сад  </t>
  </si>
  <si>
    <t xml:space="preserve"> КТП Зобнино</t>
  </si>
  <si>
    <t xml:space="preserve">КТПП Черемухино-3 быт </t>
  </si>
  <si>
    <t xml:space="preserve">КТПП Стулово-3 птичник  </t>
  </si>
  <si>
    <t xml:space="preserve">КТП Маслятка-1 быт  </t>
  </si>
  <si>
    <t xml:space="preserve">КТПП Фролово-6 ЗСП  </t>
  </si>
  <si>
    <t xml:space="preserve">КТП Письяковка быт  </t>
  </si>
  <si>
    <t xml:space="preserve">КТП Леушино-1 жилая зона  </t>
  </si>
  <si>
    <t xml:space="preserve">КТП Заводы  </t>
  </si>
  <si>
    <t>д.Четвертево</t>
  </si>
  <si>
    <t xml:space="preserve">КТП Четвертево </t>
  </si>
  <si>
    <t>д.Сипягино</t>
  </si>
  <si>
    <t xml:space="preserve">КТП Сипягино  </t>
  </si>
  <si>
    <t xml:space="preserve">КТП Студеное Поле-2  </t>
  </si>
  <si>
    <t>КТП Коробово-1 быт-Батайлово</t>
  </si>
  <si>
    <t xml:space="preserve">КТП Горбуново  </t>
  </si>
  <si>
    <t>д.Каданово</t>
  </si>
  <si>
    <t xml:space="preserve">КТП Каданово-1  </t>
  </si>
  <si>
    <t>д.Доманово</t>
  </si>
  <si>
    <t xml:space="preserve">КТП Доманово-Щапицы  </t>
  </si>
  <si>
    <t>д.Скатерка</t>
  </si>
  <si>
    <t xml:space="preserve">КТП Скатерка  </t>
  </si>
  <si>
    <t>д.Кононово</t>
  </si>
  <si>
    <t xml:space="preserve">КТП Кононово  </t>
  </si>
  <si>
    <t>д.Заворино</t>
  </si>
  <si>
    <t xml:space="preserve">КТП Заворино </t>
  </si>
  <si>
    <t xml:space="preserve">КТП Шубино  </t>
  </si>
  <si>
    <t>д.Васенево</t>
  </si>
  <si>
    <t xml:space="preserve">КТП Васенево-Бережки  </t>
  </si>
  <si>
    <t>д.Мошнино</t>
  </si>
  <si>
    <t xml:space="preserve">КТП Мошнино-Маурино  </t>
  </si>
  <si>
    <t xml:space="preserve">КТП Власьево-4 ферма  </t>
  </si>
  <si>
    <t xml:space="preserve">КТПП Стулово-2 птичник  </t>
  </si>
  <si>
    <t xml:space="preserve">КТПП Филипищево-1  </t>
  </si>
  <si>
    <t xml:space="preserve">ЗТП Путилово-3 комплекс  </t>
  </si>
  <si>
    <t>д.Ильинское</t>
  </si>
  <si>
    <t xml:space="preserve">КТП Ильинское  </t>
  </si>
  <si>
    <t xml:space="preserve">КТПП Поповка-1  </t>
  </si>
  <si>
    <t>д.Репрево</t>
  </si>
  <si>
    <t xml:space="preserve">КТП Репрево-Демидово  </t>
  </si>
  <si>
    <t xml:space="preserve">КТП Спасское-4 водокачка  </t>
  </si>
  <si>
    <t xml:space="preserve">КТП Лобково-3-Лубеньки  </t>
  </si>
  <si>
    <t>д.Дулепово</t>
  </si>
  <si>
    <t xml:space="preserve">КТП Дулепово  </t>
  </si>
  <si>
    <t xml:space="preserve">КТП Зобнино-3 водокачка </t>
  </si>
  <si>
    <t>г.Кашин</t>
  </si>
  <si>
    <t xml:space="preserve">КТП №45 служеб.дом РП  </t>
  </si>
  <si>
    <t xml:space="preserve">КТПП Давыдово-8 комплекс  </t>
  </si>
  <si>
    <t>д.Рассолово</t>
  </si>
  <si>
    <t xml:space="preserve">КТП Рассолово  </t>
  </si>
  <si>
    <t>д.Фроловское</t>
  </si>
  <si>
    <t xml:space="preserve">КТП Фроловское-Пенье  </t>
  </si>
  <si>
    <t xml:space="preserve">ЗТП Путилово-1 пром.зона  </t>
  </si>
  <si>
    <t>2х320</t>
  </si>
  <si>
    <t xml:space="preserve">КТП Хоз.нужды ПС Простор </t>
  </si>
  <si>
    <t>д.Тетьково</t>
  </si>
  <si>
    <t xml:space="preserve">ЗТП Тетьково-4  </t>
  </si>
  <si>
    <t>ЗТП Фарафоновка-5 комплекс</t>
  </si>
  <si>
    <t>2х650</t>
  </si>
  <si>
    <t xml:space="preserve">КТП Коробово-4 коттеджи </t>
  </si>
  <si>
    <t>д.Логиново</t>
  </si>
  <si>
    <t xml:space="preserve">КТП Логиново-Ивашнево </t>
  </si>
  <si>
    <t xml:space="preserve">КТП Хоз.нужды ПС Зобнино </t>
  </si>
  <si>
    <t>КТП Давыдово-6 котельная</t>
  </si>
  <si>
    <t>д.Берница</t>
  </si>
  <si>
    <t xml:space="preserve">КТП Берница </t>
  </si>
  <si>
    <t xml:space="preserve">КТПП Пестриково-3 коттеджи </t>
  </si>
  <si>
    <t xml:space="preserve">КТПП Зобнино-6 комплекс </t>
  </si>
  <si>
    <t>д.Чекмарево</t>
  </si>
  <si>
    <t xml:space="preserve">КТП Чекмарево </t>
  </si>
  <si>
    <t xml:space="preserve">КТП Фролово-4 хранилище </t>
  </si>
  <si>
    <t xml:space="preserve">КТП Бузыково-2 клуб </t>
  </si>
  <si>
    <t>д.Лучкино</t>
  </si>
  <si>
    <t xml:space="preserve">КТП Лучкино  </t>
  </si>
  <si>
    <t xml:space="preserve">КТП Семеновское </t>
  </si>
  <si>
    <t xml:space="preserve">КТП Поповка-Городище </t>
  </si>
  <si>
    <t>д.Чаплинка</t>
  </si>
  <si>
    <t xml:space="preserve">КТП Чаплинка  </t>
  </si>
  <si>
    <t>д.Турлеево</t>
  </si>
  <si>
    <t xml:space="preserve">КТП Турлеево-Андрейцево  </t>
  </si>
  <si>
    <t xml:space="preserve">КТП Осиновец  </t>
  </si>
  <si>
    <t xml:space="preserve">КТП Старые Уницы </t>
  </si>
  <si>
    <t xml:space="preserve">КТП Маринино-1 </t>
  </si>
  <si>
    <t xml:space="preserve">КТП Горки-2 дачи  </t>
  </si>
  <si>
    <t xml:space="preserve">ЗТП Уницы комплекс  </t>
  </si>
  <si>
    <t xml:space="preserve">ЗТП Уницы жилая зона  </t>
  </si>
  <si>
    <t xml:space="preserve">КТПП Бузыково-3  </t>
  </si>
  <si>
    <t xml:space="preserve">КТП Пузиково-2 хранилище  </t>
  </si>
  <si>
    <t>д.Спицино</t>
  </si>
  <si>
    <t xml:space="preserve">КТП Спицино </t>
  </si>
  <si>
    <t xml:space="preserve">ЗТП Путилово-2 деревня  </t>
  </si>
  <si>
    <t xml:space="preserve">КТПП Глазатово-2 гаражи  </t>
  </si>
  <si>
    <t xml:space="preserve">КТП Заречье </t>
  </si>
  <si>
    <t xml:space="preserve">КТП Булатово-3 жилая зона  </t>
  </si>
  <si>
    <t>д.Ватолино</t>
  </si>
  <si>
    <t xml:space="preserve">КТП Ватолино-1 </t>
  </si>
  <si>
    <t xml:space="preserve"> КТП Коробово</t>
  </si>
  <si>
    <t>д.Болотово</t>
  </si>
  <si>
    <t xml:space="preserve">КТП Болотово  </t>
  </si>
  <si>
    <t xml:space="preserve">КТП Устиново-2 </t>
  </si>
  <si>
    <t xml:space="preserve">КТП Устиново-3 ферма  </t>
  </si>
  <si>
    <t xml:space="preserve">КТПП Поповка-2  </t>
  </si>
  <si>
    <t xml:space="preserve">КТП Барыково-1 быт  </t>
  </si>
  <si>
    <t xml:space="preserve">КТП Барыково-5-Шишелово  </t>
  </si>
  <si>
    <t xml:space="preserve">КТП Стулово-3 поселок  </t>
  </si>
  <si>
    <t xml:space="preserve">КТП Маринино-3 школа  </t>
  </si>
  <si>
    <t xml:space="preserve">КТП Введенское-2 школа  </t>
  </si>
  <si>
    <t xml:space="preserve">КТП Гладышево </t>
  </si>
  <si>
    <t>д.Данилково</t>
  </si>
  <si>
    <t xml:space="preserve">КТП Данилково-2  </t>
  </si>
  <si>
    <t xml:space="preserve">КТП Данилково-1  </t>
  </si>
  <si>
    <t xml:space="preserve">КТП Стулово-1  </t>
  </si>
  <si>
    <t xml:space="preserve">КТПП Фарафоновка-3 быт  </t>
  </si>
  <si>
    <t>д.Заволжье</t>
  </si>
  <si>
    <t xml:space="preserve">КТП Заволжье  </t>
  </si>
  <si>
    <t>д.Волжанка</t>
  </si>
  <si>
    <t xml:space="preserve">КТП Волжанка  </t>
  </si>
  <si>
    <t>д.Спасс</t>
  </si>
  <si>
    <t xml:space="preserve"> КТП Спасс</t>
  </si>
  <si>
    <t>д.Шестаково</t>
  </si>
  <si>
    <t xml:space="preserve">КТП Шестаково-2  </t>
  </si>
  <si>
    <t>д.Белеутово</t>
  </si>
  <si>
    <t xml:space="preserve">КТП Белеутово  </t>
  </si>
  <si>
    <t>д.Домажино</t>
  </si>
  <si>
    <t xml:space="preserve">КТП Домажино-1  </t>
  </si>
  <si>
    <t xml:space="preserve">КТП Соколово Заречная </t>
  </si>
  <si>
    <t xml:space="preserve">КТП Горки Росстрой  </t>
  </si>
  <si>
    <t>д.Буйково</t>
  </si>
  <si>
    <t xml:space="preserve">КТП Буйково  </t>
  </si>
  <si>
    <t xml:space="preserve">КТП Булатово-1 АВМ  </t>
  </si>
  <si>
    <t>КТП10кВ Леушино-4 мастерские</t>
  </si>
  <si>
    <t xml:space="preserve">КТП Леушино-6 клуб  </t>
  </si>
  <si>
    <t>д.Малечкино</t>
  </si>
  <si>
    <t xml:space="preserve">КТП-10кВ д.Малечкино </t>
  </si>
  <si>
    <t xml:space="preserve">КТП Борихино-1 сушилка </t>
  </si>
  <si>
    <t xml:space="preserve">КТП Славково-4 ЗСП  </t>
  </si>
  <si>
    <t>д.Посады</t>
  </si>
  <si>
    <t xml:space="preserve">КТП Посады  </t>
  </si>
  <si>
    <t>д.Петровка</t>
  </si>
  <si>
    <t xml:space="preserve">КТПП Петровка  </t>
  </si>
  <si>
    <t>д.Ковырино</t>
  </si>
  <si>
    <t xml:space="preserve">КТП Алексеевское-Ковырино </t>
  </si>
  <si>
    <t xml:space="preserve">КТП База РЭС Кашин </t>
  </si>
  <si>
    <t>д.Лужки</t>
  </si>
  <si>
    <t xml:space="preserve">КТП Лужки </t>
  </si>
  <si>
    <t xml:space="preserve">КТП Новое Село </t>
  </si>
  <si>
    <t>КТП Домажино-2</t>
  </si>
  <si>
    <t>Кесовогорский</t>
  </si>
  <si>
    <t xml:space="preserve">КТП 10кВ ул. Строительная </t>
  </si>
  <si>
    <t xml:space="preserve">КТП 10кВ ИП Корчак  </t>
  </si>
  <si>
    <t>25</t>
  </si>
  <si>
    <t xml:space="preserve">КТПП 10кВ ул. Советская </t>
  </si>
  <si>
    <t xml:space="preserve">КТПП 10кВ Стадион </t>
  </si>
  <si>
    <t xml:space="preserve">КТП 10кВ Льносемстанция </t>
  </si>
  <si>
    <t xml:space="preserve">КТП 10кВ ул. Садовая </t>
  </si>
  <si>
    <t xml:space="preserve">КТП 10кВ Агропромбанк </t>
  </si>
  <si>
    <t xml:space="preserve">КТПП 10кВ ул. Тверская </t>
  </si>
  <si>
    <t xml:space="preserve">КТП 10кВ Продмаг </t>
  </si>
  <si>
    <t xml:space="preserve">КТП 10кВ Грачи </t>
  </si>
  <si>
    <t xml:space="preserve">КТП 10кВ Фролово </t>
  </si>
  <si>
    <t xml:space="preserve">КТП 10кВ Нешуткино </t>
  </si>
  <si>
    <t>д.Бычково</t>
  </si>
  <si>
    <t xml:space="preserve">КТП 10кВ Бычково </t>
  </si>
  <si>
    <t xml:space="preserve">КТПП 10кВ Петровское мастер </t>
  </si>
  <si>
    <t xml:space="preserve">КТП 10кВ Подъелки </t>
  </si>
  <si>
    <t xml:space="preserve">КТП 10кВ Якирево </t>
  </si>
  <si>
    <t>КТП 10кВ Доншаково</t>
  </si>
  <si>
    <t>д.Бобровка</t>
  </si>
  <si>
    <t xml:space="preserve">КТП 10кВ Бобровка ФКРС </t>
  </si>
  <si>
    <t>д.Таскаиха</t>
  </si>
  <si>
    <t xml:space="preserve">КТП 10кВ Таскаиха </t>
  </si>
  <si>
    <t xml:space="preserve">КТП 10кВ Федово </t>
  </si>
  <si>
    <t xml:space="preserve">КТП 10кВ Олочино Лаврово </t>
  </si>
  <si>
    <t xml:space="preserve">КТП 10кВ Никулино </t>
  </si>
  <si>
    <t xml:space="preserve">КТП 10кВ Гребни </t>
  </si>
  <si>
    <t xml:space="preserve">КТП 10кВ Горка Максимовская  </t>
  </si>
  <si>
    <t xml:space="preserve">КТПП 10кВ Никольское ПСЛВ </t>
  </si>
  <si>
    <t xml:space="preserve">КТП 10кВ Игольники  ферма </t>
  </si>
  <si>
    <t xml:space="preserve">КТП 10кВ Смутиха </t>
  </si>
  <si>
    <t xml:space="preserve">КТП 10кВ Никольское быт </t>
  </si>
  <si>
    <t xml:space="preserve">КТП 10кВ Никольское ФКРС </t>
  </si>
  <si>
    <t xml:space="preserve">КТП 10кВ Ширятская горка </t>
  </si>
  <si>
    <t xml:space="preserve">КТП 10кВ Гребни мастерск. </t>
  </si>
  <si>
    <t xml:space="preserve">КТП 10кВ Тетерино </t>
  </si>
  <si>
    <t xml:space="preserve">КТП 10кВ Игольники быт </t>
  </si>
  <si>
    <t xml:space="preserve">КТП 10кВ Бобровка быт </t>
  </si>
  <si>
    <t xml:space="preserve">КТПП 10кВ Никольское ЗСП </t>
  </si>
  <si>
    <t xml:space="preserve">КТП 10кВ Поповка Мещера </t>
  </si>
  <si>
    <t xml:space="preserve">КТП 10кВ Стрелки-Дягилево </t>
  </si>
  <si>
    <t>д.Васильково</t>
  </si>
  <si>
    <t xml:space="preserve">КТП 10кВ Васильково </t>
  </si>
  <si>
    <t xml:space="preserve">КТП 10кВ Власьево </t>
  </si>
  <si>
    <t xml:space="preserve">КТП 10кВ Золотково Болково </t>
  </si>
  <si>
    <t xml:space="preserve">КТП 10кВ Петровское комплекс </t>
  </si>
  <si>
    <t xml:space="preserve">КТП 10кВ Петровское пилорама </t>
  </si>
  <si>
    <t xml:space="preserve">КТП 10кВ Петровское-быт </t>
  </si>
  <si>
    <t xml:space="preserve">КТП 10кВ Глухово Дурасово </t>
  </si>
  <si>
    <t xml:space="preserve">КТП 10кВ Рождествено  </t>
  </si>
  <si>
    <t xml:space="preserve">КТП 10кВ Усаты </t>
  </si>
  <si>
    <t xml:space="preserve">КТП 10кВ Полузьево </t>
  </si>
  <si>
    <t xml:space="preserve">КТП 10кВ Маурино  </t>
  </si>
  <si>
    <t xml:space="preserve">КТП 10кВ Лемехово </t>
  </si>
  <si>
    <t xml:space="preserve">КТПП 10кВ Федцово Ком-быт  </t>
  </si>
  <si>
    <t xml:space="preserve">КТП 10кВ Плющево </t>
  </si>
  <si>
    <t xml:space="preserve">КТП 10кВ Федцово Жилзона </t>
  </si>
  <si>
    <t xml:space="preserve">КТП 10кВ Подосиновка </t>
  </si>
  <si>
    <t xml:space="preserve">КТП 10кВ Роща </t>
  </si>
  <si>
    <t xml:space="preserve">КТПП 10кВ Страхиново фер, быт </t>
  </si>
  <si>
    <t xml:space="preserve">КТП 10кВ Суходол ФКРС </t>
  </si>
  <si>
    <t xml:space="preserve">КТП 10кВ Суходол быт </t>
  </si>
  <si>
    <t xml:space="preserve">КТПП 10кВ Страхиново ЗСП </t>
  </si>
  <si>
    <t xml:space="preserve">КТП 10кВ Кухтино </t>
  </si>
  <si>
    <t xml:space="preserve">КТПП 10кВ ул. Комсомольская </t>
  </si>
  <si>
    <t xml:space="preserve">КТП 10кВ ул Бубново </t>
  </si>
  <si>
    <t xml:space="preserve">КТП 10кВ Хоз.нужды </t>
  </si>
  <si>
    <t xml:space="preserve">КТП 10кВ Лбовские хут быт </t>
  </si>
  <si>
    <t xml:space="preserve">КТП 10кВ Лбово </t>
  </si>
  <si>
    <t xml:space="preserve">КТП 10кВ Брылино </t>
  </si>
  <si>
    <t xml:space="preserve">КТП 10кВ Фенево быт </t>
  </si>
  <si>
    <t xml:space="preserve">КТП 10кВ Бровцино </t>
  </si>
  <si>
    <t xml:space="preserve">КТП 10кВ Дубово </t>
  </si>
  <si>
    <t xml:space="preserve">КТП 10кВ Козлиха </t>
  </si>
  <si>
    <t xml:space="preserve">КТП 10кВ Фенево комплекс </t>
  </si>
  <si>
    <t xml:space="preserve">КТП 10кВ Порядино мастер </t>
  </si>
  <si>
    <t xml:space="preserve">КТПП 10кВ Лбовские хут ЗСП </t>
  </si>
  <si>
    <t xml:space="preserve">КТП 10кВ Порядино быт </t>
  </si>
  <si>
    <t xml:space="preserve">КТП 10кВ Фенево дом вет. </t>
  </si>
  <si>
    <t xml:space="preserve">КТПП 10кВ Брылино Комплекс </t>
  </si>
  <si>
    <t>д.Каюшево</t>
  </si>
  <si>
    <t>КТП 10кВ Каюшево</t>
  </si>
  <si>
    <t xml:space="preserve">КТП 10кВ Новоборисково </t>
  </si>
  <si>
    <t xml:space="preserve">КТП 10кВ Лукьяново </t>
  </si>
  <si>
    <t xml:space="preserve">КТП 10кВ Ежиха </t>
  </si>
  <si>
    <t xml:space="preserve">КТП 10кВ Нововведенское </t>
  </si>
  <si>
    <t xml:space="preserve">КТП 10кВ Рябиновка </t>
  </si>
  <si>
    <t xml:space="preserve">КТП 10кВ Якшино-Деревенька быт </t>
  </si>
  <si>
    <t xml:space="preserve">КТП 10кВ Алофеево </t>
  </si>
  <si>
    <t xml:space="preserve">КТП 10кВ Бокарево </t>
  </si>
  <si>
    <t>д.Степандино</t>
  </si>
  <si>
    <t xml:space="preserve">КТП 10кВ Степандино </t>
  </si>
  <si>
    <t xml:space="preserve">КТПП 10кВ Марьино </t>
  </si>
  <si>
    <t xml:space="preserve">КТП 10кВ Хорышево </t>
  </si>
  <si>
    <t xml:space="preserve">КТПП 10кВ Стрелиха комплекс  </t>
  </si>
  <si>
    <t xml:space="preserve">КТП 10кВ Староборисково  </t>
  </si>
  <si>
    <t xml:space="preserve">КТП 10кВ Медведное </t>
  </si>
  <si>
    <t xml:space="preserve">КТП 10кВ Матвеевское школа </t>
  </si>
  <si>
    <t xml:space="preserve">КТПП 10кВ Стрелиха мастерские </t>
  </si>
  <si>
    <t xml:space="preserve">КТП 10кВ Якшино-Деревень фкрс </t>
  </si>
  <si>
    <t xml:space="preserve">КТПП 10кВ Борисовское  </t>
  </si>
  <si>
    <t xml:space="preserve">КТПП 10кВ Коськово </t>
  </si>
  <si>
    <t xml:space="preserve">КТПП 10кВ Матвеевское ферма </t>
  </si>
  <si>
    <t xml:space="preserve">КТП 10кВ Погорелка </t>
  </si>
  <si>
    <t xml:space="preserve">КТП 10кВ Сафоново-Чириково  </t>
  </si>
  <si>
    <t xml:space="preserve">КТП 10кВ Высокое </t>
  </si>
  <si>
    <t xml:space="preserve">КТП 10кВ Игнашево-Малино </t>
  </si>
  <si>
    <t xml:space="preserve">КТП 10кВ Латыгино </t>
  </si>
  <si>
    <t xml:space="preserve">КТП 10кВ Семеновское </t>
  </si>
  <si>
    <t xml:space="preserve">КТП 10кВ Федцово мастер. </t>
  </si>
  <si>
    <t>д.Федцово</t>
  </si>
  <si>
    <t xml:space="preserve">КТПП 10кВ Федцово ЗСП </t>
  </si>
  <si>
    <t xml:space="preserve">КТПП 10кВ Федцово Жив.компл </t>
  </si>
  <si>
    <t>д.Левашово</t>
  </si>
  <si>
    <t>КТП 10кВ Левашово</t>
  </si>
  <si>
    <t xml:space="preserve">КТП 10кВ Погорелово </t>
  </si>
  <si>
    <t xml:space="preserve">КТП 10кВ Уварово </t>
  </si>
  <si>
    <t xml:space="preserve">КТП 10кВ Кошелево ферма </t>
  </si>
  <si>
    <t xml:space="preserve">КТП 10кВ Березовец </t>
  </si>
  <si>
    <t xml:space="preserve">КТП 10кВ Галибино ферма </t>
  </si>
  <si>
    <t xml:space="preserve">КТП 10кВ Поречье Забелино </t>
  </si>
  <si>
    <t xml:space="preserve">КТП 10кВ Поречье  </t>
  </si>
  <si>
    <t xml:space="preserve">КТП 10кВ Трясцино </t>
  </si>
  <si>
    <t xml:space="preserve">КТП 10кВ Галибино </t>
  </si>
  <si>
    <t xml:space="preserve">КТП 10кВ Кошелево-быт </t>
  </si>
  <si>
    <t xml:space="preserve">КТП 10кВ Болдырево </t>
  </si>
  <si>
    <t xml:space="preserve">КТП 10кВ Коченово </t>
  </si>
  <si>
    <t xml:space="preserve">КТП 10кВ Ростовцево Изоево </t>
  </si>
  <si>
    <t xml:space="preserve">КТП 10кВ Жуково </t>
  </si>
  <si>
    <t xml:space="preserve">КТПП 10кВ Кошелево ЗСП </t>
  </si>
  <si>
    <t xml:space="preserve">КТП 10кВ Кружково </t>
  </si>
  <si>
    <t xml:space="preserve">КТП 10кВ Турынино  </t>
  </si>
  <si>
    <t xml:space="preserve">КТПП 10кВ Воробьево </t>
  </si>
  <si>
    <t xml:space="preserve">КТП 10кВ Деревенское </t>
  </si>
  <si>
    <t xml:space="preserve">КТП 10кВ Никольское быт  </t>
  </si>
  <si>
    <t>д.Васьково</t>
  </si>
  <si>
    <t xml:space="preserve">КТП 10кВ Васьково быт </t>
  </si>
  <si>
    <t xml:space="preserve">КТП 10кВ Васьково ферма </t>
  </si>
  <si>
    <t xml:space="preserve">КТП 10кВ Максяево </t>
  </si>
  <si>
    <t>д.Ошейкино</t>
  </si>
  <si>
    <t xml:space="preserve">КТП 10кВ Ошейкино </t>
  </si>
  <si>
    <t xml:space="preserve">КТПП 10кВ Матвеевское   </t>
  </si>
  <si>
    <t xml:space="preserve">КТПП 10кВ Никольское ФКРС </t>
  </si>
  <si>
    <t xml:space="preserve">КТП 10кВ Кульнево  быт </t>
  </si>
  <si>
    <t xml:space="preserve">КТП 10кВ Кульнево ферма  </t>
  </si>
  <si>
    <t xml:space="preserve">КТП 10кВ Матвеевское быт </t>
  </si>
  <si>
    <t xml:space="preserve">КТП 10кВ Павловское </t>
  </si>
  <si>
    <t xml:space="preserve">КТПП 10кВ Никольское Детсад </t>
  </si>
  <si>
    <t xml:space="preserve">КТП 10кВ Деньково </t>
  </si>
  <si>
    <t xml:space="preserve">КТП 10кВ Карабузино </t>
  </si>
  <si>
    <t xml:space="preserve">КТП 10кВ Селиверстово быт </t>
  </si>
  <si>
    <t xml:space="preserve">КТП 10кВ Селиверстово ферма </t>
  </si>
  <si>
    <t xml:space="preserve">КТП 10кВ Васьково мастерск. </t>
  </si>
  <si>
    <t xml:space="preserve">КТП 10кВ Ромашино </t>
  </si>
  <si>
    <t>д.Лискино</t>
  </si>
  <si>
    <t xml:space="preserve">КТП 10кВ Лискино </t>
  </si>
  <si>
    <t>КТП 10кВ ул. Набережная</t>
  </si>
  <si>
    <t xml:space="preserve">КТП 10кВ ул Высокая </t>
  </si>
  <si>
    <t xml:space="preserve">КТП 10кВ База Птицефабрики </t>
  </si>
  <si>
    <t xml:space="preserve">КТП 10кВ Звездино </t>
  </si>
  <si>
    <t>п.Речной</t>
  </si>
  <si>
    <t xml:space="preserve">КТП 10кВ Речной </t>
  </si>
  <si>
    <t>д.Елисеево</t>
  </si>
  <si>
    <t xml:space="preserve">КТПП 10кВ Елисеево быт </t>
  </si>
  <si>
    <t>д.Баждеры</t>
  </si>
  <si>
    <t xml:space="preserve">КТП 10кВ Баждеры </t>
  </si>
  <si>
    <t xml:space="preserve">КТП 10кВ Гущино </t>
  </si>
  <si>
    <t xml:space="preserve">КТП 10кВ Юбилейная </t>
  </si>
  <si>
    <t xml:space="preserve">КТП 10кВ База РЭС </t>
  </si>
  <si>
    <t xml:space="preserve">КТП 10кВ Елисеево клуб </t>
  </si>
  <si>
    <t xml:space="preserve">КТПП 10кВ Зав.Горка КЗС </t>
  </si>
  <si>
    <t xml:space="preserve">КТП 10кВ Завид-я горка пилор. </t>
  </si>
  <si>
    <t xml:space="preserve">КТПП 10кВ Старово </t>
  </si>
  <si>
    <t xml:space="preserve">КТПП 10кВ Елисеево АВМ </t>
  </si>
  <si>
    <t xml:space="preserve">КТПП 10кВ Завид-я горка ферма </t>
  </si>
  <si>
    <t xml:space="preserve">КТПП 10кВ Демшино </t>
  </si>
  <si>
    <t xml:space="preserve">КТП 10кВ Завид-я горка быт </t>
  </si>
  <si>
    <t xml:space="preserve">КТПП 10кВ Елисеево ферма </t>
  </si>
  <si>
    <t xml:space="preserve">КТПП 10кВ Василисово </t>
  </si>
  <si>
    <t xml:space="preserve">КТП 10кВ Растригино </t>
  </si>
  <si>
    <t xml:space="preserve">КТП 10кВ Завид-я горка мастер </t>
  </si>
  <si>
    <t>КТП 10кВ Вязовец</t>
  </si>
  <si>
    <t xml:space="preserve">КТП 10кВ Байково </t>
  </si>
  <si>
    <t xml:space="preserve">КТП 10кВ Далеки </t>
  </si>
  <si>
    <t xml:space="preserve">КТП 10кВ Глинники </t>
  </si>
  <si>
    <t xml:space="preserve">КТП 10кВ Мартыница </t>
  </si>
  <si>
    <t xml:space="preserve">КТП 10кВ Сутоки </t>
  </si>
  <si>
    <t>д.Столбово</t>
  </si>
  <si>
    <t xml:space="preserve">КТП 10кВ Столбово быт  </t>
  </si>
  <si>
    <t xml:space="preserve">КТП 10кВ Поцепы ФКРС  </t>
  </si>
  <si>
    <t xml:space="preserve">КТПП 10кВ Столбово  </t>
  </si>
  <si>
    <t xml:space="preserve">КТП 10кВ Лисково мастерские </t>
  </si>
  <si>
    <t xml:space="preserve">КТП 10кВ Ильинское </t>
  </si>
  <si>
    <t xml:space="preserve">КТПП 10кВ Лисково школа </t>
  </si>
  <si>
    <t xml:space="preserve">КТПП 10кВ Поцепы </t>
  </si>
  <si>
    <t xml:space="preserve">КТПП 10кВ Лисково ПСЛВ </t>
  </si>
  <si>
    <t xml:space="preserve">КТП 10кВ Радухово </t>
  </si>
  <si>
    <t xml:space="preserve">КТП 10кВ Лисково быт </t>
  </si>
  <si>
    <t xml:space="preserve">КТП 10кВ Захарьино </t>
  </si>
  <si>
    <t xml:space="preserve">КТП 10кВ Лазарьково </t>
  </si>
  <si>
    <t xml:space="preserve">КТП 10кВ Коровкино  </t>
  </si>
  <si>
    <t>Андреапольский</t>
  </si>
  <si>
    <t>10/0,4 кВ КТП Бологово6</t>
  </si>
  <si>
    <t>10/0,4 кВ КТП Бологово5</t>
  </si>
  <si>
    <t>10/0,4 кВ КТП Бологово8</t>
  </si>
  <si>
    <t>10/0,4 кВ КТП Немково1</t>
  </si>
  <si>
    <t>10/0,4 кВ КТП Петрово</t>
  </si>
  <si>
    <t>10/0,4 кВ КТП Больница7</t>
  </si>
  <si>
    <t>10/0,4 кВ КТП Бологово3</t>
  </si>
  <si>
    <t>10/0,4кВ КТП Выползово1</t>
  </si>
  <si>
    <t>д.Выползово</t>
  </si>
  <si>
    <t>10/0,4кВ КТП Выползово2</t>
  </si>
  <si>
    <t>10/0,4кВ КТП Горицы2</t>
  </si>
  <si>
    <t>10/0,4кВКТП Горицы3</t>
  </si>
  <si>
    <t>10/0,4кВ КТП Горицы4</t>
  </si>
  <si>
    <t>10/0,4кВ КТП Горицы5</t>
  </si>
  <si>
    <t>10/0,4кВ КТП Гущино</t>
  </si>
  <si>
    <t>10/0,4кВ КТП Дядькино</t>
  </si>
  <si>
    <t>10/0,4кВ КТП Заборовье</t>
  </si>
  <si>
    <t>10/0,4кВ КТП Конаи</t>
  </si>
  <si>
    <t>10/0,4кВ КТП Ломинское</t>
  </si>
  <si>
    <t>10/0,4кВ КТП Бологовский участок</t>
  </si>
  <si>
    <t>10/0,4кВ КТП Бологово4</t>
  </si>
  <si>
    <t>10/0,4кВ КТП Болотово1</t>
  </si>
  <si>
    <t>10/0,4кВ КТП Болотово3</t>
  </si>
  <si>
    <t>10/0,4кВ КТП Болотово4</t>
  </si>
  <si>
    <t>10/0,4кВ КТП Паршино1</t>
  </si>
  <si>
    <t>10/0,4кВ КТП Паршино3</t>
  </si>
  <si>
    <t>10/0,4кВ КТП Внуково1</t>
  </si>
  <si>
    <t>10/0,4кВ КТП Екатеринино</t>
  </si>
  <si>
    <t>10/0,4кВ КТП Крючково1</t>
  </si>
  <si>
    <t>10/0,4кВ КТП Крючково2</t>
  </si>
  <si>
    <t>10/0,4кВ КТП Крючково3</t>
  </si>
  <si>
    <t>10/0,4кВ КТП Крючково4</t>
  </si>
  <si>
    <t>10/0,4кВ КТП Мылохово1</t>
  </si>
  <si>
    <t>10/0,4кВ КТП Мылохово2</t>
  </si>
  <si>
    <t>10/0,4кВ КТП Мякишево1</t>
  </si>
  <si>
    <t>10/0,4кВ КТП Мякишево2</t>
  </si>
  <si>
    <t>10/0,4кВ КТП Мякишево3</t>
  </si>
  <si>
    <t>10/0,4кВ КТП Плешково</t>
  </si>
  <si>
    <t>10/0,4кВ КТП Роголево</t>
  </si>
  <si>
    <t>10/0,4кВ КТП Семеновское</t>
  </si>
  <si>
    <t>10/0,4кВ КТП Акатово</t>
  </si>
  <si>
    <t>10/0,4кВ КТП Алексеевское</t>
  </si>
  <si>
    <t>10/0,4кВ КТП Жоготово</t>
  </si>
  <si>
    <t>10/0,4кВ КТП Кунавино-1</t>
  </si>
  <si>
    <t>10/0,4кВ КТП Паново</t>
  </si>
  <si>
    <t>10/0,4кВ КТП Яновище</t>
  </si>
  <si>
    <t>10/0,4кВ КТП Воскресенское-1</t>
  </si>
  <si>
    <t>10/0,4кВ КТП Воскресенское-2</t>
  </si>
  <si>
    <t>10/0,4кВ КТП Орехово</t>
  </si>
  <si>
    <t>10/0,4кВ КТП Лутки</t>
  </si>
  <si>
    <t>10/0,4кВ КТП Хотилицы -1</t>
  </si>
  <si>
    <t>10/0,4кВ КТП Хотилицы -2</t>
  </si>
  <si>
    <t>10/0,4кВ КТП Хотилицы -7</t>
  </si>
  <si>
    <t>10/0,4кВ КТП Хотилицы -10</t>
  </si>
  <si>
    <t>10/0,4кВ  КТП База участка РЭС</t>
  </si>
  <si>
    <t>10/0,4кВ КТП Горки</t>
  </si>
  <si>
    <t>10/0,4кВ КТП Поспелое</t>
  </si>
  <si>
    <t>10/0,4кВ КТП Пашково</t>
  </si>
  <si>
    <t>10/0,4кВ КТП Зеленогорское</t>
  </si>
  <si>
    <t>10/0,4кВ КТП Монино</t>
  </si>
  <si>
    <t>10/0,4кВ КТП Мошки</t>
  </si>
  <si>
    <t>10/0,4кВ КТП Белавино</t>
  </si>
  <si>
    <t>10/0,4кВ КТП Симонка</t>
  </si>
  <si>
    <t>10/0,4кВ КТП Хотилицы -4</t>
  </si>
  <si>
    <t>10/0,4кВ КТП Хотилицы -9</t>
  </si>
  <si>
    <t>10/0,4кВ КТП Спиридово-2</t>
  </si>
  <si>
    <t>10/0,4кВ КТП Спиридово-3</t>
  </si>
  <si>
    <t>10/0,4кВ КТП Воскресенское-4</t>
  </si>
  <si>
    <t>10/0,4кВ КТП Филипово</t>
  </si>
  <si>
    <t>10/0,4кВ КТП Ручьи</t>
  </si>
  <si>
    <t>10/0,4кВ КТП Желено</t>
  </si>
  <si>
    <t>10/0,4кВ КТП Горняя</t>
  </si>
  <si>
    <t>10/0,4кВ КТП Заселица</t>
  </si>
  <si>
    <t>10/0,4кВ КТП Бели</t>
  </si>
  <si>
    <t>10/0,4кВ КТП Курцево</t>
  </si>
  <si>
    <t>10/0,4кВ КТП Козлово Село</t>
  </si>
  <si>
    <t>10/0,4кВ КТП Торопацы-2</t>
  </si>
  <si>
    <t>10/0,4кВ КТП Торопацы-3</t>
  </si>
  <si>
    <t>10/0,4кВ КТП Торопацы-4</t>
  </si>
  <si>
    <t>10/0,4кВ КТП Лапочи</t>
  </si>
  <si>
    <t>10/0,4кВ КТП Пожар</t>
  </si>
  <si>
    <t>10/0,4кВ КТП Стоякино</t>
  </si>
  <si>
    <t>10/0,4кВ МТП Борок</t>
  </si>
  <si>
    <t>10/0,4кВ КТП Малахово</t>
  </si>
  <si>
    <t>10/0,4кВ КТП Шатино</t>
  </si>
  <si>
    <t>10/0,4кВ КТП Волок3</t>
  </si>
  <si>
    <t>10/0,4кВ КТП Синьково</t>
  </si>
  <si>
    <t>10/0,4кВ КТП Кузнецово</t>
  </si>
  <si>
    <t>10/0,4кВ КТП Микшино1</t>
  </si>
  <si>
    <t>10/0,4кВ КТП Дачи</t>
  </si>
  <si>
    <t>10/0,4кВ КТП Крест</t>
  </si>
  <si>
    <t>10/0,4кВ КТП Песчаха</t>
  </si>
  <si>
    <t>10/0,4кВ КТП Волок2</t>
  </si>
  <si>
    <t>10/0,4кВ КТП Волок4</t>
  </si>
  <si>
    <t>10/0,4кВ КТП Андроново1</t>
  </si>
  <si>
    <t>10/0,4кВ КТП Андроново2</t>
  </si>
  <si>
    <t>10/0,4кВ КТП Заноги</t>
  </si>
  <si>
    <t>10/0,4кВ КТП Быстри</t>
  </si>
  <si>
    <t>10/0,4кВ КТП Стеклино</t>
  </si>
  <si>
    <t>10/0,4кВ КТП Боталы</t>
  </si>
  <si>
    <t>10/0,4кВ МТП Ям</t>
  </si>
  <si>
    <t>10/0,4кВ КТП Дмитрово2</t>
  </si>
  <si>
    <t>10/0,4кВ КТП Любино1</t>
  </si>
  <si>
    <t>10/0,4кВ КТП Любино2</t>
  </si>
  <si>
    <t>10/0,4кВ КТП Любино4</t>
  </si>
  <si>
    <t>10/0,4кВ КТП Борзово</t>
  </si>
  <si>
    <t>10/0,4кВ КТП Шарыгино</t>
  </si>
  <si>
    <t>10/0,4кВ МТП Новоследово</t>
  </si>
  <si>
    <t>10/0,4кВ КТП Пестово</t>
  </si>
  <si>
    <t>10/0,4кВ КТП Заболотье</t>
  </si>
  <si>
    <t>10/0,4кВ КТП Скудино</t>
  </si>
  <si>
    <t>10/0,4кВ КТП Речка</t>
  </si>
  <si>
    <t>10/0,4кВ КТП Аксёново1</t>
  </si>
  <si>
    <t>10/0,4кВ КТП Аксёново3</t>
  </si>
  <si>
    <t>10/0,4кВ КТП Аксёново4</t>
  </si>
  <si>
    <t>10/0,4кВ КТП Курово-1</t>
  </si>
  <si>
    <t>10/0,4кВ КТП Курово-2</t>
  </si>
  <si>
    <t>10/0,4кВ КТП Чернево</t>
  </si>
  <si>
    <t>10/0,4кВ КТП Кремено</t>
  </si>
  <si>
    <t>10/0,4кВ КТП Обруб</t>
  </si>
  <si>
    <t>10/0,4кВ КТП База РЭС</t>
  </si>
  <si>
    <t>10/0,4кВ   КТП Чечетово</t>
  </si>
  <si>
    <t>10/0,4кВ КТП Плаксино</t>
  </si>
  <si>
    <t>10/0,4кВ КТП Дорофеево</t>
  </si>
  <si>
    <t>10/0,4кВ КТП Молодушкино</t>
  </si>
  <si>
    <t>10/0,4кВ КТП Трепалево-1</t>
  </si>
  <si>
    <t>10/0,4кВ КТП Трепалево-2</t>
  </si>
  <si>
    <t>10/0,4кВ КТП Луги-1</t>
  </si>
  <si>
    <t>10/0,4кВ 3ТП Луги-2</t>
  </si>
  <si>
    <t>10/0,4кВ КТП Алексино</t>
  </si>
  <si>
    <t>10/0,4кВ КТП Ямищи</t>
  </si>
  <si>
    <t>10/0,4кВ КТП Величково</t>
  </si>
  <si>
    <t>10/0,4кВ МТП Амосово</t>
  </si>
  <si>
    <t>10/0,4кВ КТП Голенищево</t>
  </si>
  <si>
    <t>10/0,4кВ КТП Ревякино</t>
  </si>
  <si>
    <t>10/0,4кВ КТП Гречишниково</t>
  </si>
  <si>
    <t>10/0,4кВ КТП Петрочиха</t>
  </si>
  <si>
    <t>10/0,4кВ КТП Тимонькино-1</t>
  </si>
  <si>
    <t>10/0,4кВ КТП Тимонькино-2</t>
  </si>
  <si>
    <t>10/0,4кВ КТП Тимонькино-5</t>
  </si>
  <si>
    <t>10/0,4кВ КТП Баранька</t>
  </si>
  <si>
    <t xml:space="preserve">10/0,4кВ КТП Загоскот </t>
  </si>
  <si>
    <t>10/0,4кВ КТП Роженка</t>
  </si>
  <si>
    <t>10/0,4кВ КТП Рогово-1</t>
  </si>
  <si>
    <t>10/0,4кВ КТП Рогово-2</t>
  </si>
  <si>
    <t>10/0,4кВ КТП Рогово-3</t>
  </si>
  <si>
    <t>10/0,4кВ КТП Рогово-4</t>
  </si>
  <si>
    <t>10/0,4кВ КТП Рогово-6</t>
  </si>
  <si>
    <t>10/0,4кВ КТП РЭС жил. дома</t>
  </si>
  <si>
    <t>10/0,4кВ КТП Горгаз</t>
  </si>
  <si>
    <t>10/0,4кВ КТП СББЖ</t>
  </si>
  <si>
    <t>10/0,4кВ КТП Кленица</t>
  </si>
  <si>
    <t>10/0,4кВ КТП Студеница-1</t>
  </si>
  <si>
    <t>10/0,4кВ КТП Студеница-2</t>
  </si>
  <si>
    <t>10/0,4кВ КТП Студеница-3</t>
  </si>
  <si>
    <t>10/0,4кВ КТП Замошье</t>
  </si>
  <si>
    <t>10/0,4кВ КТП Жуково</t>
  </si>
  <si>
    <t>10/0,4кВ КТП Баканово</t>
  </si>
  <si>
    <t>10/0,4кВ КТП Подберезье</t>
  </si>
  <si>
    <t>10/0,4кВ КТП Костюшено-2</t>
  </si>
  <si>
    <t>10/0,4кВ КТП Бобровец</t>
  </si>
  <si>
    <t>10/0,4кВ МТП Заозерье</t>
  </si>
  <si>
    <t>10/0,4кВ МТП Кордон</t>
  </si>
  <si>
    <t>10/0,4кВ КТП Дешково</t>
  </si>
  <si>
    <t>10/0,4кВ КТП Соболево</t>
  </si>
  <si>
    <t>10/0,4кВ КТП Беново</t>
  </si>
  <si>
    <t>10/0,4кВ КТП Гусары</t>
  </si>
  <si>
    <t>10/0,4кВ КТП Гл. лог</t>
  </si>
  <si>
    <t>д.Ерохино</t>
  </si>
  <si>
    <t>10/0,4кВ КТП Ерохино</t>
  </si>
  <si>
    <t xml:space="preserve">10/0,4кВ КТП Синичено </t>
  </si>
  <si>
    <t>10/0,4кВ КТП Лубенкино</t>
  </si>
  <si>
    <t>10/0,4кВ КТП Козлово-1</t>
  </si>
  <si>
    <t>10/0,4кВ КТП Козлово-3</t>
  </si>
  <si>
    <t>10/0,4кВ КТП Козлово-5</t>
  </si>
  <si>
    <t>10/0,4кВ КТП Козлово-6</t>
  </si>
  <si>
    <t>10/0,4кВ КТП Козлово-7</t>
  </si>
  <si>
    <t>10/0,4кВ КТП Церковище</t>
  </si>
  <si>
    <t>10/0,4кВ КТП Ключевое</t>
  </si>
  <si>
    <t>д.Прямушенки</t>
  </si>
  <si>
    <t>10/0,4кВ МТП Прямушенки</t>
  </si>
  <si>
    <t>10/0,4кВ КТП Подвязье</t>
  </si>
  <si>
    <t>10/0,4кВ КТП Копытово</t>
  </si>
  <si>
    <t>10/0,4кВ РП-ТП ЗТП В.городок</t>
  </si>
  <si>
    <t>10/0,4кВ  ЗТП В.городок-1</t>
  </si>
  <si>
    <t xml:space="preserve">10/0,4кВ   ЗТП В.городок-2 </t>
  </si>
  <si>
    <t xml:space="preserve">10/0,4кВ  ЗТП В.городок-3 </t>
  </si>
  <si>
    <t xml:space="preserve">10/0,4кВ  ЗТП В.городок-4 </t>
  </si>
  <si>
    <t xml:space="preserve">10/0,4кВ  ЗТП В.городок-5 </t>
  </si>
  <si>
    <t>п.Жарковский</t>
  </si>
  <si>
    <t>Жарковский</t>
  </si>
  <si>
    <t>ТП 002</t>
  </si>
  <si>
    <t xml:space="preserve">ТП 003 </t>
  </si>
  <si>
    <t xml:space="preserve">ТП 004 </t>
  </si>
  <si>
    <t>д.Барсуки</t>
  </si>
  <si>
    <t xml:space="preserve">ТП 007  </t>
  </si>
  <si>
    <t>д.Кривая</t>
  </si>
  <si>
    <t xml:space="preserve">ТП 008 </t>
  </si>
  <si>
    <t>ТП 011</t>
  </si>
  <si>
    <t>ЗТП 012</t>
  </si>
  <si>
    <t xml:space="preserve">ТП 013 </t>
  </si>
  <si>
    <t xml:space="preserve">ЗТПП 015 </t>
  </si>
  <si>
    <t xml:space="preserve">ЗТПП 016 </t>
  </si>
  <si>
    <t xml:space="preserve">ЗТПП 017 </t>
  </si>
  <si>
    <t xml:space="preserve">ТП 018 </t>
  </si>
  <si>
    <t xml:space="preserve">ТП 019 </t>
  </si>
  <si>
    <t xml:space="preserve">ТП 020 </t>
  </si>
  <si>
    <t>ТП 021</t>
  </si>
  <si>
    <t xml:space="preserve">ТП 023 </t>
  </si>
  <si>
    <t xml:space="preserve">ТП 025 </t>
  </si>
  <si>
    <t>д.Гряда</t>
  </si>
  <si>
    <t xml:space="preserve">ТП 027 </t>
  </si>
  <si>
    <t>д.Ижорино</t>
  </si>
  <si>
    <t xml:space="preserve">ТП 028 </t>
  </si>
  <si>
    <t>д.Вороны</t>
  </si>
  <si>
    <t xml:space="preserve">ТП 029 </t>
  </si>
  <si>
    <t>д.Ц.Усадьба</t>
  </si>
  <si>
    <t xml:space="preserve">ТП 030 </t>
  </si>
  <si>
    <t>ТП 031</t>
  </si>
  <si>
    <t>д.Агеево</t>
  </si>
  <si>
    <t xml:space="preserve">ТП 032 </t>
  </si>
  <si>
    <t>д.Боброво</t>
  </si>
  <si>
    <t xml:space="preserve">ТП 033 </t>
  </si>
  <si>
    <t>д.Горы</t>
  </si>
  <si>
    <t xml:space="preserve">ТП 034 </t>
  </si>
  <si>
    <t>ТП 035</t>
  </si>
  <si>
    <t>д.Щучье</t>
  </si>
  <si>
    <t xml:space="preserve">ТП 036 </t>
  </si>
  <si>
    <t>ТП 037</t>
  </si>
  <si>
    <t xml:space="preserve">ТП 038 </t>
  </si>
  <si>
    <t>ТП 039</t>
  </si>
  <si>
    <t>д.Черетное</t>
  </si>
  <si>
    <t xml:space="preserve">ТП 040 </t>
  </si>
  <si>
    <t>д.Бухоново</t>
  </si>
  <si>
    <t xml:space="preserve">ТП 042 </t>
  </si>
  <si>
    <t>д.Гороватка</t>
  </si>
  <si>
    <t xml:space="preserve">ТП 043 </t>
  </si>
  <si>
    <t xml:space="preserve">ТП 044 </t>
  </si>
  <si>
    <t>д.Морзино</t>
  </si>
  <si>
    <t xml:space="preserve">ТП 045 </t>
  </si>
  <si>
    <t xml:space="preserve">ТП 046 </t>
  </si>
  <si>
    <t>д.Шихотово</t>
  </si>
  <si>
    <t>ТП 047</t>
  </si>
  <si>
    <t xml:space="preserve">ТП 048 </t>
  </si>
  <si>
    <t xml:space="preserve">ТП 049 </t>
  </si>
  <si>
    <t>д.Комарово</t>
  </si>
  <si>
    <t xml:space="preserve">ТП 050 </t>
  </si>
  <si>
    <t>д.Крутик</t>
  </si>
  <si>
    <t>ТП 051</t>
  </si>
  <si>
    <t>д.Гаево</t>
  </si>
  <si>
    <t xml:space="preserve">ТП 053 </t>
  </si>
  <si>
    <t>д.Клубово</t>
  </si>
  <si>
    <t xml:space="preserve">ТП 054 </t>
  </si>
  <si>
    <t>д.Берково</t>
  </si>
  <si>
    <t xml:space="preserve">ТП 055 </t>
  </si>
  <si>
    <t>д.Шамши</t>
  </si>
  <si>
    <t>ТП 056</t>
  </si>
  <si>
    <t>ТП 057</t>
  </si>
  <si>
    <t xml:space="preserve">ТП 058 </t>
  </si>
  <si>
    <t>д.Надобица</t>
  </si>
  <si>
    <t xml:space="preserve">ТП 059 </t>
  </si>
  <si>
    <t>д.Прохоренки</t>
  </si>
  <si>
    <t>ТП 060</t>
  </si>
  <si>
    <t>д.Пустошка</t>
  </si>
  <si>
    <t>ТП 061</t>
  </si>
  <si>
    <t xml:space="preserve">ТП 062 </t>
  </si>
  <si>
    <t>д.Уплохово</t>
  </si>
  <si>
    <t xml:space="preserve">ТП 063 </t>
  </si>
  <si>
    <t xml:space="preserve">ТП 064 </t>
  </si>
  <si>
    <t xml:space="preserve">ТП 065 </t>
  </si>
  <si>
    <t xml:space="preserve">ТП 066 </t>
  </si>
  <si>
    <t xml:space="preserve">ТП 067  </t>
  </si>
  <si>
    <t>д.Прусохово</t>
  </si>
  <si>
    <t xml:space="preserve">ТП 068 </t>
  </si>
  <si>
    <t>д.Б.Железница</t>
  </si>
  <si>
    <t>ТП 069</t>
  </si>
  <si>
    <t>д.Каленидово</t>
  </si>
  <si>
    <t xml:space="preserve">ТП 070 </t>
  </si>
  <si>
    <t>д.Ордынок</t>
  </si>
  <si>
    <t xml:space="preserve">ТП 071 </t>
  </si>
  <si>
    <t xml:space="preserve">ТП 072 </t>
  </si>
  <si>
    <t xml:space="preserve">ТП 073 </t>
  </si>
  <si>
    <t>ТП 074</t>
  </si>
  <si>
    <t xml:space="preserve">ТП 075 </t>
  </si>
  <si>
    <t xml:space="preserve">ТП 077 </t>
  </si>
  <si>
    <t>ТП 080</t>
  </si>
  <si>
    <t xml:space="preserve">ТП 082 </t>
  </si>
  <si>
    <t xml:space="preserve">ЗТП 083 </t>
  </si>
  <si>
    <t xml:space="preserve">ТП 084 </t>
  </si>
  <si>
    <t>ТП 086</t>
  </si>
  <si>
    <t xml:space="preserve">ТП 087 </t>
  </si>
  <si>
    <t xml:space="preserve">ТП 088 </t>
  </si>
  <si>
    <t>ЗТП 089</t>
  </si>
  <si>
    <t>ТП 090</t>
  </si>
  <si>
    <t>ТП 091</t>
  </si>
  <si>
    <t xml:space="preserve">ТП 092 </t>
  </si>
  <si>
    <t>д.Ермошки</t>
  </si>
  <si>
    <t xml:space="preserve">ТП 093 </t>
  </si>
  <si>
    <t>д.Королевщина</t>
  </si>
  <si>
    <t xml:space="preserve">ТП 094 </t>
  </si>
  <si>
    <t xml:space="preserve">ТП 095 </t>
  </si>
  <si>
    <t>ТП 096</t>
  </si>
  <si>
    <t>д.Селище</t>
  </si>
  <si>
    <t xml:space="preserve">ТП 097 </t>
  </si>
  <si>
    <t>д.Сырово</t>
  </si>
  <si>
    <t xml:space="preserve">ТП 098 </t>
  </si>
  <si>
    <t>д.Сыр</t>
  </si>
  <si>
    <t>ТП 099</t>
  </si>
  <si>
    <t>д.Коваленки</t>
  </si>
  <si>
    <t xml:space="preserve">ТП 100 </t>
  </si>
  <si>
    <t>д.Ковали-Пенное</t>
  </si>
  <si>
    <t xml:space="preserve">ТП 101 </t>
  </si>
  <si>
    <t>д.Гатино</t>
  </si>
  <si>
    <t xml:space="preserve">ТП 102 </t>
  </si>
  <si>
    <t>д.Полосы</t>
  </si>
  <si>
    <t xml:space="preserve">ТП 103 </t>
  </si>
  <si>
    <t xml:space="preserve">ТП 104 </t>
  </si>
  <si>
    <t>д.Полоска</t>
  </si>
  <si>
    <t xml:space="preserve">ТП 105 </t>
  </si>
  <si>
    <t xml:space="preserve">ТП 106 </t>
  </si>
  <si>
    <t>д.Леоновщина</t>
  </si>
  <si>
    <t xml:space="preserve">ТП 107 </t>
  </si>
  <si>
    <t>д.Сычево</t>
  </si>
  <si>
    <t xml:space="preserve">ТП 108 </t>
  </si>
  <si>
    <t xml:space="preserve">ТП 109 </t>
  </si>
  <si>
    <t>д.М.Железница</t>
  </si>
  <si>
    <t>ТП 110</t>
  </si>
  <si>
    <t xml:space="preserve">ТП 111 </t>
  </si>
  <si>
    <t>д.Нешково</t>
  </si>
  <si>
    <t xml:space="preserve">ТП 112 </t>
  </si>
  <si>
    <t>д.Дубоцкое</t>
  </si>
  <si>
    <t xml:space="preserve">ТП 113 </t>
  </si>
  <si>
    <t xml:space="preserve">ТП 114 </t>
  </si>
  <si>
    <t>д.Костино-Фадеенки</t>
  </si>
  <si>
    <t xml:space="preserve">ТП 115 </t>
  </si>
  <si>
    <t xml:space="preserve">ТП 116 </t>
  </si>
  <si>
    <t xml:space="preserve">ТП 117 </t>
  </si>
  <si>
    <t xml:space="preserve">ТП 118 </t>
  </si>
  <si>
    <t xml:space="preserve">ТП 119 </t>
  </si>
  <si>
    <t>д.Прудок</t>
  </si>
  <si>
    <t xml:space="preserve">ТП 120 </t>
  </si>
  <si>
    <t xml:space="preserve">ТП 121 </t>
  </si>
  <si>
    <t xml:space="preserve">ТП 122 </t>
  </si>
  <si>
    <t>д.Горбачево</t>
  </si>
  <si>
    <t xml:space="preserve">ТП 123 </t>
  </si>
  <si>
    <t>д.Лукьяново</t>
  </si>
  <si>
    <t>ТП 125</t>
  </si>
  <si>
    <t>п.Кащенки</t>
  </si>
  <si>
    <t xml:space="preserve">ТП 128 </t>
  </si>
  <si>
    <t>д.Гараж</t>
  </si>
  <si>
    <t xml:space="preserve">ТП 129 </t>
  </si>
  <si>
    <t>д.Данилино</t>
  </si>
  <si>
    <t>ТП 130</t>
  </si>
  <si>
    <t xml:space="preserve">ТП 132 </t>
  </si>
  <si>
    <t>д.Жарки</t>
  </si>
  <si>
    <t xml:space="preserve">ТП 133 </t>
  </si>
  <si>
    <t>д.Зеленьково</t>
  </si>
  <si>
    <t xml:space="preserve">ТП 134 </t>
  </si>
  <si>
    <t>ТП 135</t>
  </si>
  <si>
    <t xml:space="preserve">ТП 136 </t>
  </si>
  <si>
    <t>ТП 137</t>
  </si>
  <si>
    <t xml:space="preserve">ТП 138 </t>
  </si>
  <si>
    <t>д.Рудня</t>
  </si>
  <si>
    <t xml:space="preserve">ТП 139 </t>
  </si>
  <si>
    <t xml:space="preserve">ТП 140 </t>
  </si>
  <si>
    <t>КТП Василево</t>
  </si>
  <si>
    <t>д.Колдино</t>
  </si>
  <si>
    <t>КТП Колдино-1</t>
  </si>
  <si>
    <t>КТП Колдино-2</t>
  </si>
  <si>
    <t>д.Кудино</t>
  </si>
  <si>
    <t>КТП Кудино</t>
  </si>
  <si>
    <t>д.Цикарево</t>
  </si>
  <si>
    <t>КТП Цикарево</t>
  </si>
  <si>
    <t>д.Федьково</t>
  </si>
  <si>
    <t>КТП Федьково-1</t>
  </si>
  <si>
    <t>д.Новотроицкое</t>
  </si>
  <si>
    <t>КТП Новотроицкое-1</t>
  </si>
  <si>
    <t>КТП Новотроицкое-2</t>
  </si>
  <si>
    <t>КТП Новотроицкое-7</t>
  </si>
  <si>
    <t>г.Торопец</t>
  </si>
  <si>
    <t>КТП Ховренок</t>
  </si>
  <si>
    <t>КТП Ретранслятор</t>
  </si>
  <si>
    <t>д.Грядцы</t>
  </si>
  <si>
    <t>КТП Грядцы-1</t>
  </si>
  <si>
    <t>КТПП Грядцы-2</t>
  </si>
  <si>
    <t>КТПП Грядцы-4</t>
  </si>
  <si>
    <t>д.Мещеки</t>
  </si>
  <si>
    <t>КТП Мещеки</t>
  </si>
  <si>
    <t>КТП Лукьяново</t>
  </si>
  <si>
    <t>д.Лоховка</t>
  </si>
  <si>
    <t>КТП Лоховка</t>
  </si>
  <si>
    <t>д.Гальяново</t>
  </si>
  <si>
    <t>КТП Гальяново</t>
  </si>
  <si>
    <t>д.Ананьино</t>
  </si>
  <si>
    <t>КТП Ананьино</t>
  </si>
  <si>
    <t>д.Хворостьево</t>
  </si>
  <si>
    <t>КТП Хворостьево</t>
  </si>
  <si>
    <t>КТП Пионерлагерь</t>
  </si>
  <si>
    <t>КТП Подсосонье</t>
  </si>
  <si>
    <t>МТП Маслово</t>
  </si>
  <si>
    <t>КТП База РЭС</t>
  </si>
  <si>
    <t>КТП ТП-67</t>
  </si>
  <si>
    <t>д.Малахи</t>
  </si>
  <si>
    <t>КТП Малахи</t>
  </si>
  <si>
    <t>д.Подгороднее</t>
  </si>
  <si>
    <t>ЗТП Подгороднее-1</t>
  </si>
  <si>
    <t>КТП Подгороднее-2</t>
  </si>
  <si>
    <t>ЗТП Подгороднее-5</t>
  </si>
  <si>
    <t>КТП Подгороднее-6</t>
  </si>
  <si>
    <t>КТП Подгороднее-9</t>
  </si>
  <si>
    <t>КТП Подгороднее-10</t>
  </si>
  <si>
    <t>КТП Подгороднее-11</t>
  </si>
  <si>
    <t>КТП Подгороднее-12</t>
  </si>
  <si>
    <t>д.Любовец</t>
  </si>
  <si>
    <t>КТПП Любовец</t>
  </si>
  <si>
    <t>КТП Цветки</t>
  </si>
  <si>
    <t>д.Шатры</t>
  </si>
  <si>
    <t>КТП Шатры</t>
  </si>
  <si>
    <t>КТП Лохово-1</t>
  </si>
  <si>
    <t>д.Речане</t>
  </si>
  <si>
    <t>КТП Речане-1</t>
  </si>
  <si>
    <t>КТП Речане-2</t>
  </si>
  <si>
    <t>КТП Речане-3</t>
  </si>
  <si>
    <t>КТПП Речане-4</t>
  </si>
  <si>
    <t>КТПП Речане-6</t>
  </si>
  <si>
    <t>КТП Речане-Школа</t>
  </si>
  <si>
    <t>КТП Речане-8</t>
  </si>
  <si>
    <t>КТП Митьково</t>
  </si>
  <si>
    <t>д.Чихачи</t>
  </si>
  <si>
    <t>КТП Чихачи</t>
  </si>
  <si>
    <t>КТП Михайловское</t>
  </si>
  <si>
    <t>КТПП Крест-2</t>
  </si>
  <si>
    <t>ЗТП  Крест-3</t>
  </si>
  <si>
    <t>д.Чурилово</t>
  </si>
  <si>
    <t>КТП Чурилово</t>
  </si>
  <si>
    <t>д.Ольховка</t>
  </si>
  <si>
    <t>КТП Ольховка</t>
  </si>
  <si>
    <t>д.Б.Семивье</t>
  </si>
  <si>
    <t>КТП Б.Семивье</t>
  </si>
  <si>
    <t>д.Лесная</t>
  </si>
  <si>
    <t>КТП Лесная</t>
  </si>
  <si>
    <t>д.Озерец</t>
  </si>
  <si>
    <t>КТПП Озерец-2</t>
  </si>
  <si>
    <t>д.Рокотово</t>
  </si>
  <si>
    <t>КТП Рокотово</t>
  </si>
  <si>
    <t>КТП Заборье</t>
  </si>
  <si>
    <t>д.Метлино</t>
  </si>
  <si>
    <t>МТП Метлино</t>
  </si>
  <si>
    <t>д.Юханово</t>
  </si>
  <si>
    <t>КТП Юханово</t>
  </si>
  <si>
    <t>д.Оськино</t>
  </si>
  <si>
    <t>КТП Оськино</t>
  </si>
  <si>
    <t>КТП Носово</t>
  </si>
  <si>
    <t>д.Выдры</t>
  </si>
  <si>
    <t>КТП Выдры-1</t>
  </si>
  <si>
    <t>КТП Выдры-2</t>
  </si>
  <si>
    <t>КТП Выдры-3</t>
  </si>
  <si>
    <t>КТП Выдры-4</t>
  </si>
  <si>
    <t>д.Старинка</t>
  </si>
  <si>
    <t>КТП Старинка</t>
  </si>
  <si>
    <t>КТП Озерец-3</t>
  </si>
  <si>
    <t>д.Лахны</t>
  </si>
  <si>
    <t>КТП Лахны</t>
  </si>
  <si>
    <t>МТП Больница</t>
  </si>
  <si>
    <t>д.Семенцево</t>
  </si>
  <si>
    <t>КТП Семенцево</t>
  </si>
  <si>
    <t>д.Самсоново</t>
  </si>
  <si>
    <t>КТП Самсоново</t>
  </si>
  <si>
    <t>д.Мандусово</t>
  </si>
  <si>
    <t>КТП Мандусово</t>
  </si>
  <si>
    <t>д.Кислово</t>
  </si>
  <si>
    <t>КТП Кислово-1</t>
  </si>
  <si>
    <t>КТП Кислово-2</t>
  </si>
  <si>
    <t>д.Захаркино</t>
  </si>
  <si>
    <t>КТП Захаркино</t>
  </si>
  <si>
    <t>КТП Сушино</t>
  </si>
  <si>
    <t>КТП Васьково</t>
  </si>
  <si>
    <t>д.Мартисово</t>
  </si>
  <si>
    <t>КТП Мартисово-1</t>
  </si>
  <si>
    <t>КТП Мартисово-2</t>
  </si>
  <si>
    <t>д.Наумовское</t>
  </si>
  <si>
    <t>КТП Наумовское</t>
  </si>
  <si>
    <t>КТП Понизовье-1</t>
  </si>
  <si>
    <t>КТПП  Понизовье-6</t>
  </si>
  <si>
    <t>д.Зимцы</t>
  </si>
  <si>
    <t>КТП Зимцы</t>
  </si>
  <si>
    <t>КТП Понизовье-2</t>
  </si>
  <si>
    <t>д.Талица</t>
  </si>
  <si>
    <t>ЗТП Талица-2</t>
  </si>
  <si>
    <t>КТП Талица-3</t>
  </si>
  <si>
    <t>КТП Талица-5</t>
  </si>
  <si>
    <t>КТП Талица-7</t>
  </si>
  <si>
    <t>КТП Талица-8</t>
  </si>
  <si>
    <t>д.Бридино</t>
  </si>
  <si>
    <t>МТП Бридино-1</t>
  </si>
  <si>
    <t>КТП Знаменское-1</t>
  </si>
  <si>
    <t>д.Руново</t>
  </si>
  <si>
    <t>КТП Руново</t>
  </si>
  <si>
    <t>д.Красноселье</t>
  </si>
  <si>
    <t>КТП Красноселье-1</t>
  </si>
  <si>
    <t>КТП Красноселье-2</t>
  </si>
  <si>
    <t>д.Блазново</t>
  </si>
  <si>
    <t>КТП Блазново</t>
  </si>
  <si>
    <t>д.Бончарово</t>
  </si>
  <si>
    <t>КТП Бончарово-1</t>
  </si>
  <si>
    <t>КТПП Бончарово-2</t>
  </si>
  <si>
    <t>д.Дроздово</t>
  </si>
  <si>
    <t>МТП Дроздово</t>
  </si>
  <si>
    <t>д.Бельково</t>
  </si>
  <si>
    <t>КТП Бельково</t>
  </si>
  <si>
    <t>д.Степаши</t>
  </si>
  <si>
    <t>КТП Степаши</t>
  </si>
  <si>
    <t>д.Шапкино</t>
  </si>
  <si>
    <t>КТП Шапкино</t>
  </si>
  <si>
    <t>д.Максименки</t>
  </si>
  <si>
    <t>КТП Максименки</t>
  </si>
  <si>
    <t>д.Головково</t>
  </si>
  <si>
    <t>КТП Головково</t>
  </si>
  <si>
    <t>д.Симаново</t>
  </si>
  <si>
    <t>КТП Симаново</t>
  </si>
  <si>
    <t>д.Николаевское</t>
  </si>
  <si>
    <t>КТП Николаевское</t>
  </si>
  <si>
    <t>д.Васюково</t>
  </si>
  <si>
    <t>КТП Васюково</t>
  </si>
  <si>
    <t>КТП Валаево</t>
  </si>
  <si>
    <t>д.Захоломье</t>
  </si>
  <si>
    <t>КТПП  Захоломье-1</t>
  </si>
  <si>
    <t>КТП Захоломье-2</t>
  </si>
  <si>
    <t>КТП Захоломье-3</t>
  </si>
  <si>
    <t>КТП Слепнево</t>
  </si>
  <si>
    <t>д.Рокачево</t>
  </si>
  <si>
    <t>КТП Рокачево</t>
  </si>
  <si>
    <t>д.Краснополец</t>
  </si>
  <si>
    <t>КТП Краснополец-1</t>
  </si>
  <si>
    <t>д.Студенец</t>
  </si>
  <si>
    <t>КТП Студенец</t>
  </si>
  <si>
    <t>д.Вороньково</t>
  </si>
  <si>
    <t>КТП Вороньково</t>
  </si>
  <si>
    <t>д.Новое</t>
  </si>
  <si>
    <t>КТП Новое</t>
  </si>
  <si>
    <t>КТП Козлово-1</t>
  </si>
  <si>
    <t>КТП Козлово-2</t>
  </si>
  <si>
    <t>д.Рогозино</t>
  </si>
  <si>
    <t>КТП Рогозино</t>
  </si>
  <si>
    <t>д.Снопово</t>
  </si>
  <si>
    <t>КТП Снопово</t>
  </si>
  <si>
    <t>д.Билово</t>
  </si>
  <si>
    <t>КТП Билово</t>
  </si>
  <si>
    <t>д.Полуяново</t>
  </si>
  <si>
    <t>КТП Полуяново</t>
  </si>
  <si>
    <t>д.Языковщина</t>
  </si>
  <si>
    <t>КТП Языковщина-1</t>
  </si>
  <si>
    <t>КТП Языковщина-2</t>
  </si>
  <si>
    <t>д.Юшино</t>
  </si>
  <si>
    <t>КТП Юшино</t>
  </si>
  <si>
    <t>КТП Медведево</t>
  </si>
  <si>
    <t>д.Волок</t>
  </si>
  <si>
    <t>КТП Волок-1</t>
  </si>
  <si>
    <t>КТП Волок-2</t>
  </si>
  <si>
    <t>КТП Волок-3</t>
  </si>
  <si>
    <t>КТП Волок-4</t>
  </si>
  <si>
    <t>КТП Волок-5</t>
  </si>
  <si>
    <t>КТП Волок-6</t>
  </si>
  <si>
    <t>КТП Волок-Школа</t>
  </si>
  <si>
    <t>КТП Дуброво</t>
  </si>
  <si>
    <t>д.Плоскошь</t>
  </si>
  <si>
    <t>КТП Плоскошь-Школа</t>
  </si>
  <si>
    <t>КТП Старое-2</t>
  </si>
  <si>
    <t>д.Сельково</t>
  </si>
  <si>
    <t>КТП Сельково</t>
  </si>
  <si>
    <t>д.Сидоровское</t>
  </si>
  <si>
    <t>КТП Сидоровское</t>
  </si>
  <si>
    <t>КТП Зайцево</t>
  </si>
  <si>
    <t>д.Понизовье</t>
  </si>
  <si>
    <t>д.Обуховицы</t>
  </si>
  <si>
    <t>КТП Обуховицы</t>
  </si>
  <si>
    <t>д.Зуи</t>
  </si>
  <si>
    <t>КТП Зуи</t>
  </si>
  <si>
    <t>д.Мерелево</t>
  </si>
  <si>
    <t>КТП Мерелево</t>
  </si>
  <si>
    <t>д.Лебедево</t>
  </si>
  <si>
    <t>КТП Лебедево</t>
  </si>
  <si>
    <t>д.Кочута</t>
  </si>
  <si>
    <t>КТП Кочута-3</t>
  </si>
  <si>
    <t>КТП Кочута-4</t>
  </si>
  <si>
    <t>д.Водос</t>
  </si>
  <si>
    <t>КТП Водос</t>
  </si>
  <si>
    <t>д.Лучка</t>
  </si>
  <si>
    <t>КТП Лучка</t>
  </si>
  <si>
    <t>КТП Волок-спорткомплекс</t>
  </si>
  <si>
    <t>д.Краснодубье</t>
  </si>
  <si>
    <t>КТП Краснодубье-1</t>
  </si>
  <si>
    <t>КТП Краснодубье-2</t>
  </si>
  <si>
    <t>д.Голибицы</t>
  </si>
  <si>
    <t>КТП Голибицы-3</t>
  </si>
  <si>
    <t>КТП Голибицы-4</t>
  </si>
  <si>
    <t>МТП Никулино</t>
  </si>
  <si>
    <t>д.Уварово</t>
  </si>
  <si>
    <t>КТП Уварово-1</t>
  </si>
  <si>
    <t>КТП Уварово-2</t>
  </si>
  <si>
    <t>КТП Уварово-3</t>
  </si>
  <si>
    <t>КТП Уварово-5</t>
  </si>
  <si>
    <t>д.Княжево</t>
  </si>
  <si>
    <t>КТП Княжево</t>
  </si>
  <si>
    <t>д.Сосонье</t>
  </si>
  <si>
    <t>КТП Сосонье</t>
  </si>
  <si>
    <t xml:space="preserve">КТП Старое </t>
  </si>
  <si>
    <t>д.Малиновка</t>
  </si>
  <si>
    <t>КТП Малиновка</t>
  </si>
  <si>
    <t>д.Паршино</t>
  </si>
  <si>
    <t>КТП Паршино</t>
  </si>
  <si>
    <t>КТП Плоскошь-1</t>
  </si>
  <si>
    <t>КТП Плоскошь-2</t>
  </si>
  <si>
    <t>КТП Плоскошь-4</t>
  </si>
  <si>
    <t>КТП Плоскошь-5</t>
  </si>
  <si>
    <t>КТП Плоскошь-6</t>
  </si>
  <si>
    <t>КТП Плоскошь-7</t>
  </si>
  <si>
    <t>д.Ермишенки</t>
  </si>
  <si>
    <t>КТП Ермишенки-1</t>
  </si>
  <si>
    <t>КТПП Ермишенки-3</t>
  </si>
  <si>
    <t>д.Рогаткино</t>
  </si>
  <si>
    <t>КТП Рогаткино</t>
  </si>
  <si>
    <t>д.Русаново</t>
  </si>
  <si>
    <t>КТП Русаново</t>
  </si>
  <si>
    <t>д.Полибино</t>
  </si>
  <si>
    <t>КТП Полибино</t>
  </si>
  <si>
    <t>д.Жарихино</t>
  </si>
  <si>
    <t>КТП Жарихино</t>
  </si>
  <si>
    <t>д.Конищево</t>
  </si>
  <si>
    <t>КТП Конищево-1</t>
  </si>
  <si>
    <t>КТП Клыпино маст</t>
  </si>
  <si>
    <t xml:space="preserve">КТП Клыпино </t>
  </si>
  <si>
    <t>д.Б.Изори</t>
  </si>
  <si>
    <t>КТП Б.Изори</t>
  </si>
  <si>
    <t>д.М.Изори</t>
  </si>
  <si>
    <t>КТП М.Изори</t>
  </si>
  <si>
    <t>д.Зайково</t>
  </si>
  <si>
    <t>КТП Зайково</t>
  </si>
  <si>
    <t>д.Коварное-Борок</t>
  </si>
  <si>
    <t>КТП Коварное-Борок</t>
  </si>
  <si>
    <t>д.Дергачи</t>
  </si>
  <si>
    <t>КТП Дергачи</t>
  </si>
  <si>
    <t>д.Бучино</t>
  </si>
  <si>
    <t>КТП Бучино</t>
  </si>
  <si>
    <t>д.Пестряково</t>
  </si>
  <si>
    <t>КТП Пестряково</t>
  </si>
  <si>
    <t>КТП Бабино Маслово</t>
  </si>
  <si>
    <t>КТП Романово-1</t>
  </si>
  <si>
    <t>КТП Раб поселок</t>
  </si>
  <si>
    <t>д.Назарино</t>
  </si>
  <si>
    <t>КТП Назарино</t>
  </si>
  <si>
    <t>КТП Гаврилово</t>
  </si>
  <si>
    <t>д.Финево</t>
  </si>
  <si>
    <t>КТП Финево</t>
  </si>
  <si>
    <t>д.Суходол</t>
  </si>
  <si>
    <t>КТП Суходол-1</t>
  </si>
  <si>
    <t>КТП Суходол-2</t>
  </si>
  <si>
    <t>КТП Бабаево</t>
  </si>
  <si>
    <t>д.Крест</t>
  </si>
  <si>
    <t>КТПП Крест-4</t>
  </si>
  <si>
    <t>д.Почеп</t>
  </si>
  <si>
    <t>МТП Почеп</t>
  </si>
  <si>
    <t>д.Серово</t>
  </si>
  <si>
    <t>КТП Серово-2</t>
  </si>
  <si>
    <t>д.Пожня</t>
  </si>
  <si>
    <t>КТП Пожня-1</t>
  </si>
  <si>
    <t>КТП Пожня-2</t>
  </si>
  <si>
    <t>КТП Пожня-3</t>
  </si>
  <si>
    <t>КТП Пожня-4</t>
  </si>
  <si>
    <t>КТП Пожня-6</t>
  </si>
  <si>
    <t>КТПП Пожня-7</t>
  </si>
  <si>
    <t>КТП Пожня-8</t>
  </si>
  <si>
    <t>д.Митрохино</t>
  </si>
  <si>
    <t>КТП Митрохино</t>
  </si>
  <si>
    <t>д.Стрежено</t>
  </si>
  <si>
    <t>КТП Стрежено</t>
  </si>
  <si>
    <t>д.Малаши</t>
  </si>
  <si>
    <t>КТП Малаши</t>
  </si>
  <si>
    <t>д.Пуплово</t>
  </si>
  <si>
    <t>МТП Пуплово</t>
  </si>
  <si>
    <t>д.Косилово</t>
  </si>
  <si>
    <t>КТП Косилово</t>
  </si>
  <si>
    <t>д.БубоницЫ</t>
  </si>
  <si>
    <t>КТП Бубоницы</t>
  </si>
  <si>
    <t>д.Чистое</t>
  </si>
  <si>
    <t>КТП Чистое</t>
  </si>
  <si>
    <t>д.Некрашево</t>
  </si>
  <si>
    <t>КТП Некрашево-1</t>
  </si>
  <si>
    <t>КТП Некрашево-2</t>
  </si>
  <si>
    <t>д.Закрючье</t>
  </si>
  <si>
    <t>КТП Закрючье</t>
  </si>
  <si>
    <t>д.Шейно</t>
  </si>
  <si>
    <t>КТП Шейно</t>
  </si>
  <si>
    <t>д.Манушкино</t>
  </si>
  <si>
    <t>КТП Манушкино</t>
  </si>
  <si>
    <t>МТП Савино</t>
  </si>
  <si>
    <t>д.Добшо</t>
  </si>
  <si>
    <t>КТПП Добшо-2</t>
  </si>
  <si>
    <t>КТП Добшо-1</t>
  </si>
  <si>
    <t>КТП Никольское</t>
  </si>
  <si>
    <t>д.Голостьяново</t>
  </si>
  <si>
    <t>КТП Голостьяново</t>
  </si>
  <si>
    <t>МТП Звонки</t>
  </si>
  <si>
    <t>д.Пчелино</t>
  </si>
  <si>
    <t>КТПП Пчелино</t>
  </si>
  <si>
    <t>д.Лужане</t>
  </si>
  <si>
    <t>КТПП Лужане</t>
  </si>
  <si>
    <t>д.Карташово</t>
  </si>
  <si>
    <t>КТП Карташово</t>
  </si>
  <si>
    <t>КТП Бор</t>
  </si>
  <si>
    <t>д.Евсигнеенки</t>
  </si>
  <si>
    <t>КТП Евсигнеенки</t>
  </si>
  <si>
    <t>КТП Гущино-1</t>
  </si>
  <si>
    <t>КТП Гущино-2</t>
  </si>
  <si>
    <t>д.Поташово</t>
  </si>
  <si>
    <t>КТП Поташово</t>
  </si>
  <si>
    <t>д.Маковеевское</t>
  </si>
  <si>
    <t>КТП Маковеевское</t>
  </si>
  <si>
    <t>д.Голубево</t>
  </si>
  <si>
    <t>КТП Голубево</t>
  </si>
  <si>
    <t>КТП Сергеевское</t>
  </si>
  <si>
    <t>КТП Селище</t>
  </si>
  <si>
    <t>КТП Скворцово-1</t>
  </si>
  <si>
    <t>КТП Скворцово-2</t>
  </si>
  <si>
    <t>КТП Скворцово-6</t>
  </si>
  <si>
    <t>КТПП Скворцово-4</t>
  </si>
  <si>
    <t>д.Клинец</t>
  </si>
  <si>
    <t>КТП Клинец-1</t>
  </si>
  <si>
    <t>КТП Клинец-2</t>
  </si>
  <si>
    <t>д.Ивахново</t>
  </si>
  <si>
    <t>КТП Ивахново</t>
  </si>
  <si>
    <t>КТП Воронцово</t>
  </si>
  <si>
    <t>д.Фатеево</t>
  </si>
  <si>
    <t>КТП Фатеево</t>
  </si>
  <si>
    <t>д.Орешенки</t>
  </si>
  <si>
    <t>КТП Орешенки</t>
  </si>
  <si>
    <t>д.Тереховка</t>
  </si>
  <si>
    <t>КТП Тереховка</t>
  </si>
  <si>
    <t>КТП Скворцово-5</t>
  </si>
  <si>
    <t>КТП Скворцово-3</t>
  </si>
  <si>
    <t>д.Беляево</t>
  </si>
  <si>
    <t>КТП Беляево</t>
  </si>
  <si>
    <t>д.Дашково</t>
  </si>
  <si>
    <t>КТПП Дашково-1</t>
  </si>
  <si>
    <t>д.Мартюхи</t>
  </si>
  <si>
    <t>КТП Мартюхи-1</t>
  </si>
  <si>
    <t>КТП Мартюхи-2</t>
  </si>
  <si>
    <t>КТПП Мартюхи-3</t>
  </si>
  <si>
    <t>КТП Городок</t>
  </si>
  <si>
    <t xml:space="preserve">КТП Лужи </t>
  </si>
  <si>
    <t>д.Ахромово</t>
  </si>
  <si>
    <t>КТП Ахромово-1</t>
  </si>
  <si>
    <t>д.Нишевицы</t>
  </si>
  <si>
    <t>КТП Нишевицы-1</t>
  </si>
  <si>
    <t>КТПП Нишевицы-2</t>
  </si>
  <si>
    <t>д.Полежнево</t>
  </si>
  <si>
    <t>КТП Полежнево</t>
  </si>
  <si>
    <t>д.Беденки</t>
  </si>
  <si>
    <t>МТП Беденки</t>
  </si>
  <si>
    <t>д.Воробьи</t>
  </si>
  <si>
    <t>КТП Воробьи-1</t>
  </si>
  <si>
    <t>КТП Воробьи-3</t>
  </si>
  <si>
    <t>КТП Воробьи-4</t>
  </si>
  <si>
    <t>КТП Воробьи-6</t>
  </si>
  <si>
    <t>д.Поляне</t>
  </si>
  <si>
    <t>КТП Поляне-5</t>
  </si>
  <si>
    <t>КТП Суслово</t>
  </si>
  <si>
    <t>КТП Плотично-1</t>
  </si>
  <si>
    <t>д.Шарапово</t>
  </si>
  <si>
    <t>КТП Шарапово</t>
  </si>
  <si>
    <t>д.Немково</t>
  </si>
  <si>
    <t>КТП Немково</t>
  </si>
  <si>
    <t>д.</t>
  </si>
  <si>
    <t>МТП Кордон</t>
  </si>
  <si>
    <t>КТП Пятницкое-1</t>
  </si>
  <si>
    <t>КТПП Пятницкое-2</t>
  </si>
  <si>
    <t>КТПП Пятницкое-3</t>
  </si>
  <si>
    <t>КТП Поляне-1</t>
  </si>
  <si>
    <t>КТП Поляне-2</t>
  </si>
  <si>
    <t>КТП Поляне-3</t>
  </si>
  <si>
    <t>КППП Пятницкое-4</t>
  </si>
  <si>
    <t>КТП Высокое</t>
  </si>
  <si>
    <t>КТП Костино</t>
  </si>
  <si>
    <t>КТП Покровское-1</t>
  </si>
  <si>
    <t>КТП Покровское-2</t>
  </si>
  <si>
    <t>д.Гришино</t>
  </si>
  <si>
    <t>КТП Гришино</t>
  </si>
  <si>
    <t>д.Тарасовка</t>
  </si>
  <si>
    <t>КТП Тарасовка</t>
  </si>
  <si>
    <t>д.Царево</t>
  </si>
  <si>
    <t>КТП Царево</t>
  </si>
  <si>
    <t>д.Наговье</t>
  </si>
  <si>
    <t>КТПП Наговье-2</t>
  </si>
  <si>
    <t>КТПП Наговье-3</t>
  </si>
  <si>
    <t>КТПП Наговье-4</t>
  </si>
  <si>
    <t>д.Песчанка</t>
  </si>
  <si>
    <t>КТП Песчанка</t>
  </si>
  <si>
    <t>КТП Зеленый Бор</t>
  </si>
  <si>
    <t>КТП Кузнецово</t>
  </si>
  <si>
    <t>д.Рождественское</t>
  </si>
  <si>
    <t>КТП Рождественское</t>
  </si>
  <si>
    <t>д.Шешурино</t>
  </si>
  <si>
    <t>КТП Шешурино</t>
  </si>
  <si>
    <t>Торопецкий</t>
  </si>
  <si>
    <t xml:space="preserve">КТП-10кВ Дубровка </t>
  </si>
  <si>
    <t>Оленинский</t>
  </si>
  <si>
    <t xml:space="preserve">КТП-10кВ д.Тереховка  </t>
  </si>
  <si>
    <t xml:space="preserve">КТП-10кВ д.Карелино  </t>
  </si>
  <si>
    <t xml:space="preserve">ТП-10кВ Лаврово  </t>
  </si>
  <si>
    <t>КТП-10кВ Завидово 1</t>
  </si>
  <si>
    <t xml:space="preserve">КТП 10кВ д.Завидово 2 </t>
  </si>
  <si>
    <t xml:space="preserve">КТП-10кВ Завидово-3 нов. дома </t>
  </si>
  <si>
    <t xml:space="preserve">КТП-10кВ д.Селишня </t>
  </si>
  <si>
    <t xml:space="preserve">КТП-10кВ д.Косые  </t>
  </si>
  <si>
    <t xml:space="preserve">КТП-10кВ д.Медведица  </t>
  </si>
  <si>
    <t xml:space="preserve">КТП-10кВ д.Холменка  </t>
  </si>
  <si>
    <t xml:space="preserve">КТП-10кВ д.Б.Полденка  </t>
  </si>
  <si>
    <t xml:space="preserve">КТП-10кВ д.Плотки  </t>
  </si>
  <si>
    <t xml:space="preserve">КТП-10кВ д.Хлебники </t>
  </si>
  <si>
    <t xml:space="preserve">КТП-10кВ д.Мясница  </t>
  </si>
  <si>
    <t xml:space="preserve">КТП-10кВ д.Ревоты  </t>
  </si>
  <si>
    <t xml:space="preserve">КТП-10 кВ  Глазки-5 </t>
  </si>
  <si>
    <t xml:space="preserve">КТП-10кВ  д.Алферово  </t>
  </si>
  <si>
    <t xml:space="preserve">КТП-10кВ д.Долгиновка  </t>
  </si>
  <si>
    <t xml:space="preserve">ЗТП-10кВ д.Глазки-1 насос </t>
  </si>
  <si>
    <t xml:space="preserve">КТП-10кВ Глазки-4 ФКРС  </t>
  </si>
  <si>
    <t xml:space="preserve">КТП-10кВ Глазки-2 коттеджи  </t>
  </si>
  <si>
    <t xml:space="preserve">КТП-10кВ д.Глазки-3 клуб  </t>
  </si>
  <si>
    <t xml:space="preserve">КТП-10кВ д.Каменцы </t>
  </si>
  <si>
    <t xml:space="preserve">КТП-10 кВ Ваталино </t>
  </si>
  <si>
    <t xml:space="preserve">КТП-10 кВ Пустошка </t>
  </si>
  <si>
    <t xml:space="preserve">КТП-10кВ Бобровка-2 </t>
  </si>
  <si>
    <t xml:space="preserve">КТП-10кВ д.Горениново </t>
  </si>
  <si>
    <t xml:space="preserve">КТП-10кВ д.Козино </t>
  </si>
  <si>
    <t xml:space="preserve">КТП-10кВ д.Лезвино </t>
  </si>
  <si>
    <t xml:space="preserve">КТП-10кВ д.Липовка -1  </t>
  </si>
  <si>
    <t xml:space="preserve">КТП-10кВ д.Липовка-2 </t>
  </si>
  <si>
    <t xml:space="preserve">КТП-10кВ д.Липовка-3 насос </t>
  </si>
  <si>
    <t xml:space="preserve">КТП-10кВ д.Черемушки </t>
  </si>
  <si>
    <t xml:space="preserve">КТП-10кВ д.Пенский </t>
  </si>
  <si>
    <t>д.Воронино</t>
  </si>
  <si>
    <t xml:space="preserve">КТП-10кВ Воронино-1быт </t>
  </si>
  <si>
    <t xml:space="preserve">КТП-10кВ Воронино-4 быт </t>
  </si>
  <si>
    <t>д.Холмина</t>
  </si>
  <si>
    <t>КТП-10кВ Холмина-2 школа</t>
  </si>
  <si>
    <t xml:space="preserve">КТП-10кВ Кулаковка </t>
  </si>
  <si>
    <t xml:space="preserve">КТП-10кВ д.Гришино-3(быт) </t>
  </si>
  <si>
    <t xml:space="preserve">КТП-10кВ Гришино-1 ФКРС  </t>
  </si>
  <si>
    <t xml:space="preserve">КТП-10кВ д.Холмина-3 МТМ </t>
  </si>
  <si>
    <t xml:space="preserve">КТП-10кВ д.Холмина 1ФКРС </t>
  </si>
  <si>
    <t xml:space="preserve">КТП-10кВ д.Холмина-4 КЗС </t>
  </si>
  <si>
    <t>д.Комиссарово</t>
  </si>
  <si>
    <t>КТП-10кВ д.Комиссарово-4котт.</t>
  </si>
  <si>
    <t xml:space="preserve">КТП 10кВ д.Сидорово-1  быт </t>
  </si>
  <si>
    <t xml:space="preserve">КТП-10кВ Комиссарово-1пилор </t>
  </si>
  <si>
    <t xml:space="preserve">КТП-10кВ д.Комиссарово-3 МТМ </t>
  </si>
  <si>
    <t xml:space="preserve">КТП-10кВ д.Барсуки </t>
  </si>
  <si>
    <t xml:space="preserve">КТП-10кВ д.Гришино-2 КЗС </t>
  </si>
  <si>
    <t xml:space="preserve">КТП-10кВ д.Пустошка </t>
  </si>
  <si>
    <t xml:space="preserve">КТП 10кВ ул.Зеленая </t>
  </si>
  <si>
    <t xml:space="preserve">КТП-10кВ д.Новая </t>
  </si>
  <si>
    <t xml:space="preserve">КТП-10кВ д.Борки </t>
  </si>
  <si>
    <t>КТП-10кВ Комиссарово-2 насос</t>
  </si>
  <si>
    <t xml:space="preserve">КТП-10кВ д.Высокое </t>
  </si>
  <si>
    <t xml:space="preserve">КТП-10кВ д.Талица </t>
  </si>
  <si>
    <t xml:space="preserve">КТП 10кВ д.Сидорово-2 </t>
  </si>
  <si>
    <t xml:space="preserve">КТП-10кВ Воронино-2 МТМ </t>
  </si>
  <si>
    <t xml:space="preserve">КТП-10кВ Воронино-3 насос </t>
  </si>
  <si>
    <t xml:space="preserve">КТП-10кВ д.Холм </t>
  </si>
  <si>
    <t xml:space="preserve">КТП-10кВ д.Бредоваха </t>
  </si>
  <si>
    <t xml:space="preserve">КТП 10кВ Холмина 5 быт </t>
  </si>
  <si>
    <t xml:space="preserve">КТП-10кВ д.Назарово-Лапичино </t>
  </si>
  <si>
    <t xml:space="preserve">КТП-10кВ д.Сады-1 </t>
  </si>
  <si>
    <t xml:space="preserve">КТП-10кВ д.Ягодино-Мешково </t>
  </si>
  <si>
    <t xml:space="preserve">КТП-10кВ д.Никулино-1/клуб </t>
  </si>
  <si>
    <t xml:space="preserve">КТП-10кВ д.Лелюгино </t>
  </si>
  <si>
    <t xml:space="preserve">КТП-10кВ д.Никулино-3/коттеджи </t>
  </si>
  <si>
    <t xml:space="preserve">КТП-10кВ Толокново-1 МТМ </t>
  </si>
  <si>
    <t xml:space="preserve">КТП-10кВ д.Полтино </t>
  </si>
  <si>
    <t xml:space="preserve">КТП-10кВ  д.Ладыгино </t>
  </si>
  <si>
    <t xml:space="preserve">КТП-10кВ д.Кашино-1ФКРС </t>
  </si>
  <si>
    <t xml:space="preserve">КТП-10кВ д.Толокново-3 пилорама </t>
  </si>
  <si>
    <t>КТП-10кВ д.Толокново-2(школа)</t>
  </si>
  <si>
    <t xml:space="preserve">КТП-10кВ д.Сады-3 быт </t>
  </si>
  <si>
    <t xml:space="preserve">КТП-10кВ Никулино-2МТМ </t>
  </si>
  <si>
    <t xml:space="preserve">КТП-10кВ д.Ройкино </t>
  </si>
  <si>
    <t xml:space="preserve">КТП-10кВ д.Боброво </t>
  </si>
  <si>
    <t xml:space="preserve">КТП-10кВ д.Упыри </t>
  </si>
  <si>
    <t xml:space="preserve">КТП-10кВ д.Рыжаевка </t>
  </si>
  <si>
    <t xml:space="preserve">КТП-10кВ Волково </t>
  </si>
  <si>
    <t xml:space="preserve">КТП-10кВ д.Соболево </t>
  </si>
  <si>
    <t>д.Сады</t>
  </si>
  <si>
    <t xml:space="preserve">КТП-10 кВ Сады-2 насос </t>
  </si>
  <si>
    <t xml:space="preserve">КТП-10кВ д.Глиновка </t>
  </si>
  <si>
    <t xml:space="preserve">КТП-10кВ д.Суково </t>
  </si>
  <si>
    <t xml:space="preserve">КТП-10кВ д.Ступинка </t>
  </si>
  <si>
    <t xml:space="preserve">КТП-10кВ д.Климовка-Курчевские </t>
  </si>
  <si>
    <t xml:space="preserve">КТП-10 кВ Льносемстанция </t>
  </si>
  <si>
    <t xml:space="preserve">КТП 10кВ нефтебаза </t>
  </si>
  <si>
    <t xml:space="preserve">КТП 10кВ д.Халютино </t>
  </si>
  <si>
    <t xml:space="preserve">КТП 10кВ д.Боярщина </t>
  </si>
  <si>
    <t xml:space="preserve">КТП-10кВ Демидово ФКРС </t>
  </si>
  <si>
    <t xml:space="preserve">КТП 10кВ д.Лазукино </t>
  </si>
  <si>
    <t>д.Татево</t>
  </si>
  <si>
    <t xml:space="preserve">КТП 10кВ д.Татево-1 </t>
  </si>
  <si>
    <t>с.Татево</t>
  </si>
  <si>
    <t xml:space="preserve">КТП 10кВ Татево-2 д/сад,пилор </t>
  </si>
  <si>
    <t xml:space="preserve">КТП-10кВ Татево-5коттеджи </t>
  </si>
  <si>
    <t xml:space="preserve">КТП-10кВ д.Татево-4 МТМ </t>
  </si>
  <si>
    <t xml:space="preserve">КТП 10кВ Татево-3 школа </t>
  </si>
  <si>
    <t xml:space="preserve">КТП 10кВ д.Колесниково </t>
  </si>
  <si>
    <t xml:space="preserve">КТП 10кВ д.Канашкино </t>
  </si>
  <si>
    <t>п.Оленино</t>
  </si>
  <si>
    <t xml:space="preserve">КТП-10кВд.База ОРЭС </t>
  </si>
  <si>
    <t xml:space="preserve">КТП 10кВ д.Козинка </t>
  </si>
  <si>
    <t xml:space="preserve">КТП 100 кВа АЗС Кольцо </t>
  </si>
  <si>
    <t xml:space="preserve">КТП 10кВ Бобровка-1н.дома </t>
  </si>
  <si>
    <t xml:space="preserve">КТП  ДРП </t>
  </si>
  <si>
    <t xml:space="preserve">КТП-10кВ д.Линея </t>
  </si>
  <si>
    <t xml:space="preserve">КТП 10кВ д.Береза </t>
  </si>
  <si>
    <t xml:space="preserve">КТП-10кВ  Маслаково-2 РММ </t>
  </si>
  <si>
    <t xml:space="preserve">КТП-10кВ д.Цыганы </t>
  </si>
  <si>
    <t>КТП-10кВ Маслаково-1 быт</t>
  </si>
  <si>
    <t xml:space="preserve">КТП-10кВ Черносы </t>
  </si>
  <si>
    <t xml:space="preserve">КТП-10кВ д.Лежакино </t>
  </si>
  <si>
    <t xml:space="preserve">КТП-10кВ д.Трамбицкие </t>
  </si>
  <si>
    <t xml:space="preserve">КТП-10кВ д.Ильманово </t>
  </si>
  <si>
    <t xml:space="preserve">КТП-10кВ д.Шарки  </t>
  </si>
  <si>
    <t xml:space="preserve">КТП-10кВ д.Татьево </t>
  </si>
  <si>
    <t xml:space="preserve">КТП-10кВ д.Рогово </t>
  </si>
  <si>
    <t xml:space="preserve">КТП-10кВ д.Кушкино </t>
  </si>
  <si>
    <t>д.Козлы</t>
  </si>
  <si>
    <t xml:space="preserve">КТП-10кВ д.Козлы-1 быт </t>
  </si>
  <si>
    <t>КТП-10кВ д.Козлы-3 РММ</t>
  </si>
  <si>
    <t>д.Маслаково</t>
  </si>
  <si>
    <t>КТП-10кВ д.Маслаково-3  ДКУ</t>
  </si>
  <si>
    <t xml:space="preserve">КТП-10кВ Луни </t>
  </si>
  <si>
    <t>КТП-10кВ д.Козлы-2 ФКРС</t>
  </si>
  <si>
    <t>д.Буцкино</t>
  </si>
  <si>
    <t>КТП-10кВ д.Буцкино</t>
  </si>
  <si>
    <t>д.Суханово</t>
  </si>
  <si>
    <t>КТП-10кВ д.Суханово</t>
  </si>
  <si>
    <t>д.Зорино</t>
  </si>
  <si>
    <t>КТП-10кВ д.Зорино</t>
  </si>
  <si>
    <t>д.Рогалево</t>
  </si>
  <si>
    <t>КТП-10кВ д.Рогалево</t>
  </si>
  <si>
    <t>д.Шалаевка</t>
  </si>
  <si>
    <t>КТП-10кВ д.Шалаевка</t>
  </si>
  <si>
    <t>д.Карелка</t>
  </si>
  <si>
    <t>КТП-10кВ д.Карелка</t>
  </si>
  <si>
    <t>КТП 10кВ Пашкино</t>
  </si>
  <si>
    <t xml:space="preserve">КТП-10кВ д.Маслаково база </t>
  </si>
  <si>
    <t>д.Овинцы</t>
  </si>
  <si>
    <t>КТП-10кВ д.Овинцы</t>
  </si>
  <si>
    <t>д.Знаменка</t>
  </si>
  <si>
    <t>КТП 10кВ д.Знаменка-1</t>
  </si>
  <si>
    <t xml:space="preserve">КТП-10кВ д.Волково </t>
  </si>
  <si>
    <t xml:space="preserve">КТП-10кВ Никитино-3 РММ  </t>
  </si>
  <si>
    <t xml:space="preserve">КТП-10кВ д.Высокое  </t>
  </si>
  <si>
    <t>д.Меженинка</t>
  </si>
  <si>
    <t xml:space="preserve">КТП 10кВ Меженинка-2 ФКРС </t>
  </si>
  <si>
    <t xml:space="preserve">КТП-10кВ д.Никитино-4 быт </t>
  </si>
  <si>
    <t xml:space="preserve">КТП 10кВ Знаменка-3 школа </t>
  </si>
  <si>
    <t xml:space="preserve">КТП-10кВ д.Никитино-2 ФКРС </t>
  </si>
  <si>
    <t xml:space="preserve">КТП-10кВ Никитино-1насосная  </t>
  </si>
  <si>
    <t xml:space="preserve">КТП-10кВ Требески-2 насос </t>
  </si>
  <si>
    <t xml:space="preserve">КТП-10кВ д.Можайка </t>
  </si>
  <si>
    <t>д.Требески</t>
  </si>
  <si>
    <t xml:space="preserve">КТП-10кВ Требески-1кр.х-во </t>
  </si>
  <si>
    <t xml:space="preserve">КТП-10кВ Дружная </t>
  </si>
  <si>
    <t xml:space="preserve">КТП-10кВ д.Майково </t>
  </si>
  <si>
    <t xml:space="preserve">КТП-10кВ Знаменка-2 клуб </t>
  </si>
  <si>
    <t xml:space="preserve">КТП-10кВ д.Знаменка-4 РТП </t>
  </si>
  <si>
    <t xml:space="preserve">КТП-10кВ Меженинка-1 быт </t>
  </si>
  <si>
    <t xml:space="preserve">КТП 10кВ Требески-3 быт </t>
  </si>
  <si>
    <t xml:space="preserve">КТП-10кВ д.М.Бредники </t>
  </si>
  <si>
    <t xml:space="preserve">КТП-10кВ д.Б.Бредники </t>
  </si>
  <si>
    <t xml:space="preserve">КТП-10кВ д.Потемкино </t>
  </si>
  <si>
    <t xml:space="preserve">КТП-10кВ д.Бортники </t>
  </si>
  <si>
    <t xml:space="preserve">КТП-10кВ д.Плеханово </t>
  </si>
  <si>
    <t xml:space="preserve">КТП-10кВ Станки </t>
  </si>
  <si>
    <t xml:space="preserve">КТП-10кВ д.Бочково  </t>
  </si>
  <si>
    <t xml:space="preserve">КТП-10кВ д.Палаткино </t>
  </si>
  <si>
    <t xml:space="preserve">КТП-10кВ с.М.Туд Советская </t>
  </si>
  <si>
    <t xml:space="preserve">КТП-10кВ д.Иванищево </t>
  </si>
  <si>
    <t xml:space="preserve">КТП-10кВ д.Фролово </t>
  </si>
  <si>
    <t xml:space="preserve">КТП-10кВ д.Приездово </t>
  </si>
  <si>
    <t xml:space="preserve">КТП-10кВ д.Глыздино-1 </t>
  </si>
  <si>
    <t xml:space="preserve">КТП-10кВ д.Коршуны </t>
  </si>
  <si>
    <t xml:space="preserve">КТП-10кВ д.Хаванское </t>
  </si>
  <si>
    <t xml:space="preserve">КТП-10кВ д.Привалье-1 </t>
  </si>
  <si>
    <t xml:space="preserve">КТП-10кВ с.М. Туд (детдом) </t>
  </si>
  <si>
    <t xml:space="preserve">КТП-10кВс.М.Туд  Ф-ка игрушек </t>
  </si>
  <si>
    <t xml:space="preserve">КТП-10кВ школа -1 </t>
  </si>
  <si>
    <t xml:space="preserve">КТП 10кВ насосная </t>
  </si>
  <si>
    <t xml:space="preserve">КТП-10 кВ Кооперативная </t>
  </si>
  <si>
    <t>КТП-10кВ с.М.Туд(база участка )</t>
  </si>
  <si>
    <t xml:space="preserve">КТП 10кВ  школа-2 </t>
  </si>
  <si>
    <t xml:space="preserve">КТП-10кВ с.М.Туд мастерские </t>
  </si>
  <si>
    <t>КТП-10кВ с.М.Туд(больница)</t>
  </si>
  <si>
    <t>д.Отрадное</t>
  </si>
  <si>
    <t xml:space="preserve">КТП-10кВ Отрадное-4 КЗС </t>
  </si>
  <si>
    <t xml:space="preserve">КТП-10кВ Отрадное-2 быт </t>
  </si>
  <si>
    <t xml:space="preserve">КТП-10кВ д.Минькино  </t>
  </si>
  <si>
    <t xml:space="preserve">КТП-10кВ д.Татищево </t>
  </si>
  <si>
    <t xml:space="preserve">КТП-10кВ д.Отрадное-3 ФКРС  </t>
  </si>
  <si>
    <t xml:space="preserve">КТП-10кВ д.Дубовик </t>
  </si>
  <si>
    <t xml:space="preserve">КТП-10кВ Линьково </t>
  </si>
  <si>
    <t xml:space="preserve">КТП-10кВ д.Трунаево </t>
  </si>
  <si>
    <t xml:space="preserve">КТП-10кВ д.Сонинка </t>
  </si>
  <si>
    <t xml:space="preserve">КТП-10кВ д.Бурцево </t>
  </si>
  <si>
    <t xml:space="preserve">КТП-10кВ д.Солнечная </t>
  </si>
  <si>
    <t xml:space="preserve">КТП-10кВ д.Березка </t>
  </si>
  <si>
    <t xml:space="preserve">КТП-10кВ д.Шарки </t>
  </si>
  <si>
    <t xml:space="preserve">КТП-10кВ Грива-2  </t>
  </si>
  <si>
    <t xml:space="preserve">КТП-10 кВ Шмыки </t>
  </si>
  <si>
    <t>д.Ильенки</t>
  </si>
  <si>
    <t xml:space="preserve">КТП-10кВ д.Ильенки-1 быт </t>
  </si>
  <si>
    <t xml:space="preserve">КТП-10кВ д.Лесниково </t>
  </si>
  <si>
    <t xml:space="preserve">КТП-10кВ д.Безобразово </t>
  </si>
  <si>
    <t xml:space="preserve">КТП-10кВ д.Грива </t>
  </si>
  <si>
    <t xml:space="preserve">КТП-10кВ Слотня </t>
  </si>
  <si>
    <t xml:space="preserve">КТП-10кВ д.Оболонная </t>
  </si>
  <si>
    <t xml:space="preserve">КТП 10кВ д.Рассказово </t>
  </si>
  <si>
    <t xml:space="preserve">ТП-10кВ д.Пробойка </t>
  </si>
  <si>
    <t xml:space="preserve">КТП 10кВ д.Карзаново </t>
  </si>
  <si>
    <t>д.Холмец</t>
  </si>
  <si>
    <t xml:space="preserve">КТП-10кВ Холмец-3 </t>
  </si>
  <si>
    <t xml:space="preserve">КТП-10кВ д.Холмец -1 быт </t>
  </si>
  <si>
    <t xml:space="preserve">КТП-10кВ д.Холмец 2клуб </t>
  </si>
  <si>
    <t>КТП-10кВ Ильенки-2 клуб</t>
  </si>
  <si>
    <t xml:space="preserve">КТП 10кВ д.Холмец-5 КЗС </t>
  </si>
  <si>
    <t>КТП 10кВ д.Холмец-4 ФКРС</t>
  </si>
  <si>
    <t xml:space="preserve">КТП-10 кВ Холмец-6 ПСЛВ </t>
  </si>
  <si>
    <t>д.Подсосонники</t>
  </si>
  <si>
    <t>КТП 10кВ д.Подсосонники</t>
  </si>
  <si>
    <t xml:space="preserve">КТП-10кВ д.Редькино </t>
  </si>
  <si>
    <t xml:space="preserve">КТП 10кВ д.Чекулино </t>
  </si>
  <si>
    <t xml:space="preserve">КТП-10кВ д.Замошье </t>
  </si>
  <si>
    <t xml:space="preserve">КТП-10кВ д.Семерня </t>
  </si>
  <si>
    <t>д.Каденка</t>
  </si>
  <si>
    <t>КТП-10кВ Каденка-6 д/сад</t>
  </si>
  <si>
    <t xml:space="preserve">КТП-10 кВ Тислино </t>
  </si>
  <si>
    <t xml:space="preserve">КТП-10 кВ Каденка-2 котельная </t>
  </si>
  <si>
    <t xml:space="preserve">КТП 10кВ  Каденка 1 быт </t>
  </si>
  <si>
    <t xml:space="preserve">КТП-10кВ Каденка-4 АВМ </t>
  </si>
  <si>
    <t>КТП Каденка-5 МТМ</t>
  </si>
  <si>
    <t xml:space="preserve">КТП-10кВ д.Ключевня </t>
  </si>
  <si>
    <t>д.Свисталово</t>
  </si>
  <si>
    <t>КТП-10кВ д.Свисталово</t>
  </si>
  <si>
    <t xml:space="preserve">КТП-10кВ д.Каденка-3 школа </t>
  </si>
  <si>
    <t>д.Тархово</t>
  </si>
  <si>
    <t xml:space="preserve">КТП-10кВ д.Тархово-3 насос </t>
  </si>
  <si>
    <t>КТП-10кВ д.Тархово-1быт</t>
  </si>
  <si>
    <t xml:space="preserve">КТП-10кВ д.Тархово-2быт </t>
  </si>
  <si>
    <t xml:space="preserve">КТП-10кВ д.Воронино </t>
  </si>
  <si>
    <t xml:space="preserve">КТП-10кВ д.Богородицкое </t>
  </si>
  <si>
    <t xml:space="preserve">КТП-10кВ д.Васьково </t>
  </si>
  <si>
    <t xml:space="preserve">КТП-10кВ д.Жерносеково </t>
  </si>
  <si>
    <t xml:space="preserve">КТП-10кВ д.Мотькино </t>
  </si>
  <si>
    <t>д.Гусево</t>
  </si>
  <si>
    <t>КТП 10кВ Гусево-4</t>
  </si>
  <si>
    <t xml:space="preserve">КТП-10кВ д.Парфеново </t>
  </si>
  <si>
    <t xml:space="preserve">КТП-10кВ д.Гусево-1 МТМ </t>
  </si>
  <si>
    <t xml:space="preserve">КТП-10кВ д.Гусево-2 ФКРС </t>
  </si>
  <si>
    <t xml:space="preserve">КТП-10кВ д.Гусево 5 (кзс) </t>
  </si>
  <si>
    <t xml:space="preserve">КТП-10кВ д.Гусево-3 быт </t>
  </si>
  <si>
    <t xml:space="preserve">КТП 10кВ д.Коротни </t>
  </si>
  <si>
    <t>д.Воротьково</t>
  </si>
  <si>
    <t>КТП-10кВ Воротьково-3ФКРС</t>
  </si>
  <si>
    <t>д.Шиздерово</t>
  </si>
  <si>
    <t>КТП-10кВ  Шиздерово</t>
  </si>
  <si>
    <t>д.Подорваново</t>
  </si>
  <si>
    <t>КТП 10кВ д.Подорваново</t>
  </si>
  <si>
    <t>КТП-10кВ Воротьково 4 ЗСП</t>
  </si>
  <si>
    <t>КТП-10кВ д.Александровка</t>
  </si>
  <si>
    <t>д.Саниково</t>
  </si>
  <si>
    <t>КТП-10кВ д.Саниково</t>
  </si>
  <si>
    <t>КТП-10кВ Воротьково-1быт</t>
  </si>
  <si>
    <t xml:space="preserve">КТП-10кВ д.Воротьково-2 </t>
  </si>
  <si>
    <t>КТП-10кВ д.Староселье</t>
  </si>
  <si>
    <t xml:space="preserve">КТП-10кВ Городок-2 ЗСП  </t>
  </si>
  <si>
    <t xml:space="preserve">КТП-10кВ д.Трепацкие </t>
  </si>
  <si>
    <t xml:space="preserve">КТП 10кВ д.Новинка </t>
  </si>
  <si>
    <t xml:space="preserve">КТП 10кВ д.Пасино </t>
  </si>
  <si>
    <t xml:space="preserve">КТП-10кВ Городок-3 быт </t>
  </si>
  <si>
    <t xml:space="preserve">КТП-10кВ Городок-1 МТМ </t>
  </si>
  <si>
    <t xml:space="preserve">КТП-10кВ Елизарово </t>
  </si>
  <si>
    <t xml:space="preserve">КТП-10кВ д.Аканиково </t>
  </si>
  <si>
    <t>КТП-10кВ д.Морозово</t>
  </si>
  <si>
    <t>Старицкий</t>
  </si>
  <si>
    <t>ЗТП-10кВ д.Берново Спиртзавод №15 Бернов</t>
  </si>
  <si>
    <t>ЗТП-10кВ д.Бороздино-3 ВЛ №29 Старица</t>
  </si>
  <si>
    <t>д.Васильевское</t>
  </si>
  <si>
    <t>ЗТП-10кВ д.Васильевское-2 ф.5 Задн.Поле</t>
  </si>
  <si>
    <t>д.Кореничено</t>
  </si>
  <si>
    <t>ЗТП-10кВ д.Кореничено-3 №05 Старица</t>
  </si>
  <si>
    <t>ЗТП-10кВ д.Родня(поселок) Ф.4 Родня</t>
  </si>
  <si>
    <t>ЗТП-10кВ д.Степурино-1 №11 Степурино</t>
  </si>
  <si>
    <t>ЗТП-10кВ д.Чукавино-2 КВЛ №33 Старица</t>
  </si>
  <si>
    <t>д.Юрьевское</t>
  </si>
  <si>
    <t>ЗТП-10кВ д.Юрьевское-1 №15 Степурино</t>
  </si>
  <si>
    <t>Ст.Старица</t>
  </si>
  <si>
    <t>ЗТП-10кВ Заготзерно КВЛ №17 Старица</t>
  </si>
  <si>
    <t>с.Емельяново</t>
  </si>
  <si>
    <t>ЗТП-10кВ с.Емельяново школа ф.2 Зад.поле</t>
  </si>
  <si>
    <t>ЗТП-10кВ С/х техника-2 КВЛ №17 Старица</t>
  </si>
  <si>
    <t>КТП-10кВ c.Архангельское-1 ф.1 Задн.Поле</t>
  </si>
  <si>
    <t>Максимово</t>
  </si>
  <si>
    <t>КТП-10кВ Cклад ВЛ №07 ПС Максимово</t>
  </si>
  <si>
    <t>д.Степино</t>
  </si>
  <si>
    <t>КТП-10кВ база СРЭС ф.9 Луковниково</t>
  </si>
  <si>
    <t>КТП-10кВ Гаражи КВЛ №19 Старица</t>
  </si>
  <si>
    <t>Старица</t>
  </si>
  <si>
    <t>КТП-10кВ Гоголево-1(д/сад) №17 Старица</t>
  </si>
  <si>
    <t>КТП-10кВ Гоголево-2(мастерск)№17 Старица</t>
  </si>
  <si>
    <t>КТП-10кВ Гоголево-3(пилорама)№17 Старица</t>
  </si>
  <si>
    <t>КТП-10кВ д.Авангард-Беклово ф.3 Луковник</t>
  </si>
  <si>
    <t>КТП-10кВ д.Акишево-Кучково ф.4 З.Поле</t>
  </si>
  <si>
    <t>КТП-10кВ д.Алаево №15 Степурино</t>
  </si>
  <si>
    <t>КТП-10кВ д.Алферьево №04 Максимово</t>
  </si>
  <si>
    <t>КТП-10кВ д.Алферьево №16 Степурино</t>
  </si>
  <si>
    <t>КТП-10кВ д.Андрианково ф.2 Заднее Поле</t>
  </si>
  <si>
    <t>КТП-10кВ д.Антониха ф.1 Луковниково</t>
  </si>
  <si>
    <t>КТП-10кВ д.Аполишено ф.2 Заднее Поле</t>
  </si>
  <si>
    <t>КТП-10кВ д.Апухлицы ф.2 Заднее Поле</t>
  </si>
  <si>
    <t>КТП-10кВ д.Б.Волково №19 Степурино</t>
  </si>
  <si>
    <t>КТП-10кВ д.Б.Капково ф.3 Луковниково</t>
  </si>
  <si>
    <t>КТП-10кВ д.Б.Коптево КВЛ №17 Старица</t>
  </si>
  <si>
    <t>КТП-10кВ д.Б.Хорошово ф.3 Луковниково</t>
  </si>
  <si>
    <t>КТП-10кВ д.Бабенки ф.1 Луковниково</t>
  </si>
  <si>
    <t>КТП-10кВ д.Бабино-1 ф.3 Луковниково</t>
  </si>
  <si>
    <t>КТП-10кВ д.Бабино-2 ф.3 Луковниково</t>
  </si>
  <si>
    <t>КТП-10кВ д.Бабино-3 ф.3 Луковниково</t>
  </si>
  <si>
    <t>КТП-10кВ д.Бабино-4 ф.3 Луковниково</t>
  </si>
  <si>
    <t>КТП-10кВ д.Бабино-5 ф.3 Луковниково</t>
  </si>
  <si>
    <t>КТП-10кВ д.Бабынино-1 №16 Степурино</t>
  </si>
  <si>
    <t>д.Бабынино</t>
  </si>
  <si>
    <t>КТП-10кВ д.Бабынино-2 №16 Степурино</t>
  </si>
  <si>
    <t>КТП-10кВ д.Бабынино-3 №16 Степурино</t>
  </si>
  <si>
    <t>КТП-10кВ д.Бабынино-5 №16 Степурино</t>
  </si>
  <si>
    <t>КТП-10кВ д.Бабынино-6 №16 Степурино</t>
  </si>
  <si>
    <t>КТП-10кВ д.Бабынино-7 №16 Степурино</t>
  </si>
  <si>
    <t>КТП-10кВ д.Бабынино-9 №10 Степурино</t>
  </si>
  <si>
    <t>КТП-10кВ д.Баканово ф.4 Родня</t>
  </si>
  <si>
    <t>КТП-10кВ д.Бакланово ф.2 Заднее Поле</t>
  </si>
  <si>
    <t>КТП-10кВ д.Бакшеево ф.10 Заднее Поле</t>
  </si>
  <si>
    <t>КТП-10кВ д.Балашутино №13 Степурино</t>
  </si>
  <si>
    <t>КТП-10кВ д.Барашевские горки №17 Старица</t>
  </si>
  <si>
    <t>д.Барашово</t>
  </si>
  <si>
    <t>КТП-10кВ д.Барашово КВЛ №17 Старица</t>
  </si>
  <si>
    <t>КТП-10кВ д.Башмаково №08 Старица</t>
  </si>
  <si>
    <t>КТП-10кВ д.Бели ВЛ-10кВ №15 Максимово</t>
  </si>
  <si>
    <t>КТП-10кВ д.Березниково №16 Степурино</t>
  </si>
  <si>
    <t>д.Берново</t>
  </si>
  <si>
    <t>КТП-10кВ д.Берново Газ.кот №09 Берново</t>
  </si>
  <si>
    <t>КТП-10кВ д.Берново школа №09 Берново</t>
  </si>
  <si>
    <t>КТП-10кВ д.Берново эстрада №09 Берново</t>
  </si>
  <si>
    <t>КТП-10кВ д.Берново-музей №09 Берново</t>
  </si>
  <si>
    <t>КТП-10кВ д.Благинино ф.10 Заднее Поле</t>
  </si>
  <si>
    <t>КТП-10кВ д.Богоявление №13 Старица</t>
  </si>
  <si>
    <t>д.Бойково</t>
  </si>
  <si>
    <t>КТП-10кВ д.Бойково-1 ВЛ №29 Старица</t>
  </si>
  <si>
    <t>КТП-10кВ д.Бойково-2 ВЛ №29 Старица</t>
  </si>
  <si>
    <t>КТП-10кВ д.Бойково-3 ВЛ №29 Старица</t>
  </si>
  <si>
    <t>КТП-10кВ д.Бойково-4 ВЛ №29 Старица</t>
  </si>
  <si>
    <t>КТП-10кВ д.Болдырево №15 Степурино</t>
  </si>
  <si>
    <t>КТП-10кВ д.Болдырево ф.2 Заднее Поле</t>
  </si>
  <si>
    <t>д.Болотьково</t>
  </si>
  <si>
    <t>КТП-10кВ д.Болотьково ф.2 Заднее Поле</t>
  </si>
  <si>
    <t>КТП-10кВ д.Бороздино-1 ВЛ №29 Старица</t>
  </si>
  <si>
    <t>КТП-10кВ д.Бороздино-2 ВЛ №29 Старица</t>
  </si>
  <si>
    <t>д.Боронкино</t>
  </si>
  <si>
    <t>КТП-10кВ д.Боронкино ф.1 РП Орешки</t>
  </si>
  <si>
    <t>КТП-10кВ д.Ботнево ВЛ №15 Максимово</t>
  </si>
  <si>
    <t>КТП-10кВ д.Братково-1(ферма)ВЛ №08 Макси</t>
  </si>
  <si>
    <t>КТП-10кВ д.Братково-2 ВЛ №08 Максимово</t>
  </si>
  <si>
    <t>КТП-10кВ д.Братково-3 ВЛ №15 Максимово</t>
  </si>
  <si>
    <t>КТП-10кВ д.Броды-1 ф.4 Заднее Поле</t>
  </si>
  <si>
    <t>КТП-10кВ д.Броды-2 ф.4 Заднее Поле</t>
  </si>
  <si>
    <t>КТП-10кВ д.Брызгалово №19 Степурино</t>
  </si>
  <si>
    <t>КТП-10кВ д.Брюхово ф.10 Заднее Поле</t>
  </si>
  <si>
    <t>д.Бураково</t>
  </si>
  <si>
    <t>КТП-10кВ д.Бураково ф.1 Луковниково</t>
  </si>
  <si>
    <t>КТП-10кВ д.Бураково ф.4 Родня</t>
  </si>
  <si>
    <t>КТП-10кВ д.Бутово ф.4 Заднее Поле</t>
  </si>
  <si>
    <t>КТП-10кВ д.Валуйки ф.5 Заднее Поле</t>
  </si>
  <si>
    <t>КТП-10кВ д.Вардугино-Селютино ф.2 Лук-в</t>
  </si>
  <si>
    <t>КТП-10кВ д.Васильевское ф. 4 Родня</t>
  </si>
  <si>
    <t>КТП-10кВ д.Васильевское-1 ф.5 З.Поле</t>
  </si>
  <si>
    <t>КТП-10кВ д.Васильевское-3 ф.5 З.Поле</t>
  </si>
  <si>
    <t>КТП-10кВ д.Васильевское-4 КЗС ф.5 З.Поле</t>
  </si>
  <si>
    <t>КТП-10кВ д.Васильевское-5 ф.5 З.Поле</t>
  </si>
  <si>
    <t>КТП-10кВ д.Витомово ф.2 Заднее Поле</t>
  </si>
  <si>
    <t>КТП-10кВ д.Воеводино ф.4 Заднее Поле</t>
  </si>
  <si>
    <t>КТП-10кВ д.Возницы-Глебово №16 Степурино</t>
  </si>
  <si>
    <t>КТП-10кВ д.Выгайлово ф.10 Заднее Поле</t>
  </si>
  <si>
    <t>КТП-10кВ д.Высокое №13 Степурино</t>
  </si>
  <si>
    <t>КТП-10кВ д.Глазуново №09 Берново</t>
  </si>
  <si>
    <t>КТП-10кВ д.Гнездово №13 Степурино</t>
  </si>
  <si>
    <t>КТП-10кВ д.Головино ф.4 Родня</t>
  </si>
  <si>
    <t>КТП-10кВ д.Голубково №08 Максимово</t>
  </si>
  <si>
    <t>КТП-10кВ д.Гольшино ф.5 Заднее Поле</t>
  </si>
  <si>
    <t>КТП-10кВ д.Горки ф.4 Заднее Поле</t>
  </si>
  <si>
    <t>КТП-10кВ д.Городище ф.4 Заднее Поле</t>
  </si>
  <si>
    <t>КТП-10кВ д.Гостенево котдж ф.2 Заднее По</t>
  </si>
  <si>
    <t>КТП-10кВ д.Гостенево-3 ф.2 Заднее Поле</t>
  </si>
  <si>
    <t>д.Грешнево</t>
  </si>
  <si>
    <t>КТП-10кВ д.Грешнево ф.4 Луковниково</t>
  </si>
  <si>
    <t>КТП-10кВ д.Григорево ф.4 Родня</t>
  </si>
  <si>
    <t>КТП-10кВ д.Гришкино ф.4 Орешки</t>
  </si>
  <si>
    <t>КТП-10кВ д.Грыжнево №04 Максимово</t>
  </si>
  <si>
    <t>КТП-10кВ д.Гурьево-1 №19 Степурино</t>
  </si>
  <si>
    <t>КТП-10кВ д.Гурьево-2 №19 Степурино</t>
  </si>
  <si>
    <t>КТП-10кВ д.Гурьево-3 №19 Степурино</t>
  </si>
  <si>
    <t>КТП-10кВ д.Гурьево-4 №19 Степурино</t>
  </si>
  <si>
    <t>КТП-10кВ д.Данилова Слобода №13 Старица</t>
  </si>
  <si>
    <t>КТП-10кВ д.Даниловское ф.2 Заднее Поле</t>
  </si>
  <si>
    <t>д.Дарьино</t>
  </si>
  <si>
    <t>КТП-10кВ д.Дарьино-1 ф.1 Луковниково</t>
  </si>
  <si>
    <t>КТП-10кВ д.Дарьино-2 ф.9 Луковниково</t>
  </si>
  <si>
    <t>КТП-10кВ д.Дарьино-3 ф.9 Луковниково</t>
  </si>
  <si>
    <t>КТП-10кВ д.Дворики №10 Степурино</t>
  </si>
  <si>
    <t>д.Дворцы</t>
  </si>
  <si>
    <t>КТП-10кВ д.Дворцы ф.8 Луковниково</t>
  </si>
  <si>
    <t>КТП-10кВ д.Демихово ф.2 Заднее Поле</t>
  </si>
  <si>
    <t>КТП-10кВ д.Денежное-1 ф.1 Луковниково</t>
  </si>
  <si>
    <t>д.Денежное</t>
  </si>
  <si>
    <t>КТП-10кВ д.Денежное-2 ф.1 Луковниково</t>
  </si>
  <si>
    <t>КТП-10кВ д.Денежное-3 ф.1 Луковниково</t>
  </si>
  <si>
    <t>КТП-10кВ д.Денесиха ф.4 Орешки</t>
  </si>
  <si>
    <t>КТП-10кВ д.Дерягино  ф.4 Заднее Поле</t>
  </si>
  <si>
    <t>КТП-10кВ д.Десятины №16 Степурино</t>
  </si>
  <si>
    <t>КТП-10кВ д.Дмитрово ф.9 Луковниково</t>
  </si>
  <si>
    <t>д.Дорохово</t>
  </si>
  <si>
    <t>КТП-10кВ д.Дорохово-2 ВЛ №29 Старица</t>
  </si>
  <si>
    <t>КТП-10кВ д.Дубровино-1 ф.10 Заднее Поле</t>
  </si>
  <si>
    <t>КТП-10кВ д.Дубровино-3 ф.10 Заднее Поле</t>
  </si>
  <si>
    <t>КТП-10кВ д.Дягунино ф.4 Родня</t>
  </si>
  <si>
    <t>КТП-10кВ д.Елизаветкино ф.4 Родня</t>
  </si>
  <si>
    <t>КТП-10кВ д.Емельяново ул.Зах. ф.2 З.Поле</t>
  </si>
  <si>
    <t>д.Емельяново</t>
  </si>
  <si>
    <t>КТП-10кВ д.Емельяново-1 ф.2 Заднее Поле</t>
  </si>
  <si>
    <t>КТП-10кВ д.Емельяново-3 ф.2 Заднее Поле</t>
  </si>
  <si>
    <t>КТП-10кВ д.Емельяново-4 ф.2 Заднее Поле</t>
  </si>
  <si>
    <t>КТП-10кВ д.Емельяново-5 ф.2 Заднее Поле</t>
  </si>
  <si>
    <t>КТП-10кВ д.Емельяново-6 ф.2 Заднее Поле</t>
  </si>
  <si>
    <t>КТП-10кВ д.Ермачево ф.5 Заднее Поле</t>
  </si>
  <si>
    <t>д.Заблино</t>
  </si>
  <si>
    <t>КТП-10кВ д.Заблино(кор)КВЛ №17 Старица</t>
  </si>
  <si>
    <t>КТП-10кВ д.Задорье ф.4 Луковниково</t>
  </si>
  <si>
    <t>КТП-10кВ д.Заречье-1 мастер.№19 Берново</t>
  </si>
  <si>
    <t>КТП-10кВ д.Заречье-2 ж/дома №19 Берново</t>
  </si>
  <si>
    <t>КТП-10кВ д.Заречье-4 деревня №15 Берново</t>
  </si>
  <si>
    <t>КТП-10кВ д.Зашейково ф.2 Заднее Поле</t>
  </si>
  <si>
    <t>КТП-10кВ д.Змеевы Горки-1 №06 Старица</t>
  </si>
  <si>
    <t>КТП-10кВ д.Знаменка ф.4 Заднее Поле</t>
  </si>
  <si>
    <t>КТП-10кВ д.Знаменское ф.4 Родня</t>
  </si>
  <si>
    <t>КТП-10кВ д.Иваниш.Горки ф.2 Заднее Поле</t>
  </si>
  <si>
    <t>КТП-10кВ д.Иваниши ф.10 Заднее Поле</t>
  </si>
  <si>
    <t>КТП-10кВ д.Ивановское №19 Степурино</t>
  </si>
  <si>
    <t>КТП-10кВ д.Ивановское ф.4 Родня</t>
  </si>
  <si>
    <t>КТП-10кВ д.Ивачево ф.4 Заднее Поле</t>
  </si>
  <si>
    <t>КТП-10кВ д.Иверское-1 ф.5 Заднее Поле</t>
  </si>
  <si>
    <t>д.Иверское</t>
  </si>
  <si>
    <t>КТП-10кВ д.Иверское-2 ферм ф.5 Задн.Поле</t>
  </si>
  <si>
    <t>КТП-10кВ д.Игуменка ф.5 Заднее Поле</t>
  </si>
  <si>
    <t>КТП-10кВ д.Игутьево ф.4 Заднее Поле</t>
  </si>
  <si>
    <t>КТП-10кВ д.Избихино-Титово ВЛ №15 Максим</t>
  </si>
  <si>
    <t>д.Илейкино</t>
  </si>
  <si>
    <t>КТП-10кВ д.Илейкино-1 ф.3 Луковниково</t>
  </si>
  <si>
    <t>КТП-10кВ д.Илейкино-2 ф.3 Луковниково</t>
  </si>
  <si>
    <t>КТП-10кВ д.Ильинское КВЛ №17 Старица</t>
  </si>
  <si>
    <t>КТП-10кВ д.Иовлево №17 Берново</t>
  </si>
  <si>
    <t>КТП-10кВ д.Искрино №04 Максимово</t>
  </si>
  <si>
    <t>КТП-10кВ д.Ищино КВЛ №17 Старица</t>
  </si>
  <si>
    <t>КТП-10кВ д.Каськово №17 Берново</t>
  </si>
  <si>
    <t>д.Климово</t>
  </si>
  <si>
    <t>КТП-10кВ д.Климово №08 Максимово</t>
  </si>
  <si>
    <t>КТП-10кВ д.Климово №09 Берново</t>
  </si>
  <si>
    <t>КТП-10кВ д.Климово №13 Степурино</t>
  </si>
  <si>
    <t>КТП-10кВ д.Климово ф.3 Заднее Поле</t>
  </si>
  <si>
    <t>КТП-10кВ д.Кожевниково-Корневки ф.01 Бер</t>
  </si>
  <si>
    <t>КТП-10кВ д.Козлово №19 Степурино</t>
  </si>
  <si>
    <t>КТП-10кВ д.Козлово ф.5 Заднее Поле</t>
  </si>
  <si>
    <t>КТП-10кВ д.Кознаково ф.5 Заднее Поле</t>
  </si>
  <si>
    <t>КТП-10кВ д.Коконягино ф.10 Заднее Поле</t>
  </si>
  <si>
    <t>КТП-10кВ д.Коленицы ф.4 Заднее Поле</t>
  </si>
  <si>
    <t>д.Колесово</t>
  </si>
  <si>
    <t>КТП-10кВ д.Колесово №06 Старица</t>
  </si>
  <si>
    <t>КТП-10кВ д.Коньково-1(маст)№19 Старица</t>
  </si>
  <si>
    <t>д.Коньково</t>
  </si>
  <si>
    <t>КТП-10кВ д.Коньково-2 КЗС №19 Старица</t>
  </si>
  <si>
    <t>КТП-10кВ д.Коньково-3 дер. №19 Старица</t>
  </si>
  <si>
    <t>КТП-10кВ д.Коняшено ф.4 Луковниково</t>
  </si>
  <si>
    <t>КТП-10кВ д.Кореничено-1 №13 Старица</t>
  </si>
  <si>
    <t>КТП-10кВ д.Кореничено-2 №13 Старица</t>
  </si>
  <si>
    <t>КТП-10кВ д.Кореничено-4 №05 Старица</t>
  </si>
  <si>
    <t>КТП-10кВ д.Коробово №13 Старица</t>
  </si>
  <si>
    <t>КТП-10кВ д.Кошево-Волга ф.4 Заднее Поле</t>
  </si>
  <si>
    <t>КТП-10кВ д.Красное Ж/К №04 Максимово</t>
  </si>
  <si>
    <t>КТП-10кВ д.Красное школа-2 №04 Максимово</t>
  </si>
  <si>
    <t>КТП-10кВ д.Красное-1 школа №04 Максимово</t>
  </si>
  <si>
    <t>КТП-10кВ д.Красное-2 д/сад №04 Максимово</t>
  </si>
  <si>
    <t>КТП-10кВ д.Красное-4 мастер.№04 Максимов</t>
  </si>
  <si>
    <t>КТП-10кВ д.Красное-5 сушка №04 Максимово</t>
  </si>
  <si>
    <t>КТП-10кВ д.Красноселье ф.2 Луковниково</t>
  </si>
  <si>
    <t>КТП-10кВ д.Крутцы №09 Берново</t>
  </si>
  <si>
    <t>КТП-10кВ д.Кузнецовка ф.9 Луковниково</t>
  </si>
  <si>
    <t>КТП-10кВ д.Куково №08 Старица</t>
  </si>
  <si>
    <t>КТП-10кВ д.Кунилово ф.3 З.Поле</t>
  </si>
  <si>
    <t>КТП-10кВ д.Курово ф.2 Заднее Поле</t>
  </si>
  <si>
    <t>КТП-10кВ д.Курцово ф.3 Заднее Поле</t>
  </si>
  <si>
    <t>КТП-10кВ д.Кушниково ВЛ №03 Максимово</t>
  </si>
  <si>
    <t>д.Лава</t>
  </si>
  <si>
    <t>КТП-10кВ д.Лава ф.3 Луковниково</t>
  </si>
  <si>
    <t>КТП-10кВ д.Левашово ф.3 Заднее Поле</t>
  </si>
  <si>
    <t>КТП-10кВ д.Лединки ф.1 Родня</t>
  </si>
  <si>
    <t>д.Лединки-Ведерниково</t>
  </si>
  <si>
    <t>КТП-10кВ д.Лединки-Ведерниково №08 Стари</t>
  </si>
  <si>
    <t>КТП-10кВ д.Лежнево №15 Степурино</t>
  </si>
  <si>
    <t>д.Леушкино</t>
  </si>
  <si>
    <t>КТП-10кВ д.Леушкино ф.2 Заднее Поле</t>
  </si>
  <si>
    <t>КТП-10кВ д.Лешково ф.4 Родня</t>
  </si>
  <si>
    <t>КТП-10кВ д.Липино КВЛ №15 Старица</t>
  </si>
  <si>
    <t>КТП-10кВ д.Лопатино ф.5 Заднее Поле</t>
  </si>
  <si>
    <t>КТП-10кВ д.Луговая-1 АЗС КВЛ №19 Старица</t>
  </si>
  <si>
    <t>д.Луговая</t>
  </si>
  <si>
    <t>КТП-10кВ д.Луговая-2 КВЛ №19 Старица</t>
  </si>
  <si>
    <t>д.Лужи</t>
  </si>
  <si>
    <t>КТП-10кВ д.Лужи-1 КВЛ №17 Старица</t>
  </si>
  <si>
    <t>КТП-10кВ д.Лужи-2 КВЛ №17 Старица</t>
  </si>
  <si>
    <t>д.Луковниково</t>
  </si>
  <si>
    <t>КТП-10кВ д.Луковниково-1 ф.2 Луковниково</t>
  </si>
  <si>
    <t>КТП-10кВ д.Луковниково-2 ф.2 Луковниково</t>
  </si>
  <si>
    <t>КТП-10кВ д.Луковниково-3 ф.2 Луковниково</t>
  </si>
  <si>
    <t>КТП-10кВ д.Луковниково-4 ф.2 Луковниково</t>
  </si>
  <si>
    <t>КТП-10кВ д.Луковниково-5 ф.2 Луковниково</t>
  </si>
  <si>
    <t>д.Лыдкино</t>
  </si>
  <si>
    <t>КТП-10кВ д.Лыдкино №19 Степурино</t>
  </si>
  <si>
    <t>д.Лыткино</t>
  </si>
  <si>
    <t>КТП-10кВ д.Лыткино ф.4 РП Орешки</t>
  </si>
  <si>
    <t>КТП-10кВ д.Львово ф.2 Родня</t>
  </si>
  <si>
    <t>КТП-10кВ д.Льгово ВЛ №29 Старица</t>
  </si>
  <si>
    <t>КТП-10кВ д.Ляхово №19 Степурино</t>
  </si>
  <si>
    <t>КТП-10кВ д.М.Волково №16 Степурино</t>
  </si>
  <si>
    <t>КТП-10кВ д.М.Коптево КВЛ №17 Старица</t>
  </si>
  <si>
    <t>КТП-10кВ д.М.Хорошово ф.3 Луковниково</t>
  </si>
  <si>
    <t>д.Максимово</t>
  </si>
  <si>
    <t>КТП-10кВ д.Максимово-1 ВЛ №06 Максимово</t>
  </si>
  <si>
    <t>КТП-10кВ д.Максимово-2 ВЛ №06 Максимово</t>
  </si>
  <si>
    <t>КТП-10кВ д.Максимово-3 ВЛ №06 Максимово</t>
  </si>
  <si>
    <t>КТП-10кВ д.Максимово-4 ВЛ №06 Максимово</t>
  </si>
  <si>
    <t>КТП-10кВ д.Малинники №09 Берново</t>
  </si>
  <si>
    <t>д.Мартьяново</t>
  </si>
  <si>
    <t>КТП-10кВ д.Мартьяново-1 №13 Старица</t>
  </si>
  <si>
    <t>КТП-10кВ д.Мартьяново-2 №13 Старица</t>
  </si>
  <si>
    <t>КТП-10кВ д.Мартьяново-3 №13 Старица</t>
  </si>
  <si>
    <t>КТП-10кВ д.Маслово №04 Максимово</t>
  </si>
  <si>
    <t>КТП-10кВ д.Матюково-1 ф.5 Заднее Поле</t>
  </si>
  <si>
    <t>д.Матюково</t>
  </si>
  <si>
    <t>КТП-10кВ д.Матюково-2 ф.5 З.Поле</t>
  </si>
  <si>
    <t>КТП-10кВ д.Мелтучи ф.1 Родня</t>
  </si>
  <si>
    <t>КТП-10кВ д.Минино-Холмец ф.8 Луковниково</t>
  </si>
  <si>
    <t>д.Мичково</t>
  </si>
  <si>
    <t>КТП-10кВ д.Мичково №23 Степурино</t>
  </si>
  <si>
    <t>КТП-10кВ д.Моисеево-Анцинориха ф.9 Лук.</t>
  </si>
  <si>
    <t>д.Молоково</t>
  </si>
  <si>
    <t>КТП-10кВ д.Молоково-1 №05 Старица</t>
  </si>
  <si>
    <t>КТП-10кВ д.Молоково-2 №05 Старица</t>
  </si>
  <si>
    <t>КТП-10кВ д.Молотино ф.2 Заднее Поле</t>
  </si>
  <si>
    <t>КТП-10кВ д.Мошино №13 Степурино</t>
  </si>
  <si>
    <t>КТП-10кВ д.Н-Ямская-1 ул.Садовая №19 Ста</t>
  </si>
  <si>
    <t>КТП-10кВ д.Н-Ямская-3 КЗС №19 Старица</t>
  </si>
  <si>
    <t>д.Н-Ямская</t>
  </si>
  <si>
    <t>КТП-10кВ д.Н-Ямская-5 ПСЛВ №19 Старица</t>
  </si>
  <si>
    <t>КТП-10кВ д.Н-Ямская-6(дерев)№19 Старица</t>
  </si>
  <si>
    <t>КТП-10кВ д.Н-Ямская(котельн) №19 Старица</t>
  </si>
  <si>
    <t>КТП-10кВ д.Н.Кобелево-Заболотье ф.19Степ</t>
  </si>
  <si>
    <t>КТП-10кВ д.Н.Ямская-4(приют)№19 Старица</t>
  </si>
  <si>
    <t>д.Налеткино</t>
  </si>
  <si>
    <t>КТП-10кВ д.Налеткино №04 Максимово</t>
  </si>
  <si>
    <t>КТП-10кВ д.Нащекино ф.3 Луковниково</t>
  </si>
  <si>
    <t>КТП-10кВ д.Неверово №17 Берново</t>
  </si>
  <si>
    <t>д.Негодяиха</t>
  </si>
  <si>
    <t>КТП-10кВ д.Негодяиха</t>
  </si>
  <si>
    <t>КТП-10кВ д.Неклюдово №13 Старица</t>
  </si>
  <si>
    <t>д.Нестерово</t>
  </si>
  <si>
    <t>КТП-10кВ д.Нестерово-1 ф.4 Заднее Поле</t>
  </si>
  <si>
    <t>КТП-10кВ д.Нестерово-2 ф.4 Заднее Поле</t>
  </si>
  <si>
    <t>КТП-10кВ д.Ниж.и Верх.Спасс ф.10 Зад.Пол</t>
  </si>
  <si>
    <t>КТП-10кВ д.Никольское №13 Степурино</t>
  </si>
  <si>
    <t>КТП-10кВ д.Никулино №14 Степурино</t>
  </si>
  <si>
    <t>КТП-10кВ д.Нисконицы ф.1 РП Орешки</t>
  </si>
  <si>
    <t>д.Ново-Дмитрово</t>
  </si>
  <si>
    <t>КТП-10кВ д.Ново-Дмитрово №08 Старица</t>
  </si>
  <si>
    <t>д.Ново-Ямская</t>
  </si>
  <si>
    <t>КТП-10кВ д.Ново-Ямская-7(пос)№19 Стариц</t>
  </si>
  <si>
    <t>КТП-10кВ д.Новое-1 деревня ф.5 З.Поле</t>
  </si>
  <si>
    <t>КТП-10кВ д.Новое-1 к/з №08 Максимово</t>
  </si>
  <si>
    <t>КТП-10кВ д.Новое-2 №08 Максимово</t>
  </si>
  <si>
    <t>КТП-10кВ д.Новое-2 сушилка ф.5 Задн.Поле</t>
  </si>
  <si>
    <t>КТП-10кВ д.Новое-3 ВЛ №08 Максимово</t>
  </si>
  <si>
    <t>КТП-10кВ д.Новое-4 №08 Максимово</t>
  </si>
  <si>
    <t>КТП-10кВ д.Новое-4 ф.5 Заднее Поле</t>
  </si>
  <si>
    <t>КТП-10кВ д.Овсянниково ф.4 Родня</t>
  </si>
  <si>
    <t>д.Ордино</t>
  </si>
  <si>
    <t>КТП-10кВ д.Ордино ф.1 Родня</t>
  </si>
  <si>
    <t>д.Орешки</t>
  </si>
  <si>
    <t>КТП-10кВ д.Орешки-1 ЗСП(д/с)ф.2 Орешки</t>
  </si>
  <si>
    <t>КТП-10кВ д.Орешки-1(насосн)ф.3 Орешки</t>
  </si>
  <si>
    <t>КТП-10кВ д.Орешки-2 ЖК ф.3 Орешки</t>
  </si>
  <si>
    <t>КТП-10кВ д.Орешки-2(дерев)ф.2 Орешки</t>
  </si>
  <si>
    <t>КТП-10кВ д.Орлово ф.1 Родня</t>
  </si>
  <si>
    <t>КТП-10кВ д.Орлово-2 мастерск. ф.1 Родня</t>
  </si>
  <si>
    <t>д.Орлово</t>
  </si>
  <si>
    <t>КТП-10кВ д.Орлово-3 ф.1 Родня</t>
  </si>
  <si>
    <t>КТП-10кВ д.Орлово-4 КЗС ф.1 Родня</t>
  </si>
  <si>
    <t>КТП-10кВ д.Осипово №11 Степурино</t>
  </si>
  <si>
    <t>КТП-10кВ д.Павликово ф.1 Луковниково</t>
  </si>
  <si>
    <t>КТП-10кВ д.Павловское ф.9 Луковниково</t>
  </si>
  <si>
    <t>КТП-10кВ д.Панафидино ф.2 Заднее Поле</t>
  </si>
  <si>
    <t>д.Паньково</t>
  </si>
  <si>
    <t>КТП-10кВ д.Паньково-1 школа № 08 Старица</t>
  </si>
  <si>
    <t>КТП-10кВ д.Паньково-2 д/с №08 Старица</t>
  </si>
  <si>
    <t>КТП-10кВ д.Паньково-3 кзс №08 Старица</t>
  </si>
  <si>
    <t>КТП-10кВ д.Паньково-4 ЗСП №08 Старица</t>
  </si>
  <si>
    <t>КТП-10кВ д.Паньково-5 мастр №08 Старица</t>
  </si>
  <si>
    <t>КТП-10кВ д.Паньково-6 ж/к №08 Старица</t>
  </si>
  <si>
    <t>КТП-10кВ д.Пентурово водок. №08 Старица</t>
  </si>
  <si>
    <t>КТП-10кВ д.Пентурово-Железово №08 Стариц</t>
  </si>
  <si>
    <t>КТП-10кВ д.Пепелово-Никиткино ф.1 Луковн</t>
  </si>
  <si>
    <t>д.Перветино</t>
  </si>
  <si>
    <t>КТП-10кВ д.Перветино №14 Степурино</t>
  </si>
  <si>
    <t>КТП-10кВ д.Перхурово №13 Старица</t>
  </si>
  <si>
    <t>КТП-10кВ д.Петрищево ф.4 Луковниково</t>
  </si>
  <si>
    <t>д.Погост-Черемушки</t>
  </si>
  <si>
    <t>КТП-10кВ д.Погост-Черемушк №13 Степурино</t>
  </si>
  <si>
    <t>КТП-10кВ д.Подвязье №06 Старица</t>
  </si>
  <si>
    <t>КТП-10кВ д.Подсосанье №09 Берново</t>
  </si>
  <si>
    <t>д.Подсосонье</t>
  </si>
  <si>
    <t>КТП-10кВ д.Подсосонье №08 Старица</t>
  </si>
  <si>
    <t>КТП-10кВ д.Покровское-1 КВЛ №17 Старица</t>
  </si>
  <si>
    <t>КТП-10кВ д.Покровское-2 КВЛ №17 Старица</t>
  </si>
  <si>
    <t>КТП-10кВ д.Покровское-3(КЗС)№17 Старица</t>
  </si>
  <si>
    <t>КТП-10кВ д.Покровское-4 КВЛ №17 Старица</t>
  </si>
  <si>
    <t>КТП-10кВ д.Покровское-5 КВЛ №17 Старица</t>
  </si>
  <si>
    <t>д.Попадьино</t>
  </si>
  <si>
    <t>КТП-10кВ д.Попадьино ВЛ №29 Старица</t>
  </si>
  <si>
    <t>КТП-10кВ д.Попово №16 Степурино</t>
  </si>
  <si>
    <t>КТП-10кВ д.Попово-Берлягино №08 Старица</t>
  </si>
  <si>
    <t>КТП-10кВ д.Прасковьино-Сущево №08 Стариц</t>
  </si>
  <si>
    <t>КТП-10кВ д.Рамейково ф.5 Заднее Поле</t>
  </si>
  <si>
    <t>КТП-10кВ д.Раменье КВЛ №17 Старица</t>
  </si>
  <si>
    <t>КТП-10кВ д.Репинки ф.2 Заднее Поле</t>
  </si>
  <si>
    <t>КТП-10кВ д.Репино №16 Степурино</t>
  </si>
  <si>
    <t>д.Родня</t>
  </si>
  <si>
    <t>КТП-10кВ д.Родня-1 скот.двор ф.2 Родня</t>
  </si>
  <si>
    <t>КТП-10кВ д.Родня-2 КЗС,ЗСП ф.2 Родня</t>
  </si>
  <si>
    <t>КТП-10кВ д.Рождественно ф.10 Заднее Поле</t>
  </si>
  <si>
    <t>КТП-10кВ д.Романово-1 №14 Степурино</t>
  </si>
  <si>
    <t>КТП-10кВ д.Романово-2 №14 Степурино</t>
  </si>
  <si>
    <t>КТП-10кВ д.Руссобино ВЛ №03 Максимово</t>
  </si>
  <si>
    <t>КТП-10кВ д.Рылово ф.4 Луковниково</t>
  </si>
  <si>
    <t>КТП-10кВ д.Рясня-1 школа ф.4 Луковниково</t>
  </si>
  <si>
    <t>д.Рясня</t>
  </si>
  <si>
    <t>КТП-10кВ д.Рясня-4 ф.4 Луковниково</t>
  </si>
  <si>
    <t>КТП-10кВ д.Рясня-5 ЗСП ф.4 Луковниково</t>
  </si>
  <si>
    <t>КТП-10кВ д.Саначино-1 КВЛ №19 Старица</t>
  </si>
  <si>
    <t>д.Саначино</t>
  </si>
  <si>
    <t>КТП-10кВ д.Саначино-2 КВЛ №19 Старица</t>
  </si>
  <si>
    <t>КТП-10кВ д.Сасынье ф.10 Заднее Поле</t>
  </si>
  <si>
    <t>КТП-10кВ д.Сатино №19 Степурино</t>
  </si>
  <si>
    <t>КТП-10кВ д.Сафроново ф.2 Заднее Поле</t>
  </si>
  <si>
    <t>д.Свиново-Шалимово-Ладеньково</t>
  </si>
  <si>
    <t>КТП-10кВ д.Свиново-Шалимово-Ладеньк №06</t>
  </si>
  <si>
    <t>КТП-10кВ д.Свистуново ф.10 Заднее Поле</t>
  </si>
  <si>
    <t>КТП-10кВ д.Сельцо-1(деревн) №19 Старица</t>
  </si>
  <si>
    <t>д.Сельцо</t>
  </si>
  <si>
    <t>КТП-10кВ д.Сельцо-2 водокач. №19 Старица</t>
  </si>
  <si>
    <t>КТП-10кВ д.Сенчуково №17 Берново</t>
  </si>
  <si>
    <t>КТП-10кВ д.Сергеево ф.2 Заднее Поле</t>
  </si>
  <si>
    <t>КТП-10кВ д.Сергино ф.9 Луковниково</t>
  </si>
  <si>
    <t>д.Сергино-Севастьяново</t>
  </si>
  <si>
    <t>КТП-10кВ д.Сергино-Севастьян №13 Старица</t>
  </si>
  <si>
    <t>КТП-10кВ д.Сетки ф.8 Луковниково</t>
  </si>
  <si>
    <t>КТП-10кВ д.Сидорово-1 №13 Степурино</t>
  </si>
  <si>
    <t>КТП-10кВ д.Сидорово-2 №13 Степурино</t>
  </si>
  <si>
    <t>КТП-10кВ д.Сидорово-3 №13 Степурино</t>
  </si>
  <si>
    <t>КТП-10кВ д.Сидорово-4 №13 Степурино</t>
  </si>
  <si>
    <t>КТП-10кВ д.Слобода №04 Максимово</t>
  </si>
  <si>
    <t>КТП-10кВ д.Смагино ф.10 Заднее Поле</t>
  </si>
  <si>
    <t>КТП-10кВ д.Соколово №17 Берново</t>
  </si>
  <si>
    <t>КТП-10кВ д.Сорокино д/с ф.10 Заднее Поле</t>
  </si>
  <si>
    <t>КТП-10кВ д.Сорокино ф.10 З.Поле</t>
  </si>
  <si>
    <t>КТП-10кВ д.Сорокино-1 ф.10 Заднее Поле</t>
  </si>
  <si>
    <t>КТП-10кВ д.Сорокино-2 ф.10 Заднее Поле</t>
  </si>
  <si>
    <t>д.Ст.Кобелево</t>
  </si>
  <si>
    <t>КТП-10кВ д.Ст.Кобелево №19 Степурино</t>
  </si>
  <si>
    <t>д.Станишено</t>
  </si>
  <si>
    <t>КТП-10кВ д.Станишено ф.4 Заднее Поле</t>
  </si>
  <si>
    <t>КТП-10кВ д.Станишено-2 ф.4 Заднее Поле</t>
  </si>
  <si>
    <t>КТП-10кВ д.Старо Курцово ф.3 З.Поле</t>
  </si>
  <si>
    <t>д.Старо-Ямская</t>
  </si>
  <si>
    <t>КТП-10кВ д.Старо-Ямская КВЛ №19 Старица</t>
  </si>
  <si>
    <t>КТП-10кВ д.Старое-1 ф.5 Заднее Поле</t>
  </si>
  <si>
    <t>КТП-10кВ д.Старое-2 ф. 5 З.Поле</t>
  </si>
  <si>
    <t>КТП-10кВ д.Стегнишено №05 Старица</t>
  </si>
  <si>
    <t>КТП-10кВ д.Степанково ф.1 Родня</t>
  </si>
  <si>
    <t>КТП-10кВ д.Степино ф.10 Луковниково</t>
  </si>
  <si>
    <t>КТП-10кВ д.Степурино №15 Степурино</t>
  </si>
  <si>
    <t>КТП-10кВ д.Степурино маст №13 Степурино</t>
  </si>
  <si>
    <t>КТП-10кВ д.Степурино-2 №11 Степурино</t>
  </si>
  <si>
    <t>д.Степурино</t>
  </si>
  <si>
    <t>КТП-10кВ д.Степурино-4 №11 Степурино</t>
  </si>
  <si>
    <t>КТП-10кВ д.Степурино-5 №11 Степурино</t>
  </si>
  <si>
    <t>КТП-10кВ д.Страна Советов ф.1 РП Орешки</t>
  </si>
  <si>
    <t>КТП-10кВ д.Стренево-Девонисово ф.8 Луков</t>
  </si>
  <si>
    <t>КТП-10кВ д.Суравцово-1 ф.4 Родня</t>
  </si>
  <si>
    <t>КТП-10кВ д.Суравцово-2 ф.4 Родня</t>
  </si>
  <si>
    <t>КТП-10кВ д.Суравцово-3 ф.4 Родня</t>
  </si>
  <si>
    <t>КТП-10кВ д.Суравцово-4 ф.4 Родня</t>
  </si>
  <si>
    <t>КТП-10кВ д.Суравцово(мастерс) ф. 4 Родня</t>
  </si>
  <si>
    <t>КТП-10кВ д.Сухолжино №08 Максимово</t>
  </si>
  <si>
    <t>КТП-10кВ д.Тальцы №08 Максимово</t>
  </si>
  <si>
    <t>д.Тарасово</t>
  </si>
  <si>
    <t>КТП-10кВ д.Тарасово ф.10 Заднее Поле</t>
  </si>
  <si>
    <t>КТП-10кВ д.Теплово ф.1 РП Орешки</t>
  </si>
  <si>
    <t>КТП-10кВ д.Терпилово ф.5 Заднее Поле</t>
  </si>
  <si>
    <t>КТП-10кВ д.Терпниково №19 Степурино</t>
  </si>
  <si>
    <t>д.Толвенцово</t>
  </si>
  <si>
    <t>КТП-10кВ д.Толвенцово ф.4 Заднее Поле</t>
  </si>
  <si>
    <t>КТП-10кВ д.Толмачево ф.5 З.Поле</t>
  </si>
  <si>
    <t>КТП-10кВ д.Толпино №08 Старица</t>
  </si>
  <si>
    <t>КТП-10кВ д.Толстоухово ф.1 Родня</t>
  </si>
  <si>
    <t>КТП-10кВ д.Турково ф.3 Орешки</t>
  </si>
  <si>
    <t>КТП-10кВ д.Улитино ф.10 Заднее Поле</t>
  </si>
  <si>
    <t>КТП-10кВ д.Ушаковские Горки ф. 5 З.Поле</t>
  </si>
  <si>
    <t>КТП-10кВ д.Федорково ВЛ №29 Старица</t>
  </si>
  <si>
    <t>д.Федурново</t>
  </si>
  <si>
    <t>КТП-10кВ д.Федурново-1 ВЛ №29 Старица</t>
  </si>
  <si>
    <t>КТП-10кВ д.Федурново-2 ВЛ №29 Старица</t>
  </si>
  <si>
    <t>КТП-10кВ д.Холохольня №08 Старица</t>
  </si>
  <si>
    <t>КТП-10кВ д.Чадово ф.5 Заднее Поле</t>
  </si>
  <si>
    <t>КТП-10кВ д.Черничено-2 КВЛ №17 Старица</t>
  </si>
  <si>
    <t>КТП-10кВ д.Чинцово ф.2 Заднее Поле</t>
  </si>
  <si>
    <t>д.Чудово</t>
  </si>
  <si>
    <t>КТП-10кВ д.Чудово №10 Степурино</t>
  </si>
  <si>
    <t>КТП-10кВ д.Чукавино-3 №06 Старица</t>
  </si>
  <si>
    <t>КТП-10кВ д.Чурилово №19 Степурино</t>
  </si>
  <si>
    <t>КТП-10кВ д.Шавково №08 Старица</t>
  </si>
  <si>
    <t>КТП-10кВ д.Шарапово ф.10 Заднее Поле</t>
  </si>
  <si>
    <t>КТП-10кВ д.Шебаршино ф.3 Заднее Поле</t>
  </si>
  <si>
    <t>КТП-10кВ д.Шелково ф.4 Родня</t>
  </si>
  <si>
    <t>КТП-10кВ д.Шиловка №19 Степурино</t>
  </si>
  <si>
    <t>КТП-10кВ д.Шилово №16 Степурино</t>
  </si>
  <si>
    <t>КТП-10кВ д.Шишково ф.2 Заднее Поле</t>
  </si>
  <si>
    <t>КТП-10кВ д.Шорново ВЛ №29 Старица</t>
  </si>
  <si>
    <t>КТП-10кВ д.Шумилово ф.4 Родня</t>
  </si>
  <si>
    <t>КТП-10кВ д.Щапово ВЛ №29 Старица</t>
  </si>
  <si>
    <t>КТП-10кВ д.Щелкачево №01 Берново</t>
  </si>
  <si>
    <t>КТП-10кВ д.Щитниково ф.5 Заднее Поле</t>
  </si>
  <si>
    <t>д.Щупалиха</t>
  </si>
  <si>
    <t>КТП-10кВ д.Щупалиха-1 ВЛ №03 Максимово</t>
  </si>
  <si>
    <t>КТП-10кВ д.Щупалиха-2 ВЛ №03 Максимово</t>
  </si>
  <si>
    <t>КТП-10кВ д.Юрьево-1 ф.10 Заднее Поле</t>
  </si>
  <si>
    <t>КТП-10кВ д.Юрьево-3 ф.10 Заднее Поле</t>
  </si>
  <si>
    <t>КТП-10кВ д.Юрьево-4 ф.10 Заднее Поле</t>
  </si>
  <si>
    <t>КТП-10кВ д.Юрьево-5 ф.10 Заднее поле</t>
  </si>
  <si>
    <t>КТП-10кВ д.Юрьевское-2 №15 Степурино</t>
  </si>
  <si>
    <t>КТП-10кВ д.Юрьевское-3 №15 Степурино</t>
  </si>
  <si>
    <t>КТП-10кВ д.Юрьевское-4 №15 Степурино</t>
  </si>
  <si>
    <t>КТП-10кВ д.Яйцово ф.1 Родня</t>
  </si>
  <si>
    <t>КТП-10кВ д.Яковково ф.3 Луковниково</t>
  </si>
  <si>
    <t>КТП-10кВ д.Ялыгино ф.4 Луковниково</t>
  </si>
  <si>
    <t>КТП-10кВ Данилова Слобода-3 №13 Старица</t>
  </si>
  <si>
    <t>КТП-10кВ Долгуши-Тимошкино-Изосенки №08</t>
  </si>
  <si>
    <t>КТП-10кВ Жилые дома СРЭС №03 Старица</t>
  </si>
  <si>
    <t>с.Берново</t>
  </si>
  <si>
    <t>КТП-10кВ ЗСП №01 Берново</t>
  </si>
  <si>
    <t>КТП-10кВ Лесхоз КВЛ №15 Старица</t>
  </si>
  <si>
    <t>КТП-10кВ Льносемстанция КВЛ №17 Старица</t>
  </si>
  <si>
    <t>КТП-10кВ Нефтебаза КВЛ №17 Старица</t>
  </si>
  <si>
    <t>КТП-10кВ п.Льнозавода №23 Степурино</t>
  </si>
  <si>
    <t>КТП-10кВ п.Полевой ф.9 Луковниково</t>
  </si>
  <si>
    <t>п.Южный</t>
  </si>
  <si>
    <t>КТП-10кВ п.Южный-1 КВЛ №25 Старица</t>
  </si>
  <si>
    <t>КТП-10кВ п.Южный-2 КВЛ №25 Старица</t>
  </si>
  <si>
    <t>ст.Старица</t>
  </si>
  <si>
    <t>КТП-10кВ пос.С/х техники КВЛ №17 Старица</t>
  </si>
  <si>
    <t>с.Архангельское</t>
  </si>
  <si>
    <t>КТП-10кВ с.Архангельское-1 ф.3 З.Поле</t>
  </si>
  <si>
    <t>КТП-10кВ с.Архангельское-2. ф.3 З.Поле</t>
  </si>
  <si>
    <t>КТП-10кВ с.Архангельское-3 ф.3 Задн.Поле</t>
  </si>
  <si>
    <t>КТП-10кВ с.Архангельское-4 ф.3 З.Поле</t>
  </si>
  <si>
    <t>КТП-10кВ с.Берново ул.Молод. №09 Берново</t>
  </si>
  <si>
    <t>КТП-10кВ Сушилка ВЛ №07 ПС Максимово</t>
  </si>
  <si>
    <t>КТП-10кВ Торговая база КВЛ №17 Старица</t>
  </si>
  <si>
    <t>КТП-10кВ ул.Гоголево-4 ПСЛВ №17 Старица</t>
  </si>
  <si>
    <t>г.Старица</t>
  </si>
  <si>
    <t>КТП-10кВ ул.Загородная КВЛ №19 Старица</t>
  </si>
  <si>
    <t>КТП-10кВ ул.Заречная ВЛ №29 Старица</t>
  </si>
  <si>
    <t>КТП-10кВ ул.Северная КВЛ №19 Старица</t>
  </si>
  <si>
    <t>КТП-10кВ ул.Сотчино-1 ф.2 Заднее Поле</t>
  </si>
  <si>
    <t>КТП-10кВ ул.Сотчино-2 ф.2 Заднее Поле</t>
  </si>
  <si>
    <t>КТП-10кВ Школа (ст.Старица)№17 Старица</t>
  </si>
  <si>
    <t>д.Бутово</t>
  </si>
  <si>
    <t>КТПН-10кВ д.Бутово-3 ф.4 Заднее Поле</t>
  </si>
  <si>
    <t>КТПН-10кВ д.Бутово-4 ф.4 Заднее Поле</t>
  </si>
  <si>
    <t>д.Гостенево</t>
  </si>
  <si>
    <t>КТПП-10кВ д.Гостенево-1 ф.2 Заднее Поле</t>
  </si>
  <si>
    <t>КТПП-10кВ д.Гостенево-2 ф.2 Заднее Поле</t>
  </si>
  <si>
    <t>КТПП-10кВ д.Рясня-6 ф.4 Луковниково</t>
  </si>
  <si>
    <t>МТП-10кВ д.Бабинское ф.4 Луковниково</t>
  </si>
  <si>
    <t>МТП-10кВ д.Болдырево №13 Старица</t>
  </si>
  <si>
    <t>МТП-10кВ д.Борисово №13 Старица</t>
  </si>
  <si>
    <t>МТП-10кВ д.Боровая №13 Старица</t>
  </si>
  <si>
    <t>МТП-10кВ д.Боярниково ф.9 Луковниково</t>
  </si>
  <si>
    <t>МТП-10кВ д.Воробьево ВЛ №29 Старица</t>
  </si>
  <si>
    <t>д.Вороново-Казаково</t>
  </si>
  <si>
    <t>МТП-10кВ д.Вороново-Казаково ф.1 Орешки</t>
  </si>
  <si>
    <t>д.Вяхирево</t>
  </si>
  <si>
    <t>МТП-10кВ д.Вяхирево №13 Старица</t>
  </si>
  <si>
    <t>МТП-10кВ д.Гвоздево №13 Старица</t>
  </si>
  <si>
    <t>МТП-10кВ д.Губино №13 Старица</t>
  </si>
  <si>
    <t>МТП-10кВ д.Дорохово-1 ВЛ №29 Старица</t>
  </si>
  <si>
    <t>МТП-10кВ д.Заднее Поле ф.4 Заднее Поле</t>
  </si>
  <si>
    <t>МТП-10кВ д.Иванково №05 Старица</t>
  </si>
  <si>
    <t>д.Искрино</t>
  </si>
  <si>
    <t>МТП-10кВ д.Искрино-2 №04 Максимово</t>
  </si>
  <si>
    <t>д.Калошино</t>
  </si>
  <si>
    <t>МТП-10кВ д.Калошино ВЛ №29 Старица</t>
  </si>
  <si>
    <t>МТП-10кВ д.Курово №13 Берново</t>
  </si>
  <si>
    <t>д.Ладзино</t>
  </si>
  <si>
    <t>МТП-10кВ д.Ладзино ВЛ №29 Старица</t>
  </si>
  <si>
    <t>МТП-10кВ д.Ломово №13 Старица</t>
  </si>
  <si>
    <t>МТП-10кВ д.Мартьяново-2 №13 Старица</t>
  </si>
  <si>
    <t>МТП-10кВ д.Маслово ВЛ №03 Максимово</t>
  </si>
  <si>
    <t>МТП-10кВ д.Новоселье №13 Старица</t>
  </si>
  <si>
    <t>МТП-10кВ д.Новотроицкое №08 Максимово</t>
  </si>
  <si>
    <t>МТП-10кВ д.Подол №13 Старица</t>
  </si>
  <si>
    <t>МТП-10кВ д.Родня-3 мастерские ф.2 Родня</t>
  </si>
  <si>
    <t>МТП-10кВ д.Рыблово КВЛ №33 Старица</t>
  </si>
  <si>
    <t>д.Савельево</t>
  </si>
  <si>
    <t>МТП-10кВ д.Савельево-1 №13 Старица</t>
  </si>
  <si>
    <t>МТП-10кВ д.Селиваново №14 Степурино</t>
  </si>
  <si>
    <t>МТП-10кВ д.Теличено №13 Старица</t>
  </si>
  <si>
    <t>МТП-10кВ д.Техменево ф.5 Заднее Поле</t>
  </si>
  <si>
    <t>МТП-10кВ д.Черново ВЛ №29 Старица</t>
  </si>
  <si>
    <t>МТП-10кВ д.Чупруново КВЛ №33 Старица</t>
  </si>
  <si>
    <t>МТП-10кВ д.Чухино ф.2 Заднее Поле</t>
  </si>
  <si>
    <t>МТП-10кВ Пилорама КВЛ №17 Старица</t>
  </si>
  <si>
    <t>МТП-10кВ ул.Станционная №13 Старица</t>
  </si>
  <si>
    <t>с.Тысяцкое</t>
  </si>
  <si>
    <t>Кувшиновский</t>
  </si>
  <si>
    <t>КТП-10кВ Тысяцкое деревня (Тысяцкое)</t>
  </si>
  <si>
    <t>100</t>
  </si>
  <si>
    <t>КТП-10кВ Тысяцкое ЗСП (Тысяцкое)</t>
  </si>
  <si>
    <t>400</t>
  </si>
  <si>
    <t>КТП-10кВ Бородино(Калинина)</t>
  </si>
  <si>
    <t>60</t>
  </si>
  <si>
    <t>КТП-10кВ Боброво</t>
  </si>
  <si>
    <t>д.Хвошня</t>
  </si>
  <si>
    <t>КТП-10кВ Хвошня деревня</t>
  </si>
  <si>
    <t>д.Егорье</t>
  </si>
  <si>
    <t>КТП-10кВ Егорье</t>
  </si>
  <si>
    <t>63</t>
  </si>
  <si>
    <t>д.Сафонтьево</t>
  </si>
  <si>
    <t xml:space="preserve">КТП-10кВ Сафонтьево ВЛ-10кВ №28 </t>
  </si>
  <si>
    <t>40</t>
  </si>
  <si>
    <t>д.Малашово</t>
  </si>
  <si>
    <t xml:space="preserve">КТП-10кВ Малашово маг ВЛ-10кВ №27 </t>
  </si>
  <si>
    <t>д.Теляково</t>
  </si>
  <si>
    <t>КТП-10кВ Теляково</t>
  </si>
  <si>
    <t>КТП-10кВ Сухой Ручей</t>
  </si>
  <si>
    <t>д.Сурушино</t>
  </si>
  <si>
    <t xml:space="preserve">КТП-10кВ Сурушино ВЛ-10кВ №15 </t>
  </si>
  <si>
    <t xml:space="preserve">КТП-10кВ Мишево ВЛ-10кВ №15 </t>
  </si>
  <si>
    <t>КТП-10кВ Малашово с/ф ВЛ-10кВ</t>
  </si>
  <si>
    <t>250</t>
  </si>
  <si>
    <t>КТП-10кВ Тысяцкое мастерские</t>
  </si>
  <si>
    <t>д.Хорлово</t>
  </si>
  <si>
    <t xml:space="preserve">КТП-10кВ Хорлово деревня </t>
  </si>
  <si>
    <t>160</t>
  </si>
  <si>
    <t>КТП-10кВ Попово (Богданово)</t>
  </si>
  <si>
    <t>30</t>
  </si>
  <si>
    <t>х.В.заря</t>
  </si>
  <si>
    <t>КТП-10кВ Веч. Заря ВЛ-10кВ №15</t>
  </si>
  <si>
    <t>с.Прямухино</t>
  </si>
  <si>
    <t>КТП-10кВ Прямухино дер ВЛ-10кВ №15</t>
  </si>
  <si>
    <t>д.Осташково</t>
  </si>
  <si>
    <t>СТП-10 кВ Осташково</t>
  </si>
  <si>
    <t xml:space="preserve">КТП-10кВ Прямухино кот ВЛ-10кВ №15 </t>
  </si>
  <si>
    <t>д.Коростково</t>
  </si>
  <si>
    <t>КТП-10кВ Коростково (Богданово)</t>
  </si>
  <si>
    <t>д.Лопатино</t>
  </si>
  <si>
    <t xml:space="preserve">КТП-10кВ Лопатино бол ВЛ-10кВ №13 </t>
  </si>
  <si>
    <t>д.Мытницы</t>
  </si>
  <si>
    <t>КТП-10кВ Мытницы ВЛ-10кВ №13 (Прямухино)</t>
  </si>
  <si>
    <t>д.Далекуши</t>
  </si>
  <si>
    <t>КТП-10кВ Далекуши ВЛ-10кВ №15 (Прямухино</t>
  </si>
  <si>
    <t xml:space="preserve">КТП-10кВ Лопатино дер ВЛ-10кВ №13 </t>
  </si>
  <si>
    <t>д.Горицы</t>
  </si>
  <si>
    <t>КТП-10кВ Горицы</t>
  </si>
  <si>
    <t>д.Пр.Каменка</t>
  </si>
  <si>
    <t>КТП-10кВ Пр. Каменка  мастерские</t>
  </si>
  <si>
    <t>МТП-10 кВ Вороново</t>
  </si>
  <si>
    <t>д.Железово</t>
  </si>
  <si>
    <t>КТП-10кВ Железово</t>
  </si>
  <si>
    <t>д.Катушкино</t>
  </si>
  <si>
    <t>КТП-10кВ Катушкино-1</t>
  </si>
  <si>
    <t>д.Сырково</t>
  </si>
  <si>
    <t>КТП-10кВ Сырково ВЛ-10кВ №13 (Прямухино)</t>
  </si>
  <si>
    <t>д.Астратово</t>
  </si>
  <si>
    <t>КТП-10кВ Астратово</t>
  </si>
  <si>
    <t>д.Ховань</t>
  </si>
  <si>
    <t>КТП-10кВ Ховань</t>
  </si>
  <si>
    <t>д.Пень</t>
  </si>
  <si>
    <t>КТП-10кВ Пень д/сад (Пень)</t>
  </si>
  <si>
    <t>КТП-10кВ Пень коттеджи (Пень)</t>
  </si>
  <si>
    <t>д.Ферково</t>
  </si>
  <si>
    <t>КТП-10кВ Ферково ВЛ-10кВ Сидорково</t>
  </si>
  <si>
    <t>д.Качаново</t>
  </si>
  <si>
    <t>КТП-10кВ Качаново ВЛ-10кВ Сидорково</t>
  </si>
  <si>
    <t>д.Щелье</t>
  </si>
  <si>
    <t>КТП-10кВ Щелье (Пень)</t>
  </si>
  <si>
    <t>д.Сидорково</t>
  </si>
  <si>
    <t>КТП-10кВ Сидорково ВЛ-10кВ Сидорково</t>
  </si>
  <si>
    <t>д.Любицы</t>
  </si>
  <si>
    <t>КТП-10кВ Любицы ВЛ-10кВ Березки</t>
  </si>
  <si>
    <t>20</t>
  </si>
  <si>
    <t>КТП-10кВ Пень ск. двор</t>
  </si>
  <si>
    <t>КТП-10кВ Пень деревня (Пень)</t>
  </si>
  <si>
    <t>д.Б.Кузнечково</t>
  </si>
  <si>
    <t>КТП-10кВ Б. Кузнечково АВМ</t>
  </si>
  <si>
    <t>КТП-10кВ Б. Кузнечково  ск. двор</t>
  </si>
  <si>
    <t>д.Ново</t>
  </si>
  <si>
    <t>КТП-10кВ Ново деревня</t>
  </si>
  <si>
    <t>д.Володово</t>
  </si>
  <si>
    <t>КТП-10кВ Володово ВЛ-10кВ Березки</t>
  </si>
  <si>
    <t>д.Яколицы</t>
  </si>
  <si>
    <t>КТП-10кВ Яколицы</t>
  </si>
  <si>
    <t>д.Тавруево</t>
  </si>
  <si>
    <t>КТП-10кВ Тавруево</t>
  </si>
  <si>
    <t>д.Жегини</t>
  </si>
  <si>
    <t>КТП-10кВ Жегини ВЛ-10кВ Березки</t>
  </si>
  <si>
    <t>КТП-10кВ Ново ск. двор</t>
  </si>
  <si>
    <t>х.Писарев</t>
  </si>
  <si>
    <t xml:space="preserve">КТП-10кВ Х.Писарев ВЛ-10кВ №15 </t>
  </si>
  <si>
    <t>КТП-10кВ Васильково деревня ВЛ-10кВ №15</t>
  </si>
  <si>
    <t>КТП-10кВ - Высокое</t>
  </si>
  <si>
    <t>д.Дядино</t>
  </si>
  <si>
    <t xml:space="preserve">КТП-10кВ Дядино деревня ВЛ-10кВ №15 </t>
  </si>
  <si>
    <t>д.Заовражье</t>
  </si>
  <si>
    <t>КТП-10кВ Заовражье  котельная</t>
  </si>
  <si>
    <t>КТП-10кВ Заовражье пилорама</t>
  </si>
  <si>
    <t>КТП-10кВ Заовражье АТС</t>
  </si>
  <si>
    <t>д.Шаплово</t>
  </si>
  <si>
    <t>КТП-10кВ Шаплово</t>
  </si>
  <si>
    <t>д.Городцы</t>
  </si>
  <si>
    <t>КТП-10кВ Городцы ВЛ-10кВ №15 (Кувшиново)</t>
  </si>
  <si>
    <t>д.Пекишево</t>
  </si>
  <si>
    <t>КТП-10кВ Пекишево ПСЛВ</t>
  </si>
  <si>
    <t>д.Щеголево</t>
  </si>
  <si>
    <t>КТП-10кВ Щеголево</t>
  </si>
  <si>
    <t>д.Свеклино</t>
  </si>
  <si>
    <t>КТП-10кВ Свеклино</t>
  </si>
  <si>
    <t>д.Хрычево</t>
  </si>
  <si>
    <t>КТП-10кВ Хрычево</t>
  </si>
  <si>
    <t>д.Андрияново</t>
  </si>
  <si>
    <t>КТП-10кВ Андреяново</t>
  </si>
  <si>
    <t>50</t>
  </si>
  <si>
    <t>КТП-10кВ Раменье ВЛ-10кВ №32 (Кувшиново)</t>
  </si>
  <si>
    <t>КТП-10кВ Сабурово ВЛ-10кВ №32 (Кувшиново)</t>
  </si>
  <si>
    <t>д.Тарасково</t>
  </si>
  <si>
    <t xml:space="preserve">КТП-10кВ Тарасково ВЛ-10кВ №32 </t>
  </si>
  <si>
    <t>д.Углы</t>
  </si>
  <si>
    <t>СТП-10кВ Углы ВЛ-10кВ №15 (Кувшиново)</t>
  </si>
  <si>
    <t>д.Кунилово</t>
  </si>
  <si>
    <t xml:space="preserve">КТП-10кВ Кунилово-Гранково ВЛ-10кВ №13 </t>
  </si>
  <si>
    <t>д.Антонково</t>
  </si>
  <si>
    <t xml:space="preserve">КТП-10кВ Антонково ВЛ-10кВ №13 </t>
  </si>
  <si>
    <t>д.Чеброхино</t>
  </si>
  <si>
    <t xml:space="preserve">КТП-10кВ Чебрахино ВЛ-10кВ №13 </t>
  </si>
  <si>
    <t>д.Б.Борок</t>
  </si>
  <si>
    <t xml:space="preserve">КТП-10кВ Б.Борок клуб ВЛ-10кВ №13 </t>
  </si>
  <si>
    <t xml:space="preserve">КТП-10кВ Б.Борок ФКРС ВЛ-10кВ №13 </t>
  </si>
  <si>
    <t xml:space="preserve">КТП-10кВ Малашово дер ВЛ-10кВ №27 </t>
  </si>
  <si>
    <t>д.Брылево</t>
  </si>
  <si>
    <t>КТП-10кВ - Брылево</t>
  </si>
  <si>
    <t>КТП-10кВ Сутоки</t>
  </si>
  <si>
    <t>д.Шашково</t>
  </si>
  <si>
    <t>КТП-10кВ Шашково</t>
  </si>
  <si>
    <t>д.Петрово</t>
  </si>
  <si>
    <t>КТП-10кВ Петрово(Бор)</t>
  </si>
  <si>
    <t>КТП-10кВ Сидорово Ильино (Бор)</t>
  </si>
  <si>
    <t>д.Горницы</t>
  </si>
  <si>
    <t>КТП-10кВ Горницы</t>
  </si>
  <si>
    <t>д.Карманово</t>
  </si>
  <si>
    <t>КТП-10кВ Карманово</t>
  </si>
  <si>
    <t>д.Богуново</t>
  </si>
  <si>
    <t>КТП-10кВ Богуново Турлаево</t>
  </si>
  <si>
    <t>д.Юсино</t>
  </si>
  <si>
    <t>КТП-10кВ Юсино деревня</t>
  </si>
  <si>
    <t xml:space="preserve">КТП-10кВ Холм дер ВЛ-10кВ №15 </t>
  </si>
  <si>
    <t>д.Загорье</t>
  </si>
  <si>
    <t>КТП-10кВ Загорье(М. Васильково)</t>
  </si>
  <si>
    <t>КТП-10кВ Юсино ЗСП</t>
  </si>
  <si>
    <t>КТП-10кВ Васильково Лотыгорево</t>
  </si>
  <si>
    <t xml:space="preserve">КТП-10кВ Раменье АВМ ВЛ-10кВ №15 </t>
  </si>
  <si>
    <t>д.Силино</t>
  </si>
  <si>
    <t>КТП-10кВ Силино</t>
  </si>
  <si>
    <t>КТП-10кВ Лукино</t>
  </si>
  <si>
    <t>КТП-10кВ Сосенка ВЛ-10кВ №13 (Прямухино)</t>
  </si>
  <si>
    <t xml:space="preserve">КТП-10кВ Б.Борок котте ВЛ-10кВ №13 </t>
  </si>
  <si>
    <t xml:space="preserve">КТП-10кВ Б.Борок почта ВЛ-10кВ №13 </t>
  </si>
  <si>
    <t>д.Борзыни</t>
  </si>
  <si>
    <t xml:space="preserve">КТП-10кВ Борзыни дер ВЛ-10кВ №15 </t>
  </si>
  <si>
    <t>КТП-10кВ Пень мастерские (Пень)</t>
  </si>
  <si>
    <t>КТП-10кВ Заовражье школа</t>
  </si>
  <si>
    <t>КТП-10кВ Печниково водокачка</t>
  </si>
  <si>
    <t>КТП-10кВ Печниково деревня</t>
  </si>
  <si>
    <t>КТП-10кВ Еваново деревня</t>
  </si>
  <si>
    <t>КТП-10кВ Еваново ск. двор</t>
  </si>
  <si>
    <t>КТП-10кВ Василево</t>
  </si>
  <si>
    <t>КТП-10кВ Богданово (Богданово)</t>
  </si>
  <si>
    <t>КТП-10кВ Федорково (Богданово)</t>
  </si>
  <si>
    <t xml:space="preserve">КТП-10кВ Прямухино мас ВЛ-10кВ №15 </t>
  </si>
  <si>
    <t>д.Медведково</t>
  </si>
  <si>
    <t xml:space="preserve">КТП-10кВ Медведково ВЛ-10кВ №13 </t>
  </si>
  <si>
    <t>д.Локотцы</t>
  </si>
  <si>
    <t>КТП-10кВ Локотцы Носково</t>
  </si>
  <si>
    <t>д.Шевково</t>
  </si>
  <si>
    <t>КТП-10кВ Шевково</t>
  </si>
  <si>
    <t>д.Ст.Брылево</t>
  </si>
  <si>
    <t>КТП-10кВ - Ст. Брылево</t>
  </si>
  <si>
    <t>д.Пр.каменка</t>
  </si>
  <si>
    <t>КТП-10кВ Пр. Каменка  деревня</t>
  </si>
  <si>
    <t>КТП-10кВ Колбасино</t>
  </si>
  <si>
    <t xml:space="preserve">КТП-10кВ Б.Борок ЗСП ВЛ-10кВ №13 </t>
  </si>
  <si>
    <t xml:space="preserve">КТП-10кВ Раменье дер ВЛ-10кВ №15 </t>
  </si>
  <si>
    <t>КТП-10кВ Заовражье д/сад</t>
  </si>
  <si>
    <t>КТП-10кВ Б. Кузнечково мастерские</t>
  </si>
  <si>
    <t xml:space="preserve">КТП-10кВ Малашово с/дв ВЛ-10кВ №27 </t>
  </si>
  <si>
    <t>д.Корчелово</t>
  </si>
  <si>
    <t>КТП-10кВ - Корчелово</t>
  </si>
  <si>
    <t>д.Ульяново</t>
  </si>
  <si>
    <t>КТП-10кВ Ульяново</t>
  </si>
  <si>
    <t>д.Кошуево</t>
  </si>
  <si>
    <t>КТП-10кВ Кошуево</t>
  </si>
  <si>
    <t>д.Попелиха</t>
  </si>
  <si>
    <t>КТП-10кВ Попелиха</t>
  </si>
  <si>
    <t>д.Замошье</t>
  </si>
  <si>
    <t>КТП-10кВ Замошье ВЛ-10кВ №28 (Кувшиново)</t>
  </si>
  <si>
    <t>КТП-10кВ Пр. Каменка ск. двор</t>
  </si>
  <si>
    <t>КТП-10кВ Тысяцкое правление (Тысяцкое)</t>
  </si>
  <si>
    <t>КТП-10кВ Могилевка радиовышка</t>
  </si>
  <si>
    <t>КТП-10кВ Раменье КЗС ВЛ-10кВ №15</t>
  </si>
  <si>
    <t xml:space="preserve">КТП-10кВ Борзыни маст. ВЛ-10кВ №15 </t>
  </si>
  <si>
    <t>КТП-10кВ Печниково ск. двор</t>
  </si>
  <si>
    <t>д.Кунино</t>
  </si>
  <si>
    <t>КТП-10кВ Кунино</t>
  </si>
  <si>
    <t>д.Бобровцы</t>
  </si>
  <si>
    <t>КТП-10кВ Бобровцы ВЛ-10кВ Сидорково</t>
  </si>
  <si>
    <t>КТП-10кВ Печниково мастерские</t>
  </si>
  <si>
    <t>КТП-10кВ Хвошня  ск. двор</t>
  </si>
  <si>
    <t>КТП-10кВ К-с Прямухино</t>
  </si>
  <si>
    <t>КТП-10кВ Бор</t>
  </si>
  <si>
    <t>КТП-10кВ Б. Кузнечково  ЗСП</t>
  </si>
  <si>
    <t>ЗТП-10кВ Б. Кузнечково (д/сад)</t>
  </si>
  <si>
    <t>КТП-10кВ Симоново</t>
  </si>
  <si>
    <t>д.Данково</t>
  </si>
  <si>
    <t>КТП-10кВ Данково деревня</t>
  </si>
  <si>
    <t xml:space="preserve">КТП-10кВ Б.Борок школа ВЛ-10кВ №13 </t>
  </si>
  <si>
    <t>д.Заледенье</t>
  </si>
  <si>
    <t>КТП-10кВ Заледенье ВЛ-10кВ Березки</t>
  </si>
  <si>
    <t>КТП-10кВ Березки ВЛ-10кВ Березки</t>
  </si>
  <si>
    <t>д.Выжгород</t>
  </si>
  <si>
    <t xml:space="preserve">КТП-10кВ Выжгород ВЛ-10кВ №15 </t>
  </si>
  <si>
    <t>КТП-10кВ Давыдово ВЛ-10кВ №15 (Кувшиново)</t>
  </si>
  <si>
    <t>д.Велеможье</t>
  </si>
  <si>
    <t>КТП-10кВ Велеможье  ск. двор</t>
  </si>
  <si>
    <t>д.Могилевка</t>
  </si>
  <si>
    <t>КТП-10кВ Могилевка деревня</t>
  </si>
  <si>
    <t>д.Каравайцево</t>
  </si>
  <si>
    <t>КТП-10кВ Каравайцево</t>
  </si>
  <si>
    <t>ЗТП-10кВ  Тысяцкое школа</t>
  </si>
  <si>
    <t>КТП-10кВ - Высокое  коровник</t>
  </si>
  <si>
    <t>КТП-10кВ Васильково коттеджи ВЛ-10кВ №15</t>
  </si>
  <si>
    <t>КТП-10кВ Качаново ск.дв ВЛ-10кВ Сидорково</t>
  </si>
  <si>
    <t>КТП-10кВ - Киселево</t>
  </si>
  <si>
    <t>КТП-10кВ Тысяцкое КЗС (Тысяцкое)</t>
  </si>
  <si>
    <t>д.Рылево</t>
  </si>
  <si>
    <t>КТП-10кВ Рылево ск. двор</t>
  </si>
  <si>
    <t>КТП-10кВ Рылево коттеджи</t>
  </si>
  <si>
    <t>КТП-10кВ Велеможье</t>
  </si>
  <si>
    <t>КТП-10кВ Сидорово Родион ВЛ-10кВ Березки</t>
  </si>
  <si>
    <t>КТП-10кВ Данково ск. двор</t>
  </si>
  <si>
    <t>КТП-10кВ Могилевка -3</t>
  </si>
  <si>
    <t>КТП-10 кВ Хвошня МТС</t>
  </si>
  <si>
    <t>д.Ключи</t>
  </si>
  <si>
    <t>КТП-10кВ Ключи ВЛ-10кВ №32 (Кувшиново)</t>
  </si>
  <si>
    <t>д.Озерецкое</t>
  </si>
  <si>
    <t>КТП-10кВ Озерецкое ВЛ-10кВ №32 (Кувшиново)</t>
  </si>
  <si>
    <t>КТП-10кВ Красный городок</t>
  </si>
  <si>
    <t>п.Сокольники</t>
  </si>
  <si>
    <t>КТП-10 кВ Сокольники -5</t>
  </si>
  <si>
    <t>КТП-10 кВ Сокольники -6</t>
  </si>
  <si>
    <t>ЗТП-10кВ - Сокольники</t>
  </si>
  <si>
    <t>КТП-10кВ Тысяцкое телятник (Тысяцкое)</t>
  </si>
  <si>
    <t>г.Кувшиново</t>
  </si>
  <si>
    <t>КТП-10кВ Жилой дом (Электросети)</t>
  </si>
  <si>
    <t>КТП-10кВ База КРЭС (Электросети)</t>
  </si>
  <si>
    <t xml:space="preserve">КТП-10кВ Борзыни ж/д ВЛ-10кВ №15 </t>
  </si>
  <si>
    <t xml:space="preserve">КТП-10кВ Лопатино ЗСП ВЛ-10кВ №13 </t>
  </si>
  <si>
    <t xml:space="preserve">КТП-10кВ Лопатино КЗС ВЛ-10кВ №13 </t>
  </si>
  <si>
    <t>д.Слапихино</t>
  </si>
  <si>
    <t xml:space="preserve">КТП-10кВ Слапихино ВЛ-10кВ №13 </t>
  </si>
  <si>
    <t>КТП-10кВ Заовражье ж/к</t>
  </si>
  <si>
    <t>х.Шувалов</t>
  </si>
  <si>
    <t xml:space="preserve">КТП-10кВ х. Шувалов ВЛ-10кВ №15 </t>
  </si>
  <si>
    <t>д.Мошник</t>
  </si>
  <si>
    <t>КТП-10кВ   Мошник</t>
  </si>
  <si>
    <t>д.Абабково</t>
  </si>
  <si>
    <t>КТП-10кВ Абабково</t>
  </si>
  <si>
    <t>д.Б.Гора</t>
  </si>
  <si>
    <t>КТП-10кВ Б. Гора</t>
  </si>
  <si>
    <t>д.Селино</t>
  </si>
  <si>
    <t>КТП-10кВ Селино ВЛ-10кВ №13 (Прямухино)</t>
  </si>
  <si>
    <t xml:space="preserve">КТП-10кВ Б.Борок Р.цех ВЛ-10кВ №13 </t>
  </si>
  <si>
    <t>Осташковский</t>
  </si>
  <si>
    <t xml:space="preserve"> ТП 10/0,4 кВ.Замошье-1</t>
  </si>
  <si>
    <t xml:space="preserve"> ТП 10/0,4 кВ.Замошье-2</t>
  </si>
  <si>
    <t xml:space="preserve"> ТП 10/0,4 кВ.С.Село</t>
  </si>
  <si>
    <t xml:space="preserve"> ТП 10/0,4 кВ.Н.Гора</t>
  </si>
  <si>
    <t xml:space="preserve"> ТП 10/0,4 кВ.Коммуна</t>
  </si>
  <si>
    <t xml:space="preserve"> ТП 10/0,4 кВ.Куряево</t>
  </si>
  <si>
    <t xml:space="preserve"> ТП 10/0,4 кВ.Краклово</t>
  </si>
  <si>
    <t xml:space="preserve"> ТП 10/0,4 кВ.Ст.Сиг</t>
  </si>
  <si>
    <t>д.Заболотье</t>
  </si>
  <si>
    <t xml:space="preserve"> ТП 10/0,4 кВ.Заболотье</t>
  </si>
  <si>
    <t xml:space="preserve"> ТП 10/0,4 кВ.Вязовня</t>
  </si>
  <si>
    <t xml:space="preserve"> ТП 10/0,4 кВ.Шедыки</t>
  </si>
  <si>
    <t xml:space="preserve"> ТП 10/0,4 кВ.Польки</t>
  </si>
  <si>
    <t xml:space="preserve"> ТП 10/0,4 кВ.Ясенское</t>
  </si>
  <si>
    <t>МХО</t>
  </si>
  <si>
    <t xml:space="preserve"> ТП 10/0,4 кВ.МХО</t>
  </si>
  <si>
    <t xml:space="preserve"> ТП 10/0,4 кВ.Жулево</t>
  </si>
  <si>
    <t xml:space="preserve"> ТП 10/0,4 кВ.Ронское</t>
  </si>
  <si>
    <t xml:space="preserve"> ТП 10/0,4 кВ.Радухово</t>
  </si>
  <si>
    <t xml:space="preserve"> ТП 10/0,4 кВ.Кожурица</t>
  </si>
  <si>
    <t xml:space="preserve"> ТП 10/0,4кВ.Поребрица</t>
  </si>
  <si>
    <t xml:space="preserve"> ТП 10/0,4 кВ.Кислиха</t>
  </si>
  <si>
    <t xml:space="preserve"> ТП 10/0,4 кВ.Жуково</t>
  </si>
  <si>
    <t xml:space="preserve"> ТП 10/0,4 кВ.Носовицы</t>
  </si>
  <si>
    <t xml:space="preserve"> ТП 10/0,4 кВ.Давыдово</t>
  </si>
  <si>
    <t xml:space="preserve"> ТП 10/0,4 кВ.Пихтень</t>
  </si>
  <si>
    <t xml:space="preserve"> ТП 10/0,4 кВ.Дубье-1</t>
  </si>
  <si>
    <t xml:space="preserve"> ТП 10/0,4 кВ.Дубье-2</t>
  </si>
  <si>
    <t xml:space="preserve"> ТП 10/0,4 кВ.Дуб. Хут.</t>
  </si>
  <si>
    <t xml:space="preserve"> ТП 10/0,4 кВ.Хитино-1</t>
  </si>
  <si>
    <t xml:space="preserve"> ТП 10/0,4 кВ.Хитино-2</t>
  </si>
  <si>
    <t xml:space="preserve"> ТП 10/0,4 кВ.Хитино-5</t>
  </si>
  <si>
    <t xml:space="preserve"> ТП 10/0,4 кВ.Любимка</t>
  </si>
  <si>
    <t xml:space="preserve"> ТП 10/0,4 кВ.В.Рудины</t>
  </si>
  <si>
    <t xml:space="preserve"> ТП 10/0,4 кВ.Калище</t>
  </si>
  <si>
    <t xml:space="preserve"> ТП 10/0,4 кВ.Сиговка-1</t>
  </si>
  <si>
    <t xml:space="preserve"> ТП 10/0,4 кВ.Сиговка-2</t>
  </si>
  <si>
    <t>320+400</t>
  </si>
  <si>
    <t xml:space="preserve"> ТП 10/0,4 кВ.Сиговка-3</t>
  </si>
  <si>
    <t>д.Сиговка</t>
  </si>
  <si>
    <t xml:space="preserve"> ТП 10/0,4 кВ.Сиговка-5</t>
  </si>
  <si>
    <t xml:space="preserve"> ТП 10/0,4 кВ.Алкатово</t>
  </si>
  <si>
    <t xml:space="preserve"> ТП 10/0,4 кВ.Буковичи</t>
  </si>
  <si>
    <t xml:space="preserve"> ТП 10/0,4 кВ.Спицино</t>
  </si>
  <si>
    <t xml:space="preserve"> ТП 10/0,4 кВ.Кулатово</t>
  </si>
  <si>
    <t xml:space="preserve"> ТП 10/0,4 кВ.М.Село</t>
  </si>
  <si>
    <t xml:space="preserve"> ТП 10/0,4 кВ.Озерки</t>
  </si>
  <si>
    <t xml:space="preserve"> ТП 10/0,4 кВ.Дулово</t>
  </si>
  <si>
    <t xml:space="preserve"> ТП 10/0,4 кВ.Нелегино</t>
  </si>
  <si>
    <t xml:space="preserve"> ТП 10/0,4 кВ.Жук</t>
  </si>
  <si>
    <t xml:space="preserve"> ТП 10/0,4 кВ.Язово</t>
  </si>
  <si>
    <t xml:space="preserve"> ТП 10/0,4 кВ.Раменье</t>
  </si>
  <si>
    <t xml:space="preserve"> ТП 10/0,4 кВ.Горемыкинно</t>
  </si>
  <si>
    <t xml:space="preserve"> ТП 10/0,4 кВ.Замошье-4</t>
  </si>
  <si>
    <t xml:space="preserve"> ТП 10/0,4 кВ.Косарово</t>
  </si>
  <si>
    <t xml:space="preserve"> ТП 10/0,4 кВ.Маслово</t>
  </si>
  <si>
    <t xml:space="preserve"> ТП 10/0,4 кВ.Студенец</t>
  </si>
  <si>
    <t xml:space="preserve"> ТП 10/0,4 кВ.Выселок</t>
  </si>
  <si>
    <t xml:space="preserve"> ТП 10/0,4 кВ.Покровское</t>
  </si>
  <si>
    <t xml:space="preserve"> ТП 10/0,4 кВ.Занепречье</t>
  </si>
  <si>
    <t xml:space="preserve"> ТП 10/0,4 кВ.Городище</t>
  </si>
  <si>
    <t xml:space="preserve"> ТП 10/0,4 кВ.М.Лохово</t>
  </si>
  <si>
    <t xml:space="preserve"> ТП 10/0,4 кВ.Слобода</t>
  </si>
  <si>
    <t xml:space="preserve"> ТП 10/0,4 кВ.Заборье</t>
  </si>
  <si>
    <t xml:space="preserve"> ТП 10/0,4 кВ.Конец</t>
  </si>
  <si>
    <t xml:space="preserve"> ТП 10/0,4 кВ.Ботово</t>
  </si>
  <si>
    <t xml:space="preserve"> ТП 10/0,4 кВ.Звягино</t>
  </si>
  <si>
    <t xml:space="preserve"> ТП 10/0,4 кВ.Дроздово</t>
  </si>
  <si>
    <t xml:space="preserve"> ТП 10/0,4 кВ.Жданское</t>
  </si>
  <si>
    <t xml:space="preserve"> ТП 10/0,4 кВ.Жабье</t>
  </si>
  <si>
    <t>д.Николо-Рожок</t>
  </si>
  <si>
    <t xml:space="preserve"> ТП 10/0,4 кВ.Н.Рожок</t>
  </si>
  <si>
    <t xml:space="preserve"> ТП 10/0,4 кВ.Заречье</t>
  </si>
  <si>
    <t>д.Неприе</t>
  </si>
  <si>
    <t xml:space="preserve"> ТП 10/0,4 кВ.Неприе-1</t>
  </si>
  <si>
    <t xml:space="preserve"> ТП 10/0,4 кВ.Неприе-2</t>
  </si>
  <si>
    <t>д.Свапуще</t>
  </si>
  <si>
    <t xml:space="preserve"> ТП 10/0,4 кВ.Свапуще-8</t>
  </si>
  <si>
    <t xml:space="preserve"> ТП 10/0,4 кВ.Картунь</t>
  </si>
  <si>
    <t xml:space="preserve"> ТП 10/0,4 кВ.Петровщина</t>
  </si>
  <si>
    <t xml:space="preserve"> ТП 10/0,4 кВ.Залучье</t>
  </si>
  <si>
    <t xml:space="preserve"> ТП 10/0,4 кВ.Жегалово</t>
  </si>
  <si>
    <t xml:space="preserve"> ТП 10/0,4 кВ.Дубово</t>
  </si>
  <si>
    <t xml:space="preserve"> ТП 10/0,4 кВ.Климова Гора</t>
  </si>
  <si>
    <t xml:space="preserve"> ТП10/0,4кВ.Сальниковщина</t>
  </si>
  <si>
    <t xml:space="preserve"> ТП 10/0,4 кВ.Волоховщина</t>
  </si>
  <si>
    <t xml:space="preserve"> ТП 10/0,4 кВ.Бородино</t>
  </si>
  <si>
    <t xml:space="preserve"> ТП 10/0,4 кВ.Задубье</t>
  </si>
  <si>
    <t>д.Запольки</t>
  </si>
  <si>
    <t xml:space="preserve"> ТП 10/0,4 кВ.Запольки-1</t>
  </si>
  <si>
    <t xml:space="preserve"> ТП 10/0,4 кВ.Заплавье-1</t>
  </si>
  <si>
    <t xml:space="preserve"> ТП 10/0,4 кВ.Заплавье-2</t>
  </si>
  <si>
    <t>д.Лучки</t>
  </si>
  <si>
    <t xml:space="preserve"> ТП 10/0,4 кВ.Лучки</t>
  </si>
  <si>
    <t xml:space="preserve"> ТП 10/0,4 кВ.Заузье</t>
  </si>
  <si>
    <t xml:space="preserve"> ТП 10/0,4 кВ.Поселье</t>
  </si>
  <si>
    <t xml:space="preserve"> ТП 10/0,4 кВ.Могилево</t>
  </si>
  <si>
    <t xml:space="preserve"> ТП 10/0,4 кВ.Корпово</t>
  </si>
  <si>
    <t xml:space="preserve"> ТП 10/0,4 кВ.Вятка</t>
  </si>
  <si>
    <t xml:space="preserve"> ТП 10/0,4 кВ.Сосница</t>
  </si>
  <si>
    <t xml:space="preserve"> ТП 10/0,4 кВ.Овинец</t>
  </si>
  <si>
    <t xml:space="preserve"> ТП 10/0,4 кВ.Матерово</t>
  </si>
  <si>
    <t xml:space="preserve"> ТП 10/0,4 кВ.Заборки</t>
  </si>
  <si>
    <t xml:space="preserve"> ТП 10/0,4 кВ.Гуща-1</t>
  </si>
  <si>
    <t xml:space="preserve"> ТП 10/0,4 кВ.Гуща-2</t>
  </si>
  <si>
    <t xml:space="preserve"> ТП 10/0,4 кВ.Шиловка</t>
  </si>
  <si>
    <t xml:space="preserve"> ТП 10/0,4 кВ.Ст. Село-1</t>
  </si>
  <si>
    <t xml:space="preserve"> ТП 10/0,4 кВ.Ст. Село-2</t>
  </si>
  <si>
    <t xml:space="preserve"> ТП 10/0,4 кВ.Ивановщина</t>
  </si>
  <si>
    <t xml:space="preserve"> ТП 10/0,4 кВ.Тарасово</t>
  </si>
  <si>
    <t xml:space="preserve"> ТП 10/0,4 кВ.Барутино</t>
  </si>
  <si>
    <t xml:space="preserve"> ТП 10/0,4 кВ.Анушино</t>
  </si>
  <si>
    <t xml:space="preserve"> ТП 10/0,4 кВ.Гринино</t>
  </si>
  <si>
    <t xml:space="preserve"> ТП 10/0,4 кВ.Березово</t>
  </si>
  <si>
    <t>д.Лежнево</t>
  </si>
  <si>
    <t xml:space="preserve"> ТП 10/0,4 кВ.Лежнево-1</t>
  </si>
  <si>
    <t xml:space="preserve"> ТП 10/0,4 кВ.Лежнево-2</t>
  </si>
  <si>
    <t xml:space="preserve"> ТП 10/0,4 кВ.Лежнево-5</t>
  </si>
  <si>
    <t xml:space="preserve"> ТП 10/0,4 кВ.Мошенка-1</t>
  </si>
  <si>
    <t xml:space="preserve"> ТП 10/0,4 кВ.Б.Веретье</t>
  </si>
  <si>
    <t xml:space="preserve"> ТП 10/0,4 кВ.М.Веретье</t>
  </si>
  <si>
    <t>д.Мошенка</t>
  </si>
  <si>
    <t xml:space="preserve"> ТП 10/0,4 кВ.Мошенка-2</t>
  </si>
  <si>
    <t xml:space="preserve"> ТП 10/0,4 кВ.Красуха</t>
  </si>
  <si>
    <t xml:space="preserve"> ТП 10/0,4 кВ.Глебово-1</t>
  </si>
  <si>
    <t xml:space="preserve"> ТП 10/0,4 кВ.Глебово-2</t>
  </si>
  <si>
    <t>д.Доброе</t>
  </si>
  <si>
    <t xml:space="preserve"> ТП 10/0,4 кВ.Лоброе-1</t>
  </si>
  <si>
    <t xml:space="preserve"> ТП 10/0,4 кВ.Доброе-2</t>
  </si>
  <si>
    <t xml:space="preserve"> ТП 10/0,4 кВ.Городец-1</t>
  </si>
  <si>
    <t xml:space="preserve"> ТП 10/0,4 кВ.Городец-2</t>
  </si>
  <si>
    <t>д.Ореховка</t>
  </si>
  <si>
    <t xml:space="preserve"> ТП 10/0,4 кВ.Ореховка</t>
  </si>
  <si>
    <t>д.Подолище</t>
  </si>
  <si>
    <t xml:space="preserve"> ТП 10/0,4 кВ.Подолище</t>
  </si>
  <si>
    <t>д.Турская</t>
  </si>
  <si>
    <t xml:space="preserve"> ТП 10/0,4 кВ.Турская</t>
  </si>
  <si>
    <t>д.Междуречье</t>
  </si>
  <si>
    <t xml:space="preserve"> ТП 10/0,4 кВ.Междуречье</t>
  </si>
  <si>
    <t>д.Семеновщина</t>
  </si>
  <si>
    <t xml:space="preserve"> ТП 10/0,4 кВ.Семеновщина</t>
  </si>
  <si>
    <t>д.Чигориха</t>
  </si>
  <si>
    <t xml:space="preserve"> ТП 10/0,4 кВ.Чигориха</t>
  </si>
  <si>
    <t xml:space="preserve"> ТП 10/0,4 кВ.Щучье-1</t>
  </si>
  <si>
    <t xml:space="preserve"> ТП 10/0,4 кВ.Щучье-2</t>
  </si>
  <si>
    <t xml:space="preserve"> ТП 10/0,4 кВ.Щучье-3</t>
  </si>
  <si>
    <t xml:space="preserve"> ТП 10/0,4 кВ.Лукьяново</t>
  </si>
  <si>
    <t>д.Горовастица</t>
  </si>
  <si>
    <t xml:space="preserve"> ТП 10/0,4 кВ.Горовастица</t>
  </si>
  <si>
    <t xml:space="preserve"> ТП 10/0,4 кВ.Сухая Нива</t>
  </si>
  <si>
    <t>д.Роги</t>
  </si>
  <si>
    <t xml:space="preserve"> ТП 10/0,4 кВ.Роги</t>
  </si>
  <si>
    <t>д.Заозерье</t>
  </si>
  <si>
    <t xml:space="preserve"> ТП 10/0,4 кВ.Заозерье</t>
  </si>
  <si>
    <t>д.Лещины</t>
  </si>
  <si>
    <t xml:space="preserve"> ТП 10/0,4 кВ.Лещины</t>
  </si>
  <si>
    <t>д.Чернозем</t>
  </si>
  <si>
    <t xml:space="preserve"> ТП 10/0,4 кВ.Чернозем</t>
  </si>
  <si>
    <t>д.Белкино</t>
  </si>
  <si>
    <t xml:space="preserve"> ТП 10/0,4 кВ.Белкино</t>
  </si>
  <si>
    <t>д.Святое</t>
  </si>
  <si>
    <t xml:space="preserve"> ТП 10/0,4 кВ.Святое-2</t>
  </si>
  <si>
    <t xml:space="preserve"> ТП 10/0,4 кВ.Святое-3</t>
  </si>
  <si>
    <t>д.Сухлово</t>
  </si>
  <si>
    <t xml:space="preserve"> ТП 10/0,4 кВ.Сухлово</t>
  </si>
  <si>
    <t>д.Мартюшино</t>
  </si>
  <si>
    <t xml:space="preserve"> ТП 10/0,4 кВ.Мартюшино</t>
  </si>
  <si>
    <t xml:space="preserve"> ТП 10/0,4 кВ.Жилино</t>
  </si>
  <si>
    <t xml:space="preserve"> ТП 10/0,4 кВ.Нижние Котицы</t>
  </si>
  <si>
    <t>д.Зехново</t>
  </si>
  <si>
    <t xml:space="preserve"> ТП 10/0,4 кВ.Зехново-4</t>
  </si>
  <si>
    <t xml:space="preserve"> ТП 10/0,4 кВ.Зехново-2</t>
  </si>
  <si>
    <t xml:space="preserve"> ТП 10/0,4 кВ.Зехново-1</t>
  </si>
  <si>
    <t xml:space="preserve"> ТП 10/0,4 кВ.Зехново-3</t>
  </si>
  <si>
    <t xml:space="preserve"> ТП 10/0,4 кВ.Зехново-5</t>
  </si>
  <si>
    <t>д.Панюки</t>
  </si>
  <si>
    <t xml:space="preserve"> ТП 10/0,4 кВ.Панюки</t>
  </si>
  <si>
    <t xml:space="preserve"> ТП 10/0,4 кВ.Верх. Котицы</t>
  </si>
  <si>
    <t>д.Крапивня</t>
  </si>
  <si>
    <t xml:space="preserve"> ТП 10/0,4 кВ.Крапивня</t>
  </si>
  <si>
    <t>д.Жданово</t>
  </si>
  <si>
    <t xml:space="preserve"> ТП 10/0,4 кВ.Жданово-3</t>
  </si>
  <si>
    <t xml:space="preserve"> ТП 10/0,4 кВ.Жданово-2</t>
  </si>
  <si>
    <t xml:space="preserve"> ТП 10/0,4 кВ.Жданово-6</t>
  </si>
  <si>
    <t xml:space="preserve"> ТП 10/0,4 кВ.Жданово-7</t>
  </si>
  <si>
    <t>д.Пачково</t>
  </si>
  <si>
    <t xml:space="preserve"> ТП 10/0,4 кВ.Пачково</t>
  </si>
  <si>
    <t>д.Залучье</t>
  </si>
  <si>
    <t>д.Погорелое</t>
  </si>
  <si>
    <t xml:space="preserve"> ТП 10/0,4 кВ.Погорелое-1</t>
  </si>
  <si>
    <t xml:space="preserve"> ТП 10/0,4 кВ.Погорелое-2</t>
  </si>
  <si>
    <t>д.Заселье</t>
  </si>
  <si>
    <t xml:space="preserve"> ТП 10/0,4 кВ.Заселье</t>
  </si>
  <si>
    <t>д.Острица</t>
  </si>
  <si>
    <t xml:space="preserve"> ТП 10/0,4 кВ.Острица</t>
  </si>
  <si>
    <t>д.Глубочица</t>
  </si>
  <si>
    <t xml:space="preserve"> ТП 10/0,4 кВ.Глубочица</t>
  </si>
  <si>
    <t>д.Троеручица</t>
  </si>
  <si>
    <t xml:space="preserve"> ТП 10/0,4 кВ.Троеручица</t>
  </si>
  <si>
    <t>д.Зальцо</t>
  </si>
  <si>
    <t xml:space="preserve"> ТП 10/0,4 кВ.Зальцо</t>
  </si>
  <si>
    <t>д.Твердякино</t>
  </si>
  <si>
    <t xml:space="preserve"> ТП 10/0,4 кВ.Твердякино</t>
  </si>
  <si>
    <t>д.Кравотынь</t>
  </si>
  <si>
    <t xml:space="preserve"> ТП 10/0,4 кВ.Кравотынь</t>
  </si>
  <si>
    <t xml:space="preserve"> ТП 10/0,4 кВ.Пески-Ляпино</t>
  </si>
  <si>
    <t xml:space="preserve"> ТП 10/0,4 кВ.Свапуще-1</t>
  </si>
  <si>
    <t xml:space="preserve"> ТП 10/0,4 кВ.Свапуще-2</t>
  </si>
  <si>
    <t xml:space="preserve"> ТП 10/0,4 кВ.Свапуще-3</t>
  </si>
  <si>
    <t>д.Коковкино</t>
  </si>
  <si>
    <t xml:space="preserve"> ТП 10/0,4 кВ.Коковкино-1</t>
  </si>
  <si>
    <t>д.Шелехово</t>
  </si>
  <si>
    <t xml:space="preserve"> ТП 10/0,4 кВ.Шелехово</t>
  </si>
  <si>
    <t>д.Новинка</t>
  </si>
  <si>
    <t xml:space="preserve"> ТП 10/0,4 кВ.Новинка</t>
  </si>
  <si>
    <t>д.Мосеевцы</t>
  </si>
  <si>
    <t xml:space="preserve"> ТП 10/0,4 кВ.Мосеевцы</t>
  </si>
  <si>
    <t>д.Залесье</t>
  </si>
  <si>
    <t xml:space="preserve"> ТП 10/0,4 кВ.Залесье</t>
  </si>
  <si>
    <t xml:space="preserve"> ТП 10/0,4 кВ.Ивановское</t>
  </si>
  <si>
    <t xml:space="preserve"> ТП 10/0,4 кВ.Высокое</t>
  </si>
  <si>
    <t xml:space="preserve"> ТП 10/0,4 кВ.Вороново</t>
  </si>
  <si>
    <t>д.Волговерховье</t>
  </si>
  <si>
    <t xml:space="preserve"> ТП 10/0,4 кВ.Волговерховье</t>
  </si>
  <si>
    <t xml:space="preserve"> ТП 10/0,4 кВ.Свапуще-7</t>
  </si>
  <si>
    <t>д.Трестино</t>
  </si>
  <si>
    <t xml:space="preserve"> ТП 10/0,4 кВ.Трестино</t>
  </si>
  <si>
    <t>д.Урицкое</t>
  </si>
  <si>
    <t xml:space="preserve"> ТП 10/0,4 кВ.Урицкое</t>
  </si>
  <si>
    <t>д.Игнашовка</t>
  </si>
  <si>
    <t xml:space="preserve"> ТП 10/0,4 кВ.Игнашовка</t>
  </si>
  <si>
    <t>д.Рвеницы</t>
  </si>
  <si>
    <t xml:space="preserve"> ТП 10/0,4 кВ.Рвеницы</t>
  </si>
  <si>
    <t>д.Желыбня</t>
  </si>
  <si>
    <t xml:space="preserve"> ТП 10/0,4 кВ.Желыбня</t>
  </si>
  <si>
    <t xml:space="preserve"> ТП 10/0,4 кВ.Яхт-Клуб</t>
  </si>
  <si>
    <t xml:space="preserve"> ТП 10/0,4 кВ.Пущина Гора</t>
  </si>
  <si>
    <t>д.Дмитровщина</t>
  </si>
  <si>
    <t xml:space="preserve"> ТП 10/0,4 кВ.Дмитровщина</t>
  </si>
  <si>
    <t>д.Б.иМ.Чащивец</t>
  </si>
  <si>
    <t xml:space="preserve"> ТП 10/0,4 кВ.Чащивец</t>
  </si>
  <si>
    <t xml:space="preserve"> ТП 10/0,4 кВ.М.Гора</t>
  </si>
  <si>
    <t>д.Ровень-Мосты</t>
  </si>
  <si>
    <t xml:space="preserve"> ТП 10/0,4 кВ.Ровень-Мосты</t>
  </si>
  <si>
    <t>д.Тереховщина</t>
  </si>
  <si>
    <t xml:space="preserve"> ТП 10/0,4 кВ.Тереховщина</t>
  </si>
  <si>
    <t>д.Сорога</t>
  </si>
  <si>
    <t xml:space="preserve"> ТП 10/0,4 кВ.Сорога-3</t>
  </si>
  <si>
    <t xml:space="preserve"> ТП 10/0,4 кВ.Покровское-2</t>
  </si>
  <si>
    <t xml:space="preserve"> ТП 10/0,4 кВ.Покровское-3</t>
  </si>
  <si>
    <t xml:space="preserve"> ТП 10/0,4 кВ.Покровское-1</t>
  </si>
  <si>
    <t xml:space="preserve"> ТП 10/0,4 кВ.Марьино</t>
  </si>
  <si>
    <t xml:space="preserve"> ТП 10/0,4 кВ.Зорино</t>
  </si>
  <si>
    <t>д.Локотец</t>
  </si>
  <si>
    <t xml:space="preserve"> ТП 10/0,4 кВ.Локотец-1</t>
  </si>
  <si>
    <t xml:space="preserve"> ТП 10/0,4 кВ.Локотец-2</t>
  </si>
  <si>
    <t>д.Дубок</t>
  </si>
  <si>
    <t xml:space="preserve"> ТП 10/0,4 кВ.Дубок</t>
  </si>
  <si>
    <t>д.Хитино</t>
  </si>
  <si>
    <t xml:space="preserve"> ТП 10/0,4 кВ.Хитино-4</t>
  </si>
  <si>
    <t xml:space="preserve"> ТП 10/0,4 кВ.Мошенка-3</t>
  </si>
  <si>
    <t xml:space="preserve"> ТП 10/0,4 кВ.Святое-1</t>
  </si>
  <si>
    <t xml:space="preserve"> ТП 10/0,4 кВ.Свапуще-4</t>
  </si>
  <si>
    <t xml:space="preserve"> ТП 10/0,4 кВ.Сорога-2</t>
  </si>
  <si>
    <t>д.Горемыкино</t>
  </si>
  <si>
    <t xml:space="preserve"> ТП 10/0,4 кВ.Горемыкино</t>
  </si>
  <si>
    <t xml:space="preserve"> ТП 10/0,4 кВ.Слобода-2</t>
  </si>
  <si>
    <t>д.Пески</t>
  </si>
  <si>
    <t xml:space="preserve"> ТП 10/0,4 кВ.Пески-2</t>
  </si>
  <si>
    <t>д.Светлица</t>
  </si>
  <si>
    <t xml:space="preserve"> ТП 10/0,4 кВ.Светлица</t>
  </si>
  <si>
    <t>д.Занепречье</t>
  </si>
  <si>
    <t xml:space="preserve"> ТП 10/0,4 кВ.Занепречье-2</t>
  </si>
  <si>
    <t xml:space="preserve"> ТП 10/0,4 кВ.Глебово-3</t>
  </si>
  <si>
    <t xml:space="preserve"> ТП 10/0,4 кВ.Запольки-2</t>
  </si>
  <si>
    <t xml:space="preserve"> ТП 10/0,4 кВ.Лежнево-3</t>
  </si>
  <si>
    <t>д.Жар</t>
  </si>
  <si>
    <t xml:space="preserve"> ТП 10/0,4 кВ.Жар</t>
  </si>
  <si>
    <t>д.Сосново</t>
  </si>
  <si>
    <t xml:space="preserve"> ТП 10/0,4 кВ.Сосново-1</t>
  </si>
  <si>
    <t xml:space="preserve"> ТП 10/0,4 кВ.Сосново-2</t>
  </si>
  <si>
    <t>д.Рогожа</t>
  </si>
  <si>
    <t xml:space="preserve"> ТП 10/0,4 кВ.Рогожа-3</t>
  </si>
  <si>
    <t>д.Задубье</t>
  </si>
  <si>
    <t xml:space="preserve"> ТП 10/0,4 кВ.Задубье-2</t>
  </si>
  <si>
    <t xml:space="preserve"> ТП 10/0,4 кВ.Лежнево-4</t>
  </si>
  <si>
    <t>д.Белка</t>
  </si>
  <si>
    <t xml:space="preserve"> ТП 10/0,4 кВ.Белка</t>
  </si>
  <si>
    <t>д.Ст.Поля</t>
  </si>
  <si>
    <t xml:space="preserve"> ТП 10/0,4 кВ.Ст.Поля</t>
  </si>
  <si>
    <t>д.Болошово</t>
  </si>
  <si>
    <t xml:space="preserve"> ТП 10/0,4 кВ.Болошово</t>
  </si>
  <si>
    <t xml:space="preserve"> ТП 10/0,4 кВ.Зорино-2</t>
  </si>
  <si>
    <t>д.Шалобаево</t>
  </si>
  <si>
    <t>Пеновский</t>
  </si>
  <si>
    <t>10/0,4 кВ  КТП Жил. Дома РЭС</t>
  </si>
  <si>
    <t xml:space="preserve">10/0,4 кВ  КТП База РЭС </t>
  </si>
  <si>
    <t>10/0,4 кВ  КТП Юбилейная</t>
  </si>
  <si>
    <t>10/0,4 кВ  КТП Орлинка</t>
  </si>
  <si>
    <t>10/0,4 кВ  КТП Жукопа-1</t>
  </si>
  <si>
    <t>10/0,4 кВ  КТП Жукопа-2</t>
  </si>
  <si>
    <t>10/0,4 кВ  КТП Жукопа-3</t>
  </si>
  <si>
    <t>10/0,4 кВ  КТП Жукопа-4</t>
  </si>
  <si>
    <t>10/0,4 кВ  КТП Кречетово</t>
  </si>
  <si>
    <t>10/0,4 кВ  КТП Горовастица</t>
  </si>
  <si>
    <t xml:space="preserve">10/0,4 кВ  КТП Сергеево </t>
  </si>
  <si>
    <t>10/0,4 кВ  КТП Ветожетка</t>
  </si>
  <si>
    <t>10/0,4 кВ  КТП Середка-1</t>
  </si>
  <si>
    <t>10/0,4 кВ  КТП Середка-2</t>
  </si>
  <si>
    <t xml:space="preserve">10/0,4 кВ  КТП Мизиново </t>
  </si>
  <si>
    <t xml:space="preserve">10/0,4 кВ ЗТП № 2 </t>
  </si>
  <si>
    <t>10/0,4 кВ КТП Заволга</t>
  </si>
  <si>
    <t xml:space="preserve">10/0,4 кВ КТП Починок </t>
  </si>
  <si>
    <t>10/0,4 кВ КТП Нечаевщина</t>
  </si>
  <si>
    <t>10/0,4 кВ КТП Квашнино</t>
  </si>
  <si>
    <t>10/0,4 кВ КТП Олений рог</t>
  </si>
  <si>
    <t xml:space="preserve">10/0,4 кВ КТП Вселуки </t>
  </si>
  <si>
    <t>10/0,4 кВ КТП Подлядье</t>
  </si>
  <si>
    <t>10/0,4 кВ КТП Заево-1</t>
  </si>
  <si>
    <t>10/0,4 кВ КТП Заево-2</t>
  </si>
  <si>
    <t>10/0,4 кВ КТП Заево-3</t>
  </si>
  <si>
    <t>10/0,4 кВ КТП Заево-4</t>
  </si>
  <si>
    <t>10/0,4 кВ КТП Переходовец</t>
  </si>
  <si>
    <t>10/0,4 кВ КТП Лопатино</t>
  </si>
  <si>
    <t xml:space="preserve">10/0,4 кВ КТП Горка </t>
  </si>
  <si>
    <t>10/0,4 кВ КТП Орлинка</t>
  </si>
  <si>
    <t>10/0,4 кВ КТП Теплень</t>
  </si>
  <si>
    <t>10/0,4 кВ КТП Косицкое</t>
  </si>
  <si>
    <t>10/0,4 кВ КТП Синцово</t>
  </si>
  <si>
    <t xml:space="preserve">10/0,4 кВ КТП Ширково </t>
  </si>
  <si>
    <t>10/0,4 кВ КТП Наумово</t>
  </si>
  <si>
    <t>10/0,4 кВ КТП Адворица</t>
  </si>
  <si>
    <t xml:space="preserve">10/0,4 кВ КТП Адворица-1 </t>
  </si>
  <si>
    <t xml:space="preserve">10/0,4 кВ ЗТП № 3 </t>
  </si>
  <si>
    <t>10/0,4 кВ ЗТП № 5</t>
  </si>
  <si>
    <t xml:space="preserve">10/0,4 кВ КТП Маслозавод </t>
  </si>
  <si>
    <t>10/0,4 кВ КТП № 6</t>
  </si>
  <si>
    <t>10/0,4 кВ ЗТП № 7</t>
  </si>
  <si>
    <t xml:space="preserve">10/0,4 кВ ЗТП № 8 </t>
  </si>
  <si>
    <t>10/0,4 кВ ЗТП № 9</t>
  </si>
  <si>
    <t>10/0,4 кВ ЗТП № 11</t>
  </si>
  <si>
    <t>10/0,4 кВ КТП № 21</t>
  </si>
  <si>
    <t>10/0,4 кВ КТП № 1</t>
  </si>
  <si>
    <t>10/0,4 кВ КТП № 4</t>
  </si>
  <si>
    <t>10/0,4 кВ ЗТП № 10</t>
  </si>
  <si>
    <t>10/0,4 кВ ЗТП № 12</t>
  </si>
  <si>
    <t>10/0,4 кВ ЗТП № 13</t>
  </si>
  <si>
    <t xml:space="preserve">10/0,4 кВ КТП № 14 </t>
  </si>
  <si>
    <t xml:space="preserve">10/0,4 кВ КТП № 15 </t>
  </si>
  <si>
    <t xml:space="preserve">10/0,4 кВ КТП № 16 </t>
  </si>
  <si>
    <t xml:space="preserve">10/0,4 кВ ЗТП № 17 </t>
  </si>
  <si>
    <t xml:space="preserve">10/0,4 кВ КТП № 18 </t>
  </si>
  <si>
    <t>10/0,4 кВ КТП № 19</t>
  </si>
  <si>
    <t>10/0,4 кВ КТП № 19А</t>
  </si>
  <si>
    <t xml:space="preserve">10/0,4 кВ КТП № 20 </t>
  </si>
  <si>
    <t>10/0,4 кВ ЗТП № 22</t>
  </si>
  <si>
    <t>10/0,4 кВ КТП Пожариха-1</t>
  </si>
  <si>
    <t>10/0,4 кВ КТП Пожариха-2</t>
  </si>
  <si>
    <t>10/0,4 кВ ЗТП Пожариха-3</t>
  </si>
  <si>
    <t>10/0,4 кВ КТП Соблаго-2</t>
  </si>
  <si>
    <t>10/0,4 кВ КТП Соблаго-4</t>
  </si>
  <si>
    <t>10/0,4 кВ КТП Соблаго-7</t>
  </si>
  <si>
    <t>10/0,4 кВ КТП Соблаго-8</t>
  </si>
  <si>
    <t>10/0,4 кВ КТП Лауга</t>
  </si>
  <si>
    <t xml:space="preserve">10/0,4 кВ КТП Маринница </t>
  </si>
  <si>
    <t>10/0,4 кВ КТП Борки</t>
  </si>
  <si>
    <t>10/0,4 кВ КТП Охват-1</t>
  </si>
  <si>
    <t>10/0,4 кВ КТП Охват-2</t>
  </si>
  <si>
    <t>10/0,4 кВ КТП Охват-4</t>
  </si>
  <si>
    <t>10/0,4 кВ КТП Охват-6</t>
  </si>
  <si>
    <t>10/0,4 кВ КТП Охват-7</t>
  </si>
  <si>
    <t>10/0,4 кВ КТП Бдынь</t>
  </si>
  <si>
    <t>10/0,4 кВ КТП Пустошка</t>
  </si>
  <si>
    <t>10/0,4 кВ КТП Заборовка-2</t>
  </si>
  <si>
    <t>10/0,4 кВ КТП Заборовка-3</t>
  </si>
  <si>
    <t>10/0,4 кВ КТП Битуха</t>
  </si>
  <si>
    <t>10/0,4 кВ МТП Загородечье</t>
  </si>
  <si>
    <t>10/0,4 кВ КТП Мосты</t>
  </si>
  <si>
    <t xml:space="preserve">10/0,4 кВ КТП Полово </t>
  </si>
  <si>
    <t xml:space="preserve">10/0,4 кВ КТП Полово-3 </t>
  </si>
  <si>
    <t xml:space="preserve">10/0,4 кВ КТП Бервенец-1 </t>
  </si>
  <si>
    <t>10/0,4 кВ КТП Бервенец-2</t>
  </si>
  <si>
    <t>10/0,4 кВ МТП Ляды</t>
  </si>
  <si>
    <t>10/0,4 кВ МТП Красное утро</t>
  </si>
  <si>
    <t>10/0,4 кВ КТП Кудь</t>
  </si>
  <si>
    <t>10/0,4 кВ КТП Кобенево</t>
  </si>
  <si>
    <t xml:space="preserve">10/0,4 кВ КТП Боровое </t>
  </si>
  <si>
    <t>10/0,4 кВ КТП Заречье</t>
  </si>
  <si>
    <t>10/0,4 кВ КТП Забелино-1</t>
  </si>
  <si>
    <t>10/0,4 кВ КТП Забелино-2</t>
  </si>
  <si>
    <t>10/0,4 кВ КТП Забелино-3</t>
  </si>
  <si>
    <t>10/0,4 кВ КТП Гора</t>
  </si>
  <si>
    <t>10/0,4 кВ КТП Торг-1</t>
  </si>
  <si>
    <t>10/0,4 кВ КТП Торг-2</t>
  </si>
  <si>
    <t>10/0,4 кВ КТП Старое-Борки-1</t>
  </si>
  <si>
    <t>10/0,4 кВ КТП Старое-Борки-2</t>
  </si>
  <si>
    <t>10/0,4 кВ КТП Слаутино-1</t>
  </si>
  <si>
    <t>10/0,4 кВ КТП Слаутино-2</t>
  </si>
  <si>
    <t>10/0,4 кВ КТП Слаутино-3</t>
  </si>
  <si>
    <t>10/0,4 кВ КТП Новоселок</t>
  </si>
  <si>
    <t>10/0,4 кВ КТП Крутик</t>
  </si>
  <si>
    <t xml:space="preserve">10/0,4 кВ КТП Корено-1 </t>
  </si>
  <si>
    <t>10/0,4 кВ КТП Корено-2</t>
  </si>
  <si>
    <t>10/0,4 кВ КТП Тимохино</t>
  </si>
  <si>
    <t>10/0,4 кВ КТП Астратово</t>
  </si>
  <si>
    <t xml:space="preserve">10/0,4 кВ КТП Новинка </t>
  </si>
  <si>
    <t>10/0,4 кВ КТП Хвошня</t>
  </si>
  <si>
    <t>10/0,4 кВ КТП Рунский</t>
  </si>
  <si>
    <t>10/0,4 кВ КТП Рунский-2</t>
  </si>
  <si>
    <t>10/0,4 кВ КТП Рунский-3</t>
  </si>
  <si>
    <t>10/0,4 кВ КТП Переволока</t>
  </si>
  <si>
    <t>10/0,4 кВ КТП Орлово</t>
  </si>
  <si>
    <t xml:space="preserve">10/0,4 кВ КТП Колпино </t>
  </si>
  <si>
    <t>10/0,4 кВ КТП Витьбино</t>
  </si>
  <si>
    <t>10/0,4 кВ КТП Осечно-1</t>
  </si>
  <si>
    <t>10/0,4 кВ КТП Осечно-2</t>
  </si>
  <si>
    <t>10/0,4 кВ КТП Москва</t>
  </si>
  <si>
    <t>10/0,4 кВ КТП Октябрьское</t>
  </si>
  <si>
    <t>10/0,4 кВ КТП Суханы</t>
  </si>
  <si>
    <t>10/0,4 кВ КТП Ордоникольское</t>
  </si>
  <si>
    <t>10/0,4 кВ КТП Гора-Плоское</t>
  </si>
  <si>
    <t xml:space="preserve">10/0,4 кВ КТП Залуковье </t>
  </si>
  <si>
    <t>10/0,4 кВ КТП Рябкино</t>
  </si>
  <si>
    <t>10/0,4 кВ КТП Поляны</t>
  </si>
  <si>
    <t xml:space="preserve">10/0,4 кВ КТП Гари </t>
  </si>
  <si>
    <t>10/0,4 кВ КТП Заборье-1</t>
  </si>
  <si>
    <t>10/0,4 кВ КТП Заборье-2</t>
  </si>
  <si>
    <t>10/0,4 кВ КТП Заборье-3</t>
  </si>
  <si>
    <t>10/0,4 кВ КТП Лебедево</t>
  </si>
  <si>
    <t>10/0,4 кВ КТП Заселица</t>
  </si>
  <si>
    <t>10/0,4 кВ КТП Погорелица</t>
  </si>
  <si>
    <t>10/0,4 кВ КТП Лугово</t>
  </si>
  <si>
    <t>10/0,4 кВ КТП Ворошилово-1</t>
  </si>
  <si>
    <t>10/0,4 кВ КТП Ворошилово-2</t>
  </si>
  <si>
    <t>10/0,4 кВ КТП Ворошилово-3</t>
  </si>
  <si>
    <t>10/0,4 кВ КТП Ворошилово-4</t>
  </si>
  <si>
    <t>10/0,4 кВ КТП Переволока-Беляево</t>
  </si>
  <si>
    <t>10/0,4 кВ КТП Антуфьево</t>
  </si>
  <si>
    <t xml:space="preserve">10/0,4 кВ КТП Селихово </t>
  </si>
  <si>
    <t xml:space="preserve">10/0,4 кВ КТП Целпаны </t>
  </si>
  <si>
    <t>10/0,4 кВ КТП Кузнечково</t>
  </si>
  <si>
    <t>10/0,4 кВ КТП к-с Мошары</t>
  </si>
  <si>
    <t>10/0,4 кВ КТП Мошары-2</t>
  </si>
  <si>
    <t>10/0,4 кВ КТП Мошары-3</t>
  </si>
  <si>
    <t>10/0,4 кВ КТП Мошары-4</t>
  </si>
  <si>
    <t>10/0,4 кВ КТП Мошары-5</t>
  </si>
  <si>
    <t>10/0,4 кВ КТП Мошары-1</t>
  </si>
  <si>
    <t>10/0,4 кВ КТП Минькино</t>
  </si>
  <si>
    <t xml:space="preserve">10/0,4 кВ КТП Суходол </t>
  </si>
  <si>
    <t>10/0,4 кВ КТП Озерцы</t>
  </si>
  <si>
    <t xml:space="preserve">10/0,4 кВ КТП Грылево </t>
  </si>
  <si>
    <t xml:space="preserve">10/0,4 кВ КТП Колобово </t>
  </si>
  <si>
    <t>10/0,4 кВ КТП Митино</t>
  </si>
  <si>
    <t>Селижаровский</t>
  </si>
  <si>
    <t>КТП 10/0,4 кВ д. Шелуденево</t>
  </si>
  <si>
    <t>КТП-10/0,4 кВ  д. Ананкино №1</t>
  </si>
  <si>
    <t>КТП-10/0,4 кВ  д. Б. и М. Волга</t>
  </si>
  <si>
    <t>КТП-10/0,4 кВ  д. Дрыгомо-2</t>
  </si>
  <si>
    <t>КТП-10/0,4 кВ  д. Максимково №2</t>
  </si>
  <si>
    <t>КТП-10/0,4 кВ  д. Тальцы №5</t>
  </si>
  <si>
    <t>КТП-10/0,4 кВ "Бобровники" д. Б.Коша №8</t>
  </si>
  <si>
    <t>КТП-10/0,4 кВ "Жил. дома" д. Шуваево №5</t>
  </si>
  <si>
    <t>КТП-10/0,4 кВ "ЛПХ" д. Шуваево №5</t>
  </si>
  <si>
    <t>КТП-10/0,4 кВ "Маслозавод" д. Б.Коша №7</t>
  </si>
  <si>
    <t>КТП-10/0,4 кВ "Мех. маст." д. Ольхово №3</t>
  </si>
  <si>
    <t>КТП-10/0,4 кВ "Столовая" д. Б.Коша №6</t>
  </si>
  <si>
    <t>КТП-10/0,4 кВ "Школа" д. Шуваево №4</t>
  </si>
  <si>
    <t>КТП-10/0,4 кВ №1 д. Хотошино</t>
  </si>
  <si>
    <t>КТП-10/0,4 кВ №2 д. Хотошино</t>
  </si>
  <si>
    <t>КТП-10/0,4 кВ №3 д. Хотошино</t>
  </si>
  <si>
    <t>КТП-10/0,4 кВ №4 д. Хотошино</t>
  </si>
  <si>
    <t>КТП-10/0,4 кВ д. Абакумово</t>
  </si>
  <si>
    <t>КТП-10/0,4 кВ д. Азаново</t>
  </si>
  <si>
    <t>КТП-10/0,4 кВ д. Алексеевское</t>
  </si>
  <si>
    <t>КТП-10/0,4 кВ д. Алешино</t>
  </si>
  <si>
    <t>КТП-10/0,4 кВ д. Ананкино №3</t>
  </si>
  <si>
    <t>КТП-10/0,4 кВ д. Апокинь</t>
  </si>
  <si>
    <t>КТП-10/0,4 кВ д. Б. Бор</t>
  </si>
  <si>
    <t>КТП-10/0,4 кВ д. Б. и М. Лапушка</t>
  </si>
  <si>
    <t>КТП-10/0,4 кВ д. Барагино</t>
  </si>
  <si>
    <t>КТП-10/0,4 кВ д. Безумничено</t>
  </si>
  <si>
    <t>КТП-10/0,4 кВ д. Безымянка</t>
  </si>
  <si>
    <t>КТП-10/0,4 кВ д. Березуг №2</t>
  </si>
  <si>
    <t>КТП-10/0,4 кВ д. Березуг №3</t>
  </si>
  <si>
    <t>КТП-10/0,4 кВ д. Березуг №6</t>
  </si>
  <si>
    <t>КТП-10/0,4 кВ д. Березуг №7</t>
  </si>
  <si>
    <t>КТП-10/0,4 кВ д. Берники</t>
  </si>
  <si>
    <t>КТП-10/0,4 кВ д. Боброво</t>
  </si>
  <si>
    <t>КТП-10/0,4 кВ д. Бор-Волго №1</t>
  </si>
  <si>
    <t>КТП-10/0,4 кВ д. Борисовка (ферма)</t>
  </si>
  <si>
    <t>КТП-10/0,4 кВ д. Борисово (ф. Борисово)</t>
  </si>
  <si>
    <t>КТП-10/0,4 кВ д. Борисово (ф. Мир)</t>
  </si>
  <si>
    <t>КТП-10/0,4 кВ д. Боровицы</t>
  </si>
  <si>
    <t>КТП-10/0,4 кВ д. Бортники</t>
  </si>
  <si>
    <t>КТП-10/0,4 кВ д. Будаево</t>
  </si>
  <si>
    <t>КТП-10/0,4 кВ д. Бураково</t>
  </si>
  <si>
    <t>КТП-10/0,4 кВ д. Бурцево (ферма)</t>
  </si>
  <si>
    <t>КТП-10/0,4 кВ д. Бутырки</t>
  </si>
  <si>
    <t>КТП-10/0,4 кВ д. Быковка</t>
  </si>
  <si>
    <t>КТП-10/0,4 кВ д. Быково (ф. 8-Марта)</t>
  </si>
  <si>
    <t>КТП-10/0,4 кВ д. Быково (ф. Калинина)</t>
  </si>
  <si>
    <t>КТП-10/0,4 кВ д. В. Горицы</t>
  </si>
  <si>
    <t>КТП-10/0,4 кВ д. Вилейка</t>
  </si>
  <si>
    <t>КТП-10/0,4 кВ д. Волга</t>
  </si>
  <si>
    <t>КТП-10/0,4 кВ д. Волково</t>
  </si>
  <si>
    <t>КТП-10/0,4 кВ д. Волково (ф. Борисово)</t>
  </si>
  <si>
    <t>КТП-10/0,4 кВ д. Вороново (Тетенькино)</t>
  </si>
  <si>
    <t>КТП-10/0,4 кВ д. Выжлятниково</t>
  </si>
  <si>
    <t>КТП-10/0,4 кВ д. Выпрягово</t>
  </si>
  <si>
    <t>КТП-10/0,4 кВ д. Высокое (ф. Пустошка)</t>
  </si>
  <si>
    <t>КТП-10/0,4 кВ д. Вышегород</t>
  </si>
  <si>
    <t>КТП-10/0,4 кВ д. Гафидово</t>
  </si>
  <si>
    <t>КТП-10/0,4 кВ д. Глухарево</t>
  </si>
  <si>
    <t>КТП-10/0,4 кВ д. Гогино</t>
  </si>
  <si>
    <t>КТП-10/0,4 кВ д. Гольтино</t>
  </si>
  <si>
    <t>КТП-10/0,4 кВ д. Горицы</t>
  </si>
  <si>
    <t>КТП-10/0,4 кВ д. Гришино</t>
  </si>
  <si>
    <t>КТП-10/0,4 кВ д. Гришкино</t>
  </si>
  <si>
    <t>КТП-10/0,4 кВ д. Девичье-1</t>
  </si>
  <si>
    <t>КТП-10/0,4 кВ д. Девичье-2</t>
  </si>
  <si>
    <t>КТП-10/0,4 кВ д. Дедово</t>
  </si>
  <si>
    <t>КТП-10/0,4 кВ д. Дмитрово</t>
  </si>
  <si>
    <t>КТП-10/0,4 кВ д. Дмитрово "Ск. двор"</t>
  </si>
  <si>
    <t>КТП-10/0,4 кВ д. Дмитрово "Школа"</t>
  </si>
  <si>
    <t>КТП-10/0,4 кВ д. Доронино (Ерохи)</t>
  </si>
  <si>
    <t>КТП-10/0,4 кВ д. Дружная Горка</t>
  </si>
  <si>
    <t>КТП-10/0,4 кВ д. Дрыгомо-3</t>
  </si>
  <si>
    <t>КТП-10/0,4 кВ д. Дубровки №1</t>
  </si>
  <si>
    <t>КТП-10/0,4 кВ д. Дубровки №2</t>
  </si>
  <si>
    <t>КТП-10/0,4 кВ д. Дубровки №3</t>
  </si>
  <si>
    <t>КТП-10/0,4 кВ д. Дубровки №5</t>
  </si>
  <si>
    <t>КТП-10/0,4 кВ д. Дубы</t>
  </si>
  <si>
    <t>КТП-10/0,4 кВ д. Дягилево-1</t>
  </si>
  <si>
    <t>КТП-10/0,4 кВ д. Ельцы №1</t>
  </si>
  <si>
    <t>КТП-10/0,4 кВ д. Ельцы №3</t>
  </si>
  <si>
    <t>КТП-10/0,4 кВ д. Жегорино (Деревня)</t>
  </si>
  <si>
    <t>КТП-10/0,4 кВ д. Жегорино (ск.двор)</t>
  </si>
  <si>
    <t>КТП-10/0,4 кВ д. Жилино</t>
  </si>
  <si>
    <t>КТП-10/0,4 кВ д. Завирье №2</t>
  </si>
  <si>
    <t>КТП-10/0,4 кВ д. Заручевье</t>
  </si>
  <si>
    <t>КТП-10/0,4 кВ д. Заручевье (Казаково)</t>
  </si>
  <si>
    <t>КТП-10/0,4 кВ д. Заря</t>
  </si>
  <si>
    <t>КТП-10/0,4 кВ д. Захарово №3</t>
  </si>
  <si>
    <t>КТП-10/0,4 кВ д. Зеленино</t>
  </si>
  <si>
    <t>КТП-10/0,4 кВ д. Зеленоваха</t>
  </si>
  <si>
    <t>КТП-10/0,4 кВ д. Земцово</t>
  </si>
  <si>
    <t>КТП-10/0,4 кВ д. Ивково</t>
  </si>
  <si>
    <t>КТП-10/0,4 кВ д. Измайлово</t>
  </si>
  <si>
    <t>КТП-10/0,4 кВ д. Ильино (ф. Киселево)</t>
  </si>
  <si>
    <t>КТП-10/0,4 кВ д. Ильино (ф. Татариново)</t>
  </si>
  <si>
    <t>КТП-10/0,4 кВ д. Казаково №1</t>
  </si>
  <si>
    <t>КТП-10/0,4 кВ д. Киселево №5</t>
  </si>
  <si>
    <t>КТП-10/0,4 кВ д. Киселево №6</t>
  </si>
  <si>
    <t>КТП-10/0,4 кВ д. Киселево №7</t>
  </si>
  <si>
    <t>КТП-10/0,4 кВ д. Клыпино</t>
  </si>
  <si>
    <t>КТП-10/0,4 кВ д. Козицино</t>
  </si>
  <si>
    <t>КТП-10/0,4 кВ д. Козловцы</t>
  </si>
  <si>
    <t>КТП-10/0,4 кВ д. Колобово №1</t>
  </si>
  <si>
    <t>КТП-10/0,4 кВ д. Коньшино</t>
  </si>
  <si>
    <t>КТП-10/0,4 кВ д. Коптево</t>
  </si>
  <si>
    <t>КТП-10/0,4 кВ д. Коровкино</t>
  </si>
  <si>
    <t>КТП-10/0,4 кВ д. Косарово</t>
  </si>
  <si>
    <t>КТП-10/0,4 кВ д. Кр. Озерок</t>
  </si>
  <si>
    <t>КТП-10/0,4 кВ д. Краски-2</t>
  </si>
  <si>
    <t>КТП-10/0,4 кВ д. Крестцы</t>
  </si>
  <si>
    <t>КТП-10/0,4 кВ д. Крючье</t>
  </si>
  <si>
    <t>КТП-10/0,4 кВ д. Кузнятино</t>
  </si>
  <si>
    <t>КТП-10/0,4 кВ д. Кукушкино</t>
  </si>
  <si>
    <t>КТП-10/0,4 кВ д. Кулешиха</t>
  </si>
  <si>
    <t>КТП-10/0,4 кВ д. Кунино</t>
  </si>
  <si>
    <t>КТП-10/0,4 кВ д. Куниченково</t>
  </si>
  <si>
    <t>КТП-10/0,4 кВ д. Ладное</t>
  </si>
  <si>
    <t>КТП-10/0,4 кВ д. Ладышкино</t>
  </si>
  <si>
    <t>КТП-10/0,4 кВ д. Ланино</t>
  </si>
  <si>
    <t>КТП-10/0,4 кВ д. Левченки</t>
  </si>
  <si>
    <t>КТП-10/0,4 кВ д. Лешки</t>
  </si>
  <si>
    <t>КТП-10/0,4 кВ д. Литвиново</t>
  </si>
  <si>
    <t>КТП-10/0,4 кВ д. Лосево</t>
  </si>
  <si>
    <t>КТП-10/0,4 кВ д. Лошаково (ф. Б. Коша)</t>
  </si>
  <si>
    <t>КТП-10/0,4 кВ д. Лошаково (ф. Борисово)</t>
  </si>
  <si>
    <t>КТП-10/0,4 кВ д. Лыткино (ф. Лыткино)</t>
  </si>
  <si>
    <t>КТП-10/0,4 кВ д. Лыткино (ф.Ананкинский)</t>
  </si>
  <si>
    <t>КТП-10/0,4 кВ д. М. Бор</t>
  </si>
  <si>
    <t>КТП-10/0,4 кВ д. М. Гора</t>
  </si>
  <si>
    <t>КТП-10/0,4 кВ д. Макарово</t>
  </si>
  <si>
    <t>КТП-10/0,4 кВ д. Максимково №3</t>
  </si>
  <si>
    <t>КТП-10/0,4 кВ д. Мамоново</t>
  </si>
  <si>
    <t>КТП-10/0,4 кВ д. Манухино</t>
  </si>
  <si>
    <t>КТП-10/0,4 кВ д. Маревка</t>
  </si>
  <si>
    <t>КТП-10/0,4 кВ д. Мелентьево - 1</t>
  </si>
  <si>
    <t>КТП-10/0,4 кВ д. Мелентьево - 2</t>
  </si>
  <si>
    <t>КТП-10/0,4 кВ д. Митино</t>
  </si>
  <si>
    <t>КТП-10/0,4 кВ д. Митьково</t>
  </si>
  <si>
    <t>КТП-10/0,4 кВ д. Михалево</t>
  </si>
  <si>
    <t>КТП-10/0,4 кВ д. Михальчинки</t>
  </si>
  <si>
    <t>КТП-10/0,4 кВ д. Мишково</t>
  </si>
  <si>
    <t>КТП-10/0,4 кВ д. Мосалово</t>
  </si>
  <si>
    <t>КТП-10/0,4 кВ д. Мосягино</t>
  </si>
  <si>
    <t>КТП-10/0,4 кВ д. Н. Горицы</t>
  </si>
  <si>
    <t>КТП-10/0,4 кВ д. Нероново</t>
  </si>
  <si>
    <t>КТП-10/0,4 кВ д. Нивы (ф.Возрождение)</t>
  </si>
  <si>
    <t>КТП-10/0,4 кВ д. Нивы (ф.Волжанский)</t>
  </si>
  <si>
    <t>КТП-10/0,4 кВ д. Никоново</t>
  </si>
  <si>
    <t>КТП-10/0,4 кВ д. Никулино</t>
  </si>
  <si>
    <t>КТП-10/0,4 кВ д. Оковцы №5</t>
  </si>
  <si>
    <t>КТП-10/0,4 кВ д. Оковцы №6</t>
  </si>
  <si>
    <t>КТП-10/0,4 кВ д. Оковцы №7</t>
  </si>
  <si>
    <t>КТП-10/0,4 кВ д. Оковцы №8</t>
  </si>
  <si>
    <t>КТП-10/0,4 кВ д. Островки</t>
  </si>
  <si>
    <t>КТП-10/0,4 кВ д. Панино (ф. Волжанский)</t>
  </si>
  <si>
    <t>КТП-10/0,4 кВ д. Панино (ф. Чайка)</t>
  </si>
  <si>
    <t>КТП-10/0,4 кВ д. Парамоновка</t>
  </si>
  <si>
    <t>КТП-10/0,4 кВ д. Пашутино</t>
  </si>
  <si>
    <t>КТП-10/0,4 кВ д. Петренево</t>
  </si>
  <si>
    <t>КТП-10/0,4 кВ д. Печеницыно</t>
  </si>
  <si>
    <t>КТП-10/0,4 кВ д. Плаксино</t>
  </si>
  <si>
    <t>КТП-10/0,4 кВ д. Плющево</t>
  </si>
  <si>
    <t>КТП-10/0,4 кВ д. Погост-Голенково</t>
  </si>
  <si>
    <t>КТП-10/0,4 кВ д. Поддубное</t>
  </si>
  <si>
    <t>КТП-10/0,4 кВ д. Полоохино</t>
  </si>
  <si>
    <t>КТП-10/0,4 кВ д. Попково</t>
  </si>
  <si>
    <t>КТП-10/0,4 кВ д. Пунятино (Шедовка)</t>
  </si>
  <si>
    <t>КТП-10/0,4 кВ д. Пьянково</t>
  </si>
  <si>
    <t>КТП-10/0,4 кВ д. Раменье</t>
  </si>
  <si>
    <t>КТП-10/0,4 кВ д. Ранцево №1</t>
  </si>
  <si>
    <t>КТП-10/0,4 кВ д. Ранцево №2</t>
  </si>
  <si>
    <t>КТП-10/0,4 кВ д. Растворово</t>
  </si>
  <si>
    <t>КТП-10/0,4 кВ д. Рыжково</t>
  </si>
  <si>
    <t>КТП-10/0,4 кВ д. Рылово</t>
  </si>
  <si>
    <t>КТП-10/0,4 кВ д. Рябово</t>
  </si>
  <si>
    <t>КТП-10/0,4 кВ д. Санево</t>
  </si>
  <si>
    <t>КТП-10/0,4 кВ д. Сеитово №1</t>
  </si>
  <si>
    <t>КТП-10/0,4 кВ д. Сидорова Гора.</t>
  </si>
  <si>
    <t>КТП-10/0,4 кВ д. Сижинское</t>
  </si>
  <si>
    <t>КТП-10/0,4 кВ д. Скакулино</t>
  </si>
  <si>
    <t>КТП-10/0,4 кВ д. Сковорово</t>
  </si>
  <si>
    <t>КТП-10/0,4 кВ д. Славатино</t>
  </si>
  <si>
    <t>КТП-10/0,4 кВ д. Соколово</t>
  </si>
  <si>
    <t>КТП-10/0,4 кВ д. Сорокино</t>
  </si>
  <si>
    <t>КТП-10/0,4 кВ д. Сосноватка</t>
  </si>
  <si>
    <t>КТП-10/0,4 кВ д. Сосновка №1</t>
  </si>
  <si>
    <t>КТП-10/0,4 кВ д. Сосновка №3</t>
  </si>
  <si>
    <t>КТП-10/0,4 кВ д. Старая</t>
  </si>
  <si>
    <t>КТП-10/0,4 кВ д. Струги</t>
  </si>
  <si>
    <t>КТП-10/0,4 кВ д. Ступино</t>
  </si>
  <si>
    <t>КТП-10/0,4 кВ д. Сутоки (ф.Октябрь)</t>
  </si>
  <si>
    <t>КТП-10/0,4 кВ д. Сутоки (ф.Сутоки)</t>
  </si>
  <si>
    <t>КТП-10/0,4 кВ д. Сухошины</t>
  </si>
  <si>
    <t>КТП-10/0,4 кВ д. Сушково</t>
  </si>
  <si>
    <t>КТП-10/0,4 кВ д. Татариново</t>
  </si>
  <si>
    <t>КТП-10/0,4 кВ д. Тегляцы</t>
  </si>
  <si>
    <t>КТП-10/0,4 кВ д. Толочино</t>
  </si>
  <si>
    <t>КТП-10/0,4 кВ д. Тростино</t>
  </si>
  <si>
    <t>КТП-10/0,4 кВ д. Тростянка</t>
  </si>
  <si>
    <t>КТП-10/0,4 кВ д. Трофимково</t>
  </si>
  <si>
    <t>КТП-10/0,4 кВ д. Устье</t>
  </si>
  <si>
    <t>КТП-10/0,4 кВ д. Филистово-3</t>
  </si>
  <si>
    <t>КТП-10/0,4 кВ д. Филистово-4</t>
  </si>
  <si>
    <t>КТП-10/0,4 кВ д. Филистово-5</t>
  </si>
  <si>
    <t>КТП-10/0,4 кВ д. Фролово</t>
  </si>
  <si>
    <t>КТП-10/0,4 кВ д. Хиловец</t>
  </si>
  <si>
    <t>КТП-10/0,4 кВ д. Хилово</t>
  </si>
  <si>
    <t>КТП-10/0,4 кВ д. Хмелевка -1</t>
  </si>
  <si>
    <t>КТП-10/0,4 кВ д. Хмелевка-2</t>
  </si>
  <si>
    <t>КТП-10/0,4 кВ д. Холзуево</t>
  </si>
  <si>
    <t>КТП-10/0,4 кВ д. Хорево (без тр-ра)</t>
  </si>
  <si>
    <t>КТП-10/0,4 кВ д. Чащевка</t>
  </si>
  <si>
    <t>КТП-10/0,4 кВ д. Черное</t>
  </si>
  <si>
    <t>КТП-10/0,4 кВ д. Шамрино (Дудино)</t>
  </si>
  <si>
    <t>КТП-10/0,4 кВ д. Шевели</t>
  </si>
  <si>
    <t>КТП-10/0,4 кВ д. Шелехово</t>
  </si>
  <si>
    <t>КТП-10/0,4 кВ д. Шихино</t>
  </si>
  <si>
    <t>КТП-10/0,4 кВ д. Юркино</t>
  </si>
  <si>
    <t>КТП-10/0,4 кВ д. Юшино (ф. Татариново)</t>
  </si>
  <si>
    <t>КТП-10/0,4 кВ д. Языково</t>
  </si>
  <si>
    <t>КТП-10/0,4 кВ д.Борисовка №1</t>
  </si>
  <si>
    <t>КТП-10/0,4 кВ д.Колтаково</t>
  </si>
  <si>
    <t>КТП-10/0,4 кВ д.Филиппово (ф. 8-е Марта)</t>
  </si>
  <si>
    <t>КТП-10/0,4 кВ д.Филиппово (ф. Искра)</t>
  </si>
  <si>
    <t>КТП-10/0,4 кВ Костенево (деревня)</t>
  </si>
  <si>
    <t>КТП-10/0,4 кВ Тальцы №2</t>
  </si>
  <si>
    <t>КТП-10/0,4 кВ Тальцы №3</t>
  </si>
  <si>
    <t>КТП-10/0,4кВ "Ск. двор" д. Шуваево №1</t>
  </si>
  <si>
    <t>КТП-10/0,4кВ д. Завирье №1</t>
  </si>
  <si>
    <t>КТП-10/0,4кВ д. Максимково №1</t>
  </si>
  <si>
    <t>КТП-10/0,4кВ д. Повадино</t>
  </si>
  <si>
    <t>КТП-10/0,4кВ д. Прудки</t>
  </si>
  <si>
    <t>КТП-10/0,4кВ д. Пустошка (ф.Ананкинский)</t>
  </si>
  <si>
    <t>КТП-10кВ №7 Ельцы</t>
  </si>
  <si>
    <t>КТП-10кВ Б.Клочки ВЛ-10кВ Клочки (Максим</t>
  </si>
  <si>
    <t>КТП-10кВ Блазное ВЛ-10кВ Клочки (Максимк</t>
  </si>
  <si>
    <t>КТП-10кВ д.Селино, Кубышкино, Ларионово</t>
  </si>
  <si>
    <t>КТП-10кВ Лемно (демонтирована)</t>
  </si>
  <si>
    <t>КТП-10кВ Стрельник</t>
  </si>
  <si>
    <t>КТП-10кВ Черногубово</t>
  </si>
  <si>
    <t>КТП-10кВ Якшино ВЛ-10кВ Клочки (Максимко</t>
  </si>
  <si>
    <t>КТП-10кВ Ям-Столыпино ВЛ-10кВ Клочки (Ма</t>
  </si>
  <si>
    <t>КТПП-10/0,4 д. Васильевское</t>
  </si>
  <si>
    <t>КТПП-10/0,4 кВ "Мех. маст" д. Б. Коша</t>
  </si>
  <si>
    <t>КТПП-10/0,4 кВ "Школа" д. Шуваево №3</t>
  </si>
  <si>
    <t>КТПП-10/0,4 кВ д. Ананкино №2</t>
  </si>
  <si>
    <t>КТПП-10/0,4 кВ д. Б. Коша №3</t>
  </si>
  <si>
    <t>КТПП-10/0,4 кВ д. Березуг №4</t>
  </si>
  <si>
    <t>КТПП-10/0,4 кВ д. Березуг №5</t>
  </si>
  <si>
    <t>КТПП-10/0,4 кВ д. Гора (Жил. дома)</t>
  </si>
  <si>
    <t>КТПП-10/0,4 кВ д. Горки</t>
  </si>
  <si>
    <t>КТПП-10/0,4 кВ д. Дрыгомо-1</t>
  </si>
  <si>
    <t>КТПП-10/0,4 кВ д. Ельцы №6</t>
  </si>
  <si>
    <t>КТПП-10/0,4 кВ д. Кашино №2</t>
  </si>
  <si>
    <t>КТПП-10/0,4 кВ д. Кашино №3</t>
  </si>
  <si>
    <t>КТПП-10/0,4 кВ д. Киселево №1</t>
  </si>
  <si>
    <t>КТПП-10/0,4 кВ д. Киселево №3</t>
  </si>
  <si>
    <t>КТПП-10/0,4 кВ д. Киселево №4</t>
  </si>
  <si>
    <t>КТПП-10/0,4 кВ д. Ларионово-1</t>
  </si>
  <si>
    <t>КТПП-10/0,4 кВ д. Ларионово-3</t>
  </si>
  <si>
    <t>КТПП-10/0,4 кВ д. Оковцы №1</t>
  </si>
  <si>
    <t>КТПП-10/0,4 кВ д. Оковцы №4</t>
  </si>
  <si>
    <t>КТПП-10/0,4 кВ д. Ольхово №1</t>
  </si>
  <si>
    <t>КТПП-10/0,4 кВ д. Ольхово №2</t>
  </si>
  <si>
    <t>КТПП-10/0,4 кВ д. Ольхово №4</t>
  </si>
  <si>
    <t>КТПП-10/0,4 кВ д. Песочня</t>
  </si>
  <si>
    <t>КТПП-10/0,4 кВ д. Сеитово №2</t>
  </si>
  <si>
    <t>КТПП-10/0,4 кВ д. Тальцы №1</t>
  </si>
  <si>
    <t>КТПП-10/0,4 кВ д. Тальцы №4</t>
  </si>
  <si>
    <t>КТПП-10/0,4 кВ д. Филистово-1</t>
  </si>
  <si>
    <t>КТПП-10/0,4 кВ д. Филистово-6</t>
  </si>
  <si>
    <t>КТПП-10/0,4 кВ СРЭС Жилые дома</t>
  </si>
  <si>
    <t>КТПП-10/0,4кВ "Мех.маст" д.Подсосенье №1</t>
  </si>
  <si>
    <t>КТПП-10/0,4кВ д. Филистово-2 (Котельная)</t>
  </si>
  <si>
    <t>КТПП-10/0,4кВ д.Захарово №5</t>
  </si>
  <si>
    <t>КТПП-10кВ "Мех. мастерская" д.Шуваево №2</t>
  </si>
  <si>
    <t>МТП 10/0,4 кВ д. Кутолово</t>
  </si>
  <si>
    <t>МТП-10 кВ Кекешево</t>
  </si>
  <si>
    <t>МТП-10/0,4 кВ д. Б. Ивахново</t>
  </si>
  <si>
    <t>МТП-10/0,4 кВ д. Б.Коша №5</t>
  </si>
  <si>
    <t>МТП-10/0,4 кВ д. Бабинки №1</t>
  </si>
  <si>
    <t>МТП-10/0,4 кВ д. Березуг (ф. Дмитрово)</t>
  </si>
  <si>
    <t>МТП-10/0,4 кВ д. Бучково</t>
  </si>
  <si>
    <t>МТП-10/0,4 кВ д. Высокое (ф. Колобово)</t>
  </si>
  <si>
    <t>МТП-10/0,4 кВ д. Голубево</t>
  </si>
  <si>
    <t>МТП-10/0,4 кВ д. Горелуша</t>
  </si>
  <si>
    <t>МТП-10/0,4 кВ д. Горлово</t>
  </si>
  <si>
    <t>МТП-10/0,4 кВ д. Гущино</t>
  </si>
  <si>
    <t>МТП-10/0,4 кВ д. Девясилка</t>
  </si>
  <si>
    <t>МТП-10/0,4 кВ д. Дорки</t>
  </si>
  <si>
    <t>МТП-10/0,4 кВ д. Заречье</t>
  </si>
  <si>
    <t>МТП-10/0,4 кВ д. Заручевье</t>
  </si>
  <si>
    <t>МТП-10/0,4 кВ д. Зимник</t>
  </si>
  <si>
    <t>МТП-10/0,4 кВ д. Килешино</t>
  </si>
  <si>
    <t>МТП-10/0,4 кВ д. Козлово (Иванково)</t>
  </si>
  <si>
    <t>МТП-10/0,4 кВ д. Конное</t>
  </si>
  <si>
    <t>МТП-10/0,4 кВ д. Копылы</t>
  </si>
  <si>
    <t>МТП-10/0,4 кВ д. Кулешино</t>
  </si>
  <si>
    <t>МТП-10/0,4 кВ д. Куричино</t>
  </si>
  <si>
    <t>МТП-10/0,4 кВ д. Ленино</t>
  </si>
  <si>
    <t>МТП-10/0,4 кВ д. Макарово</t>
  </si>
  <si>
    <t>МТП-10/0,4 кВ д. Морочи</t>
  </si>
  <si>
    <t>МТП-10/0,4 кВ д. Мочалище</t>
  </si>
  <si>
    <t>МТП-10/0,4 кВ д. Мошки</t>
  </si>
  <si>
    <t>МТП-10/0,4 кВ д. Мясково (Перово)</t>
  </si>
  <si>
    <t>МТП-10/0,4 кВ д. Неведовка</t>
  </si>
  <si>
    <t>МТП-10/0,4 кВ д. Новоселки</t>
  </si>
  <si>
    <t>МТП-10/0,4 кВ д. Палихово</t>
  </si>
  <si>
    <t>МТП-10/0,4 кВ д. Подмошье (ф. Бураково)</t>
  </si>
  <si>
    <t>МТП-10/0,4 кВ д. Проваленная</t>
  </si>
  <si>
    <t>МТП-10/0,4 кВ д. Пустошка (Заозерье)</t>
  </si>
  <si>
    <t>МТП-10/0,4 кВ д. Пустошка (ф. Трудовик)</t>
  </si>
  <si>
    <t>МТП-10/0,4 кВ д. Ржавцы</t>
  </si>
  <si>
    <t>МТП-10/0,4 кВ д. Сенино</t>
  </si>
  <si>
    <t>МТП-10/0,4 кВ д. Смольки</t>
  </si>
  <si>
    <t>МТП-10/0,4 кВ д. Соловьево</t>
  </si>
  <si>
    <t>МТП-10/0,4 кВ д. Сысоево</t>
  </si>
  <si>
    <t>МТП-10/0,4 кВ д. Тверское</t>
  </si>
  <si>
    <t>МТП-10/0,4 кВ д. Тереньтево</t>
  </si>
  <si>
    <t>МТП-10/0,4 кВ д. Угольница</t>
  </si>
  <si>
    <t>МТП-10/0,4 кВ д. Чижи</t>
  </si>
  <si>
    <t>МТП-10/0,4 кВ д. Шалахино</t>
  </si>
  <si>
    <t>МТП-10/0,4 кВ д. Шуваево</t>
  </si>
  <si>
    <t>МТП-10/0,4 кВ д. Юшино</t>
  </si>
  <si>
    <t>МТП-10/0,4 кВ д.Холопово</t>
  </si>
  <si>
    <t>МТП-10кВ Подмошье ВЛ-10кВ Клочки (Максим</t>
  </si>
  <si>
    <t>МТП-10кВ Пруды ВЛ-10кВ Клочки (Максимков</t>
  </si>
  <si>
    <t>д.Дарище</t>
  </si>
  <si>
    <t xml:space="preserve">Торжокский </t>
  </si>
  <si>
    <t>ТП №001 (Дарище)</t>
  </si>
  <si>
    <t>д.Костерево</t>
  </si>
  <si>
    <t>ТП №002 (Костерево)</t>
  </si>
  <si>
    <t>д.Будово</t>
  </si>
  <si>
    <t>ТП №003 (Будово-4)</t>
  </si>
  <si>
    <t>ТП №004 (Будово-3)</t>
  </si>
  <si>
    <t>ТП №005 (Будово-2)</t>
  </si>
  <si>
    <t>ТП №007 (Будово пельменная)</t>
  </si>
  <si>
    <t>д.Василёво</t>
  </si>
  <si>
    <t>ТП №006 (Василёво)</t>
  </si>
  <si>
    <t>д.Осуйское</t>
  </si>
  <si>
    <t>ТП №008 (Осуйское)</t>
  </si>
  <si>
    <t>ТП №009 (Тверецкий маст)</t>
  </si>
  <si>
    <t>ТП №010 (Ц.У. Заря)</t>
  </si>
  <si>
    <t>ТП №011 (Пекарня)</t>
  </si>
  <si>
    <t>д.Зизино</t>
  </si>
  <si>
    <t>ТП №012 (Зизино)</t>
  </si>
  <si>
    <t>д.Боровое</t>
  </si>
  <si>
    <t>ТП №013 (Боровое-1)</t>
  </si>
  <si>
    <t>д.Телицино</t>
  </si>
  <si>
    <t>ТП №014 (Телицино)</t>
  </si>
  <si>
    <t>д.Тимошкино</t>
  </si>
  <si>
    <t>ТП №015 (Тимошкино)</t>
  </si>
  <si>
    <t>д.Дитяткино</t>
  </si>
  <si>
    <t>ТП №016 (Дитяткино)</t>
  </si>
  <si>
    <t>д.М.Киселенка</t>
  </si>
  <si>
    <t>ТП №017 (М.Киселенка)</t>
  </si>
  <si>
    <t>д.Б.Киселенка</t>
  </si>
  <si>
    <t>ТП №018 (Б.Киселенка)</t>
  </si>
  <si>
    <t>д.Худяково</t>
  </si>
  <si>
    <t>ТП №019 (Худяково)</t>
  </si>
  <si>
    <t>д.Толстяково</t>
  </si>
  <si>
    <t>ТП №020 (Толстяково)</t>
  </si>
  <si>
    <t>ТП №021 (Крюково)</t>
  </si>
  <si>
    <t>д.Б.Петрово</t>
  </si>
  <si>
    <t>ТП №023 (Б.Петрово-2)</t>
  </si>
  <si>
    <t>ТП №026 (Б.Петрово школа)</t>
  </si>
  <si>
    <t>д.Б.Песочня</t>
  </si>
  <si>
    <t>ТП №024 (Б.Песочня)</t>
  </si>
  <si>
    <t>д.М.Песочня</t>
  </si>
  <si>
    <t>ТП №025 (М.Песочня)</t>
  </si>
  <si>
    <t>д.М.Петрово</t>
  </si>
  <si>
    <t>ТП №027 (М.Петрово)</t>
  </si>
  <si>
    <t>ТП №028 (Горки)</t>
  </si>
  <si>
    <t>д.Рамушки</t>
  </si>
  <si>
    <t>ТП №029 (Рамушки-2)</t>
  </si>
  <si>
    <t>д.Березай</t>
  </si>
  <si>
    <t>ТП №030 (Березай)</t>
  </si>
  <si>
    <t>ТП №032 (Мир Школа)</t>
  </si>
  <si>
    <t>ТП №033 (Мир ЗСП)</t>
  </si>
  <si>
    <t>ТП №034 (Котельная-1 Мир)</t>
  </si>
  <si>
    <t>ТП №035 (Можайцево)</t>
  </si>
  <si>
    <t>д.Клоково</t>
  </si>
  <si>
    <t>ТП №036 (Клоково)</t>
  </si>
  <si>
    <t>д.Измайлово</t>
  </si>
  <si>
    <t>ТП №037 (Измайлово)</t>
  </si>
  <si>
    <t>ТП №038 (Терешкино)</t>
  </si>
  <si>
    <t>ТП №039 (Коноплище)</t>
  </si>
  <si>
    <t>ТП №040 (Андрианово-1)</t>
  </si>
  <si>
    <t>ТП №041 (Андрианово-2)</t>
  </si>
  <si>
    <t>ТП №042 (Ст.Беркаево)</t>
  </si>
  <si>
    <t>д.Н.Беркаево</t>
  </si>
  <si>
    <t>ТП №043 (Н.Беркаево)</t>
  </si>
  <si>
    <t>ТП №044 (Бережок-1)</t>
  </si>
  <si>
    <t>д.Кресино</t>
  </si>
  <si>
    <t>ТП №045 (Кресино)</t>
  </si>
  <si>
    <t>д.Маркашино</t>
  </si>
  <si>
    <t>ТП №046 (Маркашино)</t>
  </si>
  <si>
    <t>ТП №047 (ТБ Раёк)</t>
  </si>
  <si>
    <t>ТП №048 (Васильева Гора)</t>
  </si>
  <si>
    <t>д.Любохово</t>
  </si>
  <si>
    <t>ТП №049 (Любохово)</t>
  </si>
  <si>
    <t>д.Доншино</t>
  </si>
  <si>
    <t>ТП №050 (Доншино)</t>
  </si>
  <si>
    <t>д.Рязаново</t>
  </si>
  <si>
    <t>ТП №051 (Рязаново)</t>
  </si>
  <si>
    <t>п.Зеленый</t>
  </si>
  <si>
    <t>ТП №053 (п.Зеленый)</t>
  </si>
  <si>
    <t>д.Крупшево</t>
  </si>
  <si>
    <t>ТП №054 (Крупшево)</t>
  </si>
  <si>
    <t>д.Савинское</t>
  </si>
  <si>
    <t>ТП №055 (Савинское)</t>
  </si>
  <si>
    <t>ТП №056 (Бор)</t>
  </si>
  <si>
    <t>ТП №057 (Савинские горки)</t>
  </si>
  <si>
    <t>д.Бродниково</t>
  </si>
  <si>
    <t>ТП №058 (Бродниково)</t>
  </si>
  <si>
    <t>ТП №059 (Думаново дер)</t>
  </si>
  <si>
    <t>д.Миронежье</t>
  </si>
  <si>
    <t>ТП №060 (Миронежье)</t>
  </si>
  <si>
    <t>ТП №061 (Дубровка)</t>
  </si>
  <si>
    <t>ТП №062 (Марьино К-С)</t>
  </si>
  <si>
    <t>ТП №063 (Марьино Школа)</t>
  </si>
  <si>
    <t>ТП №064 (Кол.Горки)</t>
  </si>
  <si>
    <t>ТП №065 (Жданово)</t>
  </si>
  <si>
    <t>ТП №066 (Васильково)</t>
  </si>
  <si>
    <t>ТП №067 (Малиновка)</t>
  </si>
  <si>
    <t>ТП №068 (Симоново)</t>
  </si>
  <si>
    <t>д.Щекино</t>
  </si>
  <si>
    <t>ТП №069 (Щекино)</t>
  </si>
  <si>
    <t>д.Свищёво</t>
  </si>
  <si>
    <t>ТП №070 (Свищёво)</t>
  </si>
  <si>
    <t>ТП №071 (Сельцо)</t>
  </si>
  <si>
    <t>д.Бубеньево</t>
  </si>
  <si>
    <t>ТП №072 (Бубеньево-1)</t>
  </si>
  <si>
    <t>ТП №073 (Бубеньево-2)</t>
  </si>
  <si>
    <t>д.Тетерлево</t>
  </si>
  <si>
    <t>ТП №074 (Тетерлево)</t>
  </si>
  <si>
    <t>д.Паника</t>
  </si>
  <si>
    <t>ТП №075 (Паника)</t>
  </si>
  <si>
    <t>с.Спас</t>
  </si>
  <si>
    <t>ТП №077 (Бережок)</t>
  </si>
  <si>
    <t>ТП №078 (Управление)</t>
  </si>
  <si>
    <t>ТП №079 (Гараж)</t>
  </si>
  <si>
    <t>ТП №080 (Бойлерная)</t>
  </si>
  <si>
    <t>ТП №081 (Мастерские)</t>
  </si>
  <si>
    <t>ТП №082 (База ТРЭС)</t>
  </si>
  <si>
    <t>д.Любини</t>
  </si>
  <si>
    <t>ТП №083 (Любини)</t>
  </si>
  <si>
    <t>д.Глядини</t>
  </si>
  <si>
    <t>ТП №084 (Глядини-1)</t>
  </si>
  <si>
    <t>ТП №085 (Глядини-2)</t>
  </si>
  <si>
    <t>д.Юрьицево</t>
  </si>
  <si>
    <t>ТП №086 ( Юрьицево)</t>
  </si>
  <si>
    <t>д.Гальково</t>
  </si>
  <si>
    <t>ТП №087  (Гальково)</t>
  </si>
  <si>
    <t>д.Восход</t>
  </si>
  <si>
    <t>ТП №088 (Восход-1 )</t>
  </si>
  <si>
    <t>ТП №089 (Восход-2 )</t>
  </si>
  <si>
    <t>ТП №090 (Домославль)</t>
  </si>
  <si>
    <t>д.Погорелово</t>
  </si>
  <si>
    <t>ТП №091 (Погорелово)</t>
  </si>
  <si>
    <t>д.Внуково</t>
  </si>
  <si>
    <t>ТП №092 (Внуково)</t>
  </si>
  <si>
    <t>ТП №093 (Митино-1)</t>
  </si>
  <si>
    <t>ТП №094 (Митино-2)</t>
  </si>
  <si>
    <t>ТП №095 (Митино-3)</t>
  </si>
  <si>
    <t>д.Кужлево</t>
  </si>
  <si>
    <t>ТП №096  (Кужлево)</t>
  </si>
  <si>
    <t>д.Афримово</t>
  </si>
  <si>
    <t>ТП №097 (Афримово)</t>
  </si>
  <si>
    <t>ТП №098 (Ушаково пилорама)</t>
  </si>
  <si>
    <t>ТП №099 (Ушаково деревня)</t>
  </si>
  <si>
    <t>д.Владенино</t>
  </si>
  <si>
    <t>ТП №100 (Владенино)</t>
  </si>
  <si>
    <t>ТП №103 (Газовая котельная)</t>
  </si>
  <si>
    <t>ТП №164 (Картофелехранилище)</t>
  </si>
  <si>
    <t>ТП №104 (ЗСП)</t>
  </si>
  <si>
    <t>д.Нижнее</t>
  </si>
  <si>
    <t>ТП №105 (Нижнее)</t>
  </si>
  <si>
    <t>д.Битьково</t>
  </si>
  <si>
    <t>ТП №106 (Битьково)</t>
  </si>
  <si>
    <t>ТП №107 (Климово ЗСП)</t>
  </si>
  <si>
    <t>ТП №108 (Климово-1)</t>
  </si>
  <si>
    <t>ТП №109 (Климово-2)</t>
  </si>
  <si>
    <t>ТП №110 (Климово-3)</t>
  </si>
  <si>
    <t>д.Парнево</t>
  </si>
  <si>
    <t>ТП №111 (Парнево)</t>
  </si>
  <si>
    <t>ТП №112 (Осташково)</t>
  </si>
  <si>
    <t>д.Погорельцево</t>
  </si>
  <si>
    <t>ТП №113 (Погорельцево)</t>
  </si>
  <si>
    <t>д.Кочино</t>
  </si>
  <si>
    <t>ТП №114 (Кочино-Тименцево)</t>
  </si>
  <si>
    <t>ТП №115 (Чернево)</t>
  </si>
  <si>
    <t>ТП №116 (Шубино)</t>
  </si>
  <si>
    <t>д.Стояново</t>
  </si>
  <si>
    <t>ТП №117 (Стояново)</t>
  </si>
  <si>
    <t>д.Сотино</t>
  </si>
  <si>
    <t>ТП №118 (Сотино)</t>
  </si>
  <si>
    <t>д.Чуриково</t>
  </si>
  <si>
    <t>ТП №119 (Чуриково)</t>
  </si>
  <si>
    <t>д.Прутёнка</t>
  </si>
  <si>
    <t>ТП №120 (Прутёнка)</t>
  </si>
  <si>
    <t>ТП №121 (Василёво)</t>
  </si>
  <si>
    <t>д.Житково</t>
  </si>
  <si>
    <t>ТП №122 (Житково)</t>
  </si>
  <si>
    <t>д.Сахариха</t>
  </si>
  <si>
    <t>ТП №123 (Сахариха)</t>
  </si>
  <si>
    <t>д.Бараново</t>
  </si>
  <si>
    <t>ТП №124 (Бараново)</t>
  </si>
  <si>
    <t>ТП №125 (Б.Святцово Школа)</t>
  </si>
  <si>
    <t>д.Восцы</t>
  </si>
  <si>
    <t>ТП №126 (Восцы)</t>
  </si>
  <si>
    <t>д.Редькино</t>
  </si>
  <si>
    <t>ТП №127 (Редькино)</t>
  </si>
  <si>
    <t>д.Добрыни</t>
  </si>
  <si>
    <t>ТП №128 (Добрыни)</t>
  </si>
  <si>
    <t>д.Гари</t>
  </si>
  <si>
    <t>ТП №129 (Гари)</t>
  </si>
  <si>
    <t>д.Берёзки</t>
  </si>
  <si>
    <t>ТП №130 (Берёзки)</t>
  </si>
  <si>
    <t>д.Печки</t>
  </si>
  <si>
    <t>ТП №131 (Печки)</t>
  </si>
  <si>
    <t>ТП №132 (Исаково-1)</t>
  </si>
  <si>
    <t>ТП №134 (Быльцино-1 ЖК)</t>
  </si>
  <si>
    <t>ТП №135 (Быльцино-2)</t>
  </si>
  <si>
    <t>д.Костешино</t>
  </si>
  <si>
    <t>ТП №136 (Костешино)</t>
  </si>
  <si>
    <t>ТП №137 (Степурино)</t>
  </si>
  <si>
    <t>д.Шеметово</t>
  </si>
  <si>
    <t>ТП №138 (Шеметово)</t>
  </si>
  <si>
    <t>д.Замушье</t>
  </si>
  <si>
    <t>ТП №139 (Замушье)</t>
  </si>
  <si>
    <t>д.Александрово</t>
  </si>
  <si>
    <t>ТП №140 (Александрово)</t>
  </si>
  <si>
    <t>д.Скрылёво</t>
  </si>
  <si>
    <t>ТП №141 (Скрылёво)</t>
  </si>
  <si>
    <t>ТП №142 (Раменье)</t>
  </si>
  <si>
    <t>д.Воробъево</t>
  </si>
  <si>
    <t>ТП №144 (Воробъево)</t>
  </si>
  <si>
    <t>ТП №145 (Василёво-2)</t>
  </si>
  <si>
    <t>ТП №146 (Боровое-2)</t>
  </si>
  <si>
    <t>ТП №147 (Котельная-2 Мир)</t>
  </si>
  <si>
    <t>ТП №186 (Страшевичи мол.завод)</t>
  </si>
  <si>
    <t>д.Андреево</t>
  </si>
  <si>
    <t>ТП №187 (Андреево)</t>
  </si>
  <si>
    <t>д.Тредубье</t>
  </si>
  <si>
    <t>ТП №188 (Тредубье)</t>
  </si>
  <si>
    <t>ТП №189 (Мастерские ржевская)</t>
  </si>
  <si>
    <t>ТП №190 (Раннее утро)</t>
  </si>
  <si>
    <t>ТП №191 (Сервис-М)</t>
  </si>
  <si>
    <t>ТП №192 (Станция по травам)</t>
  </si>
  <si>
    <t>д.Борисцево</t>
  </si>
  <si>
    <t>ТП №193 (Борисцево-2)</t>
  </si>
  <si>
    <t>ТП №194 (Костешино)</t>
  </si>
  <si>
    <t>ТП №195 (Захаркино)</t>
  </si>
  <si>
    <t>д.Воронцы</t>
  </si>
  <si>
    <t>ТП №196 (Воронцы)</t>
  </si>
  <si>
    <t>д.Галки</t>
  </si>
  <si>
    <t>ТП №197 (Галки-1)</t>
  </si>
  <si>
    <t>ТП №198 (Галки-2)</t>
  </si>
  <si>
    <t>д.Алексейково</t>
  </si>
  <si>
    <t>ТП №199 (Алексейково)</t>
  </si>
  <si>
    <t>ТП №200 (Ляхово)</t>
  </si>
  <si>
    <t>ТП №201 (Головинские Горки)</t>
  </si>
  <si>
    <t>д.Сывороткино</t>
  </si>
  <si>
    <t>ТП №202 (Сывороткино)</t>
  </si>
  <si>
    <t>с.Дмитровское</t>
  </si>
  <si>
    <t>ТП №203 (Дмитровское-2)</t>
  </si>
  <si>
    <t>д.Кошаево</t>
  </si>
  <si>
    <t>ТП №204 (Кошаево)</t>
  </si>
  <si>
    <t>с.Семеновское</t>
  </si>
  <si>
    <t>ТП №205 (Семеновское)</t>
  </si>
  <si>
    <t>ТП №561 (Семеновское СТП)</t>
  </si>
  <si>
    <t>п.Пионерный</t>
  </si>
  <si>
    <t>ТП №206 (Пионерный)</t>
  </si>
  <si>
    <t>д.Якутино</t>
  </si>
  <si>
    <t>ТП №208 (Якутино-Дубровка)</t>
  </si>
  <si>
    <t>д.Голенищево</t>
  </si>
  <si>
    <t>ТП №210 (Голенищево)</t>
  </si>
  <si>
    <t>д.Хотиново</t>
  </si>
  <si>
    <t>ТП №211 (Хотиново)</t>
  </si>
  <si>
    <t>ТП №212 Чевакино</t>
  </si>
  <si>
    <t>д.Макарьино</t>
  </si>
  <si>
    <t>ТП №213 Макарьино-1</t>
  </si>
  <si>
    <t>ТП №214 Макарьино-2</t>
  </si>
  <si>
    <t>ТП №215 Маслово-4</t>
  </si>
  <si>
    <t>ТП №216 Рашкино</t>
  </si>
  <si>
    <t>ТП №217 Карцово</t>
  </si>
  <si>
    <t>д.Бутивицы</t>
  </si>
  <si>
    <t>ТП №218 Бутивицы-1</t>
  </si>
  <si>
    <t>ТП №219 Бутивицы-2</t>
  </si>
  <si>
    <t>ТП №220 Щилово</t>
  </si>
  <si>
    <t>д.Негоново</t>
  </si>
  <si>
    <t>ТП №221 Негоново-1</t>
  </si>
  <si>
    <t>ТП №222 Негоново-2</t>
  </si>
  <si>
    <t>д.Перцово</t>
  </si>
  <si>
    <t>ТП №223 Перцово</t>
  </si>
  <si>
    <t>ТП №224 Красное</t>
  </si>
  <si>
    <t>д.Стёпанково</t>
  </si>
  <si>
    <t>ТП №225 Стёпанково</t>
  </si>
  <si>
    <t>ТП №226 Фомино</t>
  </si>
  <si>
    <t>д.Ступнево</t>
  </si>
  <si>
    <t>ТП №227 Ступнево-Глинки</t>
  </si>
  <si>
    <t>д.Горощино</t>
  </si>
  <si>
    <t>ТП №228 Горощино-1</t>
  </si>
  <si>
    <t>ТП №229 Горощино-2</t>
  </si>
  <si>
    <t>д.Щербово</t>
  </si>
  <si>
    <t>ТП №230 Щербово</t>
  </si>
  <si>
    <t>д.М.Борок</t>
  </si>
  <si>
    <t>ТП №231 М.Борок</t>
  </si>
  <si>
    <t>д.Шумчино</t>
  </si>
  <si>
    <t>ТП №232 Шумчино</t>
  </si>
  <si>
    <t>ТП №233 Волосово</t>
  </si>
  <si>
    <t>ТП №234 Мануйлово-1</t>
  </si>
  <si>
    <t>ТП №235 Мануйлово-2</t>
  </si>
  <si>
    <t>ТП №236 Рудниково-1</t>
  </si>
  <si>
    <t>ТП №237 Рудниково</t>
  </si>
  <si>
    <t>ТП №238 Рудниково-2</t>
  </si>
  <si>
    <t>ТП №239 Козлово</t>
  </si>
  <si>
    <t>ТП №241 Маслово-2</t>
  </si>
  <si>
    <t>ТП №242 Маслово-3</t>
  </si>
  <si>
    <t>ТП №243 Маслово-6</t>
  </si>
  <si>
    <t>ТП №244 Мастерские №5</t>
  </si>
  <si>
    <t>ТП №245 ЗСП №4</t>
  </si>
  <si>
    <t>ТП №246 Барыково</t>
  </si>
  <si>
    <t>ТП №247 Машутино</t>
  </si>
  <si>
    <t>д.Селихово</t>
  </si>
  <si>
    <t>ТП №248 Селихово-1</t>
  </si>
  <si>
    <t>ТП №249 Селихово-2</t>
  </si>
  <si>
    <t>ТП №250 Ж/К №3</t>
  </si>
  <si>
    <t>д.Екатино</t>
  </si>
  <si>
    <t>ТП №251 Екатино</t>
  </si>
  <si>
    <t>ТП №252 Аннино</t>
  </si>
  <si>
    <t>д.Тупиково</t>
  </si>
  <si>
    <t>ТП №253 Тупиково ж/к</t>
  </si>
  <si>
    <t>ТП №254 Тупиково ЗСП</t>
  </si>
  <si>
    <t>ТП №255 Тупиково д/сад</t>
  </si>
  <si>
    <t>ТП №256 Кисляково</t>
  </si>
  <si>
    <t>д.Обухово</t>
  </si>
  <si>
    <t>ТП №257 Обухово</t>
  </si>
  <si>
    <t>д.Самотёлки</t>
  </si>
  <si>
    <t>ТП №258 Самотёлки</t>
  </si>
  <si>
    <t>д.Латиброво</t>
  </si>
  <si>
    <t>ТП №259 Латиброво</t>
  </si>
  <si>
    <t>ТП №260 Захожье-1</t>
  </si>
  <si>
    <t>ТП №261 Захожье-2</t>
  </si>
  <si>
    <t>ТП №262 Костино</t>
  </si>
  <si>
    <t>ТП №263 Грузины-1</t>
  </si>
  <si>
    <t>ТП №264 Грузины-2</t>
  </si>
  <si>
    <t>ТП №265 Грузины-3</t>
  </si>
  <si>
    <t>ТП №267 Грузины-4</t>
  </si>
  <si>
    <t>ТП №266 Юрьево</t>
  </si>
  <si>
    <t>ТП №268 Синцово</t>
  </si>
  <si>
    <t>ТП №269 Мёдухово (ск.двор)</t>
  </si>
  <si>
    <t>ТП №270 Курово-Мёдухово</t>
  </si>
  <si>
    <t>д.Петропавлово</t>
  </si>
  <si>
    <t>ТП №271 Петропавлово</t>
  </si>
  <si>
    <t>ТП №272 Млевичи Д/Д</t>
  </si>
  <si>
    <t>ТП №273 Млевичи</t>
  </si>
  <si>
    <t>д.Божонки</t>
  </si>
  <si>
    <t>ТП №274 Божонки-1</t>
  </si>
  <si>
    <t>д.Чайкино</t>
  </si>
  <si>
    <t>ТП №275 Чайкино</t>
  </si>
  <si>
    <t>д.Селестрово</t>
  </si>
  <si>
    <t>ТП №276 Селестрово</t>
  </si>
  <si>
    <t>ТП №277 Леушкино</t>
  </si>
  <si>
    <t>ТП №278 Пирогово мастерские</t>
  </si>
  <si>
    <t>ТП №279 Пирогово Деревня</t>
  </si>
  <si>
    <t>ТП №280 Пирогово Ж/К</t>
  </si>
  <si>
    <t>д.Гусенец</t>
  </si>
  <si>
    <t>ТП №281 Гусенец</t>
  </si>
  <si>
    <t>д.Семенково</t>
  </si>
  <si>
    <t>ТП №282 Семенково</t>
  </si>
  <si>
    <t>д.Упирвичи</t>
  </si>
  <si>
    <t>ТП №283 Упирвичи</t>
  </si>
  <si>
    <t>ТП №284 Мартыново-1</t>
  </si>
  <si>
    <t>ТП №285 Мартыново-2</t>
  </si>
  <si>
    <t>ТП №287 Булатниково-2</t>
  </si>
  <si>
    <t>400+630</t>
  </si>
  <si>
    <t>ТП №288 Булатниково--3</t>
  </si>
  <si>
    <t>ТП №289 Чуриково</t>
  </si>
  <si>
    <t>ТП №290 Тимонино</t>
  </si>
  <si>
    <t>ТП №291 Коптево</t>
  </si>
  <si>
    <t>д.Мишутино</t>
  </si>
  <si>
    <t>ТП №292 Мишутино</t>
  </si>
  <si>
    <t>ТП №293 Пожитово</t>
  </si>
  <si>
    <t>ТП №294 Новгородское</t>
  </si>
  <si>
    <t>ТП №295 Симонково</t>
  </si>
  <si>
    <t>ТП №296 Павлушкино</t>
  </si>
  <si>
    <t>ТП №297 Васильцево</t>
  </si>
  <si>
    <t>ТП №298 Горянки</t>
  </si>
  <si>
    <t>с.Альфимово</t>
  </si>
  <si>
    <t>ТП №300 Альфимово-4</t>
  </si>
  <si>
    <t>ТП №301 Кречетово</t>
  </si>
  <si>
    <t>ТП №303 Матюково</t>
  </si>
  <si>
    <t>д.Стружня</t>
  </si>
  <si>
    <t>ТП №304 Стружня-5</t>
  </si>
  <si>
    <t>ТП №305 Стружня-3</t>
  </si>
  <si>
    <t>ТП №306 Стружня-2</t>
  </si>
  <si>
    <t>ТП №307Стружня-1</t>
  </si>
  <si>
    <t>ТП №308 Школа</t>
  </si>
  <si>
    <t>ТП №314 Мошки-3</t>
  </si>
  <si>
    <t>ТП №315 Мошки-1</t>
  </si>
  <si>
    <t>ТП №316 Мошки-2</t>
  </si>
  <si>
    <t>д.Ягодкино</t>
  </si>
  <si>
    <t>ТП №309 Ягодкино</t>
  </si>
  <si>
    <t>ТП №310 Еремкино-1</t>
  </si>
  <si>
    <t>д.Еремкино</t>
  </si>
  <si>
    <t>ТП №311 Еремкино-4</t>
  </si>
  <si>
    <t>ТП №312 Дурулино</t>
  </si>
  <si>
    <t>ТП №313 Поломеницы</t>
  </si>
  <si>
    <t>ТП №317 Коряевская больница</t>
  </si>
  <si>
    <t>ТП №318 Сукромля Ск.двор</t>
  </si>
  <si>
    <t>ТП №329 Сукромля АВМ</t>
  </si>
  <si>
    <t>ТП №333 Сукромля-2</t>
  </si>
  <si>
    <t>ТП №336 Сукромля Ж/К</t>
  </si>
  <si>
    <t>ТП №335 Сукромля-3</t>
  </si>
  <si>
    <t>ТП №319 Чернавы</t>
  </si>
  <si>
    <t>ТП №320 Радилово</t>
  </si>
  <si>
    <t>ТП №321 Богуново-2</t>
  </si>
  <si>
    <t>ТП №322 Ильино-2 деревня</t>
  </si>
  <si>
    <t>ТП №323 Ильино-6 ЗСП</t>
  </si>
  <si>
    <t>ТП №325 Ильино коттеджи</t>
  </si>
  <si>
    <t>ТП №326 Ильино-3 (школа)</t>
  </si>
  <si>
    <t>ТП №327 Ильино-4 (Ж/Д)</t>
  </si>
  <si>
    <t>ТП №560 Ильино СТП</t>
  </si>
  <si>
    <t>ТП №328 Ильино-5 (ск.двор)</t>
  </si>
  <si>
    <t>ТП №324 Чуриково</t>
  </si>
  <si>
    <t>ТП №330 Отрадное</t>
  </si>
  <si>
    <t>ТП №331 Старое</t>
  </si>
  <si>
    <t>д.Непорово</t>
  </si>
  <si>
    <t>ТП №332Непорово</t>
  </si>
  <si>
    <t>ТП №334 Новинки</t>
  </si>
  <si>
    <t>д.Челядино</t>
  </si>
  <si>
    <t>ТП №337 Челядино</t>
  </si>
  <si>
    <t>ТП №338 Осипово</t>
  </si>
  <si>
    <t>ТП №340 Подольцы-2</t>
  </si>
  <si>
    <t>ТП №341 Таложня-1</t>
  </si>
  <si>
    <t>ТП №342 Таложня-2</t>
  </si>
  <si>
    <t>ТП №343 Таложня-3</t>
  </si>
  <si>
    <t>ТП №346 Таложня-4</t>
  </si>
  <si>
    <t>ТП №347 Таложня-5</t>
  </si>
  <si>
    <t>ТП №348 Таложня-6</t>
  </si>
  <si>
    <t>д.Смыково</t>
  </si>
  <si>
    <t>ТП №344 Смыково</t>
  </si>
  <si>
    <t>ТП №345 Кузовково</t>
  </si>
  <si>
    <t>ТП №349 Спирово</t>
  </si>
  <si>
    <t>д.Упрышкино</t>
  </si>
  <si>
    <t>ТП №350 Упрышкино</t>
  </si>
  <si>
    <t>ТП №351 Бели</t>
  </si>
  <si>
    <t>ТП №352 Детково</t>
  </si>
  <si>
    <t>с.Никольское</t>
  </si>
  <si>
    <t>ТП №353 Никольское-1</t>
  </si>
  <si>
    <t>ТП №354 Никольское-2</t>
  </si>
  <si>
    <t>ТП №355 Никольское-3</t>
  </si>
  <si>
    <t>ТП №356 Никольское-4</t>
  </si>
  <si>
    <t>ТП №357 Никольское-5</t>
  </si>
  <si>
    <t>ТП №358 Арпачево</t>
  </si>
  <si>
    <t>ТП №359 Якшино</t>
  </si>
  <si>
    <t>ТП №360 Струбище</t>
  </si>
  <si>
    <t>ТП №361 Рылово</t>
  </si>
  <si>
    <t>ТП №362 Казицыно-1</t>
  </si>
  <si>
    <t>ТП №363 Казицыно-2</t>
  </si>
  <si>
    <t>ТП №364 Осташково-1</t>
  </si>
  <si>
    <t>ТП №365 Осташково-4</t>
  </si>
  <si>
    <t>ТП №366 Осташково-2</t>
  </si>
  <si>
    <t>ТП №367 Осташково-3</t>
  </si>
  <si>
    <t>д.Б.Городок</t>
  </si>
  <si>
    <t>ТП №368 Б.Городок</t>
  </si>
  <si>
    <t>ТП №369 Житниково</t>
  </si>
  <si>
    <t>д.Соколино</t>
  </si>
  <si>
    <t>ТП №370 Соколино</t>
  </si>
  <si>
    <t>ТП №371 Симонково</t>
  </si>
  <si>
    <t>ТП №372 Трубино</t>
  </si>
  <si>
    <t>ТП №373 Клин</t>
  </si>
  <si>
    <t>ТП №374 Лесная</t>
  </si>
  <si>
    <t>ТП №375 Поведь</t>
  </si>
  <si>
    <t>ТП №376  Ст. Поведская Больница</t>
  </si>
  <si>
    <t>ТП №377  Глебово</t>
  </si>
  <si>
    <t>д.Ерешкино</t>
  </si>
  <si>
    <t>ТП №378 Ерешкино</t>
  </si>
  <si>
    <t>д.Якимово</t>
  </si>
  <si>
    <t>ТП №379 Якимово</t>
  </si>
  <si>
    <t>д.Яконово</t>
  </si>
  <si>
    <t>ТП №380 Яконово-1</t>
  </si>
  <si>
    <t>ТП №381 Яконово-3</t>
  </si>
  <si>
    <t>ТП №382 Яконово-4</t>
  </si>
  <si>
    <t>ТП №383 Заполье</t>
  </si>
  <si>
    <t>ТП №384 Коробово</t>
  </si>
  <si>
    <t>ТП №385 Чудины</t>
  </si>
  <si>
    <t>ТП №386 Ст. Малиново</t>
  </si>
  <si>
    <t>ТП №387 Н. Малиново</t>
  </si>
  <si>
    <t>д.Б.Вишенье</t>
  </si>
  <si>
    <t>ТП №388 Б.Вишенье-3</t>
  </si>
  <si>
    <t>250+180</t>
  </si>
  <si>
    <t>ТП №389 Б.Вишенье-6</t>
  </si>
  <si>
    <t>ТП №390 Рюмино</t>
  </si>
  <si>
    <t>ТП №391 Куклино</t>
  </si>
  <si>
    <t>ТП №392 Голобово</t>
  </si>
  <si>
    <t>д.Пудышево</t>
  </si>
  <si>
    <t>ТП №393 Пудышево</t>
  </si>
  <si>
    <t>д.Сосенка</t>
  </si>
  <si>
    <t>ТП №394 Сосенка</t>
  </si>
  <si>
    <t>ТП №395 Смердово</t>
  </si>
  <si>
    <t>д.Бунятино</t>
  </si>
  <si>
    <t>ТП №396 Бунятино</t>
  </si>
  <si>
    <t>ТП №397 Ефремово</t>
  </si>
  <si>
    <t>ТП №398 П.Плот</t>
  </si>
  <si>
    <t>ТП №399 Пышково</t>
  </si>
  <si>
    <t>ТП №400 Чупрово</t>
  </si>
  <si>
    <t>ТП №401 Кр. Горка</t>
  </si>
  <si>
    <t>д.Удальцово</t>
  </si>
  <si>
    <t>ТП №402 Удальцово</t>
  </si>
  <si>
    <t>ТП №403 Подсосонье</t>
  </si>
  <si>
    <t>д.Карпеево</t>
  </si>
  <si>
    <t>ТП №404 Карпеево</t>
  </si>
  <si>
    <t>ТП №405 Глухово</t>
  </si>
  <si>
    <t>ТП №406 М.Вишенье-2</t>
  </si>
  <si>
    <t>ТП №407 Машкино Корытниково</t>
  </si>
  <si>
    <t>ТП №408 Шевелино Бавыкино</t>
  </si>
  <si>
    <t>ТП №409 Ям</t>
  </si>
  <si>
    <t>ТП №410 Островок Китово</t>
  </si>
  <si>
    <t>ТП №411 Сельцо</t>
  </si>
  <si>
    <t>ТП №412 М.Вишенье-3</t>
  </si>
  <si>
    <t>ТП №413 Б.Вишенье-9</t>
  </si>
  <si>
    <t>ТП №414 Б.Вишенье-8</t>
  </si>
  <si>
    <t>ТП №415 Б.Вишенье-7</t>
  </si>
  <si>
    <t>ТП №416 Фомино</t>
  </si>
  <si>
    <t>ТП №417 Чернигово</t>
  </si>
  <si>
    <t>ТП №418 Сосновка</t>
  </si>
  <si>
    <t>ТП №419 Страшевичи (больница)</t>
  </si>
  <si>
    <t>ТП №420 Бурчиха-1</t>
  </si>
  <si>
    <t>ТП №421 Дулово</t>
  </si>
  <si>
    <t>д.Бачерово</t>
  </si>
  <si>
    <t>ТП №422 Бачерово</t>
  </si>
  <si>
    <t>ТП №423 Н.Петровское</t>
  </si>
  <si>
    <t>ТП №424 Копыряне</t>
  </si>
  <si>
    <t>ТП №425 Шепетово</t>
  </si>
  <si>
    <t>ТП №426 Мякиницы</t>
  </si>
  <si>
    <t>д.Боркино</t>
  </si>
  <si>
    <t>ТП №427 Боркино</t>
  </si>
  <si>
    <t>ТП №428 Гудково</t>
  </si>
  <si>
    <t>ТП №429 Михайлово</t>
  </si>
  <si>
    <t>ТП №430 Абакумово-1</t>
  </si>
  <si>
    <t>ТП №431 Абакумово-2</t>
  </si>
  <si>
    <t>ТП №432 Явидово</t>
  </si>
  <si>
    <t>ТП №433 Лужки-1</t>
  </si>
  <si>
    <t>ТП №434 Лужки-2</t>
  </si>
  <si>
    <t>ТП №435 Коршево</t>
  </si>
  <si>
    <t>ТП №436 Бабино</t>
  </si>
  <si>
    <t>д.Прусово</t>
  </si>
  <si>
    <t>ТП №437 Прусово</t>
  </si>
  <si>
    <t>д.Сверчково</t>
  </si>
  <si>
    <t>ТП №438 Сверчково</t>
  </si>
  <si>
    <t>д.Корзово</t>
  </si>
  <si>
    <t>ТП №439 Корзово</t>
  </si>
  <si>
    <t>ТП №440 Горы</t>
  </si>
  <si>
    <t>д.Страшевичи</t>
  </si>
  <si>
    <t>ТП №441 Страшевичи-1</t>
  </si>
  <si>
    <t>ТП №442 Страшевичи (д.сад)</t>
  </si>
  <si>
    <t>ТП №443 Страшевичи (котельная)</t>
  </si>
  <si>
    <t>ТП №444 Высокое</t>
  </si>
  <si>
    <t>ТП №445 Дмитровское</t>
  </si>
  <si>
    <t>ТП №446 Пашино</t>
  </si>
  <si>
    <t>д.Заря</t>
  </si>
  <si>
    <t>ТП №447 Заря</t>
  </si>
  <si>
    <t>д.Русино</t>
  </si>
  <si>
    <t>ТП №448 Русино-3</t>
  </si>
  <si>
    <t>д.Падерино</t>
  </si>
  <si>
    <t>ТП №449 Падерино</t>
  </si>
  <si>
    <t>ТП №450 Рябиниха</t>
  </si>
  <si>
    <t>д.Раменки</t>
  </si>
  <si>
    <t>ТП №451 Раменки</t>
  </si>
  <si>
    <t>д.Чигариха</t>
  </si>
  <si>
    <t>ТП №452 Чигариха</t>
  </si>
  <si>
    <t>ТП №453 Русино-2</t>
  </si>
  <si>
    <t>ТП №454 Русино-4</t>
  </si>
  <si>
    <t>д.Елизаветино</t>
  </si>
  <si>
    <t>ТП №455 Елизаветино</t>
  </si>
  <si>
    <t>ТП №456 Вишенки-2</t>
  </si>
  <si>
    <t>ТП №457 Вишенки-1</t>
  </si>
  <si>
    <t>д.Васильево</t>
  </si>
  <si>
    <t>ТП №458 Васильево</t>
  </si>
  <si>
    <t>ТП №459 Коробино</t>
  </si>
  <si>
    <t>ТП №460 Патраково</t>
  </si>
  <si>
    <t>ТП №461 Бибиково</t>
  </si>
  <si>
    <t>ТП №462 Воропуни-1</t>
  </si>
  <si>
    <t>ТП №463 Воропуни-2</t>
  </si>
  <si>
    <t>ТП №464 Подолы</t>
  </si>
  <si>
    <t>ТП №465 Цапушево</t>
  </si>
  <si>
    <t>ТП №466 Филитово</t>
  </si>
  <si>
    <t>ТП №467 Панкратово</t>
  </si>
  <si>
    <t>д.Скрябино</t>
  </si>
  <si>
    <t>ТП №468 Скрябино</t>
  </si>
  <si>
    <t>д.Кунганово</t>
  </si>
  <si>
    <t>ТП №469 Кунганово-2</t>
  </si>
  <si>
    <t>ТП №470 Кунганово-1</t>
  </si>
  <si>
    <t>д.Зеленцино</t>
  </si>
  <si>
    <t>ТП №471 Зеленцино</t>
  </si>
  <si>
    <t>ТП №472 Кожевниково</t>
  </si>
  <si>
    <t>ТП №473 Великоселье</t>
  </si>
  <si>
    <t>д.Шуколово</t>
  </si>
  <si>
    <t>ТП №474 Шуколово</t>
  </si>
  <si>
    <t>ТП №475 Карцово</t>
  </si>
  <si>
    <t>д.Луняково</t>
  </si>
  <si>
    <t>ТП №476 Луняково</t>
  </si>
  <si>
    <t>Новое строительство СТП</t>
  </si>
  <si>
    <t>д.Переслегино</t>
  </si>
  <si>
    <t>ТП №477 Переслегино</t>
  </si>
  <si>
    <t>ТП №478 Загорье</t>
  </si>
  <si>
    <t>д.Щемелинино</t>
  </si>
  <si>
    <t>ТП №479 Щемелинино</t>
  </si>
  <si>
    <t>ТП №480 Альфимово-3 ЗСК</t>
  </si>
  <si>
    <t>ТП №484 Альфимово-2</t>
  </si>
  <si>
    <t>д.Слоново</t>
  </si>
  <si>
    <t>ТП №481 Слоново</t>
  </si>
  <si>
    <t>д.Строевичи</t>
  </si>
  <si>
    <t>ТП №482 Строевичи</t>
  </si>
  <si>
    <t>ТП №483 Заболотье</t>
  </si>
  <si>
    <t>д.Рожново</t>
  </si>
  <si>
    <t>ТП №485 Рожново</t>
  </si>
  <si>
    <t>д.Андрюшено</t>
  </si>
  <si>
    <t>ТП №486 Андрюшено</t>
  </si>
  <si>
    <t>д.Аксеново</t>
  </si>
  <si>
    <t>ТП №487 Аксеново</t>
  </si>
  <si>
    <t>д.Жеротино</t>
  </si>
  <si>
    <t>ТП №488 Жеротино</t>
  </si>
  <si>
    <t>ТП №489 Дудорово-2</t>
  </si>
  <si>
    <t>ТП №490 Жилкино</t>
  </si>
  <si>
    <t>ТП №491 Заречье-1</t>
  </si>
  <si>
    <t>ТП №492 Заречье-2</t>
  </si>
  <si>
    <t>ТП №493 Лопатино</t>
  </si>
  <si>
    <t>д.Чеграево</t>
  </si>
  <si>
    <t>ТП №494 Чеграево</t>
  </si>
  <si>
    <t>д.Бесменино</t>
  </si>
  <si>
    <t>ТП №495 Бесменино</t>
  </si>
  <si>
    <t>ТП №496 Тредубье-3</t>
  </si>
  <si>
    <t>ТП №497 Теткино</t>
  </si>
  <si>
    <t>ТП №498 Еменово</t>
  </si>
  <si>
    <t>ТП №499 Дудорово-3</t>
  </si>
  <si>
    <t>ТП №500 Логуново-2</t>
  </si>
  <si>
    <t>ТП №501 Логуново-1</t>
  </si>
  <si>
    <t>д.Букантово</t>
  </si>
  <si>
    <t>ТП №502 Букантово</t>
  </si>
  <si>
    <t>ТП №503 Тредубье-4</t>
  </si>
  <si>
    <t>д.Мельгубово</t>
  </si>
  <si>
    <t>ТП №504 Мельгубово</t>
  </si>
  <si>
    <t>ТП №505 Троицкое</t>
  </si>
  <si>
    <t>д.Липига</t>
  </si>
  <si>
    <t>ТП №506 Липига-1</t>
  </si>
  <si>
    <t>ТП №507 Липига-2</t>
  </si>
  <si>
    <t>ТП №508 Липига-3</t>
  </si>
  <si>
    <t>д.Анненское</t>
  </si>
  <si>
    <t>ТП №509 Анненское</t>
  </si>
  <si>
    <t>ТП №510 Хребтово</t>
  </si>
  <si>
    <t>д.Ряхово</t>
  </si>
  <si>
    <t>ТП №511 Ряхово</t>
  </si>
  <si>
    <t>ТП №512 Высокое</t>
  </si>
  <si>
    <t>д.Ременево</t>
  </si>
  <si>
    <t>ТП №513 Ременево-1</t>
  </si>
  <si>
    <t>ТП №514 Ременево-2</t>
  </si>
  <si>
    <t>д.Саплово</t>
  </si>
  <si>
    <t>ТП №517 Саплово</t>
  </si>
  <si>
    <t>д.Возжанки</t>
  </si>
  <si>
    <t>ТП №518 Возжанки</t>
  </si>
  <si>
    <t>д.Глухово</t>
  </si>
  <si>
    <t>ТП №515 Глухово-4</t>
  </si>
  <si>
    <t>ТП №516 Глухово-1</t>
  </si>
  <si>
    <t>ТП №519 Глухово-5</t>
  </si>
  <si>
    <t>ТП №520 Глухово-2</t>
  </si>
  <si>
    <t>ТП №521 Глухово-3</t>
  </si>
  <si>
    <t>ТП №522 Дмитровка</t>
  </si>
  <si>
    <t>ТП №523 Скоморохово</t>
  </si>
  <si>
    <t>ТП №524 Новое</t>
  </si>
  <si>
    <t>ТП №525 Поречье</t>
  </si>
  <si>
    <t>ТП №526 Николаевка</t>
  </si>
  <si>
    <t>ТП №527 База</t>
  </si>
  <si>
    <t>ТП №528 Коттеджи</t>
  </si>
  <si>
    <t>ТП №529 Поселок-1</t>
  </si>
  <si>
    <t>ТП №530 Поселок-2</t>
  </si>
  <si>
    <t>ТП №531 Заготзерно</t>
  </si>
  <si>
    <t>ТП №532 РСУ</t>
  </si>
  <si>
    <t>ТП №533 ЭТУС</t>
  </si>
  <si>
    <t>ТП №534 Школа</t>
  </si>
  <si>
    <t>ТП №536 Васьково</t>
  </si>
  <si>
    <t>ТП №537 Лаврово</t>
  </si>
  <si>
    <t>д.Стукшино</t>
  </si>
  <si>
    <t>ТП №538 Стукшино</t>
  </si>
  <si>
    <t>ТП №539 Барсуки</t>
  </si>
  <si>
    <t>ТП №540 Нестерово</t>
  </si>
  <si>
    <t>ТП №541 Богатьково-1</t>
  </si>
  <si>
    <t>ТП №542 Богатьково-2</t>
  </si>
  <si>
    <t>ТП №543 Богатьково-3</t>
  </si>
  <si>
    <t>ТП №544 Богатьково-4</t>
  </si>
  <si>
    <t>ТП №545 Бернишено</t>
  </si>
  <si>
    <t>ТП №546 Ладьино жил.дома</t>
  </si>
  <si>
    <t>Рыбхоз</t>
  </si>
  <si>
    <t>ТП №547 Рыбхоз</t>
  </si>
  <si>
    <t>400+160</t>
  </si>
  <si>
    <t>д.Ванеево</t>
  </si>
  <si>
    <t>ТП №548 Ванеево</t>
  </si>
  <si>
    <t>д.Колосово</t>
  </si>
  <si>
    <t>ТП №549 Колосово</t>
  </si>
  <si>
    <t>ТП №550 Костромино</t>
  </si>
  <si>
    <t>с.Ладьино</t>
  </si>
  <si>
    <t>ТП №551 Ладьино-1</t>
  </si>
  <si>
    <t>ТП №552 Ладьино-2</t>
  </si>
  <si>
    <t>ТП №553 Ладьино-3</t>
  </si>
  <si>
    <t>ТП №554 Дары</t>
  </si>
  <si>
    <t>ТП №555 Игнатьево-1</t>
  </si>
  <si>
    <t>д.Грачево</t>
  </si>
  <si>
    <t>ТП №556 Грачево</t>
  </si>
  <si>
    <t>ТП №557 Обухово</t>
  </si>
  <si>
    <t>ТП №558 Горицы</t>
  </si>
  <si>
    <t>ТП №559 Воропуни мастерские</t>
  </si>
  <si>
    <t>д.Орехово</t>
  </si>
  <si>
    <t>ТП №148 (Орехово)</t>
  </si>
  <si>
    <t>ТП №151 (Кочерово)</t>
  </si>
  <si>
    <t>ЗТП-1</t>
  </si>
  <si>
    <t xml:space="preserve">ЗТП-2 </t>
  </si>
  <si>
    <t>ЗТП-3</t>
  </si>
  <si>
    <t>КТПП-4</t>
  </si>
  <si>
    <t>ЗТП-6</t>
  </si>
  <si>
    <t>ЗТП-7</t>
  </si>
  <si>
    <t>ЗТП-8</t>
  </si>
  <si>
    <t>ЗТП-9</t>
  </si>
  <si>
    <t>ЗТП-10</t>
  </si>
  <si>
    <t>КТП-11</t>
  </si>
  <si>
    <t>ЗТП-13</t>
  </si>
  <si>
    <t>КТП-14</t>
  </si>
  <si>
    <t>ЗТП-15</t>
  </si>
  <si>
    <t>КТП-16</t>
  </si>
  <si>
    <t>ЗТП-17</t>
  </si>
  <si>
    <t>ЗТП-18</t>
  </si>
  <si>
    <t>ЗТП-19</t>
  </si>
  <si>
    <t>ЗТП-21</t>
  </si>
  <si>
    <t>ЗТП-22</t>
  </si>
  <si>
    <t>ЗТП-23</t>
  </si>
  <si>
    <t>ЗТП-24</t>
  </si>
  <si>
    <t>КТПП-25</t>
  </si>
  <si>
    <t>КТПП-25А</t>
  </si>
  <si>
    <t>КТПП-25В</t>
  </si>
  <si>
    <t>КТПП-26</t>
  </si>
  <si>
    <t>ЗТП-27</t>
  </si>
  <si>
    <t>ЗТП-28</t>
  </si>
  <si>
    <t>ЗТП-29</t>
  </si>
  <si>
    <t>ЗТП-31</t>
  </si>
  <si>
    <t>ЗТП-32</t>
  </si>
  <si>
    <t>2*1000</t>
  </si>
  <si>
    <t>ЗТП-33</t>
  </si>
  <si>
    <t>ЗТП-34</t>
  </si>
  <si>
    <t>ЗТП-35</t>
  </si>
  <si>
    <t>ЗТП-36</t>
  </si>
  <si>
    <t>ЗТП-40</t>
  </si>
  <si>
    <t>ЗТП-42</t>
  </si>
  <si>
    <t>чужой</t>
  </si>
  <si>
    <t>ЗТП-44</t>
  </si>
  <si>
    <t>ЗТП- 45</t>
  </si>
  <si>
    <t>ЗТП-46</t>
  </si>
  <si>
    <t>ЗТП-47</t>
  </si>
  <si>
    <t>ЗТП-48</t>
  </si>
  <si>
    <t>ЗТП-49</t>
  </si>
  <si>
    <t>ЗТП-50</t>
  </si>
  <si>
    <t>КТП-51</t>
  </si>
  <si>
    <t>ЗТП-52</t>
  </si>
  <si>
    <t>ЗТП-53</t>
  </si>
  <si>
    <t>ЗТП-54</t>
  </si>
  <si>
    <t>ЗТП-55</t>
  </si>
  <si>
    <t>ЗТП-58</t>
  </si>
  <si>
    <t>ЗТП-59</t>
  </si>
  <si>
    <t>ЗТП-60</t>
  </si>
  <si>
    <t>ЗТП-62</t>
  </si>
  <si>
    <t>ЗТП-63</t>
  </si>
  <si>
    <t>ЗТП-64</t>
  </si>
  <si>
    <t>400+320</t>
  </si>
  <si>
    <t>ЗТП-65</t>
  </si>
  <si>
    <t>ЗТП-67</t>
  </si>
  <si>
    <t>ЗТП-68</t>
  </si>
  <si>
    <t>315+200</t>
  </si>
  <si>
    <t>ЗТП-69</t>
  </si>
  <si>
    <t>ЗТП-71</t>
  </si>
  <si>
    <t>ЗТП-72</t>
  </si>
  <si>
    <t>ЗТП-73</t>
  </si>
  <si>
    <t>ЗТП-76</t>
  </si>
  <si>
    <t>ЗТП-77</t>
  </si>
  <si>
    <t>ЗТП-78</t>
  </si>
  <si>
    <t>ЗТП-80</t>
  </si>
  <si>
    <t>ЗТП-81</t>
  </si>
  <si>
    <t>ЗТП-82</t>
  </si>
  <si>
    <t>ЗТП-83</t>
  </si>
  <si>
    <t>ЗТП-84</t>
  </si>
  <si>
    <t>ЗТП-86</t>
  </si>
  <si>
    <t>ЗТП-87</t>
  </si>
  <si>
    <t>ЗТП-88</t>
  </si>
  <si>
    <t>ЗТП-89</t>
  </si>
  <si>
    <t>ЗТП-90</t>
  </si>
  <si>
    <t>100+400</t>
  </si>
  <si>
    <t>ЗТП-92</t>
  </si>
  <si>
    <t>ЗТП-93</t>
  </si>
  <si>
    <t>ЗТП-95</t>
  </si>
  <si>
    <t>ЗТП-96</t>
  </si>
  <si>
    <t>180+250</t>
  </si>
  <si>
    <t>КТП-98</t>
  </si>
  <si>
    <t>ЗТП-99</t>
  </si>
  <si>
    <t>КТП-100</t>
  </si>
  <si>
    <t>ЗТП-102</t>
  </si>
  <si>
    <t>ЗТП-103</t>
  </si>
  <si>
    <t>ЗТП-104</t>
  </si>
  <si>
    <t>КТП-106</t>
  </si>
  <si>
    <t>АБЗ не работает</t>
  </si>
  <si>
    <t>ЗТП-109</t>
  </si>
  <si>
    <t>ЗТП-110</t>
  </si>
  <si>
    <t>ЗТП-111</t>
  </si>
  <si>
    <t>КТП-112</t>
  </si>
  <si>
    <t>ЗТП-113</t>
  </si>
  <si>
    <t>ЗТП-114</t>
  </si>
  <si>
    <t>ЗТП-115</t>
  </si>
  <si>
    <t>ЗТП-116</t>
  </si>
  <si>
    <t>ЗТП-117</t>
  </si>
  <si>
    <t>ЗТП-118</t>
  </si>
  <si>
    <t>ЗТП-119</t>
  </si>
  <si>
    <t>ЗТП-120</t>
  </si>
  <si>
    <t>ЗТП-121</t>
  </si>
  <si>
    <t>ЗТП-122</t>
  </si>
  <si>
    <t>ЗТП-123</t>
  </si>
  <si>
    <t>КТП-126</t>
  </si>
  <si>
    <t>КТП-129</t>
  </si>
  <si>
    <t>КТП-133</t>
  </si>
  <si>
    <t>ЗТП-135</t>
  </si>
  <si>
    <t>ЗТП-136</t>
  </si>
  <si>
    <t>КТП-138</t>
  </si>
  <si>
    <t>КТП-139</t>
  </si>
  <si>
    <t>КТП-141</t>
  </si>
  <si>
    <t>КТП-142</t>
  </si>
  <si>
    <t>КТП-143</t>
  </si>
  <si>
    <t>КТП-145</t>
  </si>
  <si>
    <t>КТП-146</t>
  </si>
  <si>
    <t>Дубровка</t>
  </si>
  <si>
    <t>Калининский</t>
  </si>
  <si>
    <t>КТП-6/0,4кВ № 107 Дубровка</t>
  </si>
  <si>
    <t>Шаблино</t>
  </si>
  <si>
    <t>КТП-6/0,4кВ ТП № 108 Шаблино</t>
  </si>
  <si>
    <t>КТП-10/0,4кВ  № 102 Жорновка коттеджи</t>
  </si>
  <si>
    <t>ЗТП-10/0,4кВ ТП № 104 Колос</t>
  </si>
  <si>
    <t>Новенькое</t>
  </si>
  <si>
    <t>КТП-10/0,4кВ № 106 Новенькое</t>
  </si>
  <si>
    <t>Пуково</t>
  </si>
  <si>
    <t>КТП-10/0,4кВ ТП № 82 Пуково</t>
  </si>
  <si>
    <t>Софьино</t>
  </si>
  <si>
    <t>КТП-10/0,4кВ ТП № 97 Софьино</t>
  </si>
  <si>
    <t>Баламутово</t>
  </si>
  <si>
    <t>КТП-10/0,4кВ ТП № 98 Баламутово</t>
  </si>
  <si>
    <t>Жорновка</t>
  </si>
  <si>
    <t>КТП-10/0,4 кВ № 101 Жорновка</t>
  </si>
  <si>
    <t>Тюльки</t>
  </si>
  <si>
    <t>КТП-10/0,4кВ ТП № 602 Тюльки</t>
  </si>
  <si>
    <t>Вишняково</t>
  </si>
  <si>
    <t>КТП 10/0,4кВ № 47 Вишняково-2</t>
  </si>
  <si>
    <t>КТП 10/0,4кВ № 50 Вишняково</t>
  </si>
  <si>
    <t>КТП 10/0,4кВ № 52 СНТ Новое</t>
  </si>
  <si>
    <t>Стрельниково</t>
  </si>
  <si>
    <t>КТП 10/0,4кВ № 72 Стрельниково</t>
  </si>
  <si>
    <t>Палагино</t>
  </si>
  <si>
    <t>МТП-10/0,4кВ ТП № 37 Палагино</t>
  </si>
  <si>
    <t>ЗТП-10/0,4кВ № 40 П.Горки котельная</t>
  </si>
  <si>
    <t xml:space="preserve"> 2x400</t>
  </si>
  <si>
    <t>МТП-10/0,4кВ  № 41 П.Горки</t>
  </si>
  <si>
    <t>МТП-10/0,4кВ № 42 П.Горки мастерские</t>
  </si>
  <si>
    <t>Кустово</t>
  </si>
  <si>
    <t>КТП-10/0,4кВ № 44 Кустово</t>
  </si>
  <si>
    <t>КТП-10/0,4кВ ТП № 45 Великое село</t>
  </si>
  <si>
    <t>Олобово</t>
  </si>
  <si>
    <t>МТП-10/0,4кВ ТП № 46 Олобово</t>
  </si>
  <si>
    <t>КТП-10/0,4кВ № 48 Устье</t>
  </si>
  <si>
    <t>Протасово</t>
  </si>
  <si>
    <t>МТП-10/0,4кВ ТП № 49 Протасово</t>
  </si>
  <si>
    <t>МТП-10/0,4кВ ТП № 51 Князево</t>
  </si>
  <si>
    <t>КТП-10кВ № 53 Князево насосная</t>
  </si>
  <si>
    <t>Дубково</t>
  </si>
  <si>
    <t>МТП-10/0,4кВ ТП № 54 Дубково</t>
  </si>
  <si>
    <t>Копылево</t>
  </si>
  <si>
    <t>МТП-10/0,4кВ № 55 Копылево</t>
  </si>
  <si>
    <t>КТП-10/0,4кВ ТП № 56 Рылово</t>
  </si>
  <si>
    <t>Изворотень</t>
  </si>
  <si>
    <t>КТП-10/0,4кВ № 57 Изворотень</t>
  </si>
  <si>
    <t>МТП-10/0,4кВ ТП № 58 Городище</t>
  </si>
  <si>
    <t>Черногубово</t>
  </si>
  <si>
    <t>КТП-10/0,4кВ № 116 Черногубово село</t>
  </si>
  <si>
    <t>КТП-10/0,4кВ № 117 Черногубово школа</t>
  </si>
  <si>
    <t>КТПП-10/0,4кВ № 118 Черногубово крхр</t>
  </si>
  <si>
    <t>Мельниково</t>
  </si>
  <si>
    <t>МТП-10/0,4кВ № 119 Мельниково</t>
  </si>
  <si>
    <t>Павловское</t>
  </si>
  <si>
    <t>КТП-10/0,4кВ № 120 Павловское</t>
  </si>
  <si>
    <t>Рылово</t>
  </si>
  <si>
    <t>КТП-10/0,4кВ № 638 Рылово коттежди</t>
  </si>
  <si>
    <t>ЗТП-10/0,4кВ № 605</t>
  </si>
  <si>
    <t>2x160</t>
  </si>
  <si>
    <t>КТП-10/0,4кВ № 623 Набережная</t>
  </si>
  <si>
    <t>КТПП-10/0,4кВ № 91 Загородный д.сад</t>
  </si>
  <si>
    <t>КТП-10/0,4кВ № 94 Загородный ж.дома</t>
  </si>
  <si>
    <t>Змеево</t>
  </si>
  <si>
    <t>КТП-10/0,4кВ № 99 Змеево</t>
  </si>
  <si>
    <t>Глазково</t>
  </si>
  <si>
    <t>ЗТП-10/0,4кВ ТП № 100 Глазково деревня</t>
  </si>
  <si>
    <t>КТП-10/0,4кВ № 103 Глазково насосная</t>
  </si>
  <si>
    <t>КТП-100,4кВ ТП № 645 Глазково-2</t>
  </si>
  <si>
    <t>КТП-100,4кВ ТП № 646 Глазково дачи</t>
  </si>
  <si>
    <t>Киселево</t>
  </si>
  <si>
    <t>КТП-10/0,4кВ № 603</t>
  </si>
  <si>
    <t>КТП-10/0,4кВ № 604</t>
  </si>
  <si>
    <t>Опарино</t>
  </si>
  <si>
    <t>КТП-6/0,4кВ № 166 Опарино ферма</t>
  </si>
  <si>
    <t>Мотавино</t>
  </si>
  <si>
    <t>МТП-6/0,4кВ № 167 Мотавино</t>
  </si>
  <si>
    <t>Красново</t>
  </si>
  <si>
    <t>МТП-6/0,4кВ № 168 Красново</t>
  </si>
  <si>
    <t>Прудище</t>
  </si>
  <si>
    <t>КТП-6/0,4кВ № 169 Прудище</t>
  </si>
  <si>
    <t>Даниловское</t>
  </si>
  <si>
    <t>КТП-6/0,4кВ № 171 Даниловское клуб</t>
  </si>
  <si>
    <t>МТП-6/0,4кВ № 172 Даниловское</t>
  </si>
  <si>
    <t>КТП-6/0,4кВ № 173 Даниловское ЗСП</t>
  </si>
  <si>
    <t>КТП-6/0.4кВ № 174 Даниловское котельная</t>
  </si>
  <si>
    <t>КТПП-6/0,4кВ № 175 Даниловское насосная</t>
  </si>
  <si>
    <t>КТП-6/0,4кВ № 78 Красново-2</t>
  </si>
  <si>
    <t>КТП-6/0,4кВ № 170 Опарино-2</t>
  </si>
  <si>
    <t>КТП-6/0,4кВ № 668 Красново-1</t>
  </si>
  <si>
    <t>Калиново</t>
  </si>
  <si>
    <t>КТП-6/0,4кВ № 177 Калиново</t>
  </si>
  <si>
    <t>КТП-6/0.4кВ № 243 Химик-1</t>
  </si>
  <si>
    <t>МТП-6/0.4кВ № 244 Химик-2</t>
  </si>
  <si>
    <t>КТП-10/0,4кВ № 73 Орудово юг</t>
  </si>
  <si>
    <t>МТП-10/0,4кВ № 74 Н.Власьево</t>
  </si>
  <si>
    <t>Яковлево</t>
  </si>
  <si>
    <t>КТП-10/0,4кВ № 75 Яковлево</t>
  </si>
  <si>
    <t>Васильевское</t>
  </si>
  <si>
    <t>КТП-10/0,4кВ № 76 Васильевское</t>
  </si>
  <si>
    <t>КТП-10/0,4кВ № 79 Васильевское Орудово</t>
  </si>
  <si>
    <t>Орудово</t>
  </si>
  <si>
    <t>КТП-10/0,4кВ № 80 Орудово север</t>
  </si>
  <si>
    <t>Кувшиново</t>
  </si>
  <si>
    <t>КТП-10/0,4кВ № 81 Кувшиново мех.маст.</t>
  </si>
  <si>
    <t>КТПП-10/0,4кВ № 83,83А Кувшиново ЖК</t>
  </si>
  <si>
    <t>Тургиново</t>
  </si>
  <si>
    <t>КТП-10/0,4кВ № 86 Тургиново</t>
  </si>
  <si>
    <t>Михайловское</t>
  </si>
  <si>
    <t>КТП-10/0,4кВ № 87 Михайловское ЗСП</t>
  </si>
  <si>
    <t>ЗТП-10/0,4кВ № 88 Михайловское школа</t>
  </si>
  <si>
    <t>КТП-10/0,4кВ № 90 Михайловское</t>
  </si>
  <si>
    <t>КТП-10/0.4кВ № 666 Тверская мануфактура</t>
  </si>
  <si>
    <t>КТП-10/0,4кВ № 84 Кувшиново крхр</t>
  </si>
  <si>
    <t>Васильевское,Варварка</t>
  </si>
  <si>
    <t>КТП-10/0,4кВ № 85 Васильевское,Варварка</t>
  </si>
  <si>
    <t>КТП-10/0.4кВ № 89 Михайловское село</t>
  </si>
  <si>
    <t>Суховерково</t>
  </si>
  <si>
    <t>ЗТП-6/0,4кВ №1 Поселок</t>
  </si>
  <si>
    <t>2x180</t>
  </si>
  <si>
    <t>Благодатное</t>
  </si>
  <si>
    <t>КТП-10/0,4кВ № 279 Благодатное ЗСП,ДКУ</t>
  </si>
  <si>
    <t>Филипцево</t>
  </si>
  <si>
    <t>КТП-10/0,4кВ № 280 Филипцево</t>
  </si>
  <si>
    <t>КТП-10/0,4кВ № 281 Анисимово</t>
  </si>
  <si>
    <t>Озерецкое</t>
  </si>
  <si>
    <t>КТП-10/0,4кВ № 1009 Озерецкое</t>
  </si>
  <si>
    <t>Гинделево</t>
  </si>
  <si>
    <t>КТП-10/0,4кВ № 1010 Гинделево</t>
  </si>
  <si>
    <t>Колталово</t>
  </si>
  <si>
    <t>КТП-10/0,4кВ № 152 Колталово ферма</t>
  </si>
  <si>
    <t>КТП-10/0,4кВ № 157 Колталово</t>
  </si>
  <si>
    <t>Горки</t>
  </si>
  <si>
    <t>МТП-10/0,4кВ № 163 Горки</t>
  </si>
  <si>
    <t>Пищулино</t>
  </si>
  <si>
    <t>МТП-10/0,4кВ № 164 Пищулино</t>
  </si>
  <si>
    <t>Зуево</t>
  </si>
  <si>
    <t>КТП-10/0,4кВ № 165 Зуево</t>
  </si>
  <si>
    <t>Сельцо-Троицкое</t>
  </si>
  <si>
    <t>МТП-10/0.4кВ № 150 Сельцо-Троицкое</t>
  </si>
  <si>
    <t>ЗТП-10/0,4кВ № 151 Колталово поселок</t>
  </si>
  <si>
    <t>КТП-10/0,4кВ № 153 Колталово контора</t>
  </si>
  <si>
    <t>КТП-10/0,4кВ № 154 Колталово кормоцех</t>
  </si>
  <si>
    <t>КТП-10/0.4кВ № 155 Колталово дет.сад</t>
  </si>
  <si>
    <t>КТП-10/0,4кВ № 156 Кол-во свинарник</t>
  </si>
  <si>
    <t>КТП-10/0,4кВ № 162 Колталово с.сарай</t>
  </si>
  <si>
    <t>СТП-10/0,4кВ № 550 Хутор Троицкое</t>
  </si>
  <si>
    <t>Кунькино</t>
  </si>
  <si>
    <t>КТП-10/0,4кВ № 1011 Кунькино</t>
  </si>
  <si>
    <t>Третьяково-Блиново</t>
  </si>
  <si>
    <t>КТП-10/0,4кВ № 1012 Третьяково-Блиново</t>
  </si>
  <si>
    <t>Оздихово</t>
  </si>
  <si>
    <t>КТП-10/0,4кВ № 1013 Оздихово</t>
  </si>
  <si>
    <t>Бельцы</t>
  </si>
  <si>
    <t>МТП-10/0,4кВ № 1014 Бельцы</t>
  </si>
  <si>
    <t>Гридино</t>
  </si>
  <si>
    <t>МТП-10/0,4кВ № 1015 Гридино</t>
  </si>
  <si>
    <t>Калошино</t>
  </si>
  <si>
    <t>КТП-10/0,4кВ № 1016 Калошино</t>
  </si>
  <si>
    <t>Якимово</t>
  </si>
  <si>
    <t>МТП-10/0,4кВ № 1017 Якимово</t>
  </si>
  <si>
    <t>ЗТП-10/0,4кВ № 1018 Быково</t>
  </si>
  <si>
    <t>Калистово</t>
  </si>
  <si>
    <t>МТП-10/0,4кВ № 1019 Калистово</t>
  </si>
  <si>
    <t>Зерново-Захарово</t>
  </si>
  <si>
    <t>КТП-10/0,4кВ № 1020 Зерново-Захарово</t>
  </si>
  <si>
    <t>Комсомольская</t>
  </si>
  <si>
    <t>ЗТП-10/0,4кВ № 1021 Комсомольская</t>
  </si>
  <si>
    <t>ЗТП-10/0,4кВ № 1022 Новый Поселок</t>
  </si>
  <si>
    <t>Полубратово</t>
  </si>
  <si>
    <t>КТП-10/0,4кВ № 1023 Полубратово ферма</t>
  </si>
  <si>
    <t>Бебелево</t>
  </si>
  <si>
    <t>МТП-10/0,4кВ № 1025 Бебелево</t>
  </si>
  <si>
    <t>Княгинькино</t>
  </si>
  <si>
    <t>КТП-10/0,4кВ № 1026 Княгинькино</t>
  </si>
  <si>
    <t>Телятьево</t>
  </si>
  <si>
    <t>КТП-10/0,4кВ № 1027 Телятьево</t>
  </si>
  <si>
    <t>Киверниково</t>
  </si>
  <si>
    <t>КТП-10/0,4кВ № 1028 Киверниково</t>
  </si>
  <si>
    <t>Нелидово</t>
  </si>
  <si>
    <t>КТП-10/0,4кВ № 1029 Нелидово</t>
  </si>
  <si>
    <t>Леушино</t>
  </si>
  <si>
    <t>КТП-10/0,4кВ № 1030 Леушино</t>
  </si>
  <si>
    <t>Пяткино</t>
  </si>
  <si>
    <t>КТП-10/0,4кВ № 1031 Пяткино</t>
  </si>
  <si>
    <t>Абутьково</t>
  </si>
  <si>
    <t>КТП-10/0,4кВ № 1032 Абутьково</t>
  </si>
  <si>
    <t>Подолово</t>
  </si>
  <si>
    <t>МТП-10/0,4кВ № 1033 Подолово</t>
  </si>
  <si>
    <t>Гришино</t>
  </si>
  <si>
    <t>КТП-10/0,4кВ № 1034 Гришино</t>
  </si>
  <si>
    <t>Базыкино</t>
  </si>
  <si>
    <t>КТП-10/0,4кВ № 1035 Базыкино</t>
  </si>
  <si>
    <t>РТП 10/0,4кв Мамулино</t>
  </si>
  <si>
    <t>Палкино</t>
  </si>
  <si>
    <t>КТП-10/0,4кВ № 180 Палкино</t>
  </si>
  <si>
    <t>КТП-10/0,4кВ № 181 Никулино село</t>
  </si>
  <si>
    <t>КТП-10/0,4кВ № 183 Школа</t>
  </si>
  <si>
    <t>КТП 10/0,4кВ № 187 Никулино котельная</t>
  </si>
  <si>
    <t>Борихино</t>
  </si>
  <si>
    <t>КТП-10/0,4кВ № 200 Борихино</t>
  </si>
  <si>
    <t>Кривцово</t>
  </si>
  <si>
    <t>КТП-10/0,4кВ № 201 Кривцово село</t>
  </si>
  <si>
    <t>КТП-10/0,4кВ № 202 Кривцово м.маст.</t>
  </si>
  <si>
    <t>КТП-10/0,4кВ № 203 Кривцово ферма</t>
  </si>
  <si>
    <t>Андрейково</t>
  </si>
  <si>
    <t>КТП-10/0,4кВ № 205 Андрейково</t>
  </si>
  <si>
    <t>ЗТП-10/0,4кВ № 521 Жил.дом-1</t>
  </si>
  <si>
    <t>Брусилово</t>
  </si>
  <si>
    <t>КТП-10/0,4кВ № 520 Брусилово коттеджи</t>
  </si>
  <si>
    <t>Глинково</t>
  </si>
  <si>
    <t>КТП-10/0,4кВ № 547 Глинково</t>
  </si>
  <si>
    <t>Новосельцы</t>
  </si>
  <si>
    <t>МТП-10/0,4кВ № 453 Новосельцы</t>
  </si>
  <si>
    <t>Глинки</t>
  </si>
  <si>
    <t>КТП-10/0,4кВ № 454 Глинки</t>
  </si>
  <si>
    <t>Голобово</t>
  </si>
  <si>
    <t>КТП-10/0,4кВ № 452 Голобово</t>
  </si>
  <si>
    <t>Казино</t>
  </si>
  <si>
    <t>КТП-10/0,4кВ № 446 Казино</t>
  </si>
  <si>
    <t>Кадино</t>
  </si>
  <si>
    <t>КТП-10/0,4кВ № 447 Кадино</t>
  </si>
  <si>
    <t>КТП-10/0,4кВ № 448 Кадино Тверьблок</t>
  </si>
  <si>
    <t>Щекотово</t>
  </si>
  <si>
    <t>МТП-10/0,4кВ 3 455 Щекотово</t>
  </si>
  <si>
    <t>КТП-10/0,4кВ № 455А Щекотово</t>
  </si>
  <si>
    <t>Носово</t>
  </si>
  <si>
    <t>КТП-10/0,4кВ № 456 Носово-1</t>
  </si>
  <si>
    <t>КТП-10/0,4кВ № 457 Носово-2</t>
  </si>
  <si>
    <t>КТП-10/0,4кВ № 569 Глинки</t>
  </si>
  <si>
    <t>КТП-10/0,4кВ № 186 Никулино котельная</t>
  </si>
  <si>
    <t>КТП-10/0,4кВ № 188 Никулино клуб</t>
  </si>
  <si>
    <t>КТП 10/0,4кВ № 191 Никулино КНС</t>
  </si>
  <si>
    <t>КТП-10/0,4кВ № 192 Никулино ферма</t>
  </si>
  <si>
    <t>Мозжарино</t>
  </si>
  <si>
    <t>КТП-10/0,4кВ № 194 Мозжарино</t>
  </si>
  <si>
    <t>Напрудное</t>
  </si>
  <si>
    <t>КТП-10/0,4кВ № 195 Напрудное</t>
  </si>
  <si>
    <t>Раслово</t>
  </si>
  <si>
    <t>КТП-10/0,4кВ № 196 Раслово</t>
  </si>
  <si>
    <t>Курово</t>
  </si>
  <si>
    <t>КТП-10/0,4кВ № 197 Курово</t>
  </si>
  <si>
    <t>КТП-10/0,4кВ № 198 Лебедево село</t>
  </si>
  <si>
    <t>Лебедево</t>
  </si>
  <si>
    <t>КТП-10/0,4кВ № 199 Лебедево 2 ЗСП</t>
  </si>
  <si>
    <t>КТП-10/0,4кВ № 204 Ник-но т.центр</t>
  </si>
  <si>
    <t>КТП-10/0,4кВ № 190 Ник-но запад</t>
  </si>
  <si>
    <t>КТП-10/0,4кВ № 697 Раслово-2</t>
  </si>
  <si>
    <t>Гришкино</t>
  </si>
  <si>
    <t xml:space="preserve">КТП-10/0,4кВ № 1036 Продольная </t>
  </si>
  <si>
    <t>КТП-10/0,4кВ ТП № 224 Марьино</t>
  </si>
  <si>
    <t>Щербинино</t>
  </si>
  <si>
    <t>КТП-10/0,4кВ № 235 Щербинино</t>
  </si>
  <si>
    <t>Алексеевское</t>
  </si>
  <si>
    <t>КТП-10/0,4кВ № 1042 Стройтрубсервис</t>
  </si>
  <si>
    <t>МТП-10/0,4кВ № 1043 Алексеевское</t>
  </si>
  <si>
    <t>КТП-10/0,4кВ № 1044 Красная Новь коттеджи</t>
  </si>
  <si>
    <t>КТП-10/0,4кВ № 1045 Красная Новь Иванов</t>
  </si>
  <si>
    <t>Игнатово</t>
  </si>
  <si>
    <t>КТП-10/0,4кВ № 1046 Игнатово</t>
  </si>
  <si>
    <t>Обухово</t>
  </si>
  <si>
    <t>МТП-10/0,4кВ № 1047 Обухово</t>
  </si>
  <si>
    <t>МТП-10/0,4кВ № 1048 Обухово ЗСП</t>
  </si>
  <si>
    <t>КТП-10/0,4кВ № 1049 Обухово карт.хр.</t>
  </si>
  <si>
    <t>Поминово</t>
  </si>
  <si>
    <t>КТП-10/0,4кВ № 1050 Поминово-2 коттеджи</t>
  </si>
  <si>
    <t>КТП-10/0,4кВ № 1051 Поминово</t>
  </si>
  <si>
    <t>КТП-10/0,4кВ № 209 Колеснико,Вишняково</t>
  </si>
  <si>
    <t>Володино</t>
  </si>
  <si>
    <t>КТП-10/0,4кВ № 210 Володино</t>
  </si>
  <si>
    <t>КТП-10/0,4кВ № 212 Андрейково ЗСП</t>
  </si>
  <si>
    <t>ЗТП-10/0,4кВ № 213 Андрейково ЖК</t>
  </si>
  <si>
    <t>КТП-10/0,4кВ №215 Ст.биочистки</t>
  </si>
  <si>
    <t>Аксинькино</t>
  </si>
  <si>
    <t>КТП-10/0,4кВ № 207 Аксинькино</t>
  </si>
  <si>
    <t>Неготино</t>
  </si>
  <si>
    <t>КТП-10/0,4кВ № 208 Неготино</t>
  </si>
  <si>
    <t>КТП-10/0,4кВ № 211 Андрейково клуб</t>
  </si>
  <si>
    <t>КТП-10/0,4кВ № 216 Андрейково ж.д</t>
  </si>
  <si>
    <t>Бурашево</t>
  </si>
  <si>
    <t>КТП-10/0,4кВ № 218 Бурашево коттеджи</t>
  </si>
  <si>
    <t>КТП-10/0,4кВ № 1052 Луговая</t>
  </si>
  <si>
    <t>ЗТП-10/0,4кВ № 1053 Школа</t>
  </si>
  <si>
    <t>ЗТП-10/0,4кВ № 1054 Столовая</t>
  </si>
  <si>
    <t>ЗТП-10/0,4кВ № 1055 Котельная</t>
  </si>
  <si>
    <t>Губино</t>
  </si>
  <si>
    <t>МТП-10/0,4кВ № 1056 Губино</t>
  </si>
  <si>
    <t>Старково</t>
  </si>
  <si>
    <t>КТП-10/0,4кВ № 1057 Старково</t>
  </si>
  <si>
    <t>Чуприяново</t>
  </si>
  <si>
    <t>ЗТП-10/0,4кВ № 229 Чуприяново деревня</t>
  </si>
  <si>
    <t>ЗТП-10/0,4кВ № 230 Семенохранилище</t>
  </si>
  <si>
    <t>КТП-10/0,4кВ № 231 Ст.Погост котельная</t>
  </si>
  <si>
    <t>КТП-10/0,4кВ № 233 Ст.Погост ж.дома</t>
  </si>
  <si>
    <t>КТП-10/0,4кВ № 234 Ст.Погост ЖК</t>
  </si>
  <si>
    <t>КТП-10/0,4кВ № 236 Ст.Погост крхр</t>
  </si>
  <si>
    <t>Труново</t>
  </si>
  <si>
    <t>МТП-10/0,4кВ № 238 Труново</t>
  </si>
  <si>
    <t>Федосово</t>
  </si>
  <si>
    <t>МТП-10/0,4кВ № 239 Федосово</t>
  </si>
  <si>
    <t>КТП-10/0,4кВ № 275 СНТ Камаз</t>
  </si>
  <si>
    <t>КТП-10/0,4кВ № 276 Чуприяново-2 коттеджи</t>
  </si>
  <si>
    <t>КТП-10/0,4кВ № 1058 Гришкино</t>
  </si>
  <si>
    <t>Синцово</t>
  </si>
  <si>
    <t>МТП-10/0,4кВ № 1059 Синцово</t>
  </si>
  <si>
    <t>КТП-10/0,4кВ № 1060 Красная Новь карт.хр.</t>
  </si>
  <si>
    <t>МТП-10/0,4кВ № 1061 Красная Новь</t>
  </si>
  <si>
    <t>Куркино</t>
  </si>
  <si>
    <t>КТП-10/0,4кВ № 1062 Куркино</t>
  </si>
  <si>
    <t>Захеево</t>
  </si>
  <si>
    <t>МТП-10/0,4кВ № 1063 Захеево</t>
  </si>
  <si>
    <t>КТП-10/0,4кВ № 1064 Маслово</t>
  </si>
  <si>
    <t>Козлятьево</t>
  </si>
  <si>
    <t>КТП-10/0,4кВ № 1065 Козлятьево</t>
  </si>
  <si>
    <t>Бакшеево</t>
  </si>
  <si>
    <t>КТП-10/0,4кВ № 1066 Бакшеево</t>
  </si>
  <si>
    <t>КТП-10/0,4кВ № 1067 Бакшеево ЗСП</t>
  </si>
  <si>
    <t>Чудово</t>
  </si>
  <si>
    <t>МТП-10/0,4кВ № 1068 Чудово</t>
  </si>
  <si>
    <t>Перхурово</t>
  </si>
  <si>
    <t>КТП-10/0,4кВ № 1069 Перхурово</t>
  </si>
  <si>
    <t>Азарниково</t>
  </si>
  <si>
    <t>КТП-10/0,4кВ № 1070 Азарниково</t>
  </si>
  <si>
    <t>Головино</t>
  </si>
  <si>
    <t>Конаковский</t>
  </si>
  <si>
    <t>КТП-10/0,4кВ № 809 Головино</t>
  </si>
  <si>
    <t>КТП-10/0,4кВ № 810 Хорошово дальнее</t>
  </si>
  <si>
    <t>КТП-10/0,4кВ №811 Хорошово ближнее</t>
  </si>
  <si>
    <t>Михалиха</t>
  </si>
  <si>
    <t>МТП-10 /0,4кВ № 812 Михалиха</t>
  </si>
  <si>
    <t>Мыслятино</t>
  </si>
  <si>
    <t>МТП-10/0,4кВ № 813 Мыслятино</t>
  </si>
  <si>
    <t>Поповское</t>
  </si>
  <si>
    <t>КТП-10/0,4кВ № 814 Поповское деревня</t>
  </si>
  <si>
    <t>КТП-10/0,4кВ № 815 Поповское ферма</t>
  </si>
  <si>
    <t>КТП-10/0,4кВ № 827 Устье</t>
  </si>
  <si>
    <t>КТП-10/0,4кВ № 828 Городище</t>
  </si>
  <si>
    <t>Харлово</t>
  </si>
  <si>
    <t>КТП-10/0,4кВ № 829 Харлово</t>
  </si>
  <si>
    <t>Захарьино</t>
  </si>
  <si>
    <t>КТП-10/0,4кВ № 804 Захарьино ферма</t>
  </si>
  <si>
    <t>Нестерово</t>
  </si>
  <si>
    <t>КТП-10/0,4кВ № 805 Нестерово ферма</t>
  </si>
  <si>
    <t>Видогощи</t>
  </si>
  <si>
    <t>КТП-10/0,4кВ № 806 Видогощи 3</t>
  </si>
  <si>
    <t>КТП-10/0,4кВ № 807 Видогощи 1</t>
  </si>
  <si>
    <t>КТП-10/0,4кВ № 808 Видогощи 2</t>
  </si>
  <si>
    <t>Рождествено</t>
  </si>
  <si>
    <t>ЗТП-10/0,4кВ № 800 Рождествено мол.завод</t>
  </si>
  <si>
    <t>КТП-10/0,4кВ № 801 Рождествено поселок</t>
  </si>
  <si>
    <t>Староселье</t>
  </si>
  <si>
    <t>КТП-10/0.4кВ № 802 Староселье</t>
  </si>
  <si>
    <t>Борзенево</t>
  </si>
  <si>
    <t>КТП-10/0,4кВ № 803 Борзенево</t>
  </si>
  <si>
    <t>МТП-10/0,4кВ № 429 Городня деревня</t>
  </si>
  <si>
    <t>КТП-10/0,4кВ № 431 Ширяково-Зеленец</t>
  </si>
  <si>
    <t>Савино</t>
  </si>
  <si>
    <t>КТП-10/0,4кВ № 432 Савино</t>
  </si>
  <si>
    <t>Степаньково</t>
  </si>
  <si>
    <t>КТП-10/0,4кВ № 436 Степаньково</t>
  </si>
  <si>
    <t>Спирково</t>
  </si>
  <si>
    <t>КТП-10/0,4кВ № 437 Спирково</t>
  </si>
  <si>
    <t>Поддубки</t>
  </si>
  <si>
    <t>КТП-10/0,4кВ № 438 Поддубки д.сад</t>
  </si>
  <si>
    <t>КТП-10/0,4кВ № 439 Поддубки ферма</t>
  </si>
  <si>
    <t>п.Сокол</t>
  </si>
  <si>
    <t>МТП-6/0,4кВ № 507 п.Сокол</t>
  </si>
  <si>
    <t>Ветлино</t>
  </si>
  <si>
    <t>КТП-6/0.4кВ № 568 Ветлино</t>
  </si>
  <si>
    <t>ЗТП-6/0,4кВ № 62 Гараж</t>
  </si>
  <si>
    <t>КТП-6/0,4кВ ТП № 70 Ст.Брянцево 1</t>
  </si>
  <si>
    <t>КТП-6/0,4кВ ТП № 71 Нов.Брянцево</t>
  </si>
  <si>
    <t>КТП-6/0,4кВ ТП № 700 п. Заволжский</t>
  </si>
  <si>
    <t>КТП-10/0,4кВ № 1 Кулицкая школа</t>
  </si>
  <si>
    <t>КТП-10/0,4кВ № 3 Кулицкая ж.зона</t>
  </si>
  <si>
    <t>КТП-10/0,4кВ № 4 Кулицкая насосная</t>
  </si>
  <si>
    <t>МТП-10/0,4кВ № 9 Бойково ферма</t>
  </si>
  <si>
    <t>МТП-10/0,4кВ № 13 Давыдово</t>
  </si>
  <si>
    <t>Дьяково</t>
  </si>
  <si>
    <t>МТП-10/0,4кВ № 14 Дьяково</t>
  </si>
  <si>
    <t>МТП-10/0,4кВ № 15 Дьяково ферма</t>
  </si>
  <si>
    <t>Киево</t>
  </si>
  <si>
    <t>МТП-10/0,4кВ № 18 Киево</t>
  </si>
  <si>
    <t>Лясково</t>
  </si>
  <si>
    <t>МТП-10/0,4кВ № 19 Лясково</t>
  </si>
  <si>
    <t>Заболотье</t>
  </si>
  <si>
    <t>КТП-10/0,4кВ № 22 Заболотье</t>
  </si>
  <si>
    <t>Заречье,Зиновьево</t>
  </si>
  <si>
    <t>КТП-10/0,4кВ № 27 Заречье-Зиновьево</t>
  </si>
  <si>
    <t>КТП-10/0,4кВ № 28 Ив.Горки</t>
  </si>
  <si>
    <t>Лямово</t>
  </si>
  <si>
    <t>МТП-10/0,4кВ № 29 Лямово</t>
  </si>
  <si>
    <t>МТП-10/0,4кВ № 31 Ивановское-Вишняково</t>
  </si>
  <si>
    <t>Садыково</t>
  </si>
  <si>
    <t>КТП-10/0,4кВ № 16 Садыково</t>
  </si>
  <si>
    <t>Теребино</t>
  </si>
  <si>
    <t>КТП-10/0,4кВ № 20 Теребино</t>
  </si>
  <si>
    <t>Жирносово</t>
  </si>
  <si>
    <t>КТП-10/0,4кВ № 21 Жирносово</t>
  </si>
  <si>
    <t>КТП-10/0,4кВ № 23 Мухино ЗСП</t>
  </si>
  <si>
    <t>КТП-10/0,4кВ № 26 Мухино</t>
  </si>
  <si>
    <t>КТП-10/0,4  № 2 Кулицкая поселок</t>
  </si>
  <si>
    <t>КТП-10/0,4кВ № 32 Н.Чопрово</t>
  </si>
  <si>
    <t>Рагдино</t>
  </si>
  <si>
    <t>КТП-10/0,4кВ № 33 Рагдино ферма</t>
  </si>
  <si>
    <t>МТП-10/0,4кВ № 34 Рагдино</t>
  </si>
  <si>
    <t>МТП-10/0,4кВ № 35 Ст.Чопрово</t>
  </si>
  <si>
    <t>КТП-10/0,4кВ № 36 Кр.Бор</t>
  </si>
  <si>
    <t>Кобячево</t>
  </si>
  <si>
    <t>КТП-10/0,4кВ № 561 с/о Верхневолжское</t>
  </si>
  <si>
    <t>КТП-10/0,4кВ № 30 Кр. Бор-2</t>
  </si>
  <si>
    <t>Слободка</t>
  </si>
  <si>
    <t>КТП-10/0,4кВ № 43 Слободка</t>
  </si>
  <si>
    <t>Некрасово</t>
  </si>
  <si>
    <t>КТП-10/0,4кВ № 144 Школа-интернат</t>
  </si>
  <si>
    <t>КТП 10/0,4кВ № 145 Некрасово 5 ферма</t>
  </si>
  <si>
    <t>КТП-10/0,4кВ № 147 Детдом</t>
  </si>
  <si>
    <t>Шульгино</t>
  </si>
  <si>
    <t>КТП 10/0,4кВ № 148 Шульгино</t>
  </si>
  <si>
    <t>Порядино</t>
  </si>
  <si>
    <t>КТП 10/0,4кВ № 149 Порядино</t>
  </si>
  <si>
    <t>Шалайково</t>
  </si>
  <si>
    <t>КТП 10/0,4кВ № 542 Шалайково</t>
  </si>
  <si>
    <t>КТП-10/0,4кВ № 543 Некрасово 6</t>
  </si>
  <si>
    <t>КТП-10/0,4кВ № 544 Некрасово 7</t>
  </si>
  <si>
    <t>Курково</t>
  </si>
  <si>
    <t>КТП 10/0,4кВ № 640 Курково</t>
  </si>
  <si>
    <t>ЗТП-10/0,4кВ № 138 Жил.зона</t>
  </si>
  <si>
    <t>ЗТП-10/0,4кВ № 139 Фруктохранилище</t>
  </si>
  <si>
    <t>КТП 10/0,4кВ № 142 Красная Гора</t>
  </si>
  <si>
    <t>Антоново</t>
  </si>
  <si>
    <t>КТП 10/0,4кВ № 133 Антоново</t>
  </si>
  <si>
    <t>Владеево</t>
  </si>
  <si>
    <t>КТП 10/0,4кВ № 134 Владеево</t>
  </si>
  <si>
    <t>Гудово</t>
  </si>
  <si>
    <t>КТП 10/0,4кВ № 135 Гудово</t>
  </si>
  <si>
    <t>Якшино</t>
  </si>
  <si>
    <t>КТП 10/0.4кВ № 121 Якшино</t>
  </si>
  <si>
    <t>Афанасово</t>
  </si>
  <si>
    <t>КТП 10/0,4кВ № 122 Афанасово</t>
  </si>
  <si>
    <t>Сельцо</t>
  </si>
  <si>
    <t>КТП 10/0,4кВ № 123 Сельцо-1 ферма</t>
  </si>
  <si>
    <t>КТП 10/0,4кВ № 124 Сельцо-2 ЗСП</t>
  </si>
  <si>
    <t>Сеславье</t>
  </si>
  <si>
    <t>КТП 10/0,4кВ № 125 Сеславье</t>
  </si>
  <si>
    <t>Беседы</t>
  </si>
  <si>
    <t>КТП 10/0,4кВ № 126 Беседы</t>
  </si>
  <si>
    <t>Моркино</t>
  </si>
  <si>
    <t>КТП 10/0,4кВ № 127 Моркино</t>
  </si>
  <si>
    <t>КТП 10/0.4кВ № 128 Моркино ферма</t>
  </si>
  <si>
    <t>Дубровки</t>
  </si>
  <si>
    <t>КТП 10/0,4кВ № 129 Дубровки</t>
  </si>
  <si>
    <t>КТП 10/0,4кВ № 130 Путилово телятник</t>
  </si>
  <si>
    <t>Рубцово</t>
  </si>
  <si>
    <t>МТП-10/0,4кВ № 131 Рубцово</t>
  </si>
  <si>
    <t>КТП 10/0,4кВ № 610 Беседы 2 улица</t>
  </si>
  <si>
    <t>Лисицы</t>
  </si>
  <si>
    <t>КТП 10/0,4кВ № 331 Новая застройка</t>
  </si>
  <si>
    <t>Левобережная</t>
  </si>
  <si>
    <t>КТП 10/0,4кВ № 340 Левобережная</t>
  </si>
  <si>
    <t>Сергеевка</t>
  </si>
  <si>
    <t>КТП 10/0,4кВ № 341 Сергеевка</t>
  </si>
  <si>
    <t>КТП 10/0,4кВ № 350 Лисицы</t>
  </si>
  <si>
    <t>КТП 10/0,4кВ № 351 Лисицы ферма</t>
  </si>
  <si>
    <t>МТП-10/0,4кВ № 352 Сергеевка</t>
  </si>
  <si>
    <t>Судимирки</t>
  </si>
  <si>
    <t>КТП 10/0,4кВ № 354 Судимирки</t>
  </si>
  <si>
    <t>Юрьевское</t>
  </si>
  <si>
    <t>КТП 10/0,4кВ № 356 Юрьевское</t>
  </si>
  <si>
    <t>Заборовье</t>
  </si>
  <si>
    <t>ЗТП-10/0,4кВ № 358 Заборовье ферма</t>
  </si>
  <si>
    <t>КТП 10/0,4кВ № 359 Заборовье ж.дома,стол</t>
  </si>
  <si>
    <t>КТП 10/0,4кВ № 360 Заборовье ЗСП</t>
  </si>
  <si>
    <t>Каблуково</t>
  </si>
  <si>
    <t>КТП 10/0,4кВ № 361 Каблуково поселок</t>
  </si>
  <si>
    <t>Тенешкино</t>
  </si>
  <si>
    <t>КТП 10/0,4кВ № 362 Тенешкино</t>
  </si>
  <si>
    <t>Курганово</t>
  </si>
  <si>
    <t>МТП 10/0,4кВ № 363 Курганово</t>
  </si>
  <si>
    <t>КТП 10/0,4кВ № 364 Ильино</t>
  </si>
  <si>
    <t>КТП 10/0,4кВ № 383 СНТ Стимул</t>
  </si>
  <si>
    <t>КТП 10/0,4кВ № 349 Лисицы</t>
  </si>
  <si>
    <t>КТП 10/0,4кВ № 367 Больница</t>
  </si>
  <si>
    <t>Порожки</t>
  </si>
  <si>
    <t>КТП 10/0,4кВ № 369 Порожки</t>
  </si>
  <si>
    <t>МТП-10/0,4кВ № 370 Мухино 1</t>
  </si>
  <si>
    <t>Осинки</t>
  </si>
  <si>
    <t>МТП-10/0,4кВ № 371 Осинки</t>
  </si>
  <si>
    <t>Буявино</t>
  </si>
  <si>
    <t>КТП-10/0,4кВ №372 Буявино</t>
  </si>
  <si>
    <t>Фенино</t>
  </si>
  <si>
    <t>КТП 10/0,4кВ № 373 Фенино</t>
  </si>
  <si>
    <t>КТП 10/0,4кВ № 375 ул.Гагарина</t>
  </si>
  <si>
    <t>КТП 10/0,4кВ № 583 Мухино 2</t>
  </si>
  <si>
    <t>Семеновское</t>
  </si>
  <si>
    <t>МТП-10/0,4кВ № 385 Семеновское</t>
  </si>
  <si>
    <t>Волынцево</t>
  </si>
  <si>
    <t>КТП 10/0,4кВ № 386 Волынцево</t>
  </si>
  <si>
    <t>Доншино</t>
  </si>
  <si>
    <t>КТП 10/0,4кВ № 388 Доншино</t>
  </si>
  <si>
    <t>М.Борки</t>
  </si>
  <si>
    <t>КТП 10/0,4кВ № 389 М.Борки</t>
  </si>
  <si>
    <t>Гнилицы</t>
  </si>
  <si>
    <t>МТП-10/0,4кВ № 390 Гнилицы</t>
  </si>
  <si>
    <t>Новинки</t>
  </si>
  <si>
    <t>КТП 10/0,4кВ № 391 Новинки</t>
  </si>
  <si>
    <t>КТП 10/0,4кВ № 392 Савинская Слобода дер</t>
  </si>
  <si>
    <t>КТП 10/0.4кВ № 393 Сав.Слобода ферма</t>
  </si>
  <si>
    <t>КТП 10/0,4кВ № 394 Савинская Слобода ЗСП</t>
  </si>
  <si>
    <t>МТП-10/0,4кВ № 396 Сухой ручей</t>
  </si>
  <si>
    <t>Борки</t>
  </si>
  <si>
    <t>КТП 10/0,4кВ № 397 Борки ж.дома</t>
  </si>
  <si>
    <t>КТП 10/0,4кВ № 625 Новинки</t>
  </si>
  <si>
    <t>КТП 10/0,4кВ № 626 Новинки</t>
  </si>
  <si>
    <t>КТП 10/0,4кВ № 399 Бани</t>
  </si>
  <si>
    <t>КТП 10/0,4кВ № 400 крхр</t>
  </si>
  <si>
    <t>ЗТП-10/0,4кВ № 404 120 кв.ж.дом</t>
  </si>
  <si>
    <t>КТП 10/0,4кВ № 405 Лесхоз</t>
  </si>
  <si>
    <t>КТП 10/0,4кВ № 406 Почта</t>
  </si>
  <si>
    <t>ЗТП-10/0,4кВ № 408 Общежитие</t>
  </si>
  <si>
    <t>КТП 10/0,4кВ № 410 Беговая, Почтовая</t>
  </si>
  <si>
    <t>Слобода</t>
  </si>
  <si>
    <t>КТП-10/0,4кВ № 412 Слобода</t>
  </si>
  <si>
    <t>КТП 10/0,4кВ № 413 АВМ</t>
  </si>
  <si>
    <t>Ямок</t>
  </si>
  <si>
    <t>МТП-10/0,4кВ № 414 Ямок</t>
  </si>
  <si>
    <t>ЗТП-10/0.4кВ № 575 Школа-интернат</t>
  </si>
  <si>
    <t>Перехожее</t>
  </si>
  <si>
    <t>МТП-10/0,4кВ № 427 Перехожее</t>
  </si>
  <si>
    <t>Савватьево</t>
  </si>
  <si>
    <t>МТП-10/0,4кВ № 332 Савватьево</t>
  </si>
  <si>
    <t>Поддубье</t>
  </si>
  <si>
    <t>КТП 10/0,4 № 333 Поддубье</t>
  </si>
  <si>
    <t>Крупышево</t>
  </si>
  <si>
    <t>КТП-10/0,4кВ № 334 Крупышево ферма</t>
  </si>
  <si>
    <t>Оршино</t>
  </si>
  <si>
    <t>КТП 10/0,4кВ № 335 Оршино</t>
  </si>
  <si>
    <t>МТП-10/0,4кВ № 336 Каблуково деревня</t>
  </si>
  <si>
    <t>КТП 10/0,4кВ № 337 Крупышево коттеджи</t>
  </si>
  <si>
    <t>КТП 10/0,4кВ № 338 Каблуково ферма</t>
  </si>
  <si>
    <t>КТП 10/0,4кВ № 346 Оршино коттеджи</t>
  </si>
  <si>
    <t>КТП-10/0,4кВ № 342 Савватьево коттедж</t>
  </si>
  <si>
    <t>КТП 10/0,4кВ № 344 Торг.центр, клуб</t>
  </si>
  <si>
    <t>КТП 10/0,4кВ № 347 Жил.зона</t>
  </si>
  <si>
    <t>КТП 10/0,4кВ № 348 Торг.центр</t>
  </si>
  <si>
    <t>КТП 10/0,4кВ № 303 Калошино</t>
  </si>
  <si>
    <t>Сопково</t>
  </si>
  <si>
    <t>КТП 10/0,4кВ № 305 Сопково ЗСП</t>
  </si>
  <si>
    <t>КТП 10/0,4кВ № 306 Сопково крхр</t>
  </si>
  <si>
    <t>Горютино</t>
  </si>
  <si>
    <t>КТП 10/0,4кВ № 294 Горютино ферма</t>
  </si>
  <si>
    <t>Пищалкино</t>
  </si>
  <si>
    <t>КТП-10/0,4кВ № 296 Пищалкино</t>
  </si>
  <si>
    <t>МТП-10/0,4кВ № 297 Лукино деревня</t>
  </si>
  <si>
    <t>Беклемишево</t>
  </si>
  <si>
    <t>КТП-10/0,4кВ № 298 Беклемишево</t>
  </si>
  <si>
    <t>КТП 10/0,4кВ № 299 Пищалкино</t>
  </si>
  <si>
    <t>КТП 10/0,4кВ № 518 Мехлесхоз</t>
  </si>
  <si>
    <t>ЗТП-10/0,4кВ № 322 ШПК</t>
  </si>
  <si>
    <t>Андреевское</t>
  </si>
  <si>
    <t>КТП 10/0,4кВ № 323 Андреевское</t>
  </si>
  <si>
    <t>Аркатово</t>
  </si>
  <si>
    <t>КТП 10/0,4кВ № 324 Аркатово</t>
  </si>
  <si>
    <t>Жданово</t>
  </si>
  <si>
    <t>КТП 10/0,4кВ № 325 Жданово</t>
  </si>
  <si>
    <t>Сакулино</t>
  </si>
  <si>
    <t>КТП-6/0,4кВ № 109 Сакулино</t>
  </si>
  <si>
    <t>п.Труд</t>
  </si>
  <si>
    <t>КТП-6/0,4кВ № 110 п.Труд</t>
  </si>
  <si>
    <t>КТП-6/0,4кВ № 111 Туб.санаторий 1</t>
  </si>
  <si>
    <t>ЗТП-6/0,4кВ № 113Туб.санаторий 3</t>
  </si>
  <si>
    <t>Андрианово</t>
  </si>
  <si>
    <t>КТП-6/0,4кВ № 114 Андрианово-1</t>
  </si>
  <si>
    <t>КТП-6/0,4кВ № 612 Андрианово 2</t>
  </si>
  <si>
    <t>Пепелышево</t>
  </si>
  <si>
    <t>КТП-6/0,4кВ № 105 Пепелышево</t>
  </si>
  <si>
    <t>КТП 10/0,4кВ № 255 Сен.сарай</t>
  </si>
  <si>
    <t>ЗТП-10/0,4кВ № 261 КНС</t>
  </si>
  <si>
    <t>Эммаус</t>
  </si>
  <si>
    <t>ЗТП-10/0,4кВ № 268 Школа-интернат 1</t>
  </si>
  <si>
    <t>КТП 10/0,4кВ № 270 Эммаус Коттеджи</t>
  </si>
  <si>
    <t>КТП 10/0,4кВ № 273 Эммаус м.мастерские</t>
  </si>
  <si>
    <t>ЗТП-10/0.4кВ № 286  Жил.дом</t>
  </si>
  <si>
    <t>КТП 10/0,4кВ № 241 п.Эммаус</t>
  </si>
  <si>
    <t>КТП 10/0,4кВ № 260 кафе Березка</t>
  </si>
  <si>
    <t>КТП 10/0,4кВ № 278 с.Эммаус</t>
  </si>
  <si>
    <t>Пасынково</t>
  </si>
  <si>
    <t>КТП 10/0,4кВ № 245 Пасынково ферма</t>
  </si>
  <si>
    <t>КТП 10/0,4кВ № 247 Перекачка</t>
  </si>
  <si>
    <t>КТП-10/0,4кВ № 248 Горохово</t>
  </si>
  <si>
    <t>ЗТП-10/0,4кВ № 262 жил.зона</t>
  </si>
  <si>
    <t>ЗТП-10/0,4кВ № 263 Клуб</t>
  </si>
  <si>
    <t>ЗТП-10/0,4кВ № 264 Школа</t>
  </si>
  <si>
    <t>ЗТП-10/0,4кВ № 266 Геологи</t>
  </si>
  <si>
    <t>КТП 10/0,4кВ № 246 Перекачка</t>
  </si>
  <si>
    <t>Каленовка</t>
  </si>
  <si>
    <t>КТП 10/0,4кВ № 249 Каленовка</t>
  </si>
  <si>
    <t>Прибытково</t>
  </si>
  <si>
    <t>КТП-10/0,4кВ № 250 Прибытково</t>
  </si>
  <si>
    <t>КТП 10/0,4кВ № 596 Губино</t>
  </si>
  <si>
    <t>Бортниково</t>
  </si>
  <si>
    <t>ЗТП-10/0,4кВ № 613 Бортниково коттеджи</t>
  </si>
  <si>
    <t>КТП-10/0,4кВ № 214 Андрейково м.мастерск</t>
  </si>
  <si>
    <t>Бирюлино</t>
  </si>
  <si>
    <t>КТП-10/0,4кВ № 220 Бирюлино</t>
  </si>
  <si>
    <t>Симоново</t>
  </si>
  <si>
    <t>МТП-10/0,4кВ № 221 Симоново</t>
  </si>
  <si>
    <t>Греблево</t>
  </si>
  <si>
    <t>КТП-10/0,4кВ № 222 Греблево</t>
  </si>
  <si>
    <t>КТП-10/0,4кВ № 223 Кольцово</t>
  </si>
  <si>
    <t>Коровино</t>
  </si>
  <si>
    <t>КТП 10/0,4кВ № 845 Коровино</t>
  </si>
  <si>
    <t>Ременицы</t>
  </si>
  <si>
    <t>МТП-10/0,4кВ № 846 Ременицы</t>
  </si>
  <si>
    <t>Кудрявцево</t>
  </si>
  <si>
    <t>КТП 10/0,4кВ № 847 Кудрявцево</t>
  </si>
  <si>
    <t>Старенькое</t>
  </si>
  <si>
    <t>КТП 10/0,4кВ № 848 Старенькое</t>
  </si>
  <si>
    <t>Ю-Девичье</t>
  </si>
  <si>
    <t>КТП 10/0,4кВ № 849 Ю-Девичье ферма</t>
  </si>
  <si>
    <t>Высоково,Трясцино,Медвед</t>
  </si>
  <si>
    <t>КТП 10/0,4 № 850 Высоково,Трясцино,Медвед</t>
  </si>
  <si>
    <t>КТП 10/0,4кВ № 852 Ед.Горки 1</t>
  </si>
  <si>
    <t>Едимоново</t>
  </si>
  <si>
    <t>КТП 10/0,4кВ № 854 Едимново 1 деревня</t>
  </si>
  <si>
    <t>КТП 10/0,4кВ № 855 Едимново 2 ж.дома</t>
  </si>
  <si>
    <t>КТП 10/0,4кВ № 857 Ю-Девичье комплекс</t>
  </si>
  <si>
    <t>ЗТП-10/0,4кВ № 858 Ю-Девичье ж.зона</t>
  </si>
  <si>
    <t>ЗТП-10/0,4кВ № 859 Ю-Девичье котельная</t>
  </si>
  <si>
    <t>КТП 10/0,4кВ № 860 М.мастерские</t>
  </si>
  <si>
    <t>ЗТП-10/0,4кВ № 861 Ю-Девичье оч.сооруж</t>
  </si>
  <si>
    <t>КТП 10/0,4кВ № 862 Молзавод</t>
  </si>
  <si>
    <t>КТП 10/0,4кВ № 863 Заборовье 1</t>
  </si>
  <si>
    <t>КТП 10/0,4кВ № 864 Заборовье 2</t>
  </si>
  <si>
    <t>Юрятино</t>
  </si>
  <si>
    <t>КТП 10/0,4кВ № 865 Юрятино 1</t>
  </si>
  <si>
    <t>КТП 10/0,4кВ № 866 Осинки-Загорье</t>
  </si>
  <si>
    <t>Осиновки</t>
  </si>
  <si>
    <t>КТП 10/0,4кВ № 867 Осинки</t>
  </si>
  <si>
    <t>КТП 10/0,4кВ № 868 Новенькое</t>
  </si>
  <si>
    <t>Орешково</t>
  </si>
  <si>
    <t>КТП 10/0,4кВ № 869 Орешково</t>
  </si>
  <si>
    <t>КТП 10/0,4кВ № 870 Кузьминское</t>
  </si>
  <si>
    <t>Глинники</t>
  </si>
  <si>
    <t>КТП 10кВ № 871 Глинники 1</t>
  </si>
  <si>
    <t>Бабня</t>
  </si>
  <si>
    <t>КТП 10кВ № 874 Бабня кот.</t>
  </si>
  <si>
    <t>КТП 10/0,4кВ № 875 Бабня</t>
  </si>
  <si>
    <t>КТП 10/0,4кВ № 876 Андрейцево</t>
  </si>
  <si>
    <t>Сурсово</t>
  </si>
  <si>
    <t>КТП 10/0,4кВ № 877 Сурсово</t>
  </si>
  <si>
    <t>Чуприяновка</t>
  </si>
  <si>
    <t>КТП 10/0,4кВ № 226 Лыжная база</t>
  </si>
  <si>
    <t>КТП 10/0,4кВ № 227 ст.Чуприяновка</t>
  </si>
  <si>
    <t>КТП 10/0,4кВ № 228 Чуприяновка поселок</t>
  </si>
  <si>
    <t>КТП 10/0,4кВ № 237 ул. Речная</t>
  </si>
  <si>
    <t>ЗТП-10/0,4кВ № 240 ДСПМК</t>
  </si>
  <si>
    <t>КТП 10/0,4кВ № 277 Конезавод</t>
  </si>
  <si>
    <t>КТП 10/0,4кВ № 594 Коттеджи</t>
  </si>
  <si>
    <t>КТП 10/0,4кВ № 570 Курово</t>
  </si>
  <si>
    <t>КТП 10/0,4кВ № 572 Кашенцево-Сакулино</t>
  </si>
  <si>
    <t>Троица</t>
  </si>
  <si>
    <t>КТП 10/0,4кВ № 573 Троица-1</t>
  </si>
  <si>
    <t>КТП 10/0,4кВ № 574 Крутые Горки</t>
  </si>
  <si>
    <t>КТП-10/0,4кВ № 818 Никольское ЗСП</t>
  </si>
  <si>
    <t>КТП-10/0,4кВ № 819 Никольское</t>
  </si>
  <si>
    <t>КТП-10/0,4кВ № 820 Никольское ферма</t>
  </si>
  <si>
    <t>Осипово</t>
  </si>
  <si>
    <t>КТП-10/0,4кВ № 821 Осипово</t>
  </si>
  <si>
    <t>Харитоново</t>
  </si>
  <si>
    <t>КТП-10/0,4кВ № 822 Харитоново 1</t>
  </si>
  <si>
    <t>КТП-10/0,4кВ № 823 Харитоново 2</t>
  </si>
  <si>
    <t>КТП-10/0,4кВ № 824 Акулово</t>
  </si>
  <si>
    <t>Мерилово</t>
  </si>
  <si>
    <t>КТП-100,4кВ № 825 Мерилово</t>
  </si>
  <si>
    <t>Перетрусово</t>
  </si>
  <si>
    <t>КТП-10/0,4кВ № 826 Перетрусово</t>
  </si>
  <si>
    <t>Пушкино</t>
  </si>
  <si>
    <t>МТП-10/0,4кВ № 1088 Пушкино-1</t>
  </si>
  <si>
    <t>Прокофьево</t>
  </si>
  <si>
    <t>ЗТП-10/0,4кВ № 1090 Прокофьево ЗСП</t>
  </si>
  <si>
    <t>ЗТП-10/0,4кВ № 1091 Пушкино-2</t>
  </si>
  <si>
    <t>Селино</t>
  </si>
  <si>
    <t>КТП-10/0,4кВ № 1082 Селино</t>
  </si>
  <si>
    <t>Трояново</t>
  </si>
  <si>
    <t>КТПП-10/0,4кВ № 1083 Трояново</t>
  </si>
  <si>
    <t>Арисково</t>
  </si>
  <si>
    <t>МТП-10/0,4кВ № 1084 Арисково</t>
  </si>
  <si>
    <t>Квакшино</t>
  </si>
  <si>
    <t>КТП-10/0,4кВ № 1085 Олимпийская деревня</t>
  </si>
  <si>
    <t>Починки</t>
  </si>
  <si>
    <t>ЗТП-10/0,4кВ № 1086 Починки</t>
  </si>
  <si>
    <t>Иванцево</t>
  </si>
  <si>
    <t>ЗТП-10/0,4кВ № 1087 Иванцево</t>
  </si>
  <si>
    <t>СТП-10/0,4кВ №1140 Князево</t>
  </si>
  <si>
    <t>ЗТП-10/0,4кВ № 958 Тургиново-1</t>
  </si>
  <si>
    <t>ЗТП-10/0,4кВ № 959 Больница</t>
  </si>
  <si>
    <t>Брыково</t>
  </si>
  <si>
    <t>КТП-10/0,4кВ № 960 Брыково</t>
  </si>
  <si>
    <t>Погорелово</t>
  </si>
  <si>
    <t>КТП-10/0,4кВ № 961 Погорелово</t>
  </si>
  <si>
    <t>КТП-10/0,4кВ № 962 Поминово</t>
  </si>
  <si>
    <t>Костьково</t>
  </si>
  <si>
    <t>КТП-10/0,4кВ № 963 Костьково</t>
  </si>
  <si>
    <t>Головачево</t>
  </si>
  <si>
    <t>КТП-10/0,4кВ № 965 Головачево</t>
  </si>
  <si>
    <t>Дудино</t>
  </si>
  <si>
    <t>МТП-10/0,4кВ № 966 Дудино</t>
  </si>
  <si>
    <t>Ганьково</t>
  </si>
  <si>
    <t>КТП-10/0,4кВ № 967 Ганьково-2</t>
  </si>
  <si>
    <t>КТП-10/0,4кВ № 968 Большие Горки поселок</t>
  </si>
  <si>
    <t>МТП-10/0,4кВ № 971 Большие Горки деревни</t>
  </si>
  <si>
    <t>Пенчино</t>
  </si>
  <si>
    <t>КТП-10/0,4кВ № 972 Пенчино</t>
  </si>
  <si>
    <t>МТП-10/0,4кВ № 973 Савино</t>
  </si>
  <si>
    <t>Зинцово</t>
  </si>
  <si>
    <t>КТП-10/0,4кВ № 974 Зинцово</t>
  </si>
  <si>
    <t>Бреднево</t>
  </si>
  <si>
    <t>МТП-10/0,4кВ № 975 Бреднево</t>
  </si>
  <si>
    <t>Ферязкино</t>
  </si>
  <si>
    <t>КТП-10/0,4кВ № 976 Ферязкино</t>
  </si>
  <si>
    <t>КТП-10/0,4кВ № 977 Ферязкино-2</t>
  </si>
  <si>
    <t>Ельзово</t>
  </si>
  <si>
    <t>КТП-10/0,4кВ № 978 Ельзово</t>
  </si>
  <si>
    <t>КТП-10/0,4кВ № 979 Ельзово-2</t>
  </si>
  <si>
    <t>Якунино</t>
  </si>
  <si>
    <t>КТП-10/0,4кВ № 980 Якунино</t>
  </si>
  <si>
    <t xml:space="preserve">КТП-10/0,4кВ № 936 Бережки </t>
  </si>
  <si>
    <t>Дмитрово</t>
  </si>
  <si>
    <t>МТП-10/0,4кВ № 937 Дмитрово</t>
  </si>
  <si>
    <t>КТП-10/0,4кВ № 938 Гришкино</t>
  </si>
  <si>
    <t>Зеленцыно</t>
  </si>
  <si>
    <t>КТП-10/0,4кВ № 939 Зеленцыно</t>
  </si>
  <si>
    <t>Курьяново</t>
  </si>
  <si>
    <t>МТП-10/0,4кВ № 939/1 Курьяново</t>
  </si>
  <si>
    <t>Мелечкино</t>
  </si>
  <si>
    <t>ЗТП-10/0,4кВ № 935 Мелечкино ЖК</t>
  </si>
  <si>
    <t>Рогозино</t>
  </si>
  <si>
    <t>МТП-10/0,4кВ № 919 Рогозино</t>
  </si>
  <si>
    <t>МТП-10/0,4кВ № 920 Калистово</t>
  </si>
  <si>
    <t>Панино</t>
  </si>
  <si>
    <t>КТП-10/0,4кВ № 921 Панино</t>
  </si>
  <si>
    <t>Лели</t>
  </si>
  <si>
    <t>МТП-10/0,4кВ № 922 Лели</t>
  </si>
  <si>
    <t>КТП-10/0,4кВ № 923 Водокачка</t>
  </si>
  <si>
    <t>Троицкое</t>
  </si>
  <si>
    <t>МТП-10/0,4кВ № 924 Троицкое</t>
  </si>
  <si>
    <t>КТП-10/0,4кВ № 925 Новенькое</t>
  </si>
  <si>
    <t>Пестово</t>
  </si>
  <si>
    <t>КТП-10/0,4кВ № 926 Пестово</t>
  </si>
  <si>
    <t>Ремязино</t>
  </si>
  <si>
    <t>МТП-10/0,4кВ № 927 Ремязино</t>
  </si>
  <si>
    <t>Климтино</t>
  </si>
  <si>
    <t>КТП-10/0,4кВ № 928 Климтино</t>
  </si>
  <si>
    <t>Дуденцы</t>
  </si>
  <si>
    <t>МТП-10/0,4кВ № 929 Дуденцы</t>
  </si>
  <si>
    <t>КТП-10/0,4кВ № 930 Мал. Горки</t>
  </si>
  <si>
    <t>КТП-10/0,4кВ № 931 Ананьино-Писково</t>
  </si>
  <si>
    <t>Медвежье</t>
  </si>
  <si>
    <t>МТП-10/0,4кВ № 901 Медвежье</t>
  </si>
  <si>
    <t>Шипулино</t>
  </si>
  <si>
    <t>КТП-10/0,4кВ № 902 Шипулино</t>
  </si>
  <si>
    <t>Фефелово</t>
  </si>
  <si>
    <t>МТП-10/0,4кВ № 903 Фефелово</t>
  </si>
  <si>
    <t>КТП-10/0,4кВ № 904 М. Селище</t>
  </si>
  <si>
    <t>Львово</t>
  </si>
  <si>
    <t>КТП-10/0,4кВ № 905 Львово</t>
  </si>
  <si>
    <t>Коробеино</t>
  </si>
  <si>
    <t>КТП-10/0,4кВ № 906 Коробеино</t>
  </si>
  <si>
    <t>Лукьяново</t>
  </si>
  <si>
    <t>МТП-10/0,4кВ № 907 Лукьяново-1</t>
  </si>
  <si>
    <t>МТП-10/0,4кВ № 908 Лукьяново-2</t>
  </si>
  <si>
    <t>КТП-10/0,4кВ № 909 Мелиоративная</t>
  </si>
  <si>
    <t>КТП-10/0,4кВ № 910 Бойково</t>
  </si>
  <si>
    <t>Желнино</t>
  </si>
  <si>
    <t>МТП-10/0,4кВ № 911 Желнино</t>
  </si>
  <si>
    <t>Излайлово</t>
  </si>
  <si>
    <t>МТП-10/0,4кВ № 912 Излайлово</t>
  </si>
  <si>
    <t>МТП-10/0,4кВ № 913 Гришкино</t>
  </si>
  <si>
    <t>Езвино</t>
  </si>
  <si>
    <t>КТП-10/0,4кВ № 914 Езвино поселок</t>
  </si>
  <si>
    <t>КТП-10/0,4кВ № 915 Езвино мастерские</t>
  </si>
  <si>
    <t>ЗТП-10/0,4кВ № 916 Езвино ЗСП</t>
  </si>
  <si>
    <t>КТП-10/0,4кВ № 917 Езвино карт.хр.</t>
  </si>
  <si>
    <t>КТП-10/0,4кВ № 918 Цветково-Шокорово</t>
  </si>
  <si>
    <t>КТП-10/0,4кВ № 941 Красная Горка</t>
  </si>
  <si>
    <t>КТП-10/0,4кВ № 942 Садовая</t>
  </si>
  <si>
    <t>КТП-10/0,4кВ № 943 Мелечкино-3</t>
  </si>
  <si>
    <t>КТП-10/0,4кВ № 944 Мелечкино клуб</t>
  </si>
  <si>
    <t>ЗТП-10/0,4кВ № 945 Мелечкино ЗСП</t>
  </si>
  <si>
    <t>КТП-10/0,4кВ № 946 Мелечкино АВМ</t>
  </si>
  <si>
    <t>ЗТП-10/0,4кВ № 947 Мелечкино-1</t>
  </si>
  <si>
    <t>Астафьево</t>
  </si>
  <si>
    <t>КТП-10/0,4кВ № 948 Астафьево</t>
  </si>
  <si>
    <t>Непеино</t>
  </si>
  <si>
    <t>МТП-10/0,4кВ № 949 Непеино</t>
  </si>
  <si>
    <t>МТП-10/0,4кВ № 950 Большое Селище</t>
  </si>
  <si>
    <t>Устиново</t>
  </si>
  <si>
    <t>МТП-10/0,4кВ № 951 Устиново</t>
  </si>
  <si>
    <t>Бордино</t>
  </si>
  <si>
    <t>КТП-10/0,4кВ № 952 Бордино</t>
  </si>
  <si>
    <t>МТП-10/0,4кВ № 953 Малое Селище</t>
  </si>
  <si>
    <t>Клеопино</t>
  </si>
  <si>
    <t>МТП-10/0,4кВ № 954 Клеопино</t>
  </si>
  <si>
    <t>Матвеевское</t>
  </si>
  <si>
    <t>МТП-10/0,4кВ № 955 Матвеевское</t>
  </si>
  <si>
    <t>Рябцево</t>
  </si>
  <si>
    <t>МТП-10/0,4кВ № 956 Рябцево</t>
  </si>
  <si>
    <t>Панигино</t>
  </si>
  <si>
    <t>КТП-10/0,4кВ № 957 Панигино-ферма</t>
  </si>
  <si>
    <t>КТП-10/0,4кВ № 940 Поселок энергетиков</t>
  </si>
  <si>
    <t>МТП-10/0,4кВ № 981 Тургиново-3 дет.сад</t>
  </si>
  <si>
    <t>КТП-10/0,4кВ № 982 Тургиново-4 ул. Новая</t>
  </si>
  <si>
    <t>КТП-10/0,4кВ № 983 Военное Лестничество</t>
  </si>
  <si>
    <t>ЗТП-10/0,4кВ № 986 Школа</t>
  </si>
  <si>
    <t>КТП-10/0,4кВ № 987 Тургиново ферма</t>
  </si>
  <si>
    <t>КТП-10/0,4кВ № 988 Пилорама</t>
  </si>
  <si>
    <t>КТП-10/0,4кВ № 989 Мех.мастерские</t>
  </si>
  <si>
    <t>КТП-10/0,4кВ № 990 Заречье</t>
  </si>
  <si>
    <t>КТП-10/0,4кВ № 991 Сенажные башни</t>
  </si>
  <si>
    <t>ЗТП-10/0,4кВ № 992 Брыково ЖК</t>
  </si>
  <si>
    <t>МТП-10/0,4кВ № 993 Селино</t>
  </si>
  <si>
    <t>МТП-10/0,4кВ № 994 Синцово</t>
  </si>
  <si>
    <t>КТП-10/0,4кВ № 995 Долгая Пожня</t>
  </si>
  <si>
    <t>Койдиново</t>
  </si>
  <si>
    <t>КТП-10/0,4кВ № 996 Койдиново</t>
  </si>
  <si>
    <t>КТП-10/0,4кВ № 999 Брикетированные корма</t>
  </si>
  <si>
    <t>Рязаново</t>
  </si>
  <si>
    <t>МТП-10/0,4кВ № 1001 Рязаново</t>
  </si>
  <si>
    <t>Балаково</t>
  </si>
  <si>
    <t>МТП-10/0,4кВ № 1002 Балаково</t>
  </si>
  <si>
    <t>Лапино</t>
  </si>
  <si>
    <t>КТП-10/0,4кВ № 1003 Лапино</t>
  </si>
  <si>
    <t>Устье-Ламы</t>
  </si>
  <si>
    <t>МТП-10/0,4кВ № 1004 Устье-Ламы</t>
  </si>
  <si>
    <t>Малиновка</t>
  </si>
  <si>
    <t>КТП-10/0,4кВ № 1005 Малиновка</t>
  </si>
  <si>
    <t>МТП-10/0,4кВ № 1006 Новинки-1</t>
  </si>
  <si>
    <t>КТП-10/0,4кВ № 1007 Новинки-2</t>
  </si>
  <si>
    <t>КТП-10/0,4кВ № 1071 Савино-Федоровское</t>
  </si>
  <si>
    <t>МТП-10/0,4кВ № 1072 Рязаново</t>
  </si>
  <si>
    <t>КТП-10/0,4кВ № 1073 Львово-Котово-Марьино</t>
  </si>
  <si>
    <t>КТП-10/0,4кВ № 1074 Курово</t>
  </si>
  <si>
    <t>КТП-10/0,4кВ № 1075 Петровское свинарник</t>
  </si>
  <si>
    <t>КТП-10/0,4кВ № 1076 Петровское центр</t>
  </si>
  <si>
    <t>МТП-10/0,4кВ № 1077 Петровское деревня</t>
  </si>
  <si>
    <t>КТП-10/0,4кВ № 1078 Петровское поселок</t>
  </si>
  <si>
    <t>Кашино</t>
  </si>
  <si>
    <t>КТП-10/0,4кВ № 1079 Кашино</t>
  </si>
  <si>
    <t>Заовражье,Крюково</t>
  </si>
  <si>
    <t>КТП-10/0,4кВ № 1080 Заовражье-Крюково</t>
  </si>
  <si>
    <t>ЗТП 10/0,4кВ №5670</t>
  </si>
  <si>
    <t>ЗТП 10/0,4кВ №5671</t>
  </si>
  <si>
    <t>ЗТП 10/0,4кВ №5672</t>
  </si>
  <si>
    <t>Батино</t>
  </si>
  <si>
    <t>КТП 10/0,4кВ ТП № 675 Батино</t>
  </si>
  <si>
    <t>Домниково</t>
  </si>
  <si>
    <t>МТП-6/0,4кВ № 513 Домниково</t>
  </si>
  <si>
    <t>Иенево</t>
  </si>
  <si>
    <t>МТП-6/0,4кВ № 514 Иенево</t>
  </si>
  <si>
    <t>Гостилково</t>
  </si>
  <si>
    <t>МТП-10/0,4кВ № 460 Гостилково</t>
  </si>
  <si>
    <t>Ярково</t>
  </si>
  <si>
    <t>КТП 10/0,4кВ № 461 Ярково</t>
  </si>
  <si>
    <t>МТП-10/0,4кВ № 463 Змеево</t>
  </si>
  <si>
    <t>Гудково</t>
  </si>
  <si>
    <t>МТП-10/0,4кВ № 464 Гудково</t>
  </si>
  <si>
    <t>КТП 10/0,4кВ № 465 Заборовье</t>
  </si>
  <si>
    <t>Шутово</t>
  </si>
  <si>
    <t>КТП 10/0,4кВ № 467 Шутово</t>
  </si>
  <si>
    <t>Берглезово</t>
  </si>
  <si>
    <t>КТП 10/0,4кВ № 468 Берглезово</t>
  </si>
  <si>
    <t>Шернево</t>
  </si>
  <si>
    <t>МТП-10/0,4кВ № 469 Шернево</t>
  </si>
  <si>
    <t>Избрижье</t>
  </si>
  <si>
    <t>КТП 10/0,4кВ № 470 Избрижье</t>
  </si>
  <si>
    <t>КТП 10/0,4кВ № 471 Андреевское</t>
  </si>
  <si>
    <t>КТП 10/0,4кВ № 473 Андреевское ферма</t>
  </si>
  <si>
    <t>Култино</t>
  </si>
  <si>
    <t>КТП 10/0,4кВ № 476 Култино</t>
  </si>
  <si>
    <t>Гильнево</t>
  </si>
  <si>
    <t>КТП 10/0,4кВ № 477 Гильнево</t>
  </si>
  <si>
    <t>КТП 10/0,4кВ № 480 Борки ЗСП</t>
  </si>
  <si>
    <t>ЗТП-10/0,4кВ № 481 Борки поселок</t>
  </si>
  <si>
    <t>Мухино-Городище</t>
  </si>
  <si>
    <t>КТП 10/0,4кВ № 459 Мухино-Городище</t>
  </si>
  <si>
    <t>КТП 10/0,4кВ № 484 Степаньково</t>
  </si>
  <si>
    <t>Чадово</t>
  </si>
  <si>
    <t>КТП 10/0,4кВ № 485 Чадово</t>
  </si>
  <si>
    <t>Дуденево</t>
  </si>
  <si>
    <t>КТП 10/0,4кВ № 486 Дуденево</t>
  </si>
  <si>
    <t>Дмитровское</t>
  </si>
  <si>
    <t>КТП 10/0,4кВ № 420 Дмитровское</t>
  </si>
  <si>
    <t>ЗТП-10/0,4кВ № 422 Дмитровское жил.зона</t>
  </si>
  <si>
    <t>Пустошка</t>
  </si>
  <si>
    <t>КТП 10/0,4кВ № 424 Пустошка</t>
  </si>
  <si>
    <t>Серьговское</t>
  </si>
  <si>
    <t>МТП-10/0,4кВ № 425 Серьговское</t>
  </si>
  <si>
    <t>Стешево-Шапкино</t>
  </si>
  <si>
    <t>МТП-10/0,4кВ № 426 Стешево-Шапкино</t>
  </si>
  <si>
    <t>Полустово</t>
  </si>
  <si>
    <t>МТП-10/0,4кВ № 415 Полустово</t>
  </si>
  <si>
    <t>Букарево</t>
  </si>
  <si>
    <t>КТП 10/0,4кВ № 418 Букарево</t>
  </si>
  <si>
    <t>КТП-10/0,4кВ № 832 Рождествено село</t>
  </si>
  <si>
    <t>Коробекино</t>
  </si>
  <si>
    <t>КТП 10/0,4кВ № 833 Коробекино</t>
  </si>
  <si>
    <t>Литвинцево</t>
  </si>
  <si>
    <t>КТП 10/0,4кВ № 834 Литвинцево</t>
  </si>
  <si>
    <t>Ведерня</t>
  </si>
  <si>
    <t>КТП 10/0.4кВ № 835 Ведерня</t>
  </si>
  <si>
    <t>Всехсвятское</t>
  </si>
  <si>
    <t>КТП 10/0,4кВ № 836 Всехсвятское</t>
  </si>
  <si>
    <t>Васильково</t>
  </si>
  <si>
    <t>КТП 10/0,4кВ № 837 Васильково</t>
  </si>
  <si>
    <t>КТП 10/0,4кВ № 839 Бортниково</t>
  </si>
  <si>
    <t>Анашкино</t>
  </si>
  <si>
    <t>КТП 10/0,4кВ № 840 Анашкино</t>
  </si>
  <si>
    <t>Хотмирово</t>
  </si>
  <si>
    <t>КТП 10/0,4кВ № 841 Хотмирово</t>
  </si>
  <si>
    <t>Новоселово</t>
  </si>
  <si>
    <t>КТП 10/0,4кВ № 843 Новоселово</t>
  </si>
  <si>
    <t>Быково,Тешелово</t>
  </si>
  <si>
    <t>КТП 10/0,4кВ № 844 Быково,Тешелово</t>
  </si>
  <si>
    <t>Тутань</t>
  </si>
  <si>
    <t>КТП 10/0,4кВ № 487 Тутань</t>
  </si>
  <si>
    <t>Тухинь</t>
  </si>
  <si>
    <t>КТП 10/0,4кВ № 488 Тухинь</t>
  </si>
  <si>
    <t>Федоткино</t>
  </si>
  <si>
    <t>МТП-10/0,4кВ № 489 Федоткино</t>
  </si>
  <si>
    <t>КТП 10/0,4кВ № 490 Михеево</t>
  </si>
  <si>
    <t>Кумардино</t>
  </si>
  <si>
    <t>КТП 10/0,4кВ № 491 Кумардино</t>
  </si>
  <si>
    <t>ЗТП-10/0,4кВ № 493 Кумардино столовая</t>
  </si>
  <si>
    <t>КТП 10/0,4кВ № 496 Кумардино поселок</t>
  </si>
  <si>
    <t>КТП 10/0,4кВ № 497 Кумардино село</t>
  </si>
  <si>
    <t>МТП-10/0,4кВ № 499 Иванцево</t>
  </si>
  <si>
    <t>Рождество</t>
  </si>
  <si>
    <t>КТП-10/0,4кВ № 500 Рождество</t>
  </si>
  <si>
    <t>Ивановское</t>
  </si>
  <si>
    <t>КТП 10/0.4кВ № 502 Ивановское</t>
  </si>
  <si>
    <t>КТП 10/0,4кВ № 503 Князево 2</t>
  </si>
  <si>
    <t>ЗТП-10/0,4кВ № 504 Князево 1</t>
  </si>
  <si>
    <t>Родионово</t>
  </si>
  <si>
    <t>МТП-10/0,4кВ № 505 Родионово</t>
  </si>
  <si>
    <t>Стренево</t>
  </si>
  <si>
    <t>МТП-10/0,4кВ № 528 Стренево</t>
  </si>
  <si>
    <t>Березино</t>
  </si>
  <si>
    <t>КТПП 10/0,4кВ № 1128 Карт.хран</t>
  </si>
  <si>
    <t>Сушково</t>
  </si>
  <si>
    <t>КТП 10/0,4кВ № 1129 Сушково</t>
  </si>
  <si>
    <t>КТП 10/0,4кВ № 1130 Березино-садовая</t>
  </si>
  <si>
    <t>ЗТП 10/0,4кВ № 1131 Мех.мастерские</t>
  </si>
  <si>
    <t>ЗТП 10/0,4кВ № 1132 Клуб</t>
  </si>
  <si>
    <t>160+100</t>
  </si>
  <si>
    <t>КТП 10/0,4кВ № 1133 Поселок</t>
  </si>
  <si>
    <t>КТП 10/0,4кВ № 1134 Березино-заречная</t>
  </si>
  <si>
    <t>Вашутино</t>
  </si>
  <si>
    <t>КТП 10/0,4кВ № 1135 Вашутино</t>
  </si>
  <si>
    <t>Ильинское</t>
  </si>
  <si>
    <t>КТПП 10/0,4кВ № 1116 Мех.мастерские</t>
  </si>
  <si>
    <t>КТП 10/0,4кВ № 1117 Вет.лечебница</t>
  </si>
  <si>
    <t>Яменское</t>
  </si>
  <si>
    <t>МТП 10/0,4кВ № 1118 Яменское</t>
  </si>
  <si>
    <t>КТП 10/0,4кВ № 1119 Лесная Поляна</t>
  </si>
  <si>
    <t>Вески</t>
  </si>
  <si>
    <t>КТП 10/0,4кВ № 1121 Вески</t>
  </si>
  <si>
    <t>КТП 10/0,4кВ № 1122 Яковлево</t>
  </si>
  <si>
    <t>Турово</t>
  </si>
  <si>
    <t>КТП 10/0,4кВ № 1123 Турово</t>
  </si>
  <si>
    <t>КТП 10/0,4кВ № 1124 Турово ферма</t>
  </si>
  <si>
    <t>МТП 10/0,4кВ № 1125 Алексеевское</t>
  </si>
  <si>
    <t>МТП 10/0,4кВ № 1126 Покровское-Поддубки</t>
  </si>
  <si>
    <t>КТП 10/0,4кВ № 1127 Ильинское-3</t>
  </si>
  <si>
    <t>Митенево</t>
  </si>
  <si>
    <t>КТП 10/0,4кВ № 1094 Митенево поселок</t>
  </si>
  <si>
    <t>ЗТП 10/0,4кВ № 1095 Котельная</t>
  </si>
  <si>
    <t>МТП 10/0,4кВ № 1096 Молокозавод</t>
  </si>
  <si>
    <t>Вахново</t>
  </si>
  <si>
    <t>КТП 10/0,4кВ № 1098 Вахново</t>
  </si>
  <si>
    <t>Люшино</t>
  </si>
  <si>
    <t>КТП 10/0,4кВ № 1099 Люшино</t>
  </si>
  <si>
    <t>Вологино</t>
  </si>
  <si>
    <t>КТП 10/0,4кВ № 1100 Вологино</t>
  </si>
  <si>
    <t>Ульяново</t>
  </si>
  <si>
    <t>КТП 10/0,4кВ № 1101 Ульяново-1</t>
  </si>
  <si>
    <t>Кошелево</t>
  </si>
  <si>
    <t>МТП 10/0,4кВ № 1102 Кошелево</t>
  </si>
  <si>
    <t>КТП 10/0,4кВ № 1103 Новое</t>
  </si>
  <si>
    <t>Нешарово</t>
  </si>
  <si>
    <t>КТП 10/0,4кВ № 1104 Нешарово</t>
  </si>
  <si>
    <t>Войлово</t>
  </si>
  <si>
    <t>МТП 10/0,4кВ № 1105 Войлово</t>
  </si>
  <si>
    <t>Пирогово</t>
  </si>
  <si>
    <t>МТП 10/0,4кВ № 1106 Пирогово</t>
  </si>
  <si>
    <t>Круплянка</t>
  </si>
  <si>
    <t>МТП 10/0,4кВ № 1113 Круплянка</t>
  </si>
  <si>
    <t>Шилово</t>
  </si>
  <si>
    <t>КТП 10/0,4кВ № 1114 Шилово</t>
  </si>
  <si>
    <t>ЗТП 10/0,4кВ № 1108 ЗСП</t>
  </si>
  <si>
    <t>ЗТП 10/0,4кВ № 1109 Нестерово деревня</t>
  </si>
  <si>
    <t>КТП 10/0,4кВ № 1110 Новый поселок</t>
  </si>
  <si>
    <t>Саматово</t>
  </si>
  <si>
    <t>КТП 10/0,4кВ № 1111 Саматово</t>
  </si>
  <si>
    <t>Федурино</t>
  </si>
  <si>
    <t>КТП 10/0,4кВ № 1112 Федурино</t>
  </si>
  <si>
    <t>КТП 10/0,4кВ № 1115 Федурино-2</t>
  </si>
  <si>
    <t>КТПП 10/0,4кВ № 1107 Нестерово ферма</t>
  </si>
  <si>
    <t>Сухарево</t>
  </si>
  <si>
    <t>КТПП 10/0,4кВ № 1136 Сухарево дет.сад</t>
  </si>
  <si>
    <t>КТП 10/0,4кВ № 1137 Сергеево-Титово</t>
  </si>
  <si>
    <t>МТП 10/0,4кВ № 1138 Солодилово-Волнино</t>
  </si>
  <si>
    <t xml:space="preserve">Конаковский </t>
  </si>
  <si>
    <t>ЗТП №3 10/0,4</t>
  </si>
  <si>
    <t>ЗТП №4  10/0,4</t>
  </si>
  <si>
    <t>ЗТП  10/0,4 Парковая</t>
  </si>
  <si>
    <t xml:space="preserve">ТП  10/0,4 Железнодорожная  </t>
  </si>
  <si>
    <t>д.Гаврилково</t>
  </si>
  <si>
    <t xml:space="preserve">КТП 10/0,4 Гаврилково ферма </t>
  </si>
  <si>
    <t>д.Клещево</t>
  </si>
  <si>
    <t xml:space="preserve">КТП  10/0,4 Клещево </t>
  </si>
  <si>
    <t>КТП  10/0,4 Текстильщик 3</t>
  </si>
  <si>
    <t>п.Н-Завидово</t>
  </si>
  <si>
    <t xml:space="preserve">СТП 10/0,4 Новая </t>
  </si>
  <si>
    <t xml:space="preserve">КТП 10/0,4 Селиверстово </t>
  </si>
  <si>
    <t>д.Тешилово</t>
  </si>
  <si>
    <t xml:space="preserve">КТП 10/0,4 Савино    </t>
  </si>
  <si>
    <t>д.Лазурная</t>
  </si>
  <si>
    <t xml:space="preserve">ЗТП 10/0,4 Мирный </t>
  </si>
  <si>
    <t xml:space="preserve">КТП 10/0,4 Лазурное    </t>
  </si>
  <si>
    <t xml:space="preserve">КТП 10/0,4 Фадеева     </t>
  </si>
  <si>
    <t xml:space="preserve">КТП 10/0,4 ВНИИФТРИ     </t>
  </si>
  <si>
    <t>КТП 6/0,4 Заготскот</t>
  </si>
  <si>
    <t xml:space="preserve">КТП 6/0,4 Некрасова </t>
  </si>
  <si>
    <t xml:space="preserve">МТП 6/0,4  Гараж   </t>
  </si>
  <si>
    <t xml:space="preserve">ЗТП 6/0,4 Пекарня   </t>
  </si>
  <si>
    <t>КТП 6/0,4  Фофаново</t>
  </si>
  <si>
    <t>КТП 6/0,4  Чайковского</t>
  </si>
  <si>
    <t xml:space="preserve">КТП 6/0,4  Жил зона </t>
  </si>
  <si>
    <t xml:space="preserve">МТП 6/0,4 Новая  </t>
  </si>
  <si>
    <t>д.Елдино</t>
  </si>
  <si>
    <t xml:space="preserve">КТП 6/0,4  Елдино   </t>
  </si>
  <si>
    <t xml:space="preserve">КТП 6/0,4  Елдино2   </t>
  </si>
  <si>
    <t xml:space="preserve">КТП 6/0,4 Стеклодувная </t>
  </si>
  <si>
    <t>д.Концово</t>
  </si>
  <si>
    <t xml:space="preserve">КТП 6/0,4 Концово   </t>
  </si>
  <si>
    <t xml:space="preserve">КТП 6/0,4 Больница     </t>
  </si>
  <si>
    <t xml:space="preserve">КТП 6/0,4 Библиотека    </t>
  </si>
  <si>
    <t xml:space="preserve">КТП 6/0,4 База РЭС     </t>
  </si>
  <si>
    <t>д.Павлюково</t>
  </si>
  <si>
    <t xml:space="preserve">ЗТП 6/0,4 Павлюково     </t>
  </si>
  <si>
    <t xml:space="preserve">КТП 6/0,4 Ферма     </t>
  </si>
  <si>
    <t>д.Кочедыково</t>
  </si>
  <si>
    <t xml:space="preserve">КТП 6/0,4 Кочедыково     </t>
  </si>
  <si>
    <t>д.Кабаново</t>
  </si>
  <si>
    <t xml:space="preserve">МТП 6/0,4  Кабаново     </t>
  </si>
  <si>
    <t>д.Шорново</t>
  </si>
  <si>
    <t xml:space="preserve">КТП 6/0,4 Шорново 2    </t>
  </si>
  <si>
    <t>ЗТП 6/0,4 Шорново 1</t>
  </si>
  <si>
    <t xml:space="preserve">ТП 6/0,4 Зерноток </t>
  </si>
  <si>
    <t xml:space="preserve">МТП 6/0,4 Пионерская     </t>
  </si>
  <si>
    <t xml:space="preserve">КТП 6/0,4  Дачная     </t>
  </si>
  <si>
    <t xml:space="preserve">КТП 6/0,4 Садовая     </t>
  </si>
  <si>
    <t xml:space="preserve">КТП 6/0,4 Свободы     </t>
  </si>
  <si>
    <t xml:space="preserve">ЗТП 6/0,4 СМУ-5     </t>
  </si>
  <si>
    <t>140+25</t>
  </si>
  <si>
    <t xml:space="preserve">КТП 6/0,4 Гаврилково   </t>
  </si>
  <si>
    <t xml:space="preserve">ЗТП 6/0,4 ДРСУ-4    </t>
  </si>
  <si>
    <t xml:space="preserve">КТП 6/0,4 Воен лесхоз   </t>
  </si>
  <si>
    <t xml:space="preserve">КТП 6/0,4 Народная  </t>
  </si>
  <si>
    <t xml:space="preserve"> ЗТП 6/0,4 СМУ-5 Жил сектор    </t>
  </si>
  <si>
    <t xml:space="preserve">ЗТП 6/0,4  Бытовая фетр фабрики     </t>
  </si>
  <si>
    <t xml:space="preserve">ЗТП 6/0,4 ДК </t>
  </si>
  <si>
    <t xml:space="preserve">КТП 6/0,4 Спортивный переулок     </t>
  </si>
  <si>
    <t xml:space="preserve">ЗТП 6/0,4  Фабр плет издел  </t>
  </si>
  <si>
    <t xml:space="preserve">КТП 6/0,4 Таежная    </t>
  </si>
  <si>
    <t xml:space="preserve">ЗТП 6/0,4 АБЗ </t>
  </si>
  <si>
    <t>320+250</t>
  </si>
  <si>
    <t xml:space="preserve">КТП 6/0,4 Комсомольская    </t>
  </si>
  <si>
    <t xml:space="preserve">ЗТП 6/0,4  Клуб </t>
  </si>
  <si>
    <t xml:space="preserve">КТП 6/0,4  снт Петушок </t>
  </si>
  <si>
    <t xml:space="preserve">МТП 6/0,4 снт Гранит </t>
  </si>
  <si>
    <t xml:space="preserve">КТП 6/0,4 НовМелково </t>
  </si>
  <si>
    <t xml:space="preserve">КТП 6/0,4 Московская    </t>
  </si>
  <si>
    <t xml:space="preserve">ЗТП 6/0,4  Турбаза  </t>
  </si>
  <si>
    <t xml:space="preserve">КТП 6/0,4  Мелково    </t>
  </si>
  <si>
    <t xml:space="preserve">КТП 10/0,4  Павельцево1  </t>
  </si>
  <si>
    <t>КТП 10/0,4  Павельцево 3</t>
  </si>
  <si>
    <t xml:space="preserve">КТП 10/0,4  Павельцево 2 </t>
  </si>
  <si>
    <t xml:space="preserve">КТПП 10/0,4  Павельцево 6 </t>
  </si>
  <si>
    <t xml:space="preserve">КТП 10/0,4  Бушмено     </t>
  </si>
  <si>
    <t xml:space="preserve">КТП10/0,4  Дорино 3  </t>
  </si>
  <si>
    <t xml:space="preserve">КТП 10/0,4 Дорино 4  </t>
  </si>
  <si>
    <t>КТП 10/0,4 Дорино  ферма</t>
  </si>
  <si>
    <t xml:space="preserve">КТП 10/0,4 Иваново </t>
  </si>
  <si>
    <t xml:space="preserve">КТП 10/0,4 Юрьево     </t>
  </si>
  <si>
    <t xml:space="preserve">КТП 6/0,4 Борцино  </t>
  </si>
  <si>
    <t xml:space="preserve">КТП 6/0,4 Огурцово </t>
  </si>
  <si>
    <t xml:space="preserve">КТП 6/0,4 Очистные сооружения </t>
  </si>
  <si>
    <t xml:space="preserve">КТП 6/0,4 Зверосовхоз (ферма) </t>
  </si>
  <si>
    <t xml:space="preserve">КТП 6/0,4 Водозабор </t>
  </si>
  <si>
    <t>400+250</t>
  </si>
  <si>
    <t>КТПП 6/0,4 Жил сектор 1</t>
  </si>
  <si>
    <t xml:space="preserve">КТПП 6/0,4 Жил сектор 2 </t>
  </si>
  <si>
    <t xml:space="preserve">КТП 6/0,4 Кормозавод 1 </t>
  </si>
  <si>
    <t xml:space="preserve">КТП 6/0,4 Кормозавод 2 </t>
  </si>
  <si>
    <t xml:space="preserve">ЗТП 6/0,4 Холодильник </t>
  </si>
  <si>
    <t xml:space="preserve">ЗТП 6/0,4 Финский холодильник </t>
  </si>
  <si>
    <t xml:space="preserve">КТП 6/0,4 УЭИВ </t>
  </si>
  <si>
    <t xml:space="preserve"> КТП 6/0,4 Остров    </t>
  </si>
  <si>
    <t xml:space="preserve">КТП 6/0,4 Брудергаузер     </t>
  </si>
  <si>
    <t xml:space="preserve"> КТП 6/0,4 Слобода     </t>
  </si>
  <si>
    <t xml:space="preserve"> КТП 6/0,4 Слобода 2    </t>
  </si>
  <si>
    <t xml:space="preserve"> КТП 6/0,4 Зверовод 1  </t>
  </si>
  <si>
    <t xml:space="preserve"> КТП 6/0,4 Зверовод 2  </t>
  </si>
  <si>
    <t>д.Безбородово</t>
  </si>
  <si>
    <t xml:space="preserve"> КТП 10/0,4 Бебородово  </t>
  </si>
  <si>
    <t xml:space="preserve"> КТП 10/0,4 Бебородовское охотхоз </t>
  </si>
  <si>
    <t>п.Мокшино</t>
  </si>
  <si>
    <t xml:space="preserve"> ЗТП 10/0,4 Мокшино бытовая  </t>
  </si>
  <si>
    <t xml:space="preserve">ЗТП 10/0,4 Хоз зона   </t>
  </si>
  <si>
    <t xml:space="preserve">ЗТП 10/0,4 Зона отдыха   </t>
  </si>
  <si>
    <t xml:space="preserve">КТП 10/0,4 АВМ  </t>
  </si>
  <si>
    <t xml:space="preserve">КТП 10/0,4 Городище   </t>
  </si>
  <si>
    <t xml:space="preserve">КТП 10/0,4 Первомайская ферма   </t>
  </si>
  <si>
    <t xml:space="preserve">КТП 10/0,4 Рябинки   </t>
  </si>
  <si>
    <t xml:space="preserve">КТП10/0,4 Шоша   </t>
  </si>
  <si>
    <t xml:space="preserve">КТП 10/0,4 Шуклово </t>
  </si>
  <si>
    <t xml:space="preserve">КТП 10/0,4 Терехова   </t>
  </si>
  <si>
    <t xml:space="preserve">КТП 10/0,4 Первомайское   </t>
  </si>
  <si>
    <t xml:space="preserve">КТП 10/0,4 Архангельское  </t>
  </si>
  <si>
    <t xml:space="preserve">БКТП 10/0,4 Архангельское  </t>
  </si>
  <si>
    <t xml:space="preserve">КТП 10/0,4 Вараксино  </t>
  </si>
  <si>
    <t xml:space="preserve">БКТП 10/0,4 Вараксино  </t>
  </si>
  <si>
    <t xml:space="preserve">КТП 10/0,4 Мокшино  </t>
  </si>
  <si>
    <t xml:space="preserve">КТП 10/0,4 Мокшино2  </t>
  </si>
  <si>
    <t xml:space="preserve">ТП №1 10/0,4 Инкубатор  </t>
  </si>
  <si>
    <t xml:space="preserve">КТП 10/0,4 База РЭС </t>
  </si>
  <si>
    <t xml:space="preserve">КТП 10/0,4 Демидово  </t>
  </si>
  <si>
    <t xml:space="preserve">ЗТП 10/0,4 Комплекс  </t>
  </si>
  <si>
    <t>85+250</t>
  </si>
  <si>
    <t>КТП 10/0,4 Шорного поселок ф</t>
  </si>
  <si>
    <t xml:space="preserve">КТП 10/0,4 Водозавод </t>
  </si>
  <si>
    <t xml:space="preserve">ЗТП 10/0,4 Котельная   </t>
  </si>
  <si>
    <t xml:space="preserve">КТП 10/0,4 Магазин  </t>
  </si>
  <si>
    <t xml:space="preserve">КТП 10/0,4 Борзова1   </t>
  </si>
  <si>
    <t xml:space="preserve">КТП 10/0,4 Борзова2   </t>
  </si>
  <si>
    <t xml:space="preserve">КТП 10/0,4 Гаутвинская слобода   </t>
  </si>
  <si>
    <t xml:space="preserve">КТП 10/0,4 Дмитрово   </t>
  </si>
  <si>
    <t xml:space="preserve">МТП 10/0,4 Стариково   </t>
  </si>
  <si>
    <t xml:space="preserve">КТП 6/0,4  Голениха   </t>
  </si>
  <si>
    <t xml:space="preserve">КТП 6/0,4 Мятлево   </t>
  </si>
  <si>
    <t xml:space="preserve">КТП 6/0,4 Городище   </t>
  </si>
  <si>
    <t xml:space="preserve">КТП 6/0,4  Миснево   </t>
  </si>
  <si>
    <t xml:space="preserve">КТП 6/0,4 Кузьменское АВМ  </t>
  </si>
  <si>
    <t xml:space="preserve">КТП 6/0,4 Кузьменское   </t>
  </si>
  <si>
    <t xml:space="preserve">КТП 6/0,4 Полукарпово   </t>
  </si>
  <si>
    <t xml:space="preserve">КТП 6/0,4 Ошурково  </t>
  </si>
  <si>
    <t xml:space="preserve">КТП 6/0,4 Новосеменовское   </t>
  </si>
  <si>
    <t xml:space="preserve">КТП 6/0,4 Коттеджи   </t>
  </si>
  <si>
    <t xml:space="preserve">КТП 6/0,4 Ст Семеновское   </t>
  </si>
  <si>
    <t xml:space="preserve">КТП 6/0,4 Ст Семеновское 2   </t>
  </si>
  <si>
    <t xml:space="preserve">КТП 6/0,4 Н Семеновское Ферма  </t>
  </si>
  <si>
    <t xml:space="preserve">КТП 6/0,4 Ведерня  </t>
  </si>
  <si>
    <t xml:space="preserve">МТП 6/0,4 База отдыха   </t>
  </si>
  <si>
    <t xml:space="preserve">КТП 6/0,4 Воскресенское   </t>
  </si>
  <si>
    <t xml:space="preserve">КТП 6/0,4 Алексино1   </t>
  </si>
  <si>
    <t xml:space="preserve">КТП 6/0,4 Алексино3 ст Волжанка   </t>
  </si>
  <si>
    <t>КТП Алексино4   ф15 п/с Алексино</t>
  </si>
  <si>
    <t xml:space="preserve">КТП 6/0,4 Алексино 5   </t>
  </si>
  <si>
    <t xml:space="preserve">КТП 6/0,4 Отроковичи   </t>
  </si>
  <si>
    <t xml:space="preserve">МТП 6/0,4 Горки   </t>
  </si>
  <si>
    <t xml:space="preserve">КТП 6/0,4  Коромыслово   </t>
  </si>
  <si>
    <t xml:space="preserve">КТП 6/0,4  Яблонька 2   </t>
  </si>
  <si>
    <t xml:space="preserve">КТП 6/0,4  Лукино   </t>
  </si>
  <si>
    <t xml:space="preserve">КТП 6/0,4 Межево   </t>
  </si>
  <si>
    <t xml:space="preserve">КТП 6/0,4 Меженино  </t>
  </si>
  <si>
    <t xml:space="preserve">КТПП 6/0,4 Кошелево быт  </t>
  </si>
  <si>
    <t xml:space="preserve">ЗТП 6/0,4 Семеновод комплекс   </t>
  </si>
  <si>
    <t xml:space="preserve">ЗТП 6/0,4 Котельная   </t>
  </si>
  <si>
    <t xml:space="preserve">МТП 6/0,4 Козлово   </t>
  </si>
  <si>
    <t xml:space="preserve">ЗТП 6/0,4 Школа   </t>
  </si>
  <si>
    <t xml:space="preserve">ЗТП 6/0,4 Мех мастерские </t>
  </si>
  <si>
    <t>с.Городня</t>
  </si>
  <si>
    <t xml:space="preserve">КТП 6/0,4 Береговая  </t>
  </si>
  <si>
    <t xml:space="preserve">КТП 6/0,4  Бугорок  </t>
  </si>
  <si>
    <t xml:space="preserve">КТП 6/0,4 Городня </t>
  </si>
  <si>
    <t xml:space="preserve">ЗТП 6/0,4 Городня бытовая  </t>
  </si>
  <si>
    <t xml:space="preserve">КТП 6/0,4 Жуковский поселок  </t>
  </si>
  <si>
    <t xml:space="preserve">ЗТП 6/0,4  №8   </t>
  </si>
  <si>
    <t xml:space="preserve">ЗТП 6/0,4  №11   </t>
  </si>
  <si>
    <t xml:space="preserve">ЗТП 6/0,4  №18   </t>
  </si>
  <si>
    <t xml:space="preserve">ЗТП 6/0,4  №3   </t>
  </si>
  <si>
    <t xml:space="preserve">ЗТП 6/0,4  №13   </t>
  </si>
  <si>
    <t xml:space="preserve">КТП 6/0,4 Повар люкс  </t>
  </si>
  <si>
    <t xml:space="preserve">ЗТП 6/0,4 Центральная усадьба   </t>
  </si>
  <si>
    <t xml:space="preserve">ЗТП 6/0,4 Турыгино   </t>
  </si>
  <si>
    <t xml:space="preserve">КТП 6/0,4 Заполок  </t>
  </si>
  <si>
    <t xml:space="preserve">КТП 6/0,4 Турыгино   </t>
  </si>
  <si>
    <t xml:space="preserve">КТП 6/0,4 Артемово   </t>
  </si>
  <si>
    <t xml:space="preserve">КТП 10/0,4 Плоски   </t>
  </si>
  <si>
    <t xml:space="preserve"> ЗТП 10/0,4 Вахонино 1   </t>
  </si>
  <si>
    <t xml:space="preserve">ЗТП 10/0,4  Вахонино 2   </t>
  </si>
  <si>
    <t xml:space="preserve">КТП 10/0,4 Вахонино 3   </t>
  </si>
  <si>
    <t xml:space="preserve"> КТП 10/0,4  Вахонино 4   </t>
  </si>
  <si>
    <t xml:space="preserve"> КТП 10/0,4 Искрино ферма   </t>
  </si>
  <si>
    <t xml:space="preserve"> КТП 10/0,4 Свердлово1   </t>
  </si>
  <si>
    <t xml:space="preserve">КТП 10/0,4 Свердлово2   </t>
  </si>
  <si>
    <t xml:space="preserve">КТП 10/0,4 АВМ </t>
  </si>
  <si>
    <t xml:space="preserve">КТПП 6/0,4 Новошино   </t>
  </si>
  <si>
    <t xml:space="preserve">КТП 6/0,4 Долинки   </t>
  </si>
  <si>
    <t xml:space="preserve">КТП 6/0,4 Чайбуха   </t>
  </si>
  <si>
    <t xml:space="preserve">КТП 6/0,4 Вахромеево   </t>
  </si>
  <si>
    <t xml:space="preserve">МТП 6/0,4 Гарбасево   </t>
  </si>
  <si>
    <t xml:space="preserve">КТП 10/0,4  КЭТ   </t>
  </si>
  <si>
    <t xml:space="preserve">КТПП 10/0,4 Сажино  </t>
  </si>
  <si>
    <t xml:space="preserve">КТПП 10/0,4 Сенаж башни   </t>
  </si>
  <si>
    <t xml:space="preserve">КТПП 10/0,4 №83 Мастерские   </t>
  </si>
  <si>
    <t xml:space="preserve">ЗТП 10/0,4 №84 Столовая   </t>
  </si>
  <si>
    <t xml:space="preserve">ЗТП 10/0,4  №178 Картофелехра- нилище   </t>
  </si>
  <si>
    <t>ЗТП №157  ф7 п/с Селихово</t>
  </si>
  <si>
    <t xml:space="preserve">ЗТП 10/0,4 №160 Клуб  </t>
  </si>
  <si>
    <t xml:space="preserve">КТП 10/0,4 Чублово   </t>
  </si>
  <si>
    <t xml:space="preserve">КТП 10/0,4 Селихово   </t>
  </si>
  <si>
    <t xml:space="preserve">МТП 10/0,4 Марьино   </t>
  </si>
  <si>
    <t xml:space="preserve">КТП 10/0,4 Филимоново   </t>
  </si>
  <si>
    <t xml:space="preserve">КТП 10/0,4 Поречье   </t>
  </si>
  <si>
    <t xml:space="preserve">КТП 10/0,4 Покровка   </t>
  </si>
  <si>
    <t xml:space="preserve">КТПП 10/0,4 Заречье №47   </t>
  </si>
  <si>
    <t>Селихово</t>
  </si>
  <si>
    <t xml:space="preserve">КТП 10/0,4 Насосная   </t>
  </si>
  <si>
    <t xml:space="preserve">КТПП 10/0,4 Семен завод   </t>
  </si>
  <si>
    <t xml:space="preserve">КТП 10/0,4 Сорокопенье  </t>
  </si>
  <si>
    <t xml:space="preserve">ЗТП 10/0,4 Верханово №158  </t>
  </si>
  <si>
    <t>630+530</t>
  </si>
  <si>
    <t xml:space="preserve">КТПП 10/0,4 165  Сенинское комплекс  </t>
  </si>
  <si>
    <t>КТП Сынково  ф7 п/с Дм Гора</t>
  </si>
  <si>
    <t xml:space="preserve">КТП 10/0,4 Пеньи </t>
  </si>
  <si>
    <t xml:space="preserve"> МТП 10/0,4 Красинское  </t>
  </si>
  <si>
    <t xml:space="preserve">МТП 10/0,4 Бараниково  </t>
  </si>
  <si>
    <t xml:space="preserve">ЗТП 10/0,4 №167 Животноводческий комплекс  </t>
  </si>
  <si>
    <t>250+215</t>
  </si>
  <si>
    <t>ЗТП №168 Котельная  ф7 п/с Дм Гора</t>
  </si>
  <si>
    <t>190+190</t>
  </si>
  <si>
    <t xml:space="preserve">КТП 10/0,4  Ботеново  </t>
  </si>
  <si>
    <t xml:space="preserve">КТП 10/0,4 Бол Ручьи </t>
  </si>
  <si>
    <t>Б.Деревня</t>
  </si>
  <si>
    <t xml:space="preserve">КТП 10/0,4 Бол деревня </t>
  </si>
  <si>
    <t xml:space="preserve">КТП 10/0,4 Дулово </t>
  </si>
  <si>
    <t xml:space="preserve">КТП 10/0,4 Ручеек 2 </t>
  </si>
  <si>
    <t>КТП 10/0,4 Дулово правая</t>
  </si>
  <si>
    <t xml:space="preserve">ЗТП 10/0,4 №172 Мех мастер </t>
  </si>
  <si>
    <t xml:space="preserve">ЗТП 10/0,4 №129 </t>
  </si>
  <si>
    <t xml:space="preserve">МТП 10/0,4 Домкино </t>
  </si>
  <si>
    <t xml:space="preserve">ЗТП 10/0,4 №130 </t>
  </si>
  <si>
    <t xml:space="preserve">КТП 10/0,4 Высоково </t>
  </si>
  <si>
    <t>КТП 10/0,4 Быстрово</t>
  </si>
  <si>
    <t xml:space="preserve">КТП 10/0,4 Архангельское </t>
  </si>
  <si>
    <t xml:space="preserve">КТП 10/0,4 Данилово </t>
  </si>
  <si>
    <t xml:space="preserve">КТП 10/0,4 Слобода </t>
  </si>
  <si>
    <t xml:space="preserve">КТП 10/0,4 Рябиково </t>
  </si>
  <si>
    <t xml:space="preserve">КТП 10/0,4 Обухово </t>
  </si>
  <si>
    <t xml:space="preserve">КТП 10/0,4 Мишино </t>
  </si>
  <si>
    <t xml:space="preserve">МТП 10/0,4 Уразово </t>
  </si>
  <si>
    <t xml:space="preserve">КТП 10/0,4 Спиридово </t>
  </si>
  <si>
    <t xml:space="preserve">КТП 10/0,4 Запрудье </t>
  </si>
  <si>
    <t xml:space="preserve">КТП 10/0,4  Никольское </t>
  </si>
  <si>
    <t xml:space="preserve"> КТП 10/0,4 Кувалдино </t>
  </si>
  <si>
    <t xml:space="preserve">КТП 10/0,4 Токарево </t>
  </si>
  <si>
    <t xml:space="preserve">КТПП 10/0,4  №166 </t>
  </si>
  <si>
    <t xml:space="preserve">ЗТП  10/0,4  №128 </t>
  </si>
  <si>
    <t>КТП  10/0,4 Крутец</t>
  </si>
  <si>
    <t>Ручьи</t>
  </si>
  <si>
    <t xml:space="preserve">ЗТП  10/0,4  №171 Школа </t>
  </si>
  <si>
    <t>250+75</t>
  </si>
  <si>
    <t xml:space="preserve"> КТП  10/0,4  Тарлаково </t>
  </si>
  <si>
    <t xml:space="preserve"> КТПП 10/0,4  №179 Картоф хранилище </t>
  </si>
  <si>
    <t>КТП  Ст Завражье ф16 п/с Дм Гора</t>
  </si>
  <si>
    <t xml:space="preserve">КТП  10/0,4 Юрьево </t>
  </si>
  <si>
    <t xml:space="preserve">КТП  10/0,4  Коровино </t>
  </si>
  <si>
    <t xml:space="preserve">МТП  10/0,4 Сенинское </t>
  </si>
  <si>
    <t xml:space="preserve">МТП 10/0,4 Колодкино </t>
  </si>
  <si>
    <t>МТП Н Завражье ф16 п/с Дм Гора</t>
  </si>
  <si>
    <t xml:space="preserve">КТП10/0,4 Новоселье </t>
  </si>
  <si>
    <t xml:space="preserve">КТП 10/0,4 Федоровское </t>
  </si>
  <si>
    <t xml:space="preserve">КТП  10/0,4 Юренево </t>
  </si>
  <si>
    <t xml:space="preserve">МТП 10/0,4 Юренево ЗСП </t>
  </si>
  <si>
    <t xml:space="preserve">КТП 10/0,4 Фролово </t>
  </si>
  <si>
    <t xml:space="preserve">КТПП 10/0,4 Юкос </t>
  </si>
  <si>
    <t xml:space="preserve">КТПП 10/0,4 Газсервис </t>
  </si>
  <si>
    <t xml:space="preserve">КТП 10/0,4   НИИПА </t>
  </si>
  <si>
    <t>Лихославльский</t>
  </si>
  <si>
    <t>КТП-10/0,4 кВ №028</t>
  </si>
  <si>
    <t>д.Пекши</t>
  </si>
  <si>
    <t>КТП-10/0,4 кВ №030</t>
  </si>
  <si>
    <t>д.Домантово</t>
  </si>
  <si>
    <t>КТП-10/0,4 кВ №031</t>
  </si>
  <si>
    <t>КТП-10/0,4 кВ №033</t>
  </si>
  <si>
    <t>КТП-10/0,4 кВ №034</t>
  </si>
  <si>
    <t>д.Кузовино</t>
  </si>
  <si>
    <t>КТП-10/0,4 кВ №035</t>
  </si>
  <si>
    <t>КТП-10/0,4 кВ №036</t>
  </si>
  <si>
    <t>КТПП-10/0,4 кВ №037</t>
  </si>
  <si>
    <t>180</t>
  </si>
  <si>
    <t>д.Терешкино</t>
  </si>
  <si>
    <t>КТП-10/0,4 кВ №038</t>
  </si>
  <si>
    <t>КТП-10/0,4 кВ №039</t>
  </si>
  <si>
    <t>д.Жерехово</t>
  </si>
  <si>
    <t>КТП-10/0,4 кВ №040</t>
  </si>
  <si>
    <t>КТП-10/0,4 кВ №041</t>
  </si>
  <si>
    <t>КТП-10/0,4 кВ №042</t>
  </si>
  <si>
    <t>КТП-10/0,4 кВ №044</t>
  </si>
  <si>
    <t>КТП-10/0,4 кВ №046</t>
  </si>
  <si>
    <t>КТП-10/0,4 кВ №047</t>
  </si>
  <si>
    <t>д.Овинное</t>
  </si>
  <si>
    <t>д.Анцифарово</t>
  </si>
  <si>
    <t>КТП-10/0,4 кВ №048</t>
  </si>
  <si>
    <t>КТПП-10/0,4 кВ №049</t>
  </si>
  <si>
    <t>КТП-10/0,4 кВ №050</t>
  </si>
  <si>
    <t>КТП-10/0,4 кВ №051</t>
  </si>
  <si>
    <t>д.Селезениха</t>
  </si>
  <si>
    <t>КТП-10/0,4 кВ №052</t>
  </si>
  <si>
    <t>КТП-10/0,4 кВ №053</t>
  </si>
  <si>
    <t>КТП-10/0,4 кВ №054</t>
  </si>
  <si>
    <t>д.Захарьино</t>
  </si>
  <si>
    <t>КТП-10/0,4 кВ №055</t>
  </si>
  <si>
    <t>д.Ершиха</t>
  </si>
  <si>
    <t>КТП-10/0,4 кВ №056</t>
  </si>
  <si>
    <t>д.Анжиково</t>
  </si>
  <si>
    <t>КТП-10/0,4 кВ №057</t>
  </si>
  <si>
    <t>КТП-10/0,4 кВ №004</t>
  </si>
  <si>
    <t>д.Барановка</t>
  </si>
  <si>
    <t>КТПП-10/0,4 кВ №005</t>
  </si>
  <si>
    <t>д.Чашково</t>
  </si>
  <si>
    <t>МТП-10/0,4 кВ №006</t>
  </si>
  <si>
    <t>д.Некрасиха</t>
  </si>
  <si>
    <t>МТП-10/0,4 кВ №007</t>
  </si>
  <si>
    <t>д.Бархатиха</t>
  </si>
  <si>
    <t>КТП-10/0,4 кВ №008</t>
  </si>
  <si>
    <t>КТП-10/0,4 кВ №009</t>
  </si>
  <si>
    <t>КТП-10/0,4 кВ №010</t>
  </si>
  <si>
    <t>КТП-10/0,4 кВ №011</t>
  </si>
  <si>
    <t>КТП-10/0,4 кВ №012</t>
  </si>
  <si>
    <t>д.Ермилиха</t>
  </si>
  <si>
    <t>КТП-10/0,4 кВ №013</t>
  </si>
  <si>
    <t>д.Затулки</t>
  </si>
  <si>
    <t>КТП-10/0,4 кВ №014</t>
  </si>
  <si>
    <t>КТП-10/0,4 кВ №015</t>
  </si>
  <si>
    <t>д.Никифариха</t>
  </si>
  <si>
    <t>КТП-10/0,4 кВ №016</t>
  </si>
  <si>
    <t>д.Крапивка</t>
  </si>
  <si>
    <t>КТП-10/0,4 кВ №017</t>
  </si>
  <si>
    <t>КТП-10/0,4 кВ №018</t>
  </si>
  <si>
    <t>д.Трещетинка</t>
  </si>
  <si>
    <t>КТП-10/0,4 кВ №019</t>
  </si>
  <si>
    <t>КТП-10/0,4 кВ №020</t>
  </si>
  <si>
    <t>КТП-10/0,4 кВ №021</t>
  </si>
  <si>
    <t>КТП-10/0,4 кВ №001</t>
  </si>
  <si>
    <t>КТПП-10/0,4 кВ №002</t>
  </si>
  <si>
    <t>с.Ильинское.</t>
  </si>
  <si>
    <t>КТП-10/0,4 кВ №003</t>
  </si>
  <si>
    <t>д.Олино</t>
  </si>
  <si>
    <t>КТП-10/0,4 кВ №022</t>
  </si>
  <si>
    <t>КТП-10/0,4 кВ №023</t>
  </si>
  <si>
    <t>д.Петрушкино</t>
  </si>
  <si>
    <t>КТП-10/0,4 кВ №024</t>
  </si>
  <si>
    <t>д.Губка</t>
  </si>
  <si>
    <t>КТП-10/0,4 кВ №025</t>
  </si>
  <si>
    <t>д.Алайково</t>
  </si>
  <si>
    <t>КТП-10/0,4 кВ №026</t>
  </si>
  <si>
    <t>д.Пятниха</t>
  </si>
  <si>
    <t>КТП-10/0,4 кВ №027</t>
  </si>
  <si>
    <t>КТП-10/0,4 кВ №058</t>
  </si>
  <si>
    <t>д.Рычково</t>
  </si>
  <si>
    <t>КТП-10/0,4 кВ №059</t>
  </si>
  <si>
    <t>КТП-10/0,4 кВ №060</t>
  </si>
  <si>
    <t>д.Виноколы</t>
  </si>
  <si>
    <t>МТП-10/0,4 кВ №061</t>
  </si>
  <si>
    <t>д.Никифарово</t>
  </si>
  <si>
    <t>КТП-10/0,4 кВ №062</t>
  </si>
  <si>
    <t>д.Афанасово</t>
  </si>
  <si>
    <t>КТП-10/0,4 кВ №063</t>
  </si>
  <si>
    <t>д.Васиха</t>
  </si>
  <si>
    <t>КТП-10/0,4 кВ №064</t>
  </si>
  <si>
    <t>КТП-10/0,4 кВ №065</t>
  </si>
  <si>
    <t>д.Ивашиха</t>
  </si>
  <si>
    <t>КТП-10/0,4 кВ №066</t>
  </si>
  <si>
    <t>КТП-10/0,4 кВ №067</t>
  </si>
  <si>
    <t>д.Старокарельское</t>
  </si>
  <si>
    <t>КТП-10/0,4 кВ №068</t>
  </si>
  <si>
    <t>д.Хмельники</t>
  </si>
  <si>
    <t>КТП-10/0,4 кВ №069</t>
  </si>
  <si>
    <t>д.Городилово</t>
  </si>
  <si>
    <t>КТП-10/0,4 кВ №070</t>
  </si>
  <si>
    <t>п.Крючково</t>
  </si>
  <si>
    <t>КТПП-10/0,4 кВ №071</t>
  </si>
  <si>
    <t>д.Крючково</t>
  </si>
  <si>
    <t>КТП-10/0,4 кВ №072</t>
  </si>
  <si>
    <t>ЗТП-10/0,4 кВ №073</t>
  </si>
  <si>
    <t>д.Лочкино</t>
  </si>
  <si>
    <t>КТП-10/0,4 кВ №074</t>
  </si>
  <si>
    <t>д.Ожирово</t>
  </si>
  <si>
    <t>КТП-10/0,4 кВ №075</t>
  </si>
  <si>
    <t>д.Вески</t>
  </si>
  <si>
    <t>КТП-10/0,4 кВ №076</t>
  </si>
  <si>
    <t>ЗТП-10/0,4 кВ №077</t>
  </si>
  <si>
    <t>КТПП-10/0,4 кВ №078</t>
  </si>
  <si>
    <t>КТП-10/0,4 кВ №079</t>
  </si>
  <si>
    <t>КТПП-10/0,4 кВ №080</t>
  </si>
  <si>
    <t>д.Долганово</t>
  </si>
  <si>
    <t>КТП-10/0,4 кВ №081</t>
  </si>
  <si>
    <t>д.Колмодворка</t>
  </si>
  <si>
    <t>КТП-10/0,4 кВ №082</t>
  </si>
  <si>
    <t>КТП-10/0,4 кВ №083</t>
  </si>
  <si>
    <t>КТП-10/0,4 кВ №084</t>
  </si>
  <si>
    <t>КТП-10/0,4 кВ №085</t>
  </si>
  <si>
    <t>КТП-10/0,4 кВ №086</t>
  </si>
  <si>
    <t>КТП-10/0,4 кВ №089</t>
  </si>
  <si>
    <t>КТП-10/0,4 кВ №090</t>
  </si>
  <si>
    <t>д.Горохово</t>
  </si>
  <si>
    <t>д.Любимовка</t>
  </si>
  <si>
    <t>КТП-10/0,4 кВ №091</t>
  </si>
  <si>
    <t>д.Дворище</t>
  </si>
  <si>
    <t>КТП-10/0,4 кВ №092</t>
  </si>
  <si>
    <t>д.Дубниха</t>
  </si>
  <si>
    <t>КТП-10/0,4 кВ №093</t>
  </si>
  <si>
    <t>КТП-10/0,4 кВ №094</t>
  </si>
  <si>
    <t>КТП-10/0,4 кВ №095</t>
  </si>
  <si>
    <t>КТП-10/0,4 кВ №096</t>
  </si>
  <si>
    <t>КТП-10/0,4 кВ №097</t>
  </si>
  <si>
    <t>КТП-10/0,4 кВ №098</t>
  </si>
  <si>
    <t>д.Ломовое</t>
  </si>
  <si>
    <t>КТП-10/0,4 кВ №099</t>
  </si>
  <si>
    <t>д.Трофимки</t>
  </si>
  <si>
    <t>КТП-10/0,4 кВ №100</t>
  </si>
  <si>
    <t>КТП-10/0,4 кВ №101</t>
  </si>
  <si>
    <t>КТП-10/0,4 кВ №102</t>
  </si>
  <si>
    <t>д.Мяммино</t>
  </si>
  <si>
    <t>КТП-10/0,4 кВ №103</t>
  </si>
  <si>
    <t>д.Залазино</t>
  </si>
  <si>
    <t>КТП-10/0,4 кВ №104</t>
  </si>
  <si>
    <t>КТП-10/0,4 кВ №105</t>
  </si>
  <si>
    <t>д.Ананкино</t>
  </si>
  <si>
    <t>КТП-10/0,4 кВ №106</t>
  </si>
  <si>
    <t>КТП-10/0,4 кВ №107</t>
  </si>
  <si>
    <t>КТП-10/0,4 кВ №108</t>
  </si>
  <si>
    <t>КТП-10/0,4 кВ №109</t>
  </si>
  <si>
    <t>д.Волхово</t>
  </si>
  <si>
    <t>КТП-10/0,4 кВ №110</t>
  </si>
  <si>
    <t>КТП-10/0,4 кВ №111</t>
  </si>
  <si>
    <t>д.Кузьмиха</t>
  </si>
  <si>
    <t>КТП-10/0,4 кВ №112</t>
  </si>
  <si>
    <t>КТП-10/0,4 кВ №113</t>
  </si>
  <si>
    <t>с.Толмачи</t>
  </si>
  <si>
    <t>КТП-10/0,4 кВ №114</t>
  </si>
  <si>
    <t>КТП-10/0,4 кВ №115</t>
  </si>
  <si>
    <t>д.Павлово</t>
  </si>
  <si>
    <t>КТП-10/0,4 кВ №116</t>
  </si>
  <si>
    <t>д.Митецкое</t>
  </si>
  <si>
    <t>КТП-10/0,4 кВ №117</t>
  </si>
  <si>
    <t>д.Пальцевка</t>
  </si>
  <si>
    <t>КТП-10/0,4 кВ №118</t>
  </si>
  <si>
    <t>МТП-10/0,4 кВ №119</t>
  </si>
  <si>
    <t>д.Шейново</t>
  </si>
  <si>
    <t>КТП-10/0,4 кВ №120</t>
  </si>
  <si>
    <t>д.Маханы</t>
  </si>
  <si>
    <t>КТП-10/0,4 кВ №121</t>
  </si>
  <si>
    <t>д.Мухреево</t>
  </si>
  <si>
    <t>КТП-10/0,4 кВ №122</t>
  </si>
  <si>
    <t>КТП-10/0,4 кВ №123</t>
  </si>
  <si>
    <t>КТП-10/0,4 кВ №124</t>
  </si>
  <si>
    <t>КТП-10/0,4 кВ №125</t>
  </si>
  <si>
    <t>КТП-10/0,4 кВ №126</t>
  </si>
  <si>
    <t>КТП-10/0,4 кВ №127</t>
  </si>
  <si>
    <t>КТП-10/0,4 кВ №128</t>
  </si>
  <si>
    <t>КТП-10/0,4 кВ №129</t>
  </si>
  <si>
    <t>КТП-10/0,4 кВ №130</t>
  </si>
  <si>
    <t>д.Прудово</t>
  </si>
  <si>
    <t>КТП-10/0,4 кВ №131</t>
  </si>
  <si>
    <t>КТПП-10/0,4 кВ №132</t>
  </si>
  <si>
    <t>КТП-10/0,4 кВ №133</t>
  </si>
  <si>
    <t>КТП-10/0,4 кВ №134</t>
  </si>
  <si>
    <t>КТПП-10/0,4 кВ №135</t>
  </si>
  <si>
    <t>д.Черновка</t>
  </si>
  <si>
    <t>КТП-10/0,4 кВ №136</t>
  </si>
  <si>
    <t>КТП-10/0,4 кВ №137</t>
  </si>
  <si>
    <t>КТП-10/0,4 кВ №138</t>
  </si>
  <si>
    <t>д.Курганы</t>
  </si>
  <si>
    <t>КТП-10/0,4 кВ №139</t>
  </si>
  <si>
    <t>д.Заручевье</t>
  </si>
  <si>
    <t>МТП-10/0,4 кВ №140</t>
  </si>
  <si>
    <t>д.Ячменьниково</t>
  </si>
  <si>
    <t>КТП-10/0,4 кВ №141</t>
  </si>
  <si>
    <t>КТП-10/0,4 кВ №142</t>
  </si>
  <si>
    <t>КТП-10/0,4 кВ №143</t>
  </si>
  <si>
    <t>д.Ветчино</t>
  </si>
  <si>
    <t>КТП-10/0,4 кВ №144</t>
  </si>
  <si>
    <t>д.Андрюково</t>
  </si>
  <si>
    <t>КТП-10/0,4 кВ №145</t>
  </si>
  <si>
    <t>д.Лисицино</t>
  </si>
  <si>
    <t>КТП-10/0,4 кВ №146</t>
  </si>
  <si>
    <t>д.Куденево</t>
  </si>
  <si>
    <t>КТП-10/0,4 кВ №147</t>
  </si>
  <si>
    <t>КТП-10/0,4 кВ №148</t>
  </si>
  <si>
    <t>д.Бобрище</t>
  </si>
  <si>
    <t>КТП-10/0,4 кВ №149</t>
  </si>
  <si>
    <t>КТП-10/0,4 кВ №150</t>
  </si>
  <si>
    <t>КТП-10/0,4 кВ №151</t>
  </si>
  <si>
    <t>КТП-10/0,4 кВ №152</t>
  </si>
  <si>
    <t>КТП-10/0,4 кВ №153</t>
  </si>
  <si>
    <t>КТП-10/0,4 кВ №154</t>
  </si>
  <si>
    <t>д.Курочкино</t>
  </si>
  <si>
    <t>КТП-10/0,4 кВ №155</t>
  </si>
  <si>
    <t>КТП-10/0,4 кВ №156</t>
  </si>
  <si>
    <t>КТП-10/0,4 кВ №157</t>
  </si>
  <si>
    <t>КТП-10/0,4 кВ №158</t>
  </si>
  <si>
    <t>д.Змеево</t>
  </si>
  <si>
    <t>КТП-10/0,4 кВ №159</t>
  </si>
  <si>
    <t>КТП-10/0,4 кВ №160</t>
  </si>
  <si>
    <t>д.Житниково</t>
  </si>
  <si>
    <t>КТП-10/0,4 кВ №161</t>
  </si>
  <si>
    <t>д.Райки</t>
  </si>
  <si>
    <t>КТП-10/0,4 кВ №162</t>
  </si>
  <si>
    <t>д.Соломоново</t>
  </si>
  <si>
    <t>КТП-10/0,4 кВ №178</t>
  </si>
  <si>
    <t>д.Старорусское</t>
  </si>
  <si>
    <t>КТП-10/0,4 кВ №179</t>
  </si>
  <si>
    <t>КТП-10/0,4 кВ №180</t>
  </si>
  <si>
    <t>д.Поляши</t>
  </si>
  <si>
    <t>КТП-10/0,4 кВ №181</t>
  </si>
  <si>
    <t>д.Мудрово</t>
  </si>
  <si>
    <t>КТП-10/0,4 кВ №182</t>
  </si>
  <si>
    <t>д.Кава</t>
  </si>
  <si>
    <t>КТП-10/0,4 кВ №183</t>
  </si>
  <si>
    <t>КТП-10/0,4 кВ №184</t>
  </si>
  <si>
    <t>КТПП-10/0,4 кВ №185</t>
  </si>
  <si>
    <t>КТП-10/0,4 кВ №190</t>
  </si>
  <si>
    <t>д.Дели</t>
  </si>
  <si>
    <t>КТП-10/0,4 кВ №188</t>
  </si>
  <si>
    <t>с.Первитино</t>
  </si>
  <si>
    <t>КТП-10/0,4 кВ №191</t>
  </si>
  <si>
    <t>КТП-10/0,4 кВ №192</t>
  </si>
  <si>
    <t>КТП-10/0,4 кВ №193</t>
  </si>
  <si>
    <t>КТП-10/0,4 кВ №194</t>
  </si>
  <si>
    <t>КТП-10/0,4 кВ №195</t>
  </si>
  <si>
    <t>МТП-10/0,4 кВ №196</t>
  </si>
  <si>
    <t>КТП-10/0,4 кВ №197</t>
  </si>
  <si>
    <t>КТП-10/0,4 кВ №198</t>
  </si>
  <si>
    <t>д.Иваново</t>
  </si>
  <si>
    <t>МТП-10/0,4 кВ №199</t>
  </si>
  <si>
    <t>КТП-10/0,4 кВ №200</t>
  </si>
  <si>
    <t>КТП-10/0,4 кВ №201</t>
  </si>
  <si>
    <t>д.Бочельниково</t>
  </si>
  <si>
    <t>КТП-10/0,4 кВ №202</t>
  </si>
  <si>
    <t>КТП-10/0,4 кВ №203</t>
  </si>
  <si>
    <t>МТП-10/0,4 кВ №204</t>
  </si>
  <si>
    <t>д.Дойбино</t>
  </si>
  <si>
    <t>КТП-10/0,4 кВ №205</t>
  </si>
  <si>
    <t>д.Золотиха</t>
  </si>
  <si>
    <t>КТП-10/0,4 кВ №206</t>
  </si>
  <si>
    <t>КТП-10/0,4 кВ №207</t>
  </si>
  <si>
    <t>д.Сошники</t>
  </si>
  <si>
    <t>КТП-10/0,4 кВ №208</t>
  </si>
  <si>
    <t>д.Капустино</t>
  </si>
  <si>
    <t>МТП-10/0,4 кВ №209</t>
  </si>
  <si>
    <t>КТП-10/0,4 кВ №210</t>
  </si>
  <si>
    <t>КТП-10/0,4 кВ №211</t>
  </si>
  <si>
    <t>д.Кагрушки</t>
  </si>
  <si>
    <t>КТП-10/0,4 кВ №212</t>
  </si>
  <si>
    <t>КТП-10/0,4 кВ №213</t>
  </si>
  <si>
    <t>КТП-10/0,4 кВ №214</t>
  </si>
  <si>
    <t>КТП-10/0,4 кВ №215</t>
  </si>
  <si>
    <t>КТП-10/0,4 кВ №216</t>
  </si>
  <si>
    <t>КТПП-10/0,4 кВ №217</t>
  </si>
  <si>
    <t>д.Кратусово</t>
  </si>
  <si>
    <t>КТП-10/0,4 кВ №186</t>
  </si>
  <si>
    <t>д.Лиховидово</t>
  </si>
  <si>
    <t>МТП-10/0,4 кВ №187</t>
  </si>
  <si>
    <t>д.Ворониха</t>
  </si>
  <si>
    <t>КТП-10/0,4 кВ №218</t>
  </si>
  <si>
    <t>КТП-10/0,4 кВ №219</t>
  </si>
  <si>
    <t>д.Пиногощи</t>
  </si>
  <si>
    <t>КТП-10/0,4 кВ №220</t>
  </si>
  <si>
    <t>д.Вышково</t>
  </si>
  <si>
    <t>КТП-10/0,4 кВ №221</t>
  </si>
  <si>
    <t>КТП-10/0,4 кВ №222</t>
  </si>
  <si>
    <t>КТП-10/0,4 кВ №223</t>
  </si>
  <si>
    <t>КТП-10/0,4 кВ №224</t>
  </si>
  <si>
    <t>КТПП-10/0,4 кВ №225</t>
  </si>
  <si>
    <t>д.Калейкино</t>
  </si>
  <si>
    <t>КТП-10/0,4 кВ №226</t>
  </si>
  <si>
    <t>д.Бойцово</t>
  </si>
  <si>
    <t>КТП-10/0,4 кВ №227</t>
  </si>
  <si>
    <t>д.Красницы</t>
  </si>
  <si>
    <t>КТП-10/0,4 кВ №228</t>
  </si>
  <si>
    <t>КТП-10/0,4 кВ №229</t>
  </si>
  <si>
    <t>КТП-10/0,4 кВ №230</t>
  </si>
  <si>
    <t>КТП-10/0,4 кВ №231</t>
  </si>
  <si>
    <t>д.Звягино</t>
  </si>
  <si>
    <t>КТП-10/0,4 кВ №232</t>
  </si>
  <si>
    <t>КТП-10/0,4 кВ №233</t>
  </si>
  <si>
    <t>д.Станки</t>
  </si>
  <si>
    <t>КТП-10/0,4 кВ №234</t>
  </si>
  <si>
    <t>д.Пнево</t>
  </si>
  <si>
    <t>д.Старчиха</t>
  </si>
  <si>
    <t>КТП-10/0,4 кВ №235</t>
  </si>
  <si>
    <t>д.Бронино</t>
  </si>
  <si>
    <t>КТП-10/0,4 кВ №236</t>
  </si>
  <si>
    <t>КТП-10/0,4 кВ №237</t>
  </si>
  <si>
    <t>д.Поторочкино</t>
  </si>
  <si>
    <t>КТП-10/0,4 кВ №238</t>
  </si>
  <si>
    <t>КТП-10/0,4 кВ №239</t>
  </si>
  <si>
    <t>КТП-10/0,4 кВ №240</t>
  </si>
  <si>
    <t>КТП-10/0,4 кВ №241</t>
  </si>
  <si>
    <t>КТП-10/0,4 кВ №242</t>
  </si>
  <si>
    <t>с.Микшино</t>
  </si>
  <si>
    <t>КТП-10/0,4 кВ №243</t>
  </si>
  <si>
    <t>КТП-10/0,4 кВ №244</t>
  </si>
  <si>
    <t>КТП-10/0,4 кВ №245</t>
  </si>
  <si>
    <t>КТП-10/0,4 кВ №246</t>
  </si>
  <si>
    <t>КТП-10/0,4 кВ №247</t>
  </si>
  <si>
    <t>КТП-10/0,4 кВ №248</t>
  </si>
  <si>
    <t>д.Доманиха</t>
  </si>
  <si>
    <t>КТП-10/0,4 кВ №249</t>
  </si>
  <si>
    <t>д.Вырец</t>
  </si>
  <si>
    <t>КТП-10/0,4 кВ №250</t>
  </si>
  <si>
    <t>д.Широкое</t>
  </si>
  <si>
    <t>КТП-10/0,4 кВ №251</t>
  </si>
  <si>
    <t>д.Дерново</t>
  </si>
  <si>
    <t>КТП-10/0,4 кВ №163</t>
  </si>
  <si>
    <t>д.Гнездово</t>
  </si>
  <si>
    <t>КТПП-10/0,4 кВ №164</t>
  </si>
  <si>
    <t>КТП-10/0,4 кВ №165</t>
  </si>
  <si>
    <t>КТП-10/0,4 кВ №166</t>
  </si>
  <si>
    <t>КТП-10/0,4 кВ №167</t>
  </si>
  <si>
    <t>КТПП-10/0,4 кВ №168</t>
  </si>
  <si>
    <t>КТП-10/0,4 кВ №169</t>
  </si>
  <si>
    <t>д.Хлестово</t>
  </si>
  <si>
    <t>КТП-10/0,4 кВ №170</t>
  </si>
  <si>
    <t>КТП-10/0,4 кВ №171</t>
  </si>
  <si>
    <t>д.Высокуши</t>
  </si>
  <si>
    <t>КТП-10/0,4 кВ №172</t>
  </si>
  <si>
    <t>д.Пантелиха</t>
  </si>
  <si>
    <t>КТП-10/0,4 кВ №173</t>
  </si>
  <si>
    <t>д.Шульгино</t>
  </si>
  <si>
    <t>КТП-10/0,4 кВ №174</t>
  </si>
  <si>
    <t>КТП-10/0,4 кВ №175</t>
  </si>
  <si>
    <t>КТП-10/0,4 кВ №176</t>
  </si>
  <si>
    <t>ЗТП-10/0,4 кВ №177</t>
  </si>
  <si>
    <t>д.Берестово</t>
  </si>
  <si>
    <t>КТП-10/0,4 кВ №255</t>
  </si>
  <si>
    <t>КТП-10/0,4 кВ №256</t>
  </si>
  <si>
    <t>КТП-10/0,4 кВ №258</t>
  </si>
  <si>
    <t>КТП-10/0,4 кВ №259</t>
  </si>
  <si>
    <t>д.Вырцово</t>
  </si>
  <si>
    <t>КТП-10/0,4 кВ №260</t>
  </si>
  <si>
    <t>д.Гнездцы</t>
  </si>
  <si>
    <t>КТП-10/0,4 кВ №261</t>
  </si>
  <si>
    <t>д.Владычня</t>
  </si>
  <si>
    <t>КТП-10/0,4 кВ №262</t>
  </si>
  <si>
    <t>д.Семьеново</t>
  </si>
  <si>
    <t>МТП-10/0,4 кВ №263</t>
  </si>
  <si>
    <t>КТП-10/0,4 кВ №264</t>
  </si>
  <si>
    <t>КТП-10/0,4 кВ №265</t>
  </si>
  <si>
    <t>ЗТП-10/0,4 кВ №266</t>
  </si>
  <si>
    <t>Старово</t>
  </si>
  <si>
    <t>Раменье</t>
  </si>
  <si>
    <t>Филипково</t>
  </si>
  <si>
    <t>д.С.ГорицыПупцево</t>
  </si>
  <si>
    <t>БазаРЭС</t>
  </si>
  <si>
    <t>д.Бабаево(Сонк)</t>
  </si>
  <si>
    <t>д.Савелихиныхутора</t>
  </si>
  <si>
    <t>ЖилыедомаРЭС</t>
  </si>
  <si>
    <t>д.Б.Сменки</t>
  </si>
  <si>
    <t>д.Хвостино,д.Печище.</t>
  </si>
  <si>
    <t>д.Ореховецд.Хатенка</t>
  </si>
  <si>
    <t>д.Савелово</t>
  </si>
  <si>
    <t>д.Пуршево</t>
  </si>
  <si>
    <t>д.Яругино</t>
  </si>
  <si>
    <t>д.Вешкад.Буянцево</t>
  </si>
  <si>
    <t>д.Душково,д.Шейно</t>
  </si>
  <si>
    <t>д.Калиниха,д.Горбовец</t>
  </si>
  <si>
    <t>д.Привольное</t>
  </si>
  <si>
    <t>д.Красные</t>
  </si>
  <si>
    <t>п.Выползово</t>
  </si>
  <si>
    <t>д.НовыйБерезай</t>
  </si>
  <si>
    <t>СтарыйБерезай</t>
  </si>
  <si>
    <t>д.Леоново</t>
  </si>
  <si>
    <t>д.Ильятино</t>
  </si>
  <si>
    <t>д.Трубичино</t>
  </si>
  <si>
    <t>д.Куженкино</t>
  </si>
  <si>
    <t>д.ЯмГригино</t>
  </si>
  <si>
    <t>п.Куженкино</t>
  </si>
  <si>
    <t>д.Макарово</t>
  </si>
  <si>
    <t>с.Ильятино</t>
  </si>
  <si>
    <t>д.Пахотино</t>
  </si>
  <si>
    <t>п.Бушевец</t>
  </si>
  <si>
    <t>д.Скробово</t>
  </si>
  <si>
    <t>д.Бабошино</t>
  </si>
  <si>
    <t>д.Камыши</t>
  </si>
  <si>
    <t>д.Забелье</t>
  </si>
  <si>
    <t>д.Кафтинскийгородок</t>
  </si>
  <si>
    <t>дЗаозерье</t>
  </si>
  <si>
    <t>д.Подлипье</t>
  </si>
  <si>
    <t>д.Глубочиха</t>
  </si>
  <si>
    <t>дГузятино</t>
  </si>
  <si>
    <t>д.Грязны</t>
  </si>
  <si>
    <t>д.Никифорово</t>
  </si>
  <si>
    <t>д.Горнешница</t>
  </si>
  <si>
    <t>д.Балакирево</t>
  </si>
  <si>
    <t>д.Заборки</t>
  </si>
  <si>
    <t>д.Угрево</t>
  </si>
  <si>
    <t>п.Березайка</t>
  </si>
  <si>
    <t>д.Алешинка</t>
  </si>
  <si>
    <t>д.Мшенцы</t>
  </si>
  <si>
    <t>д.Булдаково</t>
  </si>
  <si>
    <t>д.Линево</t>
  </si>
  <si>
    <t>д.Корыхново</t>
  </si>
  <si>
    <t>п.Лыкошино</t>
  </si>
  <si>
    <t>д.Великуши</t>
  </si>
  <si>
    <t>д.Порожки</t>
  </si>
  <si>
    <t>д.Подсобное</t>
  </si>
  <si>
    <t>д.Сопки</t>
  </si>
  <si>
    <t>д.Заключье</t>
  </si>
  <si>
    <t>д.Мишнево</t>
  </si>
  <si>
    <t>д.О.Клетки</t>
  </si>
  <si>
    <t>д.Турны</t>
  </si>
  <si>
    <t>д.Львово</t>
  </si>
  <si>
    <t>д.Липское</t>
  </si>
  <si>
    <t>д.Заостравье</t>
  </si>
  <si>
    <t>д.Велье</t>
  </si>
  <si>
    <t>д.Дачный</t>
  </si>
  <si>
    <t>д.Рютино</t>
  </si>
  <si>
    <t>д.Клещино</t>
  </si>
  <si>
    <t>д.Межозерье</t>
  </si>
  <si>
    <t>д.Бехово</t>
  </si>
  <si>
    <t>д.БерёзовскийРядок</t>
  </si>
  <si>
    <t>д.Алатавщина</t>
  </si>
  <si>
    <t>д.Сеглино</t>
  </si>
  <si>
    <t>д.Апоничено</t>
  </si>
  <si>
    <t>д.Холщебинка</t>
  </si>
  <si>
    <t>д.Тугановичи</t>
  </si>
  <si>
    <t>д.Лошаково</t>
  </si>
  <si>
    <t>д.ВольноеРаменье</t>
  </si>
  <si>
    <t>д.Ловница</t>
  </si>
  <si>
    <t>д.Ильмовицы</t>
  </si>
  <si>
    <t>д.Филимоново</t>
  </si>
  <si>
    <t>д.КурскийРядок</t>
  </si>
  <si>
    <t>д.Ляпичи</t>
  </si>
  <si>
    <t>д.Избоище</t>
  </si>
  <si>
    <t>д.Павлушкино</t>
  </si>
  <si>
    <t>д.Кемцы</t>
  </si>
  <si>
    <t>д.Проказово</t>
  </si>
  <si>
    <t>д.Рудаково</t>
  </si>
  <si>
    <t>д.Хворостово</t>
  </si>
  <si>
    <t>д.Беленец</t>
  </si>
  <si>
    <t>д.Исаковское</t>
  </si>
  <si>
    <t>д.Казанское</t>
  </si>
  <si>
    <t>д.Бухалово</t>
  </si>
  <si>
    <t>д.Жуково</t>
  </si>
  <si>
    <t>д.Сарочины</t>
  </si>
  <si>
    <t>д.Любитово</t>
  </si>
  <si>
    <t>д.Карпино</t>
  </si>
  <si>
    <t>д.Шляхово</t>
  </si>
  <si>
    <t>д.Селилово</t>
  </si>
  <si>
    <t>д.Тимково</t>
  </si>
  <si>
    <t>д.Будущее</t>
  </si>
  <si>
    <t>д.Корхово</t>
  </si>
  <si>
    <t>д.Ригодищи</t>
  </si>
  <si>
    <t>д.Олешево</t>
  </si>
  <si>
    <t>д.Котлованово</t>
  </si>
  <si>
    <t>д.Гоголево</t>
  </si>
  <si>
    <t>д.КрасноеРаменье</t>
  </si>
  <si>
    <t>д.Ганево</t>
  </si>
  <si>
    <t>д.Кафтино</t>
  </si>
  <si>
    <t>д.Пальцево</t>
  </si>
  <si>
    <t>д.Липно</t>
  </si>
  <si>
    <t>д.Чешево</t>
  </si>
  <si>
    <t>д.Новосадовая</t>
  </si>
  <si>
    <t>д.Поддубье</t>
  </si>
  <si>
    <t>д.Кононково</t>
  </si>
  <si>
    <t>г.Бологое</t>
  </si>
  <si>
    <t>д.Гузятино</t>
  </si>
  <si>
    <t>д.Тресно</t>
  </si>
  <si>
    <t>п.Княщины</t>
  </si>
  <si>
    <t>п.КраснаяЗаря</t>
  </si>
  <si>
    <t>д.Великийдвор</t>
  </si>
  <si>
    <t>г.ВышнийВолочек</t>
  </si>
  <si>
    <t>п.Белыйомут</t>
  </si>
  <si>
    <t>д.Обрадово</t>
  </si>
  <si>
    <t>д.Чернаягрязь</t>
  </si>
  <si>
    <t>п.Приозерный</t>
  </si>
  <si>
    <t>д.Новоезаречье</t>
  </si>
  <si>
    <t>д.Детскийдом</t>
  </si>
  <si>
    <t>д.Цибульскаягора</t>
  </si>
  <si>
    <t>д.Русскаягора</t>
  </si>
  <si>
    <t>домрыбака</t>
  </si>
  <si>
    <t>д.Федоровдвор</t>
  </si>
  <si>
    <t>с.Обудово</t>
  </si>
  <si>
    <t>д.Ст.Обудово</t>
  </si>
  <si>
    <t>д.Перхово</t>
  </si>
  <si>
    <t>с.Селище</t>
  </si>
  <si>
    <t>д.Казиха</t>
  </si>
  <si>
    <t>д.Реброво</t>
  </si>
  <si>
    <t>д.Дупле</t>
  </si>
  <si>
    <t>д.Будилово</t>
  </si>
  <si>
    <t>д.М.Наумково</t>
  </si>
  <si>
    <t>д.Олехново</t>
  </si>
  <si>
    <t>д.Песчаница</t>
  </si>
  <si>
    <t>д.Бабье</t>
  </si>
  <si>
    <t>д.Будовка</t>
  </si>
  <si>
    <t>д.Локтево</t>
  </si>
  <si>
    <t>д.Ст.Лукино</t>
  </si>
  <si>
    <t>д.Цирибушево</t>
  </si>
  <si>
    <t>д.Юхово</t>
  </si>
  <si>
    <t>д.Ладеньково</t>
  </si>
  <si>
    <t>д.Яковцево</t>
  </si>
  <si>
    <t>д.Черенковка</t>
  </si>
  <si>
    <t>д.Вешки</t>
  </si>
  <si>
    <t>д.Добрынь</t>
  </si>
  <si>
    <t>д.Мышлятино</t>
  </si>
  <si>
    <t>д.Пестово</t>
  </si>
  <si>
    <t>д.Борлино,д.Стройково</t>
  </si>
  <si>
    <t>д.Дядькино</t>
  </si>
  <si>
    <t>д.Рачково</t>
  </si>
  <si>
    <t>с.Выдропужск</t>
  </si>
  <si>
    <t>Горбуново</t>
  </si>
  <si>
    <t>Катиха</t>
  </si>
  <si>
    <t>Красноармеец</t>
  </si>
  <si>
    <t>Мошково</t>
  </si>
  <si>
    <t>Р.Козлово</t>
  </si>
  <si>
    <t>Скоморохово</t>
  </si>
  <si>
    <t>Калягино</t>
  </si>
  <si>
    <t>Н.Лукино</t>
  </si>
  <si>
    <t>Бухолово</t>
  </si>
  <si>
    <t>Трубино</t>
  </si>
  <si>
    <t>Фомиково</t>
  </si>
  <si>
    <t>Грествянка</t>
  </si>
  <si>
    <t>Бирючево</t>
  </si>
  <si>
    <t>Алуферьево</t>
  </si>
  <si>
    <t>Новгородка</t>
  </si>
  <si>
    <t>д.д.Волхово,Стешково</t>
  </si>
  <si>
    <t>Дербужье</t>
  </si>
  <si>
    <t>Полюжье</t>
  </si>
  <si>
    <t>Вожайново</t>
  </si>
  <si>
    <t>Ворожебкино</t>
  </si>
  <si>
    <t>Матвеево</t>
  </si>
  <si>
    <t>ЧерныйРучей</t>
  </si>
  <si>
    <t>Чудины</t>
  </si>
  <si>
    <t>Язвище</t>
  </si>
  <si>
    <t>Винжа</t>
  </si>
  <si>
    <t>Долино</t>
  </si>
  <si>
    <t>Лухново</t>
  </si>
  <si>
    <t>Пивоварово</t>
  </si>
  <si>
    <t>Вязины</t>
  </si>
  <si>
    <t>Спасоклинье</t>
  </si>
  <si>
    <t>Горма</t>
  </si>
  <si>
    <t>Еремеевка</t>
  </si>
  <si>
    <t>Лежа</t>
  </si>
  <si>
    <t>Тихменево</t>
  </si>
  <si>
    <t>Цивилево</t>
  </si>
  <si>
    <t>Спирово,Базаучастка</t>
  </si>
  <si>
    <t>Двойки</t>
  </si>
  <si>
    <t>Горня</t>
  </si>
  <si>
    <t>Нестериха</t>
  </si>
  <si>
    <t>Б.Нивище</t>
  </si>
  <si>
    <t>Б.Плоское</t>
  </si>
  <si>
    <t>Овсяники</t>
  </si>
  <si>
    <t>Крапивка</t>
  </si>
  <si>
    <t>М.Нивище</t>
  </si>
  <si>
    <t>Морозовка</t>
  </si>
  <si>
    <t>Пасынки</t>
  </si>
  <si>
    <t>Антипково</t>
  </si>
  <si>
    <t>Бутино</t>
  </si>
  <si>
    <t>Грязновец</t>
  </si>
  <si>
    <t>Коды-Кочка</t>
  </si>
  <si>
    <t>Ломовка</t>
  </si>
  <si>
    <t>М.Козлово</t>
  </si>
  <si>
    <t>Данилково</t>
  </si>
  <si>
    <t>Аржаное</t>
  </si>
  <si>
    <t>Костыгово</t>
  </si>
  <si>
    <t>Тарасово</t>
  </si>
  <si>
    <t>Ямное</t>
  </si>
  <si>
    <t>Береговая</t>
  </si>
  <si>
    <t>Богданиха</t>
  </si>
  <si>
    <t>дЗаречное</t>
  </si>
  <si>
    <t>дЛомаки</t>
  </si>
  <si>
    <t>дПухтинаГора</t>
  </si>
  <si>
    <t>дШемелинка</t>
  </si>
  <si>
    <t>дСтан</t>
  </si>
  <si>
    <t>дФёдоровДвор</t>
  </si>
  <si>
    <t>дТрестино</t>
  </si>
  <si>
    <t>дСонка</t>
  </si>
  <si>
    <t>дИвановДвор</t>
  </si>
  <si>
    <t>дДубровка</t>
  </si>
  <si>
    <t>дПогорелое</t>
  </si>
  <si>
    <t>дТеляково</t>
  </si>
  <si>
    <t>дДерева</t>
  </si>
  <si>
    <t>дОстрецово</t>
  </si>
  <si>
    <t>пФирово</t>
  </si>
  <si>
    <t>дКузнечково</t>
  </si>
  <si>
    <t>дСт.Козьяново</t>
  </si>
  <si>
    <t>дНовотроицкое</t>
  </si>
  <si>
    <t>дГоршково</t>
  </si>
  <si>
    <t>дГубарёво</t>
  </si>
  <si>
    <t>пЛесной</t>
  </si>
  <si>
    <t>дН.Козьяново</t>
  </si>
  <si>
    <t>дКоролёво</t>
  </si>
  <si>
    <t>дФролёво</t>
  </si>
  <si>
    <t>дДмитровка</t>
  </si>
  <si>
    <t>дСавёлово</t>
  </si>
  <si>
    <t>дБорки</t>
  </si>
  <si>
    <t>дКузино</t>
  </si>
  <si>
    <t>дБукино</t>
  </si>
  <si>
    <t>дРуднёво</t>
  </si>
  <si>
    <t>дПерелесок</t>
  </si>
  <si>
    <t>дКострублё</t>
  </si>
  <si>
    <t>дГачки</t>
  </si>
  <si>
    <t>дОзерёво</t>
  </si>
  <si>
    <t>дХодуново</t>
  </si>
  <si>
    <t>дПлосково</t>
  </si>
  <si>
    <t>дРакитня</t>
  </si>
  <si>
    <t>дГребенёво</t>
  </si>
  <si>
    <t>дДуплё</t>
  </si>
  <si>
    <t>дХриплы</t>
  </si>
  <si>
    <t>дЖабны</t>
  </si>
  <si>
    <t>дБухолово</t>
  </si>
  <si>
    <t>дСтахново</t>
  </si>
  <si>
    <t>дГорка</t>
  </si>
  <si>
    <t>дКузнецово</t>
  </si>
  <si>
    <t>дЛука</t>
  </si>
  <si>
    <t>дОстров</t>
  </si>
  <si>
    <t>дНескучай</t>
  </si>
  <si>
    <t>дМартюшино</t>
  </si>
  <si>
    <t>дЯблонька</t>
  </si>
  <si>
    <t>дЯхново</t>
  </si>
  <si>
    <t>дС.Новинок</t>
  </si>
  <si>
    <t>дКомкино</t>
  </si>
  <si>
    <t>дСофиевка</t>
  </si>
  <si>
    <t>дКаменка</t>
  </si>
  <si>
    <t>сРождество</t>
  </si>
  <si>
    <t>дГлыби</t>
  </si>
  <si>
    <t>дУзмень</t>
  </si>
  <si>
    <t>дГородок</t>
  </si>
  <si>
    <t>дЗаречье</t>
  </si>
  <si>
    <t>дЧудино</t>
  </si>
  <si>
    <t>дЗаморино</t>
  </si>
  <si>
    <t>дПоддубье</t>
  </si>
  <si>
    <t>дИваньково</t>
  </si>
  <si>
    <t>дСкоково</t>
  </si>
  <si>
    <t>дБаталино</t>
  </si>
  <si>
    <t>пГраничный</t>
  </si>
  <si>
    <t>пКомсомольский</t>
  </si>
  <si>
    <t>дШлина</t>
  </si>
  <si>
    <t>дГадыши</t>
  </si>
  <si>
    <t>дГрадобить</t>
  </si>
  <si>
    <t>дЖуково</t>
  </si>
  <si>
    <t>дБ.Эскино</t>
  </si>
  <si>
    <t>дПодол</t>
  </si>
  <si>
    <t>дАльпаково</t>
  </si>
  <si>
    <t>дОбогорье</t>
  </si>
  <si>
    <t>пСосновка</t>
  </si>
  <si>
    <t>дГлумилово</t>
  </si>
  <si>
    <t>дЛядины</t>
  </si>
  <si>
    <t>сПокровское</t>
  </si>
  <si>
    <t>дБолобоново</t>
  </si>
  <si>
    <t>дМыза</t>
  </si>
  <si>
    <t>дУткино</t>
  </si>
  <si>
    <t>дКоммуна</t>
  </si>
  <si>
    <t>дЗенцово</t>
  </si>
  <si>
    <t>дСтарое</t>
  </si>
  <si>
    <t>дОшаково</t>
  </si>
  <si>
    <t>дБелятино</t>
  </si>
  <si>
    <t>дКоноково</t>
  </si>
  <si>
    <t>д.Якимовская,д.Елзыково</t>
  </si>
  <si>
    <t>д.Заручье,д.Петрушино,д.Серково</t>
  </si>
  <si>
    <t>д.Мордвиново,д.Горбово</t>
  </si>
  <si>
    <t>вблизид.Благуново</t>
  </si>
  <si>
    <t>д.Осташково,д.Совачево</t>
  </si>
  <si>
    <t>д.НовоОкатово</t>
  </si>
  <si>
    <t>вблизидБлагуново</t>
  </si>
  <si>
    <t>д.Ногино,д.Павлово</t>
  </si>
  <si>
    <t>д.Боковод.Выползово</t>
  </si>
  <si>
    <t>д.МалоеНагорское</t>
  </si>
  <si>
    <t>д.Черковод.Крюково</t>
  </si>
  <si>
    <t>д.Клетинка,д.Дмитровка</t>
  </si>
  <si>
    <t>д.Непейно,д.Бунькино</t>
  </si>
  <si>
    <t>д.Перечковод.Быково</t>
  </si>
  <si>
    <t>д.Краснаягорка</t>
  </si>
  <si>
    <t>д.Королевод.Кривцово</t>
  </si>
  <si>
    <t>д.ВескиНероновские</t>
  </si>
  <si>
    <t>д.Инархово,д.Головково</t>
  </si>
  <si>
    <t>д.МалоеРогатино</t>
  </si>
  <si>
    <t>д.Теремец,д.Нерльская</t>
  </si>
  <si>
    <t>д.Медвежье,д.Конищево</t>
  </si>
  <si>
    <t>д.Коги,д.Хорхоры</t>
  </si>
  <si>
    <t>д.Ремнево,д.Хонино</t>
  </si>
  <si>
    <t>вблизис.Спасское</t>
  </si>
  <si>
    <t>д.Бердовка,д.Калинино</t>
  </si>
  <si>
    <t>д.Мордвиново,д.Жуковка</t>
  </si>
  <si>
    <t>д.Богданово,д.Рог,д.Юряхино</t>
  </si>
  <si>
    <t>д.СветлыйЛуч</t>
  </si>
  <si>
    <t>д.Новинки,д.Брониха</t>
  </si>
  <si>
    <t>вблизид.Уланово</t>
  </si>
  <si>
    <t>д.Волкушино,д.Бекетово</t>
  </si>
  <si>
    <t>д.Звездино,д.Проскурино</t>
  </si>
  <si>
    <t>д.Кондраковод.Юрново</t>
  </si>
  <si>
    <t>д.Колотово,д.Кетково</t>
  </si>
  <si>
    <t>д.Дорохово,д.Пепелино</t>
  </si>
  <si>
    <t>д.Истопки,д.Тюшино</t>
  </si>
  <si>
    <t>д.ГораПневиц</t>
  </si>
  <si>
    <t>д.Подол,д.Малахово</t>
  </si>
  <si>
    <t>д.Леснаяполяна</t>
  </si>
  <si>
    <t>д.Чигерево,д.Дмитровка</t>
  </si>
  <si>
    <t>д.Глазково,д.Копылово</t>
  </si>
  <si>
    <t>дСавинская,д.Николаевка</t>
  </si>
  <si>
    <t>д.Инальцево,д.Парашино</t>
  </si>
  <si>
    <t>д.Зверево,д.Скорятьево</t>
  </si>
  <si>
    <t>д.Нестерово,д.Родионово</t>
  </si>
  <si>
    <t>д.Аверково.д.НовоеСело</t>
  </si>
  <si>
    <t>д.Исаково,д.Федюлино</t>
  </si>
  <si>
    <t>д.Инальцево,д.Серебрянниково</t>
  </si>
  <si>
    <t>д.Плющево</t>
  </si>
  <si>
    <t>д.Бровцино</t>
  </si>
  <si>
    <t>д.Сошниково</t>
  </si>
  <si>
    <t>д.Костенево</t>
  </si>
  <si>
    <t>д.Соболево</t>
  </si>
  <si>
    <t>д.Городищи</t>
  </si>
  <si>
    <t>д.Демидово</t>
  </si>
  <si>
    <t>д.Шиблино</t>
  </si>
  <si>
    <t>д.Бологово</t>
  </si>
  <si>
    <t>д.Гарицы</t>
  </si>
  <si>
    <t>д.Заборовье</t>
  </si>
  <si>
    <t>д.Конаи</t>
  </si>
  <si>
    <t>д.Ломинское</t>
  </si>
  <si>
    <t>д.Екатеринино</t>
  </si>
  <si>
    <t>д.Мылохово</t>
  </si>
  <si>
    <t>д.Роголево</t>
  </si>
  <si>
    <t>д.Акатово</t>
  </si>
  <si>
    <t>д.Жоготово</t>
  </si>
  <si>
    <t>д.Кунавино</t>
  </si>
  <si>
    <t>д.Паново</t>
  </si>
  <si>
    <t>д.Яновище</t>
  </si>
  <si>
    <t>д.Песчаха</t>
  </si>
  <si>
    <t>д.Лутки</t>
  </si>
  <si>
    <t>д.Хотилици</t>
  </si>
  <si>
    <t>д.Поспелое</t>
  </si>
  <si>
    <t>д.Пашково</t>
  </si>
  <si>
    <t>д.Зеленогорское</t>
  </si>
  <si>
    <t>д.Монино</t>
  </si>
  <si>
    <t>д.Мошки</t>
  </si>
  <si>
    <t>д.Симонка</t>
  </si>
  <si>
    <t>д.Филипово</t>
  </si>
  <si>
    <t>д.Стоякино</t>
  </si>
  <si>
    <t>д.Желено</t>
  </si>
  <si>
    <t>д.Горняя</t>
  </si>
  <si>
    <t>д.Заселица</t>
  </si>
  <si>
    <t>д.Курцево</t>
  </si>
  <si>
    <t>д.КозловоСело</t>
  </si>
  <si>
    <t>д.Торопацы</t>
  </si>
  <si>
    <t>д.Лапочи</t>
  </si>
  <si>
    <t>д.Пожар</t>
  </si>
  <si>
    <t>д.Ручьи</t>
  </si>
  <si>
    <t>д.Шатино</t>
  </si>
  <si>
    <t>д.Волок3</t>
  </si>
  <si>
    <t>д.Микшино</t>
  </si>
  <si>
    <t>д.Андроново</t>
  </si>
  <si>
    <t>д.Заноги</t>
  </si>
  <si>
    <t>д.Быстри</t>
  </si>
  <si>
    <t>д.Стеклино</t>
  </si>
  <si>
    <t>д.Боталы</t>
  </si>
  <si>
    <t>д.Ям</t>
  </si>
  <si>
    <t>д.Дмитрово</t>
  </si>
  <si>
    <t>д.Любин</t>
  </si>
  <si>
    <t>д.Любино</t>
  </si>
  <si>
    <t>д.Борзово</t>
  </si>
  <si>
    <t>д.Шарыгино</t>
  </si>
  <si>
    <t>д.Новоследово</t>
  </si>
  <si>
    <t>д.Скудино</t>
  </si>
  <si>
    <t>д.Аксёново</t>
  </si>
  <si>
    <t>д.Кремено</t>
  </si>
  <si>
    <t>д.Обруб</t>
  </si>
  <si>
    <t>д.БазаРЭС</t>
  </si>
  <si>
    <t>д.Чечетово</t>
  </si>
  <si>
    <t>д.Плаксино</t>
  </si>
  <si>
    <t>д.Дорофеево</t>
  </si>
  <si>
    <t>д.Молодушкино</t>
  </si>
  <si>
    <t>д.Трепалево</t>
  </si>
  <si>
    <t>д.Луги</t>
  </si>
  <si>
    <t>д.Ямищи</t>
  </si>
  <si>
    <t>д.Величково</t>
  </si>
  <si>
    <t>д.Амосово</t>
  </si>
  <si>
    <t>д.Ревякино</t>
  </si>
  <si>
    <t>д.Гречишниково</t>
  </si>
  <si>
    <t>д.Петрочиха</t>
  </si>
  <si>
    <t>д.Тимонькино</t>
  </si>
  <si>
    <t>д.Баранька</t>
  </si>
  <si>
    <t>г.Андреаполь</t>
  </si>
  <si>
    <t>д.Роженка</t>
  </si>
  <si>
    <t>д.Кленица</t>
  </si>
  <si>
    <t>д.Студеница</t>
  </si>
  <si>
    <t>д.Баканово</t>
  </si>
  <si>
    <t>д.Костюшено</t>
  </si>
  <si>
    <t>д.Кордон</t>
  </si>
  <si>
    <t>д.Дешково</t>
  </si>
  <si>
    <t>д.Беново</t>
  </si>
  <si>
    <t>д.Гусары</t>
  </si>
  <si>
    <t>д.Гл.лог</t>
  </si>
  <si>
    <t>д.Синичено</t>
  </si>
  <si>
    <t>д.Лубенкино</t>
  </si>
  <si>
    <t>д.Церковище</t>
  </si>
  <si>
    <t>д.Ключевое</t>
  </si>
  <si>
    <t>д.Подвязье</t>
  </si>
  <si>
    <t>д.Копытово</t>
  </si>
  <si>
    <t>д.Цветки</t>
  </si>
  <si>
    <t>д.Валаево</t>
  </si>
  <si>
    <t>д.Слепнево</t>
  </si>
  <si>
    <t>д.БабиноМаслово</t>
  </si>
  <si>
    <t>д.Рабпоселок</t>
  </si>
  <si>
    <t>д.Звонки</t>
  </si>
  <si>
    <t>д.Скворцово</t>
  </si>
  <si>
    <t>д.ЗеленыйБор</t>
  </si>
  <si>
    <t>д.Колесниково</t>
  </si>
  <si>
    <t>д.Столыпино</t>
  </si>
  <si>
    <t>д.Ивашково</t>
  </si>
  <si>
    <t>д.Пашутино</t>
  </si>
  <si>
    <t>д.Гнездилово</t>
  </si>
  <si>
    <t>д.Благинино</t>
  </si>
  <si>
    <t>д.Ботино</t>
  </si>
  <si>
    <t>д.Шоша</t>
  </si>
  <si>
    <t>д.Шишкино</t>
  </si>
  <si>
    <t>д.Березниково</t>
  </si>
  <si>
    <t>д.Каськово</t>
  </si>
  <si>
    <t>д.Быково</t>
  </si>
  <si>
    <t>д.Дурнево</t>
  </si>
  <si>
    <t>д.Максимково</t>
  </si>
  <si>
    <t>д.Горшково</t>
  </si>
  <si>
    <t>д.Коптево</t>
  </si>
  <si>
    <t>д.Игуменка</t>
  </si>
  <si>
    <t>д.Карелино</t>
  </si>
  <si>
    <t>д.Селишня</t>
  </si>
  <si>
    <t>д.Косые</t>
  </si>
  <si>
    <t>д.Медведица</t>
  </si>
  <si>
    <t>д.Холменка</t>
  </si>
  <si>
    <t>д.Б.Полденка</t>
  </si>
  <si>
    <t>д.Плотки</t>
  </si>
  <si>
    <t>д.Хлебники</t>
  </si>
  <si>
    <t>д.Мясница</t>
  </si>
  <si>
    <t>д.Ревоты</t>
  </si>
  <si>
    <t>д.Глазки</t>
  </si>
  <si>
    <t>д.Долгиновка</t>
  </si>
  <si>
    <t>д.Ваталино</t>
  </si>
  <si>
    <t>д.Горениново</t>
  </si>
  <si>
    <t>д.Лезвино</t>
  </si>
  <si>
    <t>д.Черемушки</t>
  </si>
  <si>
    <t>д.Пенский</t>
  </si>
  <si>
    <t>д.Кулаковка</t>
  </si>
  <si>
    <t>д.Сидорово-1быт</t>
  </si>
  <si>
    <t>д.Комиссарово-3МТМ</t>
  </si>
  <si>
    <t>д.Гришино-2КЗС</t>
  </si>
  <si>
    <t>п.Олениноул.Зеленая</t>
  </si>
  <si>
    <t>д.Новая</t>
  </si>
  <si>
    <t>д.Сидорово-2</t>
  </si>
  <si>
    <t>д.Бредоваха</t>
  </si>
  <si>
    <t>д.Назарово-Лапичино</t>
  </si>
  <si>
    <t>д.Ягодинод.Мешково</t>
  </si>
  <si>
    <t>д.Лелюгино</t>
  </si>
  <si>
    <t>Толокново</t>
  </si>
  <si>
    <t>д.Полтино</t>
  </si>
  <si>
    <t>д.Кашино</t>
  </si>
  <si>
    <t>д.Толокново</t>
  </si>
  <si>
    <t>д.Ройкино</t>
  </si>
  <si>
    <t>д.Упыри</t>
  </si>
  <si>
    <t>д.Рыжаевка</t>
  </si>
  <si>
    <t>д.Глиновка</t>
  </si>
  <si>
    <t>д.Ступинка</t>
  </si>
  <si>
    <t>д.Климовка-Курчевские</t>
  </si>
  <si>
    <t>п.ОлениноЛьносемстанция</t>
  </si>
  <si>
    <t>п.Оленинонефтебаза</t>
  </si>
  <si>
    <t>д.Халютино</t>
  </si>
  <si>
    <t>д.Боярщина</t>
  </si>
  <si>
    <t>д.Лазукино</t>
  </si>
  <si>
    <t>д.Канашкино</t>
  </si>
  <si>
    <t>д.Козинка</t>
  </si>
  <si>
    <t>276кмавтодорогиМосква-Балтия</t>
  </si>
  <si>
    <t>п.Олениноул.Автодорожная</t>
  </si>
  <si>
    <t>д.Линея</t>
  </si>
  <si>
    <t>д.Береза</t>
  </si>
  <si>
    <t>д.Цыганы</t>
  </si>
  <si>
    <t>д.Черносы</t>
  </si>
  <si>
    <t>д.Лежакино</t>
  </si>
  <si>
    <t>д.Трамбицкие</t>
  </si>
  <si>
    <t>д.Ильманово</t>
  </si>
  <si>
    <t>д.Шарки</t>
  </si>
  <si>
    <t>д.Татьево</t>
  </si>
  <si>
    <t>д.Кушкино</t>
  </si>
  <si>
    <t>д.Луни</t>
  </si>
  <si>
    <t>д.Пашкино</t>
  </si>
  <si>
    <t>д.Можайка</t>
  </si>
  <si>
    <t>д.Дружная</t>
  </si>
  <si>
    <t>д.Майково</t>
  </si>
  <si>
    <t>д.Знаменка,д.Московка</t>
  </si>
  <si>
    <t>д.М.Бредники</t>
  </si>
  <si>
    <t>д.Б.Бредники</t>
  </si>
  <si>
    <t>д.Потемкино</t>
  </si>
  <si>
    <t>д.Бортники</t>
  </si>
  <si>
    <t>д.Плеханово</t>
  </si>
  <si>
    <t>д.Бочково</t>
  </si>
  <si>
    <t>д.Палаткино</t>
  </si>
  <si>
    <t>с.М.Туд</t>
  </si>
  <si>
    <t>д.Иванищево</t>
  </si>
  <si>
    <t>д.Приездово</t>
  </si>
  <si>
    <t>д.Глыздино</t>
  </si>
  <si>
    <t>д.Коршуны</t>
  </si>
  <si>
    <t>д.Хаванское</t>
  </si>
  <si>
    <t>д.Привалье</t>
  </si>
  <si>
    <t>с.МолодойТуд</t>
  </si>
  <si>
    <t>д.Минькино</t>
  </si>
  <si>
    <t>д.Дубовик</t>
  </si>
  <si>
    <t>д.Линьково</t>
  </si>
  <si>
    <t>д.Трунаево</t>
  </si>
  <si>
    <t>д.Сонинка</t>
  </si>
  <si>
    <t>д.Солнечная</t>
  </si>
  <si>
    <t>д.Березка</t>
  </si>
  <si>
    <t>д.Грива-2</t>
  </si>
  <si>
    <t>д.Шмыки</t>
  </si>
  <si>
    <t>д.Лесниково</t>
  </si>
  <si>
    <t>д.Безобразово</t>
  </si>
  <si>
    <t>д.Грива</t>
  </si>
  <si>
    <t>д.Слотня</t>
  </si>
  <si>
    <t>д.Оболонная</t>
  </si>
  <si>
    <t>д.Рассказово</t>
  </si>
  <si>
    <t>д.Пробойка</t>
  </si>
  <si>
    <t>д.Карзаново</t>
  </si>
  <si>
    <t>д.Чекулино</t>
  </si>
  <si>
    <t>д.Семерня</t>
  </si>
  <si>
    <t>д.Тислино</t>
  </si>
  <si>
    <t>д.Ключевня</t>
  </si>
  <si>
    <t>д.Богородицкое</t>
  </si>
  <si>
    <t>д.Жерносеково</t>
  </si>
  <si>
    <t>д.Мотькино</t>
  </si>
  <si>
    <t>д.Коротни</t>
  </si>
  <si>
    <t>д.Трепацкие</t>
  </si>
  <si>
    <t>д.Пасино</t>
  </si>
  <si>
    <t>д.Елизарово</t>
  </si>
  <si>
    <t>д.Аканиково</t>
  </si>
  <si>
    <t>п.Путеец</t>
  </si>
  <si>
    <t>д.Кузьмарино</t>
  </si>
  <si>
    <t>д.Домашино</t>
  </si>
  <si>
    <t>д.Турбаево</t>
  </si>
  <si>
    <t>д.Харитоново</t>
  </si>
  <si>
    <t>д.Сбоево</t>
  </si>
  <si>
    <t>д.Юрятино</t>
  </si>
  <si>
    <t>д.Бых.Слобода</t>
  </si>
  <si>
    <t>д.Таблино</t>
  </si>
  <si>
    <t>д.Появилово</t>
  </si>
  <si>
    <t>д.Ковалёво</t>
  </si>
  <si>
    <t>д.Санталово</t>
  </si>
  <si>
    <t>д.Грешниково</t>
  </si>
  <si>
    <t>д.Бурмосово</t>
  </si>
  <si>
    <t>п.ВерхнийБор</t>
  </si>
  <si>
    <t>д.Почигаево</t>
  </si>
  <si>
    <t>д.Мужищево</t>
  </si>
  <si>
    <t>п.Мончалово</t>
  </si>
  <si>
    <t>д.Петуново</t>
  </si>
  <si>
    <t>д.Нечаево</t>
  </si>
  <si>
    <t>д.МалаховоВолжское</t>
  </si>
  <si>
    <t>п.Шопорово</t>
  </si>
  <si>
    <t>д.Ковынёво</t>
  </si>
  <si>
    <t>д.Поволжье</t>
  </si>
  <si>
    <t>д.Добрая</t>
  </si>
  <si>
    <t>п.Победа</t>
  </si>
  <si>
    <t>д.Мурылёво</t>
  </si>
  <si>
    <t>д.Карамлино</t>
  </si>
  <si>
    <t>д.Хорошево</t>
  </si>
  <si>
    <t>д.Пирютино</t>
  </si>
  <si>
    <t>д.Полунино</t>
  </si>
  <si>
    <t>д.Дешёвки</t>
  </si>
  <si>
    <t>д.Шеломово</t>
  </si>
  <si>
    <t>д.Ульянково</t>
  </si>
  <si>
    <t>д.Курьяново</t>
  </si>
  <si>
    <t>д.Шандалово</t>
  </si>
  <si>
    <t>д.Мясоедово</t>
  </si>
  <si>
    <t>д.Замятино-3</t>
  </si>
  <si>
    <t>д.Замятино-2</t>
  </si>
  <si>
    <t>д.Ст.Кузнецово</t>
  </si>
  <si>
    <t>д.Мясищево</t>
  </si>
  <si>
    <t>п.Карьер</t>
  </si>
  <si>
    <t>д.Хвостово-1</t>
  </si>
  <si>
    <t>п.Осуга</t>
  </si>
  <si>
    <t>д.Клешнево</t>
  </si>
  <si>
    <t>д.Демкино</t>
  </si>
  <si>
    <t>д.Пудово</t>
  </si>
  <si>
    <t>д.Старцевод.Находово</t>
  </si>
  <si>
    <t>д.Успенское</t>
  </si>
  <si>
    <t>д.Маломаховод.Грибоедово</t>
  </si>
  <si>
    <t>д.Гляденово</t>
  </si>
  <si>
    <t>д.Гузынино</t>
  </si>
  <si>
    <t>д.Выдрино</t>
  </si>
  <si>
    <t>д.Дунилово</t>
  </si>
  <si>
    <t>д.Плотниково</t>
  </si>
  <si>
    <t>д.Немцово</t>
  </si>
  <si>
    <t>д.Щетинино</t>
  </si>
  <si>
    <t>д.Ст.Рукав</t>
  </si>
  <si>
    <t>д.Гнилёво</t>
  </si>
  <si>
    <t>д.Житенки</t>
  </si>
  <si>
    <t>д.Ненаедово</t>
  </si>
  <si>
    <t>д.Крупцово</t>
  </si>
  <si>
    <t>д.Масальское</t>
  </si>
  <si>
    <t>д.Плешки</t>
  </si>
  <si>
    <t>д.Вороничево</t>
  </si>
  <si>
    <t>д.Пантюково</t>
  </si>
  <si>
    <t>д.Антоново</t>
  </si>
  <si>
    <t>д.Голышкино</t>
  </si>
  <si>
    <t>д.Першинод.Голышкино</t>
  </si>
  <si>
    <t>д.Деньгино</t>
  </si>
  <si>
    <t>д.Моржово</t>
  </si>
  <si>
    <t>д.Степанцевод.Бураковод.Висино</t>
  </si>
  <si>
    <t>д.Деняшинод.Харино</t>
  </si>
  <si>
    <t>д.Степакино</t>
  </si>
  <si>
    <t>д.Хрипелёво</t>
  </si>
  <si>
    <t>д.Мясцовод.Анукшино</t>
  </si>
  <si>
    <t>д.Забелинод.Свитово</t>
  </si>
  <si>
    <t>д.Першино</t>
  </si>
  <si>
    <t>д.Михерёво</t>
  </si>
  <si>
    <t>д.Свёклино</t>
  </si>
  <si>
    <t>д.Крутикид.Соломино</t>
  </si>
  <si>
    <t>д.Струйское</t>
  </si>
  <si>
    <t>д.Филькино</t>
  </si>
  <si>
    <t>д.Бахмутово</t>
  </si>
  <si>
    <t>д.Сувиткид.Ерши</t>
  </si>
  <si>
    <t>д.Харламово</t>
  </si>
  <si>
    <t>п.Есинка</t>
  </si>
  <si>
    <t>д.Смощевод.Юсино</t>
  </si>
  <si>
    <t>д.Горня</t>
  </si>
  <si>
    <t>д.Калинад.Осуйское</t>
  </si>
  <si>
    <t>д.Кр.улица</t>
  </si>
  <si>
    <t>д.Хоршево</t>
  </si>
  <si>
    <t>д.Поротики</t>
  </si>
  <si>
    <t>д.Ивлецы</t>
  </si>
  <si>
    <t>д.Мироново</t>
  </si>
  <si>
    <t>д.Горенка</t>
  </si>
  <si>
    <t>д.Павлюки</t>
  </si>
  <si>
    <t>д.Крутики</t>
  </si>
  <si>
    <t>д.Азаровод.Дмитрово</t>
  </si>
  <si>
    <t>д.Люнино</t>
  </si>
  <si>
    <t>д.Погорелки</t>
  </si>
  <si>
    <t>д.Ильченко</t>
  </si>
  <si>
    <t>д.Сухуша</t>
  </si>
  <si>
    <t>д.Плоты</t>
  </si>
  <si>
    <t>д.Букарево</t>
  </si>
  <si>
    <t>д.Котлово</t>
  </si>
  <si>
    <t>д.Шпалево</t>
  </si>
  <si>
    <t>д.Харино</t>
  </si>
  <si>
    <t>д.Слобырёво</t>
  </si>
  <si>
    <t>д.Гузино</t>
  </si>
  <si>
    <t>д.Пятницкое
Свербиха</t>
  </si>
  <si>
    <t>д.Клины</t>
  </si>
  <si>
    <t>д.Чертолино</t>
  </si>
  <si>
    <t>д.Н.Кузнецы</t>
  </si>
  <si>
    <t>д.Ст.Кузнецы</t>
  </si>
  <si>
    <t>д.Барыгино</t>
  </si>
  <si>
    <t>д.Соколовод.Бродниково</t>
  </si>
  <si>
    <t>д.Бургово</t>
  </si>
  <si>
    <t>д.Рязанцево</t>
  </si>
  <si>
    <t>д.Костерёво</t>
  </si>
  <si>
    <t>д.Есемово</t>
  </si>
  <si>
    <t>д.Гримино</t>
  </si>
  <si>
    <t>д.Трёхгорная</t>
  </si>
  <si>
    <t>д.Итомля</t>
  </si>
  <si>
    <t>д.Бабинки</t>
  </si>
  <si>
    <t>д.Мешино</t>
  </si>
  <si>
    <t>д.Двойни</t>
  </si>
  <si>
    <t>д.Тихменёво</t>
  </si>
  <si>
    <t>д.Хомутово</t>
  </si>
  <si>
    <t>д.Бунегинод.Варатово</t>
  </si>
  <si>
    <t>д.Бураковод.Рогово</t>
  </si>
  <si>
    <t>д.Ново-садовая</t>
  </si>
  <si>
    <t>д.Цузово</t>
  </si>
  <si>
    <t>д.Мохначи</t>
  </si>
  <si>
    <t>д.ИльиГоры</t>
  </si>
  <si>
    <t>д.Анисимиха</t>
  </si>
  <si>
    <t>д.Байгорово</t>
  </si>
  <si>
    <t>д.Сахарово</t>
  </si>
  <si>
    <t>д.Городище</t>
  </si>
  <si>
    <t>д.Балаши</t>
  </si>
  <si>
    <t>д.Казицино</t>
  </si>
  <si>
    <t>д.Дорки</t>
  </si>
  <si>
    <t>д.Мясцово</t>
  </si>
  <si>
    <t>д.Бочарово</t>
  </si>
  <si>
    <t>д.Петрищево</t>
  </si>
  <si>
    <t>д.Картошино</t>
  </si>
  <si>
    <t>д.Филатово</t>
  </si>
  <si>
    <t>д.Холмово</t>
  </si>
  <si>
    <t>д.Денино</t>
  </si>
  <si>
    <t>д.Либзино</t>
  </si>
  <si>
    <t>д.Жаднево</t>
  </si>
  <si>
    <t>д.Вараксино</t>
  </si>
  <si>
    <t>д.Щербинино</t>
  </si>
  <si>
    <t>д.Михалёво</t>
  </si>
  <si>
    <t>д.Смолёво</t>
  </si>
  <si>
    <t>д.Лыкшино</t>
  </si>
  <si>
    <t>д.Овчинники</t>
  </si>
  <si>
    <t>д.Черменино</t>
  </si>
  <si>
    <t>д.Озерютино</t>
  </si>
  <si>
    <t>д.Рудница</t>
  </si>
  <si>
    <t>д.Займище</t>
  </si>
  <si>
    <t>д.Крестыд.Михайлики</t>
  </si>
  <si>
    <t>д.Горбыль</t>
  </si>
  <si>
    <t>д.Апалево</t>
  </si>
  <si>
    <t>д.Бороздино</t>
  </si>
  <si>
    <t>д.Родня(поселок)</t>
  </si>
  <si>
    <t>д.Чукавино</t>
  </si>
  <si>
    <t>c.Архангельское</t>
  </si>
  <si>
    <t>д.Авангард-Беклово</t>
  </si>
  <si>
    <t>д.Акишево-Кучково</t>
  </si>
  <si>
    <t>д.Алаево</t>
  </si>
  <si>
    <t>д.Алферьево</t>
  </si>
  <si>
    <t>д.Андрианково</t>
  </si>
  <si>
    <t>д.Антониха</t>
  </si>
  <si>
    <t>д.Аполишено</t>
  </si>
  <si>
    <t>д.Апухлицы</t>
  </si>
  <si>
    <t>д.Б.Волково</t>
  </si>
  <si>
    <t>д.Б.Капково</t>
  </si>
  <si>
    <t>д.Б.Коптево</t>
  </si>
  <si>
    <t>д.Б.Хорошово</t>
  </si>
  <si>
    <t>д.Балашутино</t>
  </si>
  <si>
    <t>д.Барашевскиегорки</t>
  </si>
  <si>
    <t>д.Башмаково</t>
  </si>
  <si>
    <t>д.Богоявление</t>
  </si>
  <si>
    <t>д.Ботнево</t>
  </si>
  <si>
    <t>д.Броды</t>
  </si>
  <si>
    <t>д.Брызгалово</t>
  </si>
  <si>
    <t>д.Брюхово</t>
  </si>
  <si>
    <t>д.Валуйки</t>
  </si>
  <si>
    <t>д.Вардугино-Селютино</t>
  </si>
  <si>
    <t>д.Витомово</t>
  </si>
  <si>
    <t>д.Воеводино</t>
  </si>
  <si>
    <t>д.Возницы-Глебово</t>
  </si>
  <si>
    <t>д.Выгайлово</t>
  </si>
  <si>
    <t>д.Глазуново</t>
  </si>
  <si>
    <t>д.Голубково</t>
  </si>
  <si>
    <t>д.Гольшино</t>
  </si>
  <si>
    <t>д.Григорево</t>
  </si>
  <si>
    <t>д.Грыжнево</t>
  </si>
  <si>
    <t>д.Гурьево</t>
  </si>
  <si>
    <t>д.ДаниловаСлобода</t>
  </si>
  <si>
    <t>д.Демихово</t>
  </si>
  <si>
    <t>д.Денесиха</t>
  </si>
  <si>
    <t>д.Дерягино</t>
  </si>
  <si>
    <t>д.Десятины</t>
  </si>
  <si>
    <t>д.Дубровино</t>
  </si>
  <si>
    <t>д.Дягунино</t>
  </si>
  <si>
    <t>д.Елизаветкино</t>
  </si>
  <si>
    <t>д.Емельяновоул.Зах.</t>
  </si>
  <si>
    <t>д.Ермачево</t>
  </si>
  <si>
    <t>д.Зашейково</t>
  </si>
  <si>
    <t>д.ЗмеевыГорки</t>
  </si>
  <si>
    <t>д.Иваниш.Горки</t>
  </si>
  <si>
    <t>д.Иваниши</t>
  </si>
  <si>
    <t>д.Ивачево</t>
  </si>
  <si>
    <t>д.Игутьево</t>
  </si>
  <si>
    <t>д.Избихино-Титово</t>
  </si>
  <si>
    <t>д.Иовлево</t>
  </si>
  <si>
    <t>д.Ищино</t>
  </si>
  <si>
    <t>д.Кожевниково-Корневки</t>
  </si>
  <si>
    <t>д.Кознаково</t>
  </si>
  <si>
    <t>д.Коконягино</t>
  </si>
  <si>
    <t>д.Коленицы</t>
  </si>
  <si>
    <t>д.Коняшено</t>
  </si>
  <si>
    <t>д.Кошево-Волга</t>
  </si>
  <si>
    <t>д.Крутцы</t>
  </si>
  <si>
    <t>д.Кузнецовка</t>
  </si>
  <si>
    <t>д.Куково</t>
  </si>
  <si>
    <t>д.Курцово</t>
  </si>
  <si>
    <t>д.Кушниково</t>
  </si>
  <si>
    <t>д.Лединки</t>
  </si>
  <si>
    <t>д.Лешково</t>
  </si>
  <si>
    <t>д.М.Волково</t>
  </si>
  <si>
    <t>д.М.Коптево</t>
  </si>
  <si>
    <t>д.М.Хорошово</t>
  </si>
  <si>
    <t>д.Малинники</t>
  </si>
  <si>
    <t>д.Мелтучи</t>
  </si>
  <si>
    <t>д.Минино-Холмец</t>
  </si>
  <si>
    <t>д.Моисеево-Анцинориха</t>
  </si>
  <si>
    <t>д.Молотино</t>
  </si>
  <si>
    <t>д.Мошино</t>
  </si>
  <si>
    <t>д.Н.Кобелево-Заболотье</t>
  </si>
  <si>
    <t>д.Н.Ямская</t>
  </si>
  <si>
    <t>д.Нащекино</t>
  </si>
  <si>
    <t>д.Неверово</t>
  </si>
  <si>
    <t>д.Ниж.иВерх.Спасс</t>
  </si>
  <si>
    <t>д.Нисконицы</t>
  </si>
  <si>
    <t>Вд.Орлово</t>
  </si>
  <si>
    <t>д.Павликово</t>
  </si>
  <si>
    <t>д.Панафидино</t>
  </si>
  <si>
    <t>д.Пентурово</t>
  </si>
  <si>
    <t>д.Пентурово-Железово</t>
  </si>
  <si>
    <t>д.Пепелово-Никиткино</t>
  </si>
  <si>
    <t>д.Подвязье№06Старица</t>
  </si>
  <si>
    <t>д.Подсосанье</t>
  </si>
  <si>
    <t>д.Попово-Берлягино</t>
  </si>
  <si>
    <t>д.Прасковьино-Сущево</t>
  </si>
  <si>
    <t>д.Рамейково</t>
  </si>
  <si>
    <t>д.Репинки</t>
  </si>
  <si>
    <t>КТП-10кВд.Репино№16Степурино</t>
  </si>
  <si>
    <t>д.Рождественно</t>
  </si>
  <si>
    <t>д.Руссобино</t>
  </si>
  <si>
    <t>д.Сасынье</t>
  </si>
  <si>
    <t>д.Сатино</t>
  </si>
  <si>
    <t>д.Сафроново</t>
  </si>
  <si>
    <t>д.Свистуново</t>
  </si>
  <si>
    <t>д.Сенчуково</t>
  </si>
  <si>
    <t>д.Сергеево</t>
  </si>
  <si>
    <t>д.Сергино</t>
  </si>
  <si>
    <t>д.Сетки</t>
  </si>
  <si>
    <t>д.Смагин</t>
  </si>
  <si>
    <t>д.СтароКурцово</t>
  </si>
  <si>
    <t>д.Стегнишено</t>
  </si>
  <si>
    <t>д.Степанково</t>
  </si>
  <si>
    <t>д.СтранаСоветов</t>
  </si>
  <si>
    <t>д.Стренево-Девонисово</t>
  </si>
  <si>
    <t>д.Суравцово</t>
  </si>
  <si>
    <t>д.Сухолжино</t>
  </si>
  <si>
    <t>д.Тальцы</t>
  </si>
  <si>
    <t>д.Теплово</t>
  </si>
  <si>
    <t>д.Терпилово</t>
  </si>
  <si>
    <t>д.Терпниково</t>
  </si>
  <si>
    <t>д.Толмачево</t>
  </si>
  <si>
    <t>д.Толпино</t>
  </si>
  <si>
    <t>д.Улитино</t>
  </si>
  <si>
    <t>д.УшаковскиеГорки</t>
  </si>
  <si>
    <t>д.Федорково</t>
  </si>
  <si>
    <t>д.Холохольня</t>
  </si>
  <si>
    <t>д.Чадово</t>
  </si>
  <si>
    <t>д.Черничено</t>
  </si>
  <si>
    <t>д.Чинцово</t>
  </si>
  <si>
    <t>д.Шавково</t>
  </si>
  <si>
    <t>д.Шебаршино</t>
  </si>
  <si>
    <t>д.Шелково</t>
  </si>
  <si>
    <t>д.Шиловка</t>
  </si>
  <si>
    <t>д.Шилово</t>
  </si>
  <si>
    <t>д.Шишково</t>
  </si>
  <si>
    <t>д.Щапово</t>
  </si>
  <si>
    <t>КТП-10кВд.Щелкачево№01Берново</t>
  </si>
  <si>
    <t>д.Щитниково</t>
  </si>
  <si>
    <t>д.Яйцово</t>
  </si>
  <si>
    <t>д.Яковково</t>
  </si>
  <si>
    <t>д.Ялыгино</t>
  </si>
  <si>
    <t>Долгуши-Тимошкино-Изосенки</t>
  </si>
  <si>
    <t>с.Степурино</t>
  </si>
  <si>
    <t>с.Луковниково</t>
  </si>
  <si>
    <t>д.Болдырево№13Старица</t>
  </si>
  <si>
    <t>д.Боровая</t>
  </si>
  <si>
    <t>д.Боярниково</t>
  </si>
  <si>
    <t>д.Гвоздево</t>
  </si>
  <si>
    <t>д.ЗаднееПоле</t>
  </si>
  <si>
    <t>д.Рыблово</t>
  </si>
  <si>
    <t>д.Селиваново</t>
  </si>
  <si>
    <t>д.Теличено</t>
  </si>
  <si>
    <t>д.Техменево</t>
  </si>
  <si>
    <t>д.Черново</t>
  </si>
  <si>
    <t>д.Чупруново</t>
  </si>
  <si>
    <t>д.Чухино</t>
  </si>
  <si>
    <t>д.СухойРучей</t>
  </si>
  <si>
    <t>д.Мишево</t>
  </si>
  <si>
    <t>п.КрасныйГородок</t>
  </si>
  <si>
    <t>д.Косарово</t>
  </si>
  <si>
    <t>д.Ляды</t>
  </si>
  <si>
    <t>д.Шелуденево</t>
  </si>
  <si>
    <t>д.Б.Воллга</t>
  </si>
  <si>
    <t>д.Дрыгомо</t>
  </si>
  <si>
    <t>д.Б.Коша</t>
  </si>
  <si>
    <t>д.Шуваево</t>
  </si>
  <si>
    <t>д.Ольхово</t>
  </si>
  <si>
    <t>д.Хотошино</t>
  </si>
  <si>
    <t>д.Абаконово</t>
  </si>
  <si>
    <t>д.Азаново</t>
  </si>
  <si>
    <t>д.Алешино</t>
  </si>
  <si>
    <t>д.Апокинь</t>
  </si>
  <si>
    <t>д.Б.Бор</t>
  </si>
  <si>
    <t>д.Лапушка</t>
  </si>
  <si>
    <t>д.Барагино</t>
  </si>
  <si>
    <t>д.Безумничено</t>
  </si>
  <si>
    <t>д.Безымянка</t>
  </si>
  <si>
    <t>д.Березуг</t>
  </si>
  <si>
    <t>д.Берники</t>
  </si>
  <si>
    <t>д.Бор-Волго</t>
  </si>
  <si>
    <t>д.Борисовка</t>
  </si>
  <si>
    <t>д.Боровицы</t>
  </si>
  <si>
    <t>д.Будаево</t>
  </si>
  <si>
    <t>д.Бутырки</t>
  </si>
  <si>
    <t>д.Быковка</t>
  </si>
  <si>
    <t>д.В.Горицы</t>
  </si>
  <si>
    <t>д.Вилейка</t>
  </si>
  <si>
    <t>д.Волга</t>
  </si>
  <si>
    <t>д.Выжлятниково</t>
  </si>
  <si>
    <t>д.Выпрягово</t>
  </si>
  <si>
    <t>д.Вышегород</t>
  </si>
  <si>
    <t>д.Гафидово</t>
  </si>
  <si>
    <t>д.Глухарево</t>
  </si>
  <si>
    <t>д.Гогино</t>
  </si>
  <si>
    <t>д.Гольтино</t>
  </si>
  <si>
    <t>д.Девичье</t>
  </si>
  <si>
    <t>д.Дедово</t>
  </si>
  <si>
    <t>д.Доронино</t>
  </si>
  <si>
    <t>д.ДружнаяГорка</t>
  </si>
  <si>
    <t>д.Дубровки</t>
  </si>
  <si>
    <t>д.Дубы</t>
  </si>
  <si>
    <t>д.Дягилево</t>
  </si>
  <si>
    <t>д.Ельцы</t>
  </si>
  <si>
    <t>д.Жегорино</t>
  </si>
  <si>
    <t>д.Завирье</t>
  </si>
  <si>
    <t>д.Зеленино</t>
  </si>
  <si>
    <t>д.Зеленоваха</t>
  </si>
  <si>
    <t>д.Земцово</t>
  </si>
  <si>
    <t>д.Ивково</t>
  </si>
  <si>
    <t>д.Ильино</t>
  </si>
  <si>
    <t>д.Казаково</t>
  </si>
  <si>
    <t>д.Козицыно</t>
  </si>
  <si>
    <t>д.Козловцы</t>
  </si>
  <si>
    <t>д.Коньшино</t>
  </si>
  <si>
    <t>д.Кр.Озерок</t>
  </si>
  <si>
    <t>д.Краски</t>
  </si>
  <si>
    <t>д.Крестцы</t>
  </si>
  <si>
    <t>д.Крючье</t>
  </si>
  <si>
    <t>д.Кузнятино</t>
  </si>
  <si>
    <t>д.Кукушкино</t>
  </si>
  <si>
    <t>д.Кулешиха</t>
  </si>
  <si>
    <t>д.Куниченково</t>
  </si>
  <si>
    <t>д.Ладное</t>
  </si>
  <si>
    <t>д.Ладышкино</t>
  </si>
  <si>
    <t>д.Ланино</t>
  </si>
  <si>
    <t>д.Левченки</t>
  </si>
  <si>
    <t>д.Лешки</t>
  </si>
  <si>
    <t>д.М.Бор</t>
  </si>
  <si>
    <t>д.М.Гора</t>
  </si>
  <si>
    <t>д.Мамоново</t>
  </si>
  <si>
    <t>д.Манухино</t>
  </si>
  <si>
    <t>д.Маревка</t>
  </si>
  <si>
    <t>д.Мелентьево</t>
  </si>
  <si>
    <t>д.Михальчинки</t>
  </si>
  <si>
    <t>д.Мишково</t>
  </si>
  <si>
    <t>д.Мосалово</t>
  </si>
  <si>
    <t>д.Мосягино</t>
  </si>
  <si>
    <t>д.Нероново</t>
  </si>
  <si>
    <t>д.Никоново</t>
  </si>
  <si>
    <t>д.Оковцы</t>
  </si>
  <si>
    <t>д.Островки</t>
  </si>
  <si>
    <t>д.Панино</t>
  </si>
  <si>
    <t>д.Парамоновка</t>
  </si>
  <si>
    <t>д.Петренево</t>
  </si>
  <si>
    <t>д.Печеницыно</t>
  </si>
  <si>
    <t>д.Погост-Голенково</t>
  </si>
  <si>
    <t>д.Поддубное</t>
  </si>
  <si>
    <t>д.Полоохино</t>
  </si>
  <si>
    <t>д.Попково</t>
  </si>
  <si>
    <t>д.Пунятино</t>
  </si>
  <si>
    <t>д.Пьянково</t>
  </si>
  <si>
    <t>д.Ранцево</t>
  </si>
  <si>
    <t>д.Растворово</t>
  </si>
  <si>
    <t>д.Санево</t>
  </si>
  <si>
    <t>д.Сеитово</t>
  </si>
  <si>
    <t>д.СидороваГора</t>
  </si>
  <si>
    <t>д.Сижинское</t>
  </si>
  <si>
    <t>д.Скакулино</t>
  </si>
  <si>
    <t>д.Сковорово</t>
  </si>
  <si>
    <t>д.Славатино</t>
  </si>
  <si>
    <t>д.Сосноватка</t>
  </si>
  <si>
    <t>д.Старая</t>
  </si>
  <si>
    <t>д.Струги</t>
  </si>
  <si>
    <t>д.Ступино</t>
  </si>
  <si>
    <t>д.Сухошины</t>
  </si>
  <si>
    <t>д.Сушково</t>
  </si>
  <si>
    <t>д.Татариново</t>
  </si>
  <si>
    <t>д.Тегляцы</t>
  </si>
  <si>
    <t>д.Толочино</t>
  </si>
  <si>
    <t>д.Тростянка</t>
  </si>
  <si>
    <t>д.Трофимково</t>
  </si>
  <si>
    <t>д.Филистово</t>
  </si>
  <si>
    <t>д.Хиловец</t>
  </si>
  <si>
    <t>д.Хилово</t>
  </si>
  <si>
    <t>д.Холзуево</t>
  </si>
  <si>
    <t>д.Чащевка</t>
  </si>
  <si>
    <t>д.Черное</t>
  </si>
  <si>
    <t>д.Шамрино</t>
  </si>
  <si>
    <t>д.Шевели</t>
  </si>
  <si>
    <t>д.Колтаково</t>
  </si>
  <si>
    <t>д.Повадино</t>
  </si>
  <si>
    <t>д.Прудки</t>
  </si>
  <si>
    <t>д.Б.Клочки</t>
  </si>
  <si>
    <t>д.Лемно</t>
  </si>
  <si>
    <t>д.Стрельник</t>
  </si>
  <si>
    <t>д.Хитицы</t>
  </si>
  <si>
    <t>д.Черногубово</t>
  </si>
  <si>
    <t>д.Ям-Столыпино</t>
  </si>
  <si>
    <t>д.Ларионово</t>
  </si>
  <si>
    <t>д.Песочня</t>
  </si>
  <si>
    <t>п.Селижарово</t>
  </si>
  <si>
    <t>д.Кутолово</t>
  </si>
  <si>
    <t>д.Кекешево</t>
  </si>
  <si>
    <t>д.Б.Ивахново</t>
  </si>
  <si>
    <t>д.Бучково</t>
  </si>
  <si>
    <t>д.Горелуши</t>
  </si>
  <si>
    <t>д.Девясилка</t>
  </si>
  <si>
    <t>д.Зимник</t>
  </si>
  <si>
    <t>д.Килешино</t>
  </si>
  <si>
    <t>д.Конное</t>
  </si>
  <si>
    <t>д.Копылы</t>
  </si>
  <si>
    <t>д.Кулешино</t>
  </si>
  <si>
    <t>д.Куричино</t>
  </si>
  <si>
    <t>д.Ленино</t>
  </si>
  <si>
    <t>д.Морочи</t>
  </si>
  <si>
    <t>д.Мочалище</t>
  </si>
  <si>
    <t>д.Мясково</t>
  </si>
  <si>
    <t>д.Неведовка</t>
  </si>
  <si>
    <t>д.Палихово</t>
  </si>
  <si>
    <t>д.Проваленная</t>
  </si>
  <si>
    <t>д.Ржавцы</t>
  </si>
  <si>
    <t>д.Сенино</t>
  </si>
  <si>
    <t>д.Смольки</t>
  </si>
  <si>
    <t>д.Сысоево</t>
  </si>
  <si>
    <t>д.Тверское</t>
  </si>
  <si>
    <t>д.Терентьево</t>
  </si>
  <si>
    <t>д.Угольница</t>
  </si>
  <si>
    <t>д.Чижи</t>
  </si>
  <si>
    <t>д.Шалахино</t>
  </si>
  <si>
    <t>д.Холопово</t>
  </si>
  <si>
    <t>д.Клочки</t>
  </si>
  <si>
    <t>д.Ефремово</t>
  </si>
  <si>
    <t>д.Абакумово</t>
  </si>
  <si>
    <t>д.Богатьково</t>
  </si>
  <si>
    <t>Долматово</t>
  </si>
  <si>
    <t>СНТНовое</t>
  </si>
  <si>
    <t>ПервомайскиеГорки</t>
  </si>
  <si>
    <t>Великоесело</t>
  </si>
  <si>
    <t>п.Киселево</t>
  </si>
  <si>
    <t>п.Загородный</t>
  </si>
  <si>
    <t>с/оХимик</t>
  </si>
  <si>
    <t>Никола,Власьево</t>
  </si>
  <si>
    <t>Васильевское,Орудово</t>
  </si>
  <si>
    <t>с/оТверскаямануфактура</t>
  </si>
  <si>
    <t>ХуторТроицкое</t>
  </si>
  <si>
    <t>НовыйПоселок</t>
  </si>
  <si>
    <t>мкр.Мамулино</t>
  </si>
  <si>
    <t>КраснаяНовь</t>
  </si>
  <si>
    <t>Колесниково,Вишенки</t>
  </si>
  <si>
    <t>Колесниково,Митяево</t>
  </si>
  <si>
    <t>СтарыйПогост</t>
  </si>
  <si>
    <t>СНТКамаз</t>
  </si>
  <si>
    <t>ДальнееХорошово</t>
  </si>
  <si>
    <t>БлижнееХорошово</t>
  </si>
  <si>
    <t>д.Городня</t>
  </si>
  <si>
    <t>Ширяково,Зеленец</t>
  </si>
  <si>
    <t>п.Заволжский</t>
  </si>
  <si>
    <t>СтароеБрянцево</t>
  </si>
  <si>
    <t>НовоеБрянцево</t>
  </si>
  <si>
    <t>ст.Кулицкая</t>
  </si>
  <si>
    <t>ИвановскиеГорки</t>
  </si>
  <si>
    <t>Ивановское,Новосельцы</t>
  </si>
  <si>
    <t>НовоеЧопрово</t>
  </si>
  <si>
    <t>СтароеЧопрово</t>
  </si>
  <si>
    <t>КрасныйБор</t>
  </si>
  <si>
    <t>с.КраснаяГора</t>
  </si>
  <si>
    <t>СНТСтимул</t>
  </si>
  <si>
    <t>с.Медное</t>
  </si>
  <si>
    <t>СавинскаяСлобода</t>
  </si>
  <si>
    <t>Сухойручей</t>
  </si>
  <si>
    <t>п.Аввакумово</t>
  </si>
  <si>
    <t>п.Сахарово</t>
  </si>
  <si>
    <t>п.Эммаус</t>
  </si>
  <si>
    <t>ЕдимоновскиеГорки</t>
  </si>
  <si>
    <t>Осиновки,Загорье</t>
  </si>
  <si>
    <t>Кашенцево,Сакулино</t>
  </si>
  <si>
    <t>КрутыеГорки</t>
  </si>
  <si>
    <t>БольшиеГорки</t>
  </si>
  <si>
    <t>Бережки</t>
  </si>
  <si>
    <t>МалыеГорки</t>
  </si>
  <si>
    <t>Ананьино,Писково</t>
  </si>
  <si>
    <t>М.Селище</t>
  </si>
  <si>
    <t>Цветково,Шокорово</t>
  </si>
  <si>
    <t>КраснаяГорка</t>
  </si>
  <si>
    <t>БольшоеСелище</t>
  </si>
  <si>
    <t>МалоеСелище</t>
  </si>
  <si>
    <t>ДолгаяПожня</t>
  </si>
  <si>
    <t>Савино,Федоровское</t>
  </si>
  <si>
    <t>Львово,Котово,Марьино</t>
  </si>
  <si>
    <t>ЛеснаяПоляна</t>
  </si>
  <si>
    <t>Покровское,Поддубки</t>
  </si>
  <si>
    <t>п.Новое</t>
  </si>
  <si>
    <t>Сергеево,Титово</t>
  </si>
  <si>
    <t>Солодилово,Волнино</t>
  </si>
  <si>
    <t>дТекстильщик</t>
  </si>
  <si>
    <t>дТешилово</t>
  </si>
  <si>
    <t>пН-Завидово</t>
  </si>
  <si>
    <t>сГородня</t>
  </si>
  <si>
    <t>НМелково</t>
  </si>
  <si>
    <t>дПавельцево</t>
  </si>
  <si>
    <t>дБушмено</t>
  </si>
  <si>
    <t>дДорино</t>
  </si>
  <si>
    <t>дИвановао</t>
  </si>
  <si>
    <t>дЮрьево</t>
  </si>
  <si>
    <t>дБорцино</t>
  </si>
  <si>
    <t>дОгурцово</t>
  </si>
  <si>
    <t>дМелково</t>
  </si>
  <si>
    <t>дСлобода</t>
  </si>
  <si>
    <t>Дипкорпус</t>
  </si>
  <si>
    <t>сЗавидово</t>
  </si>
  <si>
    <t>дКарлаМаркса</t>
  </si>
  <si>
    <t>дРябинки</t>
  </si>
  <si>
    <t>дШоша</t>
  </si>
  <si>
    <t>дШуклово</t>
  </si>
  <si>
    <t>дТерехова</t>
  </si>
  <si>
    <t>дАрхангельское</t>
  </si>
  <si>
    <t>дВараксино</t>
  </si>
  <si>
    <t>пМокшино</t>
  </si>
  <si>
    <t>дДемидово</t>
  </si>
  <si>
    <t>дДмитрово</t>
  </si>
  <si>
    <t>дСтариково</t>
  </si>
  <si>
    <t>дГолениха</t>
  </si>
  <si>
    <t>дМятлево</t>
  </si>
  <si>
    <t>дГородище</t>
  </si>
  <si>
    <t>дМиснево</t>
  </si>
  <si>
    <t>дКузьминское</t>
  </si>
  <si>
    <t>дПолукарпово</t>
  </si>
  <si>
    <t>дОшурково</t>
  </si>
  <si>
    <t>дН-Семеновское</t>
  </si>
  <si>
    <t>дСтСеменовское</t>
  </si>
  <si>
    <t>дН-Семено-вское</t>
  </si>
  <si>
    <t>дВедерня</t>
  </si>
  <si>
    <t>дАлексино</t>
  </si>
  <si>
    <t>дВоскресенское</t>
  </si>
  <si>
    <t>дОтроковичи</t>
  </si>
  <si>
    <t>дГорки</t>
  </si>
  <si>
    <t>дКоромыслово</t>
  </si>
  <si>
    <t>дЛукино</t>
  </si>
  <si>
    <t>дМежево</t>
  </si>
  <si>
    <t>дМеженино</t>
  </si>
  <si>
    <t>пКошелево</t>
  </si>
  <si>
    <t>дКозлово</t>
  </si>
  <si>
    <t>пОзерки</t>
  </si>
  <si>
    <t>дЗаполок</t>
  </si>
  <si>
    <t>дТурыгино</t>
  </si>
  <si>
    <t>дАртемово</t>
  </si>
  <si>
    <t>дПлоски</t>
  </si>
  <si>
    <t>пВахонино</t>
  </si>
  <si>
    <t>дИскрино</t>
  </si>
  <si>
    <t>дСвердлово</t>
  </si>
  <si>
    <t>дНовошино</t>
  </si>
  <si>
    <t>ддолинки</t>
  </si>
  <si>
    <t>дВахромеево</t>
  </si>
  <si>
    <t>дГорбасьево</t>
  </si>
  <si>
    <t>дБелавино</t>
  </si>
  <si>
    <t>дСажино</t>
  </si>
  <si>
    <t>сСелихово</t>
  </si>
  <si>
    <t>дЧублово</t>
  </si>
  <si>
    <t>дМарьино</t>
  </si>
  <si>
    <t>дФилимоново</t>
  </si>
  <si>
    <t>дПоречье</t>
  </si>
  <si>
    <t>дПокровка</t>
  </si>
  <si>
    <t>дСорокопенье</t>
  </si>
  <si>
    <t>дверханово</t>
  </si>
  <si>
    <t>сДм.Гора</t>
  </si>
  <si>
    <t>дСынково</t>
  </si>
  <si>
    <t>дПеньи</t>
  </si>
  <si>
    <t>дКрасинское</t>
  </si>
  <si>
    <t>дБараниково</t>
  </si>
  <si>
    <t>сРучьи</t>
  </si>
  <si>
    <t>дБотеново</t>
  </si>
  <si>
    <t>дДулово</t>
  </si>
  <si>
    <t>дДомкино</t>
  </si>
  <si>
    <t>дВысоково</t>
  </si>
  <si>
    <t>дБыстрово</t>
  </si>
  <si>
    <t>дДанилово</t>
  </si>
  <si>
    <t>дСлободка</t>
  </si>
  <si>
    <t>дРябиково</t>
  </si>
  <si>
    <t>добухово</t>
  </si>
  <si>
    <t>дМишино</t>
  </si>
  <si>
    <t>дУразово</t>
  </si>
  <si>
    <t>дСпиридово</t>
  </si>
  <si>
    <t>дЗапрудье</t>
  </si>
  <si>
    <t>дНикольское</t>
  </si>
  <si>
    <t>дКувалдино</t>
  </si>
  <si>
    <t>дТокарево</t>
  </si>
  <si>
    <t>дКрутец</t>
  </si>
  <si>
    <t>дТарлаково</t>
  </si>
  <si>
    <t>дСтЗавражье</t>
  </si>
  <si>
    <t>дКоровино</t>
  </si>
  <si>
    <t>дСенинское</t>
  </si>
  <si>
    <t>дКолодкино</t>
  </si>
  <si>
    <t>дН.Завражье</t>
  </si>
  <si>
    <t>дНовоселье</t>
  </si>
  <si>
    <t>дФедоровское</t>
  </si>
  <si>
    <t>дЮренево</t>
  </si>
  <si>
    <t>дФролово</t>
  </si>
  <si>
    <t>Тучево</t>
  </si>
  <si>
    <t>P, Q</t>
  </si>
  <si>
    <t>40150483
(договор заключен 01.03.2011)</t>
  </si>
  <si>
    <t xml:space="preserve">Договор 40500020
Заключен 20.01.2012 </t>
  </si>
  <si>
    <t>40551374
(договор заключен 03.05.2012)</t>
  </si>
  <si>
    <t xml:space="preserve">40614807
(договор заключен 08.11.2012 г.) </t>
  </si>
  <si>
    <t xml:space="preserve">40625647
(договор заключен 14.03.2013) </t>
  </si>
  <si>
    <t>40729864
(договор заключен 24.05.2013)</t>
  </si>
  <si>
    <t>40729902
(долговор заключен 24.05.2013)</t>
  </si>
  <si>
    <t>40740747
(договор заключен 02.07.2013)</t>
  </si>
  <si>
    <t>40731365
(договор заключен 03.07.2013)</t>
  </si>
  <si>
    <t>40733678
(договор заключен 16.07.2013)</t>
  </si>
  <si>
    <t>40711098
(договор заключен 16.07.2013 г.)</t>
  </si>
  <si>
    <t>40750602
(договор заключен 16.07.2013)</t>
  </si>
  <si>
    <t>40711391
(договор заключен 16.07.2013)</t>
  </si>
  <si>
    <t>40753766
(договор заключен 29.07.2013)</t>
  </si>
  <si>
    <t>40739211
(договор заключен 30.07.2013)</t>
  </si>
  <si>
    <t>40722587
(договор заключен 01.08.2013)</t>
  </si>
  <si>
    <t>40737728
(договор заключен 02.08.2013)</t>
  </si>
  <si>
    <t>40750612 
(договор заключен 05.08.2013)</t>
  </si>
  <si>
    <t>Крупенина Оксана Анатольевна</t>
  </si>
  <si>
    <t>ЛЭП-10 кВ и ТП-10/0,4 кВ-63 кВА для электроснабжения жилого дома_Тверская область, Вышневолоцкий район, Сорокинское с/п, дер. Сороки, ул. Центральная, д. 26 (кадастровые номера 69:06:0170301:61, 69:06:0170301:61:46)_в ОРЗТП с 13.08.2013</t>
  </si>
  <si>
    <t>СНТ "Крутец-Дулево"</t>
  </si>
  <si>
    <t>ООО "Тверьоблээлектро"</t>
  </si>
  <si>
    <t>ЛЭП-10 кВ и ТП-10/0,4 кВ-160 кВА_Тверская область, Кашинский район, г. Кашин, ул. Дружбы (микрорайон "Северный")_в ОРЗТП с 26.07.2013 г.</t>
  </si>
  <si>
    <t>ВЛ-10 кВ и ТП-10/0,4 кВ -100 кВА для электроснабжения двух 4-х квартирных жилых домов_Тверская область, г. Торжок, ул. Ржевская, примерно в 9 м по направления на запад от дома № 73 (земельный учасаток с кадастровым номером 69:47:0160121:26)_в ОРЗТП с 10.07.2013 г.</t>
  </si>
  <si>
    <t>ООО "Абсолют"</t>
  </si>
  <si>
    <t>ООО "1166 ВСУ"</t>
  </si>
  <si>
    <t>ЛЭП-10 кВ и ТП-10/0,4 кВ для электроснабжения производственной базы _Тверская область, г. Торжок, ул. Ржевская, д. 65 А_в ОРЗТП с 13.08.2013 г.</t>
  </si>
  <si>
    <t>ЛЭП-0,4 кВ для электроснабжнения строительных механизмов многоквартирного жилого дома_Тверская область, г. Торжок (земельные участки с кадастровыми номерами 69:47016117:9, 69:47:0160118:9, 69:47:0160119:6, 69:47:0160119:7, 69:47:0160119:8, 69:47:0160119:9)_в ОРЗТП с 13.08.2013 г.</t>
  </si>
  <si>
    <t>ЛЭП-10 кВ и ТП-10/0,4 кВдля электроснабжения стройплощадки свинокомплекса_Тверская область, Бежецкий район, Шишковское с/п., д. Викторово_в ОРЗТП с 08.08.2013</t>
  </si>
  <si>
    <t>МБОУ "Ульяновская СОШ"</t>
  </si>
  <si>
    <t>МБОУ "Ульяновская СОШ"_Тверская область, Зубцовский район, Ульяновское с/п, дер. Ульяново, ул. Школная, д. 34_в ОРЗТП с 26.07.13 г.</t>
  </si>
  <si>
    <t>Средняя школа на 150 учащихся в д. Степурино_Тверская область, старицкий район, Степуринское с/п, дер. Степурино, ул. Молодежная , д. 8, 9, 10 (земельный участок с кадастровым номером 69:32:0311212:70)_в ОРЗТП с 01.08.2013 г.</t>
  </si>
  <si>
    <t>Мостман Сергей Григорьевич</t>
  </si>
  <si>
    <t>Картофельное хранилище_почтовый адрес ориентира: Тверская область, Старицкий район, Архангельское с/п, дер. Саначиво (кадастрвый номер 69:32:0000034:353)_в ОРЗТП с 13.08.2013 г.</t>
  </si>
  <si>
    <t>ЗАО "ИНВЕСТСТРОЙ-15"</t>
  </si>
  <si>
    <t>Жилая застройка на 506 квартир_Тверская область, г. Торжок_в ОРЗТП с 12.08.2013</t>
  </si>
  <si>
    <t>ООО "Газпром инвест"</t>
  </si>
  <si>
    <t>ООО "ТрансЭко"</t>
  </si>
  <si>
    <t>Электроснабжение цеха по переработке шпал_почтовый адрес ориентира: Тверская область, Пеновский район, Охватское с/п., пос. Соблаго (земельный участок с кадастровым номером 69:25:0000012:190) в ОРЗТП с 26.07.2009 г.</t>
  </si>
  <si>
    <t>Иванов Олег Алексеевич</t>
  </si>
  <si>
    <t>Ввводное устройство жилого дома_Тверс кая область, г. Торжок, ул. Дзержинского, д. 73 (кадастровый номер 69:47:130502:0022:2/624/34А)_в ОРЗТП с 01.08.2013 г.</t>
  </si>
  <si>
    <t>Абрамсон Илья Маркович</t>
  </si>
  <si>
    <t>Вводное устройство здания коровника_Тверская область, Калязинский район, Нерльское с/п, дер. Кортино, № 6 (кадастровый номер 69:11:0280301:47:8)_в ОРЗТП с 01.08.2013</t>
  </si>
  <si>
    <t>Зубков Евгения Александрович</t>
  </si>
  <si>
    <t>ЛЭП-10 кВ и ТП-10/0,4 кВ - 160 кВА для электроснабжения животноводческого комплекса _Тверская область, Кимрский район, Стоянцевское с/п, с. Стоянцы_в ОРЗТП с 01.08.2013 г.</t>
  </si>
  <si>
    <t>СНТ "Мелиоратор"</t>
  </si>
  <si>
    <t>Садоводческое некоммерческое товарищество_Тверская область, Кимрский район_в ОРЗТП с 26.07.2013 г.</t>
  </si>
  <si>
    <t>Электроснабжение объекта "КП ТМ на км 262 МГ "Белоусово - Ленинград"_Тверская область, Старицкий район, 1150 м северо-западнее населенного пункта Кунилово_в ОРЗТП с 01.08.2013 г.</t>
  </si>
  <si>
    <t>Электроснабжение объекта "КП ТМ на км 256 МГ "Белоусово - Ленинград"_Тверская область, Старицкий район, 1164 м сзападнее населенного пункта Акишево_в ОРЗТП с 01.08.2013 г.</t>
  </si>
  <si>
    <t>Казнин Дмитрий Владимирович</t>
  </si>
  <si>
    <t>Объект "Логистический центр"_Тверская область, г. Тверь, Октябрьский проспект (земельный участок с кадастровым номером 69:40:0300339:1081)_в ОРЗТП с 05.08.2013 г.э\</t>
  </si>
  <si>
    <t>ООО "ИнвестСтрой"</t>
  </si>
  <si>
    <t>Жилая застройка_Тверская область, г. Тверь (земельный участок с кадастровым номером 69:40:0300159:198)_в ОРЗТП с 08.2013</t>
  </si>
  <si>
    <t>ООО "Глобус"</t>
  </si>
  <si>
    <t>Производственный цех_Тверская область, г. Тверь, дер. Борихино, арйон д. № 10 (кадастровый номер 69:40:0300014:8:12)_в ОРЗТП с 16.07.13 г.</t>
  </si>
  <si>
    <t>Веселов Алексей Евгеньевич</t>
  </si>
  <si>
    <t>Склад сыпучих материалоа_Тверская область, г.Тверь, ул. Индустриальная, д. 8 (кадастровый номер 69:40:02:00:011:0014:1/021450/37:10000/В)_в ОРЗТП с 10.07.2013 г.</t>
  </si>
  <si>
    <t>ООО "Дом стекла"</t>
  </si>
  <si>
    <t>Производственная база_Тверская обл., г. Тверь, Москеовский район, пос. Элеватор, промзона "Лазурная"_в ОРЗТП с 05.07.2013 г.</t>
  </si>
  <si>
    <t>ООО "Восход"</t>
  </si>
  <si>
    <t>Придорожный комплекс_Тверская область, Калининский район, Эммаусское с/п, пос. Эммаусс вдоль трассы Москва - Санкт-Петербург, 152 км + 350 м (вправо) (земельный участок с кадастровым номером 69:10:0260609:93)_в ОРЗТП с 08.2013 г.</t>
  </si>
  <si>
    <t>Кокшаров Николай Александрович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</si>
  <si>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69:10:0260609:165)_в ОРЗТП с 05.07.2013</t>
  </si>
  <si>
    <t>СНТ "Монолоит"</t>
  </si>
  <si>
    <t>ОАО "Ростелеком"</t>
  </si>
  <si>
    <t>Административное здание_почтовый адрес оринентира: Тверская область, Конаковский район, Мокшинское с/п., дер. Безбородово (земельный участок с кадастровым номером 68:15:0190302:4)_в ОРЗТП с 05.07.2013 г.</t>
  </si>
  <si>
    <t>СНТ "Волга"</t>
  </si>
  <si>
    <t>СНТ_Тверская область, Калининский район, Каблуковское с/п, СНТ "Волга", район дер. Поддубье_в ОРЗТП с 05.07.2013</t>
  </si>
  <si>
    <t>Администрация МО Тверской области "Калининский район"</t>
  </si>
  <si>
    <t>Жилая застройка_Тверская область, Калининский район, Верхневолжское с/п, с. Пушкино (земельный участок с кадастровым номером 69:10:0360401:593 (в ОРЗТП с 05.07.2013)</t>
  </si>
  <si>
    <t>СНТ "Полесье"</t>
  </si>
  <si>
    <t>Жилая застройка_Тверская область, Конаковский район, Мокшинское с/п, дер. Кабаново (земельный участок с кадастровым номером 69:15:0000027:332)_в ОРЗТП с 05.07.13 г.</t>
  </si>
  <si>
    <t>Беляков Игорь Алексеевич</t>
  </si>
  <si>
    <t>Животноводческий комплекс_почтовый адрес ориентира Тверская область, Зубцовский район, Дорожаевское с/п, в границах СХП колхоза "Восход" в районе дер. Глебово (юго-западная сторона), земельный участок с кадастровым номером 69:09:0000014:137_в ОРЗТП с 26.07.2013 г.</t>
  </si>
  <si>
    <t>МКУ "СОД-ЕДДС"</t>
  </si>
  <si>
    <t>Административно-управленческое зданаие_Тверская область, Максатихинский район, пгт. Максатиха, ул. Пролетарская , д. 4 (кадастровый номер: 69:20:0070130:0:7)_в ОРЗТП с 25.07.2013</t>
  </si>
  <si>
    <t>Попов Геннадий Валерьевич</t>
  </si>
  <si>
    <t>Гусиная Ферма_Тверская область, Фировский район, Великооктябрьское с/п, дер. Жуково (земельный участок с кадастровым номером 69:36:0000017:793)_в ОРЗТП с 26.07.13</t>
  </si>
  <si>
    <t>Стрепехов Сергей Владиславович</t>
  </si>
  <si>
    <t>Жилой дом_Тверская область, Кашинский район, Барыковское сельское поселение, дер. Туровино, д. 6 (земельный участок с кадастровым номером 69:12:253401:0049:2-113:0000/А)_в ОРЗТП с 10.07.2013 г.</t>
  </si>
  <si>
    <t>СНТ "Светлана"</t>
  </si>
  <si>
    <t>СНТ_Тверская область, Калязинский район, Васильевский с.п., вблизи дер. Заручье (земельный участок с кадастровым номером 69:11:000018:0086)_в ОРЗТП с 10.07.2013</t>
  </si>
  <si>
    <t>ТРГС - филиал ФГУП "Канал имени Москвы"</t>
  </si>
  <si>
    <t>"Верхневолжская плотина"_Тверская область, Селижаровский район, Селищенское с/п, н.п. Верхневолжский бейшлот_в ОРЗТП с 10.07.2013 г.</t>
  </si>
  <si>
    <t>Жилой дом_Местоположение установлено относительно ориентира, расположенного за пределами участка, адрес ориентира Тверская область, Зубцовский район, Вазузское с/п, дер. Новоселово (земельный участок с кадастровым номером 69:09:0000026:499)</t>
  </si>
  <si>
    <t>д.Новоивановское</t>
  </si>
  <si>
    <t>Западнодвинский</t>
  </si>
  <si>
    <t>ТП 007 (Новоивановское)</t>
  </si>
  <si>
    <t>ТП 008 (Лаврово)</t>
  </si>
  <si>
    <t>д.Хотино</t>
  </si>
  <si>
    <t>ТП 009 (Хотино)</t>
  </si>
  <si>
    <t>д.Новая Деревня</t>
  </si>
  <si>
    <t>ТП 010 (Новая Деревня)</t>
  </si>
  <si>
    <t>Г.Западная Двина (АЗС)</t>
  </si>
  <si>
    <t>ТП 002 (АЗС)</t>
  </si>
  <si>
    <t>ТП 114 (Жданово)</t>
  </si>
  <si>
    <t>д.Соломкино</t>
  </si>
  <si>
    <t>ТП 105 (Соломкино)</t>
  </si>
  <si>
    <t>д.Абаканово</t>
  </si>
  <si>
    <t>ТП 017 (Абаканово)</t>
  </si>
  <si>
    <t>д.Щиброво</t>
  </si>
  <si>
    <t>ТП 014 (Щиборово)</t>
  </si>
  <si>
    <t>ТП 020 (Белейка)</t>
  </si>
  <si>
    <t>ТП 022 (Красноселье)</t>
  </si>
  <si>
    <t>ТП 029 (Ефремово)</t>
  </si>
  <si>
    <t>ТП 028 (Лазарево)</t>
  </si>
  <si>
    <t>ТП 023 (Дуброво-2)</t>
  </si>
  <si>
    <t>ТП 024 (Дуброво-3)</t>
  </si>
  <si>
    <t>ТП 021 (Дорофеево)</t>
  </si>
  <si>
    <t>ТП 040 (Ботино)</t>
  </si>
  <si>
    <t>д.Баево</t>
  </si>
  <si>
    <t>ТП 039 (Баево-1)</t>
  </si>
  <si>
    <t>ТП 033 (Баево-2)</t>
  </si>
  <si>
    <t>ТП 035 (Баево-4)</t>
  </si>
  <si>
    <t>ТП 036 (Баево-5)</t>
  </si>
  <si>
    <t>д.Мухино</t>
  </si>
  <si>
    <t>ТП 041 (Мухино)</t>
  </si>
  <si>
    <t>д.Заиловье</t>
  </si>
  <si>
    <t>ТП 044 (Заиловье)</t>
  </si>
  <si>
    <t>д.Никополь</t>
  </si>
  <si>
    <t>ТП 047 (Никополь)</t>
  </si>
  <si>
    <t>д.Сосвятское</t>
  </si>
  <si>
    <t>ТП 043 (Сосвятское)</t>
  </si>
  <si>
    <t>д.Барино</t>
  </si>
  <si>
    <t>ТП 046 (Барино)</t>
  </si>
  <si>
    <t>д.Залужье</t>
  </si>
  <si>
    <t>ТП 052 (Залужье)</t>
  </si>
  <si>
    <t>ТП 058 (Шестаково)</t>
  </si>
  <si>
    <t>д.Вережуни</t>
  </si>
  <si>
    <t>ТП 059 (Вережуни)</t>
  </si>
  <si>
    <t>ТП 060 (Литвиново)</t>
  </si>
  <si>
    <t>д.Вязки</t>
  </si>
  <si>
    <t>ТП 049 (Вязки)</t>
  </si>
  <si>
    <t>д.Скрабы</t>
  </si>
  <si>
    <t>ТП 054 (Скрабы)</t>
  </si>
  <si>
    <t>д.Ломти</t>
  </si>
  <si>
    <t>ТП 056 (Ломти)</t>
  </si>
  <si>
    <t>д.Кирпичник</t>
  </si>
  <si>
    <t>ТП 071 (Кирпичник)</t>
  </si>
  <si>
    <t>д.Ануфриево</t>
  </si>
  <si>
    <t>ТП 066 (Ануфриево)</t>
  </si>
  <si>
    <t>д.Фофаново</t>
  </si>
  <si>
    <t>ТП 067 (Фофаново-1)</t>
  </si>
  <si>
    <t>ТП 068 (Фофаново-2)</t>
  </si>
  <si>
    <t>ТП 069 (Загорье)</t>
  </si>
  <si>
    <t>д.Яковлеское</t>
  </si>
  <si>
    <t>ТП 070 (Яковлевское)</t>
  </si>
  <si>
    <t>ТП 090 (Бибирево-3)</t>
  </si>
  <si>
    <t>ТП 089 (Бибирево-4)</t>
  </si>
  <si>
    <t>ТП 092 (Бибирево-5)</t>
  </si>
  <si>
    <t>д.Шевердено</t>
  </si>
  <si>
    <t>ТП 096 (Шевердино)</t>
  </si>
  <si>
    <t>д.Острожки</t>
  </si>
  <si>
    <t>ТП 098 (Острожки)</t>
  </si>
  <si>
    <t>ТП 097 (Холм)</t>
  </si>
  <si>
    <t>д.Новостройка</t>
  </si>
  <si>
    <t>ТП 094 (Новостройка)</t>
  </si>
  <si>
    <t>ТП 116 (Глубокое)</t>
  </si>
  <si>
    <t>ТП 106 (Василево)</t>
  </si>
  <si>
    <t>д.Улин</t>
  </si>
  <si>
    <t>ТП 109 (Улин-2)</t>
  </si>
  <si>
    <t>д.Котово</t>
  </si>
  <si>
    <t>ТП 117 (Котово)</t>
  </si>
  <si>
    <t>ТП 112 (Улин-5)</t>
  </si>
  <si>
    <t>д.Акатьково</t>
  </si>
  <si>
    <t>ТП 124 (Акатьково)</t>
  </si>
  <si>
    <t>ТП 125 (Быково)</t>
  </si>
  <si>
    <t>д.Гороваха</t>
  </si>
  <si>
    <t>ТП 122 (Гороваха)</t>
  </si>
  <si>
    <t>д.Койт</t>
  </si>
  <si>
    <t>ТП 123 (Койт)</t>
  </si>
  <si>
    <t>ТП 120 (Морозово)</t>
  </si>
  <si>
    <t>ТП 107 (Щеголево)</t>
  </si>
  <si>
    <t>д.Романово 1е</t>
  </si>
  <si>
    <t>ТП 118 (Романово 1е)</t>
  </si>
  <si>
    <t>д.Селечня</t>
  </si>
  <si>
    <t>ТП 119 (Селечня)</t>
  </si>
  <si>
    <t>ТП 128 (Шарапово-2)</t>
  </si>
  <si>
    <t>ТП 130 (Шарапово-4)</t>
  </si>
  <si>
    <t>ТП 127 (Шарапово-5)</t>
  </si>
  <si>
    <t>д.Белянкино</t>
  </si>
  <si>
    <t>ТП 142 (Белянкино)</t>
  </si>
  <si>
    <t>д.Коротыши</t>
  </si>
  <si>
    <t>ТП 131 (Коротыши-1)</t>
  </si>
  <si>
    <t>ТП 132 (Коротыши-2)</t>
  </si>
  <si>
    <t>ТП 141 (Михалево)</t>
  </si>
  <si>
    <t>д.Павлова Лука</t>
  </si>
  <si>
    <t>ТП 140 (Павлова Лука)</t>
  </si>
  <si>
    <t>д.Севостьяново</t>
  </si>
  <si>
    <t>ТП 134 (Севостьяново-1)</t>
  </si>
  <si>
    <t>ТП 135 (Севостьяново-2)</t>
  </si>
  <si>
    <t>ТП 136 (Севостьяново-4)</t>
  </si>
  <si>
    <t>ТП 137 (Севостьяново-5)</t>
  </si>
  <si>
    <t>д.д.Селище</t>
  </si>
  <si>
    <t>ТП 138 (Селище-1)</t>
  </si>
  <si>
    <t>ТП 139 (Селище-2)</t>
  </si>
  <si>
    <t>д.Степахино</t>
  </si>
  <si>
    <t>ТП 143 (Степахино)</t>
  </si>
  <si>
    <t>д.Первомайский</t>
  </si>
  <si>
    <t>ТП 144 (Первомайский)</t>
  </si>
  <si>
    <t>д.Цикорево</t>
  </si>
  <si>
    <t>ТП 146 (Цикорево)</t>
  </si>
  <si>
    <t>д.Брод</t>
  </si>
  <si>
    <t>ТП 147 (Брод)</t>
  </si>
  <si>
    <t>д.Солово</t>
  </si>
  <si>
    <t>ТП 150 (Солово)</t>
  </si>
  <si>
    <t>д.Ковали</t>
  </si>
  <si>
    <t>ТП 151 (Ковали)</t>
  </si>
  <si>
    <t>ТП 149 (Баево КРС.)</t>
  </si>
  <si>
    <t>д.Трубники</t>
  </si>
  <si>
    <t>ТП 148 (Трубники МТФ)</t>
  </si>
  <si>
    <t>д.Граблино</t>
  </si>
  <si>
    <t>ТП 153 (Граблино)</t>
  </si>
  <si>
    <t>д.Щербино</t>
  </si>
  <si>
    <t>ТП 157 (Щербино)</t>
  </si>
  <si>
    <t>ТП 155 (Агрызково - 1)</t>
  </si>
  <si>
    <t>д.Агафоново</t>
  </si>
  <si>
    <t>ТП 154 (Агафоново)</t>
  </si>
  <si>
    <t>д.Шишово</t>
  </si>
  <si>
    <t>ТП 158 (Шишово -1)</t>
  </si>
  <si>
    <t>ТП 159 (Шишово -2)</t>
  </si>
  <si>
    <t>ТП 160 (Шишово -3)</t>
  </si>
  <si>
    <t>ТП 161 (Шишово -4)</t>
  </si>
  <si>
    <t>д.Векошане</t>
  </si>
  <si>
    <t>ТП 164 (Векошане -1)</t>
  </si>
  <si>
    <t>ТП 165 (Векошане -2)</t>
  </si>
  <si>
    <t>д.Петрово 1е</t>
  </si>
  <si>
    <t>ТП 166 (Петрово 1е)</t>
  </si>
  <si>
    <t>ТП 162 (Шишово-Первомайский)</t>
  </si>
  <si>
    <t>п.Ильино</t>
  </si>
  <si>
    <t>ТП 170 (ДРСУ)</t>
  </si>
  <si>
    <t>д.Тюрино</t>
  </si>
  <si>
    <t>ТП 174 (Тюрино-3)</t>
  </si>
  <si>
    <t>д.Дудкино</t>
  </si>
  <si>
    <t>ТП 171 (Дудкино-1)</t>
  </si>
  <si>
    <t>д.Казино</t>
  </si>
  <si>
    <t>ТП 175 (Козино-3)</t>
  </si>
  <si>
    <t>ТП 176 (Козино-4)</t>
  </si>
  <si>
    <t>д.Забежня</t>
  </si>
  <si>
    <t>ТП 177 (Забежня)</t>
  </si>
  <si>
    <t>ТП 169 (Собств. нужды)</t>
  </si>
  <si>
    <t>ТП 180 (Ильино-Больница)</t>
  </si>
  <si>
    <t>ТП 179 (Ильино-2)</t>
  </si>
  <si>
    <t>ТП 182 (Чернозем)</t>
  </si>
  <si>
    <t>ТП 183 (Семеновское)</t>
  </si>
  <si>
    <t>ТП 184 (Фролово)</t>
  </si>
  <si>
    <t>д.Винокурово</t>
  </si>
  <si>
    <t>ТП 185 (Винокурово)</t>
  </si>
  <si>
    <t>д.Княжое</t>
  </si>
  <si>
    <t>ТП 188 (Княжое)</t>
  </si>
  <si>
    <t>д.Краснополье</t>
  </si>
  <si>
    <t>ТП 186 (Краснополье)</t>
  </si>
  <si>
    <t>д.Иван Труд</t>
  </si>
  <si>
    <t>ТП 187 (Иван-Труд)</t>
  </si>
  <si>
    <t>д.Скороходово</t>
  </si>
  <si>
    <t>ТП 189 (Скороходово)</t>
  </si>
  <si>
    <t>ТП 190 (Васьково-2)</t>
  </si>
  <si>
    <t>ТП 191 (Староселье)</t>
  </si>
  <si>
    <t>ТП 192 (Русаново)</t>
  </si>
  <si>
    <t>ТП 200 (Ильино-3)</t>
  </si>
  <si>
    <t>ТП 197 ("Дет.сад")</t>
  </si>
  <si>
    <t>ТП 201 (Кукуево)</t>
  </si>
  <si>
    <t>п.Старая Торопа</t>
  </si>
  <si>
    <t>ТП 198 ("Хлебокомбинат")</t>
  </si>
  <si>
    <t>д.Мочалино</t>
  </si>
  <si>
    <t>ТП 203 (Мочалино)</t>
  </si>
  <si>
    <t>д.Корняшово</t>
  </si>
  <si>
    <t>ТП 204 (Корняшово)</t>
  </si>
  <si>
    <t>д.Лисуново</t>
  </si>
  <si>
    <t>ТП 207 (Лисуново)</t>
  </si>
  <si>
    <t>д.Панщина</t>
  </si>
  <si>
    <t>ТП 209 (Панщина)</t>
  </si>
  <si>
    <t>д.Аксентьево</t>
  </si>
  <si>
    <t>ТП 205 (Аксентьево-2)</t>
  </si>
  <si>
    <t>ТП 202 (Наумово)</t>
  </si>
  <si>
    <t>ТП 206 (Аксентьево-3)</t>
  </si>
  <si>
    <t>ТП 315 (Аксентьево-4)</t>
  </si>
  <si>
    <t>ТП 212 (Богатьково)</t>
  </si>
  <si>
    <t>д.Барок</t>
  </si>
  <si>
    <t>ТП 213 (Барок)</t>
  </si>
  <si>
    <t>д.Высочерт</t>
  </si>
  <si>
    <t>ТП 214 (Высочерт-1)</t>
  </si>
  <si>
    <t>ТП 215 (Высочерт-2)</t>
  </si>
  <si>
    <t>д.Мосягтно</t>
  </si>
  <si>
    <t>ТП 210 (Мосягино)</t>
  </si>
  <si>
    <t>д.Пунево</t>
  </si>
  <si>
    <t>ТП 211 (Пунево)</t>
  </si>
  <si>
    <t>ТП 216 (Симоново-Катково)</t>
  </si>
  <si>
    <t>д.Лощины</t>
  </si>
  <si>
    <t>ТП 218 (Новки-Лощины)</t>
  </si>
  <si>
    <t>ТП 222 (Барсуки)</t>
  </si>
  <si>
    <t>д.Белодедово</t>
  </si>
  <si>
    <t>ТП 226 (Белодедово-1)</t>
  </si>
  <si>
    <t>ТП 227 (Белодедово-2)</t>
  </si>
  <si>
    <t>п.Глазомичи</t>
  </si>
  <si>
    <t>ТП 219 (Глазомичи-3)</t>
  </si>
  <si>
    <t>ТП 220 (Глазомичи-4)</t>
  </si>
  <si>
    <t>ТП 221 (Глазомичи-5)</t>
  </si>
  <si>
    <t>д.Сазоненки</t>
  </si>
  <si>
    <t>ТП 223 (Сазоненки)</t>
  </si>
  <si>
    <t>д.Турлаково</t>
  </si>
  <si>
    <t>ТП 224 (Турлаково)</t>
  </si>
  <si>
    <t>д.Аверьково</t>
  </si>
  <si>
    <t>ТП 264 (Аверьково)</t>
  </si>
  <si>
    <t>ТП 245 (Антоново-1)</t>
  </si>
  <si>
    <t>ТП 246 (Антоново-2)</t>
  </si>
  <si>
    <t>ТП 249 (Антоново-5)</t>
  </si>
  <si>
    <t>ТП 250 (Заречье)</t>
  </si>
  <si>
    <t>д.Шетнево</t>
  </si>
  <si>
    <t>ТП 253 (Шетнево)</t>
  </si>
  <si>
    <t>ТП 254 (Осташково)</t>
  </si>
  <si>
    <t>д.Макеево</t>
  </si>
  <si>
    <t>ТП 255 (Макеево -1)</t>
  </si>
  <si>
    <t>ТП 256 (Макеево -5)</t>
  </si>
  <si>
    <t>д.Площа</t>
  </si>
  <si>
    <t>ТП 263 (Площа)</t>
  </si>
  <si>
    <t>ТП 242 (Романово)</t>
  </si>
  <si>
    <t>д.Совкино</t>
  </si>
  <si>
    <t>ТП 258 (Совкино)</t>
  </si>
  <si>
    <t>д.Степаньково</t>
  </si>
  <si>
    <t>ТП 262 (Степаньково)</t>
  </si>
  <si>
    <t>д.Терехово</t>
  </si>
  <si>
    <t>ТП 259 (Терехово)</t>
  </si>
  <si>
    <t>д.Шниткино</t>
  </si>
  <si>
    <t>ТП 252 (Шниткино)</t>
  </si>
  <si>
    <t>д.Щелкино</t>
  </si>
  <si>
    <t>ТП 257 (Щелкино)</t>
  </si>
  <si>
    <t>д.Юшково</t>
  </si>
  <si>
    <t>ТП 251 (Юшково)</t>
  </si>
  <si>
    <t>д.Комлово</t>
  </si>
  <si>
    <t>ТП 244 (Комлово)</t>
  </si>
  <si>
    <t>д.Яковлевское Ст.Тор.</t>
  </si>
  <si>
    <t>ТП 243 (Яковлевское -Ст.Т.)</t>
  </si>
  <si>
    <t>ТП 265 ("Сырзавод")</t>
  </si>
  <si>
    <t>д.Белица</t>
  </si>
  <si>
    <t>ТП 277 (Белица МТС)</t>
  </si>
  <si>
    <t>д.Корякино</t>
  </si>
  <si>
    <t>ТП 280 (Корякино)</t>
  </si>
  <si>
    <t>д.Новый Бор</t>
  </si>
  <si>
    <t>ТП 278 (Новый Бор)</t>
  </si>
  <si>
    <t>д.Велеса</t>
  </si>
  <si>
    <t>ТП 015 (Велеса)</t>
  </si>
  <si>
    <t>д.Барлово</t>
  </si>
  <si>
    <t>ТП 032 (Барлово -1)</t>
  </si>
  <si>
    <t>д.Мартьянково</t>
  </si>
  <si>
    <t>ТП 051 (Мартьянково)</t>
  </si>
  <si>
    <t>д.Можайцы</t>
  </si>
  <si>
    <t>ТП 062 (Можайцы)</t>
  </si>
  <si>
    <t>ТП 091 (Бибирево -2)</t>
  </si>
  <si>
    <t>ТП 100 ("Комплекс КРС")</t>
  </si>
  <si>
    <t>ТП 104 (Трофимово)</t>
  </si>
  <si>
    <t>п.Улин</t>
  </si>
  <si>
    <t>ТП 108 (Улин -1)</t>
  </si>
  <si>
    <t>д.Уссодица</t>
  </si>
  <si>
    <t>ТП 217 (Уссодица)</t>
  </si>
  <si>
    <t>д.Селяне</t>
  </si>
  <si>
    <t>ТП 275 (Селяне)</t>
  </si>
  <si>
    <t>д.Пятиусово</t>
  </si>
  <si>
    <t>ТП 286 (Пятиусово -3)</t>
  </si>
  <si>
    <t>ТП 288 (Пятиусово-5)</t>
  </si>
  <si>
    <t>ТП 289 (Пятиусово-6)</t>
  </si>
  <si>
    <t>ТП 290 (Коковкино)</t>
  </si>
  <si>
    <t>д.Пахново</t>
  </si>
  <si>
    <t>ТП 292 (Пахново-2)</t>
  </si>
  <si>
    <t>ТП 294 (Жилино)</t>
  </si>
  <si>
    <t>д.Юхново</t>
  </si>
  <si>
    <t>ТП 295 (Юхново)</t>
  </si>
  <si>
    <t>д.Кузнецы</t>
  </si>
  <si>
    <t>ТП 296 (Кузнецы)</t>
  </si>
  <si>
    <t>д.Бенцы</t>
  </si>
  <si>
    <t>ТП 298 (Бенцы -1)</t>
  </si>
  <si>
    <t>ТП 299 (Бенцы -3)</t>
  </si>
  <si>
    <t>ТП 300 (Бенцы -4)</t>
  </si>
  <si>
    <t>ТП 304 (Бенцы-поселок)</t>
  </si>
  <si>
    <t>д.Веревкино</t>
  </si>
  <si>
    <t>ТП 308 (Верёвкино)</t>
  </si>
  <si>
    <t>д.Ганошенки</t>
  </si>
  <si>
    <t>ТП 302 (Гоношенки)</t>
  </si>
  <si>
    <t>ТП 284 (Ильинское)</t>
  </si>
  <si>
    <t>ТП 291 (Каськово)</t>
  </si>
  <si>
    <t>ТП 306 (Новосёлки)</t>
  </si>
  <si>
    <t>д.Поляки</t>
  </si>
  <si>
    <t>ТП 301 (Поляки)</t>
  </si>
  <si>
    <t>ТП 285 (Спиридово)</t>
  </si>
  <si>
    <t>д.Ванчата</t>
  </si>
  <si>
    <t>ТП 260 (Ваньчата)</t>
  </si>
  <si>
    <t>ТП 307 (Хватково)</t>
  </si>
  <si>
    <t>ТП 305 (Шарапово)</t>
  </si>
  <si>
    <t>ТП 303 (Озерки)</t>
  </si>
  <si>
    <t>д.Жерносеки</t>
  </si>
  <si>
    <t>ТП 309 (Жерносеки)</t>
  </si>
  <si>
    <t>ТП 297 (Барузда)</t>
  </si>
  <si>
    <t>ТП 234 ("Заводская")</t>
  </si>
  <si>
    <t>ТП 237 ("Мебельная-ДОЗ")</t>
  </si>
  <si>
    <t>ТП 235 ("Пекарня")</t>
  </si>
  <si>
    <t>г.Западная Двина</t>
  </si>
  <si>
    <t>ТП 037 (Баево-6)</t>
  </si>
  <si>
    <t>ТП 038 (Баево-7)</t>
  </si>
  <si>
    <t>ТП 055 (Дачный (Кордон ЛПХ)</t>
  </si>
  <si>
    <t>ТП 065 ("Заготскот")</t>
  </si>
  <si>
    <t>ТП 011 (Железово)</t>
  </si>
  <si>
    <t>д.Проплеткино</t>
  </si>
  <si>
    <t>ТП 101 (Проплёткино)</t>
  </si>
  <si>
    <t>д.Шлыки</t>
  </si>
  <si>
    <t>ТП 053 (Шлыки)</t>
  </si>
  <si>
    <t>ТП 061 (Михеево)</t>
  </si>
  <si>
    <t>д.Вировское</t>
  </si>
  <si>
    <t>ТП 048 (Вировское)</t>
  </si>
  <si>
    <t>д.Романово 2е</t>
  </si>
  <si>
    <t>ТП 126 (Романово - 2е)</t>
  </si>
  <si>
    <t>370 км М9</t>
  </si>
  <si>
    <t>ТП 087 (Вороново)</t>
  </si>
  <si>
    <t>ТП 064 ("НБ РЭС")</t>
  </si>
  <si>
    <t>ТП 063 ("СН  РЭС")</t>
  </si>
  <si>
    <t>д.Сутримено</t>
  </si>
  <si>
    <t>ТП 178 (Сутримено)</t>
  </si>
  <si>
    <t>ТП 111 (Улин-4)</t>
  </si>
  <si>
    <t>ТП 172 (Дудкино-2)</t>
  </si>
  <si>
    <t>ТП 173 (Тюрино-2)</t>
  </si>
  <si>
    <t>ТП 181 ("Нов. школа")</t>
  </si>
  <si>
    <t>ТП 199 ("Дом культуры")</t>
  </si>
  <si>
    <t>ТП 194 ("МКСЛ")</t>
  </si>
  <si>
    <t>ТП 283 ("ТСН")</t>
  </si>
  <si>
    <t>ТП 195 ("База"-с.Ильинский)</t>
  </si>
  <si>
    <t>ТП 196 ("Зерноток")</t>
  </si>
  <si>
    <t>ТП 310 (Устье)</t>
  </si>
  <si>
    <t>2х10</t>
  </si>
  <si>
    <t>ТП 276 (Белица -2)</t>
  </si>
  <si>
    <t>д.Шинково</t>
  </si>
  <si>
    <t>ТП 311 (Шинково)</t>
  </si>
  <si>
    <t>д.Дорожкино</t>
  </si>
  <si>
    <t>ТП 312 (Дорожкино)</t>
  </si>
  <si>
    <t>ТП 236 ("Школа")</t>
  </si>
  <si>
    <t>ТП 233 ("Поселок")</t>
  </si>
  <si>
    <t>ТП 156 (Агрызково-2)</t>
  </si>
  <si>
    <t>д.Колокудчино</t>
  </si>
  <si>
    <t>ТП 163 (Колокудчино)</t>
  </si>
  <si>
    <t>д.Савостино</t>
  </si>
  <si>
    <t>ТП 103 (Савостино)</t>
  </si>
  <si>
    <t>ТП 261 (Ваньчата-2)</t>
  </si>
  <si>
    <t>ТП 279 (Новый Бор-2)</t>
  </si>
  <si>
    <t>Бежецкий</t>
  </si>
  <si>
    <t>КТП-10кВ №346 Починок</t>
  </si>
  <si>
    <t>д. М. Горы</t>
  </si>
  <si>
    <t>КТП-10кВ №508 ПМК</t>
  </si>
  <si>
    <t>д.Ягренево</t>
  </si>
  <si>
    <t>КТП10 №260 Ягренево</t>
  </si>
  <si>
    <t>д.Клеймиха</t>
  </si>
  <si>
    <t>МТП-10кВ №529 Клеймиха</t>
  </si>
  <si>
    <t>ЗТП 10 №167 Маст.Городищи</t>
  </si>
  <si>
    <t>д.Сул. Борок</t>
  </si>
  <si>
    <t>ЗТП-10 №034 Маст.С.Борок</t>
  </si>
  <si>
    <t>ЗТП-10 №039 ФКРС Высокое</t>
  </si>
  <si>
    <t>ЗТП-10 №047 ФКРС Заручье</t>
  </si>
  <si>
    <t>Сул. Борок</t>
  </si>
  <si>
    <t>ЗТП-10 №048 ЗСП С.Борок</t>
  </si>
  <si>
    <t>ЗТП-10 №137 ЗСП Погорелка</t>
  </si>
  <si>
    <t>разобрана</t>
  </si>
  <si>
    <t>д.Зобы</t>
  </si>
  <si>
    <t>ЗТП-10 №249 Жил.пос.Зобы</t>
  </si>
  <si>
    <t>д.Фралево</t>
  </si>
  <si>
    <t>ЗТП-10 №290 Котел.Фрал.</t>
  </si>
  <si>
    <t>д.Сырцевка</t>
  </si>
  <si>
    <t xml:space="preserve">ЗТП-10 №371 КЗС Сырцев. </t>
  </si>
  <si>
    <t>ЗТП-10 №394 ФКРСВасюково</t>
  </si>
  <si>
    <t>д.Сукромны</t>
  </si>
  <si>
    <t>ЗТП-10 №421 ФКРС Сукр</t>
  </si>
  <si>
    <t>г.Бежецк</t>
  </si>
  <si>
    <t xml:space="preserve">ЗТП-10кВ 40 БазаРЭС </t>
  </si>
  <si>
    <t xml:space="preserve">400+630 </t>
  </si>
  <si>
    <t>д.Ш-Дуброво</t>
  </si>
  <si>
    <t>ЗТП-10кВ Школа Ш.Дубр.</t>
  </si>
  <si>
    <t>ЗТП10 №007 ФКРС Морозово</t>
  </si>
  <si>
    <t>д.Градницы</t>
  </si>
  <si>
    <t>ЗТП10 №024 Ж.дома Градн.</t>
  </si>
  <si>
    <t>ЗТП10 №027 ЗСПГрадницы</t>
  </si>
  <si>
    <t>д.Подобино</t>
  </si>
  <si>
    <t>ЗТП10 №141 ФКРСПодоб</t>
  </si>
  <si>
    <t>250+100</t>
  </si>
  <si>
    <t>ЗТП10 №144 АВМ д.Подобино</t>
  </si>
  <si>
    <t>ЗТП10 №148 Жил.пос.Подоб</t>
  </si>
  <si>
    <t>д.Кулишка</t>
  </si>
  <si>
    <t>ЗТП10 №160 ФКРС Кулишка</t>
  </si>
  <si>
    <t>ЗТП10 №161 Котель.Город.</t>
  </si>
  <si>
    <t>д.Михайлова Гора</t>
  </si>
  <si>
    <t>ЗТП10 №192 Котель.Мих.Гора</t>
  </si>
  <si>
    <t>ЗТП10 №198 ФКРС-1Мих.Гора</t>
  </si>
  <si>
    <t>ЗТП10 №200 ФКРС-2 Мих.Гора</t>
  </si>
  <si>
    <t>д. Княжево</t>
  </si>
  <si>
    <t>ЗТП10 №221 Жил.пос.Княжиха</t>
  </si>
  <si>
    <t>пос.Березовая Роща</t>
  </si>
  <si>
    <t>ЗТП10 №321 Жил.пос.Б.роща</t>
  </si>
  <si>
    <t>д.Лаптиха</t>
  </si>
  <si>
    <t>ЗТП10 №353 АВМ Лаптиха</t>
  </si>
  <si>
    <t>ЗТП10 №354 Кот.Лаптиха</t>
  </si>
  <si>
    <t>д.Житищи</t>
  </si>
  <si>
    <t>ЗТП10 №484 Котель.Житищи.</t>
  </si>
  <si>
    <t>ЗТП10 №521 Жил.пос.Сырц</t>
  </si>
  <si>
    <t>ЗТП10 №522 АВМ Сырцевка</t>
  </si>
  <si>
    <t>ЗТП10 №524 Котел.М.Горы</t>
  </si>
  <si>
    <t>ЗТП10 №530 Школа М.Горы</t>
  </si>
  <si>
    <t>д.Сулежский Борок</t>
  </si>
  <si>
    <t>КТП 10 №035 ФКРС-С.Бор.</t>
  </si>
  <si>
    <t>КТП 10 №036 Сенной сар.</t>
  </si>
  <si>
    <t>д.Белобородово</t>
  </si>
  <si>
    <t>КТП 10 №040 д.Белобород.</t>
  </si>
  <si>
    <t>КТП 10 №042Мед.пункт Град.</t>
  </si>
  <si>
    <t>КТП 10 №046 ЗСП Заручье</t>
  </si>
  <si>
    <t>КТП 10 №050 д.Заречье</t>
  </si>
  <si>
    <t>КТП 10 №069 Мол.заводПореч</t>
  </si>
  <si>
    <t>КТП 10 №071 Правл.Поречье</t>
  </si>
  <si>
    <t>КТП 10 №073 БольницаПоречье</t>
  </si>
  <si>
    <t>КТП 10 №075 ФКРС Поречье</t>
  </si>
  <si>
    <t>д.Чижово</t>
  </si>
  <si>
    <t>КТП 10 №078 Жилпос.Чижово</t>
  </si>
  <si>
    <t>д.Воронья Нога</t>
  </si>
  <si>
    <t>КТП 10 №081 ФКРС Вор.Нога</t>
  </si>
  <si>
    <t>д.Селезенево</t>
  </si>
  <si>
    <t>КТП 10 №102 д.Селезенево</t>
  </si>
  <si>
    <t>д.Ульянова Гора</t>
  </si>
  <si>
    <t>КТП 10 №110 ЗСП Уль.Гора</t>
  </si>
  <si>
    <t>д.Узуново</t>
  </si>
  <si>
    <t>КТП 10 №132 Узуново</t>
  </si>
  <si>
    <t>д.Речки</t>
  </si>
  <si>
    <t>КТП 10 №133 д.Речки</t>
  </si>
  <si>
    <t>КТП 10 №134 ФКРС Речки</t>
  </si>
  <si>
    <t>КТП 10 №143 ЗСП Подобино</t>
  </si>
  <si>
    <t>КТП 10 №147 ФКРС Подобино</t>
  </si>
  <si>
    <t>КТП 10 №150 ФКРС Елизарово</t>
  </si>
  <si>
    <t>д.Глушихино</t>
  </si>
  <si>
    <t>КТП 10 №172 Глушихино</t>
  </si>
  <si>
    <t>д.Шишково-Дуброво</t>
  </si>
  <si>
    <t>КТП 10 №179 д.Ш.Дуброво</t>
  </si>
  <si>
    <t>д.Виктрово</t>
  </si>
  <si>
    <t xml:space="preserve">КТП 10 №182 Викторово </t>
  </si>
  <si>
    <t>д.Княжиха</t>
  </si>
  <si>
    <t>КТП 10 №185 д.Княжиха</t>
  </si>
  <si>
    <t>д.Малый бор</t>
  </si>
  <si>
    <t>КТП 10 №203 Малый Бор</t>
  </si>
  <si>
    <t>д.Еськи</t>
  </si>
  <si>
    <t>КТП 10 №211 д.Еськи</t>
  </si>
  <si>
    <t>КТП 10 №213 д.Еськи</t>
  </si>
  <si>
    <t>д.Костерино</t>
  </si>
  <si>
    <t>КТП 10 №310 Костерино</t>
  </si>
  <si>
    <t>д. Пестиха</t>
  </si>
  <si>
    <t>КТП 10 №322 Сельэлектро</t>
  </si>
  <si>
    <t>д.Толстокосово</t>
  </si>
  <si>
    <t>КТП 10 №328 Толстокосово</t>
  </si>
  <si>
    <t>д.Присеки</t>
  </si>
  <si>
    <t>КТП 10 №331 Мол.завод Прис</t>
  </si>
  <si>
    <t>КТП 10 №332 Клуб Присеки</t>
  </si>
  <si>
    <t>КТП 10 №335 Толстиково</t>
  </si>
  <si>
    <t>КТП 10 №337 Маст.Присеки</t>
  </si>
  <si>
    <t>КТП 10 №382Школа-Васюково</t>
  </si>
  <si>
    <t>КТП 10 №383 АЗС Васюково</t>
  </si>
  <si>
    <t>КТП 10 №384Карт.хранВасюк</t>
  </si>
  <si>
    <t>КТП 10 №385 Маст.Васюково</t>
  </si>
  <si>
    <t>КТП 10 №386 АВМ-Васюково</t>
  </si>
  <si>
    <t>КТП 10 №387Торг.центр-Вас</t>
  </si>
  <si>
    <t>КТП 10 №388 ЗСП-Васюково</t>
  </si>
  <si>
    <t>д.Скородумка</t>
  </si>
  <si>
    <t>КТП 10 №392 д.Скородумка</t>
  </si>
  <si>
    <t>КТП 10 №393АВМ-Скородумка</t>
  </si>
  <si>
    <t>КТП 10 №395 ЗСП-1 Сукр.</t>
  </si>
  <si>
    <t>КТП 10 №396 ЗСП-2 Сукр.</t>
  </si>
  <si>
    <t>д.Бор-шкени</t>
  </si>
  <si>
    <t>КТП 10 №397ФКРС Бор-Шкени</t>
  </si>
  <si>
    <t>д.Плотники</t>
  </si>
  <si>
    <t>КТП 10 №401 ФКРС-Плотн</t>
  </si>
  <si>
    <t>КТП 10 №406 ФКРСЗапрудье</t>
  </si>
  <si>
    <t>КТП 10 №408 ЗСП Сукромны</t>
  </si>
  <si>
    <t>КТП 10 №409 Дерев.Сукром.</t>
  </si>
  <si>
    <t>д.Чудинково</t>
  </si>
  <si>
    <t>КТП 10 №412 ФКРС-Чудин.</t>
  </si>
  <si>
    <t>КТП 10 №414 Ждома-Сукр.</t>
  </si>
  <si>
    <t>КТП 10 №417 Д/сад-Сукр</t>
  </si>
  <si>
    <t>КТП 10 №418 Школа-Сукр.</t>
  </si>
  <si>
    <t>КТП 10 №420 ПСЛВ Сукром.</t>
  </si>
  <si>
    <t>КТП 10 №426 Савельево</t>
  </si>
  <si>
    <t>д.Ерогнеевка</t>
  </si>
  <si>
    <t>КТП 10 №428 Ерогнеевка</t>
  </si>
  <si>
    <t>д.Попцово</t>
  </si>
  <si>
    <t>КТП 10 №431 д.Попцово</t>
  </si>
  <si>
    <t>д.Скрипки</t>
  </si>
  <si>
    <t>КТП 10 №434 Скрипки</t>
  </si>
  <si>
    <t>д.Белое Село</t>
  </si>
  <si>
    <t>КТП 10 №444 ЗСП Бел. Село</t>
  </si>
  <si>
    <t>КТП 10 №445Власьево</t>
  </si>
  <si>
    <t>д.Бор.Бельский</t>
  </si>
  <si>
    <t>КТП 10 №449 БорБельск.</t>
  </si>
  <si>
    <t>д.Теблеши</t>
  </si>
  <si>
    <t>КТП 10 №464 Маст.Теблеши</t>
  </si>
  <si>
    <t>КТП 10 №470 Лесничество</t>
  </si>
  <si>
    <t>д.Кулово</t>
  </si>
  <si>
    <t>КТП 10 №474 ЗСП-Кулово</t>
  </si>
  <si>
    <t>КТП 10 №475 ПСЛВ-Кулово</t>
  </si>
  <si>
    <t>КТП 10 №476 ФКРС-Кулово</t>
  </si>
  <si>
    <t>д.Просвещение</t>
  </si>
  <si>
    <t>КТП 10 №488 Просвещен.</t>
  </si>
  <si>
    <t>д.Миновское</t>
  </si>
  <si>
    <t>КТП 10кВ 062 Миновское</t>
  </si>
  <si>
    <t>д.Еремеево</t>
  </si>
  <si>
    <t>КТП 10кВ №023 Еремеево</t>
  </si>
  <si>
    <t>КТП 10кВ №038 Детс. Сад</t>
  </si>
  <si>
    <t>д.Ивлево</t>
  </si>
  <si>
    <t>КТП 10кВ №043 д.Иевлево</t>
  </si>
  <si>
    <t>д.Горни</t>
  </si>
  <si>
    <t>КТП 10кВ №044 Горни</t>
  </si>
  <si>
    <t>КТП 10кВ №045 д.Алексино</t>
  </si>
  <si>
    <t xml:space="preserve">КТП 10кВ №052 д.Дуброво </t>
  </si>
  <si>
    <t>д.Сим.городок</t>
  </si>
  <si>
    <t>КТП 10кВ №058 Сим.Городок</t>
  </si>
  <si>
    <t>КТП 10кВ №059 Любини</t>
  </si>
  <si>
    <t>д.Хорошово</t>
  </si>
  <si>
    <t>КТП 10кВ №060 Хорошово</t>
  </si>
  <si>
    <t>д.Расловлево</t>
  </si>
  <si>
    <t>КТП 10кВ №061 Расловлево</t>
  </si>
  <si>
    <t>КТП 10кВ №064 Маст.Курганы</t>
  </si>
  <si>
    <t>КТП 10кВ №065 Иванищи</t>
  </si>
  <si>
    <t>КТП 10кВ №067 Вепрь</t>
  </si>
  <si>
    <t>КТП 10кВ №070 Маст.Поречье</t>
  </si>
  <si>
    <t>КТП 10кВ №074 ЗСП Поречье</t>
  </si>
  <si>
    <t>д.Дорка</t>
  </si>
  <si>
    <t>КТП 10кВ №076 Дорка</t>
  </si>
  <si>
    <t>д.Переузь</t>
  </si>
  <si>
    <t>КТП 10кВ №077 Переузь</t>
  </si>
  <si>
    <t>КТП 10кВ №079 д.Чижово</t>
  </si>
  <si>
    <t>КТП 10кВ №080 Дуброво</t>
  </si>
  <si>
    <t>д.Виловатик</t>
  </si>
  <si>
    <t>КТП 10кВ №090 Виловатик</t>
  </si>
  <si>
    <t>д. Трофимцево</t>
  </si>
  <si>
    <t>КТП 10кВ №091 Хим.городок</t>
  </si>
  <si>
    <t>д.Трофимцево</t>
  </si>
  <si>
    <t>КТП 10кВ №095 Трофимцево</t>
  </si>
  <si>
    <t>КТП 10кВ №097 Хим.посёлок</t>
  </si>
  <si>
    <t>д.Сгубово</t>
  </si>
  <si>
    <t>КТП 10кВ №104 Сгубово</t>
  </si>
  <si>
    <t>КТП 10кВ №107 д.Заручье</t>
  </si>
  <si>
    <t>КТП 10кВ №117 Раменье</t>
  </si>
  <si>
    <t>д.Корницы</t>
  </si>
  <si>
    <t>КТП 10кВ №120 Корницы</t>
  </si>
  <si>
    <t>д.Прозорово</t>
  </si>
  <si>
    <t>КТП 10кВ №121 Прозорово</t>
  </si>
  <si>
    <t>КТП 10кВ №123 Клуб Ляды</t>
  </si>
  <si>
    <t>д.Жары</t>
  </si>
  <si>
    <t>КТП 10кВ №127 Жары</t>
  </si>
  <si>
    <t>д.Мокрявица</t>
  </si>
  <si>
    <t>КТП 10кВ №135 Мокрявицы</t>
  </si>
  <si>
    <t>КТП 10кВ №136 д.Погорелка</t>
  </si>
  <si>
    <t>д.Малышево</t>
  </si>
  <si>
    <t>КТП 10кВ №139 Малышево</t>
  </si>
  <si>
    <t>д.Ругатино</t>
  </si>
  <si>
    <t>КТП 10кВ №149 Ругатино</t>
  </si>
  <si>
    <t>КТП 10кВ №152  Дубровка</t>
  </si>
  <si>
    <t>д.Б.Баранково</t>
  </si>
  <si>
    <t>КТП 10кВ №155 Б.Баранково</t>
  </si>
  <si>
    <t>д.Пирожково</t>
  </si>
  <si>
    <t>КТП 10кВ №157 Пирожково</t>
  </si>
  <si>
    <t>КТП 10кВ №158 Горлово</t>
  </si>
  <si>
    <t>д.Новая деревня</t>
  </si>
  <si>
    <t>КТП 10кВ №159 Нов.Деревня</t>
  </si>
  <si>
    <t>КТП 10кВ №168 д.Старово</t>
  </si>
  <si>
    <t>д.Саурово</t>
  </si>
  <si>
    <t>КТП 10кВ №174 Саурово</t>
  </si>
  <si>
    <t>д.Ковезиха</t>
  </si>
  <si>
    <t>КТП 10кВ №186 Ковезиха</t>
  </si>
  <si>
    <t>д.Гусарево</t>
  </si>
  <si>
    <t>КТП 10кВ №195 Гусарёво</t>
  </si>
  <si>
    <t>д.Котляево</t>
  </si>
  <si>
    <t>КТП 10кВ №196 Котляево</t>
  </si>
  <si>
    <t>д.Кутани</t>
  </si>
  <si>
    <t>КТП 10кВ №197 Кутани</t>
  </si>
  <si>
    <t>д.Закрупье</t>
  </si>
  <si>
    <t>КТП 10кВ №205 Закрупье</t>
  </si>
  <si>
    <t>д.Обенощи</t>
  </si>
  <si>
    <t>КТП 10кВ №210 Обенощи</t>
  </si>
  <si>
    <t>КТП 10кВ №216 Раменье</t>
  </si>
  <si>
    <t>д.Дружный</t>
  </si>
  <si>
    <t>КТП 10кВ №218 Дружный</t>
  </si>
  <si>
    <t>д.Пестиха</t>
  </si>
  <si>
    <t>КТП 10кВ №275 Пестиха</t>
  </si>
  <si>
    <t>д.Глебни</t>
  </si>
  <si>
    <t>КТП 10кВ №291 д.Глебени</t>
  </si>
  <si>
    <t>КТП 10кВ №302 Дубровка</t>
  </si>
  <si>
    <t>д.Ёжево</t>
  </si>
  <si>
    <t>КТП 10кВ №307 Ёжево</t>
  </si>
  <si>
    <t>КТП 10кВ №308 Заручье</t>
  </si>
  <si>
    <t>КТП 10кВ №317 СИОЖ</t>
  </si>
  <si>
    <t>КТП 10кВ №318 Крутец</t>
  </si>
  <si>
    <t>д.Киселкино</t>
  </si>
  <si>
    <t>КТП 10кВ №326 Киселкино</t>
  </si>
  <si>
    <t>КТП 10кВ №330 д.Присеки</t>
  </si>
  <si>
    <t>д.Кузёмкино</t>
  </si>
  <si>
    <t>КТП 10кВ №333 Кузёмкино</t>
  </si>
  <si>
    <t>д.Селятино</t>
  </si>
  <si>
    <t>КТП 10кВ №334 Селятино</t>
  </si>
  <si>
    <t>д.Буяново</t>
  </si>
  <si>
    <t>КТП 10кВ №336 Буяново</t>
  </si>
  <si>
    <t>д.Збуж</t>
  </si>
  <si>
    <t>КТП 10кВ №376 Збуж</t>
  </si>
  <si>
    <t>д.Медведка</t>
  </si>
  <si>
    <t>КТП 10кВ №381 Медведка</t>
  </si>
  <si>
    <t>д.Тарасовское</t>
  </si>
  <si>
    <t>КТП 10кВ №389 Тарасовское</t>
  </si>
  <si>
    <t>д.Шепелёво</t>
  </si>
  <si>
    <t>КТП 10кВ №390 Шепелёво</t>
  </si>
  <si>
    <t>КТП 10кВ №398 д.Бор Шкени</t>
  </si>
  <si>
    <t>д.Кушалино</t>
  </si>
  <si>
    <t>КТП 10кВ №400 Кушалино</t>
  </si>
  <si>
    <t>д.Горны</t>
  </si>
  <si>
    <t>КТП 10кВ №402 Горны</t>
  </si>
  <si>
    <t>д.Губа</t>
  </si>
  <si>
    <t>КТП 10кВ №403 Губа</t>
  </si>
  <si>
    <t>КТП 10кВ №404 д.Лазарево</t>
  </si>
  <si>
    <t>КТП 10кВ №411 д.Чудинково</t>
  </si>
  <si>
    <t>КТП 10кВ №419 ЗСП-Сукр.</t>
  </si>
  <si>
    <t>д.Хозницы</t>
  </si>
  <si>
    <t>КТП 10кВ №430 Хозницы</t>
  </si>
  <si>
    <t>КТП 10кВ №443 Поповка</t>
  </si>
  <si>
    <t>КТП 10кВ №456 Козлово</t>
  </si>
  <si>
    <t>д.Вербежи</t>
  </si>
  <si>
    <t>КТП 10кВ №457 Вербежи</t>
  </si>
  <si>
    <t>КТП 10кВ №458 Игнатово</t>
  </si>
  <si>
    <t>КТП 10кВ №459 д.Житищи</t>
  </si>
  <si>
    <t>КТП 10кВ №460 ЗСП-Житищи</t>
  </si>
  <si>
    <t>КТП 10кВ №461 Городня</t>
  </si>
  <si>
    <t>д.Нвосёлка</t>
  </si>
  <si>
    <t>КТП 10кВ №462 Новосёлка</t>
  </si>
  <si>
    <t>КТП 10кВ №466 д.Теблеши</t>
  </si>
  <si>
    <t>д.Шеболдино</t>
  </si>
  <si>
    <t>КТП 10кВ №471 Шеболдино</t>
  </si>
  <si>
    <t>д.Мясниково</t>
  </si>
  <si>
    <t>КТП 10кВ №472 Мясниково</t>
  </si>
  <si>
    <t>КТП 10кВ №473 Корино</t>
  </si>
  <si>
    <t>д.Аферино</t>
  </si>
  <si>
    <t>КТП 10кВ №477 Арефино</t>
  </si>
  <si>
    <t>д.Сидорино</t>
  </si>
  <si>
    <t>КТП 10кВ №478 Сидорино</t>
  </si>
  <si>
    <t>КТП 10кВ №479 Леоново</t>
  </si>
  <si>
    <t>КТП 10кВ №481 Нивы</t>
  </si>
  <si>
    <t>КТП 10кВ №486 д.Восново</t>
  </si>
  <si>
    <t>д.Медвежье</t>
  </si>
  <si>
    <t>КТП 10кВ №489 Медвежье</t>
  </si>
  <si>
    <t>д.Моркины Горы</t>
  </si>
  <si>
    <t>КТП 10кВ №525 Билайн</t>
  </si>
  <si>
    <t>КТП 10кВ №531 Мегафон</t>
  </si>
  <si>
    <t>КТП 10кВ №539 Ферм.х-во</t>
  </si>
  <si>
    <t>КТП 10кВ АВМ-С.Борок</t>
  </si>
  <si>
    <t>д.Баляжиха</t>
  </si>
  <si>
    <t>КТП 10кВ Баляжиха</t>
  </si>
  <si>
    <t>д.Новиково</t>
  </si>
  <si>
    <t>КТП 10кВ Билайн</t>
  </si>
  <si>
    <t>д.Вьюгово</t>
  </si>
  <si>
    <t>КТП 10кВ д.Вьюгово</t>
  </si>
  <si>
    <t>КТП 10кВ Дачи АСО</t>
  </si>
  <si>
    <t xml:space="preserve">КТП 10кВ Дачи </t>
  </si>
  <si>
    <t>КТП 10кВ Дачи Сельмаш</t>
  </si>
  <si>
    <t>КТП 10кВ ЗСП-Волково</t>
  </si>
  <si>
    <t>КТП 10кВ ЗСП-Плотники</t>
  </si>
  <si>
    <t>КТП 10кВ Лесхоз</t>
  </si>
  <si>
    <t>КТП 10кВ Маст.Плотники</t>
  </si>
  <si>
    <t>КТП 10кВ Мол.завод</t>
  </si>
  <si>
    <t>КТП 10кВ Овцеф.Попц.</t>
  </si>
  <si>
    <t>КТП 10кВ Свинар.Фралево</t>
  </si>
  <si>
    <t>КТП 10кВ Школа-С.Борок</t>
  </si>
  <si>
    <t>КТП-10 №086 Жил.дом Мясок.</t>
  </si>
  <si>
    <t>д.Мал.Городищи</t>
  </si>
  <si>
    <t>КТП-10 №101 д.Мал.Городищ</t>
  </si>
  <si>
    <t>КТП-10 №105 Свинар. Сгуб</t>
  </si>
  <si>
    <t>КТП-10 №108 ПСЛВ Уль.Гора</t>
  </si>
  <si>
    <t>КТП-10 №111 Жил.дома Сел.</t>
  </si>
  <si>
    <t>КТП-10 №112 Бойлер-"2А" Сел.</t>
  </si>
  <si>
    <t>КТП-10 №113 Бойлер-"2Б"Сел.</t>
  </si>
  <si>
    <t>КТП-10 №114 Гаражи-2 Сел.</t>
  </si>
  <si>
    <t>КТП-10 №116 Клуб Фралёво</t>
  </si>
  <si>
    <t>КТП-10 №122 Жил.пос.Ляды</t>
  </si>
  <si>
    <t>КТП-10 №124 Жил.дома Ляды</t>
  </si>
  <si>
    <t>КТП-10 №126 ФКРС Ляды</t>
  </si>
  <si>
    <t>КТП-10 №246 Ж.дома-Васюк</t>
  </si>
  <si>
    <t>КТП-10 №247 "ФКРС"д.Зобы</t>
  </si>
  <si>
    <t>д.Лопуськово</t>
  </si>
  <si>
    <t>КТП-10 №250 Свин. д.Лопусь.</t>
  </si>
  <si>
    <t>КТП-10 №252 Мастерс.-Зобы</t>
  </si>
  <si>
    <t>д.Кучели</t>
  </si>
  <si>
    <t>КТП-10 №258 Кучели</t>
  </si>
  <si>
    <t>д.Икорник</t>
  </si>
  <si>
    <t>КТП-10 №264 Икорник.</t>
  </si>
  <si>
    <t>д.Семёново</t>
  </si>
  <si>
    <t>КТП-10 №265 Смёново</t>
  </si>
  <si>
    <t>д.Иевское</t>
  </si>
  <si>
    <t>КТП-10 №266 Иевское</t>
  </si>
  <si>
    <t>КТП-10 №267 Лукино</t>
  </si>
  <si>
    <t>д.Збуново</t>
  </si>
  <si>
    <t>КТП-10 №352 д.Збуново</t>
  </si>
  <si>
    <t>д.Лозьёво</t>
  </si>
  <si>
    <t>КТП-10 №356 Лозьёво</t>
  </si>
  <si>
    <t>КТП-10 №361 Юрьевск.</t>
  </si>
  <si>
    <t>д.Скорынево</t>
  </si>
  <si>
    <t>КТП-10 №367 Скорынево</t>
  </si>
  <si>
    <t>д.Степышево</t>
  </si>
  <si>
    <t>КТП-10 №368 Стёпышево</t>
  </si>
  <si>
    <t>КТП-10 №370 Высоково</t>
  </si>
  <si>
    <t>КТП-10 №372 ЗСП-Сырцев.</t>
  </si>
  <si>
    <t>КТП-10 №407 АВМ Сукром.</t>
  </si>
  <si>
    <t>КТП-10 №493 Ж.Дома-М.Горы</t>
  </si>
  <si>
    <t>КТП-10 №497 ФКРС-Шульгино</t>
  </si>
  <si>
    <t>КТП-10кВ №001 Борки</t>
  </si>
  <si>
    <t>КТП-10кВ №015 Ёжево</t>
  </si>
  <si>
    <t>КТП-10кВ №017 Гряда</t>
  </si>
  <si>
    <t>д.Неволиха</t>
  </si>
  <si>
    <t>КТП-10кВ №118 Неволиха</t>
  </si>
  <si>
    <t>д.Молодка</t>
  </si>
  <si>
    <t>КТП-10кВ №119 Молодка</t>
  </si>
  <si>
    <t>КТП-10кВ №125 д.Ляды</t>
  </si>
  <si>
    <t>д.Семково</t>
  </si>
  <si>
    <t>КТП-10кВ №235 Семково</t>
  </si>
  <si>
    <t>КТП-10кВ №238 СОК</t>
  </si>
  <si>
    <t>КТП-10кВ №239 ЗСП</t>
  </si>
  <si>
    <t>КТП-10кВ №241 Заручье</t>
  </si>
  <si>
    <t>д.Любодицы</t>
  </si>
  <si>
    <t>КТП-10кВ №244 Любодицы</t>
  </si>
  <si>
    <t>КТП-10кВ №245 Сидорово</t>
  </si>
  <si>
    <t>КТП-10кВ №248 д.Зобы</t>
  </si>
  <si>
    <t>КТП-10кВ №251 ПСЛВ</t>
  </si>
  <si>
    <t>д.Узуниха</t>
  </si>
  <si>
    <t>КТП-10кВ №286 Узуниха</t>
  </si>
  <si>
    <t>д.Лютницы</t>
  </si>
  <si>
    <t>КТП-10кВ №314 Лютницы</t>
  </si>
  <si>
    <t>КТП-10кВ №343 Новиково</t>
  </si>
  <si>
    <t>КТП-10кВ №345 Горка</t>
  </si>
  <si>
    <t>д.Аксиньино</t>
  </si>
  <si>
    <t>КТП-10кВ №347 Аксиньино</t>
  </si>
  <si>
    <t>д.Иванисово</t>
  </si>
  <si>
    <t>КТП-10кВ №348 Иванисово</t>
  </si>
  <si>
    <t>КТП-10кВ №349 д.Михайл.</t>
  </si>
  <si>
    <t>д.Бармино</t>
  </si>
  <si>
    <t>КТП-10кВ №351 Бармино</t>
  </si>
  <si>
    <t>д.Давыдково</t>
  </si>
  <si>
    <t>КТП-10кВ №357 Давыдк.</t>
  </si>
  <si>
    <t>КТП-10кВ №359 Лядины</t>
  </si>
  <si>
    <t>д.Суховерково</t>
  </si>
  <si>
    <t>КТП-10кВ №360 Суховерк.</t>
  </si>
  <si>
    <t>д.Сивцево</t>
  </si>
  <si>
    <t>КТП-10кВ №364 Сивцево</t>
  </si>
  <si>
    <t>д.Чубарка</t>
  </si>
  <si>
    <t>КТП-10кВ №366 Чубарка</t>
  </si>
  <si>
    <t>д.Круглуша</t>
  </si>
  <si>
    <t>КТП-10кВ №494 Круглуша</t>
  </si>
  <si>
    <t>д.Дамацкое</t>
  </si>
  <si>
    <t>КТП-10кВ №495 Дамацкое</t>
  </si>
  <si>
    <t>д.Великое Село</t>
  </si>
  <si>
    <t>КТП-10кВ №498 Великое Село</t>
  </si>
  <si>
    <t>КТП-10кВ №505 Ёжево</t>
  </si>
  <si>
    <t>КТП-10кВ №507 Нечаево</t>
  </si>
  <si>
    <t>д.Бортово</t>
  </si>
  <si>
    <t>КТП-10кВ №517 Бортово</t>
  </si>
  <si>
    <t>КТП-10кВ №518 Речки</t>
  </si>
  <si>
    <t>КТП-10кВ №532 Лесничество</t>
  </si>
  <si>
    <t>КТП-10кВ №537 Васильки</t>
  </si>
  <si>
    <t>д.Волошница</t>
  </si>
  <si>
    <t>КТП-10кВ №538 Волошница</t>
  </si>
  <si>
    <t>КТП-10кВ №540 Княжево</t>
  </si>
  <si>
    <t>КТП-10кВ Бортники</t>
  </si>
  <si>
    <t>КТП-10кВ Льнозав поселок</t>
  </si>
  <si>
    <t>КТП-10кВ Суховерково</t>
  </si>
  <si>
    <t>д.Успенье</t>
  </si>
  <si>
    <t>КТП-10кВ Успенье</t>
  </si>
  <si>
    <t>д.Польцо-Новгородское</t>
  </si>
  <si>
    <t>КТП1 №427 Польцо-Новгор.</t>
  </si>
  <si>
    <t>КТП10 № Д/сад-2 Плотн</t>
  </si>
  <si>
    <t>д.Захаровка</t>
  </si>
  <si>
    <t>КТП10 №003 Захаровка</t>
  </si>
  <si>
    <t>КТП10 №008 Ж.дома-Мороз</t>
  </si>
  <si>
    <t>КТП10 №009 Мастерск.-Мор</t>
  </si>
  <si>
    <t>КТП10 №010 ЗСП-1 Мороз.</t>
  </si>
  <si>
    <t>КТП10 №011 ЗСП-2 Мороз.</t>
  </si>
  <si>
    <t>КТП10 №012 КЗС-Мороз.</t>
  </si>
  <si>
    <t>КТП10 №014 д.Морозово</t>
  </si>
  <si>
    <t>д.Яблонное</t>
  </si>
  <si>
    <t>КТП10 №018 Яблонное</t>
  </si>
  <si>
    <t>КТП10 №019 Школа-Мороз</t>
  </si>
  <si>
    <t>КТП10 №025 Эл.котель-Градн.</t>
  </si>
  <si>
    <t>КТП10 №037 Жил.пос.С.Бор.</t>
  </si>
  <si>
    <t>КТП10 №041 Эл.котель-Градн.</t>
  </si>
  <si>
    <t xml:space="preserve">КТП10 №051 ФКРСДуброво </t>
  </si>
  <si>
    <t>КТП10 №054 Больн.Бориск.</t>
  </si>
  <si>
    <t>КТП10 №142 КормоцехПодоб.</t>
  </si>
  <si>
    <t>КТП10 №145 Очис.соор.Подоб.</t>
  </si>
  <si>
    <t>КТП10 №146 Цент.ус-Подобино</t>
  </si>
  <si>
    <t>КТП10 №162 Жил.пос.Городищ</t>
  </si>
  <si>
    <t>КТП10 №165 Карт.хран.Гор.</t>
  </si>
  <si>
    <t>КТП10 №166 Д/сад Городищи</t>
  </si>
  <si>
    <t>КТП10 №175 Мол.зав. Ш.Дуб</t>
  </si>
  <si>
    <t>КТП10 №178 Мошнино</t>
  </si>
  <si>
    <t>КТП10 №180 Ж.пос.Ш.Дуб</t>
  </si>
  <si>
    <t>КТП10 №181 Алексеевское</t>
  </si>
  <si>
    <t>КТП10 №184 ФКРС-Княжиха</t>
  </si>
  <si>
    <t>д.Викторово</t>
  </si>
  <si>
    <t>КТП10 №187 Ст.Викторово</t>
  </si>
  <si>
    <t>КТП10 №189 Маст.Филипп</t>
  </si>
  <si>
    <t>КТП10 №190 Клуб Филипп</t>
  </si>
  <si>
    <t>КТП10 №191 д.Филиппково</t>
  </si>
  <si>
    <t>КТП10 №193 д.Мих.Гора</t>
  </si>
  <si>
    <t>КТП10 №194 Ж.дома-Мих.Гора</t>
  </si>
  <si>
    <t>КТП10 №199 АВМ Мих.Гора</t>
  </si>
  <si>
    <t>д.Большой Бор</t>
  </si>
  <si>
    <t>КТП10 №202 Большой Бор</t>
  </si>
  <si>
    <t>КТП10 №204 Михалиха</t>
  </si>
  <si>
    <t>д.Никифорцево</t>
  </si>
  <si>
    <t>КТП10 №206 Никифорцево</t>
  </si>
  <si>
    <t>д.Костюшино</t>
  </si>
  <si>
    <t>КТП10 №209 Костюшино</t>
  </si>
  <si>
    <t>КТП10 №212 Молзавод Еськи</t>
  </si>
  <si>
    <t>д.Б.Каменка</t>
  </si>
  <si>
    <t>КТП10 №214 д.Б.Каменка</t>
  </si>
  <si>
    <t>д.М.Каменка</t>
  </si>
  <si>
    <t>КТП10 №215 д.М.Каменка</t>
  </si>
  <si>
    <t>д.Каблуково</t>
  </si>
  <si>
    <t>КТП10 №220Каблуково</t>
  </si>
  <si>
    <t>КТП10 №225 Жил.пос.Конст.</t>
  </si>
  <si>
    <t>КТП10 №226 ФКРСКонст.</t>
  </si>
  <si>
    <t>КТП10 №227 д.Констант.</t>
  </si>
  <si>
    <t>КТП10 №229 Маст.Конст.</t>
  </si>
  <si>
    <t>д.Красноселка</t>
  </si>
  <si>
    <t>КТП10 №231 Красносёлка</t>
  </si>
  <si>
    <t>КТП10 №261 Ж.дома</t>
  </si>
  <si>
    <t>КТП10 №262 Маст.-Борки.</t>
  </si>
  <si>
    <t>КТП10 №263 Школа Боркино</t>
  </si>
  <si>
    <t>д.Березовая Роща</t>
  </si>
  <si>
    <t>КТП10 №276 Ж.пос-Б.роща</t>
  </si>
  <si>
    <t>д.Андерейково</t>
  </si>
  <si>
    <t>КТП10 №278 Андрейково</t>
  </si>
  <si>
    <t>КТП10 №279 Маст.-Иван.</t>
  </si>
  <si>
    <t>КТП10 №280 д.Ивановск.</t>
  </si>
  <si>
    <t>КТП10 №289 Маст.Фралёво</t>
  </si>
  <si>
    <t>д.Новоселка</t>
  </si>
  <si>
    <t>КТП10 №293 д.Новосёлка</t>
  </si>
  <si>
    <t>д.Потёсы</t>
  </si>
  <si>
    <t>КТП10 №298 ЗСП-Потёсы</t>
  </si>
  <si>
    <t>д.Покрышкино</t>
  </si>
  <si>
    <t>КТП10 №299 Покрышкино</t>
  </si>
  <si>
    <t>КТП10 №300 Ж.Пос-Потёсы</t>
  </si>
  <si>
    <t>КТП10 №301 Правл-Потёсы</t>
  </si>
  <si>
    <t>д.Стогово</t>
  </si>
  <si>
    <t>КТП10 №303 д.Стогово</t>
  </si>
  <si>
    <t>КТП10 №315 ФКРС-1 Старово</t>
  </si>
  <si>
    <t>КТП10 №319 АВМ Збуново</t>
  </si>
  <si>
    <t>КТП10 №320 Телятн.Збуново</t>
  </si>
  <si>
    <t>д.Филипиха</t>
  </si>
  <si>
    <t>КТП10 №323 Филиппиха</t>
  </si>
  <si>
    <t>КТП10 №325 Андреевское</t>
  </si>
  <si>
    <t>КТП10 №327 Свин.Присеки</t>
  </si>
  <si>
    <t>КТП10 №329 Пилорама Прис.</t>
  </si>
  <si>
    <t>д. Лаптиха</t>
  </si>
  <si>
    <t>КТП10 №342 Мастерс.</t>
  </si>
  <si>
    <t>КТП10 №350 Школа-Присек.</t>
  </si>
  <si>
    <t>КТП10 №355 Ж.дома-Лапт.</t>
  </si>
  <si>
    <t>КТП10 №358 ЗСП-2-Введен.</t>
  </si>
  <si>
    <t>КТП10 №362 ЗСП-1-Введен.</t>
  </si>
  <si>
    <t>КТП10 №363 Ж.пос-Введен.</t>
  </si>
  <si>
    <t>КТП10 №365 Котель-Введен.</t>
  </si>
  <si>
    <t>д.Константинково</t>
  </si>
  <si>
    <t>КТП10 №369 Константинково</t>
  </si>
  <si>
    <t>КТП10 №425 Романц.-Ночвино</t>
  </si>
  <si>
    <t xml:space="preserve">КТП10 №429 Михалёво </t>
  </si>
  <si>
    <t>КТП10 №432 Магазин-Попц.</t>
  </si>
  <si>
    <t>КТП10 №433 Кулигино</t>
  </si>
  <si>
    <t>КТП10 №435 Телятник-Юрк.</t>
  </si>
  <si>
    <t>КТП10 №436 ЗСП-Юркино</t>
  </si>
  <si>
    <t>КТП10 №437 ПСЛВ-Юркино</t>
  </si>
  <si>
    <t>КТП10 №438 д.Юркино</t>
  </si>
  <si>
    <t>КТП10 №439 Мастерск.-Юрк</t>
  </si>
  <si>
    <t>КТП10 №440 Жил.пос.-Юрк.</t>
  </si>
  <si>
    <t>д.Белое село</t>
  </si>
  <si>
    <t>КТП10 №441 ФКРС-Бел.Село</t>
  </si>
  <si>
    <t>д.белое село</t>
  </si>
  <si>
    <t>КТП10 №442 д.Белое Село</t>
  </si>
  <si>
    <t>д.Новое село</t>
  </si>
  <si>
    <t>КТП10 №446 д.Нов. Село</t>
  </si>
  <si>
    <t>КТП10 №447 Школа-Плотник.</t>
  </si>
  <si>
    <t>КТП10 №450 Д/сад-1 Плотн</t>
  </si>
  <si>
    <t>КТП10 №451 Жил.дома-Плот</t>
  </si>
  <si>
    <t>КТП10 №452 д.Плотник.</t>
  </si>
  <si>
    <t>д.Теблиши</t>
  </si>
  <si>
    <t>КТП10 №463 ФКРС-Теблеши</t>
  </si>
  <si>
    <t>КТП10 №465 Жил.пос.Тебл.</t>
  </si>
  <si>
    <t>КТП10 №468 Пекарня Тебл.</t>
  </si>
  <si>
    <t>КТП10 №469 ФКРСТеблеши</t>
  </si>
  <si>
    <t>д.Солнечный</t>
  </si>
  <si>
    <t>КТП10 №480 пос.Солнечный</t>
  </si>
  <si>
    <t>д.Кашинка</t>
  </si>
  <si>
    <t>КТП10 №482 Кашинка(ФКРС)</t>
  </si>
  <si>
    <t>КТП10 №483 Маст.Житищи</t>
  </si>
  <si>
    <t>д.Щадрениха</t>
  </si>
  <si>
    <t>КТП10 №485 д.Щадрениха</t>
  </si>
  <si>
    <t>КТП10 №487 Жил.дома Восн.</t>
  </si>
  <si>
    <t>КТП10 №499 Ж.пос-Шульгино</t>
  </si>
  <si>
    <t>КТП10 №509 Береж.лесн.</t>
  </si>
  <si>
    <t>КТП10 №510 Пилор. Бер.лес.</t>
  </si>
  <si>
    <t>КТП10 №513 Турбаза Сельмаш.</t>
  </si>
  <si>
    <t>КТП10 №527 Магазин-М.Горы</t>
  </si>
  <si>
    <t>д.Петропавловское</t>
  </si>
  <si>
    <t>КТП10 №535 Петропавловское</t>
  </si>
  <si>
    <t>КТП10№410 Карт.хран-Сукр.</t>
  </si>
  <si>
    <t>КТП10№416 Котельная Сукр.</t>
  </si>
  <si>
    <t>КТП10кВ №002 Холмцы</t>
  </si>
  <si>
    <t>КТП10кВ №177 Ферм.х-во</t>
  </si>
  <si>
    <t>д.М.Косиха</t>
  </si>
  <si>
    <t>КТП10кВ №222 д.М.Косиха</t>
  </si>
  <si>
    <t>д.Б.косиха</t>
  </si>
  <si>
    <t>КТП10кВ №223 д.Б.Косиха</t>
  </si>
  <si>
    <t>д.Щитяково</t>
  </si>
  <si>
    <t>КТП10кВ №292 Щитяково</t>
  </si>
  <si>
    <t>КТП10кВ №294 Нов. Село</t>
  </si>
  <si>
    <t>д.Выдумерь</t>
  </si>
  <si>
    <t>КТП10кВ №296 Выдумерь</t>
  </si>
  <si>
    <t>д.Ростовищи</t>
  </si>
  <si>
    <t>КТП10кВ №297 Ростовищи</t>
  </si>
  <si>
    <t>КТП10кВ №305 Климатино</t>
  </si>
  <si>
    <t>КТП10кВ №500 Цент.усадьба</t>
  </si>
  <si>
    <t>д.Старый Борок</t>
  </si>
  <si>
    <t>МТП 10 №029 Старый Борок</t>
  </si>
  <si>
    <t>МТП 10 №072 Школа-Пореч.</t>
  </si>
  <si>
    <t>МТП 10 №131 Княжево</t>
  </si>
  <si>
    <t>д.Чурилково</t>
  </si>
  <si>
    <t>МТП 10 №138 Чурилково</t>
  </si>
  <si>
    <t>МТП 10 №156 д.Елизарово</t>
  </si>
  <si>
    <t>МТП 10 №163 ФКРС Городищи</t>
  </si>
  <si>
    <t>д.Сулега</t>
  </si>
  <si>
    <t>МТП 10кВ №049 д.Сулега</t>
  </si>
  <si>
    <t xml:space="preserve">МТП 10кВ №063 д.Курганы  </t>
  </si>
  <si>
    <t>д.Кочевино</t>
  </si>
  <si>
    <t xml:space="preserve">МТП 10кВ №066 Кочевино  </t>
  </si>
  <si>
    <t>д.Стёпаньково</t>
  </si>
  <si>
    <t>МТП 10кВ №068 Стёпаньково</t>
  </si>
  <si>
    <t>МТП 10кВ №082 д.Вор.Нога</t>
  </si>
  <si>
    <t>МТП 10кВ №140 Ляхово</t>
  </si>
  <si>
    <t>д.Фёдорино</t>
  </si>
  <si>
    <t>МТП 10кВ №151 Фёдорино</t>
  </si>
  <si>
    <t>д.М.Баранково</t>
  </si>
  <si>
    <t>МТП 10кВ №154 М.Баранково</t>
  </si>
  <si>
    <t>МТП 10кВ №164 д.Городищи</t>
  </si>
  <si>
    <t>МТП 10кВ №230 Загорье</t>
  </si>
  <si>
    <t>МТП 10кВ №236 Воробьево</t>
  </si>
  <si>
    <t>МТП 10кВ №377 Петрово</t>
  </si>
  <si>
    <t>д.Волоково</t>
  </si>
  <si>
    <t>МТП 10кВ №380 д.Волково</t>
  </si>
  <si>
    <t>д.Ельники</t>
  </si>
  <si>
    <t>МТП-10 №006 Ельники</t>
  </si>
  <si>
    <t>МТП-10 №514 Староселье</t>
  </si>
  <si>
    <t>МТП-10 №526 КЗС-М.Горы</t>
  </si>
  <si>
    <t>д.Ломы</t>
  </si>
  <si>
    <t>МТП-10кВ №242 Ломы</t>
  </si>
  <si>
    <t>д.Голчань</t>
  </si>
  <si>
    <t>МТП-10кВ №496 Голчань</t>
  </si>
  <si>
    <t>д.Руйново</t>
  </si>
  <si>
    <t>МТП-10кВ №501 Руйново</t>
  </si>
  <si>
    <t>д.Намесково</t>
  </si>
  <si>
    <t>МТП-10кВ №502 Намесково</t>
  </si>
  <si>
    <t>д.Разморское</t>
  </si>
  <si>
    <t>МТП-10кВ №503 Разморское</t>
  </si>
  <si>
    <t>д.Кр.Раменье</t>
  </si>
  <si>
    <t>МТП-10кВ №504 Кр.Раменье</t>
  </si>
  <si>
    <t>МТП-10кВ №506 Поповка</t>
  </si>
  <si>
    <t>д.М.Бережа</t>
  </si>
  <si>
    <t>МТП-10кВ №511 М.Бережа</t>
  </si>
  <si>
    <t>д.Б.Бережа</t>
  </si>
  <si>
    <t>МТП-10кВ №515 Б.Бережа</t>
  </si>
  <si>
    <t>МТП-10кВ №516 Ильицино</t>
  </si>
  <si>
    <t>д.Абрамиха</t>
  </si>
  <si>
    <t>МТП-10кВ №519 Абрамиха</t>
  </si>
  <si>
    <t>д.Дрюцково</t>
  </si>
  <si>
    <t>МТП-10кВ №520 Дрюцково</t>
  </si>
  <si>
    <t>МТП-10кВ №536 Славково</t>
  </si>
  <si>
    <t>д.Мешково</t>
  </si>
  <si>
    <t>МТП10 №004 Мешково</t>
  </si>
  <si>
    <t>д.Ситьково</t>
  </si>
  <si>
    <t xml:space="preserve">МТП10 №005 Ситьково </t>
  </si>
  <si>
    <t xml:space="preserve">МТП10 №026 НовоеСело </t>
  </si>
  <si>
    <t>МТП10 №109 д.Ульян.Гора</t>
  </si>
  <si>
    <t>д.Шалиха</t>
  </si>
  <si>
    <t>МТП10 №306 Шалиха</t>
  </si>
  <si>
    <t>МТП10 №316 Старово-дер.</t>
  </si>
  <si>
    <t>д.Мурзиха</t>
  </si>
  <si>
    <t>МТП10кВ №295 Мурзиха</t>
  </si>
  <si>
    <t>СТП-10 №115 Свинар.Захар.</t>
  </si>
  <si>
    <t>г.Весьегонск, п.Кратинова</t>
  </si>
  <si>
    <t>Весьегонский</t>
  </si>
  <si>
    <t>ЗТП-250 кВА п.Кратинова</t>
  </si>
  <si>
    <t>КТП-400 кВА№1 (деревня)д.Бараново.</t>
  </si>
  <si>
    <t>КТП 63 кВА №2 д.Бараново</t>
  </si>
  <si>
    <t>д.Выбор</t>
  </si>
  <si>
    <t>КТП 20 кВА д.Выбор.</t>
  </si>
  <si>
    <t>КТП 160 кВА д.Горка.</t>
  </si>
  <si>
    <t>д.Крешнево</t>
  </si>
  <si>
    <t>КТП поселок МХС</t>
  </si>
  <si>
    <t>КТП 100 кВА №1 крешнево</t>
  </si>
  <si>
    <t>СТ "Родник"</t>
  </si>
  <si>
    <t>КТП дачи родник</t>
  </si>
  <si>
    <t>д.Спас-реня</t>
  </si>
  <si>
    <t>КТП 10 кВА д.Спас-реня</t>
  </si>
  <si>
    <t>д.Шарицы</t>
  </si>
  <si>
    <t>КТП 100 кВА д.Шарицы</t>
  </si>
  <si>
    <t>д.Федотово</t>
  </si>
  <si>
    <t>МТП 10 кВА д.Федотово</t>
  </si>
  <si>
    <t>д. Бодачево</t>
  </si>
  <si>
    <t>ТП №058 д. Бодачево</t>
  </si>
  <si>
    <t>д.Стрелица</t>
  </si>
  <si>
    <t>МТП 100 кВА №2 д.Стрелица</t>
  </si>
  <si>
    <t>МТП 60 кВА №2 д.Стрелица</t>
  </si>
  <si>
    <t>д.Перемут</t>
  </si>
  <si>
    <t>КТП 100 кВА д.Перемут</t>
  </si>
  <si>
    <t>КТП 60кВА №1 д.Перемут</t>
  </si>
  <si>
    <t>КТП 63 кВА д.Раменье</t>
  </si>
  <si>
    <t>д.Слуды</t>
  </si>
  <si>
    <t>КТП 63 кВА д.Слуды</t>
  </si>
  <si>
    <t>КТП 100 кВА д.Никулино</t>
  </si>
  <si>
    <t>д.Васькино</t>
  </si>
  <si>
    <t>КТП-40 кВА д.Васькино</t>
  </si>
  <si>
    <t>д.Елейцино</t>
  </si>
  <si>
    <t>КТП 25 кВа елейцино</t>
  </si>
  <si>
    <t>МТП 30 кВА д.Павловское</t>
  </si>
  <si>
    <t>МТП-100 кВА д.Старое-Стрекачево</t>
  </si>
  <si>
    <t>КТП 100 кВА №2 старое</t>
  </si>
  <si>
    <t>д.Малыгино</t>
  </si>
  <si>
    <t>МТП-30 кВА д.Малыгино</t>
  </si>
  <si>
    <t>д.Неганово</t>
  </si>
  <si>
    <t>КТП 100 кВА №1 неганово</t>
  </si>
  <si>
    <t>КТП 400 кВА №2 КЗС неганово</t>
  </si>
  <si>
    <t>КТП 160кВА №5 неганово</t>
  </si>
  <si>
    <t>КТП 250 кВА №3 д.Неганово</t>
  </si>
  <si>
    <t>КТП 60 кВА №4 д.Неганово</t>
  </si>
  <si>
    <t>д.Б. Овсяниково</t>
  </si>
  <si>
    <t>КТП 160 кВА б. овсяниково</t>
  </si>
  <si>
    <t>д.Егна</t>
  </si>
  <si>
    <t>КТПП 630 кВА №1 д.Егна</t>
  </si>
  <si>
    <t>КТПП 250 кВА №6 д.Егна</t>
  </si>
  <si>
    <t>КТП 100 кВА №2 д.Егна</t>
  </si>
  <si>
    <t>КТП 250 кВа №3 д.Егна</t>
  </si>
  <si>
    <t>КТП 100 кВА №4 д.Егна</t>
  </si>
  <si>
    <t>КТП 400 кВА №5 д.Егна</t>
  </si>
  <si>
    <t>КТП 60 кВа григорово</t>
  </si>
  <si>
    <t>д.Мордкино</t>
  </si>
  <si>
    <t>КТП 60 кВА д.Мордкино</t>
  </si>
  <si>
    <t>КТП 100 кВА сухолжино</t>
  </si>
  <si>
    <t>КТП 100 кВА макарово</t>
  </si>
  <si>
    <t>д.Квасково</t>
  </si>
  <si>
    <t>КТП 20 кВа квасково</t>
  </si>
  <si>
    <t>КТП 40 кВА д.Улитино</t>
  </si>
  <si>
    <t>д.Филипцево</t>
  </si>
  <si>
    <t>КТП 10 кВА д.Филипцево</t>
  </si>
  <si>
    <t>д.Кузьмищево</t>
  </si>
  <si>
    <t>КТП 60 кВА д.Кузьмищево</t>
  </si>
  <si>
    <t>д.Тиманское</t>
  </si>
  <si>
    <t>КТП 63 кВа тиманское</t>
  </si>
  <si>
    <t>д.Сбрындино</t>
  </si>
  <si>
    <t>КТП-30 кВА д.Сбрындино</t>
  </si>
  <si>
    <t>КТП-60 кВА д.Малышево</t>
  </si>
  <si>
    <t>КТП-30 кВА Суслово.</t>
  </si>
  <si>
    <t>МТП 100 кВА д.Чижово</t>
  </si>
  <si>
    <t>МТП-10 кВА борихино</t>
  </si>
  <si>
    <t>КТП-250 кВА №2 михалево</t>
  </si>
  <si>
    <t>КТП-60 кВА №1 д.Михалево</t>
  </si>
  <si>
    <t>д.Копаево</t>
  </si>
  <si>
    <t>КТП-160 кВА д.Копаево</t>
  </si>
  <si>
    <t>КТП-160 кВА №4 михалево</t>
  </si>
  <si>
    <t>д.Сенцово</t>
  </si>
  <si>
    <t>МТП-40 кВА сенцово</t>
  </si>
  <si>
    <t>д.Бухрово</t>
  </si>
  <si>
    <t>КТП-160 кВА д.Бухрово</t>
  </si>
  <si>
    <t>д.Постижино</t>
  </si>
  <si>
    <t>МТП 30 кВА д.Постижино</t>
  </si>
  <si>
    <t>д.Шенское</t>
  </si>
  <si>
    <t>МТП-20 кВА Шенское.</t>
  </si>
  <si>
    <t>д.Баскаки</t>
  </si>
  <si>
    <t>КТП-63 кВА д.Баскаки</t>
  </si>
  <si>
    <t>КТП-30 кВА д.Маринино</t>
  </si>
  <si>
    <t>КТП-30 кВА д.Лукино</t>
  </si>
  <si>
    <t>КТП-60 кВА петровское</t>
  </si>
  <si>
    <t>МТП-60 кВА Савелово.</t>
  </si>
  <si>
    <t>д.Титовское</t>
  </si>
  <si>
    <t>МТП-40 кВА д.Титовское д.Юрьевское</t>
  </si>
  <si>
    <t>КТП-30 кВА д.Григорково</t>
  </si>
  <si>
    <t>д.Ещево</t>
  </si>
  <si>
    <t>КТП-250 кВА №1 д.Ещево</t>
  </si>
  <si>
    <t>КТП-100 кВА №2 д.Ещево</t>
  </si>
  <si>
    <t>д.Арефино</t>
  </si>
  <si>
    <t>МТП-60 кВА д.Арефино</t>
  </si>
  <si>
    <t>д.Кишкино</t>
  </si>
  <si>
    <t>КТП-30 кВА д.Кишкино</t>
  </si>
  <si>
    <t>д.Самша 1</t>
  </si>
  <si>
    <t>КТП-40 кВа Самша 1</t>
  </si>
  <si>
    <t>д.Самша 2</t>
  </si>
  <si>
    <t>КТП-30 кВА д.Самша 2</t>
  </si>
  <si>
    <t>КТП-100 кВА №4 д.Иваново</t>
  </si>
  <si>
    <t>КТП-160 кВа №3 д.Иваново</t>
  </si>
  <si>
    <t>КТП-400 кВА №2 д.Иваново</t>
  </si>
  <si>
    <t>КТП-160 кВА №5 д.Иваново</t>
  </si>
  <si>
    <t>пос.Восход</t>
  </si>
  <si>
    <t>КТП-400 кВА пос.Восход</t>
  </si>
  <si>
    <t>КТП-100 кВА №1 иваново</t>
  </si>
  <si>
    <t>КТП 400 кВА №1 п.Восход</t>
  </si>
  <si>
    <t>КТП-100 кВа №1 д.Погорелово</t>
  </si>
  <si>
    <t>МТП-100 кВА №2 погорелово</t>
  </si>
  <si>
    <t>д.Подлесное</t>
  </si>
  <si>
    <t>КТП-60 кВА подлесное</t>
  </si>
  <si>
    <t>д.Приворот</t>
  </si>
  <si>
    <t>КТП-60 кВА д.Приворот</t>
  </si>
  <si>
    <t>д.Круглиха</t>
  </si>
  <si>
    <t>КТП-400 кВА д.Круглиха</t>
  </si>
  <si>
    <t>д.Бельское</t>
  </si>
  <si>
    <t>МТП-30 кВА бельское</t>
  </si>
  <si>
    <t>КТП-63 кВА д.Медведково</t>
  </si>
  <si>
    <t>КТП-60 кВА д.Лопатиха-Костиндор</t>
  </si>
  <si>
    <t>д.Ч.Дубрава</t>
  </si>
  <si>
    <t>КТП-250 кВА Ч.Дубрава</t>
  </si>
  <si>
    <t>КТП-30 кВА д.Высокое д.Ермолкино</t>
  </si>
  <si>
    <t>д.Поцеп</t>
  </si>
  <si>
    <t>КТП-60 кВА д.Поцеп</t>
  </si>
  <si>
    <t>д.М.Фоминское</t>
  </si>
  <si>
    <t>КТП-30 кВА малое фоминское</t>
  </si>
  <si>
    <t>КТП-160 кВА д.Суково</t>
  </si>
  <si>
    <t>МТП 160 кВА №2 д.Суково</t>
  </si>
  <si>
    <t>МТП-10 кВА д.Ивашково</t>
  </si>
  <si>
    <t>д. Осорино</t>
  </si>
  <si>
    <t>ТП №119 д. Осорино</t>
  </si>
  <si>
    <t>д.Чамерово</t>
  </si>
  <si>
    <t>КТП 250 кВА д.Чамерово</t>
  </si>
  <si>
    <t>КТП 60 кВА д.Мышкино</t>
  </si>
  <si>
    <t>д.Острецово</t>
  </si>
  <si>
    <t>КТП 160 кВА д.Острецово</t>
  </si>
  <si>
    <t xml:space="preserve"> д.Орда</t>
  </si>
  <si>
    <t>МТП-10 кВА д.Орда</t>
  </si>
  <si>
    <t>КТП-40 кВА д.Шеломово</t>
  </si>
  <si>
    <t>д.Телятово</t>
  </si>
  <si>
    <t>КТП 60 кВА №6 телятово</t>
  </si>
  <si>
    <t>КТП 160 кВА №4 д.Телятово</t>
  </si>
  <si>
    <t>КТП-250 кВА №5 д.Телятово</t>
  </si>
  <si>
    <t>д. Телятово</t>
  </si>
  <si>
    <t>КТП 100 кВА №3 д. Телятово</t>
  </si>
  <si>
    <t>КТП 100 кВа №1 д.Телятово</t>
  </si>
  <si>
    <t>КТП-60 кВА №2 д.Телятово</t>
  </si>
  <si>
    <t>КТП 63 кВА д.Высокое</t>
  </si>
  <si>
    <t>МТП-40 кВА д.Дудино</t>
  </si>
  <si>
    <t>д. Головково</t>
  </si>
  <si>
    <t>МТП 40кВА д. Головково</t>
  </si>
  <si>
    <t>д.Бриково</t>
  </si>
  <si>
    <t>МТП-40 кВА Бриково-Горка.</t>
  </si>
  <si>
    <t>КТП 160 кВа №1 романцево</t>
  </si>
  <si>
    <t>д.Добрица</t>
  </si>
  <si>
    <t>МТП 10 кВА д.Добрица</t>
  </si>
  <si>
    <t>КТП 100 кВА №2 д.Сычево</t>
  </si>
  <si>
    <t>д.Еремейцево</t>
  </si>
  <si>
    <t>КТП 40 кВА д.Еремейцево</t>
  </si>
  <si>
    <t>д.Талашманка</t>
  </si>
  <si>
    <t>КТП 40 кВа д.Талашманка</t>
  </si>
  <si>
    <t>д.Мосеевское</t>
  </si>
  <si>
    <t>КТП 63 кВА д.Мосеевское</t>
  </si>
  <si>
    <t>д.Боловино.</t>
  </si>
  <si>
    <t>МТП-63 кВА д.Боловино.</t>
  </si>
  <si>
    <t>КТП 100 кВА №3 д.Чамерово</t>
  </si>
  <si>
    <t>ЗТП-2*400 №5 чамерово</t>
  </si>
  <si>
    <t>КТП 160 кВА №4 Чамерово</t>
  </si>
  <si>
    <t>КТП 160 кВА №2  с.Чамерово</t>
  </si>
  <si>
    <t xml:space="preserve"> д. Хахилево</t>
  </si>
  <si>
    <t>КТП 100 кВА д. Хахилево</t>
  </si>
  <si>
    <t>д.Хахилево</t>
  </si>
  <si>
    <t>МТП 40 кВА д.Хахилево</t>
  </si>
  <si>
    <t>д.Романовское</t>
  </si>
  <si>
    <t>МТП 60 кВА д.Романовское</t>
  </si>
  <si>
    <t>д.Романовское.</t>
  </si>
  <si>
    <t>КТП 160 кВА №3 д.Романовское.</t>
  </si>
  <si>
    <t>д.Паскино.</t>
  </si>
  <si>
    <t>МТП 40 кВА д.Паскино.</t>
  </si>
  <si>
    <t>д.Сажиха</t>
  </si>
  <si>
    <t>МТП-60 кВА сажиха</t>
  </si>
  <si>
    <t xml:space="preserve"> КТП 250 кВА ферма д.Сажиха</t>
  </si>
  <si>
    <t>КТП-60 кВА чамерово деревня</t>
  </si>
  <si>
    <t>д. Веселово</t>
  </si>
  <si>
    <t>КТП-40 кВА Веселово.</t>
  </si>
  <si>
    <t>д.Ульяниха</t>
  </si>
  <si>
    <t>МТП-40 кВА д.Ульяниха</t>
  </si>
  <si>
    <t>д.Савино.</t>
  </si>
  <si>
    <t>МТП 10кВА д.Савино.</t>
  </si>
  <si>
    <t>д. Чурилково</t>
  </si>
  <si>
    <t>МТП-60 кВА Чурилково</t>
  </si>
  <si>
    <t>д.Противье</t>
  </si>
  <si>
    <t>КТП-400 кВА противье</t>
  </si>
  <si>
    <t>д.Топорищево</t>
  </si>
  <si>
    <t>КТП 250 кВА д.Топорищево</t>
  </si>
  <si>
    <t>д. Н.Высока.</t>
  </si>
  <si>
    <t>КТП 30 кВА Н.Высока.</t>
  </si>
  <si>
    <t>МТП 40 кВА д.Ильинское</t>
  </si>
  <si>
    <t>МТП 10 кВА д.Каменка</t>
  </si>
  <si>
    <t>МТП 40 кВА д.Новое</t>
  </si>
  <si>
    <t>д. Дюдиково</t>
  </si>
  <si>
    <t>КТП 100 кВА №3 д.Дюдиково</t>
  </si>
  <si>
    <t>д.Огнишино</t>
  </si>
  <si>
    <t>КТП-100 кВА д.Огнишино</t>
  </si>
  <si>
    <t>д.Беняково</t>
  </si>
  <si>
    <t>КТП 40 кВА д.Беняково</t>
  </si>
  <si>
    <t>д. Р.Приворот</t>
  </si>
  <si>
    <t>КТП- 400 кВА №1 "База отдыха"</t>
  </si>
  <si>
    <t>КТП 100 кВА №1  дюдиково</t>
  </si>
  <si>
    <t>КТП 60 кВА №2 д.Остров</t>
  </si>
  <si>
    <t>д.Липенка</t>
  </si>
  <si>
    <t>МТП 30 кВА д.Липенка,д.Борки</t>
  </si>
  <si>
    <t>д.Коник</t>
  </si>
  <si>
    <t>МТП 250 кВА№2 д.Коник</t>
  </si>
  <si>
    <t>МТП 100 кВА №1 д.Коник</t>
  </si>
  <si>
    <t>КТП 100 кВА №1 д.Коник</t>
  </si>
  <si>
    <t>КТП 60 кВА №2 д.Коник</t>
  </si>
  <si>
    <t>КТП 60 кВА №3 д.Коник</t>
  </si>
  <si>
    <t>КТП 250 кВА №5 д.Коник</t>
  </si>
  <si>
    <t>МТП 100 кВА д.Остров д.Аксениха</t>
  </si>
  <si>
    <t>КТП 250 кВА №6 д.Коник</t>
  </si>
  <si>
    <t>МТП 40 кВА д.Болдырево</t>
  </si>
  <si>
    <t>с.Любегощи</t>
  </si>
  <si>
    <t>КТПП 250 кВА №9 с.Любегощи</t>
  </si>
  <si>
    <t>д.Любер</t>
  </si>
  <si>
    <t>КТП  100 кВА  д.Любер</t>
  </si>
  <si>
    <t xml:space="preserve"> д.Ларихово</t>
  </si>
  <si>
    <t>МТП 160 кВА д.Попово д.Ларихово</t>
  </si>
  <si>
    <t>МТП 30 кВА д.Никулино</t>
  </si>
  <si>
    <t>МТП 30 кВА д.Федорково</t>
  </si>
  <si>
    <t>КТП 63 кВА д.Кишкино</t>
  </si>
  <si>
    <t>КТПП 400 кВА №4 д.Гора</t>
  </si>
  <si>
    <t xml:space="preserve"> д.Гора</t>
  </si>
  <si>
    <t>КТП 160 кВА д.Гора (поселок)</t>
  </si>
  <si>
    <t>д.Косодавль</t>
  </si>
  <si>
    <t>КТП 100 кВА д.Косодавль</t>
  </si>
  <si>
    <t>д.Хрущи</t>
  </si>
  <si>
    <t>КТП 40 кВА д.Хрущи</t>
  </si>
  <si>
    <t>д.М.Овсянниково</t>
  </si>
  <si>
    <t>МТП 30 кВА  № 280 д.М.Овсянниково</t>
  </si>
  <si>
    <t>КТП 100 кВА №277 с.Любегощи</t>
  </si>
  <si>
    <t>д.Батеевка</t>
  </si>
  <si>
    <t>КТП 63 кВА  № 279  д.Батеевка</t>
  </si>
  <si>
    <t>МТП 160 кВА №273 с.Любегощи</t>
  </si>
  <si>
    <t>КТП 400 кВА № 276 с.Любегощи.</t>
  </si>
  <si>
    <t>КТП 160 кВА № 278 с.Любегощи</t>
  </si>
  <si>
    <t>с.Любегощи.</t>
  </si>
  <si>
    <t>КТПП 400 кВА № 274  с.Любегощи.</t>
  </si>
  <si>
    <t>ТП 30 кВА  № 275  с.Любегощи</t>
  </si>
  <si>
    <t>МТП 60 кВА №284 д.Гора</t>
  </si>
  <si>
    <t>КТП 160 кВА №282  д.Гора</t>
  </si>
  <si>
    <t>КТП 25 кВА № 283 д.Гора</t>
  </si>
  <si>
    <t>КТП 100 кВА №  281  д.Гора</t>
  </si>
  <si>
    <t>МТП 40 кВА д.Козлы</t>
  </si>
  <si>
    <t>КТП 160 кВА №1 д.Нестерово-Тучково</t>
  </si>
  <si>
    <t>КТП 100 кВА №2  д.Нестерово</t>
  </si>
  <si>
    <t>КТП 160 кВА №1 д. Аблазино д.Бородино</t>
  </si>
  <si>
    <t>д. Аблазино</t>
  </si>
  <si>
    <t>КТП 160 кВА №2 д. Аблазино</t>
  </si>
  <si>
    <t xml:space="preserve"> д.Тимофеево</t>
  </si>
  <si>
    <t>МТП 30 кВА д.Тимофеево</t>
  </si>
  <si>
    <t>д.Мишуткино</t>
  </si>
  <si>
    <t>МТП 30 кВА д.Мишуткино</t>
  </si>
  <si>
    <t>МТП 60 кВА(баркан) д.Жуково</t>
  </si>
  <si>
    <t>КТП 100 кВА д.Дор</t>
  </si>
  <si>
    <t>КТП 100 кВА №5 д.Алферово</t>
  </si>
  <si>
    <t>КТП 250 кВА №1 д.Алферово</t>
  </si>
  <si>
    <t>КТПП  400 кВА №4 д.Алферово</t>
  </si>
  <si>
    <t>КТП 160 кВА №2 д.Алферово</t>
  </si>
  <si>
    <t>КТП 160 кВА №3(ферма) д.Алферово</t>
  </si>
  <si>
    <t>д.Левково</t>
  </si>
  <si>
    <t>МТП 25 кВА д.Левково</t>
  </si>
  <si>
    <t>д.Верхнее</t>
  </si>
  <si>
    <t>МТП 30 кВА д.Верхнее-Щелканиха</t>
  </si>
  <si>
    <t>д.Лошицы</t>
  </si>
  <si>
    <t>МТП 30 кВА д.Лошицы</t>
  </si>
  <si>
    <t>КТП 25 кВА д.Сельцы</t>
  </si>
  <si>
    <t>д.Б.Мякишево</t>
  </si>
  <si>
    <t>МТП 30 кВА д.Б.Мякишево</t>
  </si>
  <si>
    <t>40753481
(договор заключен 02.08.2013)</t>
  </si>
  <si>
    <t>40764590 (договор заключен 16.08.2013)</t>
  </si>
  <si>
    <t xml:space="preserve">40728273 (договор заключен 20.08.2013) </t>
  </si>
  <si>
    <t>40759355 (договор заключен 21.08.2013)</t>
  </si>
  <si>
    <t>40759337 (договор заключен 26.08.2013)</t>
  </si>
  <si>
    <t>40764159 (договор заключен 26.08.2013)</t>
  </si>
  <si>
    <t>40753488
(договор заключен 30.08.2013)</t>
  </si>
  <si>
    <t>Грозион Глеб Игоревич</t>
  </si>
  <si>
    <t>ЛЭП-0,4 кВ для обслкуживания хозпостройки для обслуживания детских дач</t>
  </si>
  <si>
    <t>40787250
(договор заключен 30.08.2013)</t>
  </si>
  <si>
    <t>40763314
(договор заключен 02.09.2013)</t>
  </si>
  <si>
    <t>40740825
(договор заключен 03.09.2013)</t>
  </si>
  <si>
    <t>40781640
(договор заключен 05.09.2013)</t>
  </si>
  <si>
    <t>Плешаков Иван Викторович</t>
  </si>
  <si>
    <t>ВЛ-10 кВ и КТП-10/0,4 кВ-160 кВА_Тверскаяч область, Конаковский район, Дмитровогорское с/п, д. Коровино, земельные участки в сооответствии с договорами аренды_в ОРЗТП с 23.08.2013 г.</t>
  </si>
  <si>
    <t>ЛЭП-0,4 кВ для электроснабжения бетонного завода_Тверская область, Калининский район, Бурашевское с/п, дер. Садыково (земельный участок с кадастровым номером 69:10:0000025:641)_в ОРЗТП с 19.09.2013 г.</t>
  </si>
  <si>
    <t>ЛЭП-6 кВ и КТП-6/0,4 кВ-160 кВА "С/т "Дружба" для электроснабжения СНТ_Тверская область, пгт. Конаково, СНТ "Дружба")в ОРЗТП с 19.09.2013 г.</t>
  </si>
  <si>
    <t>ОАО "ЭстейтИнвест"</t>
  </si>
  <si>
    <t>ЛЭП-0,4 кВ для электроснабжения линии освещения объекта "Строительство улицы на участке между Октябрьским проспектом и продолжением бульвара Гусева в районе перспективной застройки "Зеленая долина" в Московском районе г. Твери"_Тверская область, г. Тверь, пр-кт Октябрьский (земельный участок с кадастровым номером 69:40:0200179:19_в ОРЗТП с 19.09.13</t>
  </si>
  <si>
    <t>СНТ "Новорябиково"</t>
  </si>
  <si>
    <t>ЛЭП-0,4 кВ для электроснабжения жилых домов_Тверская область, Конаковксий район, Ручьевское с/п, дер. Рябиково_в ОРЗТП с 19.09.2013 г.</t>
  </si>
  <si>
    <t>Электроснабжение объекта "Коттеджный поселок с зоной рекреации"_почтовый адрес ориентира: Тверская область, Калининский район, с/п Каблуковское, дер. Орша_в ОРЗТП с 18.09.2013 г.</t>
  </si>
  <si>
    <t>ООО "ГидроСтрой"</t>
  </si>
  <si>
    <t>Электроснабжение объекта "Технологическое оборудование земснаряда на р. Волга"_Тверскеая область, Калининнский район, Никулинское с/п, район, дер. Красново_ в ОРЗТП с 18.09.2013 г.</t>
  </si>
  <si>
    <t>ООО "Евро Семена"</t>
  </si>
  <si>
    <t>Существующая ВЛ-0,4 кВ для электроснабжения здания бригадного дома и обеспечение нужд по хранению овощей_Тверская область, Ржевский район, с/п "Победа", пос. Побед (кадастровые номера 69:27:000019:0413:2-426:1000 А 69:27:0191302:8)_в ОРЗТП с 18.09.2013 г.</t>
  </si>
  <si>
    <t>Гундырев Александр Владимирович</t>
  </si>
  <si>
    <t>ВЛ-6 кВ и ТП-6/0.4 кВ 400 кВА для электроснабжения хозяйственной постройки_почтовый адрес ориентира: Тверская область, Калининский район, Заволжское с/п, п. Заволжский (земельный участок с кадастровым номером 69:10:0000021:940)_в ОРЗТП с 18.09.2013</t>
  </si>
  <si>
    <t>Вводное устройство помещения коровника_Твекрская область, Спировский район, Козловское с/п, дер. Линдино_в ОРЗТП с 18.09.2013 г.</t>
  </si>
  <si>
    <t>ООО "Новый город"</t>
  </si>
  <si>
    <t>Электроустановки ООО "Новый город" для объекта "Жилой квартал в районе д. Батино (2-й этап 1-ой очереди строительства), расположенного по адресу: Твекрская область, Калининский район, Черногубовское с/п, д. Батино"_в ОРЗТП с 18.09.2013 г.</t>
  </si>
  <si>
    <t>Назолин Павел Викторович</t>
  </si>
  <si>
    <t>Кокарева Дарья Владимировна</t>
  </si>
  <si>
    <t>Стройплощадка жилого дома_Тверскачя обл, Конаковский район, сельское поселение Завидово, д. Мокшино, земельный участок с кадастровым номером: 69:15:0190101:726 в соответствии с договором аренды №506 от 27.05.13_в ОРЗТП с 28.08.13</t>
  </si>
  <si>
    <t>Торговый центр и промышленное производство_Тверская обл, Калининский район, Никулинское с/п, дер. Кривцово (земельный участок с кадастровым номером 69:10:0000024:2931)_в ОРЗТП с 13.09.2013</t>
  </si>
  <si>
    <t>Меркулова Зоя Захаровна</t>
  </si>
  <si>
    <t>Хозяйственная постройка_Конаковский район, Старомелковское с/пос, дер. Старое Мелково (земельный участок: 69:15:0000018:362)_в ОРЗТП с 13.09.13</t>
  </si>
  <si>
    <t>ООО "Тверь-Спецбланк"</t>
  </si>
  <si>
    <t>ООО "Профиль"</t>
  </si>
  <si>
    <t>Туристический комплекс_адрес ориентира: Тверская обл, Зубцовский район, Столпиское с/п, дер. Синицыно_в ОРЗТП с 13.09.2013</t>
  </si>
  <si>
    <t>Корунов Сергей Сергеевич</t>
  </si>
  <si>
    <t>Жилой дом_Тверская обл, Осташковский район, Замошское с/п, в районе дер. Городище (1/2 часть доли земельного участка с кадастровым номером 69:24:0000015:522)_в ОРЗТ  в 13.09.13</t>
  </si>
  <si>
    <t>Линия наружного освещения на автомобильной дороге М-9 "Балтия" на участке км 264+000 - км 286+ 000 км (Оленинская развязка)_Тверская область, Оленинский район, автомобильная дорога М-9 "Балтия" от Москвы через Волоколамс до границы с Латвийской республикой (на Ригу) на участке км 264+00 - км 286+000_ в ОРЗТП с 13.09.13</t>
  </si>
  <si>
    <t>Забродин Константин Николаевич</t>
  </si>
  <si>
    <t>Жилые дома_Конаковский раойн, Завидовское с/п, дер. Елдино (земельный участок с кадастровым номером 69:15:0000021:155)_в ОРЗТП с 13.09.2013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</si>
  <si>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69:10:0000024:2211)_в ОРЗТП с 13.09.2013</t>
  </si>
  <si>
    <t>ООО "Сем Хол"</t>
  </si>
  <si>
    <t>Здание административно-офисного центра_Тверская область, г. Тверь, Пролетарский район, Старицкое шоссе, д. 15, пом. 7 (кадастровый номер 69:40:0300011:15:22/6)_в ОРЗТП с 09.2013</t>
  </si>
  <si>
    <t>Косых Владимир Александрович</t>
  </si>
  <si>
    <t>Жилая застройка_Тверская область, Калининский район, Бурашевсое с/п, район д. Бойково, земельные участки (69:10:0000030:837; 69:10:0000030:841; 69:10:0000030:842; 69:10:0000030:829; 69:10:0000030:834)_в ОРЗТП с 11.09.2013</t>
  </si>
  <si>
    <t>ООО "КИН"</t>
  </si>
  <si>
    <t>Объект "Романоское осетровое хозяйство"_адрес ориентира: Тверская обл, Кимрский район, Неклюдовское с/п, район, дер. Романово (земельный участок с кадастровым номером 69:14:0000012:2462)_в ОРЗТП с 11.09.13</t>
  </si>
  <si>
    <t>Отдел жилищно-коммунального хозяйства, транспорта и связи Администрации Калязинского района Тверской области_ЛЭП-0,4 кВ для электроснабжения блочно-модульной газовой котельной_Тверская область, Калязинский район, Семендяевское с/п, с. Семендяево_в ОРЗТП с 11.09.13</t>
  </si>
  <si>
    <t>Блочно-модульная газовая котельнвая_Тверская обл, Калязинский район, Семендяевское с/п, с. Семендяево_в ОРЗТП с 11.09.2013</t>
  </si>
  <si>
    <t>Логистический центр_адрес ориентира: г. Тверь, Октябрьский проспект (земельный участок с кадастровым номером 69:40:0300339:1081 в соответствии с соглашением №11 о передаче прав и обязанностей по договору аренды)_в ОРЗТП с 03.09.13</t>
  </si>
  <si>
    <t>Гусаров Максим Германович</t>
  </si>
  <si>
    <t>Фермерское хозяйство_адре ориенетира: Тверская область, Старицкий район, Кореническое с/п, вблизи дер. Савельево (земельные участки с кадастровым номерами 69:32:0000019:5; 69:32:0000019:119)_в ОРЗТП с 11.09.2013</t>
  </si>
  <si>
    <t>Монул Алексей Владимироавич</t>
  </si>
  <si>
    <t>Жилой дом_Тверская область, Кашинский район, Булатовское с/п, дер. Деревенька, д. 10 (кадастровый номер 69:12:0231101:26:3)</t>
  </si>
  <si>
    <t>ООО "Тантал"</t>
  </si>
  <si>
    <t>Производство лакокрасочных изделий_адрес ориентира: Калининский район, Никулинское с/п, дер. Лебедево (земельный участок с кадастровым номером 69:10:0000024:2810)_в ОРЗТП с 03.09.2013</t>
  </si>
  <si>
    <t>ФКП "УЗКС МО РФ"</t>
  </si>
  <si>
    <t>Жилая застройка на 1303 квартиры_г. Тверь, пр-т 50 лет Октября (кадастровый номер 69:40:0300004:1)_в ОРЗТП с 23.08.13</t>
  </si>
  <si>
    <t>Многоквартирные жилые дома_адрес ориентира: Тверская область, г. Тверь (земельный участок с кадастровым номером 69:40:0200180:115)_в ОРЗТП с 09.09.13</t>
  </si>
  <si>
    <t>Жилая застройка на 989 квартир_Тверская область, Бологовский раон, п. Выползово (кадастровый номер 69:49:0070138:2)_в ОРЗТП с 23.08.13</t>
  </si>
  <si>
    <t>цех деревообработки, Калининский район Никулинское с/п, д.Кривцово (земельный участок с кадастровым номером 69:10:24 13 01:0153)_в ОРЗТП с 09.13</t>
  </si>
  <si>
    <t>Жилой квартал в районе д. Батино (1 этап 1-ой очереди строительства_Тверская область, Калининский район, Черногубовское с/п, д. Батино (земельный участок с кадастровым номером 69:10:0000013:508_в ОРЗТП с 03.09.13</t>
  </si>
  <si>
    <t>ООО "ДАТАПРО"</t>
  </si>
  <si>
    <t>Центр обработки данных_Тверская область, г. Тверь, ул. Дмитрия Донского, д. 37 (кадастровый номер 69:40:04:00:010:0001:1\016549\37:10000/3)_в ОРЗТП с 03.09.2013</t>
  </si>
  <si>
    <t>Производство лакокрасочных покрытий_Тверская область, Калининский район, Никулинское с/п, дер. Лебедево, (земельный участок св кадастровым номером 69:10:0000024:2810)_в ОРЗТП с 14.05.2013</t>
  </si>
  <si>
    <t>ООО "БИЗНЕС СЕРВИС"</t>
  </si>
  <si>
    <t>Почтово-перерабатывающий комплекс_Тверская область, г. Тверь, ш. Московское, (земельный участок с кадастровым номером: 69:40:0200080:678)_в ОРЗТП с 29.08.2013</t>
  </si>
  <si>
    <t>Ооо "Автомобиль"</t>
  </si>
  <si>
    <t>Склад сельскохозяйственной техники_ Тверская область, Калининский раойн, п. Заволжский, 200 метров по юго-восточному направлению, земельный участок 69:10:0000021:256_в ОРЗТП с 29.08.2013 г.</t>
  </si>
  <si>
    <t>Комитет по управлению имущестовом, земельным отношениям, архитектуре и градостроительству Администрации муниципального образования "Вышневолоцкий район" Тверской области</t>
  </si>
  <si>
    <t>Жилая застройка_Вышневолоций район, сельское поселение Солнечное, п. Солнечный, ул. Приозерная, земельные участки с кадастровыми номерами: 69:06:0090103:114, 69:06:0090103:115, 69:06:0090103:117, 69:06:0090103:121, 69:06:0090103:113, 69:06:0090103:126, 69:06:0090103:111, 69:06:0090103:116, 69:06:0090103:123, 69:06:0090103:124, 69:06:0090103:122, 69:06:0090103:112, 69:06:0090103:118, 69:06:0090103:120, 69:06:0090103:119, 69:06:0090103:125_в ОРЗТП с 28.08.13</t>
  </si>
  <si>
    <t>Освещение лыжно-роллерной трасы_Калининский райо, Бурашевское с/пос, район д. ГришкиноБольшое, земельный участок кадастровый номер 69:10:0300201:39 в соответствии с Постановлением №1226 от 21.06.2013 г.)_в ОРЗТП с 28.08.2013</t>
  </si>
  <si>
    <t>Промышленно-логистический комплекс_Калининский район,Ю Бурашевское с/п, дер. Садыково (земельный участок с кадастровым номером 69:10:0000025:1069)_в ОРЗТП с 05.09.2013 г.</t>
  </si>
  <si>
    <t>СНТ "Медик"</t>
  </si>
  <si>
    <t>Дачные дома_Калининский район, Каблуковское с/п, район д. Савватьево, земельные участки членов СНТ "Медик"_в ОРЗТП с 30.08.2013</t>
  </si>
  <si>
    <t>Жилая застройка_Тверская область, Калининский район, Никулинское с/п, район дер. Даниловское (земельный участок с кадастровым номером 69:10:0000024:3295)_в ОРЗТП с 09.09.2013</t>
  </si>
  <si>
    <t>Култышев Кирилл Валеьевич</t>
  </si>
  <si>
    <t>Жилая застройка_Тверская область, Калининский район, Никулинское с/п, район дер. Опарино(земельный участок с кадастровым номером 69:10:0000024:2819)_в ОРЗТП с 09.09.2013</t>
  </si>
  <si>
    <t>Жилая застройка_Тверская область, Калининский район, Никулинское с/п, район дер. Опарино(земельный участок с кадастровым номером 69:10:0000024:2469)_в ОРЗТП с 09.09.2013</t>
  </si>
  <si>
    <t>Якушков Игорь Владимирович</t>
  </si>
  <si>
    <t>ООО "Стройжилкомплект"</t>
  </si>
  <si>
    <t>Жилой комплекс_г. Тверь, ул. Фрунзе, земельные участки в соответствии с договорами аренды № 001-3109 от 24.02.2009 г._в ОРЗТП с 05.09.2013 г.</t>
  </si>
  <si>
    <t>40752453
(договор заключен 02.09.2013)</t>
  </si>
  <si>
    <t>40753840
(договор заключен 12.09.2013)</t>
  </si>
  <si>
    <t>40793214
(договор заключен 13.09.2013)</t>
  </si>
  <si>
    <t>40780240
(договор заключен 16.09.2013)</t>
  </si>
  <si>
    <t>40750608
(договор заключен 17.09.2013)</t>
  </si>
  <si>
    <t>40783423
(договор заключен 19.09.2013 от ЗАО "Жилдорипотека")</t>
  </si>
  <si>
    <t>КТП-10кВ Пр. Камен ЗСП</t>
  </si>
  <si>
    <t>Белые Межи</t>
  </si>
  <si>
    <t>Б. Малинское</t>
  </si>
  <si>
    <t>Мокей Гора</t>
  </si>
  <si>
    <t>Количество Закрытых ЦП с загрузкой более 100 %</t>
  </si>
  <si>
    <t>288-ТП/05-09
договор 40038043 расторгнут 04.02.2013</t>
  </si>
  <si>
    <t>40630750
(договор расторгнут 07.03.2013)</t>
  </si>
  <si>
    <t>40293503
(договор расторгнут
01.04.2013)</t>
  </si>
  <si>
    <t>40591091
(договор расторгнут 18.04.2013 г.)</t>
  </si>
  <si>
    <t>258-ТП/12-08
(договор расторгнут 31.05.2013)</t>
  </si>
  <si>
    <t>40256245
(договор расторгнут 24.07.2013 г.)</t>
  </si>
  <si>
    <t>40717274
(договор расторгнут 25.07.2013 г.)</t>
  </si>
  <si>
    <t>40589908
(договор расторгнут 20.08.2013)</t>
  </si>
  <si>
    <t>Рязанов Андрей Евгеньевич</t>
  </si>
  <si>
    <t>ВЛ-10 кВ и ТП-10/0,4 кВ-250 кВА для электроснабжения животноводческой фермы, Тверская область, Оленинский район, дер. Никулино_в ОРЗТП с 24.10.2013</t>
  </si>
  <si>
    <t>Стройплощадка свинокомплекса_Тверская область, Бежецкий район, Шишковское с.п., д. Викторово (земельный участок с кадастровым номером 69:02:0000017:173)_в ОРЗТП с 17.10.13</t>
  </si>
  <si>
    <t>ЛЭП-6 кВ и СТП-6/0,4 кВ в границах участка Заявителя для электроснабжения жилого дома_Тверская обла, Конаковский район, Городенское с.п., д. Меженино, д. 18_в ОРЗТП с 09.10.13</t>
  </si>
  <si>
    <t>Кабанов Николай Иванович</t>
  </si>
  <si>
    <t>ВЛ-10 кВ и ТП-10/0,4 кВ для электроснабжения здания лесопилотарного цеха_Тверская область, Молоковский район, пос. Молоково, ул. Красноармейская, д. 18 и 18а (1/2 часть доли земельного участка и нежилого здания с кадастровыми номерами 69:21:070115:11, 69:21:070115:0011:1\1130\22:1018\А_в ОРЗТП с 07.10.2013</t>
  </si>
  <si>
    <t>фондохранилище под хранение музейных фондов, г. Тверь, ул. Г. Димитрова, д. 46_земельный участок с кадастровым номером 69:40:0100122:4_в ОРЗТП с 3146602</t>
  </si>
  <si>
    <t>ООО "СтройПрофиль"</t>
  </si>
  <si>
    <t>Жилая застройка_г. Тверь, Октябрьский пр-кт (земельный участок с кадастровым номером 69:40:0200179:281)_в ОРЗТП с 27.09.2013</t>
  </si>
  <si>
    <t>ООО "Система"</t>
  </si>
  <si>
    <t>Нежилое здание_Твесркая область, Осташковский район, Ботовское с/п, район дер. Никола Рожок (земельный участок с кадастровым номером 69:24:0000014:2869)_в ОРЗТП с 01.10.2013</t>
  </si>
  <si>
    <t>Карпов Павел Александрович</t>
  </si>
  <si>
    <t>Жилой дом_Тверская область, Калининский район, Медновское с/п, в районе дер. Ямок (кадастровые номера 69:10:0000008:246, 69:10:0080801:0:4)_в ОРЗТП с 07.10.2013</t>
  </si>
  <si>
    <t>Лесозавод, Западнодвинский р-н, п.Ст.Торопа, ул. Молодежная, д.1_в ОРЗТП с 09.10.13</t>
  </si>
  <si>
    <t>ООО "ЭСК Индустрия"</t>
  </si>
  <si>
    <t>Жилые многоквартирные дома_Тверская область, г. Тверь, ул. Гончаровой, д. 34 (кадастровые номера 69:40:0300278:1, 69:40:0300278:0001:28:401:001:002760710:0001, 69:40:0300278:0001:28:401:001:002760710:0002)</t>
  </si>
  <si>
    <t>ООО "Над Общей"</t>
  </si>
  <si>
    <t>Здания кафе_Тверская область, г. Белый, ул. Октябрьский, д. 4 (земельный участок и здание кафе с кадастромы номерами 69:03:0090270:1, 69:03:0:1:554:1000/А)_в ОРЗТП с 17.10.2013</t>
  </si>
  <si>
    <t>Ресторан быстрого питания "Бургер Кинг"_Тверская область, Калининский район, Бурашевское с/п, дер. Андрейково (164 км а/м Москва - Санкт-Петербург, левая сторона)(земельный участок с кадастровым номером 69:10:0251201:376)_в ОРЗТП с 21.10.2013 г.</t>
  </si>
  <si>
    <t>Местная религиозная организация православный Приход Церкви Покрова Пресвятой Богородицы с. Тургиново Калининского района Тверской и Кашинской Епархии Русской православной церкви (Московский Патриархат)</t>
  </si>
  <si>
    <t>ЛЭП-0,4 кВ для электроснабжения Покровской церкви_Калининский район, Тупргиновское с/п, с. Тургиново (земельный участо с кадастровым номером 69:10:03331205)_в ОРЗТП с 21.10.13</t>
  </si>
  <si>
    <t xml:space="preserve">Строительные механизмы могоквартирного жилого дома_Тверская область, г. Торжок (земельные участки с кадастровымин номерами 69:47:0160117:9, 69:47:0160118:9, 69:47:0160119:6,  69:47:0160119:7,  69:47:0160119:8,  69:47:0160119:9) в ОРЗТП с 17.10.2013   </t>
  </si>
  <si>
    <t>Лэп-0,4 кВ в границах участка заявителя для электроснабжения  логистического комплекса_г. Тверь, Старицкое шоссе, д. 38_в ОРЗТП с 31.10.13</t>
  </si>
  <si>
    <t>Администрация Зубцовского района Тверской области</t>
  </si>
  <si>
    <t>Жилая застройка_Тверская область, Зубцовский район, Вазуское с/п, д. Щеколдино, земельный участок 69:09:0241202:104 в ссответствии с актом выбора от 05.08.2008 г._в ОРЗТП с 28.08.2012</t>
  </si>
  <si>
    <t>ООО "Зареченское"</t>
  </si>
  <si>
    <t>Молочно-товарная ферма_Тверская область, Бежецкий район, вблизи дер. Пестиха_в ОРЗТП с 31.10.2013</t>
  </si>
  <si>
    <t>Свиноводческий комплекс с законченным производственным циклом на 270 тысяч свиней в год и скотобойня с холодильником_Тверская область, Бежецкий район, Шишковское с.п., дер. Викторово_в ОРЗТП с 04.04.2013</t>
  </si>
  <si>
    <t>ООО "Компания Орис"</t>
  </si>
  <si>
    <t>Нежилое помещение_Тверская область, Конаковский район, гпп. Изоплит, пос. Озерки (кадастровый номер 69:15:0141001:655)_в ОРЗТП с 02.10.2013</t>
  </si>
  <si>
    <t>Овчинникова Марина Григорьевна</t>
  </si>
  <si>
    <t>Детский сад_Тверская область, Калининский район, Никулинское с/п, дер. Даниловское, д. 66а (земельный участок с кадастровым ном ером 69:10:24:07:01:0111:12-506:1000/А)_в ОРЗТП с 07.10.13</t>
  </si>
  <si>
    <t>ООО "ТК "ФОРТ Вера"</t>
  </si>
  <si>
    <t>Здание продуктового склада_почтовый адрес ориентира: Тверская область, Калининский район, пгт. Суховерково, проезд Промышленный, д. 3 (1/2 часть доли земельного участка с кадастровым номером 69:10:0371701:2)_в ОРЗТП с 07.10.13</t>
  </si>
  <si>
    <t>ООО "Теплоэнергооборудование"</t>
  </si>
  <si>
    <t>Производственнеые площади_Тверская область, пгт. Конаково, г. Конаково, Восточно-Промышленный район, 1/1 (кадастровые номера 69:43:070319:0003:1-3297:1000/А, 69:43:070319:0003:1-3297/1:1000/Б)_в ОРЗТП с 07.10.2013</t>
  </si>
  <si>
    <t>ТП-6/0,4 кВ для электроснабжения придорожного комплекса_Тверская область, Калининский район, Заволжское с/п, пос. Заволжский (земельный участок с кадастровым номером 69:10:0000021:0:84_в ОРЗТП с 09.10.2013 г.</t>
  </si>
  <si>
    <t>Прохоров Владимир Сергеевич</t>
  </si>
  <si>
    <t>Жилой дом_Тверская область, Калининский район, Никулинское с/п, дер. Кривцово (земельный участок с кадастровым номером 69:10:0000024:3062)_в ОРЗТП с 10.10.13</t>
  </si>
  <si>
    <t>Комитет по управлениею имуществом муниципального образования город Торжок Тверской области</t>
  </si>
  <si>
    <t>Нежилое помещение_Тверская область, г. Торжок, ул. Пролетарская, д. 2 (кадастровый номер: 69:47:130311:0005:1/3595/34:АII)_в ОРЗТП с 10.10.13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</si>
  <si>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69:10:0000024:2213)_в ОРЗТП с 17.10.2013</t>
  </si>
  <si>
    <t>Торгово-производственный комплекс_Калининский район, Никулинское с/пос, район дер. Даниловксое, (земельный участок с кадастровым номером 69:10:0000024:2206)_в ОРЗТП с 17.10.2013</t>
  </si>
  <si>
    <t>ООО "ТК Антек"</t>
  </si>
  <si>
    <t>Здание магазина_Тверская область, г. Тверь, ул. Трехсвятская, д. 29 (кадастровые номера 69:40:0400067:211, 69:40:0400067:213)_в ОРЗТП с 17.10.13</t>
  </si>
  <si>
    <t>СТ "Орша-1"</t>
  </si>
  <si>
    <t>Антонюк Марина Геннадьевна</t>
  </si>
  <si>
    <t>Механическая мастерская_Тверская область, Калининский район, Славновское с/п, дер. Арининское, ул. Запрудная, д. 1 (кадастровые номера 69:10:0150401:161, 69:10:0150401:161:15)_в ОРЗТП с 17.10.13</t>
  </si>
  <si>
    <t>ОАО НПО "Родина"-Старицкий механический завод</t>
  </si>
  <si>
    <t>Завод_Твекрская область, Старицкий район, Паньковское с/п, вблизи дер. Коньково (кадастровый номер 69:32:0000014:62:10)_в ОРЗТП с 17.10.13 г.</t>
  </si>
  <si>
    <t>Электроснабжение объекта "КП ТМ на км 256 МГ "Белоусово - Ленинград"_Тверская область, Старицкий район, 860 м юго-западнее населенного пункта Кунилово_в ОРЗТП с 17.10.2013 г.</t>
  </si>
  <si>
    <t>Электроснабжение объекта "КП ТМ на км 256 МГ "Белоусово - Ленинград"_Тверская область, Старицкий район, 2460 м юго-западнее населенного пункта Емельяново_в ОРЗТП с 17.10.2013 г.</t>
  </si>
  <si>
    <t>КП ТП на км 357 МГ "Серпухов - Ленинград" и км 299 МГ "Белоусово - Ленинград"_Тверская область, Спировский район, 716 м юго-западнее населенного пункта Выдропужск_в ОРЗТП с 17.10.13</t>
  </si>
  <si>
    <t xml:space="preserve">ПС 110/35/6 кВ Выползово </t>
  </si>
  <si>
    <t>КП ТМ на км 448 МГ "Серпухов-Ленинград и км 400 МГ "Белоусово - Ленинград"_Тверская область, Бологовский район, 470 м севернее населенного пункта Старый Березай_в УТП с 17.10.13</t>
  </si>
  <si>
    <t>КП ТМ на км 376,2 МГ "Серпухов-Ленинград" и км 321,9 МГ "Белоусово-Ленинград"_Тверская область, Вышневолдоцкий район, 1100 м восточнее населенного пункта Белый Омут, в районе перехода через р. Тверца существующими МГ "Белоусово-Ленинград" и МГ "Торжок - Валдай"_в ОРЗТП с 17.10.13</t>
  </si>
  <si>
    <t>КП ТМ на км 340 МГ "Серпухов-Ленинград" и км 341 МГ "Белоусово-Ленинград"_Тверская область, Вышневолдоцкий район, 1500 м восточнее населенного пункта Борисково, в районе перехода через р. Цна существующего МГ "Белоусово - Ленинград" на левом и на правом берегах реки Цна соответственно_в ОРЗТП с 17.10.13</t>
  </si>
  <si>
    <t>КП ТМ на км 286,5 МГ "Серпухов - Ленинград" и км 241 МГ "Белоусово-Ленинград"_Тверская область, Торжокский район, 878 м юго-восточнее населенного пункта Синцово_в УТП с 17.10.13</t>
  </si>
  <si>
    <t>КП ТМ на км 332 МГ "Серпухов - Ленинград" и км 373 МГ "Белоусово-Ленинград"_Тверская область, Торжокский район, 600 м северо-восточнее населенного пункта Большая Киселенка_в УТП с 17.10.13</t>
  </si>
  <si>
    <t>КП ТМ на км 262 МГ "Серпухов - Ленинград" и км 262,4 МГ "Белоусово-Ленинград"_Тверская область, Торжокский район, 3280 м северо-западнее населенного пункта Юрьицево_в УТП с 17.10.13</t>
  </si>
  <si>
    <t>КП ТМ на км 247 МГ "Серпухов - Ленинград" и км 194 МГ "Белоусово-Ленинград"_Тверская область, Калининский район, 1150 м северо-восточнее населенного пункта Базыкино_в УТП с 27.09.13</t>
  </si>
  <si>
    <t>ТП-6/0,4 кВ кВ для электроснабжения объекта "КП ТМ на км 251 МГ "Серпухов-Ленинград" и км 199 МГ "Белоусово-Ленинград"_Тверская область, Калининский район, 520 м юго-западнее населенного пункта Абутьково_в ОРЗТП с 30.10.13</t>
  </si>
  <si>
    <t>Металлобаза с подъездными путями_Тверская область, Калининский район, Никулинское с/п, с. Никольское_в УТП с 24.10.2013</t>
  </si>
  <si>
    <t>ОАО "ТЗПК"</t>
  </si>
  <si>
    <t>Гостинница_Тверская обл, г. Торжок, Мобилизационная наб., д. 12 А (кадастровый номер 69:47:13:01:31:0010:2/4374/34/А)_в ОРЗТП с 24.10.2013</t>
  </si>
  <si>
    <t>ЛЭП-0,4 кВ для электроснабжения площадки №2, №3 доращивания и откорма_Тверская область, Ржевский район, Успенское с/п, район д. Глебово
(в ОРЗТП с 30.10.2013)</t>
  </si>
  <si>
    <t>ООО "Рада-альянс"</t>
  </si>
  <si>
    <t>Магазин_Тверская область, Калининский район, Эммаусское с/п, пос. Эммаус (земельный участок с кадастровым номером 69:10:0260609:145)_в УТП с 31.10.13</t>
  </si>
  <si>
    <t>ООО "Нинель"</t>
  </si>
  <si>
    <t>Торгово-складской компекс_Тверская область, Калининский район, Никулинское с/п, дер. Кривцово_в УТПС с 31.10.13</t>
  </si>
  <si>
    <t>Гразион Глеб Игоревич</t>
  </si>
  <si>
    <t>Детские дачи_Тверская обл, Калининский район, район д. Ямок, земельный участок, кадастровый номер 69:10:0000008:176_в УТП с 29.08.2013</t>
  </si>
  <si>
    <t>МУП ПЭС "Тверьгорэлектро"</t>
  </si>
  <si>
    <t>Жилая застройка_Тверская область, г. Тверь, пос. Красное знамя_в УТП с 27.09.2013</t>
  </si>
  <si>
    <t>Мстинская плотина_Тверская область, Вышневолоцкий район, Садовое с/п (земельный участок с кадастровым номером 69:06:0000010:99)_в УТП с 27.09.13</t>
  </si>
  <si>
    <t>ООО "Маяковка"</t>
  </si>
  <si>
    <t>Торгово-офисный центр_Тверская область, г. Тверь, Заволжский район, ул. Маяковского, д. 37 (кадастровые номера 69:40:0100602:861, 69:40:0100602:862, 69:40:0100602:863, 69:40:0100602:864)_в УТП с 27.09.2013</t>
  </si>
  <si>
    <t>Лавленцев Александр Сергеевич</t>
  </si>
  <si>
    <t>Ангар_адрес ориентира: Тверская область, Оленинский район, Гришкинское с/п, дер. Зубцовка (кадастровый номер земельного участка 69:23:0000024:187)_в УТП с 27.09.13</t>
  </si>
  <si>
    <t>ОАО "ИИК"</t>
  </si>
  <si>
    <t>Индустриальный парк "Раслово"_адрес ориентира Тверская область,Калининский район, Никулинское с/п, дер. Лебедево, (земельный участок с кадастровым номером 69:10:0000024:2500)_в УТП с 27.09.13</t>
  </si>
  <si>
    <t>ООО "ИНТЕХСТРОЙ"</t>
  </si>
  <si>
    <t>Жилая застройка в границах: ул. Казанская - пер. Леуса, Московский район г. Твери_адрес ориентира: Тверская обл, г. Тверь, дер. Никифоровское (с кадастровым номером 69:40:0200190:77)_в УТП с 25.09.13</t>
  </si>
  <si>
    <t>Производственная деятельность_адрес ориентира Тверская область, Калининский район, Никулинское с/п, дер. Никулино (земельные участки с кадастровыми номерами 69:10:0241401:1042, 69:10:0241401:1043)_в УТП с 25.09.2013</t>
  </si>
  <si>
    <t>ООО "СтройДом"</t>
  </si>
  <si>
    <t>Многоквартирный жилой дом, Тверская область, Калининский район, Эммаусское с/п, пос. Эммаусс (земельный участок с кадастровым номером 69:10:0260609:164)_в УТП с 25.09.13</t>
  </si>
  <si>
    <t>ГБОУ ДОД КСДЮСШОР №1</t>
  </si>
  <si>
    <t>Два модуля спортивной школы_Тверская область, Калининский район, Бурашевское с/п, дер. Гришкино Большое (земельный участок с кадастровым номером 69:10:0300201:64)_в УТП с 25.09.2013</t>
  </si>
  <si>
    <t>ООО "Хотиловский карьер"</t>
  </si>
  <si>
    <t>Хозпостройки и механизмы карьера_Тверская область, Бологовский район, Куженкинское с.п., урочище Аэродром, земельный участок 69:04:0000017:700 в соответствии с договором аренды б/н от 22.07.2013 г.</t>
  </si>
  <si>
    <t>40793852
(договор заключен 20.09.2013)</t>
  </si>
  <si>
    <t>40793686
(договор заключен 20.09.2013)</t>
  </si>
  <si>
    <t>40793796
(договор заключен 20.09.2013)</t>
  </si>
  <si>
    <t>40793954
(договор заключен 20.09.2013)</t>
  </si>
  <si>
    <t>40793928
(договор заключен 20.09.2013)</t>
  </si>
  <si>
    <t>40799790
(договор заключен 01.10.2013)</t>
  </si>
  <si>
    <t>СТ_Тверская область, Конаковский район, д. Борцино</t>
  </si>
  <si>
    <t>40761857
(договор заключен 20.09.2013)</t>
  </si>
  <si>
    <t>40782466
(договор заключен 26.09.2013)</t>
  </si>
  <si>
    <t>40764454
(договор заключен 27.09.2013)</t>
  </si>
  <si>
    <t>40787034
(договор заключен 30.09.2013)</t>
  </si>
  <si>
    <t>40740248
(договор заключен 02.10.2013)</t>
  </si>
  <si>
    <t>40750626
(договор заключен 02.10.2013)</t>
  </si>
  <si>
    <t>40759262
(договор заключен 03.10.2013)</t>
  </si>
  <si>
    <t>40792507
(договор заключен 04.10.2013)</t>
  </si>
  <si>
    <t>40790041
(договор заключен 07.10.2013)</t>
  </si>
  <si>
    <t>40793170
(договор заключен 07.10.2013)</t>
  </si>
  <si>
    <t>40736184
(договор заключен 07.10.2013)</t>
  </si>
  <si>
    <t>40759282
(договор заключен 08.10.2013)</t>
  </si>
  <si>
    <t>40798654
(договор заключен 09.10.2013)</t>
  </si>
  <si>
    <t>40797161
(договор заключен 10.10.2013)</t>
  </si>
  <si>
    <t>40691644
(договор заключен 19.03.2013)</t>
  </si>
  <si>
    <t>40804480
(договор заключен 11.10.2013)</t>
  </si>
  <si>
    <t>40796601
(договор заключен 11.10.2013)</t>
  </si>
  <si>
    <t>40796704
(договор заключен 15.10.2013)</t>
  </si>
  <si>
    <t>40794631
(договор заключен 15.10.2013)</t>
  </si>
  <si>
    <t>40785555
(договор заключен 16.10.2013)</t>
  </si>
  <si>
    <t>40699284
(договор заключен 17.10.2013)</t>
  </si>
  <si>
    <t>40806520
(договор заключен 17.10.2013)</t>
  </si>
  <si>
    <t>40800411
(договор заключен 17.10.2013)</t>
  </si>
  <si>
    <t>40806892
(договор заключен 18.10.2013)</t>
  </si>
  <si>
    <t>40800302
(договор заключен 18.10.2013)</t>
  </si>
  <si>
    <t>40796663
(договор заключен 22.10.2013)</t>
  </si>
  <si>
    <t>40806948
(договор заключен 22.10.2013)</t>
  </si>
  <si>
    <t>40800327
(договор заключен 22.10.2013)</t>
  </si>
  <si>
    <t>40773181
(договор заключен 24.10.2013)</t>
  </si>
  <si>
    <t>40803055
(договор заключен 24.10.2013)</t>
  </si>
  <si>
    <t>40799689
(договор заключен 28.10.2013)</t>
  </si>
  <si>
    <t>40676258
(договор заключен 28.10.2013)</t>
  </si>
  <si>
    <t>40806395
(договор заключен 06.11.2013)</t>
  </si>
  <si>
    <t>временное присоединение строительных механизмов на строительной площадке под логистический центр, г. Тверь, Октябрьский пр-т</t>
  </si>
  <si>
    <t>40819033
(договор заключен 07.11.2013)</t>
  </si>
  <si>
    <t>40805550
(договор заключен 07.11.2013)</t>
  </si>
  <si>
    <t>40756103
(договор заключен 07.11.2013)</t>
  </si>
  <si>
    <t>40800424
(договор заключен 12.11.2013)</t>
  </si>
  <si>
    <t>40798377
(договор заключен 13.11.2013)</t>
  </si>
  <si>
    <t>40807781
(договор заключен 15.11.2013)</t>
  </si>
  <si>
    <t>40804899 
(договор заключен 15.11.2013)</t>
  </si>
  <si>
    <t>Симонов Сергей Анатольевич</t>
  </si>
  <si>
    <t>40800126
(договор заключен 18.11.2013)</t>
  </si>
  <si>
    <t>40805592
(договор заключен 19.11.2013)</t>
  </si>
  <si>
    <t>40803382
(договор заключен 19.11.2013)</t>
  </si>
  <si>
    <t>40780906
(договор заключен 19.11.2013)</t>
  </si>
  <si>
    <t>40805544
(договор заключен 19.11.2013)</t>
  </si>
  <si>
    <t>40801172
(договор заключен 20.11.2013)</t>
  </si>
  <si>
    <t>Государственное казенное учреждение Тверской области "Дирекция территориального дорожного фонда Тверской области"</t>
  </si>
  <si>
    <t>ЛЭП-0,4 кВ для электроснабжения линии освещения автомобильной дороги Тверь-Лотошино-Шаховская-Уваровка км 10+000 - км 40+100_почтовый адрес ориентира:Тверская область, Калининский район, Никулинское с/п, участок автодороги от а/д "Москва -Санкт - Петербург" до дер. Лебедево (земельный участок с кадастровым номером 69:10:0000024:1558)</t>
  </si>
  <si>
    <t>40827234
(договор заключен 21.11.2013)</t>
  </si>
  <si>
    <t>Смирнов Иван Иванович</t>
  </si>
  <si>
    <t>Существующая ЛЭП-0,4 кВ для электроснабжения цеха по переработке древесины_Тверская область, Торжокский район, Марьинское с/п, с. Марьино (кадастровый номер земельного участка 69:33:0000022:135:2)</t>
  </si>
  <si>
    <t>40825303
(договор заключен 22.11.2013)</t>
  </si>
  <si>
    <t>40807150
(договор заключен 25.11.2013)</t>
  </si>
  <si>
    <t>40825296
(договор заключен 26.11.2013)</t>
  </si>
  <si>
    <t>40769031
(договор заключен 29.11.2013)</t>
  </si>
  <si>
    <t>40772216
(договор заключен 29.11.2013)</t>
  </si>
  <si>
    <t>40795833
(договор заключен 29.11.2013)</t>
  </si>
  <si>
    <t>40812247
(договор заключен 02.12.13)</t>
  </si>
  <si>
    <t>40796640
(договор заключен 03.12.2013)</t>
  </si>
  <si>
    <t xml:space="preserve">ПС 35/10 кВ Селихово </t>
  </si>
  <si>
    <t>ООО "Декстрейд"</t>
  </si>
  <si>
    <t>Жилые дома_Калининский район,Никулинское с/п, дер. Палкино (земельный участок с кадастровым номером 69:10:0000024:104)_ТУ в ОРЗТП с 28.11.13</t>
  </si>
  <si>
    <t>Жилые дома_Калининский район,Никулинское с/п, дер. Палкино (земельный участок с кадастровым номером 69:10:0000024:1219)_ТУ в ОРЗТП с 19.11.13</t>
  </si>
  <si>
    <t>Многоквартирный жилой дом_участок находится в 112 м от ориентира по направлению на север, почтовый адрес ориентира: Тверская область, Торжокский район, Высоковское с/п, пос. Высокое, ул. Колхозная, д. 30 (земельный участок с кадастровым номером 69:33:0360318:100)_в УТП с 04.12.13</t>
  </si>
  <si>
    <t>Многоквартирый жилой дом_Ржевский район, с/п "Итомля", дер. Итомля (земельный участок с кадастровым номером 69:27:0141101:402)_в ОРЗТП с 04.12.13</t>
  </si>
  <si>
    <t>Жилой дом_Конаковский район, городское поселение п. Радченко, пгт. Радченко, д. 76 (земельный участок с кадастровым номером 69:15:0000017:193)_в ОРЗТП с 06.12.13</t>
  </si>
  <si>
    <t>ВЛ-10 кВ и распределительная сеть 10-0,4 кВ для электроснабжения садоводческого некоммерческого товарищества_Тверская область, Удомельский район, Удомельское с/п, район Южной окраины г. Удомля (земельный участок с кадастровым номером 69:35:0000020:35)_в ОРЗТП с 28.11.2012</t>
  </si>
  <si>
    <t>3 жилых дома_Конаковский район, с/п "Завидовское", дер. Мокшино (земельный участок с кадастровым номером 69:15:0190101:726)_в УТП с 28.11.2013</t>
  </si>
  <si>
    <t>ОАО "Оборонэнерго"</t>
  </si>
  <si>
    <t>Промышленная нагрузка_адрес ориентира: Торопецкий район, в/ч 11777 (земельныый участок с кадастровым номером 69:34:0000019:355)_в УТП с 16.12.13</t>
  </si>
  <si>
    <t>Многоквартирный жилой дом_Тверская область, Ржевский район, с/п "Есенка", п Есенка (земельный участок с кадастровым номером 69:27:0323604:190)_в УТП с 06.12.13</t>
  </si>
  <si>
    <t>ГУП Тверской области "Тверьоблстройзаказчик"</t>
  </si>
  <si>
    <t>Музей им. В.А. Серова в "Домотканово" Государственного бюджетного учреждения культуры Тверской области "Тверская областная картинная галерея"_Калининский район, Бурашевское с/п, дер. Красная Новь (кадастровые номера 69:10:25:19:01:0050:1\625\10:1000/А, 69:10:25:19:01:0050:1\626\10:1000/А)_в УТП с 12.12.13</t>
  </si>
  <si>
    <t>ТП-6/0,4 кВ - 100 кВа для электроснабжения автозаправочного комплекса_Тверская область, Конаковский район, Старомелковское с/п, дер. Старое Мелково (земельный участок с кадастровым номером 69:15:0000018:363)_в ОРЗТП с 06.12.2013 г.</t>
  </si>
  <si>
    <t>Животноводческий комплекс_Калининский район, Бурашевское с/п, д. Слободка (земельный участок с кадастровым номером 69:10:0000032:316)_в УТП с 06.12.13</t>
  </si>
  <si>
    <t>ООО "Тверская Инвестиционная Группа"</t>
  </si>
  <si>
    <t>Жилая застройка_Калининский район, Никулинское с/п, дер. Рябеево (земельнгый учасок с кадастровым номером 69:10:0000024:1070)_в УТП с 04.12.13</t>
  </si>
  <si>
    <t>Жалковский Евгений Евгеньевич</t>
  </si>
  <si>
    <t>Земельный участок_Тверская область, Старицкий район, Васильевское с/п, участок находится в 610 м по направлению на юго-запад от ориентира дер. Дерягино (земельный участок с кадастровым номером 69:32:000020:0103)_в УТП с 06.12.13</t>
  </si>
  <si>
    <t>Торговый комплекс "Звездный"_г. Тверь, ул. 1-я Александра Невского (земельный участок с кадастровым номером 69:40:0100558:68)_в УТП с 06.12.13</t>
  </si>
  <si>
    <t>СНТ_Тверская область, Конаковский район, Вахонинское с/п, СНТ "Полесье"_в УТП с 06.12.2013 г.</t>
  </si>
  <si>
    <t>КП ТМ на км 247 МГ "Серпухов - Ленинград" и км 194 МГ "Белоусово-Ленинград"_Тверская область, Калининский район, 1150 м северо-восточнее населенного пункта Базыкино_в УТП с 12.12.13</t>
  </si>
  <si>
    <t>Подсобное хозяйство_алрес ориентира дер. Чеполшево, участок находится примерно в 500 м от ориентира по направлению на северо-запад, с почтовым адресом: Тверская область, Вышневолоцкий район, с/п Овсищенское, дер. Чеполшево (земельный участок с кадастровым номером 69:06:0000013:218)_ав ОРЗТП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</si>
  <si>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69:15:0000027:332)_в УТП с 28.11.13</t>
  </si>
  <si>
    <t>Жилищное строительство_почтовый адрес ориентира: Конаковский район, Мокшинское с/п, дер. Кабаново (земельный участок с кадастровым номером 69:15:0000027:590)_в УТП с 19.11.14</t>
  </si>
  <si>
    <t>Жилые дома_Калининский район,Никулинское с/п, дер. Кривцово (земельный участок с кадастровым номером 69:10:0000024:1043)_ТУ в ОРЗТП с 19.11.14</t>
  </si>
  <si>
    <t>ООО "Тверьэкострой"</t>
  </si>
  <si>
    <t>Здание конторы_Кимрский район, Горицкое с/п, с. Горицы, ул. Октябрьская, д. 40 (кадастровый номер 69:69:13/009/2009-015)_в УТП с 28.11.13</t>
  </si>
  <si>
    <t>Васильев Сергей Викторович</t>
  </si>
  <si>
    <t>Хозяйственные постройки_почтовый адрес ориентира: Тверская область, Осташковский район, Замошское с/п, дер. Замошье (земельный участок с кадастровым номером № 69:24:0000016:1786)_в УТП с 28.11.2013</t>
  </si>
  <si>
    <t>Существующая ЛЭП-10 кВ и КТП-10/0,4 кВ -100 кВА "С/т "Крутец" для электроснбжения садоводческого некоммерческого товарищества_Тверская область, Конаковский район, Ручьевкое с/п, СНТ "Крутец-Дулево"_ в ОРЗТП с 02.10.2013 г.</t>
  </si>
  <si>
    <t>Анискин Руслан Анатольевич</t>
  </si>
  <si>
    <t>Жилой дом_почтовый адрес ориентира: Тверская область, Калининский район, Михайловское с/п, район дер. Рылово (земельный участок с кадастровым номером 69:10:0000012:2593)_в УТП с 01.11.13</t>
  </si>
  <si>
    <t>Цех по переработке древесины_Торжокский район, Марьинское с/п, с. Марино (кадастровый номер земельного участка 69:33:0000022:135:2)_в УТП с 01.11.13</t>
  </si>
  <si>
    <t>Жилой дом_Калининский район, Эмаусское с/п, дер. Смолино, д. 1 (земельный участок с кадастровым номером 69:10:26:14:01:0002:17-721:0000/А)_в УТП 01.11.13</t>
  </si>
  <si>
    <t>Строительные механизмы на строительной площадке под логистический центр_Тверская область, г. Тверь, Октябрьский проспект (земельный участок с кадастровым номером 69:40:0300339:1081)_в УТП с 01.11.13</t>
  </si>
  <si>
    <t>Яковчук Валентина Львовна</t>
  </si>
  <si>
    <t>Производственно-складской терминал_адрес ориентира: Тверская область, г. Тверь, ул. Плеханова, д. 52 (земельный участок с кадастровым номером  69:40:0100122:462)_в УТП с 07.11.13</t>
  </si>
  <si>
    <t>Крестьянское хозяйство_Тверская область, Конаковский район, Юрьево-Девичьевское с/п, район дер. Андрейцево_в УТП с 11.11.13</t>
  </si>
  <si>
    <t>Жилые дома_Калининский район,Никулинское с/п, дер.Палкино (земельный участок с кадастровым номером 69:10:0000024:1039)_ТУ в ОРЗТП с 19.11.13</t>
  </si>
  <si>
    <t>Жилые дома_Калининский район,Никулинское с/п, дер.Палкино (земельный участок с кадастровым номером 69:10:0000024:1042)_ТУ в ОРЗТП с 19.11.14</t>
  </si>
  <si>
    <t>ФГУП филиал РТРС "Тверской ОРТПЦ"_Лихославльский район, Сосновицкое с/п, д. Михайлова Гора (земельный участок с кадастровым номером 69:19:0202001:132)_в УТП с 01.11.13</t>
  </si>
  <si>
    <t>Телевизионная башня цифрового вещания_Лихославицкий район, Сосновицкое с/п, дер. Михайлова гора (Земельный участок с кадастровым номером 69:19:0202001:132)_в УТП с 01.11.13 г.</t>
  </si>
  <si>
    <t>Стройплощадка жилого дома_Конаковский район, Мокшинское с/п, дер. Мокшино_в ОРЗТП с 11.11.13</t>
  </si>
  <si>
    <t>ГКУ Тверской области "Тверьоблстройзаказчик"</t>
  </si>
  <si>
    <t>Объект "Центр культуры и искусства "Дача "Чайка" художника В.К. Бялыницкого - Бируля"Государственного бюджетного учреждения культуры Тверской области "Тверская областная картинная галерея"_Удомельский район, Порожкинское с/п, дер. Касково, д. 110 а (кадастровый номер 69:35:0000012:739:1)_в УТП с  28.11.13</t>
  </si>
  <si>
    <t>Кривчиков Сергей Иванович</t>
  </si>
  <si>
    <t>Ремонтная база и стоянка подвижного состава_Тверская область, Торжокский район, Калининское шоссе, д. 49 В (кадастровый номер 69:47:0170305:47:8)_в УТП с 07.11.2013 г.</t>
  </si>
  <si>
    <t>Варданян Гаяне Сурикова</t>
  </si>
  <si>
    <t>СНТ "Лесное"</t>
  </si>
  <si>
    <t>Садоводческое некоммерческое товарищество_Тверская область, Конаковский район, Вахонинское с/п, СНТ "Лесное"_в УТП с 11.11.13</t>
  </si>
  <si>
    <t>ООО "Новый мир"</t>
  </si>
  <si>
    <t>Нежилое здание_Краснохолмский район, г. Красный Холм, ул. Калинина, д. 14/16 (земельный участок с кадастровым номером 69:16:0070129:1)_в УТП с 19.11.13</t>
  </si>
  <si>
    <t>ООО "СТОД"</t>
  </si>
  <si>
    <t>Энергоцентр_адрес ориентира: Торжокский район, Борисцевское с/п, дер. Семеновское_в УТП с 19.11.13</t>
  </si>
  <si>
    <t>Завод по производству ориентированно-стружечной плиты_адрес ориентира: Торжокский район, Борисцевское с/п, дер. Семеновское_в УТП с 20.11.14</t>
  </si>
  <si>
    <t>Линия производства древесной щепы_адрес ориентира: Торжокский район, Борисцевское с/п, дер. Семеновское_в УТП с 19.11.15</t>
  </si>
  <si>
    <t>Пожарное депо_адрес ориентира: Тверская область, Оленинский район, пгт. Оленино, ул. Гагарина, д. 59 (земельный участок с кадастровым номером 69:23:0070114:8)_в УТП с 01.11.13</t>
  </si>
  <si>
    <t>Ангар_адрес ориентира: Тверская область, Оленинский район, Гришкинское с/п, дер. Зубовка (кадастровый номер земельного участка 69:23:0000024:187)_в УТП с 27.09.13</t>
  </si>
  <si>
    <t>Администрация муниципального образования "Тверской области "Калининский район"</t>
  </si>
  <si>
    <t>ТП-10/0,4 кВ для электроснабжения объекта "КП ТМ на км 311 МГ "Белоусово-Ленинград"_Тверская область, Вышневолоцкий район, 760 м юго-восточнее населенного пункта Колокольня_в УТП с 11.11.2013</t>
  </si>
  <si>
    <t>ООО "Геотон"</t>
  </si>
  <si>
    <t>Объекты жилищного строительства_Тверская область, Конаковский район, Завидовское с/пЭ, дер. Елдино (земельный участок с кадастровым номером 69:15:0000021:420)_УТП с 12.12.13</t>
  </si>
  <si>
    <t>Курбатов Вадим Евгеньевич</t>
  </si>
  <si>
    <t>Проектируемая ТП-6/0,4 кВ_Тверская область, Конаковский район, Городенское с/п, район с. Городня (1/2 часть земельного участка с кадастровым номером 69:15:0000013:156)_в УТП с 12.12.13</t>
  </si>
  <si>
    <t>Борисов Михаил Витальевич</t>
  </si>
  <si>
    <t>Пилорама_Тверская область, Осташковский район, Ждановское с/п, дер. Жданово (кадастровый номер 69:24:0000000:0000:3-7343:1000/А)_в УТП с 19.12.13</t>
  </si>
  <si>
    <t>Романовское осетровое хозяйство_Тверская область,Кимрский район, Неклюдовское с/п, район дер. Романово (земельный участок с кадастровым номером 69:14:0000012:2462)_в УТП с 19.12.13</t>
  </si>
  <si>
    <t>ООО "Трансстройинвест"</t>
  </si>
  <si>
    <t>Стройплощадка для автодороги Москва-Санкт-Петербург_Тверская область, Бологовский район, Куженкинское с/п, район дер. Куженкино, в границах СПК "Хотилово" (земельный участок с кадастровым номером 69:04:0000017:1351)_в УТП с 19.12.13</t>
  </si>
  <si>
    <t>Кащеев Вячеслав Серафимович</t>
  </si>
  <si>
    <t>Жилой дом_Тверская область, г. Торжок, ул. Мира, д. 25 (кадастровый номер 1/2 части жилого дома 69:47:0130516:95)_в УТП с 19.12.13</t>
  </si>
  <si>
    <t>ООО "Татнефть - АЗС - Запад"</t>
  </si>
  <si>
    <t>Здание сервисного обслуживания АЗС № 138_Бологовский район, Куженкинское с/п, дер. Лопатино (кадастровые номера 69:04:0173801:1, 69:04:0173801:01:19/78/04:1001/А)_в УТП с 19.12.13</t>
  </si>
  <si>
    <t>Здание торгово-офисного центра_Тверская область, г. Тверь, Заволжский район, ул. Маяковского, д. 37 (кадастровые номера 69:40:0100602:861, 69:40:0100602:862, 69:40:0100602:863, 69:40:0100602:864)_в УТП с 27.09.13 г.</t>
  </si>
  <si>
    <t>ЛЭП-0,4 кВ для электроснабжения металлобазы с подъездными путями_Тверская область, Калининский район, Никулинское с/п, с . Никольское (земельный участок с кадастровым номером 69:10:0241001:0482_в УТП с 28.11.2013</t>
  </si>
  <si>
    <t>Строительство детского сада на 110 мест по адресу: Тверская область, Калининский район, Щербининское с/п, ж/д. ст. Чуприяновка, ул. 3-я Мира, д. 16_В орзтп С 06.12.2013 г.</t>
  </si>
  <si>
    <t>Жилая застройка_почтовый адрес ориентира: Тверская область, Калининский район, Медновское с/п, в районе дер. Князево (земельный участок с кадастровым номером 69:10:0000022:453)_в УТП с 06.12.2013 г.</t>
  </si>
  <si>
    <t>Строительство здания детского сада на 110 мест_Калининский район, Тургиновское с/п, с. Тургиново, ул. Кирова, д. 22а (земельный участок с кадастровым номером 69:10:331204:0064)_в УТП 06.12.13</t>
  </si>
  <si>
    <t>Докунина Елена Ивановна</t>
  </si>
  <si>
    <t>Хозяйственные постройки_Тверская область, Кимрский район, с/п Центральное, СПК "Колос" (земельный участок с кадастровым номером 69:14:0000019:1135)_в УТП с 28.11.13</t>
  </si>
  <si>
    <t>Ярош Виктор Игоревич</t>
  </si>
  <si>
    <t>Ангары и технические помещения_почтовый адрес ориентира: Тверская область, Калининский район, Заволжское с/п, п. Заволжский (земеольный участок с кадастровым номером 69:10:0000021:355)_в УТП с 04.12.13</t>
  </si>
  <si>
    <t>Фаткуллин Алексей Рифович</t>
  </si>
  <si>
    <t>Жилой дом_Тверская область, Зубцовский район, Вазуское с/п, дер. Коротнево (кадастровый номер 69:09:241101:0026:2/21/172/09:0001/А)_в УТП с 06.12.13</t>
  </si>
  <si>
    <t>ООО "Минерал"</t>
  </si>
  <si>
    <t>Производство по переработке естественного калия в минеральный попрошок к электрическим сетям филиала ОАО "МРСК Центра"-"Тверьэнерго"_Ржевский район, с/п Хорошево, в районе пос. Заволжский (земельный участок с кадастровым номером 69:27:0000032:1122)_ в УТП с 06.12.12</t>
  </si>
  <si>
    <t>Бруй Иван Константинович</t>
  </si>
  <si>
    <t>Жилые дома садоводческого товарищества_Калининский район, Славновское с/п, п. Радченко, дер. Тованово_ в УТП с 12.12.13</t>
  </si>
  <si>
    <t>СНТ "Отдых"</t>
  </si>
  <si>
    <t>СНТ_Калининский район, Каблуковское с/п, СНТ "Отдых", в районе дер. Савватьево_в УТП с 12.12.13</t>
  </si>
  <si>
    <t>Жилищное строительство_Конаковский район, Мокшинское с/п, дер. Архангельское (земельный участок с кадастровым номером 69:15:0000027:249)_в УТП с 12.12.13</t>
  </si>
  <si>
    <t>Скорастынь Елена Геннадьевна</t>
  </si>
  <si>
    <t>6-ти квартирный жилой дом_Калининский район, Никулинское с/п, дер. Палкино (земельный участок с кадастровым номером 69:10:0000024:3858)_в УТП с 12.12.13</t>
  </si>
  <si>
    <t>Здание телятника_Тверская область, Калининский район, Старомелковское с/п, в районе дер. Ст. Мелково (кадастровый номер 69:15:0000000:0:230)_в УТП с 09.09.13</t>
  </si>
  <si>
    <t>2014 г</t>
  </si>
  <si>
    <t>40690431 (договор заключен 23.01.2014)</t>
  </si>
  <si>
    <t>40811570
(договор заключен 27.01.2014)</t>
  </si>
  <si>
    <t>40825302
(договор заключен 14.01.2014)</t>
  </si>
  <si>
    <t>40827461
(договор заключен 13.01.2014)</t>
  </si>
  <si>
    <t xml:space="preserve">40831899
(договор заключен 16.01.2014) </t>
  </si>
  <si>
    <t>40827591
(договор заключен 16.01.2014)</t>
  </si>
  <si>
    <t xml:space="preserve">40827582
(договор заключен 16.01.2014) </t>
  </si>
  <si>
    <t>40827583
(договор заключен 16.01.2014)</t>
  </si>
  <si>
    <t>40827587
(договор заключен 16.01.2014)</t>
  </si>
  <si>
    <t>40831702
(договор заключен 23.01.2014)</t>
  </si>
  <si>
    <t>40832046
(договор заключен 27.01.2014)</t>
  </si>
  <si>
    <t>40838839
(договор заключен 16.01.2014)</t>
  </si>
  <si>
    <t>40838867
(договор заключен 16.01.2014)</t>
  </si>
  <si>
    <t>40840497
(договор заключен 27.01.2014)</t>
  </si>
  <si>
    <t>40839004
(договор заключен 16.01.2014)</t>
  </si>
  <si>
    <t>Многоквартирный жилой дом_Тверская область, Торжокский район, Клоковское с/п, ст. Терешкино (земельный участок с кадастровым 69:33:0201601:78)</t>
  </si>
  <si>
    <t>40838971
(договор заключен 16.01.2014)</t>
  </si>
  <si>
    <t>ООО "Тверь Марина"</t>
  </si>
  <si>
    <t>Промышленная нагрузка_адрес ориентира: Калининский район, Каблуковское с/п, дер. Поддубье (земельный участок с кадастровым номером 69:10:0000019:132)</t>
  </si>
  <si>
    <t>40843068
(договор заключекн 23.01.2014)</t>
  </si>
  <si>
    <t>Кучеров Владислав Владимирович</t>
  </si>
  <si>
    <t>Производственная база_Тверская область, Старицкий район, Луковниковское с/п, в районе дер. Рясня из земель колхоза "Ленинский путь" (земельный участок с кадастровым номером 69:32:0000029:320)</t>
  </si>
  <si>
    <t>40843523
(договор заключен 21.01.2014)</t>
  </si>
  <si>
    <t>40759343
(договор заключен 11.12.2013)</t>
  </si>
  <si>
    <t>40776439
(договор заключен 23.12.2013)</t>
  </si>
  <si>
    <t>40783830
(договор заключен 06.12.2013)</t>
  </si>
  <si>
    <t>40791620
(договор заключен 11.12.2013)</t>
  </si>
  <si>
    <t>40805493
(договор заключен 11.12.2013)</t>
  </si>
  <si>
    <t>40805501
(договор заключен 11.12.13)</t>
  </si>
  <si>
    <t>40807792
(договор заключен 11.12.2013)</t>
  </si>
  <si>
    <t>Администрация муниципального образования "Зубцовское сельское поселение" Зубцовского района Тверской области</t>
  </si>
  <si>
    <t>Дом культуры_адрес ориентира:Тверскаяа область, Зубцовский район, Зубцовское с/п, дер. Большое Пищалкино, ул. Центральная, д. 53</t>
  </si>
  <si>
    <t>40807901
(договор заключен 23.12.2013)</t>
  </si>
  <si>
    <t>40812218
(договор заключен 16.12.2013)</t>
  </si>
  <si>
    <t>40812309
(договор заключен 27.12.2013)</t>
  </si>
  <si>
    <t>40819006
(договор заключен 20.12.2013)</t>
  </si>
  <si>
    <t>40821359
(договор заключен 09.12.13)</t>
  </si>
  <si>
    <t>40832090
(договор заключен 13.12.13)</t>
  </si>
  <si>
    <t>40835642
(договор заключен 25.12.2013)</t>
  </si>
  <si>
    <t xml:space="preserve">40835968
(договор заключен 19.12.2013) </t>
  </si>
  <si>
    <t>40836464
(договор заключен 27.12.2013)</t>
  </si>
  <si>
    <t>Автозаправочный комплекс_Тверская область, Калининский район, Бурашевское с/п, с .Андрейково (земельный участок с кадастровым номером 69:10:0251201:376)</t>
  </si>
  <si>
    <t>40836629
(договор заключен 18.12.2013)</t>
  </si>
  <si>
    <t xml:space="preserve">40837446
(договор заключен 16.12.2013) </t>
  </si>
  <si>
    <t>40837932
(договор заключен 17.12.2013)</t>
  </si>
  <si>
    <t>ООО "ФинансИнвест"</t>
  </si>
  <si>
    <t>Жилой микрорайон_г. Тверь, ул. Марии Смирновой, д. 9 (РТП № 30)</t>
  </si>
  <si>
    <t>Электроснабжение объекта "Жилой социальный комплекс "Слободка"_почтовый адрес ориентира: Тверская область. Калининский район, Бурашевское с/п, дер. Слободка</t>
  </si>
  <si>
    <t>Маркемьянова Елена Александровна</t>
  </si>
  <si>
    <t>Жилой дом_Тверская область, Кимрский район, Титовское с/п, дер. Новое Село, д. 46а (кадастровый номер 69:14:21:02 02 0046:11-757: 0000/А)</t>
  </si>
  <si>
    <t>Белоногов Антон Петрович</t>
  </si>
  <si>
    <t>Хоз постройка_Тверская область, Кимрский район, Титовское с/п (земельный участок с кадастровывм номером 69:14:0000021:2056)</t>
  </si>
  <si>
    <t>Орлов Сергей Александрович</t>
  </si>
  <si>
    <t>Цех металлоконструкций_Тверская область, г. Тверь, ул. П. Савельевой, д. 47 а (земельный участок с кадастровым номером 69:40:0100008:5)</t>
  </si>
  <si>
    <t>Здание учебного корпуса_Тверская область, Лихославльский район, Сосновицкое с/п, дер. Сосновицы (кадастровый номер 69:19:190601:0272:30/10-39/1001/А)</t>
  </si>
  <si>
    <t>ООО "ДСК-Проект 1"</t>
  </si>
  <si>
    <t>Два многоэтажных жилых дома со встроенными помещениями общественного назанчения и детского сада_г. Тверь, ул. Орджоникидзе, д. 49, корп. 8 (земельный участок с кадастровым номером 69:40:0200045:40)</t>
  </si>
  <si>
    <t>Жилая застройка_г. Тверь, проспект 50 лет Октября</t>
  </si>
  <si>
    <t>Существующая ЛЭП-10 кВ и 2КТПНУ-630 /10/0,4 кВ для электроснабжения объекта "Строительство научно-производственного комплекса по выпуску агрегатов систем кондиционирования летательных аппаратов г. Кимры"_Тверская область, г. Кимры, ул. Кленовая, 39 (земельный участок с кадастровым номером 69:42:0070623:7)_в ОРЗТП с 15.01.2012</t>
  </si>
  <si>
    <t>Ограничение возникает  при отключении 2-й сек.ш.35кВ, допустимая нагрузка на Т-1 составляет 10,22МВА (по ошиновке),т.к.Т-2 включается на параллельную работу только с Т-3.</t>
  </si>
  <si>
    <t>ТТ Т-2</t>
  </si>
  <si>
    <t>2014 г.</t>
  </si>
  <si>
    <t>40789545
(договор заключен 31.01.2014)</t>
  </si>
  <si>
    <t>ООО "Конаковская охота"</t>
  </si>
  <si>
    <t>Научно-исследовательский комплекс по разведению промысловых пород рыб_Тверская область, Кимрский район, Ильинское с/п (земельный участок с кадастровым номером 69:14:0000023:49)</t>
  </si>
  <si>
    <t>40846939
(договор заключен 03.02.2014)</t>
  </si>
  <si>
    <t>40844914
(договор заключен 03.02.2014)</t>
  </si>
  <si>
    <t>40831686
(договор заключен 06.02.2014)</t>
  </si>
  <si>
    <t>40844786
(договор заключен 12.02.2014)</t>
  </si>
  <si>
    <t>40831713
(договор заключен 03.02.2014)</t>
  </si>
  <si>
    <t xml:space="preserve">40835765
(договор заключен 14.02.2014) </t>
  </si>
  <si>
    <t>40843517
(договор заключен 17.02.2014)</t>
  </si>
  <si>
    <t>40739194
(договор заключен 20.02.2014)</t>
  </si>
  <si>
    <t>ООО "Конаково Аэро"</t>
  </si>
  <si>
    <t>Объект "Влетная полоса"_Тверская область, Конаковский район, Селиховское с/п, район дер. Филимоново (кадастровый номер 69:15:0:0:4/5-729/15:1001/I)</t>
  </si>
  <si>
    <t>40846715, (договор заключен 21.02.2014)</t>
  </si>
  <si>
    <t>40831699
(договор заключен 26.02.2014)</t>
  </si>
  <si>
    <t>40776432
(договор заключен 27.02.2014)</t>
  </si>
  <si>
    <t>40759340
(договор заключен 07.03.2014)</t>
  </si>
  <si>
    <t>Кутнер Олег Владимирович</t>
  </si>
  <si>
    <t>Хоз постройка_Кимский район, Федоровское с/п, охотобаза "Бревново" (земельный участок с кадастровым номером 69:14:0000024:670)</t>
  </si>
  <si>
    <t>40854726
(договор заключен 07.03.2014)</t>
  </si>
  <si>
    <t xml:space="preserve">40854728
(договор заключен 07.03.2014) </t>
  </si>
  <si>
    <t>40843522
(договор заключен 03.2014)</t>
  </si>
  <si>
    <t>ООО "Каръероуправление "БЕРЕГ""</t>
  </si>
  <si>
    <t>ЗТП "п. Нерудный"_Торжокский район, Сукромельское с/п, район с. Сукромля, ул. Центральная, д. 2а (кадастровые номера 69:33:000026:0279:19-168:1000/Б, 69:33:0000000:0000:19-02:1/Э, 69:33:00 00 00:0000:27-174:VII/Э)</t>
  </si>
  <si>
    <t>40852801
(договор заключен 12.03.2014)</t>
  </si>
  <si>
    <t>КТП 10кВ Дачи</t>
  </si>
  <si>
    <t xml:space="preserve">КТП10 №277 ТП-44а-дом </t>
  </si>
  <si>
    <t>1х250</t>
  </si>
  <si>
    <t>1х400</t>
  </si>
  <si>
    <t>1х63</t>
  </si>
  <si>
    <t>1х20</t>
  </si>
  <si>
    <t>1х100</t>
  </si>
  <si>
    <t>1х10</t>
  </si>
  <si>
    <t>1х630</t>
  </si>
  <si>
    <t>1х160</t>
  </si>
  <si>
    <t>1х25</t>
  </si>
  <si>
    <t>1х30</t>
  </si>
  <si>
    <t>1х40</t>
  </si>
  <si>
    <t>360х340</t>
  </si>
  <si>
    <t xml:space="preserve">д.Щучье </t>
  </si>
  <si>
    <t>д.Крутой Ручей</t>
  </si>
  <si>
    <t>д.Кривая Лука</t>
  </si>
  <si>
    <t>д.Новый двор</t>
  </si>
  <si>
    <t>1х60</t>
  </si>
  <si>
    <t>1х180</t>
  </si>
  <si>
    <t>1х50</t>
  </si>
  <si>
    <t>Котеджи Литвинки</t>
  </si>
  <si>
    <t>КТП-6/0,4кВ ТП № 685 Коттеджи Литвинки</t>
  </si>
  <si>
    <t>д. Безгузово</t>
  </si>
  <si>
    <t xml:space="preserve"> 1x160</t>
  </si>
  <si>
    <t>д. Апраксино</t>
  </si>
  <si>
    <t xml:space="preserve"> 1x63</t>
  </si>
  <si>
    <t>д. Барыково</t>
  </si>
  <si>
    <t xml:space="preserve"> 1x400</t>
  </si>
  <si>
    <t>д. Крапивино</t>
  </si>
  <si>
    <t xml:space="preserve"> 1x100</t>
  </si>
  <si>
    <t>д. Леушино</t>
  </si>
  <si>
    <t xml:space="preserve"> 1x50</t>
  </si>
  <si>
    <t>д. Жуково</t>
  </si>
  <si>
    <t xml:space="preserve"> 1x60</t>
  </si>
  <si>
    <t>д. Киселево</t>
  </si>
  <si>
    <t>д. Черемухино</t>
  </si>
  <si>
    <t xml:space="preserve"> 1x250</t>
  </si>
  <si>
    <t>д. Сусолиха</t>
  </si>
  <si>
    <t>д. Тиволино</t>
  </si>
  <si>
    <t>д. Селихово</t>
  </si>
  <si>
    <t>д. Никулино</t>
  </si>
  <si>
    <t xml:space="preserve"> 1x20</t>
  </si>
  <si>
    <t xml:space="preserve"> 1x30</t>
  </si>
  <si>
    <t xml:space="preserve"> 1x10</t>
  </si>
  <si>
    <t xml:space="preserve"> 1x25</t>
  </si>
  <si>
    <t xml:space="preserve"> 1x40</t>
  </si>
  <si>
    <t>д. Спасское</t>
  </si>
  <si>
    <t>д.Нижняя Троица</t>
  </si>
  <si>
    <t>д.Лисова Слобода</t>
  </si>
  <si>
    <t>д.Уницкая Горка</t>
  </si>
  <si>
    <t>д.Студеное Поле</t>
  </si>
  <si>
    <t>1х320</t>
  </si>
  <si>
    <t>д.Большие Сетки</t>
  </si>
  <si>
    <t>д.Красный Бор</t>
  </si>
  <si>
    <t>д.Малые Сетки</t>
  </si>
  <si>
    <t>д.Старые Уницы</t>
  </si>
  <si>
    <t>д. Н.Село</t>
  </si>
  <si>
    <t>п. Кесова Гора</t>
  </si>
  <si>
    <t>Кесовогорскй район</t>
  </si>
  <si>
    <t>п Кесова Гора</t>
  </si>
  <si>
    <t xml:space="preserve">д.Фролово </t>
  </si>
  <si>
    <t xml:space="preserve">д.Нешуткино </t>
  </si>
  <si>
    <t>д. Петровское</t>
  </si>
  <si>
    <t>д. Подъелки</t>
  </si>
  <si>
    <t xml:space="preserve">д.Якирево </t>
  </si>
  <si>
    <t>д. Доншаково</t>
  </si>
  <si>
    <t xml:space="preserve">д.Федово </t>
  </si>
  <si>
    <t xml:space="preserve">д.Олочино д.Лаврово </t>
  </si>
  <si>
    <t xml:space="preserve">д. Гребни </t>
  </si>
  <si>
    <t xml:space="preserve">д. Горка Максимовская  </t>
  </si>
  <si>
    <t>д. Никольское</t>
  </si>
  <si>
    <t>д. Игольник</t>
  </si>
  <si>
    <t>д. Смутиха</t>
  </si>
  <si>
    <t>д. Ширятская горка</t>
  </si>
  <si>
    <t>д. Гребни</t>
  </si>
  <si>
    <t xml:space="preserve">д.  Тетерино </t>
  </si>
  <si>
    <t xml:space="preserve">д. Игольники </t>
  </si>
  <si>
    <t>д. Бобровка</t>
  </si>
  <si>
    <t xml:space="preserve">д.Поповка, д.Мещера </t>
  </si>
  <si>
    <t xml:space="preserve">д.Стрелки, д.Дягилево </t>
  </si>
  <si>
    <t xml:space="preserve">д.Власьево </t>
  </si>
  <si>
    <t xml:space="preserve">д.Золотков, д. Болково </t>
  </si>
  <si>
    <t xml:space="preserve">д. Глухово д. Дурасово </t>
  </si>
  <si>
    <t xml:space="preserve">д.Рождествено  </t>
  </si>
  <si>
    <t xml:space="preserve">д.Усаты </t>
  </si>
  <si>
    <t xml:space="preserve">д.Полузьево </t>
  </si>
  <si>
    <t xml:space="preserve">д.Маурино  </t>
  </si>
  <si>
    <t xml:space="preserve">д. Васильково </t>
  </si>
  <si>
    <t xml:space="preserve">д. Лемехово </t>
  </si>
  <si>
    <t>д. Федцово</t>
  </si>
  <si>
    <t>д. Плющево</t>
  </si>
  <si>
    <t xml:space="preserve">д. Федцово </t>
  </si>
  <si>
    <t xml:space="preserve">д.Роща </t>
  </si>
  <si>
    <t>д. Страхиново</t>
  </si>
  <si>
    <t>д. Суходол</t>
  </si>
  <si>
    <t xml:space="preserve">д. Кухтино </t>
  </si>
  <si>
    <t>д. Роща</t>
  </si>
  <si>
    <t>д.Лбовские хут</t>
  </si>
  <si>
    <t xml:space="preserve">д. Лбово </t>
  </si>
  <si>
    <t xml:space="preserve">д. Брылино </t>
  </si>
  <si>
    <t>д. Фенево</t>
  </si>
  <si>
    <t xml:space="preserve">д. Бровцино </t>
  </si>
  <si>
    <t xml:space="preserve">д. Дубово </t>
  </si>
  <si>
    <t xml:space="preserve">д. Козлиха </t>
  </si>
  <si>
    <t xml:space="preserve">д. Фенево </t>
  </si>
  <si>
    <t>д. Порядино</t>
  </si>
  <si>
    <t>д. Лбовские хут</t>
  </si>
  <si>
    <t>д. Брылино</t>
  </si>
  <si>
    <t xml:space="preserve">д. Новоборисково </t>
  </si>
  <si>
    <t xml:space="preserve">д.Лукьяново </t>
  </si>
  <si>
    <t xml:space="preserve">д.Ежиха </t>
  </si>
  <si>
    <t xml:space="preserve">д. Нововведенское </t>
  </si>
  <si>
    <t xml:space="preserve">д.Рябиновка </t>
  </si>
  <si>
    <t>д.Якшино, д.Деревенька</t>
  </si>
  <si>
    <t xml:space="preserve">д.Алофеево </t>
  </si>
  <si>
    <t xml:space="preserve">д.Бокарево </t>
  </si>
  <si>
    <t xml:space="preserve">д.Марьино </t>
  </si>
  <si>
    <t xml:space="preserve">д. Хорышево </t>
  </si>
  <si>
    <t>д. Стрелиха</t>
  </si>
  <si>
    <t xml:space="preserve">д. Староборисково  </t>
  </si>
  <si>
    <t xml:space="preserve">д. Медведное </t>
  </si>
  <si>
    <t>д. Матвеевское</t>
  </si>
  <si>
    <t>д. Якшино, д.Деревенька</t>
  </si>
  <si>
    <t xml:space="preserve">д. Борисовское </t>
  </si>
  <si>
    <t xml:space="preserve">д. Коськово </t>
  </si>
  <si>
    <t>д. Погорелка</t>
  </si>
  <si>
    <t xml:space="preserve">д.Сафоново, д.Чириково </t>
  </si>
  <si>
    <t xml:space="preserve">д. Высокое </t>
  </si>
  <si>
    <t>д. Игнашево, д. Малино</t>
  </si>
  <si>
    <t xml:space="preserve">д.Латыгино </t>
  </si>
  <si>
    <t xml:space="preserve">д.Погорелово </t>
  </si>
  <si>
    <t xml:space="preserve">д.Уварово </t>
  </si>
  <si>
    <t>д. Кошелево</t>
  </si>
  <si>
    <t xml:space="preserve">д. Березовец </t>
  </si>
  <si>
    <t>д. Галибино</t>
  </si>
  <si>
    <t>д.Поречье д.Забелино</t>
  </si>
  <si>
    <t xml:space="preserve">д. Поречье </t>
  </si>
  <si>
    <t xml:space="preserve">д. Трясцино </t>
  </si>
  <si>
    <t xml:space="preserve">д. Болдырево </t>
  </si>
  <si>
    <t>д. Коченово</t>
  </si>
  <si>
    <t xml:space="preserve">д. Ростовцево д. Изоево </t>
  </si>
  <si>
    <t xml:space="preserve">д. Жуково </t>
  </si>
  <si>
    <t>д. Кружково</t>
  </si>
  <si>
    <t xml:space="preserve">д. Турынино </t>
  </si>
  <si>
    <t xml:space="preserve">д. Воробьево </t>
  </si>
  <si>
    <t>д. Деревенское</t>
  </si>
  <si>
    <t>д. Васьково</t>
  </si>
  <si>
    <t xml:space="preserve">д.Максяево </t>
  </si>
  <si>
    <t xml:space="preserve">д. Матвеевское   </t>
  </si>
  <si>
    <t>д. Кульнево</t>
  </si>
  <si>
    <t xml:space="preserve">д. Павловское </t>
  </si>
  <si>
    <t>д. Деньково</t>
  </si>
  <si>
    <t xml:space="preserve">д. Карабузино </t>
  </si>
  <si>
    <t>д. Селиверстово</t>
  </si>
  <si>
    <t>д. Ромашино</t>
  </si>
  <si>
    <t xml:space="preserve">д.Звездино </t>
  </si>
  <si>
    <t>д. Елисеево</t>
  </si>
  <si>
    <t>д. Зав.Горка</t>
  </si>
  <si>
    <t>д. Завид-я горка</t>
  </si>
  <si>
    <t xml:space="preserve">д. Старово </t>
  </si>
  <si>
    <t xml:space="preserve">д. Демшино </t>
  </si>
  <si>
    <t>д. Василисово</t>
  </si>
  <si>
    <t xml:space="preserve">д. Растригино </t>
  </si>
  <si>
    <t>д. Вязовец</t>
  </si>
  <si>
    <t xml:space="preserve">д. Байково </t>
  </si>
  <si>
    <t xml:space="preserve">д. Далеки </t>
  </si>
  <si>
    <t xml:space="preserve"> д. Глинники </t>
  </si>
  <si>
    <t xml:space="preserve">д. Мартыница </t>
  </si>
  <si>
    <t xml:space="preserve">д.Сутоки </t>
  </si>
  <si>
    <t>д. Поцепы</t>
  </si>
  <si>
    <t xml:space="preserve">д. Столбово </t>
  </si>
  <si>
    <t>д. Лисково</t>
  </si>
  <si>
    <t xml:space="preserve">д. Ильинское </t>
  </si>
  <si>
    <t xml:space="preserve">д. Поцепы </t>
  </si>
  <si>
    <t xml:space="preserve">д. Радухово </t>
  </si>
  <si>
    <t xml:space="preserve">д. Захарьино </t>
  </si>
  <si>
    <t xml:space="preserve">д. Лазарьково </t>
  </si>
  <si>
    <t xml:space="preserve">д. Коровкино </t>
  </si>
  <si>
    <t>п.Белый Городок, ул.Белогородская</t>
  </si>
  <si>
    <t>Кимрский РЭС</t>
  </si>
  <si>
    <t>40 кВА</t>
  </si>
  <si>
    <t>10 кВА</t>
  </si>
  <si>
    <t>100 кВА</t>
  </si>
  <si>
    <t>15 кВА</t>
  </si>
  <si>
    <t>База Белогородского участка (хоз.нужды)</t>
  </si>
  <si>
    <t>160 кВА</t>
  </si>
  <si>
    <t>30 кВА</t>
  </si>
  <si>
    <t>400 кВА</t>
  </si>
  <si>
    <t>60 кВА</t>
  </si>
  <si>
    <t>д.Новое Село</t>
  </si>
  <si>
    <t>5 кВА</t>
  </si>
  <si>
    <t>63 кВА</t>
  </si>
  <si>
    <t>20кВА</t>
  </si>
  <si>
    <t>10кВА</t>
  </si>
  <si>
    <t>250 кВА</t>
  </si>
  <si>
    <t>40кВА</t>
  </si>
  <si>
    <t>50кВА</t>
  </si>
  <si>
    <t>30кВА</t>
  </si>
  <si>
    <t>ц.у. АО Маяк</t>
  </si>
  <si>
    <t>60кВА</t>
  </si>
  <si>
    <t>д.Красная Горка-Жуковка</t>
  </si>
  <si>
    <t>5кВА</t>
  </si>
  <si>
    <t>п.Белый Городок</t>
  </si>
  <si>
    <t>180 кВА</t>
  </si>
  <si>
    <t>400+560 кВА</t>
  </si>
  <si>
    <t>70кВА</t>
  </si>
  <si>
    <t>80кВА</t>
  </si>
  <si>
    <t>90кВА</t>
  </si>
  <si>
    <t>г.Кимры ул.Борковская</t>
  </si>
  <si>
    <t>15кВА</t>
  </si>
  <si>
    <t>100кВА</t>
  </si>
  <si>
    <t>с/т Сплинкер</t>
  </si>
  <si>
    <t>с/т Полянка</t>
  </si>
  <si>
    <t>д.Троице Кочки</t>
  </si>
  <si>
    <t>д.Малое Василево</t>
  </si>
  <si>
    <t>2х250 кВА</t>
  </si>
  <si>
    <t>25 кВА</t>
  </si>
  <si>
    <t>20 кВА</t>
  </si>
  <si>
    <t>3кВА</t>
  </si>
  <si>
    <t>120кВА</t>
  </si>
  <si>
    <t>150кВА</t>
  </si>
  <si>
    <t>320 кВА</t>
  </si>
  <si>
    <t>200кВА</t>
  </si>
  <si>
    <t>630 кВА</t>
  </si>
  <si>
    <t>300кВА</t>
  </si>
  <si>
    <t>160+400 кВА</t>
  </si>
  <si>
    <t>г.Кимры, Борковское шоссе</t>
  </si>
  <si>
    <t>25кВА</t>
  </si>
  <si>
    <t>450кВА</t>
  </si>
  <si>
    <t>База Горицкого участка (хоз.нужды)</t>
  </si>
  <si>
    <t>250+160 кВА</t>
  </si>
  <si>
    <t>45кВА</t>
  </si>
  <si>
    <t>630кВА</t>
  </si>
  <si>
    <t>д.Горбачево, Молоди</t>
  </si>
  <si>
    <t>д.Красный Выселок</t>
  </si>
  <si>
    <t>180кВА</t>
  </si>
  <si>
    <t xml:space="preserve"> д.Незденово</t>
  </si>
  <si>
    <t xml:space="preserve"> д.Бородино</t>
  </si>
  <si>
    <t>д. Бородино-ск.двор</t>
  </si>
  <si>
    <t>160кВА</t>
  </si>
  <si>
    <t xml:space="preserve"> д.Мартынцево</t>
  </si>
  <si>
    <t xml:space="preserve"> д.Н.Иван-е-ферма</t>
  </si>
  <si>
    <t xml:space="preserve"> д.Н.Ивановское</t>
  </si>
  <si>
    <t xml:space="preserve"> д.М.Семеново</t>
  </si>
  <si>
    <t xml:space="preserve"> д.Барановская</t>
  </si>
  <si>
    <t xml:space="preserve"> д.Михалково</t>
  </si>
  <si>
    <t xml:space="preserve"> д.Максимцево</t>
  </si>
  <si>
    <t xml:space="preserve"> д.Воронцово </t>
  </si>
  <si>
    <t xml:space="preserve"> д.Мануково</t>
  </si>
  <si>
    <t>630+400 кВА</t>
  </si>
  <si>
    <t xml:space="preserve"> д.Владышино</t>
  </si>
  <si>
    <t xml:space="preserve"> д.Андрейцево</t>
  </si>
  <si>
    <t xml:space="preserve"> д.Матвеевка</t>
  </si>
  <si>
    <t xml:space="preserve"> д.Семенцево</t>
  </si>
  <si>
    <t xml:space="preserve"> д.Сошниково</t>
  </si>
  <si>
    <t xml:space="preserve"> д.Янино</t>
  </si>
  <si>
    <t>35кВА</t>
  </si>
  <si>
    <t xml:space="preserve"> д.Б.Огрызково</t>
  </si>
  <si>
    <t xml:space="preserve"> д.Одинцово</t>
  </si>
  <si>
    <t xml:space="preserve"> д.Покровское</t>
  </si>
  <si>
    <t>65кВА</t>
  </si>
  <si>
    <t xml:space="preserve"> д.Тепенино</t>
  </si>
  <si>
    <t xml:space="preserve"> д.Раздобарино</t>
  </si>
  <si>
    <t xml:space="preserve"> д.Кучино-дер.</t>
  </si>
  <si>
    <t xml:space="preserve"> д.Яковлево</t>
  </si>
  <si>
    <t xml:space="preserve">  д.Юрино</t>
  </si>
  <si>
    <t xml:space="preserve"> д.Долматов</t>
  </si>
  <si>
    <t xml:space="preserve"> д.Костенево</t>
  </si>
  <si>
    <t xml:space="preserve"> д.Селищи</t>
  </si>
  <si>
    <t xml:space="preserve">  д.Селищи</t>
  </si>
  <si>
    <t>д.Селищи (Компл. Октябрь)</t>
  </si>
  <si>
    <t>п. Заводской</t>
  </si>
  <si>
    <t>д. Слободка-2</t>
  </si>
  <si>
    <t>База Ильинского участка (хоз.нужды)</t>
  </si>
  <si>
    <t>2х400 кВА</t>
  </si>
  <si>
    <t>250кВА</t>
  </si>
  <si>
    <t>ц.у. АО Колос</t>
  </si>
  <si>
    <t xml:space="preserve"> д.Шевелево</t>
  </si>
  <si>
    <t xml:space="preserve"> д.Ваулино</t>
  </si>
  <si>
    <t xml:space="preserve"> д. Ваулино</t>
  </si>
  <si>
    <t xml:space="preserve"> д.Семенково</t>
  </si>
  <si>
    <t xml:space="preserve"> б/о Абрам.бор</t>
  </si>
  <si>
    <t xml:space="preserve"> д.Остров</t>
  </si>
  <si>
    <t xml:space="preserve"> д.Тихоново</t>
  </si>
  <si>
    <t>с/т Родничок</t>
  </si>
  <si>
    <t>с/т Смородинка</t>
  </si>
  <si>
    <t>г.Кимры, ул.Баслыка</t>
  </si>
  <si>
    <t xml:space="preserve">д. Керузино </t>
  </si>
  <si>
    <t>д. Керузино</t>
  </si>
  <si>
    <t>д. Вороново</t>
  </si>
  <si>
    <t>КТП-10/0,4 кВ  Ченцы №2</t>
  </si>
  <si>
    <t xml:space="preserve"> д. Высоково-2</t>
  </si>
  <si>
    <t>д.Ст. Акатово</t>
  </si>
  <si>
    <t xml:space="preserve">д.Ст. Акатово (База Рыболов-Спортсмен) </t>
  </si>
  <si>
    <t>д. Н. Акатово</t>
  </si>
  <si>
    <t>д. Ст.Миглощи</t>
  </si>
  <si>
    <t>д. Н. Миглощи</t>
  </si>
  <si>
    <t>д. Медведицкое</t>
  </si>
  <si>
    <t>ц.у. АО Шелковка</t>
  </si>
  <si>
    <t>250+400 кВА</t>
  </si>
  <si>
    <t xml:space="preserve"> д.Богунино</t>
  </si>
  <si>
    <t xml:space="preserve"> д.Пекуново</t>
  </si>
  <si>
    <t xml:space="preserve"> д.Крева</t>
  </si>
  <si>
    <t xml:space="preserve"> д.Святье</t>
  </si>
  <si>
    <t xml:space="preserve"> д.Ушаковка</t>
  </si>
  <si>
    <t xml:space="preserve"> д.Слободищи</t>
  </si>
  <si>
    <t xml:space="preserve"> д.Подберезье</t>
  </si>
  <si>
    <t xml:space="preserve"> д.Топорок</t>
  </si>
  <si>
    <t xml:space="preserve"> д.Соболево</t>
  </si>
  <si>
    <t xml:space="preserve"> д.Кореньково</t>
  </si>
  <si>
    <t xml:space="preserve"> д.Шутово</t>
  </si>
  <si>
    <t xml:space="preserve">д.Горычкино </t>
  </si>
  <si>
    <t xml:space="preserve"> д.Рязань</t>
  </si>
  <si>
    <t xml:space="preserve">д. Паскино </t>
  </si>
  <si>
    <t xml:space="preserve"> д. Сотское</t>
  </si>
  <si>
    <t xml:space="preserve"> д.Лукьяново-Завидово</t>
  </si>
  <si>
    <t xml:space="preserve"> д. Петровское, Володарское</t>
  </si>
  <si>
    <t>д. Радилово</t>
  </si>
  <si>
    <t>д. Выглово</t>
  </si>
  <si>
    <t>д. Творогово</t>
  </si>
  <si>
    <t>д. Биколово</t>
  </si>
  <si>
    <t>д.В. Двор</t>
  </si>
  <si>
    <t>2кВА</t>
  </si>
  <si>
    <t xml:space="preserve"> д.Выркино</t>
  </si>
  <si>
    <t xml:space="preserve"> д.Старово,Быково</t>
  </si>
  <si>
    <t xml:space="preserve"> д.Борисково</t>
  </si>
  <si>
    <t xml:space="preserve"> д.Ненорово</t>
  </si>
  <si>
    <t xml:space="preserve"> д.Богуново-Дор</t>
  </si>
  <si>
    <t xml:space="preserve"> д.Чухово</t>
  </si>
  <si>
    <t xml:space="preserve"> д.Михалево</t>
  </si>
  <si>
    <t xml:space="preserve"> д.Никитское</t>
  </si>
  <si>
    <t xml:space="preserve"> д.Сергово</t>
  </si>
  <si>
    <t xml:space="preserve"> д.Красное</t>
  </si>
  <si>
    <t xml:space="preserve"> д.Вески</t>
  </si>
  <si>
    <t xml:space="preserve"> д.Петрово</t>
  </si>
  <si>
    <t xml:space="preserve"> д.Кучино</t>
  </si>
  <si>
    <t>130кВА</t>
  </si>
  <si>
    <t xml:space="preserve"> д.Данильцево</t>
  </si>
  <si>
    <t>75кВА</t>
  </si>
  <si>
    <t xml:space="preserve"> д.Ильино-Костино</t>
  </si>
  <si>
    <t xml:space="preserve"> д.Бересловлево</t>
  </si>
  <si>
    <t xml:space="preserve"> д.Овсянн.-Раменье</t>
  </si>
  <si>
    <t xml:space="preserve"> д.Дуброво</t>
  </si>
  <si>
    <t xml:space="preserve"> д.Обутьково</t>
  </si>
  <si>
    <t xml:space="preserve"> д.Скорнево</t>
  </si>
  <si>
    <t xml:space="preserve"> д.Городищи</t>
  </si>
  <si>
    <t xml:space="preserve"> д.Поляны</t>
  </si>
  <si>
    <t xml:space="preserve"> д.Колюбеево</t>
  </si>
  <si>
    <t xml:space="preserve"> д.Глазачево</t>
  </si>
  <si>
    <t xml:space="preserve"> д.Прокунино</t>
  </si>
  <si>
    <t xml:space="preserve"> д.Лосево</t>
  </si>
  <si>
    <t xml:space="preserve"> д.Сотницы-Конст </t>
  </si>
  <si>
    <t>д.Пузаково</t>
  </si>
  <si>
    <t>КТП-10кВ  д.Пузаково</t>
  </si>
  <si>
    <t xml:space="preserve">д.Кокориха </t>
  </si>
  <si>
    <t xml:space="preserve"> д.Шушпаново</t>
  </si>
  <si>
    <t xml:space="preserve"> д.Клыпино</t>
  </si>
  <si>
    <t xml:space="preserve"> д.Григорьевское</t>
  </si>
  <si>
    <t xml:space="preserve"> д.Медведково</t>
  </si>
  <si>
    <t xml:space="preserve"> д.Демидово</t>
  </si>
  <si>
    <t xml:space="preserve"> д.Устиново-ЗСП</t>
  </si>
  <si>
    <t xml:space="preserve"> д.Шиблино</t>
  </si>
  <si>
    <t xml:space="preserve"> д.Реутово</t>
  </si>
  <si>
    <t>105кВА</t>
  </si>
  <si>
    <t xml:space="preserve"> д.Игнатово</t>
  </si>
  <si>
    <t xml:space="preserve"> д.Губин Угол</t>
  </si>
  <si>
    <t xml:space="preserve"> д.Калинино</t>
  </si>
  <si>
    <t xml:space="preserve">СТП 6/0,4 Западный 1 </t>
  </si>
  <si>
    <t>КТП 6/0,4 Западный 2</t>
  </si>
  <si>
    <t xml:space="preserve">  Муравьево         </t>
  </si>
  <si>
    <t>№001</t>
  </si>
  <si>
    <t>№002</t>
  </si>
  <si>
    <t xml:space="preserve"> Суслово</t>
  </si>
  <si>
    <t>№003</t>
  </si>
  <si>
    <t>№004</t>
  </si>
  <si>
    <t>№006</t>
  </si>
  <si>
    <t xml:space="preserve"> Симоново</t>
  </si>
  <si>
    <t>№008</t>
  </si>
  <si>
    <t>№009</t>
  </si>
  <si>
    <t xml:space="preserve"> Овинище-мастерские</t>
  </si>
  <si>
    <t>№010</t>
  </si>
  <si>
    <t xml:space="preserve"> Овинище </t>
  </si>
  <si>
    <t>№011</t>
  </si>
  <si>
    <t xml:space="preserve"> Овинище-сушилка</t>
  </si>
  <si>
    <t>№012</t>
  </si>
  <si>
    <t xml:space="preserve"> Михеево</t>
  </si>
  <si>
    <t>№013</t>
  </si>
  <si>
    <t>.Тучево</t>
  </si>
  <si>
    <t>№014</t>
  </si>
  <si>
    <t xml:space="preserve"> Селилово-Будилово</t>
  </si>
  <si>
    <t>№015</t>
  </si>
  <si>
    <t xml:space="preserve"> Старово</t>
  </si>
  <si>
    <t>№016</t>
  </si>
  <si>
    <t xml:space="preserve">  Хвощино</t>
  </si>
  <si>
    <t>№017</t>
  </si>
  <si>
    <t xml:space="preserve"> Володино</t>
  </si>
  <si>
    <t>№018</t>
  </si>
  <si>
    <t xml:space="preserve"> Новорощино</t>
  </si>
  <si>
    <t>№019</t>
  </si>
  <si>
    <t xml:space="preserve"> Новорощино-КРС</t>
  </si>
  <si>
    <t>№020</t>
  </si>
  <si>
    <t xml:space="preserve"> Ивакино</t>
  </si>
  <si>
    <t>№021</t>
  </si>
  <si>
    <t xml:space="preserve"> Черная</t>
  </si>
  <si>
    <t>№022</t>
  </si>
  <si>
    <t xml:space="preserve"> Черная-ферма</t>
  </si>
  <si>
    <t>№023</t>
  </si>
  <si>
    <t xml:space="preserve"> Рыжково</t>
  </si>
  <si>
    <t>№024</t>
  </si>
  <si>
    <t xml:space="preserve"> Лысково</t>
  </si>
  <si>
    <t>№025</t>
  </si>
  <si>
    <t xml:space="preserve"> Турково</t>
  </si>
  <si>
    <t>№026</t>
  </si>
  <si>
    <t xml:space="preserve"> М.Погорелка</t>
  </si>
  <si>
    <t>№027</t>
  </si>
  <si>
    <t xml:space="preserve"> .Бортница</t>
  </si>
  <si>
    <t>№028</t>
  </si>
  <si>
    <t xml:space="preserve"> Бортница-ФКРС</t>
  </si>
  <si>
    <t>№029</t>
  </si>
  <si>
    <t xml:space="preserve"> Бортница-ПСЛВ</t>
  </si>
  <si>
    <t>№030</t>
  </si>
  <si>
    <t xml:space="preserve"> Бортница-пилорама</t>
  </si>
  <si>
    <t>№031</t>
  </si>
  <si>
    <t xml:space="preserve"> Старогвоздино</t>
  </si>
  <si>
    <t>№034</t>
  </si>
  <si>
    <t xml:space="preserve"> Каменка</t>
  </si>
  <si>
    <t>№035</t>
  </si>
  <si>
    <t xml:space="preserve"> Грудино</t>
  </si>
  <si>
    <t>№036</t>
  </si>
  <si>
    <t xml:space="preserve"> Прокино</t>
  </si>
  <si>
    <t>№037</t>
  </si>
  <si>
    <t xml:space="preserve"> Прокино-мастерские</t>
  </si>
  <si>
    <t>№038</t>
  </si>
  <si>
    <t xml:space="preserve"> Горка</t>
  </si>
  <si>
    <t>№040</t>
  </si>
  <si>
    <t xml:space="preserve"> Слобода</t>
  </si>
  <si>
    <t>№041</t>
  </si>
  <si>
    <t xml:space="preserve"> Барбино</t>
  </si>
  <si>
    <t>№042</t>
  </si>
  <si>
    <t xml:space="preserve"> Барбино-ФКРС-комплекс</t>
  </si>
  <si>
    <t>№043</t>
  </si>
  <si>
    <t xml:space="preserve"> Барбино-мастерские</t>
  </si>
  <si>
    <t>№044</t>
  </si>
  <si>
    <t xml:space="preserve"> Барбино-ЗСП</t>
  </si>
  <si>
    <t>№045</t>
  </si>
  <si>
    <t xml:space="preserve"> Косяково-КРС</t>
  </si>
  <si>
    <t>№046</t>
  </si>
  <si>
    <t xml:space="preserve"> Косяково</t>
  </si>
  <si>
    <t>№047</t>
  </si>
  <si>
    <t xml:space="preserve"> Якимиха</t>
  </si>
  <si>
    <t>№048</t>
  </si>
  <si>
    <t xml:space="preserve"> Мокрени</t>
  </si>
  <si>
    <t>№049</t>
  </si>
  <si>
    <t xml:space="preserve"> Глунцово</t>
  </si>
  <si>
    <t>№050</t>
  </si>
  <si>
    <t xml:space="preserve"> Анисимово</t>
  </si>
  <si>
    <t>№051</t>
  </si>
  <si>
    <t xml:space="preserve"> Нави</t>
  </si>
  <si>
    <t>№052</t>
  </si>
  <si>
    <t xml:space="preserve"> Коробово</t>
  </si>
  <si>
    <t>№053</t>
  </si>
  <si>
    <t xml:space="preserve"> Коробово--посёлок</t>
  </si>
  <si>
    <t>№054</t>
  </si>
  <si>
    <t xml:space="preserve"> Муравьево</t>
  </si>
  <si>
    <t>№055</t>
  </si>
  <si>
    <t xml:space="preserve"> Янькино</t>
  </si>
  <si>
    <t>№056</t>
  </si>
  <si>
    <t xml:space="preserve"> Сварухино</t>
  </si>
  <si>
    <t>№057</t>
  </si>
  <si>
    <t xml:space="preserve"> Наумово</t>
  </si>
  <si>
    <t>№058</t>
  </si>
  <si>
    <t xml:space="preserve"> Трещевец-ферма</t>
  </si>
  <si>
    <t>№059</t>
  </si>
  <si>
    <t xml:space="preserve"> Трещевец</t>
  </si>
  <si>
    <t>№060</t>
  </si>
  <si>
    <t xml:space="preserve"> Трещевец-ПСЛВ-сушилка</t>
  </si>
  <si>
    <t>№061</t>
  </si>
  <si>
    <t xml:space="preserve"> Раменье</t>
  </si>
  <si>
    <t>№062</t>
  </si>
  <si>
    <t xml:space="preserve"> Б.Рагозино</t>
  </si>
  <si>
    <t>№063</t>
  </si>
  <si>
    <t xml:space="preserve"> М.Рагозино</t>
  </si>
  <si>
    <t>№066</t>
  </si>
  <si>
    <t xml:space="preserve"> Ременники-ФКРС</t>
  </si>
  <si>
    <t>№067</t>
  </si>
  <si>
    <t xml:space="preserve"> Ременники-котеджи</t>
  </si>
  <si>
    <t>№068</t>
  </si>
  <si>
    <t xml:space="preserve"> Юрово-картофелехр.</t>
  </si>
  <si>
    <t>№069</t>
  </si>
  <si>
    <t xml:space="preserve"> Юрово</t>
  </si>
  <si>
    <t>№070</t>
  </si>
  <si>
    <t xml:space="preserve"> Юрово-ФКРС (компл.)</t>
  </si>
  <si>
    <t>№071</t>
  </si>
  <si>
    <t xml:space="preserve"> Желобни</t>
  </si>
  <si>
    <t>№072</t>
  </si>
  <si>
    <t xml:space="preserve"> Желобни-АЗС</t>
  </si>
  <si>
    <t>№073</t>
  </si>
  <si>
    <t xml:space="preserve"> .Желобни-ЗСП</t>
  </si>
  <si>
    <t>№074</t>
  </si>
  <si>
    <t xml:space="preserve"> .Могочи</t>
  </si>
  <si>
    <t>№075</t>
  </si>
  <si>
    <t xml:space="preserve"> Дор</t>
  </si>
  <si>
    <t>№076</t>
  </si>
  <si>
    <t xml:space="preserve"> Дор-льнозавод</t>
  </si>
  <si>
    <t>№077</t>
  </si>
  <si>
    <t xml:space="preserve"> Филипково</t>
  </si>
  <si>
    <t>№078</t>
  </si>
  <si>
    <t xml:space="preserve"> Семеновское</t>
  </si>
  <si>
    <t>№079</t>
  </si>
  <si>
    <t xml:space="preserve"> Юрицево</t>
  </si>
  <si>
    <t>№080</t>
  </si>
  <si>
    <t xml:space="preserve"> .Хабоцкое-Правление</t>
  </si>
  <si>
    <t>№081</t>
  </si>
  <si>
    <t xml:space="preserve"> .Хабоцкое-Мастерские</t>
  </si>
  <si>
    <t>№082</t>
  </si>
  <si>
    <t xml:space="preserve"> Хабоцкое-Сушилка №3</t>
  </si>
  <si>
    <t>№083</t>
  </si>
  <si>
    <t xml:space="preserve"> Хабоцкое-Сушилка №4</t>
  </si>
  <si>
    <t>№084</t>
  </si>
  <si>
    <t xml:space="preserve"> Лизиково</t>
  </si>
  <si>
    <t>№085</t>
  </si>
  <si>
    <t xml:space="preserve"> .Русиново</t>
  </si>
  <si>
    <t>№086</t>
  </si>
  <si>
    <t xml:space="preserve"> Струбищи</t>
  </si>
  <si>
    <t>№087</t>
  </si>
  <si>
    <t xml:space="preserve"> Куднево</t>
  </si>
  <si>
    <t>№088</t>
  </si>
  <si>
    <t xml:space="preserve"> Лохово-Сушилка</t>
  </si>
  <si>
    <t>№089</t>
  </si>
  <si>
    <t xml:space="preserve"> Лохово-ФКРС</t>
  </si>
  <si>
    <t>№091</t>
  </si>
  <si>
    <t xml:space="preserve"> Лохово</t>
  </si>
  <si>
    <t>№092</t>
  </si>
  <si>
    <t xml:space="preserve"> Ошуково</t>
  </si>
  <si>
    <t>№093</t>
  </si>
  <si>
    <t xml:space="preserve"> Лихачево</t>
  </si>
  <si>
    <t>№094</t>
  </si>
  <si>
    <t xml:space="preserve"> Петрушино</t>
  </si>
  <si>
    <t>№096</t>
  </si>
  <si>
    <t xml:space="preserve"> Б.Погорелка</t>
  </si>
  <si>
    <t>№097</t>
  </si>
  <si>
    <t xml:space="preserve"> Б.Погорелка-КРС</t>
  </si>
  <si>
    <t>№098</t>
  </si>
  <si>
    <t xml:space="preserve"> Остров</t>
  </si>
  <si>
    <t>№099</t>
  </si>
  <si>
    <t xml:space="preserve"> Шаблыкино</t>
  </si>
  <si>
    <t>№100</t>
  </si>
  <si>
    <t xml:space="preserve"> Ульянино-Поселок</t>
  </si>
  <si>
    <t>№101</t>
  </si>
  <si>
    <t xml:space="preserve"> Ульянино-Школа</t>
  </si>
  <si>
    <t>№102</t>
  </si>
  <si>
    <t xml:space="preserve"> Ульянино-ПСЛВ</t>
  </si>
  <si>
    <t>№103</t>
  </si>
  <si>
    <t xml:space="preserve"> Ульянино-Сушилка</t>
  </si>
  <si>
    <t>№105</t>
  </si>
  <si>
    <t xml:space="preserve"> Ульянино-КЗС</t>
  </si>
  <si>
    <t>№106</t>
  </si>
  <si>
    <t xml:space="preserve"> Ульянино-Мастерские</t>
  </si>
  <si>
    <t>№107</t>
  </si>
  <si>
    <t xml:space="preserve"> Сутоки</t>
  </si>
  <si>
    <t>№108</t>
  </si>
  <si>
    <t xml:space="preserve"> .Терешково</t>
  </si>
  <si>
    <t>№109</t>
  </si>
  <si>
    <t xml:space="preserve"> Токариха</t>
  </si>
  <si>
    <t>№110</t>
  </si>
  <si>
    <t xml:space="preserve"> .Деревково</t>
  </si>
  <si>
    <t>№111</t>
  </si>
  <si>
    <t xml:space="preserve"> Слудново</t>
  </si>
  <si>
    <t>№112</t>
  </si>
  <si>
    <t xml:space="preserve">  Слудново-КРС</t>
  </si>
  <si>
    <t>№113</t>
  </si>
  <si>
    <t xml:space="preserve"> Скоросово-пилорама</t>
  </si>
  <si>
    <t>№115</t>
  </si>
  <si>
    <t xml:space="preserve"> Скоросово</t>
  </si>
  <si>
    <t>№116</t>
  </si>
  <si>
    <t xml:space="preserve"> Скоросово-мастерск.</t>
  </si>
  <si>
    <t>№117</t>
  </si>
  <si>
    <t xml:space="preserve"> Скоросово-коттеджи</t>
  </si>
  <si>
    <t>№118</t>
  </si>
  <si>
    <t xml:space="preserve"> Мокравици</t>
  </si>
  <si>
    <t>№119</t>
  </si>
  <si>
    <t xml:space="preserve"> Ведерницы</t>
  </si>
  <si>
    <t>№120</t>
  </si>
  <si>
    <t xml:space="preserve"> Кесово</t>
  </si>
  <si>
    <t>№121</t>
  </si>
  <si>
    <t xml:space="preserve"> Кесово-ЗСП</t>
  </si>
  <si>
    <t>№122</t>
  </si>
  <si>
    <t>№123</t>
  </si>
  <si>
    <t>№124</t>
  </si>
  <si>
    <t>.Красново</t>
  </si>
  <si>
    <t>№125</t>
  </si>
  <si>
    <t>.Хабоцкое-школа</t>
  </si>
  <si>
    <t>№126</t>
  </si>
  <si>
    <t>.Хабоцкое-ФКРС</t>
  </si>
  <si>
    <t>№127</t>
  </si>
  <si>
    <t>№128</t>
  </si>
  <si>
    <t>№129</t>
  </si>
  <si>
    <t>№130</t>
  </si>
  <si>
    <t>№131</t>
  </si>
  <si>
    <t>№132</t>
  </si>
  <si>
    <t>№133</t>
  </si>
  <si>
    <t>Неледино № 1</t>
  </si>
  <si>
    <t>№134</t>
  </si>
  <si>
    <t>Неледино № 2</t>
  </si>
  <si>
    <t>№135</t>
  </si>
  <si>
    <t>№136</t>
  </si>
  <si>
    <t>Глебени-КРС (комплекс)</t>
  </si>
  <si>
    <t>№137</t>
  </si>
  <si>
    <t>№138</t>
  </si>
  <si>
    <t>№139</t>
  </si>
  <si>
    <t>№140</t>
  </si>
  <si>
    <t>№141</t>
  </si>
  <si>
    <t>№142</t>
  </si>
  <si>
    <t>№143</t>
  </si>
  <si>
    <t>№144</t>
  </si>
  <si>
    <t>№145</t>
  </si>
  <si>
    <t>№146</t>
  </si>
  <si>
    <t>№147</t>
  </si>
  <si>
    <t>№148</t>
  </si>
  <si>
    <t>№149</t>
  </si>
  <si>
    <t>№150</t>
  </si>
  <si>
    <t>№151</t>
  </si>
  <si>
    <t>№152</t>
  </si>
  <si>
    <t>№153</t>
  </si>
  <si>
    <t>№154</t>
  </si>
  <si>
    <t>№155</t>
  </si>
  <si>
    <t>№156</t>
  </si>
  <si>
    <t>№161</t>
  </si>
  <si>
    <t>№162</t>
  </si>
  <si>
    <t>№163</t>
  </si>
  <si>
    <t>№164</t>
  </si>
  <si>
    <t>№165</t>
  </si>
  <si>
    <t>№166</t>
  </si>
  <si>
    <t>№168</t>
  </si>
  <si>
    <t>№169</t>
  </si>
  <si>
    <t>№170</t>
  </si>
  <si>
    <t>№171</t>
  </si>
  <si>
    <t>.Поляны-ферма (КРС)</t>
  </si>
  <si>
    <t>№173</t>
  </si>
  <si>
    <t>№174</t>
  </si>
  <si>
    <t>№175</t>
  </si>
  <si>
    <t>№176</t>
  </si>
  <si>
    <t>№177</t>
  </si>
  <si>
    <t>.Григорово</t>
  </si>
  <si>
    <t>№178</t>
  </si>
  <si>
    <t>.Полежаиха</t>
  </si>
  <si>
    <t>№179</t>
  </si>
  <si>
    <t>№180</t>
  </si>
  <si>
    <t>№181</t>
  </si>
  <si>
    <t>Машино-сушилка (КРС)</t>
  </si>
  <si>
    <t>№182</t>
  </si>
  <si>
    <t>№183</t>
  </si>
  <si>
    <t>.Ждани</t>
  </si>
  <si>
    <t>№184</t>
  </si>
  <si>
    <t xml:space="preserve">Путилово-школа </t>
  </si>
  <si>
    <t>№185</t>
  </si>
  <si>
    <t>№186</t>
  </si>
  <si>
    <t>.Маковеево</t>
  </si>
  <si>
    <t>№187</t>
  </si>
  <si>
    <t>№188</t>
  </si>
  <si>
    <t>№189</t>
  </si>
  <si>
    <t>№190</t>
  </si>
  <si>
    <t>№191</t>
  </si>
  <si>
    <t>№192</t>
  </si>
  <si>
    <t>№194</t>
  </si>
  <si>
    <t>№196</t>
  </si>
  <si>
    <t>№197</t>
  </si>
  <si>
    <t>№198</t>
  </si>
  <si>
    <t>№201</t>
  </si>
  <si>
    <t>№203</t>
  </si>
  <si>
    <t>№204</t>
  </si>
  <si>
    <t>№205</t>
  </si>
  <si>
    <t>№206</t>
  </si>
  <si>
    <t>№207</t>
  </si>
  <si>
    <t>№208</t>
  </si>
  <si>
    <t>№209</t>
  </si>
  <si>
    <t>№210</t>
  </si>
  <si>
    <t>№211</t>
  </si>
  <si>
    <t>№212</t>
  </si>
  <si>
    <t>.Поповка-ферма (КРС)</t>
  </si>
  <si>
    <t>№213</t>
  </si>
  <si>
    <t>№214</t>
  </si>
  <si>
    <t>№215</t>
  </si>
  <si>
    <t>№216</t>
  </si>
  <si>
    <t>№218</t>
  </si>
  <si>
    <t>№219</t>
  </si>
  <si>
    <t>№220</t>
  </si>
  <si>
    <t>№221</t>
  </si>
  <si>
    <t>.Гаврилово</t>
  </si>
  <si>
    <t>№222</t>
  </si>
  <si>
    <t>№223</t>
  </si>
  <si>
    <t>.Поповка-мастер.</t>
  </si>
  <si>
    <t>№225</t>
  </si>
  <si>
    <t>.Мартыново</t>
  </si>
  <si>
    <t>№226</t>
  </si>
  <si>
    <t>.Мартыново-ПСЛВ</t>
  </si>
  <si>
    <t>№227</t>
  </si>
  <si>
    <t>.Мартыново-пилор.(мастер.)</t>
  </si>
  <si>
    <t>№228</t>
  </si>
  <si>
    <t>.Мартыново-ФКРС</t>
  </si>
  <si>
    <t>№229</t>
  </si>
  <si>
    <t>.Коровкино</t>
  </si>
  <si>
    <t>№230</t>
  </si>
  <si>
    <t>.Петряево</t>
  </si>
  <si>
    <t>№231</t>
  </si>
  <si>
    <t>.Петряево-ферма</t>
  </si>
  <si>
    <t>№232</t>
  </si>
  <si>
    <t>№233</t>
  </si>
  <si>
    <t>№235</t>
  </si>
  <si>
    <t>.Шолгирогово</t>
  </si>
  <si>
    <t>№236</t>
  </si>
  <si>
    <t>Лесной Холм</t>
  </si>
  <si>
    <t>№237</t>
  </si>
  <si>
    <t>№238</t>
  </si>
  <si>
    <t>.Братское</t>
  </si>
  <si>
    <t>№239</t>
  </si>
  <si>
    <t>№240</t>
  </si>
  <si>
    <t>№241</t>
  </si>
  <si>
    <t>.Горчаково</t>
  </si>
  <si>
    <t>№242</t>
  </si>
  <si>
    <t>№243</t>
  </si>
  <si>
    <t>Огибалово-суш. (КЗС)</t>
  </si>
  <si>
    <t>№245</t>
  </si>
  <si>
    <t>№246</t>
  </si>
  <si>
    <t>№247</t>
  </si>
  <si>
    <t>.Болонино</t>
  </si>
  <si>
    <t>№248</t>
  </si>
  <si>
    <t>.Хребтово</t>
  </si>
  <si>
    <t>№249</t>
  </si>
  <si>
    <t>№250</t>
  </si>
  <si>
    <t>.Васильки-ФКРС</t>
  </si>
  <si>
    <t>№251</t>
  </si>
  <si>
    <t>.Васильки</t>
  </si>
  <si>
    <t>№252</t>
  </si>
  <si>
    <t>.Васильки-мастер.</t>
  </si>
  <si>
    <t>№253</t>
  </si>
  <si>
    <t>.Черницино</t>
  </si>
  <si>
    <t>№254</t>
  </si>
  <si>
    <t>№255</t>
  </si>
  <si>
    <t>№256</t>
  </si>
  <si>
    <t>д. Новознаменское</t>
  </si>
  <si>
    <t>Лесной</t>
  </si>
  <si>
    <t xml:space="preserve">ТП 001 Н.Знаменское </t>
  </si>
  <si>
    <t>д. Трубино</t>
  </si>
  <si>
    <t xml:space="preserve">ТП 002 Трубино </t>
  </si>
  <si>
    <t>д. Железенка</t>
  </si>
  <si>
    <t xml:space="preserve">ТП 003 Железенка </t>
  </si>
  <si>
    <t>д. Спасс</t>
  </si>
  <si>
    <t xml:space="preserve">ТП 004 Спасс </t>
  </si>
  <si>
    <t>д. Бохтово</t>
  </si>
  <si>
    <t>ТП 005 ФКРС Бохтово</t>
  </si>
  <si>
    <t xml:space="preserve">ТП 006 д/сад Бохтово </t>
  </si>
  <si>
    <t>ТП 007 ЗСП Бохтово</t>
  </si>
  <si>
    <t>д. Аньково</t>
  </si>
  <si>
    <t xml:space="preserve">ТП 008 Аньково </t>
  </si>
  <si>
    <t>д. Лукотино</t>
  </si>
  <si>
    <t xml:space="preserve">ТП 009 Лукотино </t>
  </si>
  <si>
    <t>д. Мощанское</t>
  </si>
  <si>
    <t xml:space="preserve">ТП 010 Мощанское </t>
  </si>
  <si>
    <t>д. Половницкое</t>
  </si>
  <si>
    <t xml:space="preserve">ТП 011 Половницкое </t>
  </si>
  <si>
    <t>д. Дудкино</t>
  </si>
  <si>
    <t xml:space="preserve">ТП 012 Дудкино </t>
  </si>
  <si>
    <t xml:space="preserve">ТП 014 ж/д Никольское </t>
  </si>
  <si>
    <t xml:space="preserve">ТП 015 ФКРС Никольское </t>
  </si>
  <si>
    <t xml:space="preserve">ТП 016 д/сад Никольское </t>
  </si>
  <si>
    <t>ТП 018 мастерск Никольск</t>
  </si>
  <si>
    <t>д. Изосимово</t>
  </si>
  <si>
    <t>ТП 019 Изосимово</t>
  </si>
  <si>
    <t>д. Кр. Гора</t>
  </si>
  <si>
    <t xml:space="preserve">ТП 020 Кр.Гора </t>
  </si>
  <si>
    <t>д. Полонское</t>
  </si>
  <si>
    <t xml:space="preserve">ТП 021 Полонское </t>
  </si>
  <si>
    <t>д. Пестово</t>
  </si>
  <si>
    <t xml:space="preserve">ТП 022 Пестово </t>
  </si>
  <si>
    <t>д Солнцево</t>
  </si>
  <si>
    <t xml:space="preserve">ТП 023 Солнцево </t>
  </si>
  <si>
    <t>д. Шакшино</t>
  </si>
  <si>
    <t xml:space="preserve">ТП 024 Шакшино </t>
  </si>
  <si>
    <t>п. Медведково</t>
  </si>
  <si>
    <t xml:space="preserve">ТП 026 Лесник </t>
  </si>
  <si>
    <t>д. Мордасы</t>
  </si>
  <si>
    <t xml:space="preserve">ТП 027 Мордасы </t>
  </si>
  <si>
    <t>с. Лесное</t>
  </si>
  <si>
    <t xml:space="preserve">ТП 028 вдкч Лесное </t>
  </si>
  <si>
    <t>д. Лыкашино</t>
  </si>
  <si>
    <t xml:space="preserve">ТП 029 Лыкошино </t>
  </si>
  <si>
    <t>д. Монаково</t>
  </si>
  <si>
    <t xml:space="preserve">ТП 030 ж/д Монаково </t>
  </si>
  <si>
    <t>ТП 031 ФКРС Монаково</t>
  </si>
  <si>
    <t>д. Куземкино</t>
  </si>
  <si>
    <t xml:space="preserve">ТП 032 КРС Куземкино </t>
  </si>
  <si>
    <t xml:space="preserve">ТП 033 ж/д Куземкино </t>
  </si>
  <si>
    <t xml:space="preserve">ТП 034 ЗСП Куземкино </t>
  </si>
  <si>
    <t xml:space="preserve">ТП 035 Луговая </t>
  </si>
  <si>
    <t>ТП 036 Клуб Лесное</t>
  </si>
  <si>
    <t xml:space="preserve">ТП 037 школа Лесное </t>
  </si>
  <si>
    <t xml:space="preserve">ТП 038  ж/д Лесное </t>
  </si>
  <si>
    <t>ТП 039 ж/д Пустая</t>
  </si>
  <si>
    <t xml:space="preserve">ТП 040 Новая </t>
  </si>
  <si>
    <t xml:space="preserve">ТП 043  ж/д Лопатиха </t>
  </si>
  <si>
    <t>ТП 045 мастерские.</t>
  </si>
  <si>
    <t xml:space="preserve">ТП 046 с/строй </t>
  </si>
  <si>
    <t xml:space="preserve">ТП 047 Солнышко </t>
  </si>
  <si>
    <t xml:space="preserve">ТП 048 КНС </t>
  </si>
  <si>
    <t xml:space="preserve">ТП 050 лесокомбинат </t>
  </si>
  <si>
    <t>ТП 052 ж/д пересуха</t>
  </si>
  <si>
    <t xml:space="preserve">ТП 055 свинарник </t>
  </si>
  <si>
    <t xml:space="preserve">ТП 057 Лукино </t>
  </si>
  <si>
    <t>д. Городок</t>
  </si>
  <si>
    <t xml:space="preserve">ТП 059 РОСТО </t>
  </si>
  <si>
    <t>ТП 061 клуб Городок</t>
  </si>
  <si>
    <t xml:space="preserve">ТП 062 ж/д Городок </t>
  </si>
  <si>
    <t>ТП 063 ЗСП Городок</t>
  </si>
  <si>
    <t>ТП 064 РММ</t>
  </si>
  <si>
    <t>ТП 065 ж/д Медведково</t>
  </si>
  <si>
    <t xml:space="preserve">ТП 066 д/сад Медведково </t>
  </si>
  <si>
    <t>Д. Спирово</t>
  </si>
  <si>
    <t xml:space="preserve">ТП 068 ж/д Спирово </t>
  </si>
  <si>
    <t xml:space="preserve">ТП 069 КРС Спирово </t>
  </si>
  <si>
    <t xml:space="preserve">ТП 070 Северная </t>
  </si>
  <si>
    <t>д. Глачево</t>
  </si>
  <si>
    <t xml:space="preserve">ТП 071 Глазачево </t>
  </si>
  <si>
    <t>д. Застровье</t>
  </si>
  <si>
    <t xml:space="preserve">ТП 072 клуб Застровье </t>
  </si>
  <si>
    <t>ТП 073 ФКРС Застровье</t>
  </si>
  <si>
    <t>д. Немцово</t>
  </si>
  <si>
    <t xml:space="preserve">ТП 075 Немцово </t>
  </si>
  <si>
    <t>д. Бобово</t>
  </si>
  <si>
    <t>ТП 076 Бобово</t>
  </si>
  <si>
    <t>ТП 077 мастерск. Застровье</t>
  </si>
  <si>
    <t xml:space="preserve">ТП 078 ж/д Застровье </t>
  </si>
  <si>
    <t>д. Антушино</t>
  </si>
  <si>
    <t>ТП 079 Антушино</t>
  </si>
  <si>
    <t>д. Антоново</t>
  </si>
  <si>
    <t xml:space="preserve">ТП 080 Антоново </t>
  </si>
  <si>
    <t>д. Залесное</t>
  </si>
  <si>
    <t xml:space="preserve">ТП 082 ж/д Залесное </t>
  </si>
  <si>
    <t xml:space="preserve">ТП 083 ФКРС Залесное </t>
  </si>
  <si>
    <t xml:space="preserve">ТП 084 пилорама Пустая </t>
  </si>
  <si>
    <t xml:space="preserve">ТП 085 мастерские Пустая </t>
  </si>
  <si>
    <t xml:space="preserve">ТП 086 ЗСП Пустая </t>
  </si>
  <si>
    <t>д. Ошеево</t>
  </si>
  <si>
    <t xml:space="preserve">ТП 087 Ошеево </t>
  </si>
  <si>
    <t>д. Андрюшино</t>
  </si>
  <si>
    <t xml:space="preserve">ТП 088  Андрюшино </t>
  </si>
  <si>
    <t>д. Сумароково</t>
  </si>
  <si>
    <t>ТП 089 Сумароково</t>
  </si>
  <si>
    <t>д. Обретино</t>
  </si>
  <si>
    <t xml:space="preserve">ТП 090 Обретино </t>
  </si>
  <si>
    <t>д. Виглино</t>
  </si>
  <si>
    <t xml:space="preserve">ТП 091 Виглино </t>
  </si>
  <si>
    <t>д. Сошниково</t>
  </si>
  <si>
    <t xml:space="preserve">ТП 092 Сошниково </t>
  </si>
  <si>
    <t>д. Б. Пруды</t>
  </si>
  <si>
    <t xml:space="preserve">ТП 093 правление </t>
  </si>
  <si>
    <t xml:space="preserve">ТП 094 ФКРС </t>
  </si>
  <si>
    <t>ТП 095 ж/д Бор Пруды ВЛ 10кВ №05 ПС Лесн</t>
  </si>
  <si>
    <t>д. Чернятка</t>
  </si>
  <si>
    <t xml:space="preserve">ТП 096 Чернятка </t>
  </si>
  <si>
    <t>д. Чокотово</t>
  </si>
  <si>
    <t xml:space="preserve">ТП 097 Чекотово </t>
  </si>
  <si>
    <t>д. Язовици</t>
  </si>
  <si>
    <t xml:space="preserve">ТП 098 Язовицы </t>
  </si>
  <si>
    <t>д. Овсянниково</t>
  </si>
  <si>
    <t>ТП 099.Овсянниково</t>
  </si>
  <si>
    <t>д. Дворищи</t>
  </si>
  <si>
    <t xml:space="preserve">ТП 100 Дворищи </t>
  </si>
  <si>
    <t>д. Шатеево</t>
  </si>
  <si>
    <t>ТП 101 Шатеево</t>
  </si>
  <si>
    <t xml:space="preserve">ТП 102 База РЭС </t>
  </si>
  <si>
    <t xml:space="preserve">ТП 103 центр </t>
  </si>
  <si>
    <t xml:space="preserve">ТП 107 МЧС </t>
  </si>
  <si>
    <t xml:space="preserve">ТП 108 Угрюм Гора </t>
  </si>
  <si>
    <t>д. Свищево</t>
  </si>
  <si>
    <t xml:space="preserve">ТП 109 ж/д Свищево </t>
  </si>
  <si>
    <t>ТП 110 ЦРБ Свищево</t>
  </si>
  <si>
    <t xml:space="preserve">ТП 111 КРС Свищево </t>
  </si>
  <si>
    <t>д. Федяйково</t>
  </si>
  <si>
    <t xml:space="preserve">ТП 113 Федяйково </t>
  </si>
  <si>
    <t>д. Сорогожское</t>
  </si>
  <si>
    <t>ТП 114  ж/д Сорогожское</t>
  </si>
  <si>
    <t xml:space="preserve">ТП 115 Золотов </t>
  </si>
  <si>
    <t xml:space="preserve">ТП 116 ЗСП </t>
  </si>
  <si>
    <t>д. Мотыли</t>
  </si>
  <si>
    <t xml:space="preserve">ТП 117 ФКРС Мотыли </t>
  </si>
  <si>
    <t xml:space="preserve">ТП 118 ж/д Мотыли </t>
  </si>
  <si>
    <t xml:space="preserve">ТП 119 дом охотника </t>
  </si>
  <si>
    <t>д. Сундуки</t>
  </si>
  <si>
    <t xml:space="preserve">ТП 120 Сундуки </t>
  </si>
  <si>
    <t>д.Сорогожское</t>
  </si>
  <si>
    <t xml:space="preserve">ТП 121 школа </t>
  </si>
  <si>
    <t xml:space="preserve">ТП 122 Боровая </t>
  </si>
  <si>
    <t>д. Вакарино</t>
  </si>
  <si>
    <t xml:space="preserve">ТП 123 Вакарино </t>
  </si>
  <si>
    <t>д. Овчуха</t>
  </si>
  <si>
    <t xml:space="preserve">ТП 124 Овчуха </t>
  </si>
  <si>
    <t>д. Алексейково</t>
  </si>
  <si>
    <t xml:space="preserve">ТП 127 КРС </t>
  </si>
  <si>
    <t xml:space="preserve">ТП 128 вдкч </t>
  </si>
  <si>
    <t>ТП 129 мастерск</t>
  </si>
  <si>
    <t xml:space="preserve">ТП 130 ж/д </t>
  </si>
  <si>
    <t>д. Рыжное</t>
  </si>
  <si>
    <t>ТП 131Рыжное</t>
  </si>
  <si>
    <t>д. Погорелец</t>
  </si>
  <si>
    <t xml:space="preserve">ТП 132 Погорелец </t>
  </si>
  <si>
    <t>д. Семеново</t>
  </si>
  <si>
    <t xml:space="preserve">ТП 133 Семеново </t>
  </si>
  <si>
    <t>д. Пенякино</t>
  </si>
  <si>
    <t xml:space="preserve">ТП 134 Пенякино </t>
  </si>
  <si>
    <t>д. Демидиха</t>
  </si>
  <si>
    <t xml:space="preserve">ТП 135 Демидиха </t>
  </si>
  <si>
    <t>д. Застижье</t>
  </si>
  <si>
    <t xml:space="preserve">ТП 136 Застижье </t>
  </si>
  <si>
    <t>д. Довечки</t>
  </si>
  <si>
    <t xml:space="preserve">ТП 137 Довечки </t>
  </si>
  <si>
    <t>д. Струбно</t>
  </si>
  <si>
    <t xml:space="preserve">ТП 138 Струбно </t>
  </si>
  <si>
    <t xml:space="preserve">ТП 139 ж/д </t>
  </si>
  <si>
    <t>д.Федотково</t>
  </si>
  <si>
    <t>ТП 140</t>
  </si>
  <si>
    <t>д. Стройково</t>
  </si>
  <si>
    <t xml:space="preserve">ТП 142 Стройково </t>
  </si>
  <si>
    <t>д. Кож. Гора</t>
  </si>
  <si>
    <t xml:space="preserve">ТП 143 ФКРС </t>
  </si>
  <si>
    <t xml:space="preserve">ТП 144 правление </t>
  </si>
  <si>
    <t>д. Хальково</t>
  </si>
  <si>
    <t xml:space="preserve">ТП 146 Хальково </t>
  </si>
  <si>
    <t>д. Парьево</t>
  </si>
  <si>
    <t xml:space="preserve">ТП 147 Парьево </t>
  </si>
  <si>
    <t>д. Михайловское</t>
  </si>
  <si>
    <t>ТП 148 администр.</t>
  </si>
  <si>
    <t xml:space="preserve">ТП 149 правление </t>
  </si>
  <si>
    <t>ТП 150 мастерские</t>
  </si>
  <si>
    <t>ТП 151 ЗСП</t>
  </si>
  <si>
    <t xml:space="preserve">ТП 152 ФКРС </t>
  </si>
  <si>
    <t>д. Подборовье</t>
  </si>
  <si>
    <t xml:space="preserve">ТП 153 Подборовье </t>
  </si>
  <si>
    <t xml:space="preserve">ТП 154 вдкч </t>
  </si>
  <si>
    <t>д. Новая Горка</t>
  </si>
  <si>
    <t xml:space="preserve">ТП 155 ж/д </t>
  </si>
  <si>
    <t xml:space="preserve">ТП 156 ФКРС </t>
  </si>
  <si>
    <t>д. Абакумово</t>
  </si>
  <si>
    <t xml:space="preserve">ТП 157 Абакумово </t>
  </si>
  <si>
    <t>Ст. Горка</t>
  </si>
  <si>
    <t xml:space="preserve">ТП 158 ФКРС </t>
  </si>
  <si>
    <t xml:space="preserve">ТП 159 ж/д </t>
  </si>
  <si>
    <t>д. Лукьянцево</t>
  </si>
  <si>
    <t xml:space="preserve">ТП 160 </t>
  </si>
  <si>
    <t>д. Мосейково</t>
  </si>
  <si>
    <t xml:space="preserve">ТП 161 пилорама </t>
  </si>
  <si>
    <t xml:space="preserve">ТП 162 ж/д </t>
  </si>
  <si>
    <t>д. Клубаково</t>
  </si>
  <si>
    <t xml:space="preserve">ТП 163 Клубоково </t>
  </si>
  <si>
    <t>д. Леугино</t>
  </si>
  <si>
    <t xml:space="preserve">ТП 165 Леугино </t>
  </si>
  <si>
    <t>д. Федяевка</t>
  </si>
  <si>
    <t xml:space="preserve">ТП 166 Федяевка </t>
  </si>
  <si>
    <t>д. Кокорево</t>
  </si>
  <si>
    <t>ТП 167 Кокорево</t>
  </si>
  <si>
    <t>д. Орлово</t>
  </si>
  <si>
    <t xml:space="preserve">ТП 168 Орлово </t>
  </si>
  <si>
    <t>д. Костыгово</t>
  </si>
  <si>
    <t xml:space="preserve">ТП 169 Костыгово </t>
  </si>
  <si>
    <t>д. Григино</t>
  </si>
  <si>
    <t xml:space="preserve">ТП 171 Григино </t>
  </si>
  <si>
    <t>д. Бродыгино</t>
  </si>
  <si>
    <t>д. В. Пороги</t>
  </si>
  <si>
    <t xml:space="preserve">ТП 172 В.Пороги </t>
  </si>
  <si>
    <t>д. Борисовское</t>
  </si>
  <si>
    <t xml:space="preserve">ТП 174 ж/д </t>
  </si>
  <si>
    <t>д. Сутоки</t>
  </si>
  <si>
    <t xml:space="preserve">ТП 176 Сутоки </t>
  </si>
  <si>
    <t>д. Нивищи</t>
  </si>
  <si>
    <t xml:space="preserve">ТП 177 ж/д </t>
  </si>
  <si>
    <t>д. Заречье</t>
  </si>
  <si>
    <t xml:space="preserve">ТП 178 </t>
  </si>
  <si>
    <t>д. Д. Бор</t>
  </si>
  <si>
    <t xml:space="preserve">ТП 179 Д.Бор </t>
  </si>
  <si>
    <t>д. Б. Бор</t>
  </si>
  <si>
    <t xml:space="preserve">ТП 180 Б.Бор </t>
  </si>
  <si>
    <t>д. Телятники</t>
  </si>
  <si>
    <t xml:space="preserve">ТП 181 ж/д </t>
  </si>
  <si>
    <t xml:space="preserve">ТП 182 ЗСП </t>
  </si>
  <si>
    <t>д. Костюшино</t>
  </si>
  <si>
    <t xml:space="preserve">ТП 185 Костюшино </t>
  </si>
  <si>
    <t>д . Телятники</t>
  </si>
  <si>
    <t xml:space="preserve">ТП 186 вдкч </t>
  </si>
  <si>
    <t>д. Рассадники</t>
  </si>
  <si>
    <t xml:space="preserve">ТП 187 Рассадники </t>
  </si>
  <si>
    <t>д. Кр. Городок</t>
  </si>
  <si>
    <t xml:space="preserve">ТП 188 </t>
  </si>
  <si>
    <t>д. Дорка</t>
  </si>
  <si>
    <t xml:space="preserve">ТП 190 Дорка </t>
  </si>
  <si>
    <t>д. Горка</t>
  </si>
  <si>
    <t xml:space="preserve">ТП 191 Горка </t>
  </si>
  <si>
    <t>д. Васютино</t>
  </si>
  <si>
    <t xml:space="preserve">ТП 192 Васютино </t>
  </si>
  <si>
    <t>д. Гузеево</t>
  </si>
  <si>
    <t xml:space="preserve">ТП 194 Гузеево </t>
  </si>
  <si>
    <t xml:space="preserve">ТП 195 Гузеево </t>
  </si>
  <si>
    <t>д. Сосновка</t>
  </si>
  <si>
    <t>Максатихинский район</t>
  </si>
  <si>
    <t>ТП 10/0,4 кВ 001 д. Сосновка</t>
  </si>
  <si>
    <t>д. Железенец</t>
  </si>
  <si>
    <t>ТП 10/0,4 кВ 002  д. Железенец</t>
  </si>
  <si>
    <t>д. Бараниха</t>
  </si>
  <si>
    <t>ТП 10/0,4 кВ 004 д. Бараниха</t>
  </si>
  <si>
    <t>д. Ораны</t>
  </si>
  <si>
    <t>ТП 10/0,4 кВ 005 д. Ораны</t>
  </si>
  <si>
    <t>д. Ново-Плоское</t>
  </si>
  <si>
    <t>ТП 10/0,4 кВ 006 д. Ново-Плоское</t>
  </si>
  <si>
    <t>д. Минка</t>
  </si>
  <si>
    <t>ТП 10/0,4 кВ 019 д. Минка</t>
  </si>
  <si>
    <t>д. Подмельничная</t>
  </si>
  <si>
    <t>ТП 10/0,4 кВ 018 д. Подмельничная</t>
  </si>
  <si>
    <t>д. Малиниха</t>
  </si>
  <si>
    <t>ТП 10/0,4 кВ 017 д. Малиниха</t>
  </si>
  <si>
    <t>ТП 10/0,4 кВ 021 д. Никольское</t>
  </si>
  <si>
    <t>д. Кузнечики</t>
  </si>
  <si>
    <t>ТП 10/0,4 кВ 022 д. Кузнечики</t>
  </si>
  <si>
    <t>д. Ерошиха</t>
  </si>
  <si>
    <t>ТП 10/0,4 кВ 020 д. Ерошиха</t>
  </si>
  <si>
    <t>м. Володарка</t>
  </si>
  <si>
    <t>ТП 10/0,4 кВ 009 м. Володарка</t>
  </si>
  <si>
    <t>д. Коасуха</t>
  </si>
  <si>
    <t>ТП 10/0,4 кВ 010 д. Красуха</t>
  </si>
  <si>
    <t>д. Засека</t>
  </si>
  <si>
    <t>ТП 10/0,4 кВ 011 д. Засека</t>
  </si>
  <si>
    <t>ТП 10/0,4 кВ 012 д. Засека</t>
  </si>
  <si>
    <t>ТП 10/0,4 кВ 013 д. Засека</t>
  </si>
  <si>
    <t>ТП 10/0,4 кВ 014 д. Засека</t>
  </si>
  <si>
    <t>д. Паулино</t>
  </si>
  <si>
    <t>ТП 10/0,4 кВ 015 д. Паулино</t>
  </si>
  <si>
    <t>д. Горма</t>
  </si>
  <si>
    <t>ТП 10/0,4 кВ 016 д. Горма</t>
  </si>
  <si>
    <t>д. Хмелевая</t>
  </si>
  <si>
    <t>ТП 10/0,4 кВ 025 д. Хмелевая</t>
  </si>
  <si>
    <t>д. Любятино</t>
  </si>
  <si>
    <t>ТП 10/0,4 кВ 028 д. Любятино</t>
  </si>
  <si>
    <t>д. Рыбинское Заручье</t>
  </si>
  <si>
    <t>ТП 10/0,4 кВ 027 д. Рыб. Заручье</t>
  </si>
  <si>
    <t>п. Красивый</t>
  </si>
  <si>
    <t>ТП 10/0,4 кВ 030 п. Красивый</t>
  </si>
  <si>
    <t>д. Ступники</t>
  </si>
  <si>
    <t>ТП 10/0,4 кВ 029 д. Ступники</t>
  </si>
  <si>
    <t>д. Тельцово</t>
  </si>
  <si>
    <t>ТП 10/0,4 кВ 032 д. Тельцово</t>
  </si>
  <si>
    <t>х. Заречье</t>
  </si>
  <si>
    <t>ТП 10/0,4 кВ 023 х. Заречье</t>
  </si>
  <si>
    <t>ТП 10/0,4 кВ 024 х. Заречье</t>
  </si>
  <si>
    <t>ТП 10/0,4 кВ 026 д. Хмелевая</t>
  </si>
  <si>
    <t>д. Кудряшово</t>
  </si>
  <si>
    <t>ТП 10/0,4 кВ 031 д. Кудряшово</t>
  </si>
  <si>
    <t>д. Ривица</t>
  </si>
  <si>
    <t>ТП 10/0,4 кВ 033 д. Ривица</t>
  </si>
  <si>
    <t>д. Трусово</t>
  </si>
  <si>
    <t>ТП 10/0,4 кВ 034 д. Трусово</t>
  </si>
  <si>
    <t>д. Горбы</t>
  </si>
  <si>
    <t>ТП 10/0,4 кВ 037 д. Горбы</t>
  </si>
  <si>
    <t>д. Плотники</t>
  </si>
  <si>
    <t xml:space="preserve">ТП 10/0,4 кВ 036 д. Плотники </t>
  </si>
  <si>
    <t>д. Липовка</t>
  </si>
  <si>
    <t>ТП 10/0,4 кВ 038 д. Липовка</t>
  </si>
  <si>
    <t>д. Амосино</t>
  </si>
  <si>
    <t>ТП 10/0,4 кВ 035 д. Амосино</t>
  </si>
  <si>
    <t>д. Ульяновка</t>
  </si>
  <si>
    <t>ТП 10/0,4 кВ 039 Ульяновка</t>
  </si>
  <si>
    <t>д. Пальчиха</t>
  </si>
  <si>
    <t>ТП 10/0,4 кВ 042  д. Пальчиха</t>
  </si>
  <si>
    <t>ТП 10/0,4 кВ 041 д. Пальчиха</t>
  </si>
  <si>
    <t>ТП 10/0,4 кВ 040 д. Пальчиха</t>
  </si>
  <si>
    <t>д. Слепниха</t>
  </si>
  <si>
    <t>ТП 10/0,4 кВ 052 д. Слепниха</t>
  </si>
  <si>
    <t>д. Княжово</t>
  </si>
  <si>
    <t>ТП 10/0,4 кВ 050д. Княжово</t>
  </si>
  <si>
    <t>ТП 10/0,4 кВ 049 д. Княжово</t>
  </si>
  <si>
    <t>ТП 10/0,4 кВ 051 д. Княжово</t>
  </si>
  <si>
    <t>д. Сидорково</t>
  </si>
  <si>
    <t>ТП 10/0,4 кВ 043 д. Сидорково</t>
  </si>
  <si>
    <t>ТП 10/0,4 кВ 048 д. Сидорково</t>
  </si>
  <si>
    <t>ТП 10/0,4 кВ 047 д. Сидорково</t>
  </si>
  <si>
    <t>ТП 10/0,4 кВ 046 д. Сидорково</t>
  </si>
  <si>
    <t>ТП 10/0,4 кВ 044 д. Сидорково</t>
  </si>
  <si>
    <t>д. Клевищи</t>
  </si>
  <si>
    <t>ТП 10/0,4 кВ 053 д. Клевищи</t>
  </si>
  <si>
    <t>ТП 10/0,4 кВ 045 д. Сидорково</t>
  </si>
  <si>
    <t>д. Саврасиха</t>
  </si>
  <si>
    <t>ТП 10/0,4 кВ 055 д. Саврасиха</t>
  </si>
  <si>
    <t>ТП 10/0,4 кВ 054 х. Заречье</t>
  </si>
  <si>
    <t>д. Селищи</t>
  </si>
  <si>
    <t>ТП 10/0,4 кВ 056 д. Селищи</t>
  </si>
  <si>
    <t>ТП 10/0,4 кВ 057 д. Горка</t>
  </si>
  <si>
    <t>ТП 10/0,4 кВ 058 д. Горка</t>
  </si>
  <si>
    <t>ТП 10/0,4 кВ 059 д. Горка</t>
  </si>
  <si>
    <t>ТП 10/0,4 кВ 060 д. Горка</t>
  </si>
  <si>
    <t>д. Толоцкое</t>
  </si>
  <si>
    <t>ТП 10/0,4 кВ 061 д. Толоцкое</t>
  </si>
  <si>
    <t>д. Лебедово</t>
  </si>
  <si>
    <t>ТП 10/0,4 кВ 063 д. Лебедово</t>
  </si>
  <si>
    <t>д. Быки</t>
  </si>
  <si>
    <t>ТП 10/0,4 кВ 062 д. Быки</t>
  </si>
  <si>
    <t>д. Ремчино</t>
  </si>
  <si>
    <t>ТП 10/0,4 кВ 064  д. Ремчино</t>
  </si>
  <si>
    <t>д. Дымцево</t>
  </si>
  <si>
    <t>ТП 10/0,4 кВ 065 д. Дымцево</t>
  </si>
  <si>
    <t>ТП 10/0,4 кВ 066 д. Дымцево</t>
  </si>
  <si>
    <t>д. Кожино</t>
  </si>
  <si>
    <t>ТП 10/0,4 кВ 067 д. Кожино</t>
  </si>
  <si>
    <t>ТП 10/0,4 кВ 068 д. Кожино</t>
  </si>
  <si>
    <t>ТП 10/0,4 кВ 069 д. Кожино</t>
  </si>
  <si>
    <t>д. Огрызково</t>
  </si>
  <si>
    <t>ТП 10/0,4 кВ 073 д. Огрызково</t>
  </si>
  <si>
    <t>д. Зараменье</t>
  </si>
  <si>
    <t>ТП 10/0,4 кВ 070 д. Зараменье</t>
  </si>
  <si>
    <t>д. Труфанково</t>
  </si>
  <si>
    <t>ТП 10/0,4 кВ 071 д. Труфанково</t>
  </si>
  <si>
    <t>ТП 10/0,4 кВ 072  д. Труфанково</t>
  </si>
  <si>
    <t>д. Горшково</t>
  </si>
  <si>
    <t>ТП 10/0,4 кВ 074 д. Горшково</t>
  </si>
  <si>
    <t>д. Зародовичи</t>
  </si>
  <si>
    <t>ТП 10/0,4 кВ 075 д. Зародовичи</t>
  </si>
  <si>
    <t>д. Березовка</t>
  </si>
  <si>
    <t>ТП 10/0,4 кВ 076 д. Березовка</t>
  </si>
  <si>
    <t>д. Сельцы</t>
  </si>
  <si>
    <t>ТП 10/0,4 кВ 082 д. Сельцы</t>
  </si>
  <si>
    <t>ТП 10/0,4 кВ 079 д. Сельцы</t>
  </si>
  <si>
    <t>ТП 10/0,4 кВ 081 д. Сельцы</t>
  </si>
  <si>
    <t>ТП 10/0,4 кВ 080 д. Сельцы</t>
  </si>
  <si>
    <t>ТП 10/0,4 кВ 077 д. Сельцы</t>
  </si>
  <si>
    <t>ТП 10/0,4 кВ 078 д. Сельцы</t>
  </si>
  <si>
    <t>д. Скорнево</t>
  </si>
  <si>
    <t>ТП 10/0,4 кВ 084 д. Скорнево</t>
  </si>
  <si>
    <t>ТП 10/0,4 кВ 083 д. Скорнево</t>
  </si>
  <si>
    <t>д. Федорцево</t>
  </si>
  <si>
    <t>ТП 10/0,4 кВ 085 д. Федорцево</t>
  </si>
  <si>
    <t>д. Койвушка</t>
  </si>
  <si>
    <t>ТП 10/0,4 кВ 086 д. Койвушка</t>
  </si>
  <si>
    <t>д. Кочки</t>
  </si>
  <si>
    <t>ТП 10/0,4 кВ 087 д. Кочки</t>
  </si>
  <si>
    <t>п. Труженик</t>
  </si>
  <si>
    <t>ТП 10/0,4 кВ 092 п. Труженик</t>
  </si>
  <si>
    <t>ТП 10/0,4 кВ 093 п. Труженик</t>
  </si>
  <si>
    <t>ТП 10/0,4 кВ 091 п. Труженик</t>
  </si>
  <si>
    <t>ТП 10/0,4 кВ 090 п. Труженик</t>
  </si>
  <si>
    <t>ТП 10/0,4 кВ 089 п. Труженик</t>
  </si>
  <si>
    <t>ТП 10/0,4 кВ 088 п. Труженик</t>
  </si>
  <si>
    <t>2*250</t>
  </si>
  <si>
    <t>д. Спас-Забарежье</t>
  </si>
  <si>
    <t>ТП 10/0,4 кВ 101 д. Спас-Забережье</t>
  </si>
  <si>
    <t>д. Пятницкое</t>
  </si>
  <si>
    <t>ТП 10/0,4 кВ 095 д. Пятницкое</t>
  </si>
  <si>
    <t>д. Афанасово</t>
  </si>
  <si>
    <t>ТП 10/0,4 кВ 097 д. Афанасово</t>
  </si>
  <si>
    <t>д. Юхово</t>
  </si>
  <si>
    <t>ТП 10/0,4 кВ 098 д. Юхово</t>
  </si>
  <si>
    <t>д. Соснушка</t>
  </si>
  <si>
    <t>ТП 10/0,4 кВ 100 д. Соснушка</t>
  </si>
  <si>
    <t>ТП 10/0,4 кВ 096 д. Пятницкое</t>
  </si>
  <si>
    <t>ТП 10/0,4 кВ 099 д. Юхово</t>
  </si>
  <si>
    <t>ТП 10/0,4 кВ 094 д. Пятницкое</t>
  </si>
  <si>
    <t>д. Горячево</t>
  </si>
  <si>
    <t>ТП 10/0,4 кВ 103 д. Горячево</t>
  </si>
  <si>
    <t>д. Конюшено</t>
  </si>
  <si>
    <t>ТП 10/0,4 кВ 102 д. Конюшено</t>
  </si>
  <si>
    <t>д. Воробьево</t>
  </si>
  <si>
    <t>ТП 10/0,4 кВ 104 д. Воробьево</t>
  </si>
  <si>
    <t>д. Шапкино</t>
  </si>
  <si>
    <t>ТП 10/0,4 кВ 105 д. Шапкино</t>
  </si>
  <si>
    <t>д. Киевка</t>
  </si>
  <si>
    <t>ТП 10/0,4 кВ 106 д. Киевка</t>
  </si>
  <si>
    <t>д. Буденовка</t>
  </si>
  <si>
    <t>ТП 10/0,4 кВ 107 д. Буденовка</t>
  </si>
  <si>
    <t>ТП 10/0,4 кВ 108 д. Буденовка</t>
  </si>
  <si>
    <t>д. Гостиница</t>
  </si>
  <si>
    <t>ТП 10/0,4 кВ 109 д. Гостиница</t>
  </si>
  <si>
    <t>ТП 10/0,4 кВ 112 д. Буденовка</t>
  </si>
  <si>
    <t>ТП 10/0,4 кВ 111 д. Буденовка</t>
  </si>
  <si>
    <t>ТП 10/0,4 кВ 113 д. Буденовка</t>
  </si>
  <si>
    <t>ТП 10/0,4 кВ 114 д. Буденовка</t>
  </si>
  <si>
    <t>д. Афимьяново</t>
  </si>
  <si>
    <t>ТП 10/0,4 кВ 115 д. Афимьяново</t>
  </si>
  <si>
    <t>д. Атемежа</t>
  </si>
  <si>
    <t>ТП 10/0,4 кВ 116 д. Атемежа</t>
  </si>
  <si>
    <t>д. Дубищи</t>
  </si>
  <si>
    <t>ТП 10/0,4 кВ 118 д. Дубищи</t>
  </si>
  <si>
    <t>ТП 10/0,4 кВ 119 д. Дубищи</t>
  </si>
  <si>
    <t>д. Лукьяново</t>
  </si>
  <si>
    <t>ТП 10/0,4 кВ 117 д. Лукьяново</t>
  </si>
  <si>
    <t>д. Гуммала</t>
  </si>
  <si>
    <t>ТП 10/0,4 кВ 120 д. Гуммала</t>
  </si>
  <si>
    <t>д. Райда</t>
  </si>
  <si>
    <t>ТП 10/0,4 кВ 122 д. Райда</t>
  </si>
  <si>
    <t>ТП 10/0,4 кВ 121 д. Райда</t>
  </si>
  <si>
    <t>д. Павловское</t>
  </si>
  <si>
    <t>ТП 10/0,4 кВ 123 д. Павловское</t>
  </si>
  <si>
    <t>д. Осташиха</t>
  </si>
  <si>
    <t>ТП 10/0,4 кВ 124 д. Осташиха</t>
  </si>
  <si>
    <t>д. Асташиха</t>
  </si>
  <si>
    <t>ТП 10/0,4 кВ 128 д. Асташиха</t>
  </si>
  <si>
    <t>д. Лощемля</t>
  </si>
  <si>
    <t>ТП 10/0,4 кВ 125 д. Лощемля</t>
  </si>
  <si>
    <t>д. Хребтово</t>
  </si>
  <si>
    <t>ТП 10/0,4 кВ 124 д. Хребтово</t>
  </si>
  <si>
    <t>д. Змеево</t>
  </si>
  <si>
    <t>ТП 10/0,4 кВ 126 д. Змеево</t>
  </si>
  <si>
    <t>д. Пархово</t>
  </si>
  <si>
    <t>ТП 10/0,4 кВ 127 д.Пархово</t>
  </si>
  <si>
    <t>д. Бахарево</t>
  </si>
  <si>
    <t>ТП 10/0,4 кВ 129 д. Бахарево</t>
  </si>
  <si>
    <t>д. Раевское</t>
  </si>
  <si>
    <t>ТП 10/0,4 кВ 130 д. Раевское</t>
  </si>
  <si>
    <t>ТП 10/0,4 кВ 131 д. Раевское</t>
  </si>
  <si>
    <t>ТП 10/0,4 кВ 132 д. Раевское</t>
  </si>
  <si>
    <t>д. Куничиха</t>
  </si>
  <si>
    <t>ТП 10/0,4 кВ 135 д. Куничиха</t>
  </si>
  <si>
    <t>ТП 10/0,4 кВ 138 д. Горшково</t>
  </si>
  <si>
    <t>д. Дмитровка</t>
  </si>
  <si>
    <t>ТП  10/0,4 кВ 141 д. Дмитровка</t>
  </si>
  <si>
    <t>ТП 10/0,4 кВ 136 д. Лощемля</t>
  </si>
  <si>
    <t>д. Ермолино</t>
  </si>
  <si>
    <t>ТП 10/0,4 кВ 137 д. Ермолино</t>
  </si>
  <si>
    <t>д. Столопово</t>
  </si>
  <si>
    <t>ТП 10/0,4 кВ 139 д. Столопово</t>
  </si>
  <si>
    <t>ТП  10/0,4 кВ 140 д. Дмитровка</t>
  </si>
  <si>
    <t>ТП 10/0,4 кВ 143 д. Дмитровка</t>
  </si>
  <si>
    <t>ТП  10/0,4 кВ 142 д. Дмитровка</t>
  </si>
  <si>
    <t>д. Топальское</t>
  </si>
  <si>
    <t>ТП 10/0,4 кВ 144 д. Топальское</t>
  </si>
  <si>
    <t>д. Кондратково</t>
  </si>
  <si>
    <t>ТП 10/0,4 кВ 145 д. Кондратково</t>
  </si>
  <si>
    <t>д. Молчаново</t>
  </si>
  <si>
    <t>ТП 10/0,4 кВ 146 д. Молчаново</t>
  </si>
  <si>
    <t>д. Репинка</t>
  </si>
  <si>
    <t>ТП 10/0,4 кВ 147 д. Репинка</t>
  </si>
  <si>
    <t>д. Красенькое</t>
  </si>
  <si>
    <t>ТП 10/0,4 кВ 148 д. Красненькое</t>
  </si>
  <si>
    <t>д. Ново-Пхово</t>
  </si>
  <si>
    <t>ТП 10/0,4 кВ 149 д. Ново-Пхово</t>
  </si>
  <si>
    <t>ТП 10/0,4 кВ 152 д. Ново-Пхово</t>
  </si>
  <si>
    <t>ТП 10/0,4 кВ 149 д. Горка</t>
  </si>
  <si>
    <t>д. Глебездово</t>
  </si>
  <si>
    <t>ТП 10/0,4 кВ 154 д. Глебездово</t>
  </si>
  <si>
    <t>ТП 10/0,4 кВ 151 д. Ново-Пхово</t>
  </si>
  <si>
    <t>ТП 10/0,4 кВ 153 д. Ново-Пхово</t>
  </si>
  <si>
    <t>д. Дор</t>
  </si>
  <si>
    <t>ТП 10/0,4 кВ 155 д. Дор</t>
  </si>
  <si>
    <t>д. Красуха</t>
  </si>
  <si>
    <t>ТП 10/0,4 кВ 156 д. Красуха</t>
  </si>
  <si>
    <t>ТП 10/0,4 кВ 158 д. Красуха</t>
  </si>
  <si>
    <t>д. Медведково</t>
  </si>
  <si>
    <t>ТП 10/0,4 кВ 160 д. Медведково</t>
  </si>
  <si>
    <t>д. Сутулово</t>
  </si>
  <si>
    <t>ТП 10/0,4 кВ 163 д. Сутулово</t>
  </si>
  <si>
    <t>д. Фофаново</t>
  </si>
  <si>
    <t>ТП 10/0,4 кВ 162 д. Фофаново</t>
  </si>
  <si>
    <t>д. Пономарево</t>
  </si>
  <si>
    <t>ТП 10/0,4 кВ 161 д. Пономарево</t>
  </si>
  <si>
    <t>д. Юренево</t>
  </si>
  <si>
    <t>ТП 10/0,4 кВ 164 д. Юренево</t>
  </si>
  <si>
    <t>п. Ривицкий</t>
  </si>
  <si>
    <t>ТП 10/0,4 кВ 165 п. Ривицкий</t>
  </si>
  <si>
    <t>д. Песогоры</t>
  </si>
  <si>
    <t>ТП 10/0,4 кВ 172 д. Песогоры</t>
  </si>
  <si>
    <t>ТП 10/0,4 кВ 179 д. Райда</t>
  </si>
  <si>
    <t>д. Строкина Гора</t>
  </si>
  <si>
    <t>ТП 10/0,4 кВ 180 д. Строкина Гора</t>
  </si>
  <si>
    <t>д. Иваньково</t>
  </si>
  <si>
    <t>ТП 10/0,4 кВ 181 д. Иваньково</t>
  </si>
  <si>
    <t>д. Острые Луки</t>
  </si>
  <si>
    <t>ТП 10/0,4 кВ 186 д. Острые Луки</t>
  </si>
  <si>
    <t>д. Красное-Боровая</t>
  </si>
  <si>
    <t>ТП 10/0,4 кВ 187 д. Красное-Боровая</t>
  </si>
  <si>
    <t>д. Жуки</t>
  </si>
  <si>
    <t>ТП 10/0,4 кВ 189 д. Жуки</t>
  </si>
  <si>
    <t>д. Долгово</t>
  </si>
  <si>
    <t>ТП 10/0,4 кВ 173 д. Долгово</t>
  </si>
  <si>
    <t>д. Старое</t>
  </si>
  <si>
    <t>ТП 10/0,4 кВ 174 д. Старое</t>
  </si>
  <si>
    <t>д. Гористое</t>
  </si>
  <si>
    <t>ТП 10/0,4 кВ 175 д. Гористое</t>
  </si>
  <si>
    <t>д. Воздвиженка</t>
  </si>
  <si>
    <t>ТП 10/0,4 кВ 176 д. Воздвиженка</t>
  </si>
  <si>
    <t>ТП 10/0,4 кВ 177 д. Воздвиженка</t>
  </si>
  <si>
    <t>д. Шорды</t>
  </si>
  <si>
    <t>ТП 10/0,4 кВ 178 д. Шорды</t>
  </si>
  <si>
    <t>д. Скирки</t>
  </si>
  <si>
    <t>ТП 10/0,4 кВ 183 д. Скирки</t>
  </si>
  <si>
    <t>д. Орешки</t>
  </si>
  <si>
    <t>ТП 10/0,4 кВ 182 д. Орешки</t>
  </si>
  <si>
    <t>ТП 10/0,4 кВ 185 д. Острые Луки</t>
  </si>
  <si>
    <t>д. Пирожково</t>
  </si>
  <si>
    <t>ТП 10/0,4 кВ 191 д. Пирожково</t>
  </si>
  <si>
    <t>д. Русские Плоски</t>
  </si>
  <si>
    <t>ТП 10/0,4 кВ 190 д. Русские Плоски</t>
  </si>
  <si>
    <t>ТП 10/0,4 кВ 184 д. Острые Луки</t>
  </si>
  <si>
    <t>д. Райково</t>
  </si>
  <si>
    <t>ТП 10/0,4 кВ 192 д. Райково</t>
  </si>
  <si>
    <t>ТП 10/0,4 кВ 193 д. Райково</t>
  </si>
  <si>
    <t>ТП 10/0,4 кВ 194 д. Райково</t>
  </si>
  <si>
    <t>д. Кострецы</t>
  </si>
  <si>
    <t>ТП 10/0,4 кВ 200 д. Кострецы</t>
  </si>
  <si>
    <t>ТП 10/0,4 кВ 204 д. Кострецы</t>
  </si>
  <si>
    <t>д. Хомутиха</t>
  </si>
  <si>
    <t>ТП 10/0,4 кВ 211 д. Хомутиха</t>
  </si>
  <si>
    <t>д. Быковка</t>
  </si>
  <si>
    <t>ТП 10/0,4 кВ 209 д. Быковка</t>
  </si>
  <si>
    <t>д. Барсуки</t>
  </si>
  <si>
    <t>ТП 10/0,4 кВ 196 д. Барсуки</t>
  </si>
  <si>
    <t>д. Ветроломы</t>
  </si>
  <si>
    <t>ТП 10/0,4 кВ 198 д. Ветроломы</t>
  </si>
  <si>
    <t>д. Батуриха</t>
  </si>
  <si>
    <t>ТП 10/0,4 кВ 199 д. Батуриха</t>
  </si>
  <si>
    <t>д. Фенюшиха</t>
  </si>
  <si>
    <t>ТП 10/0,4 кВ 197 д. Фенюшиха</t>
  </si>
  <si>
    <t>ТП 10/0,4 кВ 201 д. Кострецы</t>
  </si>
  <si>
    <t>ТП 10/0,4 кВ 203 д. Кострецы</t>
  </si>
  <si>
    <t>ТП 10/0,4 кВ 202 д. Кострецы</t>
  </si>
  <si>
    <t>д. Ферезна</t>
  </si>
  <si>
    <t>ТП 10/0,4 кВ 205 д. Ферезна</t>
  </si>
  <si>
    <t>ТП 10/0,4 кВ 212 д. Хомутиха</t>
  </si>
  <si>
    <t>ТП 10/0,4 кВ 213 д. Хомутиха</t>
  </si>
  <si>
    <t>д. Перевесы</t>
  </si>
  <si>
    <t>ТП 10/0,4 кВ 208 д. Перевесы</t>
  </si>
  <si>
    <t>ТП 10/0,4 кВ 207 д. Перевесы</t>
  </si>
  <si>
    <t>д. Кало-Зверло</t>
  </si>
  <si>
    <t>ТП 10/0,4 кВ 210 д. Кало-Зверло</t>
  </si>
  <si>
    <t>ТП 10/0,4 кВ 214 п. Ривицкий</t>
  </si>
  <si>
    <t>ТП 10/0,4 кВ 215 п. Ривицкий</t>
  </si>
  <si>
    <t>д. Филюзи</t>
  </si>
  <si>
    <t>ТП 10/0,4 кВ 224 д. Филюзи</t>
  </si>
  <si>
    <t>д. Андрониха</t>
  </si>
  <si>
    <t>ТП 10/0,4 кВ 225 д. Андрониха</t>
  </si>
  <si>
    <t>д. Хмелово</t>
  </si>
  <si>
    <t>ТП 10/0,4 кВ 226 д. Хмелево</t>
  </si>
  <si>
    <t>д. Жидкое</t>
  </si>
  <si>
    <t>ТП 10/0,4 кВ 229 д. Жидкое</t>
  </si>
  <si>
    <t>д. Найдениха</t>
  </si>
  <si>
    <t>ТП 10/0,4 кВ 227 д. Найдениха</t>
  </si>
  <si>
    <t>п. Малышево</t>
  </si>
  <si>
    <t>ТП 10/0,4 кВ 218 п. Малышево</t>
  </si>
  <si>
    <t>ТП 10/0,4 кВ 219 п. Малышево</t>
  </si>
  <si>
    <t>ТП 10/0,4 кВ 220 п. Малышево</t>
  </si>
  <si>
    <t>ТП 10/0,4 кВ 221 п. Малышево</t>
  </si>
  <si>
    <t>ТП 10/0,4 кВ 222 п. Малышево</t>
  </si>
  <si>
    <t>ТП 10/0,4 кВ 223 п. Малышево</t>
  </si>
  <si>
    <t>ТП 10/0,4 кВ 228 д. Найдениха</t>
  </si>
  <si>
    <t>д. Кистутово</t>
  </si>
  <si>
    <t>ТП 10/0,4 кВ 230 д. Кистутово</t>
  </si>
  <si>
    <t>ТП 10/0,4 кВ 232 д. Кистутово</t>
  </si>
  <si>
    <t>ТП 10/0,4 кВ 233 д. Кистутово</t>
  </si>
  <si>
    <t>ТП 10/0,4 кВ 235 д. Кистутово</t>
  </si>
  <si>
    <t>ТП 10/0,4 кВ 237 д. Кистутово</t>
  </si>
  <si>
    <t>ТП 10/0,4 кВ 234 д. Кистутово</t>
  </si>
  <si>
    <t>ТП 10/0,4 кВ 236 д. Кистутово</t>
  </si>
  <si>
    <t>д. Столбиха</t>
  </si>
  <si>
    <t>ТП 10/0,4 кВ 238 д. Столбиха</t>
  </si>
  <si>
    <t>ТП 10/0,4 кВ 231 д. Кистутово</t>
  </si>
  <si>
    <t>д. Стрелечье</t>
  </si>
  <si>
    <t>ТП 10/0,4 кВ 242 д. Стрелечье</t>
  </si>
  <si>
    <t>д. Маковищи</t>
  </si>
  <si>
    <t>ТП 10/0,4 кВ 245 д. Маковищи</t>
  </si>
  <si>
    <t>д. Починок</t>
  </si>
  <si>
    <t>ТП 10/0,4 кВ 250 д. Починок</t>
  </si>
  <si>
    <t>д. Колодиха</t>
  </si>
  <si>
    <t>ТП 10/0,4 кВ 239 д. Колодиха</t>
  </si>
  <si>
    <t>д. Николаевское</t>
  </si>
  <si>
    <t>ТП 10/0,4 кВ 241 д. Николаевское</t>
  </si>
  <si>
    <t>д. Николаеское</t>
  </si>
  <si>
    <t>ТП 10/0,4 кВ 240 д. Николаевское</t>
  </si>
  <si>
    <t>д. Гарусово</t>
  </si>
  <si>
    <t>ТП 10/0,4 кВ 243 д. Гарусово</t>
  </si>
  <si>
    <t>ТП 10/0,4 кВ 244 д. Гарусово</t>
  </si>
  <si>
    <t>д. Каменка</t>
  </si>
  <si>
    <t>ТП 10/0,4 кВ 246 д. Каменка</t>
  </si>
  <si>
    <t>ТП 10/0,4 кВ 248 д. Каменка</t>
  </si>
  <si>
    <t>ТП 10/0,4 кВ 249 д. Каменка</t>
  </si>
  <si>
    <t>д. Шенево</t>
  </si>
  <si>
    <t>ТП 10/0,4 кВ 251 д. Шенево</t>
  </si>
  <si>
    <t>ТП 10/0,4 кВ 247 д. Каменка</t>
  </si>
  <si>
    <t>д. Райдино</t>
  </si>
  <si>
    <t>ТП 10/0,4 кВ 273 д. Райдино</t>
  </si>
  <si>
    <t>д. Чикулиха</t>
  </si>
  <si>
    <t>ТП 10/0,4 кВ 272 д. Чикулиха</t>
  </si>
  <si>
    <t>д. Фомино</t>
  </si>
  <si>
    <t>ТП 10/0,4 кВ 271 д. Фомино</t>
  </si>
  <si>
    <t>д. Андрианиха</t>
  </si>
  <si>
    <t>ТП 10/0,4 кВ 270 д. Андрианиха</t>
  </si>
  <si>
    <t>д. Ежино</t>
  </si>
  <si>
    <t>ТП 10/0,4 кВ 269 д. Ежино</t>
  </si>
  <si>
    <t>д. Тимонино</t>
  </si>
  <si>
    <t>ТП10/0,4 кВ  262 Тимонино</t>
  </si>
  <si>
    <t>д. Русский Городок</t>
  </si>
  <si>
    <t>ТП 10/0,4 кВ 261 д. Русский Городок</t>
  </si>
  <si>
    <t>ТП 10/0,4 кВ 257 п. Малышево</t>
  </si>
  <si>
    <t>д. Астафьево</t>
  </si>
  <si>
    <t>ТП 10/0,4 кВ 264 д. Астафьево</t>
  </si>
  <si>
    <t>д. Ивановское</t>
  </si>
  <si>
    <t>ТП 10/0,4 кВ 265 д. Ивановское</t>
  </si>
  <si>
    <t>х. Луначарское</t>
  </si>
  <si>
    <t>ТП 10/0,4 кВ 263 х. Луначарское</t>
  </si>
  <si>
    <t>д. Макеевское</t>
  </si>
  <si>
    <t>ТП 10/0,4 кВ 266 д. Макеевское</t>
  </si>
  <si>
    <t>ТП 10/0,4 кВ 267 д. Макеевское</t>
  </si>
  <si>
    <t>ТП 10/0,4 кВ 259 п. Малышево</t>
  </si>
  <si>
    <t>д. Трестна</t>
  </si>
  <si>
    <t>ТП 10/0,4 кВ 275 д. Трестна</t>
  </si>
  <si>
    <t>ТП 10/0,4 кВ 276 д. Трестна</t>
  </si>
  <si>
    <t>ТП 10/0,4 кВ 274 д. Трестна</t>
  </si>
  <si>
    <t>д. Клевцово</t>
  </si>
  <si>
    <t>ТП 10/0,4 кВ 277 д. Клевцово</t>
  </si>
  <si>
    <t>д. Каликино</t>
  </si>
  <si>
    <t>ТП 10/0,4 кВ 280 д. Каликино</t>
  </si>
  <si>
    <t>Трестенская туббольница</t>
  </si>
  <si>
    <t>ТП 10/0,4 кВ 283 Туббольница</t>
  </si>
  <si>
    <t>д. Великое Село</t>
  </si>
  <si>
    <t>ТП 10/0,4 кВ 282 д. Великое Село</t>
  </si>
  <si>
    <t>д. Рамешки</t>
  </si>
  <si>
    <t>ТП 10/0,4 кВ 281 д. Рамешки</t>
  </si>
  <si>
    <t>д. Данилково</t>
  </si>
  <si>
    <t>ТП 10/0,4 кВ 279 д. Данилково</t>
  </si>
  <si>
    <t>д. Кондушка</t>
  </si>
  <si>
    <t>ТП 10/0,4 кВ 278 д. Кондушка</t>
  </si>
  <si>
    <t>д. Лодки</t>
  </si>
  <si>
    <t>ТП 10/0,4 кВ 285 д. Лодки</t>
  </si>
  <si>
    <t>д. Антипково</t>
  </si>
  <si>
    <t>ТП 10/0,4 кВ 292 д. Антипково</t>
  </si>
  <si>
    <t>д. Ванькин Бор</t>
  </si>
  <si>
    <t>ТП 10/0,4 кВ 291 д. Ванькин Бор</t>
  </si>
  <si>
    <t>д. Жуковец</t>
  </si>
  <si>
    <t>ТП 10/0,4 кВ 290 д. Жуковец</t>
  </si>
  <si>
    <t>д. Антонидово</t>
  </si>
  <si>
    <t>ТП 10/0,4 кВ 284 д. Антонидово</t>
  </si>
  <si>
    <t>д. Ключевая</t>
  </si>
  <si>
    <t>ТП 10/0,4 кВ 286 д. Ключевая</t>
  </si>
  <si>
    <t>ТП 10/0,4 кВ 288 д. Ключевая</t>
  </si>
  <si>
    <t>ТП 10/0,4 кВ 287д. Ключевая</t>
  </si>
  <si>
    <t>ТП 10/0,4 кВ 289 д. Ключевая</t>
  </si>
  <si>
    <t>ТП 10/0,4 кВ 293 д. Трестна</t>
  </si>
  <si>
    <t>ТП 10/0,4 кВ 294 д. Трестна</t>
  </si>
  <si>
    <t>д. Вышка</t>
  </si>
  <si>
    <t>ТП 10/0,4 кВ 295 д. Вышка</t>
  </si>
  <si>
    <t>д. Жижино</t>
  </si>
  <si>
    <t>ТП 10/0,4 кВ 296 д. Жижино</t>
  </si>
  <si>
    <t>д. Кузнецы</t>
  </si>
  <si>
    <t>ТП 10/0,4 кВ 301 д. Кузнецы</t>
  </si>
  <si>
    <t>ТП 10/0,4 кВ 303 д. Рыбинское Заручье</t>
  </si>
  <si>
    <t>ТП 10/0,4 кВ 302 д. Рыбинское Заручье</t>
  </si>
  <si>
    <t>ТП 10/0,4 кВ 299 д. Рыбинское Заручье</t>
  </si>
  <si>
    <t>ТП 10/0,4 кВ 300 д. Рыбинское Заручье</t>
  </si>
  <si>
    <t>ТП 10/0,4 кВ 298 д. Рыбинское Заручье</t>
  </si>
  <si>
    <t>ТП 10/0,4 кВ 297 д. Рыбинское Заручье</t>
  </si>
  <si>
    <t>д. Фабрика</t>
  </si>
  <si>
    <t>ТП 10/0,4 кВ 304 д. Фабрика</t>
  </si>
  <si>
    <t>д. Горка-Паржа</t>
  </si>
  <si>
    <t>ТП 10/0,4 кВ 323 д. Горка-Паржа</t>
  </si>
  <si>
    <t>д. Мокшицы</t>
  </si>
  <si>
    <t>ТП 10/0,4 кВ 328 д. Мокшицы</t>
  </si>
  <si>
    <t>д. Загородье</t>
  </si>
  <si>
    <t>ТП 10/0,4 кВ 325 д. Загородье</t>
  </si>
  <si>
    <t>д. Ломы</t>
  </si>
  <si>
    <t>ТП 10/0,4 кВ 312 д. Ломы</t>
  </si>
  <si>
    <t>ТП 10/0,4 кВ 311 д. Ломы</t>
  </si>
  <si>
    <t>д. Поповка</t>
  </si>
  <si>
    <t>ТП 10/0,4 кВ 310 д. Поповка</t>
  </si>
  <si>
    <t>ТП 10/0,4 кВ 332 д. Фабрика</t>
  </si>
  <si>
    <t>ТП 10/0,4 кВ 307 д. Фабрика</t>
  </si>
  <si>
    <t>ТП 10/0,4 кВ 309 д. Фабрика</t>
  </si>
  <si>
    <t>ТП 10/0,4 кВ 313 д. Фабрика</t>
  </si>
  <si>
    <t>д. Преображение</t>
  </si>
  <si>
    <t>ТП 10/0,4 кВ 314 д. Преображение</t>
  </si>
  <si>
    <t>д. Ручки</t>
  </si>
  <si>
    <t>ТП 10/0,4 кВ 316 д. Ручки</t>
  </si>
  <si>
    <t>ТП 10/0,4 кВ 317 д. Ручки</t>
  </si>
  <si>
    <t>ТП 10/0,4 кВ 319 д. Ручки</t>
  </si>
  <si>
    <t>ТП 10/0,4 кВ 320 д. Ручки</t>
  </si>
  <si>
    <t>ТП 10/0,4 кВ 321 д. Ручки</t>
  </si>
  <si>
    <t>ТП 10/0,4 кВ 318 д. Ручки</t>
  </si>
  <si>
    <t>ТП 10/0,4 кВ 315 д. Ручки</t>
  </si>
  <si>
    <t>д. Ямники</t>
  </si>
  <si>
    <t>ТП 10/0,4 кВ 322 д. Ямники</t>
  </si>
  <si>
    <t>д. Хабары</t>
  </si>
  <si>
    <t>ТП 10/0,4 кВ 324 д. Хабары</t>
  </si>
  <si>
    <t>ТП 10/0,4 кВ 326 д. Загородье</t>
  </si>
  <si>
    <t>д. Житники</t>
  </si>
  <si>
    <t>ТП 10/0,4 кВ 330 д. Житники</t>
  </si>
  <si>
    <t>д. Григорово</t>
  </si>
  <si>
    <t>ТП 10/0,4 кВ 252 д. Григорово</t>
  </si>
  <si>
    <t>ТП 10/0,4 кВ 253 д. Вороново</t>
  </si>
  <si>
    <t>д. Покров</t>
  </si>
  <si>
    <t>ТП 10/0,4 кВ 254 д. Покров</t>
  </si>
  <si>
    <t>п. Максатиха</t>
  </si>
  <si>
    <t>КТП-10кВ №53 "Сергеева"п.Максатиха</t>
  </si>
  <si>
    <t>КТП-10 кВ №15"Краснослободск"п.Максатиха</t>
  </si>
  <si>
    <t>КТП-10 кВ №36 "База МУПЖКХ"п.Максатиха</t>
  </si>
  <si>
    <t>КТП-10 кВ №49 "Солнечный"п.Максатиха</t>
  </si>
  <si>
    <t>ЗТП-10кВ №31 "Школа"п.Максатиха</t>
  </si>
  <si>
    <t>КТП-10 кВ №55 "М-н Южный"п.Максатиха</t>
  </si>
  <si>
    <t>ЗТП-10кВ №34 "Чистякова"п.Максатиха</t>
  </si>
  <si>
    <t>ЗТП-10кВ №7"Колхозная"п.Максатиха</t>
  </si>
  <si>
    <t>КТП-10 кВ №1 "Льносемстанция"п.Максатиха</t>
  </si>
  <si>
    <t>КТП-10 кВ №59 "Дома офиц"п.Максатиха</t>
  </si>
  <si>
    <t>КТП-10 кВ №11 "Санаторная"п.Максатиха</t>
  </si>
  <si>
    <t>ЗТП-10кВ №2"РИТО,Сельхозтех"п.Максатиха</t>
  </si>
  <si>
    <t>ЗТП-10кВ №8 "Василенкова"п.Максатиха</t>
  </si>
  <si>
    <t>ЗТПП-10кВ №9 "Пионерская"п.Максатиха</t>
  </si>
  <si>
    <t>ЗТПП-10кВ №46 "Восточная"п.Максатиха</t>
  </si>
  <si>
    <t>ЗТП-10кВ №10 "Ресторан"п.Максатиха</t>
  </si>
  <si>
    <t>ЗТП-10кВ №54 "Овчарня"п.Максатиха</t>
  </si>
  <si>
    <t>КТП-10 кВ №60 "Звездная"п.Максатиха</t>
  </si>
  <si>
    <t>КТП-10 кВ №18 "РСУ",Баня п.Максатиха</t>
  </si>
  <si>
    <t>КТП-10 кВ №6 "Полярная"п.Максатиха</t>
  </si>
  <si>
    <t>КТП-10 кВ №24 "Типография"п.Максатиха</t>
  </si>
  <si>
    <t>КТП-10 кВ №32 "Свинарник"п.Максатиха</t>
  </si>
  <si>
    <t>ЗТП-10кВ №16 "Заводская"п.Максатиха</t>
  </si>
  <si>
    <t>ЗТП-10кВ №19 "Клуб Калинина"п.Максатиха</t>
  </si>
  <si>
    <t>ЗТП-10кВ №26 "Смирнова"п.Максатиха</t>
  </si>
  <si>
    <t>ЗТП-10кВ №20 "Северная"п.Максатиха</t>
  </si>
  <si>
    <t>ЗТП-10кВ №21"Ткацкая Фабрика"п.Максатиха</t>
  </si>
  <si>
    <t>КТП-10 кВ №42 "Лыжная База"п.Максатиха</t>
  </si>
  <si>
    <t xml:space="preserve"> 1x630</t>
  </si>
  <si>
    <t xml:space="preserve"> 1x180</t>
  </si>
  <si>
    <t>ЗТП-10кВ Новоселки школа</t>
  </si>
  <si>
    <t>д.Зубовка</t>
  </si>
  <si>
    <t>КТП 10кВ д.Зубовка</t>
  </si>
  <si>
    <t>д. Замошье</t>
  </si>
  <si>
    <t>д.Семеново Село</t>
  </si>
  <si>
    <t>д. Нехина Гора</t>
  </si>
  <si>
    <t>д. Коммуна</t>
  </si>
  <si>
    <t>д. Куряево</t>
  </si>
  <si>
    <t>д. Краклово</t>
  </si>
  <si>
    <t>д. Старый Сиг</t>
  </si>
  <si>
    <t>д. Вязовня</t>
  </si>
  <si>
    <t>д. Шедыки</t>
  </si>
  <si>
    <t>д. Польки</t>
  </si>
  <si>
    <t>д. Ясенское</t>
  </si>
  <si>
    <t>д. Жулево</t>
  </si>
  <si>
    <t>д. Ронское</t>
  </si>
  <si>
    <t>д. Радухово</t>
  </si>
  <si>
    <t>д. Кожурица</t>
  </si>
  <si>
    <t>д. Поребрица</t>
  </si>
  <si>
    <t>д. Кислиха</t>
  </si>
  <si>
    <t>д. Носовицы</t>
  </si>
  <si>
    <t>д. Глубокое</t>
  </si>
  <si>
    <t xml:space="preserve"> д. Давыдово</t>
  </si>
  <si>
    <t>д. Пихтень</t>
  </si>
  <si>
    <t>д. Дубье</t>
  </si>
  <si>
    <t>д. Дубские Хутора</t>
  </si>
  <si>
    <t>д. Хитино</t>
  </si>
  <si>
    <t>д. Любимка</t>
  </si>
  <si>
    <t>д. Верх.Рудины</t>
  </si>
  <si>
    <t>д. Горбово</t>
  </si>
  <si>
    <t>д. Калище</t>
  </si>
  <si>
    <t>д. Сиговка</t>
  </si>
  <si>
    <t>1х320+1х400</t>
  </si>
  <si>
    <t>д. Алкатово</t>
  </si>
  <si>
    <t>д. Буковичи</t>
  </si>
  <si>
    <t>д. Кулатово</t>
  </si>
  <si>
    <t>д. Мухино Село</t>
  </si>
  <si>
    <t>д. Озерки</t>
  </si>
  <si>
    <t>д. Дулово</t>
  </si>
  <si>
    <t>д. Нелегино</t>
  </si>
  <si>
    <t>д. Жук</t>
  </si>
  <si>
    <t>д. Язово</t>
  </si>
  <si>
    <t>д. Раменье</t>
  </si>
  <si>
    <t>д. Крутец</t>
  </si>
  <si>
    <t>д. Заболотье</t>
  </si>
  <si>
    <t>д. Гладкое</t>
  </si>
  <si>
    <t>д. Косарово</t>
  </si>
  <si>
    <t>д. Маслово</t>
  </si>
  <si>
    <t xml:space="preserve">д. Студенец </t>
  </si>
  <si>
    <t>д. Выселок</t>
  </si>
  <si>
    <t xml:space="preserve"> д. Покровское</t>
  </si>
  <si>
    <t xml:space="preserve">д. Занепречье </t>
  </si>
  <si>
    <t>д. Городище</t>
  </si>
  <si>
    <t>д. М. и Б. Лохово</t>
  </si>
  <si>
    <t>д. Слобода</t>
  </si>
  <si>
    <t>д. Заборье</t>
  </si>
  <si>
    <t>д. Конец</t>
  </si>
  <si>
    <t>д. Ботово</t>
  </si>
  <si>
    <t>д. Звягино</t>
  </si>
  <si>
    <t>д. Дроздово</t>
  </si>
  <si>
    <t>д. Жданское</t>
  </si>
  <si>
    <t>д. Жабье</t>
  </si>
  <si>
    <t>д. Картунь</t>
  </si>
  <si>
    <t>д. Петровщина</t>
  </si>
  <si>
    <t>д. Залучье</t>
  </si>
  <si>
    <t>д. Жегалово</t>
  </si>
  <si>
    <t>д. Дубово</t>
  </si>
  <si>
    <t>д. Климова Гора</t>
  </si>
  <si>
    <t>д. Сальниковщина</t>
  </si>
  <si>
    <t>д. Волоховщина</t>
  </si>
  <si>
    <t>д. Бородино</t>
  </si>
  <si>
    <t>д. Задубье</t>
  </si>
  <si>
    <t>д. Заплавье</t>
  </si>
  <si>
    <t>д. Заузье</t>
  </si>
  <si>
    <t>д. Поселье</t>
  </si>
  <si>
    <t>д. Дубровка</t>
  </si>
  <si>
    <t>д. Могилево</t>
  </si>
  <si>
    <t>д. Корпово</t>
  </si>
  <si>
    <t>д. Вятка</t>
  </si>
  <si>
    <t>д. Сосница</t>
  </si>
  <si>
    <t>д. Овинец</t>
  </si>
  <si>
    <t>д. Матерово</t>
  </si>
  <si>
    <t>д. Заборки</t>
  </si>
  <si>
    <t>д. Гуща</t>
  </si>
  <si>
    <t>д. Шиловка</t>
  </si>
  <si>
    <t>д. Старое Село</t>
  </si>
  <si>
    <t>д. Ивановщина</t>
  </si>
  <si>
    <t>д. Тарасово</t>
  </si>
  <si>
    <t>д. Барутино</t>
  </si>
  <si>
    <t>д. Анушино</t>
  </si>
  <si>
    <t>д. Гринино</t>
  </si>
  <si>
    <t>д. Березово</t>
  </si>
  <si>
    <t>д. Котчище</t>
  </si>
  <si>
    <t>д. Мошенка</t>
  </si>
  <si>
    <t>д. Б. Веретье</t>
  </si>
  <si>
    <t>д. М. Веретье</t>
  </si>
  <si>
    <t>д. Глебово</t>
  </si>
  <si>
    <t>д. Городец</t>
  </si>
  <si>
    <t>д.Сухая Нива</t>
  </si>
  <si>
    <t>д.Нижние Котицы</t>
  </si>
  <si>
    <t>д.Верх. Котицы</t>
  </si>
  <si>
    <t>д.Пески, Ляпино</t>
  </si>
  <si>
    <t>д.Пущина Гора</t>
  </si>
  <si>
    <t>д.Машугина Гора</t>
  </si>
  <si>
    <t>База РЭС</t>
  </si>
  <si>
    <t>п. Пено</t>
  </si>
  <si>
    <t>п. Жукопа</t>
  </si>
  <si>
    <t>д. Кречетово</t>
  </si>
  <si>
    <t>д. Горовастица</t>
  </si>
  <si>
    <t>д. Сергеево</t>
  </si>
  <si>
    <t>д. Ветожетка</t>
  </si>
  <si>
    <t>д. Середка</t>
  </si>
  <si>
    <t>д. Мизиново</t>
  </si>
  <si>
    <t xml:space="preserve">д. Починок </t>
  </si>
  <si>
    <t>д. Нечаевщина</t>
  </si>
  <si>
    <t>д. Квашнино</t>
  </si>
  <si>
    <t>д. Олений рог</t>
  </si>
  <si>
    <t>д. Вселуки</t>
  </si>
  <si>
    <t>д. Подлядье</t>
  </si>
  <si>
    <t>д. Заево</t>
  </si>
  <si>
    <t>д. Переходовец</t>
  </si>
  <si>
    <t>д. Лопатино</t>
  </si>
  <si>
    <t>д. Орлинка</t>
  </si>
  <si>
    <t>д. Теплень</t>
  </si>
  <si>
    <t>д. Косицкое</t>
  </si>
  <si>
    <t>д. Синцово</t>
  </si>
  <si>
    <t>д. Ширково</t>
  </si>
  <si>
    <t>д. Наумово</t>
  </si>
  <si>
    <t>д. Адворица</t>
  </si>
  <si>
    <t>п. Соблаго</t>
  </si>
  <si>
    <t>д. Лауга</t>
  </si>
  <si>
    <t>д. Маринница</t>
  </si>
  <si>
    <t>д. Борки</t>
  </si>
  <si>
    <t>п. Охват</t>
  </si>
  <si>
    <t>д. Бдынь</t>
  </si>
  <si>
    <t>д. Пустошка</t>
  </si>
  <si>
    <t>д. Заборовка-Уткино</t>
  </si>
  <si>
    <t>д. Заборовка-Кожевенная</t>
  </si>
  <si>
    <t>д. Битуха</t>
  </si>
  <si>
    <t>д. Загородечье</t>
  </si>
  <si>
    <t>д. Мосты</t>
  </si>
  <si>
    <t>д. Полово</t>
  </si>
  <si>
    <t>д. Бервенец</t>
  </si>
  <si>
    <t>д. Ляды</t>
  </si>
  <si>
    <t>д. Красное утро</t>
  </si>
  <si>
    <t>д. Кудь</t>
  </si>
  <si>
    <t>д. Кобенево</t>
  </si>
  <si>
    <t>д. Боровое</t>
  </si>
  <si>
    <t>д. Забелино</t>
  </si>
  <si>
    <t>д. Гора</t>
  </si>
  <si>
    <t>д. Торг</t>
  </si>
  <si>
    <t>д. Старое-Борки</t>
  </si>
  <si>
    <t>д. Слаутино</t>
  </si>
  <si>
    <t>д. Новоселок</t>
  </si>
  <si>
    <t>п. Крутик</t>
  </si>
  <si>
    <t>д. Корено-Княжево</t>
  </si>
  <si>
    <t>д. Корено-Бубново</t>
  </si>
  <si>
    <t>д. Тимохино</t>
  </si>
  <si>
    <t>д. Астратово</t>
  </si>
  <si>
    <t>д. Петрово</t>
  </si>
  <si>
    <t>д. Новинка</t>
  </si>
  <si>
    <t>п. Рунский</t>
  </si>
  <si>
    <t>д. Переволока</t>
  </si>
  <si>
    <t>д. Колпино</t>
  </si>
  <si>
    <t>д. Витьбино</t>
  </si>
  <si>
    <t>д. Осечно</t>
  </si>
  <si>
    <t>д. Москва</t>
  </si>
  <si>
    <t>д. Октябрьское</t>
  </si>
  <si>
    <t>д. Суханы</t>
  </si>
  <si>
    <t>д. Ордоникольское</t>
  </si>
  <si>
    <t>д. Гора-Плоское</t>
  </si>
  <si>
    <t>д. Залуковье</t>
  </si>
  <si>
    <t>д. Рябкино</t>
  </si>
  <si>
    <t>д. Поляны</t>
  </si>
  <si>
    <t>д. Гари</t>
  </si>
  <si>
    <t>д. Лебедево</t>
  </si>
  <si>
    <t>д. Заселица</t>
  </si>
  <si>
    <t>д. Погорелица</t>
  </si>
  <si>
    <t>д. Лугово</t>
  </si>
  <si>
    <t>с. Ворошилово</t>
  </si>
  <si>
    <t>д. Переволока-Беляево</t>
  </si>
  <si>
    <t>д. Антуфьево</t>
  </si>
  <si>
    <t>д. Целпаны</t>
  </si>
  <si>
    <t>д. Кузнечково</t>
  </si>
  <si>
    <t>д. Мошары</t>
  </si>
  <si>
    <t>д. Минькино</t>
  </si>
  <si>
    <t>д. Озерцы</t>
  </si>
  <si>
    <t>д. Грылево</t>
  </si>
  <si>
    <t>д. Колобово</t>
  </si>
  <si>
    <t>д. Митино</t>
  </si>
  <si>
    <t>Рамешковский</t>
  </si>
  <si>
    <t xml:space="preserve"> ТСН №1 РЭС</t>
  </si>
  <si>
    <t>п.Рамешки</t>
  </si>
  <si>
    <t>Лесхоз</t>
  </si>
  <si>
    <t>д. Борутино</t>
  </si>
  <si>
    <t>Борутино</t>
  </si>
  <si>
    <t>Борутино-ЗСП</t>
  </si>
  <si>
    <t>Борутино-Мастерские</t>
  </si>
  <si>
    <t>СХТ</t>
  </si>
  <si>
    <t xml:space="preserve"> Высоково</t>
  </si>
  <si>
    <t>д.Мощёново</t>
  </si>
  <si>
    <t xml:space="preserve"> Мощеново-ПСЛВ</t>
  </si>
  <si>
    <t>Мощеново-Свинарник</t>
  </si>
  <si>
    <t>д.Лощино</t>
  </si>
  <si>
    <t xml:space="preserve"> Лощино</t>
  </si>
  <si>
    <t>Лощино-ЖК</t>
  </si>
  <si>
    <t xml:space="preserve"> Боброво</t>
  </si>
  <si>
    <t>Денисово</t>
  </si>
  <si>
    <t>д.Мохнецы</t>
  </si>
  <si>
    <t xml:space="preserve"> Мохнецы</t>
  </si>
  <si>
    <t>д.Могилки</t>
  </si>
  <si>
    <t xml:space="preserve"> Могилки</t>
  </si>
  <si>
    <t xml:space="preserve"> Пальцево</t>
  </si>
  <si>
    <t>д.Гришутино</t>
  </si>
  <si>
    <t>Гришутино</t>
  </si>
  <si>
    <t xml:space="preserve"> Александрово коттеджи</t>
  </si>
  <si>
    <t>д.Косково</t>
  </si>
  <si>
    <t xml:space="preserve"> Косково-Ферма</t>
  </si>
  <si>
    <t>Косково-водокачка</t>
  </si>
  <si>
    <t xml:space="preserve"> Косково-коттеджи</t>
  </si>
  <si>
    <t>д. Селище</t>
  </si>
  <si>
    <t xml:space="preserve"> Селище</t>
  </si>
  <si>
    <t xml:space="preserve"> Ильино</t>
  </si>
  <si>
    <t xml:space="preserve"> Кузнецово</t>
  </si>
  <si>
    <t xml:space="preserve"> Прислон-Ферма</t>
  </si>
  <si>
    <t xml:space="preserve"> Прудово-ЗСП</t>
  </si>
  <si>
    <t xml:space="preserve"> Прудово-Быково</t>
  </si>
  <si>
    <t>Прудово-ферма</t>
  </si>
  <si>
    <t>д.Ошвино</t>
  </si>
  <si>
    <t xml:space="preserve"> Ошвино</t>
  </si>
  <si>
    <t xml:space="preserve"> Соколово</t>
  </si>
  <si>
    <t xml:space="preserve"> Заря-ЗСП</t>
  </si>
  <si>
    <t>Заря</t>
  </si>
  <si>
    <t>д.Твердятино</t>
  </si>
  <si>
    <t xml:space="preserve"> Твердятино</t>
  </si>
  <si>
    <t>д.Жихнёво</t>
  </si>
  <si>
    <t xml:space="preserve"> Жихнёво</t>
  </si>
  <si>
    <t xml:space="preserve"> Городок "мастерские"</t>
  </si>
  <si>
    <t xml:space="preserve"> Городок</t>
  </si>
  <si>
    <t>Городок-ЖК</t>
  </si>
  <si>
    <t xml:space="preserve"> д.Леоново</t>
  </si>
  <si>
    <t xml:space="preserve"> Леоново</t>
  </si>
  <si>
    <t>д.Горолысово</t>
  </si>
  <si>
    <t>Горолысово</t>
  </si>
  <si>
    <t xml:space="preserve"> Медведица-АВМ</t>
  </si>
  <si>
    <t>д.Коптино</t>
  </si>
  <si>
    <t>Коптино</t>
  </si>
  <si>
    <t xml:space="preserve"> Медведица</t>
  </si>
  <si>
    <t>Баскаки</t>
  </si>
  <si>
    <t xml:space="preserve"> Новиково</t>
  </si>
  <si>
    <t>Новиково-ЖК</t>
  </si>
  <si>
    <t>д. Ново-Михнево</t>
  </si>
  <si>
    <t xml:space="preserve"> Ново-Михнево</t>
  </si>
  <si>
    <t>д.Берег</t>
  </si>
  <si>
    <t xml:space="preserve"> Берег</t>
  </si>
  <si>
    <t xml:space="preserve"> Берег-ЖК</t>
  </si>
  <si>
    <t xml:space="preserve"> Морозово</t>
  </si>
  <si>
    <t>д.Летнево</t>
  </si>
  <si>
    <t xml:space="preserve"> Летнево-Сельниково</t>
  </si>
  <si>
    <t>д.Застолбье</t>
  </si>
  <si>
    <t xml:space="preserve"> Застолбье 1</t>
  </si>
  <si>
    <t xml:space="preserve"> Летнево-ЖК</t>
  </si>
  <si>
    <t xml:space="preserve"> Льнозавод</t>
  </si>
  <si>
    <t xml:space="preserve"> Городковский</t>
  </si>
  <si>
    <t xml:space="preserve"> д.Ручьи</t>
  </si>
  <si>
    <t xml:space="preserve"> Ручьи</t>
  </si>
  <si>
    <t xml:space="preserve">п.Рамешки </t>
  </si>
  <si>
    <t>п.Рамешки очистные</t>
  </si>
  <si>
    <t>д.Плоское</t>
  </si>
  <si>
    <t>Шуя-Плоское</t>
  </si>
  <si>
    <t xml:space="preserve">д.Пустораменка </t>
  </si>
  <si>
    <t>Пустораменка ЗСП1</t>
  </si>
  <si>
    <t>Пустораменка ЗСП2</t>
  </si>
  <si>
    <t>Пустораменка кот-ная</t>
  </si>
  <si>
    <t>Пустораменка ЖК</t>
  </si>
  <si>
    <t>Пустораменка</t>
  </si>
  <si>
    <t>д.Негочево</t>
  </si>
  <si>
    <t>Негочево</t>
  </si>
  <si>
    <t>д.Корневка</t>
  </si>
  <si>
    <t>Корневка</t>
  </si>
  <si>
    <t>д.Алхимково</t>
  </si>
  <si>
    <t>Алхимково</t>
  </si>
  <si>
    <t>д.Комариха</t>
  </si>
  <si>
    <t>Комариха</t>
  </si>
  <si>
    <t>Дуброво</t>
  </si>
  <si>
    <t xml:space="preserve">д.Лаврово </t>
  </si>
  <si>
    <t>Лаврово ферма</t>
  </si>
  <si>
    <t xml:space="preserve">Лаврово </t>
  </si>
  <si>
    <t xml:space="preserve">д.Кузьминка </t>
  </si>
  <si>
    <t xml:space="preserve">Кузьминка </t>
  </si>
  <si>
    <t xml:space="preserve">д.Некрасово </t>
  </si>
  <si>
    <t>Некрасово ДК</t>
  </si>
  <si>
    <t>Некрасово ЗСП</t>
  </si>
  <si>
    <t>д.Цицеруха</t>
  </si>
  <si>
    <t>Цицеруха</t>
  </si>
  <si>
    <t>д.Гоголиха</t>
  </si>
  <si>
    <t>Гоголиха</t>
  </si>
  <si>
    <t>д.Ровное</t>
  </si>
  <si>
    <t>Ровное</t>
  </si>
  <si>
    <t>Жилая зона МКМ (2х400)</t>
  </si>
  <si>
    <t xml:space="preserve">Ц.Р.Б.   </t>
  </si>
  <si>
    <t>ул.Луговая</t>
  </si>
  <si>
    <t xml:space="preserve">Школа-2   (2х100) </t>
  </si>
  <si>
    <t>Молзавод</t>
  </si>
  <si>
    <t>ТСН № 2 РЭС</t>
  </si>
  <si>
    <t>Новое</t>
  </si>
  <si>
    <t xml:space="preserve">д.Мощёново </t>
  </si>
  <si>
    <t>Мощёново ЖК 1</t>
  </si>
  <si>
    <t>Мощёново ЖК 2</t>
  </si>
  <si>
    <t>Гнездилово</t>
  </si>
  <si>
    <t>Гнездилово хим. склад</t>
  </si>
  <si>
    <t xml:space="preserve">д.Селище </t>
  </si>
  <si>
    <t>Селище № 2</t>
  </si>
  <si>
    <t>д.Сельница</t>
  </si>
  <si>
    <t>с/т Сельница</t>
  </si>
  <si>
    <t>д.Цепелиха</t>
  </si>
  <si>
    <t>Цепелиха</t>
  </si>
  <si>
    <t>д.Ловцово</t>
  </si>
  <si>
    <t>Ловцово</t>
  </si>
  <si>
    <t>д.Агафониха</t>
  </si>
  <si>
    <t>Агафониха</t>
  </si>
  <si>
    <t>Сельково</t>
  </si>
  <si>
    <t xml:space="preserve">д.Замытье </t>
  </si>
  <si>
    <t>Замытье мастерская</t>
  </si>
  <si>
    <t>Замытье больница</t>
  </si>
  <si>
    <t>д.Лахино</t>
  </si>
  <si>
    <t>Лахино</t>
  </si>
  <si>
    <t>Лахино-2</t>
  </si>
  <si>
    <t>д.Рамень</t>
  </si>
  <si>
    <t>Рамень</t>
  </si>
  <si>
    <t>д.Вересково</t>
  </si>
  <si>
    <t>Вересково</t>
  </si>
  <si>
    <t>д.Шеломец</t>
  </si>
  <si>
    <t>Шеломец</t>
  </si>
  <si>
    <t>с.Николькое</t>
  </si>
  <si>
    <t>Николькое</t>
  </si>
  <si>
    <t>д.Слободиха</t>
  </si>
  <si>
    <t>Слободиха</t>
  </si>
  <si>
    <t>д.Филиха</t>
  </si>
  <si>
    <t>Филиха</t>
  </si>
  <si>
    <t>Никольское ЗСП</t>
  </si>
  <si>
    <t>Никольское пилорама</t>
  </si>
  <si>
    <t>д.Погорельцы</t>
  </si>
  <si>
    <t>Погорельцы</t>
  </si>
  <si>
    <t>Константиново</t>
  </si>
  <si>
    <t>Никольское котельная2</t>
  </si>
  <si>
    <t>Никольское коттеджи</t>
  </si>
  <si>
    <t>Сырково</t>
  </si>
  <si>
    <t>д.Язвицы</t>
  </si>
  <si>
    <t>Язвицы</t>
  </si>
  <si>
    <t>д.Бакшино</t>
  </si>
  <si>
    <t>Бакшино</t>
  </si>
  <si>
    <t>Коростелёво</t>
  </si>
  <si>
    <t>Коростелёво ферма</t>
  </si>
  <si>
    <t xml:space="preserve">д.Лядины </t>
  </si>
  <si>
    <t>Лядины ЖК</t>
  </si>
  <si>
    <t>Лядины водокачка</t>
  </si>
  <si>
    <t>Лядины коттеджи</t>
  </si>
  <si>
    <t>Лядины склады</t>
  </si>
  <si>
    <t>Лядины котельная</t>
  </si>
  <si>
    <t>Лядины мастерская</t>
  </si>
  <si>
    <t>Абакумово</t>
  </si>
  <si>
    <t>д.Липное</t>
  </si>
  <si>
    <t>Липное</t>
  </si>
  <si>
    <t>д.Исачиха</t>
  </si>
  <si>
    <t>Исачиха</t>
  </si>
  <si>
    <t>Лядины школа</t>
  </si>
  <si>
    <t>д.Березняки</t>
  </si>
  <si>
    <t>Березняки</t>
  </si>
  <si>
    <t xml:space="preserve">д.Заклинье </t>
  </si>
  <si>
    <t>Заклинье мастерск.</t>
  </si>
  <si>
    <t xml:space="preserve">д.Иваньково </t>
  </si>
  <si>
    <t xml:space="preserve">Иваньково </t>
  </si>
  <si>
    <t>д.Починово</t>
  </si>
  <si>
    <t>Починово</t>
  </si>
  <si>
    <t>Власиха</t>
  </si>
  <si>
    <t xml:space="preserve">д.Алексеевское </t>
  </si>
  <si>
    <t>Алексеевское маст.</t>
  </si>
  <si>
    <t>д.Пупцы</t>
  </si>
  <si>
    <t>Пупцы</t>
  </si>
  <si>
    <t>с.Заклинье</t>
  </si>
  <si>
    <t>Заклинье</t>
  </si>
  <si>
    <t>Заклинье ЖК</t>
  </si>
  <si>
    <t>Заклинье, Петраково</t>
  </si>
  <si>
    <t>д.Каменное</t>
  </si>
  <si>
    <t>Каменное</t>
  </si>
  <si>
    <t>д.Оглядкино</t>
  </si>
  <si>
    <t>Оглядкино</t>
  </si>
  <si>
    <t>д.Сизомцы</t>
  </si>
  <si>
    <t>Сизомцы</t>
  </si>
  <si>
    <t>д.Обратково</t>
  </si>
  <si>
    <t>Обратково</t>
  </si>
  <si>
    <t>Хорошово</t>
  </si>
  <si>
    <t>Агропромэнерго</t>
  </si>
  <si>
    <t>Лазурная</t>
  </si>
  <si>
    <t>Некрасово мастерские</t>
  </si>
  <si>
    <t>Заручье ферма</t>
  </si>
  <si>
    <t>Заручье сен.сарай</t>
  </si>
  <si>
    <t>Хромцово</t>
  </si>
  <si>
    <t>Кадное</t>
  </si>
  <si>
    <t>АВМ</t>
  </si>
  <si>
    <t>МПМК жилая зона</t>
  </si>
  <si>
    <t>Пищекомбинат</t>
  </si>
  <si>
    <t>Автостанция</t>
  </si>
  <si>
    <t>Торговый центр</t>
  </si>
  <si>
    <t>Хромцово ЗСП</t>
  </si>
  <si>
    <t>Модуль</t>
  </si>
  <si>
    <t>РДК(2Х250)</t>
  </si>
  <si>
    <t>Деревцова</t>
  </si>
  <si>
    <t>ПМК 25 жилая зона</t>
  </si>
  <si>
    <t>Насосная</t>
  </si>
  <si>
    <t>Пионерская</t>
  </si>
  <si>
    <t>Фабрика</t>
  </si>
  <si>
    <t>Советская</t>
  </si>
  <si>
    <t>КБО</t>
  </si>
  <si>
    <t>ДРСУ</t>
  </si>
  <si>
    <t>Песчаная</t>
  </si>
  <si>
    <t>д.Денесьево</t>
  </si>
  <si>
    <t>Денесьево</t>
  </si>
  <si>
    <t xml:space="preserve">д.Далеки </t>
  </si>
  <si>
    <t>Далеки водокачка</t>
  </si>
  <si>
    <t>Далеки ферма</t>
  </si>
  <si>
    <t>с.Кушалино</t>
  </si>
  <si>
    <t>Собст. нужды РЭС</t>
  </si>
  <si>
    <t>п. Электросеть</t>
  </si>
  <si>
    <t>ул. Первое мая</t>
  </si>
  <si>
    <t>ул.Калинина</t>
  </si>
  <si>
    <t>д.Вельшино</t>
  </si>
  <si>
    <t>Вельшино</t>
  </si>
  <si>
    <t>Вельшино ЖК</t>
  </si>
  <si>
    <t>Кушалино № 1</t>
  </si>
  <si>
    <t>Кушалино столовая</t>
  </si>
  <si>
    <t>Кушалино ПСЛВ</t>
  </si>
  <si>
    <t>Кушалино школа</t>
  </si>
  <si>
    <t>Кушалино ДК</t>
  </si>
  <si>
    <t>Кушалино радиоузел</t>
  </si>
  <si>
    <t>Кушалино коттеджи</t>
  </si>
  <si>
    <t>д.Рождество</t>
  </si>
  <si>
    <t xml:space="preserve">с.Славное </t>
  </si>
  <si>
    <t>Славное ЗСП</t>
  </si>
  <si>
    <t>Славное котеджи</t>
  </si>
  <si>
    <t>Славное ЖК</t>
  </si>
  <si>
    <t>Славное клуб</t>
  </si>
  <si>
    <t>Славное мол.завод</t>
  </si>
  <si>
    <t>д.Засколье</t>
  </si>
  <si>
    <t>Засколье</t>
  </si>
  <si>
    <t xml:space="preserve">д.Арининское </t>
  </si>
  <si>
    <t>Арининское Жил.зона</t>
  </si>
  <si>
    <t>д.Амачкино</t>
  </si>
  <si>
    <t>Амачкино</t>
  </si>
  <si>
    <t>Арининское ЗСП</t>
  </si>
  <si>
    <t>д.Хохряково</t>
  </si>
  <si>
    <t>Хохряково</t>
  </si>
  <si>
    <t>Арининское ЖК</t>
  </si>
  <si>
    <t>Арининское № 1</t>
  </si>
  <si>
    <t>Почеп</t>
  </si>
  <si>
    <t>д.Наквасино</t>
  </si>
  <si>
    <t>Наквасино</t>
  </si>
  <si>
    <t>Горбово</t>
  </si>
  <si>
    <t>д.Полянское</t>
  </si>
  <si>
    <t>Полянское</t>
  </si>
  <si>
    <t>д.Мерлово</t>
  </si>
  <si>
    <t>Мерлово</t>
  </si>
  <si>
    <t>Григорьево</t>
  </si>
  <si>
    <t>Мол.завод</t>
  </si>
  <si>
    <t>д.Перелоги</t>
  </si>
  <si>
    <t>Перелоги</t>
  </si>
  <si>
    <t xml:space="preserve">д.Ведное </t>
  </si>
  <si>
    <t>Ведное 1</t>
  </si>
  <si>
    <t>Ведное 5</t>
  </si>
  <si>
    <t>Ведное ЖК</t>
  </si>
  <si>
    <t>Ведное ЗСП</t>
  </si>
  <si>
    <t>Ведное школа</t>
  </si>
  <si>
    <t>Ведное мастерские</t>
  </si>
  <si>
    <t>д.Паршутино</t>
  </si>
  <si>
    <t>Паршутино</t>
  </si>
  <si>
    <t>д.Коровино</t>
  </si>
  <si>
    <t>д.Бусловец</t>
  </si>
  <si>
    <t>Бусловец</t>
  </si>
  <si>
    <t>д..Березовец</t>
  </si>
  <si>
    <t>Березовец</t>
  </si>
  <si>
    <t>Скрябино</t>
  </si>
  <si>
    <t>Собственные нужды РЭС</t>
  </si>
  <si>
    <t>Зерносклад</t>
  </si>
  <si>
    <t>МКМ</t>
  </si>
  <si>
    <t>АВМ-1</t>
  </si>
  <si>
    <t>АВМ-2</t>
  </si>
  <si>
    <t>Стояново</t>
  </si>
  <si>
    <t>Минино</t>
  </si>
  <si>
    <t xml:space="preserve">д.Колупаново </t>
  </si>
  <si>
    <t xml:space="preserve">Колупаново-ЖК </t>
  </si>
  <si>
    <t>Колупаново телятник</t>
  </si>
  <si>
    <t>Колупаново ПСЛВ</t>
  </si>
  <si>
    <t>Колупаново ЗСП</t>
  </si>
  <si>
    <t xml:space="preserve">с.Застолбье </t>
  </si>
  <si>
    <t>Застолбье жил.зона</t>
  </si>
  <si>
    <t>Застолбье школа</t>
  </si>
  <si>
    <t>Застолбье-котельная</t>
  </si>
  <si>
    <t>д.Моляково</t>
  </si>
  <si>
    <t>Моляково</t>
  </si>
  <si>
    <t>д.Ново-Застолбье</t>
  </si>
  <si>
    <t>Ново-Застолбье</t>
  </si>
  <si>
    <t>Свистуново</t>
  </si>
  <si>
    <t>Улиткино</t>
  </si>
  <si>
    <t>Пилорама</t>
  </si>
  <si>
    <t>ул.Молодежная</t>
  </si>
  <si>
    <t>д.Русино Долино</t>
  </si>
  <si>
    <t>Русино Долино</t>
  </si>
  <si>
    <t>Бухлово</t>
  </si>
  <si>
    <t>ПСЛВ</t>
  </si>
  <si>
    <t>Толстяково</t>
  </si>
  <si>
    <t>д.Дуловское</t>
  </si>
  <si>
    <t>Дуловское ЖК</t>
  </si>
  <si>
    <t xml:space="preserve">д.Чернево </t>
  </si>
  <si>
    <t>Чернево АВМ</t>
  </si>
  <si>
    <t>Конищево</t>
  </si>
  <si>
    <t>Ляхово</t>
  </si>
  <si>
    <t xml:space="preserve">д.Волково </t>
  </si>
  <si>
    <t>Волково ЗСП</t>
  </si>
  <si>
    <t>Волково мастерские</t>
  </si>
  <si>
    <t>д.Савиха</t>
  </si>
  <si>
    <t>Савиха</t>
  </si>
  <si>
    <t>Броды</t>
  </si>
  <si>
    <t>Пески</t>
  </si>
  <si>
    <t>д.Тихарево</t>
  </si>
  <si>
    <t>Тихарево</t>
  </si>
  <si>
    <t>Корино</t>
  </si>
  <si>
    <t>д.Чернеево</t>
  </si>
  <si>
    <t>Чернеево</t>
  </si>
  <si>
    <t>Бахарево</t>
  </si>
  <si>
    <t>Плешково</t>
  </si>
  <si>
    <t xml:space="preserve">д.Немерово </t>
  </si>
  <si>
    <t>Немерово ЖК</t>
  </si>
  <si>
    <t xml:space="preserve">Некрасово </t>
  </si>
  <si>
    <t>д.Богатырёво</t>
  </si>
  <si>
    <t>с.Киверичи</t>
  </si>
  <si>
    <t>Школа(2Х250)</t>
  </si>
  <si>
    <t>Швейный цех</t>
  </si>
  <si>
    <t>д.Воротнево</t>
  </si>
  <si>
    <t>Воротнево</t>
  </si>
  <si>
    <t>с.Ивановское</t>
  </si>
  <si>
    <t>Ивановское ЖК</t>
  </si>
  <si>
    <t>Ивановское ЗСП</t>
  </si>
  <si>
    <t xml:space="preserve">с.Андреевское </t>
  </si>
  <si>
    <t>Андреевское ПСЛВ</t>
  </si>
  <si>
    <t>Андреевское мастерские</t>
  </si>
  <si>
    <t>Магазин</t>
  </si>
  <si>
    <t>Киверичи</t>
  </si>
  <si>
    <t xml:space="preserve">Владимировка (Киверичи ЗСП) </t>
  </si>
  <si>
    <t>д.Морозовка</t>
  </si>
  <si>
    <t>Беляево</t>
  </si>
  <si>
    <t>Поречье</t>
  </si>
  <si>
    <t>д.Красненькое</t>
  </si>
  <si>
    <t>Красненькое</t>
  </si>
  <si>
    <t>Манушкино</t>
  </si>
  <si>
    <t>Городня-мастерские</t>
  </si>
  <si>
    <t>Городня</t>
  </si>
  <si>
    <t>Городня ЖК</t>
  </si>
  <si>
    <t>д.Кукино</t>
  </si>
  <si>
    <t>Кукино</t>
  </si>
  <si>
    <t>д.Емельяниха</t>
  </si>
  <si>
    <t>Емельяниха</t>
  </si>
  <si>
    <t>Сивцево</t>
  </si>
  <si>
    <t>сИвановское-Петраково</t>
  </si>
  <si>
    <t>Ивановское-Петраково</t>
  </si>
  <si>
    <t>Знаменка</t>
  </si>
  <si>
    <t>Гараж СН</t>
  </si>
  <si>
    <t>д.Горка-Троица</t>
  </si>
  <si>
    <t>Горка-Троица</t>
  </si>
  <si>
    <t>д.Пенье-Желниха</t>
  </si>
  <si>
    <t>Пенье-Желниха</t>
  </si>
  <si>
    <t xml:space="preserve">д.Новое </t>
  </si>
  <si>
    <t>Новое ЖК</t>
  </si>
  <si>
    <t>Андреевское ЗСП</t>
  </si>
  <si>
    <t>д.Ильинка</t>
  </si>
  <si>
    <t>Ильинка</t>
  </si>
  <si>
    <t>д.Ефремово - Дуденец</t>
  </si>
  <si>
    <t>Ефремово - Дуденец</t>
  </si>
  <si>
    <t>д.Иевлево</t>
  </si>
  <si>
    <t>Иевлево</t>
  </si>
  <si>
    <t>д.Большая горка</t>
  </si>
  <si>
    <t>Большая горка</t>
  </si>
  <si>
    <t>Железово</t>
  </si>
  <si>
    <t xml:space="preserve">д.Устюги </t>
  </si>
  <si>
    <t>Устюги мастерские</t>
  </si>
  <si>
    <t xml:space="preserve">Устюги </t>
  </si>
  <si>
    <t>Устюги ферма</t>
  </si>
  <si>
    <t>Устюги ЗСП</t>
  </si>
  <si>
    <t>д.Паниха</t>
  </si>
  <si>
    <t>Паниха</t>
  </si>
  <si>
    <t>д.Малая горка</t>
  </si>
  <si>
    <t>Малая горка</t>
  </si>
  <si>
    <t>д.Георгиевское</t>
  </si>
  <si>
    <t>Георгиевское</t>
  </si>
  <si>
    <t>д.Перегородка</t>
  </si>
  <si>
    <t>Перегородка</t>
  </si>
  <si>
    <t>д.Чубариха</t>
  </si>
  <si>
    <t>Чубариха</t>
  </si>
  <si>
    <t>д.Соболиха</t>
  </si>
  <si>
    <t>Соболиха</t>
  </si>
  <si>
    <t xml:space="preserve">с.Алёшино </t>
  </si>
  <si>
    <t>Алёшино ЗСП</t>
  </si>
  <si>
    <t>д.Прудиха</t>
  </si>
  <si>
    <t>Прудиха</t>
  </si>
  <si>
    <t xml:space="preserve">д.Буйлово </t>
  </si>
  <si>
    <t>Буйлово мастерские</t>
  </si>
  <si>
    <t>д.Буйлово</t>
  </si>
  <si>
    <t>Буйлово</t>
  </si>
  <si>
    <t>с.Алёшино</t>
  </si>
  <si>
    <t>Алёшино школа(2Х400)</t>
  </si>
  <si>
    <t>Алёшино</t>
  </si>
  <si>
    <t>Алёшино ЖК</t>
  </si>
  <si>
    <t>д.Медведиха</t>
  </si>
  <si>
    <t>Медведиха</t>
  </si>
  <si>
    <t>Медведиха клуб</t>
  </si>
  <si>
    <t>д.Шибаниха</t>
  </si>
  <si>
    <t>Шибаниха</t>
  </si>
  <si>
    <t>Шибаниха ДКУ</t>
  </si>
  <si>
    <t>Шибаниха ЗСП</t>
  </si>
  <si>
    <t>д.Семунино</t>
  </si>
  <si>
    <t>Семунино</t>
  </si>
  <si>
    <t>д.Гордеиха</t>
  </si>
  <si>
    <t>Гордеиха</t>
  </si>
  <si>
    <t>д.Минеево</t>
  </si>
  <si>
    <t>Минеево</t>
  </si>
  <si>
    <t>Сошниково</t>
  </si>
  <si>
    <t xml:space="preserve">с.Ильгощи </t>
  </si>
  <si>
    <t>Ильгощи ПСЛВ</t>
  </si>
  <si>
    <t>Ильгощи</t>
  </si>
  <si>
    <t>Ильгощи ЖК</t>
  </si>
  <si>
    <t>д.Поддубное-Пескошево</t>
  </si>
  <si>
    <t>Поддубное-Пескошево</t>
  </si>
  <si>
    <t>Раменье пилор.ЗСП</t>
  </si>
  <si>
    <t>Раменье водокачка</t>
  </si>
  <si>
    <t>Раменье цех по переработке мяса</t>
  </si>
  <si>
    <t>Раменье ЖК</t>
  </si>
  <si>
    <t>д.Ивица</t>
  </si>
  <si>
    <t>Ивица</t>
  </si>
  <si>
    <t>д.Жирославка</t>
  </si>
  <si>
    <t>Жирославка</t>
  </si>
  <si>
    <t>д.Блуди</t>
  </si>
  <si>
    <t>Блуди</t>
  </si>
  <si>
    <t>д.Токовая</t>
  </si>
  <si>
    <t>Токовая</t>
  </si>
  <si>
    <t>Сенино</t>
  </si>
  <si>
    <t>д.Хотути</t>
  </si>
  <si>
    <t>Хотути</t>
  </si>
  <si>
    <t xml:space="preserve">д.Волосково </t>
  </si>
  <si>
    <t>Волосково ЖК</t>
  </si>
  <si>
    <t>д.Волосково</t>
  </si>
  <si>
    <t>Волосково</t>
  </si>
  <si>
    <t>д. Раменое</t>
  </si>
  <si>
    <t>Красный Октябрь</t>
  </si>
  <si>
    <t>д.Буланово</t>
  </si>
  <si>
    <t>Буланово</t>
  </si>
  <si>
    <t>д.Афатово</t>
  </si>
  <si>
    <t>Афатово</t>
  </si>
  <si>
    <t xml:space="preserve">д.Кромново </t>
  </si>
  <si>
    <t>Кромново ПСЛВ</t>
  </si>
  <si>
    <t>с.Сутоки</t>
  </si>
  <si>
    <t>Сутоки-Коммуна</t>
  </si>
  <si>
    <t>Сутоки школа</t>
  </si>
  <si>
    <t>Сутоки ЖК</t>
  </si>
  <si>
    <t>Сутоки ЗСП</t>
  </si>
  <si>
    <t>Сутоки Новый посёлок</t>
  </si>
  <si>
    <t>д. Иванцево-Старово</t>
  </si>
  <si>
    <t>Иванцево-Старово</t>
  </si>
  <si>
    <t>д.Яблонька</t>
  </si>
  <si>
    <t>Яблонька</t>
  </si>
  <si>
    <t>д.Павлушково</t>
  </si>
  <si>
    <t>Павлушково</t>
  </si>
  <si>
    <t>с.Диево</t>
  </si>
  <si>
    <t>Диево мастерские</t>
  </si>
  <si>
    <t>Диево-Старово</t>
  </si>
  <si>
    <t>Диево-котельная</t>
  </si>
  <si>
    <t>Диево ЖК</t>
  </si>
  <si>
    <t>д.Полянка</t>
  </si>
  <si>
    <t>Полянка</t>
  </si>
  <si>
    <t>Диево ЗСП</t>
  </si>
  <si>
    <t>Диево ПСЛВ</t>
  </si>
  <si>
    <t>д.Зубцово-Десятильники</t>
  </si>
  <si>
    <t>Зубцово-Десятильники</t>
  </si>
  <si>
    <t xml:space="preserve">д.Зубцово </t>
  </si>
  <si>
    <t xml:space="preserve">Зубцово </t>
  </si>
  <si>
    <t>д.Мерлуга</t>
  </si>
  <si>
    <t>Мерлуга</t>
  </si>
  <si>
    <t>Залесье</t>
  </si>
  <si>
    <t>д.Холмы</t>
  </si>
  <si>
    <t>Холмы</t>
  </si>
  <si>
    <t>д.Б.Горы-Топориха</t>
  </si>
  <si>
    <t>Б.Горы-Топориха</t>
  </si>
  <si>
    <t>д.Б.Горы-Картофелехранилище</t>
  </si>
  <si>
    <t>Б.Горы-Картофелехранилище</t>
  </si>
  <si>
    <t>Ершиха</t>
  </si>
  <si>
    <t>д.Черногрязье</t>
  </si>
  <si>
    <t>Черногрязье</t>
  </si>
  <si>
    <t>д.Сафоново</t>
  </si>
  <si>
    <t>Сафоново</t>
  </si>
  <si>
    <t xml:space="preserve">д.Вилово </t>
  </si>
  <si>
    <t>Вилово ЖК</t>
  </si>
  <si>
    <t xml:space="preserve">с. Б.Кушаль </t>
  </si>
  <si>
    <t>Б.Кушаль ЖК</t>
  </si>
  <si>
    <t>д.Помисово</t>
  </si>
  <si>
    <t>д.Новая Слобода</t>
  </si>
  <si>
    <t>Новая Слобода</t>
  </si>
  <si>
    <t>Б.Кушаль-Столовая</t>
  </si>
  <si>
    <t>Б.Кушаль -Мастерские ЖК</t>
  </si>
  <si>
    <t>Б.Кушаль -Склады ЗСП</t>
  </si>
  <si>
    <t>Б.Кушаль -Детский комбинат</t>
  </si>
  <si>
    <t>Б.Кушаль -Клуб</t>
  </si>
  <si>
    <t>д.Коленово</t>
  </si>
  <si>
    <t>Коленово</t>
  </si>
  <si>
    <t>Романово</t>
  </si>
  <si>
    <t>Борисово</t>
  </si>
  <si>
    <t>д.Бочарниково</t>
  </si>
  <si>
    <t>Бочарниково</t>
  </si>
  <si>
    <t>д.Савкино</t>
  </si>
  <si>
    <t>Савкино</t>
  </si>
  <si>
    <t>д.Тестово</t>
  </si>
  <si>
    <t>Тестово</t>
  </si>
  <si>
    <t>д.Шестино</t>
  </si>
  <si>
    <t>Шестино</t>
  </si>
  <si>
    <t>Дорожкино</t>
  </si>
  <si>
    <t>Терехово</t>
  </si>
  <si>
    <t>д.Тованово</t>
  </si>
  <si>
    <t>Тованово</t>
  </si>
  <si>
    <t>д.Пургасово</t>
  </si>
  <si>
    <t>Пургасово</t>
  </si>
  <si>
    <t>Ширяево</t>
  </si>
  <si>
    <t>д.Сбынь</t>
  </si>
  <si>
    <t>Сбынь</t>
  </si>
  <si>
    <t>Шарапово</t>
  </si>
  <si>
    <t>д.Воротилово</t>
  </si>
  <si>
    <t>Воротилово</t>
  </si>
  <si>
    <t>Волхово</t>
  </si>
  <si>
    <t>д.Косковская горка</t>
  </si>
  <si>
    <t>Косковская горка-мастерские</t>
  </si>
  <si>
    <t>Косковская горка</t>
  </si>
  <si>
    <t>д.Каликино</t>
  </si>
  <si>
    <t>Каликино</t>
  </si>
  <si>
    <t>д.Новенькая</t>
  </si>
  <si>
    <t>Новенькая</t>
  </si>
  <si>
    <t>д.Старожилка</t>
  </si>
  <si>
    <t>Старожилка</t>
  </si>
  <si>
    <t>д.Сёмжино</t>
  </si>
  <si>
    <t>Сёмжино</t>
  </si>
  <si>
    <t>д.Вильяшево</t>
  </si>
  <si>
    <t>Вильяшево</t>
  </si>
  <si>
    <t>д.Григорово-Смочели</t>
  </si>
  <si>
    <t>Григорово-Смочели</t>
  </si>
  <si>
    <t xml:space="preserve">с.Алексеевское </t>
  </si>
  <si>
    <t xml:space="preserve">Алексеевское </t>
  </si>
  <si>
    <t>Алексеевское коттеджи</t>
  </si>
  <si>
    <t>Алексеевское-Перепечкино</t>
  </si>
  <si>
    <t>КТП-10/0,4 кВ д. Дубровки №4</t>
  </si>
  <si>
    <t>КТП-10/0,4 кВ д. Колобово №2</t>
  </si>
  <si>
    <t>д. Валушино</t>
  </si>
  <si>
    <t>КТП-10/0,4 кВ Валушино (ф. т/б Чайка)</t>
  </si>
  <si>
    <t>КТП-10кВ Хитицы ВЛ-10кВ Клочки (Максимково)</t>
  </si>
  <si>
    <t>КТПП-10/0,4 кВ д. Ларионово-2</t>
  </si>
  <si>
    <t>0</t>
  </si>
  <si>
    <t>пос. Тверецкий</t>
  </si>
  <si>
    <t>ТП №022 (Б.Петрово-1)</t>
  </si>
  <si>
    <t>пос. Мирный</t>
  </si>
  <si>
    <t>д.Можайцево, Владычня</t>
  </si>
  <si>
    <t>д. Терешкино</t>
  </si>
  <si>
    <t>д. Коноплище</t>
  </si>
  <si>
    <t>д. Андрианово</t>
  </si>
  <si>
    <t>д. Ст.Беркаево</t>
  </si>
  <si>
    <t>д. Раёк</t>
  </si>
  <si>
    <t>д.Васильева Гора</t>
  </si>
  <si>
    <t>ТП №052 (Рязаново Карт.хран)</t>
  </si>
  <si>
    <t>д.Савинские горки</t>
  </si>
  <si>
    <t>д.Думаново дер</t>
  </si>
  <si>
    <t xml:space="preserve">с.Марьино </t>
  </si>
  <si>
    <t>д.Колёсные Горки</t>
  </si>
  <si>
    <t>ТП №076 (Спасс)</t>
  </si>
  <si>
    <t>г. Торжок</t>
  </si>
  <si>
    <t xml:space="preserve">д.Ушаково </t>
  </si>
  <si>
    <t>пос. Славный</t>
  </si>
  <si>
    <t>ТП №101 (Ск.двор)</t>
  </si>
  <si>
    <t>ТП №102 (гаражи)</t>
  </si>
  <si>
    <t>500</t>
  </si>
  <si>
    <t xml:space="preserve">д.Климово </t>
  </si>
  <si>
    <t xml:space="preserve">д.Б.Святцово </t>
  </si>
  <si>
    <t>псо. Мирный</t>
  </si>
  <si>
    <t xml:space="preserve">с. Страшевичи </t>
  </si>
  <si>
    <t>д.Раннее утро</t>
  </si>
  <si>
    <t>д. Гол. Горки</t>
  </si>
  <si>
    <t xml:space="preserve">д.Дубровка </t>
  </si>
  <si>
    <t>ТП №207 (Дубровка Ж/К)</t>
  </si>
  <si>
    <t>д. Чевакино</t>
  </si>
  <si>
    <t>д. Рашкино</t>
  </si>
  <si>
    <t>д. Карцово</t>
  </si>
  <si>
    <t>д. Бутивицы</t>
  </si>
  <si>
    <t>д. Щилово</t>
  </si>
  <si>
    <t>д. Мануйлово</t>
  </si>
  <si>
    <t>д. Рудниково</t>
  </si>
  <si>
    <t>ТП №240 Маслово-1</t>
  </si>
  <si>
    <t>п. Селихово</t>
  </si>
  <si>
    <t>д. Машутино</t>
  </si>
  <si>
    <t>д. Аннино</t>
  </si>
  <si>
    <t>д. Кисляково</t>
  </si>
  <si>
    <t>д. Захожье</t>
  </si>
  <si>
    <t>д. Грузины</t>
  </si>
  <si>
    <t>д. Юрьево</t>
  </si>
  <si>
    <t>д. Мёдухово</t>
  </si>
  <si>
    <t>д. Мёдухово. д. Курово</t>
  </si>
  <si>
    <t>с. Млевичи</t>
  </si>
  <si>
    <t xml:space="preserve">д. Пирогово </t>
  </si>
  <si>
    <t>ТП №286 Мартыново-3</t>
  </si>
  <si>
    <t>д. Чуриково</t>
  </si>
  <si>
    <t>д. Коптево</t>
  </si>
  <si>
    <t>д. Пожитово</t>
  </si>
  <si>
    <t>д. Новгородское</t>
  </si>
  <si>
    <t>д. Симонково</t>
  </si>
  <si>
    <t>д. Павлушкино</t>
  </si>
  <si>
    <t>д. Васильцево</t>
  </si>
  <si>
    <t>д. Горянки</t>
  </si>
  <si>
    <t xml:space="preserve">д.Мошки </t>
  </si>
  <si>
    <t>д. Еремкино</t>
  </si>
  <si>
    <t>д. Дурулино</t>
  </si>
  <si>
    <t>д. Поломеницы</t>
  </si>
  <si>
    <t>д. Коряево</t>
  </si>
  <si>
    <t xml:space="preserve">с. Сукромля </t>
  </si>
  <si>
    <t>д. Чернавы</t>
  </si>
  <si>
    <t>д. Богуново</t>
  </si>
  <si>
    <t>д. Ильино</t>
  </si>
  <si>
    <t>д. Отрадное</t>
  </si>
  <si>
    <t>д. Осипово</t>
  </si>
  <si>
    <t>д. Подольцы</t>
  </si>
  <si>
    <t>ТП №339 Подольцы-1</t>
  </si>
  <si>
    <t>д. Таложня</t>
  </si>
  <si>
    <t>д. Кузовково</t>
  </si>
  <si>
    <t>д. Спирово</t>
  </si>
  <si>
    <t>д. Детково</t>
  </si>
  <si>
    <t>д. Арпачево</t>
  </si>
  <si>
    <t>д. Якшино</t>
  </si>
  <si>
    <t>д. Струбище</t>
  </si>
  <si>
    <t>д. Рылово</t>
  </si>
  <si>
    <t>д. Казицыно</t>
  </si>
  <si>
    <t>д. Житниково</t>
  </si>
  <si>
    <t>д. Клин</t>
  </si>
  <si>
    <t>д. Лесная</t>
  </si>
  <si>
    <t>с. Поведь</t>
  </si>
  <si>
    <t>д. Осташково</t>
  </si>
  <si>
    <t>д. Яконово</t>
  </si>
  <si>
    <t>д. Заполье</t>
  </si>
  <si>
    <t>д. Чудины</t>
  </si>
  <si>
    <t>д.Ст. Малиново</t>
  </si>
  <si>
    <t>д. Н. Малиново</t>
  </si>
  <si>
    <t>д. Рюмино</t>
  </si>
  <si>
    <t>д. Голобово</t>
  </si>
  <si>
    <t>д. Смердово</t>
  </si>
  <si>
    <t>д. Ефремово</t>
  </si>
  <si>
    <t>д. П.Плот</t>
  </si>
  <si>
    <t>д. Пышково</t>
  </si>
  <si>
    <t>д. Чупрово</t>
  </si>
  <si>
    <t>д. Кр. Горка</t>
  </si>
  <si>
    <t>д. Глухово</t>
  </si>
  <si>
    <t>д. М.Вишенье</t>
  </si>
  <si>
    <t>д. Машкино д.Корытниково</t>
  </si>
  <si>
    <t>д. Шевелино д.Бавыкино</t>
  </si>
  <si>
    <t>д. Ям</t>
  </si>
  <si>
    <t>д.Островок Китово</t>
  </si>
  <si>
    <t>д. Б.Вишенье</t>
  </si>
  <si>
    <t>д. Чернигово</t>
  </si>
  <si>
    <t>с. Страшевичи</t>
  </si>
  <si>
    <t>д. Бурчиха</t>
  </si>
  <si>
    <t>д. Н.Петровское</t>
  </si>
  <si>
    <t>д. Копыряне</t>
  </si>
  <si>
    <t>д. Шепетово</t>
  </si>
  <si>
    <t>д. Мякиницы</t>
  </si>
  <si>
    <t>д. Гудково</t>
  </si>
  <si>
    <t>д. Явидово</t>
  </si>
  <si>
    <t>д. Лужки</t>
  </si>
  <si>
    <t>д. Дмитровское</t>
  </si>
  <si>
    <t>д. Рябиниха</t>
  </si>
  <si>
    <t>д. Русино</t>
  </si>
  <si>
    <t>д. Вишенки</t>
  </si>
  <si>
    <t>д. Коробино</t>
  </si>
  <si>
    <t>д. Патраково</t>
  </si>
  <si>
    <t>д. Воропуни</t>
  </si>
  <si>
    <t>д. Подолы</t>
  </si>
  <si>
    <t>д. Цапушево</t>
  </si>
  <si>
    <t>д. Панкратово</t>
  </si>
  <si>
    <t>д. Кожевниково</t>
  </si>
  <si>
    <t>д. Великоселье</t>
  </si>
  <si>
    <t>д. Костромка</t>
  </si>
  <si>
    <t>д. Дудорово</t>
  </si>
  <si>
    <t>д. Тредубье</t>
  </si>
  <si>
    <t>д. Теткино</t>
  </si>
  <si>
    <t>д. Еменово</t>
  </si>
  <si>
    <t>д. Логуново</t>
  </si>
  <si>
    <t>д. Троицкое</t>
  </si>
  <si>
    <t>новое строительство ТП</t>
  </si>
  <si>
    <t>д. Скоморохово</t>
  </si>
  <si>
    <t>д. Новое</t>
  </si>
  <si>
    <t>д. Поречье</t>
  </si>
  <si>
    <t>д. Николаевка</t>
  </si>
  <si>
    <t>пос. Высокое</t>
  </si>
  <si>
    <t>д. Лаврово</t>
  </si>
  <si>
    <t>д. Богатьково</t>
  </si>
  <si>
    <t>д. Бернишено</t>
  </si>
  <si>
    <t xml:space="preserve">с.Ладьино </t>
  </si>
  <si>
    <t>д. Костромино</t>
  </si>
  <si>
    <t>д. Дары</t>
  </si>
  <si>
    <t>д. Игнатьево</t>
  </si>
  <si>
    <t>д. Обухово</t>
  </si>
  <si>
    <t>д. Горицы</t>
  </si>
  <si>
    <t xml:space="preserve">д. Воропуни </t>
  </si>
  <si>
    <t>ТП №565 (Крюково-дачи)</t>
  </si>
  <si>
    <t>Абонентская ЛПУ МГ</t>
  </si>
  <si>
    <t>Елманова Горка</t>
  </si>
  <si>
    <t xml:space="preserve">Дерягино </t>
  </si>
  <si>
    <t xml:space="preserve">Мишнево </t>
  </si>
  <si>
    <t xml:space="preserve">Корякино </t>
  </si>
  <si>
    <t xml:space="preserve">Верескуново </t>
  </si>
  <si>
    <t>2х200</t>
  </si>
  <si>
    <t xml:space="preserve">Порожки </t>
  </si>
  <si>
    <t xml:space="preserve">Касково </t>
  </si>
  <si>
    <t xml:space="preserve">Ряд </t>
  </si>
  <si>
    <t>2х350</t>
  </si>
  <si>
    <t xml:space="preserve">Зарьково </t>
  </si>
  <si>
    <t xml:space="preserve">Волчихово </t>
  </si>
  <si>
    <t xml:space="preserve">Едутино </t>
  </si>
  <si>
    <t xml:space="preserve">Еремково </t>
  </si>
  <si>
    <t xml:space="preserve">Молдино </t>
  </si>
  <si>
    <t xml:space="preserve">Михайлово </t>
  </si>
  <si>
    <t xml:space="preserve">Малец </t>
  </si>
  <si>
    <t xml:space="preserve"> Малец</t>
  </si>
  <si>
    <t xml:space="preserve">Мастино </t>
  </si>
  <si>
    <t xml:space="preserve">Казикино </t>
  </si>
  <si>
    <t xml:space="preserve">Званица </t>
  </si>
  <si>
    <t xml:space="preserve">Гриблянка </t>
  </si>
  <si>
    <t xml:space="preserve">Копачево </t>
  </si>
  <si>
    <t xml:space="preserve">Грибны </t>
  </si>
  <si>
    <t xml:space="preserve">Озера </t>
  </si>
  <si>
    <t xml:space="preserve">Сельцо </t>
  </si>
  <si>
    <t xml:space="preserve">Кузьминское </t>
  </si>
  <si>
    <t xml:space="preserve">Белохово </t>
  </si>
  <si>
    <t xml:space="preserve">Староселье </t>
  </si>
  <si>
    <t xml:space="preserve">Курово </t>
  </si>
  <si>
    <t xml:space="preserve">Речка </t>
  </si>
  <si>
    <t xml:space="preserve">Ледины </t>
  </si>
  <si>
    <t xml:space="preserve">Котлован </t>
  </si>
  <si>
    <t xml:space="preserve">Астафьево </t>
  </si>
  <si>
    <t xml:space="preserve">Стенецкое </t>
  </si>
  <si>
    <t xml:space="preserve">Баранатово </t>
  </si>
  <si>
    <t xml:space="preserve">Мишуги </t>
  </si>
  <si>
    <t xml:space="preserve">Маслово </t>
  </si>
  <si>
    <t>2х160-400</t>
  </si>
  <si>
    <t>2х250-400</t>
  </si>
  <si>
    <t>Т10</t>
  </si>
  <si>
    <t>д.Петрушино</t>
  </si>
  <si>
    <t>Бельский</t>
  </si>
  <si>
    <t>ТП Петрушино</t>
  </si>
  <si>
    <t>д. Паново</t>
  </si>
  <si>
    <t>ТП Паново</t>
  </si>
  <si>
    <t>ТП Прудня</t>
  </si>
  <si>
    <t>д.Бохово</t>
  </si>
  <si>
    <t>ТП Бохово</t>
  </si>
  <si>
    <t>ТП Понизовье</t>
  </si>
  <si>
    <t>д.Куракино</t>
  </si>
  <si>
    <t>ТП Куракино</t>
  </si>
  <si>
    <t>г.Белый</t>
  </si>
  <si>
    <t>ТП Лесокомбинат Абон.</t>
  </si>
  <si>
    <t>Л.У.Крутик</t>
  </si>
  <si>
    <t>д.Филюкино</t>
  </si>
  <si>
    <t>ТП Филюкино</t>
  </si>
  <si>
    <t>д.Мокрый Луг</t>
  </si>
  <si>
    <t>ТП Мокрый Луг</t>
  </si>
  <si>
    <t>ТП Рыжково</t>
  </si>
  <si>
    <t>д.Новгородово</t>
  </si>
  <si>
    <t>ТП Новгородово</t>
  </si>
  <si>
    <t>д.Пящино</t>
  </si>
  <si>
    <t>ТП Пящино</t>
  </si>
  <si>
    <t>д.Алфёрово</t>
  </si>
  <si>
    <t>ТП Алфёрово</t>
  </si>
  <si>
    <t>д.Таборище</t>
  </si>
  <si>
    <t>ТП Таборище</t>
  </si>
  <si>
    <t>Жарковский р-он</t>
  </si>
  <si>
    <t>ТП Козлово</t>
  </si>
  <si>
    <t>д.Поповский</t>
  </si>
  <si>
    <t>ТП Поповский Л.У.</t>
  </si>
  <si>
    <t>ТП Устье-1</t>
  </si>
  <si>
    <t>ТП Ермошки</t>
  </si>
  <si>
    <t>ТП База БРЭС</t>
  </si>
  <si>
    <t>ТП Мастерские</t>
  </si>
  <si>
    <t>ТП Телевышка</t>
  </si>
  <si>
    <t>д.Карелы</t>
  </si>
  <si>
    <t>ТП Карелы</t>
  </si>
  <si>
    <t>д.Будино</t>
  </si>
  <si>
    <t>ТП Будино Клуб</t>
  </si>
  <si>
    <t>ТП Будино ж.к</t>
  </si>
  <si>
    <t>ТП Будино АВМ-2</t>
  </si>
  <si>
    <t>ТП Черёмушки</t>
  </si>
  <si>
    <t>д.Клемятино</t>
  </si>
  <si>
    <t>ТП Клемятино</t>
  </si>
  <si>
    <t>ТП Емельяново</t>
  </si>
  <si>
    <t>д.Демяхи</t>
  </si>
  <si>
    <t>ТП Демяхи</t>
  </si>
  <si>
    <t>ТП Демяхи-1</t>
  </si>
  <si>
    <t>ТП Демяхи-2 АВМ</t>
  </si>
  <si>
    <t>ТП Демяхи-3 ж.к.</t>
  </si>
  <si>
    <t>ТП Демяхи-4 ЗСП</t>
  </si>
  <si>
    <t>ТП Демяхи-5 КЗС</t>
  </si>
  <si>
    <t>ТП Морозово</t>
  </si>
  <si>
    <t>ТП Морозово вод.</t>
  </si>
  <si>
    <t>д.Влазнево</t>
  </si>
  <si>
    <t>ТП Влазнево</t>
  </si>
  <si>
    <t>ТП Будино</t>
  </si>
  <si>
    <t>ТП Медведево КЗС-10</t>
  </si>
  <si>
    <t>ТП Дворище</t>
  </si>
  <si>
    <t>д.Лосьмино</t>
  </si>
  <si>
    <t>ТП Лосьмино</t>
  </si>
  <si>
    <t>д.Лосьмянка</t>
  </si>
  <si>
    <t>ТП Лосьмянка</t>
  </si>
  <si>
    <t>д.Чичаты</t>
  </si>
  <si>
    <t>ТП Чичаты-1</t>
  </si>
  <si>
    <t>ТП Чичаты-2</t>
  </si>
  <si>
    <t>ТП Чичаты-3</t>
  </si>
  <si>
    <t>ТП Чичаты-4</t>
  </si>
  <si>
    <t>ТП Чичаты-5</t>
  </si>
  <si>
    <t>ТП Чичаты-6</t>
  </si>
  <si>
    <t>ТП Прусово</t>
  </si>
  <si>
    <t>ТП Дуброво</t>
  </si>
  <si>
    <t>ТП Михалёво</t>
  </si>
  <si>
    <t>д. Рожино</t>
  </si>
  <si>
    <t>ТП Рожино</t>
  </si>
  <si>
    <t>ТП Фролово</t>
  </si>
  <si>
    <t>ТП Азарово</t>
  </si>
  <si>
    <t>ТП Зайково</t>
  </si>
  <si>
    <t>ТП Котово</t>
  </si>
  <si>
    <t>ТП Котово МТФ</t>
  </si>
  <si>
    <t>ТП Макарово</t>
  </si>
  <si>
    <t>ТП с-з Бельский ж.к.</t>
  </si>
  <si>
    <t>ТП с-з Бельский ж.д.</t>
  </si>
  <si>
    <t>ТП с-з Бельский ц.у.</t>
  </si>
  <si>
    <t>ТП з-д О.С.</t>
  </si>
  <si>
    <t>ТП ул.Смоленская</t>
  </si>
  <si>
    <t>ТП Пугачёвская слобода</t>
  </si>
  <si>
    <t>ТП КНС-1</t>
  </si>
  <si>
    <t>ТП ПС Белый ж.д.</t>
  </si>
  <si>
    <t>ТП ЧП Мазуров Абон.</t>
  </si>
  <si>
    <t>ТП Хлебокомбинат Абон.</t>
  </si>
  <si>
    <t>ТП Маяк</t>
  </si>
  <si>
    <t>ТП ул.Энгельса</t>
  </si>
  <si>
    <t>ЗТП №1</t>
  </si>
  <si>
    <t>ЗТП №2</t>
  </si>
  <si>
    <t>ЗТП №3</t>
  </si>
  <si>
    <t>ЗТП №4</t>
  </si>
  <si>
    <t>ЗТП №5</t>
  </si>
  <si>
    <t>ЗТП №6</t>
  </si>
  <si>
    <t>ЗТП Котельная БСШ</t>
  </si>
  <si>
    <t>ЗТП Интернат</t>
  </si>
  <si>
    <t>ЗТП МПМК</t>
  </si>
  <si>
    <t>КТП ул.Шменкеля</t>
  </si>
  <si>
    <t>ТП АЗС</t>
  </si>
  <si>
    <t>ЗТП Кинотеатр</t>
  </si>
  <si>
    <t>ТП Трофимово</t>
  </si>
  <si>
    <t>ЗТП КНС-2</t>
  </si>
  <si>
    <t>ЗТП Райпо ж.д.</t>
  </si>
  <si>
    <t>ТП ЧП Свистунов Абон.</t>
  </si>
  <si>
    <t>ТП РТП Абон.</t>
  </si>
  <si>
    <t>ЗТП ПМК-2</t>
  </si>
  <si>
    <t>ТП Агропромэнерго Абон.</t>
  </si>
  <si>
    <t>ТП СМУ Абон.</t>
  </si>
  <si>
    <t>ТП Райпо Абон.</t>
  </si>
  <si>
    <t>ТП ЧП Громыкин Абон.</t>
  </si>
  <si>
    <t>ТП ДРСУ Абон.</t>
  </si>
  <si>
    <t>д.Васнево</t>
  </si>
  <si>
    <t>ТП Васнево</t>
  </si>
  <si>
    <t>д.Бокачёво</t>
  </si>
  <si>
    <t>ТП Бокачёво</t>
  </si>
  <si>
    <t>ТП Бокачёво КЗС</t>
  </si>
  <si>
    <t>ТП Бокачёво свинарник</t>
  </si>
  <si>
    <t>ТП Бокачёво дет.сад</t>
  </si>
  <si>
    <t>ТП Бокачёво ЗСП</t>
  </si>
  <si>
    <t>ТП Ивашково</t>
  </si>
  <si>
    <t>д.Димидки</t>
  </si>
  <si>
    <t>ТП Димитки ж.к.</t>
  </si>
  <si>
    <t>д.Скерино</t>
  </si>
  <si>
    <t>ТП Скерино</t>
  </si>
  <si>
    <t>д.Тараканово</t>
  </si>
  <si>
    <t>ТП Тараканово-1</t>
  </si>
  <si>
    <t>д.Точилино</t>
  </si>
  <si>
    <t>ТП Точилино</t>
  </si>
  <si>
    <t>д.Шайтровщина</t>
  </si>
  <si>
    <t>ТП Шайтровщина ж.к.</t>
  </si>
  <si>
    <t>ТП Шайтровщина</t>
  </si>
  <si>
    <t>д.Самаки</t>
  </si>
  <si>
    <t>ТП Самаки маст.</t>
  </si>
  <si>
    <t>ТП Самаки пилор.</t>
  </si>
  <si>
    <t>д.Альшаники</t>
  </si>
  <si>
    <t>ТП Альшаники КЗС</t>
  </si>
  <si>
    <t>ТП Альшаники</t>
  </si>
  <si>
    <t>ТП Альшаники ЗСП</t>
  </si>
  <si>
    <t>ТП Альшаники свинарник</t>
  </si>
  <si>
    <t>ТП ул.Ржевская</t>
  </si>
  <si>
    <t>ТП ул.Коллективная</t>
  </si>
  <si>
    <t>ТП ул.Латышева</t>
  </si>
  <si>
    <t>ТП ул.Строителей</t>
  </si>
  <si>
    <t>ТП Межлесхоз Абон.</t>
  </si>
  <si>
    <t>ТП Котельная школа</t>
  </si>
  <si>
    <t xml:space="preserve">2х400    </t>
  </si>
  <si>
    <t>ТП з-д Станконормаль Абон.</t>
  </si>
  <si>
    <t>ДСПМК Абон.</t>
  </si>
  <si>
    <t>ЗТП ул.Загородная Абон.</t>
  </si>
  <si>
    <t>ТП Школа</t>
  </si>
  <si>
    <t xml:space="preserve">2х400   </t>
  </si>
  <si>
    <t>ТП ООО Авто Абон.</t>
  </si>
  <si>
    <t>ТП Льнозавод Абон.</t>
  </si>
  <si>
    <t>2х1000</t>
  </si>
  <si>
    <t>д.Конново</t>
  </si>
  <si>
    <t>ТП Конново</t>
  </si>
  <si>
    <t>д.Подвойское</t>
  </si>
  <si>
    <t>ТП Подвойское</t>
  </si>
  <si>
    <t>д.Толстики</t>
  </si>
  <si>
    <t>ТП Толстики</t>
  </si>
  <si>
    <t>д.Корчижино</t>
  </si>
  <si>
    <t>ТП Корчижино</t>
  </si>
  <si>
    <t>ТП Егорье КЗС</t>
  </si>
  <si>
    <t>ТП Егорье МТФ</t>
  </si>
  <si>
    <t>ТП Егорье</t>
  </si>
  <si>
    <t>ТП Егорье ПСЛВ</t>
  </si>
  <si>
    <t>ТП Цыганы</t>
  </si>
  <si>
    <t>д.Пушкари</t>
  </si>
  <si>
    <t>ТП Пушкари</t>
  </si>
  <si>
    <t>ТП Нестерово ц.у.</t>
  </si>
  <si>
    <t>ТП Нестерово кот.</t>
  </si>
  <si>
    <t>ТП Нестерово мастерские</t>
  </si>
  <si>
    <t>ТП Нестерово клуб</t>
  </si>
  <si>
    <t>ТП Нестерово</t>
  </si>
  <si>
    <t>ТП Заболотье ж.к.</t>
  </si>
  <si>
    <t>ТП Подвойское комплекс</t>
  </si>
  <si>
    <t>д.Шамилово</t>
  </si>
  <si>
    <t>ТП Шамилово</t>
  </si>
  <si>
    <t>ТП Шамилово ж.д.</t>
  </si>
  <si>
    <t>д.Кавельщино</t>
  </si>
  <si>
    <t>ТП Кавельщино ж.к.</t>
  </si>
  <si>
    <t>ТП Кавельщино-1</t>
  </si>
  <si>
    <t>ТП Афонино</t>
  </si>
  <si>
    <t>д.Петелино</t>
  </si>
  <si>
    <t>ТП Петелино</t>
  </si>
  <si>
    <t>д.Комары</t>
  </si>
  <si>
    <t>ТП Комары-1</t>
  </si>
  <si>
    <t>ТП Комары-2</t>
  </si>
  <si>
    <t>ТП Комары-3</t>
  </si>
  <si>
    <t>д. Кавельщино</t>
  </si>
  <si>
    <t>ТП Кавельщино-2</t>
  </si>
  <si>
    <t>ТП Кавельщино-3</t>
  </si>
  <si>
    <t>д.Шавырдино</t>
  </si>
  <si>
    <t>ТП Шавырдино</t>
  </si>
  <si>
    <t>ТП Комары ПСЛВ</t>
  </si>
  <si>
    <t>д.Сметанино</t>
  </si>
  <si>
    <t>ТП Сметанино с.с.</t>
  </si>
  <si>
    <t xml:space="preserve">ТП Сметанино </t>
  </si>
  <si>
    <t>д.Старское</t>
  </si>
  <si>
    <t>ТП Старское</t>
  </si>
  <si>
    <t>ТП Петрово</t>
  </si>
  <si>
    <t>д.Пышково</t>
  </si>
  <si>
    <t>ТП Пышково</t>
  </si>
  <si>
    <t>ТП Пышково-2</t>
  </si>
  <si>
    <t>д.Верховье</t>
  </si>
  <si>
    <t>ТП Верховье</t>
  </si>
  <si>
    <t>ТП Верховье-1</t>
  </si>
  <si>
    <t>ТП Верховье-3</t>
  </si>
  <si>
    <t>ТП Верховье-5</t>
  </si>
  <si>
    <t>ТП Верховье-6</t>
  </si>
  <si>
    <t>ТП Верховье-7</t>
  </si>
  <si>
    <t>ТП Молокозавод</t>
  </si>
  <si>
    <t>ТП Лесничество</t>
  </si>
  <si>
    <t>д.Дунаево</t>
  </si>
  <si>
    <t>ТП Дунаево</t>
  </si>
  <si>
    <t>ТП Шишкино</t>
  </si>
  <si>
    <t>д.Грибаново</t>
  </si>
  <si>
    <t>ТП Грибаново</t>
  </si>
  <si>
    <t>ТП Грибаново школа</t>
  </si>
  <si>
    <t>ТП Грибаново ж.д.</t>
  </si>
  <si>
    <t>ТП Грибаново мастер.</t>
  </si>
  <si>
    <t>ТП Грибаново телятник</t>
  </si>
  <si>
    <t>д.Антипино</t>
  </si>
  <si>
    <t>ТП Антипино МТФ</t>
  </si>
  <si>
    <t xml:space="preserve">ТП Антипино </t>
  </si>
  <si>
    <t>ТП Обухово</t>
  </si>
  <si>
    <t>40676266
(договор расторгнут 04.2014)</t>
  </si>
  <si>
    <t>Электроустановки объекта "Скоростная автомобильная дорога Москва - Санкт-Петербург на участке км 58-км 684" ОАО "Мостотрест"_Тверская область, Торжокский район, на участке км 58 - км 684" ОАО "Мостотрест"_в ОРЗТП с 15.01.2013_</t>
  </si>
  <si>
    <t>40660833
(договор расторгнут 09.04.2013)</t>
  </si>
  <si>
    <t>40674264
(договор расторгнут 04.2013)</t>
  </si>
  <si>
    <t>40673687
(договор расторгнут 04.2014)</t>
  </si>
  <si>
    <t>Леонов Д.В.</t>
  </si>
  <si>
    <t>Бетонный узел, Тверская область, Конаковский район, Новозавидовское с/п, пос. Мирный, территория СПК "Завидово"</t>
  </si>
  <si>
    <t>40805836
(договор заключен 19.03.2014)</t>
  </si>
  <si>
    <t>Торговый центр с помещениями общественного назначения_Тверская область, г. Тверь, ул. Трехсвятская, д. 32 ( земельный участок с кадастровым номером 69:40:0400066:11)</t>
  </si>
  <si>
    <t>40865640
(договор заключен 20.03.2014)</t>
  </si>
  <si>
    <t>Комбикормовый завод (техническое перевооружение)__Тверская область, конаковский район, д. Юренево</t>
  </si>
  <si>
    <t>40862408
(договор заключен 24.03.2014)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</si>
  <si>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69:02:0000017:172)</t>
  </si>
  <si>
    <t>40863338
(договор заключен 31.03.2014)</t>
  </si>
  <si>
    <t>ООО "Бизнес Ланч Экспресс"</t>
  </si>
  <si>
    <t>Электроснабжение фермы КРС_Тверская область, Кимрский район, Титовское с/п, СПК "Кимрский", примыкает к юго-восточной границе дер. Прислон (земельный участок с кадастровым номером 69:14:0000021:77)</t>
  </si>
  <si>
    <t>40857721
(договор заключен 01.04.2014)</t>
  </si>
  <si>
    <t>Костин Алексей Михайлович</t>
  </si>
  <si>
    <t>Жилой дом_Тверская область, Конаковсий район, Завидовское с/п, район д. Архангельское (земельный участок с кадастровым номером 69:15:0000027:468)</t>
  </si>
  <si>
    <t>40855029
(договор заключен 02.04.2014)</t>
  </si>
  <si>
    <t>Кондрашев Сергей Анатольевич</t>
  </si>
  <si>
    <t>Лэп-10 кВ и 3 ТП_Тверская область, Калязинский район, Старобисловское с/п, в районе дер. Парашино (земельный участок с кадастровым номером 69:11:0000014:334)</t>
  </si>
  <si>
    <t>40866599
(договор заключен 03.04.2014)</t>
  </si>
  <si>
    <t>Объекты жилищного строительства_Тверская область, Конаковский район, Завидовское с/п, д. Елдино (земельный участок с кадастровым номером 69:15:00000021:420)</t>
  </si>
  <si>
    <t>40857685
(договор заключен 09.04.2014)</t>
  </si>
  <si>
    <t>Забродский Александр Евгеньевич</t>
  </si>
  <si>
    <t>Жилой дом_Тверская область, Калининский район, Верхневолжское с/п, дер. Писково (земельный участок с кадастровым номером 69:10:0000036;397)</t>
  </si>
  <si>
    <t>40874311
(договор заключен 09.04.2014)</t>
  </si>
  <si>
    <t>Магазин_Тверская область,Калинниский район, Эммаусское с/п, пос. Эммаус (земельный участок с кадастровым номером 69:10:0260609:145)</t>
  </si>
  <si>
    <t>40865642
(договор заключен 10.04.2014)</t>
  </si>
  <si>
    <t>40848998
(договор заключен 15.04.2014)</t>
  </si>
  <si>
    <t>Крутова Нина Станиславовна</t>
  </si>
  <si>
    <t>Жилой дом_Тверская область, Конаковский район, Юрьево-Девичьевское с/п, дер. Едимоново, ул. Покровская, д. 39 (земельный участок с кадастровым номером 69:15:0090602:19)</t>
  </si>
  <si>
    <t xml:space="preserve">40869302
(договор заключен 22.04.2014) </t>
  </si>
  <si>
    <t>ООО "Антенное хозяйство"</t>
  </si>
  <si>
    <t>Нежилое помещение_Тверская область, Конаковский район, г. Конаково, проезд Торговый, д. 3, нежилое помещение 1 (кадастровый номер 69:43:0070538:94)</t>
  </si>
  <si>
    <t>40873821
(договор заключен 23.04.2014)</t>
  </si>
  <si>
    <t>Жилая застройка_Тверская область, Калининский район, Щербиниское с/п, район дер. Чудово (земельный участок с кадастровым номером 69:10:0000027:40)</t>
  </si>
  <si>
    <t>40879543
(договор заключен 23.04.2014)</t>
  </si>
  <si>
    <t>Стройплощадка_Тверская область, г. Тверь, ул. Оснабрюкская (кадастровый номер 69:40:0300159:680)</t>
  </si>
  <si>
    <t>40869553
(договор заключен 24.04.2014)</t>
  </si>
  <si>
    <t>Оганесов Грант Владимирович</t>
  </si>
  <si>
    <t>Жилой дом_Калязинский район, Нерльское с/п (земельный участок с кадастровым номером 69:11:0000020:613)</t>
  </si>
  <si>
    <t>40876837
(договор заключен 28.04.2014)</t>
  </si>
  <si>
    <t>Промышленная нагрузка_Тверская область, Торопецкий район, в/ч 11777 (земельный участок с кадастровым номером 69:34:00000019:355)</t>
  </si>
  <si>
    <t>40834822
(договор заключен 29.042014)</t>
  </si>
  <si>
    <t>СНТ_Тверская область, Удомельский район, Удомельское с/п, район южной окраины г. Удомля (земельный участок с кадастровым номером 69:35:0000020:35)</t>
  </si>
  <si>
    <t>40832081
(договор заключен 30.04.2014)</t>
  </si>
  <si>
    <t>Жигарев Александр Сергеевич</t>
  </si>
  <si>
    <t>жилой дом_Старицкий район, Новямское с/п, дер. Дегунино (земельный участок с кадастровым номером 69:32:0270401:121)</t>
  </si>
  <si>
    <t>40855032
(договор заключен 05.05.2014)</t>
  </si>
  <si>
    <t>ЛЭП-0,4 кВ для электроснабжения дачный домов_почтовый адрес ориентира: Тверская область, Удомельский район, Удомельское с/п, дер. Елманова Горка_в ОРЗТП с 31.05.2012</t>
  </si>
  <si>
    <t>40879561
(договор заключен 06.05.2014)</t>
  </si>
  <si>
    <t>Шатеев Дмитрий Александрович</t>
  </si>
  <si>
    <t>АЗС_Тверская область, Конаковский район, Первомайское с/п, п. Первое Мая (земельные участки с кадастровыми номерами 69:15:0080101:583, 69:15:0080101:586; 69:15:0080101:587; 69:15:0080101:590; 69:15:0080101:304)</t>
  </si>
  <si>
    <t>40875000
(договор заключен 08.05.2014)</t>
  </si>
  <si>
    <t>Кабанов Михаил Анатольевич</t>
  </si>
  <si>
    <t>жилой дом_Тверская область, Старицкий район, Ново-Ямское с/п, дер. Сельцо (земельный участок с кадастровым номером 69:32:0000022:943)</t>
  </si>
  <si>
    <t>40885143
(договор заключен 08.05.2014)</t>
  </si>
  <si>
    <t>ООО "Риверсайд"</t>
  </si>
  <si>
    <t>Промышленная нагрузка_Тверская обл, Конаковский район, Городенское с/п, дер. Отроковичи (земельный участок с кадастровым номером 69:15:0000013:445)</t>
  </si>
  <si>
    <t>40885115
(договор заключен 12.05.2014)</t>
  </si>
  <si>
    <t>ДНТ "Таракинский"</t>
  </si>
  <si>
    <t>ДНТ_Удомельский район, Таракинское с/п, дер. Тараки.</t>
  </si>
  <si>
    <t>40858599
(договор заключен 12.05.2014)</t>
  </si>
  <si>
    <t>ООО "Стройглавзаказчик"</t>
  </si>
  <si>
    <t>Жилые дома_г. Тверь, ул. Левитана, д. 46 и 52 (земельные участки с кадастровыми номерами 69:40:0200180:102,69:40:0200180:118, 69:40:0200180:120)</t>
  </si>
  <si>
    <t>40889458
(договор заключен 13.05.2014)</t>
  </si>
  <si>
    <t>Администрация Кашинского района Тверской области</t>
  </si>
  <si>
    <t>Водозабор с комплексом обработки воды для города Кашин Тверской области (1 очередь)_Тверская область, Кашинский район, Северная часть</t>
  </si>
  <si>
    <t xml:space="preserve">40855404
(договор заключен 12.05.2014) </t>
  </si>
  <si>
    <t>СНТ_Тверская область, Калининский район, Каблуковское с\п, СНТ "Отдых" в районе дер. Савватьево</t>
  </si>
  <si>
    <t>40888133
(договор заключен 13.05.2014)</t>
  </si>
  <si>
    <t>Башмаков Владимир Вячеславович</t>
  </si>
  <si>
    <t>Многоквартирный жилой дом_Тверская обл., Калининский район, Эммаусское с/п, плос. Эммаусс (земельный участок с кадастровым номером 69:10:0260609:163)</t>
  </si>
  <si>
    <t>40873823
(договор заключен 14.05.2014)</t>
  </si>
  <si>
    <t>ООО "Технострой"</t>
  </si>
  <si>
    <t>Производственная база_Торжокский район, пос. Славный (кадастровый номер 69:33:0111:501:476)</t>
  </si>
  <si>
    <t>40879550
(договор заключен 14.05.2014)</t>
  </si>
  <si>
    <t>СНТ_Конаковсий район, Вахонинское с/п, СНТ "Лесное"</t>
  </si>
  <si>
    <t>40886211(договор заключен 15.05.2014)</t>
  </si>
  <si>
    <t>ООО "Тверьагрострой"</t>
  </si>
  <si>
    <t>Жилая застройка "Южная ночь"_г. Тверь (земельный участок с кадастровым номером 69:40:0200180:127)</t>
  </si>
  <si>
    <t>40877059
(договор заключен 16.05.2014)</t>
  </si>
  <si>
    <t>Хирная Наталья Ивановна</t>
  </si>
  <si>
    <t>Складской комплекс_Лихославльский район, Барановское с/п, в районе дер . Челновка (земельный участок с кадастровым номером 69:19:0000021:293)</t>
  </si>
  <si>
    <t>40879959
(договор заключен 19.05.2014)</t>
  </si>
  <si>
    <t>СТ_Кимрский район, п. Центральный</t>
  </si>
  <si>
    <t xml:space="preserve">40884548
(договор заключен 21.05.2014) </t>
  </si>
  <si>
    <t>Строкань Нина Леонидовна</t>
  </si>
  <si>
    <t>Жилой дом_Торжокский район, Осташковское с/п, дер. Клин, д. 19 (земельный участок с кадастровым номером 69:33:0091501:28)</t>
  </si>
  <si>
    <t>40876808
(договор заключен 21.05.2014)</t>
  </si>
  <si>
    <t>Жилой  дом_Кимрский район, Титовское с/п, дер. Новое Село, д. 46а (кадастровый номер 69:14:21:02 02 0046:11-757: 0000/А)</t>
  </si>
  <si>
    <t>40848990
(договор заключен 23.05.2014)</t>
  </si>
  <si>
    <t>Здание по производству металлоконструкций_ Ржевский район, с/п Победа, п. Победа (земельный участок с кадастровым номером 69:27:0191301:234)</t>
  </si>
  <si>
    <t>40879955
(договор заключен 26.05.2014)</t>
  </si>
  <si>
    <t>ООО "Эксуви"</t>
  </si>
  <si>
    <t>Промышленное здание_Кимрский район, Центральное с/п, пос. Центральный, ул. Мира, д. 29 а (кадастровые номера 69:14:0193501:29, 69:14:0196605:34)</t>
  </si>
  <si>
    <t>40896020
(договор заключен 27.05.2014)</t>
  </si>
  <si>
    <t>Здание дошкольной группы_Кимрский район, Неклюдовское с/п, дер. Ново-Ивановское (земельный участок с кадастровым номером 69:14:0120601:42)</t>
  </si>
  <si>
    <t>40858075
(договор заключен 28.05.2014)</t>
  </si>
  <si>
    <t>СТ "Сокол"</t>
  </si>
  <si>
    <t>СТ_Калининский район, Никулинское с/п, СТ "Сокол", в районе дер. Курово</t>
  </si>
  <si>
    <t>40898993
(договор заключен 28.05.2014)</t>
  </si>
  <si>
    <t>Авдеев Алексей Михайлович</t>
  </si>
  <si>
    <t>Жилой дом_Старицкий район, Новоямское с/п, дер . Дегунино (земельный участок с кадастровым номером 69:32:0000027:216)</t>
  </si>
  <si>
    <t>40859650
(договор заключе 29.05.2014)</t>
  </si>
  <si>
    <t>Богачева Ирина Павловна</t>
  </si>
  <si>
    <t>Жилой дом_Старицкий район, Васильевское с/п, дер. Кошево, д. 1 (земельный участок  с кадастровым номером 69:32:200801:0001:4-558:0000\А)</t>
  </si>
  <si>
    <t xml:space="preserve">40886157
(договор заключен 29.05.2014) </t>
  </si>
  <si>
    <t>Умаров Илья Сульянович</t>
  </si>
  <si>
    <t>Пилорама_Старицкий район, Паньковское с/п, дер. Коньково</t>
  </si>
  <si>
    <t xml:space="preserve">40885146
(договор заключен 29.05.2014) </t>
  </si>
  <si>
    <t>Бакиев Арсен Эдуардович</t>
  </si>
  <si>
    <t>Жилой дом и хозпостройки_Оленинский район, Гришинское с/п, дер. Холм (земельный участок с кадастровым номером 69:23:0241901:23)</t>
  </si>
  <si>
    <t>40885704
(договор заключен 29.05.2014)</t>
  </si>
  <si>
    <t>СНТ "Пищевик"</t>
  </si>
  <si>
    <t>СНТ_Калининский район, Каблуковское с\п, с/т Пищевик, в районе дер. Савватьево</t>
  </si>
  <si>
    <t>40875180
(договор заключен 29.05.2014)</t>
  </si>
  <si>
    <t>Торгово-административный центр_г. Тверь, жилой массив "Исаевский", №55 (земельный участок с кадастровым номером 69:40:0100507:0114)</t>
  </si>
  <si>
    <t>40887985
(договор заключен 02.06.2014)</t>
  </si>
  <si>
    <t>Коммунально-бытовая нагрузка_Калининский район, Бурашевское с/п, с. Бурашево</t>
  </si>
  <si>
    <t>40866427
(договор заключен 03.06.2014)</t>
  </si>
  <si>
    <t>Путинцев Артем Викторович</t>
  </si>
  <si>
    <t>Цех по производству брикетов и пеллет_Нелидовский район, п. Межа (кадастровый номер 69:22:130202:0015:4/7-822/23:1001/Б)</t>
  </si>
  <si>
    <t>40889464
(договор заключен 04.06.2014)</t>
  </si>
  <si>
    <t>о</t>
  </si>
  <si>
    <t>Кемецкая плотина_Бологовский район, Кафкинское с/п, дер. Дмитровка, Кемецкая плотина</t>
  </si>
  <si>
    <t>40850825
(договор заключен 04.06.2014)</t>
  </si>
  <si>
    <t>Свиноводческий комплекс с законченным производственным циклом на 270 тысяч свиней в год и Скотобойня с холодильниками_Тверская область, Бежецкий район, Шишковское с.п., д. Викторово (земельный участок с кадастровым номером 69:02:0000017:172, 69:02:0000017:173, 69:02:0000017:174, 69:02:0000017:175)</t>
  </si>
  <si>
    <t>40887576
(договор заключен 04.06.2014)</t>
  </si>
  <si>
    <t>Перегудова Вероника Алексеевна</t>
  </si>
  <si>
    <t>Два жилых дома и кафе_Вышневолоцкий район, Коломенское с/п, дер. Курское , уч. 11 (земельный участок с кадастровым номером 69:06:0191101:1)</t>
  </si>
  <si>
    <t>40895874
(договор заключен 05.06.2014)</t>
  </si>
  <si>
    <t>ООО "ОРРИКС"</t>
  </si>
  <si>
    <t>Нежилое помещение_Торжокский район, дер. Большое Петрово, "зерносклад"</t>
  </si>
  <si>
    <t>40900205
(договор заключен 10.06.2014)</t>
  </si>
  <si>
    <t>Морозов Александр Николаевич</t>
  </si>
  <si>
    <t>Жилые дома_Калиниский район, Заволжское с/п, дер. Савино (земельный участок с кадастровым номером 69:10:0000021:1543)</t>
  </si>
  <si>
    <t>40893147
(договор заключен 11.06.2014)</t>
  </si>
  <si>
    <t>Гордеев Андрей Евгеньевич</t>
  </si>
  <si>
    <t>Жилой дом_Конаковский район, Городенское с/п,дер. Горки, СНТ "Новогорки", д. 10 (кадастровый номер 69:15:0000013:498, 69:15:0000013:499, 69:15:0000013:501)</t>
  </si>
  <si>
    <t>40900141
(договор заключен 16.06.2014)</t>
  </si>
  <si>
    <t>Федеральное государственное буджетное учреждение "Российский центр гражданского и патриотического воспитания детей и молодежи"</t>
  </si>
  <si>
    <t>Промышленная нагрузка_Осташковский район, Сорожское с/п, район дер. Светлица (земельный участок с кадастровым номером  69:24:0000013:228)</t>
  </si>
  <si>
    <t>40852795
(договор заключен 17.06.2014)</t>
  </si>
  <si>
    <t>ПС 110/10 кВ Лебедево</t>
  </si>
  <si>
    <t>"Индустриальный парк "Раслово" 2 очередь"_Тверская область, Калининский район, Никулинское с/п, дер. Лебедево (земельный участок с кадастровым номером 69:10:0000024:2500)</t>
  </si>
  <si>
    <t>40815451
(договор заключен 04.12.2013)</t>
  </si>
  <si>
    <t>Промышленная нагрузка_Калининский район, Никулинское с/п, дер. Лебедево (земельный участок с кадастровым номером 69:10:0000024:2810)</t>
  </si>
  <si>
    <t>ООО "Грид"</t>
  </si>
  <si>
    <t>40908097
(договор заключен 05.06.2014)</t>
  </si>
  <si>
    <t>ООО "СК АСВ"</t>
  </si>
  <si>
    <t>Асфальтобетонный завод_Калиниский район, Никулинское с/п, дер. Напрудное (земельный участок с кадастровым номером 69:10:0000024:4095)</t>
  </si>
  <si>
    <t>40873235
(договор заключен 02.04.2014)</t>
  </si>
  <si>
    <t>Стишенко Владимир Витальевич</t>
  </si>
  <si>
    <t>Жилой дом_Конаковский район, Старомелковское с/п, дер. Слобода (земельный участок с кадастровым номером 69:15:0000018:593)</t>
  </si>
  <si>
    <t>40903902 (договор заключен 11.06.2014)</t>
  </si>
  <si>
    <t>ООО "Основание"</t>
  </si>
  <si>
    <t>Жилые дома_Торжокский район, г. Торжок, Калининское шоссе (земельные участки с кадастровыми номерами 69:47:0170205:50, 69:47:0170205:51)</t>
  </si>
  <si>
    <t>40879547
(договор заключен 17.06.2014)</t>
  </si>
  <si>
    <t>Баранова Инна Вячеславовна</t>
  </si>
  <si>
    <t>Жилой дом_Калининский район, Никулинское с/п, район дер. Палкино (земельный участок с кадастровым номером 69:10:0000024:3203)</t>
  </si>
  <si>
    <t>4087317 (договор заключен 17.06.2014)</t>
  </si>
  <si>
    <t>Жилищное строительсто_Конаковский район, Мокшинское с/п, дер. Архангельское (земельный участок с кадастровым номером 69:15:0000027:249)</t>
  </si>
  <si>
    <t>40840586 (договор заключен 17.04.2014)</t>
  </si>
  <si>
    <t>40908637
(договор заключен 18.06.2014)</t>
  </si>
  <si>
    <t>Коттеджный поселок_Зубцовский район, Вазузское с/п, вблизи дер. Высокино (земельный участок с кадастровым номером 69:09:0000025:357)</t>
  </si>
  <si>
    <t>40862334
(договор заключен 20.06.2014)</t>
  </si>
  <si>
    <t>Шубин Александр Леонидович</t>
  </si>
  <si>
    <t>Жилой дом_Лихославльский район, Микшинское с/п, с. Микшино, д. 4 (кадастровые номера 69:19:160301:0011, 69:19:0160301:11:7)</t>
  </si>
  <si>
    <t xml:space="preserve">40901350 (договор заключен 23.06.2014) </t>
  </si>
  <si>
    <t>Жукова Лидия Федоровна</t>
  </si>
  <si>
    <t>Деревообрабатывающее предприятие (пилорама)_Старицкий район, Степуринское с/п, дер. Степурино (земельный участок с кадастровым номером 69:32:0311203:52)</t>
  </si>
  <si>
    <t>40903936
(договор заключен 23.06.2014)</t>
  </si>
  <si>
    <t>40867525
(договор заключен 23.06.2014)</t>
  </si>
  <si>
    <t>ПО "Универсальная база"</t>
  </si>
  <si>
    <t>Здание магазина_Конаковский район, г/п Новозавидовский, пгт. Новозавидовский, ул. Новая, д. 1 (кадастровый номер 69:15:0220121:21:12)</t>
  </si>
  <si>
    <t>40896252
(договор заключен 24.06.2014)</t>
  </si>
  <si>
    <t>Кизилова Галина Васильевна</t>
  </si>
  <si>
    <t>Взлетно-посадочная полоса_Зубцовский район, Погорельское с/п, дер. Петровское (земельный участок с кадастровым номером 69:09:0000019:428)</t>
  </si>
  <si>
    <t>40876843
(договор заключен 24.06.2014)</t>
  </si>
  <si>
    <t>Крутиков Владимир Николаевич</t>
  </si>
  <si>
    <t>Ремонтные мастерские_Калязинский район, Алферовское с/п, дер. Василево, ул. Советская (земельный участок с кадастровым номером 69:11:0180101:362, ремонтные мастерские с кадастровым номером 69:11:0000018:84:5)</t>
  </si>
  <si>
    <t>40896234 (договор заключен 01.07.2014)</t>
  </si>
  <si>
    <t>Сатвалдыев Алишер Нажмутдинович</t>
  </si>
  <si>
    <t>Цех по перемолу специй_Лихославльский район, Ильинское с/п, с. Ильинское (кадастровые номера 69:19:0221001:271)</t>
  </si>
  <si>
    <t>40904933
(договор заключен 03.07.2014)</t>
  </si>
  <si>
    <t>СТ_Калининский район, Каблуковское с/п, с/т Орша-1, в районе дер. Савватьево (земельный участок с кадастровым номером 69:10:191201:0025)</t>
  </si>
  <si>
    <t>40812236
(договор заключен 07.07.2014)</t>
  </si>
  <si>
    <t>Объект "КП ТМ на км 432,4 МГ "Серпухов-Ленинград" и км 385,1 МГ "Белоусово - Ленинград" в составе объекта "Реконструкция МГ "Серпухов -Ленинград" и МГ "Белоусово -Ленинград"_Тверская область, Бологовский район, 670 м юго-западнее населенного пункта Куженкино</t>
  </si>
  <si>
    <t>40876662
(договор заключен 07.07.2014)</t>
  </si>
  <si>
    <t>ООО "Газпром-инвест"</t>
  </si>
  <si>
    <t>Объект "КП ТМ на км 426,3 МГ "Серпухов-Ленинград" и км 377,8 МГ "Белоусово - Ленинград" в составе объекта "Реконструкция МГ "Серпухов -Ленинград" и МГ "Белоусово -Ленинград"_Бологовский район, 2100 м западнее населенного пункта Хотилово</t>
  </si>
  <si>
    <t>40876665
(договор заключен 07.07.2014)</t>
  </si>
  <si>
    <t>Объект "КП ТМ на км 340 МГ "Серпухов-Ленинград" и км 341 МГ "Белоусово - Ленинград" в составе объекта "Реконструкция МГ "Серпухов -Ленинград" и МГ "Белоусово -Ленинград"_Вышневолоцкий район, 1500 м юго-восточнее населенного пункта Борисково, в районе перехода через р. Цна существующего МГ "Белоусово - Ленинград" на левом и на правом берегах реки Цна соответственно (два объекта)</t>
  </si>
  <si>
    <t>40876667
(договор заключен 07.07.2014)</t>
  </si>
  <si>
    <t>Объект "КП ТМ на км 292 МГ "Серпухов-Ленинград" и км 234 МГ "Белоусово - Ленинград" в составе объекта "Реконструкция МГ "Серпухов -Ленинград" и МГ "Белоусово -Ленинград"_Торжокский район, 1536 м западнее населенного пункта Стружня</t>
  </si>
  <si>
    <t>40867529
(договор заключен 07.07.2014)</t>
  </si>
  <si>
    <t>ООО "Газпром - инвест"</t>
  </si>
  <si>
    <t>Объект "КП ТМ на км 262МГ "Белоусово-Ленинград" и км 262,4 МГ "Белоусово - Ленинград" в составе объекта "Реконструкция МГ "Серпухов -Ленинград" и МГ "Белоусово -Ленинград"_Тверская область, Торжокский район, 3280 м северо-западнее населенного пункта Юрьицево</t>
  </si>
  <si>
    <t>40867533 (договор заключен 07.07.2014)</t>
  </si>
  <si>
    <t>Объект "КП ТМ на км 332 МГ "Серпухов - Ленинград" и км 273 МГ "Белоусово-Ленинград" в составе объекта "Реконструкция МГ "Серпухов - Ленинград" и МГ "Белоусово - Ленинград"_Торжокский район, 600 м северо-восточнее населенного пункта Большая Киселенка</t>
  </si>
  <si>
    <t>40867528
(договор заключен 07.07.2014)</t>
  </si>
  <si>
    <t>Объект "КП ТМ на км 305,1 МГ "Серпухов - Ленинград" и км 247,9 МГ "Белоусово-Ленинград" в составе объекта "Реконструкция МГ "Серпухов - Ленинград" и МГ "Белоусово - Ленинград"_Торжокский район, 878 м юго-восточнее населенного пункта Синцово</t>
  </si>
  <si>
    <t>40867534
(договор заключен 07.07.2014)</t>
  </si>
  <si>
    <t>Объект "КП ТМ на км 279 МГ "Серпухов - Ленинград" и км 223 МГ "Белоусово-Ленинград" в составе объекта "Реконструкция МГ "Серпухов - Ленинград" и МГ "Белоусово - Ленинград"_Торжокский район, 1200 м восточнее населенного пункта Тредубье</t>
  </si>
  <si>
    <t>40867531
(договор заключен 07.07.2014)</t>
  </si>
  <si>
    <t>Объект "КП ТМ на км 313,1 МГ "Серпухов - Ленинград" и км 254,5 МГ "Белоусово-Ленинград" в составе объекта "Реконструкция МГ "Серпухов - Ленинград" и МГ "Белоусово - Ленинград"_Торжокский район, 570 м севоро-западнее населенного пункта Сафониха</t>
  </si>
  <si>
    <t>40867540
(договор заключен 07.07.2014)</t>
  </si>
  <si>
    <t>Объект "КП ТМ на км 448 МГ "Серпухов - Ленинград" и км 400 МГ "Белоусово-Ленинград" в составе объекта "Реконструкция МГ "Серпухов - Ленинград" и МГ "Белоусово - Ленинград"_Тверская область, Бологовский район, 470 м севернее населенного пункта Старый Березай</t>
  </si>
  <si>
    <t>40879486
(договор заключен 07.07.2014)</t>
  </si>
  <si>
    <t>40890743
(договор заключен 08.07.2014)</t>
  </si>
  <si>
    <t>Электроснабжение объекта "Парок. Тверской завод по производству каменной ваты"_Тверская область, Конаковский район, г/п. пос. Изоплит, пгт. Изоплит (земельный участок с кадастровым номером 69:15:0000015:1818) _в ОРЗТП с 03.07.2012</t>
  </si>
  <si>
    <t>ООО "ЭМО"</t>
  </si>
  <si>
    <t>Коттеджный  поселок_Торжоксткий район, Марьинское с/п, дер. Крупшево (земельный участок с кадастровым номером 69:33:0221101:1)</t>
  </si>
  <si>
    <t>40876849 (договор заключен 10.07.2014)</t>
  </si>
  <si>
    <t>МОУ "Медновская СОШ"</t>
  </si>
  <si>
    <t>Газовая котельная_Калининский район, Медновское с/п, с. Медное, ул. Школьная, д. 21 (земельный участок с кадастровым номером 69:10:0081608:5)</t>
  </si>
  <si>
    <t>40919716 
(договор заключен 11.07.2014)</t>
  </si>
  <si>
    <t>Производственная линия завода_Тверская область, г. Тверь, проезд Мелиораторов, д. 3б</t>
  </si>
  <si>
    <t>40908001
(договор заключен 15.07.2014)</t>
  </si>
  <si>
    <t>ООО "Гатчинатеплострой"</t>
  </si>
  <si>
    <t>Временное электроснабжение полевого городка_Бологовский район, Куженкинское с/п.</t>
  </si>
  <si>
    <t>40917274
(договор заключен 15.07.2014)</t>
  </si>
  <si>
    <t>Магазин_Тверская область, г. Тверь, ул. Шишково (земельный участок с кадастровым номером 69:40:0100508:11)</t>
  </si>
  <si>
    <t>40928190
(договор заключен 17.07.2014)</t>
  </si>
  <si>
    <t>СНТ "Солнышко"</t>
  </si>
  <si>
    <t>Дачные дома_Тверская область, Нелидовский район, г. Нелидово, п. Шахта 7</t>
  </si>
  <si>
    <t xml:space="preserve">40906667
(договор заключен 21.07.2014) </t>
  </si>
  <si>
    <t>49-ТП/04-07
(договор расторгнут 28.01.2014)</t>
  </si>
  <si>
    <t>40253337
(договор 24.02.2014)</t>
  </si>
  <si>
    <t>40312394
(договор расторгнут 06.02.2014)</t>
  </si>
  <si>
    <t>324-01-ТП договор расторгнут
(05.02.2007)</t>
  </si>
  <si>
    <t>188-ТП/06-08
(договор расторгнут 26.05.2014)</t>
  </si>
  <si>
    <t>260-ТП/12-08
(договор расторгнут 26.05.2014)</t>
  </si>
  <si>
    <t>ТВ 323-01-ТВ от 27.02.2007г
(договор расторгнут 25.05.2014)</t>
  </si>
  <si>
    <t>ТВ 326-01-ТВ от 27.02.2007г (договор расторгнут 26.05.2014)</t>
  </si>
  <si>
    <t>ТВ 328-01-ТВ от 27.02.2007г (договор расторгнут 26.05.2014)</t>
  </si>
  <si>
    <t>ТВ 327-01-ТВ от 27.02.2007г
(договор расторгнут 26.05.2014)</t>
  </si>
  <si>
    <t>79-ТП/10/07
(договор расторгнут 26.05.14)</t>
  </si>
  <si>
    <t>71-ТП/09-07
(договор расторгнут 26.05.2014)</t>
  </si>
  <si>
    <t>40750678
(договор расторгнут 25.03.2014)</t>
  </si>
  <si>
    <t>154-ТП/03-08
(договор расторгнут 11.06.2014 г.)</t>
  </si>
  <si>
    <t>40789639
(договор расторгнут 05.06.2014)</t>
  </si>
  <si>
    <t>40519899
(договор расторгнут 20.03.2014)</t>
  </si>
  <si>
    <t>40401351
(договор расторгнут 16.01.2014)</t>
  </si>
  <si>
    <t>40620983
(договор расторгнут 30.04.14)</t>
  </si>
  <si>
    <t>40381005
(договор расторгнут 21.03.2014)</t>
  </si>
  <si>
    <t>40535337
(договор расторгнут 23.05.2014)</t>
  </si>
  <si>
    <t>40681501
(договор расторгнут 21.04.2014)</t>
  </si>
  <si>
    <t>40349956
(договор расторгнут 24.01.2014)</t>
  </si>
  <si>
    <t>40308832
(договор
расторгнут
03.03.2014)</t>
  </si>
  <si>
    <t>Расчет пропускной способности Центров питания  филиала ОАО "МРСК Центра" Тверьэнерго по итогам зимнего замера максимума нагрузки в декабре 2013 г. и летнего замера максимума нагрузки в июне 2014 г.</t>
  </si>
  <si>
    <t>Перечень закрытых центров питания ОАО "МРСК Центра"  по зимним нагрузкам 2013 года и летним нагрузкам 2014 года (текущий дефицит мощности).</t>
  </si>
  <si>
    <t>Бочурино</t>
  </si>
  <si>
    <t>Загорье</t>
  </si>
  <si>
    <t>Нелидовский РЭС</t>
  </si>
  <si>
    <t>д.Белая Гора</t>
  </si>
  <si>
    <t>д.Большая Каменка</t>
  </si>
  <si>
    <t xml:space="preserve"> д.Бор</t>
  </si>
  <si>
    <t>д.Максимова Гора</t>
  </si>
  <si>
    <t xml:space="preserve">п. Монино  </t>
  </si>
  <si>
    <t xml:space="preserve">д.Нивы </t>
  </si>
  <si>
    <t xml:space="preserve">д.Никулинка </t>
  </si>
  <si>
    <t>д.Пустое Подлесье</t>
  </si>
  <si>
    <t xml:space="preserve">п.Селы </t>
  </si>
  <si>
    <t>КТП-6кВ Котедж</t>
  </si>
  <si>
    <t xml:space="preserve">п.Северный </t>
  </si>
  <si>
    <t xml:space="preserve">д.Кривцово </t>
  </si>
  <si>
    <t xml:space="preserve">д.Новоселки </t>
  </si>
  <si>
    <t>д.Дятловский Тупик</t>
  </si>
  <si>
    <t>д. Макарьево</t>
  </si>
  <si>
    <t>д.Малая Хмелевка</t>
  </si>
  <si>
    <t>д. Нивы</t>
  </si>
  <si>
    <t>д. Поповцево</t>
  </si>
  <si>
    <t>МТП-10 кВ Поповцево</t>
  </si>
  <si>
    <t xml:space="preserve">ТП184   </t>
  </si>
  <si>
    <t>абонентская ЗТП №6</t>
  </si>
  <si>
    <t xml:space="preserve">КТП-10кВ Обудово-2  </t>
  </si>
  <si>
    <t xml:space="preserve">ЗТП-10кВ Обудово-4 </t>
  </si>
  <si>
    <t>Максатихинский РЭС</t>
  </si>
  <si>
    <t>ТП 10/0,4 кВ 350 п. Ривицкий</t>
  </si>
  <si>
    <t>ТП 10/0,4 кВ 351 п. Ривицкий</t>
  </si>
  <si>
    <t>ТП 10/0,4 кВ 352 п. Ривицкий</t>
  </si>
  <si>
    <t>ТП 10/0,4 кВ 353 п. Ривицкий</t>
  </si>
  <si>
    <t>ТП 10/0,4 кВ 354 п. Ривицкий</t>
  </si>
  <si>
    <t>ТП 10/0,4 кВ 355 п. Ривицкий</t>
  </si>
  <si>
    <t>ТП 10/0,4 кВ 356 п. Ривицкий</t>
  </si>
  <si>
    <t>ТП 10/0,4 кВ 357 п. Ривицкий</t>
  </si>
  <si>
    <t>ТП 10/0,4 кВ 334 д. Мокшицы</t>
  </si>
  <si>
    <t>ЗТПП-10кВ №25 "Водозабор"п.Максатиха</t>
  </si>
  <si>
    <t>КТП-10 кВ "Пятерочка"п.Максатиха</t>
  </si>
  <si>
    <t>РП-10 "М-район" п. Максатиха</t>
  </si>
  <si>
    <t>ЗТП-10кВ №33 "Больница"п.Максатиха</t>
  </si>
  <si>
    <t>ЗТПП-10кВ №39 "РДК"п.Максатиха</t>
  </si>
  <si>
    <t>ЗТПП-10кВ №40 "Универмаг"п.Максатиха</t>
  </si>
  <si>
    <t>2*160</t>
  </si>
  <si>
    <t>КТП 152  д.Тихоново</t>
  </si>
  <si>
    <t>КТП -10кВ Никитское-2 ф10 ПС Луч</t>
  </si>
  <si>
    <t>д.Лисьи Горы</t>
  </si>
  <si>
    <t>3</t>
  </si>
  <si>
    <t>110</t>
  </si>
  <si>
    <t>2</t>
  </si>
  <si>
    <t>48</t>
  </si>
  <si>
    <t>14</t>
  </si>
  <si>
    <t>210</t>
  </si>
  <si>
    <t>26</t>
  </si>
  <si>
    <t>140</t>
  </si>
  <si>
    <t>112</t>
  </si>
  <si>
    <t>24</t>
  </si>
  <si>
    <t xml:space="preserve">д.Гутты, </t>
  </si>
  <si>
    <t>15</t>
  </si>
  <si>
    <t>188</t>
  </si>
  <si>
    <t>360</t>
  </si>
  <si>
    <t>12</t>
  </si>
  <si>
    <t>11</t>
  </si>
  <si>
    <t>45</t>
  </si>
  <si>
    <t>д.Покровка</t>
  </si>
  <si>
    <t>м-н Южный</t>
  </si>
  <si>
    <t>58</t>
  </si>
  <si>
    <t>44</t>
  </si>
  <si>
    <t>32</t>
  </si>
  <si>
    <t>128</t>
  </si>
  <si>
    <t>67</t>
  </si>
  <si>
    <t>167</t>
  </si>
  <si>
    <t>69</t>
  </si>
  <si>
    <t>79</t>
  </si>
  <si>
    <t>42</t>
  </si>
  <si>
    <t>21</t>
  </si>
  <si>
    <t>16</t>
  </si>
  <si>
    <t>29</t>
  </si>
  <si>
    <t>д.Степная Нива</t>
  </si>
  <si>
    <t>д.Большое Плоское</t>
  </si>
  <si>
    <t>190</t>
  </si>
  <si>
    <t>68</t>
  </si>
  <si>
    <t>72</t>
  </si>
  <si>
    <t>13</t>
  </si>
  <si>
    <t>18</t>
  </si>
  <si>
    <t>98</t>
  </si>
  <si>
    <t>4</t>
  </si>
  <si>
    <t>35</t>
  </si>
  <si>
    <t>265</t>
  </si>
  <si>
    <t>78</t>
  </si>
  <si>
    <t>41</t>
  </si>
  <si>
    <t>89</t>
  </si>
  <si>
    <t>264</t>
  </si>
  <si>
    <t>19</t>
  </si>
  <si>
    <t>28</t>
  </si>
  <si>
    <t>138</t>
  </si>
  <si>
    <t>310</t>
  </si>
  <si>
    <t>114</t>
  </si>
  <si>
    <t>109</t>
  </si>
  <si>
    <t>144</t>
  </si>
  <si>
    <t>120</t>
  </si>
  <si>
    <t>37</t>
  </si>
  <si>
    <t>52</t>
  </si>
  <si>
    <t>46</t>
  </si>
  <si>
    <t>385</t>
  </si>
  <si>
    <t>122</t>
  </si>
  <si>
    <t>39</t>
  </si>
  <si>
    <t>92</t>
  </si>
  <si>
    <t>129</t>
  </si>
  <si>
    <t>119</t>
  </si>
  <si>
    <t>96</t>
  </si>
  <si>
    <t>33</t>
  </si>
  <si>
    <t>17</t>
  </si>
  <si>
    <t>д.Никулина Гора</t>
  </si>
  <si>
    <t>49</t>
  </si>
  <si>
    <t>82</t>
  </si>
  <si>
    <t>85</t>
  </si>
  <si>
    <t>д.Большая Переходня</t>
  </si>
  <si>
    <t>23</t>
  </si>
  <si>
    <t>36</t>
  </si>
  <si>
    <t>д.Малое Звягино</t>
  </si>
  <si>
    <t>71</t>
  </si>
  <si>
    <t>64</t>
  </si>
  <si>
    <t>31</t>
  </si>
  <si>
    <t>д.Новый Посёлок</t>
  </si>
  <si>
    <t>с.Новый Стан</t>
  </si>
  <si>
    <t>22</t>
  </si>
  <si>
    <t>61</t>
  </si>
  <si>
    <t>130</t>
  </si>
  <si>
    <t>РЗА на стороне 10 кВ. Мероприятия по устранению: ограничивающий фактор реле РТВ на вводе. Необходима замена на МПУ.</t>
  </si>
  <si>
    <t>РЗА Т-1(10 кВ). Мероприятия по устранению: ограничивающий фактор реле РТВ на вводе. Необходима замена на МПУ.</t>
  </si>
  <si>
    <t>РЗАТ-2. Ограничений по РЗА в данный момент нет. Ограничение по ТТ (300/5)</t>
  </si>
  <si>
    <t>РЗА Т-1 на стороне 10 кВ. Мероприятия по снятию ограничения: ограничивающий фактор - реле РТВ на вводе. Необходима замена на МПУ.</t>
  </si>
  <si>
    <t>ТТ, РЗА. Ограничивающий фактор: 5,67 МВА. Ограничение по условию согласования защит с учетом нагрузки смежной стороны трансформатора. Технических мероприятий нет.</t>
  </si>
  <si>
    <t>РЗА. Ввод 35 кВ. Ограничивающий фактор: 2, 94 МВА. Ограничение по условию согласования защит с учетом нагрузки смежной стороны трансформатора. Технических мероприятий нет.</t>
  </si>
  <si>
    <t>РЗА на стороне 10 кВ. Ограничение: 19,16 МВА. Ограничение по условию согласования защит с учетом нагрузки смежной стороны трансформатора. Технических мероприятий нет.</t>
  </si>
  <si>
    <t xml:space="preserve">Ошиновка Т-1,2, шины, разъединители 10 кВ на вводах и секционные на 400 А </t>
  </si>
  <si>
    <t>ООО "ДСП"</t>
  </si>
  <si>
    <t>Производственная база_Торжокский район, пос. Славный (кадастровый номер 69:33:0111:501:479)</t>
  </si>
  <si>
    <t>40938928
(договор заключен 25.07.2014)</t>
  </si>
  <si>
    <t>ООО "Хольцпласт"</t>
  </si>
  <si>
    <t>Электроустановки_Тверская область, Калининский район, Эммаусское с\п, район дер. Эммаус (земельный участок с кадастровым номером 69:10:000026:0304)</t>
  </si>
  <si>
    <t>40919764
(договор заключен 25.07.2014)</t>
  </si>
  <si>
    <t>ЗАО "АВС Капитал"</t>
  </si>
  <si>
    <t xml:space="preserve">Административное здание_почтовый адрес ориентира: Тверская область, Калининский район, Эммаусское с/п, пос.Эммаусс, д. 29 (земельный участок с кадастровым номером 69:10:0260609:94) </t>
  </si>
  <si>
    <t>40888037
(договор заключен 30.07.2014)</t>
  </si>
  <si>
    <t>Лаврега Геннадий Анатольевич</t>
  </si>
  <si>
    <t>Жилой дом_почтовый адрес ориентира: Тверская область, Кашинский район, Барыковское с/п, д. Малечкино, д. 52 (земельный участок с кадастровым номером 69:12:0253301:62)</t>
  </si>
  <si>
    <t>40917256
(договор заключен 04.08.2014)</t>
  </si>
  <si>
    <t>База отдыха_Тверская область, Калининский район, Никулинское с/п, дер. Трояново (земельный участок с кадастровым номером 69:10:0000024:1384)</t>
  </si>
  <si>
    <t>40919708
(договор заключен 05.08.2014)</t>
  </si>
  <si>
    <t>ООО "СевЗаппромпроект"</t>
  </si>
  <si>
    <t>Административное здание_Тверская область, Бологовский район, Гузятинское с/п (земельный участок с кадастровым номером 69:04:0000013:214)</t>
  </si>
  <si>
    <t>40903038
(договор заключен 06.08.2014)</t>
  </si>
  <si>
    <t>СНТ "Шоша-2"</t>
  </si>
  <si>
    <t>СНТ_Местоположение ориентира: Тверская область, Зубцовский район, с/п Княжьегорское, дер. Шоша (земельный участок с кадастровым номером 69:09:0000023:237)</t>
  </si>
  <si>
    <t>40855836
(договор заключен 08.08.2014)</t>
  </si>
  <si>
    <t>Существующие две ЛЭП-10 кВ и РТП № 30_Тверская область, г. Тверь, ул. Марии Смирновой, д. 9 (кадастровый номер 69:40:0300159:27:6)</t>
  </si>
  <si>
    <t>40938944
(договор заключен 08.08.2014)</t>
  </si>
  <si>
    <t>Гренкова Екатерина Николаевна</t>
  </si>
  <si>
    <t>Магазин_г. Тверь (земельный участок с кадастровым номером 69:40:0300159:689)</t>
  </si>
  <si>
    <t>40938940
(договор заключен 08.08.2014)</t>
  </si>
  <si>
    <t>Магазин "Магнит"_почтовый адрес ориентира: Тверская область, Краснохолмский район, г. Красный Холм, ул. Калинина, д. 14/16 (кадастровый номер 69:16:0070129:70)</t>
  </si>
  <si>
    <t>40904555
(договор заключен 11.08.2014)</t>
  </si>
  <si>
    <t xml:space="preserve">2014 г. </t>
  </si>
  <si>
    <t>ЛЭП-0,4 кВ для электроснабжений предприятия розничной торговли_Тверская область, Максатихинский район, пгт Максатиха, ул. Спортивная (земельный участок с кадастровым номером 69:20:0070123:71)_в ОРЗТП с 27.03.13 г.</t>
  </si>
  <si>
    <t>Магазин "Магнит"_почтовый адрес ориентира: Тверская область, Максатихинский район, пкт. Максатиха, ул. Спортивная, д. 20 б (кадастровый номер 69:20:0070123:364)</t>
  </si>
  <si>
    <t>Жилой городок ВТФ "Мостотряд-81"_почтовый адрес ориентира: Тверская область, Бологовский район, Куженкинское с/п, дер. Куженкино, в границах СПК "Хотилово"</t>
  </si>
  <si>
    <t>40908076
(договор заключен 12.08.2014)</t>
  </si>
  <si>
    <t>Яковлева Татьяна Анатольевна</t>
  </si>
  <si>
    <t>Жилой дом_Калязинский район, Нерльское с/п, вблизи деревни Коротково (земельный участок с кадастровым номером 69:11:0000020:352)</t>
  </si>
  <si>
    <t>40931763
(договор заключен 15.08.2014)</t>
  </si>
  <si>
    <t>Жилой дом_Калязинский район, Нерльское с/п, дер. Сорокино (земельный участок с кадастровым номером 69:11:0000020:678)</t>
  </si>
  <si>
    <t>40931764
(договор заключен 15.08.2014)</t>
  </si>
  <si>
    <t>Пилюшкин Андрей Анатольевич</t>
  </si>
  <si>
    <t>Торгово-офисное здание_Тверская область, г. Торжок, ул. Мира, д. 25 (кадастровый номер 1/2 части здания 69:47:0130516:95)</t>
  </si>
  <si>
    <t>40933067
(договор заключен 18.08.2014)</t>
  </si>
  <si>
    <t>Торгово-ресторанный комплекс_Тверская область, Калининский район, Эммаусское с/п, пос. Эммаусс, вдоль трассы Москва-Санкт-Петербург, 152 км + 350 м (право) (земельный участок с кадастровым номером 69:10:0260609:93)</t>
  </si>
  <si>
    <t>40941641
(договор заключен 20.08.2014)</t>
  </si>
  <si>
    <t>ООО "Экомир"</t>
  </si>
  <si>
    <t>Ферма_Тверская область, Жарковский район, Щучейское с/п, дер. Крутик (земельный участок с кадастровым номером 69:07:0141101:3)</t>
  </si>
  <si>
    <t>40918625
(договор заключен 21.08.2014)</t>
  </si>
  <si>
    <t>ООО "Дуэт"</t>
  </si>
  <si>
    <t>Овощехранилище_Тверская область, Кесовогородский район, Лисковское с/п, дер. Лисково (земельный участок с кадастровым номером 69:13:0160701:652)</t>
  </si>
  <si>
    <t>40928709
(договор заключен 22.08.2014)</t>
  </si>
  <si>
    <t>ООО "Оргтехстрой"</t>
  </si>
  <si>
    <t>Цех детского питания_Тверская область, г. Тверь, ул. Плеханова, д. 42 (кадастровые номера 69:40:0100122:904, 69:40:01:00:122:019:1\021186\37\10000\Д)</t>
  </si>
  <si>
    <t>40917276
(договор заключен 25.08.2014)</t>
  </si>
  <si>
    <t>Алипенко Станислав Николаевич</t>
  </si>
  <si>
    <t>Жилая застройка_почтовый адрес ориентира: Тверская область, Калининский район, Заволжское с/п, в районе дер. Мухино-Городище (земельный участок с кадастровым номером 69:10:0000023:550)</t>
  </si>
  <si>
    <t>40918626
(договор заключен 25.08.2014)</t>
  </si>
  <si>
    <t>СНТ "Радуга"</t>
  </si>
  <si>
    <t>Дачные дома_Тверская область, Калининский район, Аввакумовское с.п., СНТ "Радуга" в районе дер. Сокол</t>
  </si>
  <si>
    <t>40946945
(договор заключен 01.09.2014)</t>
  </si>
  <si>
    <t>Федоров Роман Игоревич</t>
  </si>
  <si>
    <t>Овощехранилище_Тверская область, Калининский район, Верхневолжское с/п, район дер. Митенево (кадастровый номер 69:10:0350601:0:29)</t>
  </si>
  <si>
    <t>40946935
(договор заключен 03.09.2014)</t>
  </si>
  <si>
    <t>Немцова Светлана Александровна</t>
  </si>
  <si>
    <t>Жилая застройка_Тверская область, Калининский район, Бурашевское с/п, дер. Красная Новь (земельный участок с кадастровым номером 69:10:0000025:2748)</t>
  </si>
  <si>
    <t>40946975
(договор заключен 03.09.2014)</t>
  </si>
  <si>
    <t>Администрация Давыдовского сельского поселения Кашинского района Тверской области</t>
  </si>
  <si>
    <t>Жилой многоквартирный дом_Тверская область, Кашинский район, Давыдовское с/п, дер. Давыдово</t>
  </si>
  <si>
    <t>40924040
(договор заключен 05.09.2014)</t>
  </si>
  <si>
    <t>Трембовельская Татьяна Глебовна</t>
  </si>
  <si>
    <t>Зерносклад_Тверская область, Зубцовский район, Зубцовское с/п, вблизи дер. Брычево (кадастровые номера 69:09:0000008:839, 69:09:0000008:704, 69:09:0000008:0:3)</t>
  </si>
  <si>
    <t>40947626
(договор заключен 05.09.2014)</t>
  </si>
  <si>
    <t>ЗАО "Агромарус"</t>
  </si>
  <si>
    <t>Детский сад_Тверская область, Калининский район, Верхневолжское с/п, с. Пушкино, д. 68 (кадастровый номер 69:10:0360401:454)</t>
  </si>
  <si>
    <t>40954454
(договор заключен 09.09.2014)</t>
  </si>
  <si>
    <t>Промышленная нагрузка_Тверская область, г. Тверь, ул. Сердюковская, д. 17 (кадастровый номер 69:40:02:00:065:0006:1\021368\37:10000\В, В1)</t>
  </si>
  <si>
    <t>40942662
(договор заключен 11.09.2014)</t>
  </si>
  <si>
    <t>Керимзаде Мехман Маил оглы</t>
  </si>
  <si>
    <t>Коммунально-бытовая нагрузка_Тверская область, г. Тверь, ул. Ткача, у дома №7 (кадастровый номер 69:40:0300097:1036)</t>
  </si>
  <si>
    <t>40961009
(договор заключен 12.09.2014)</t>
  </si>
  <si>
    <t>Агаджанян Гоар Леваевна</t>
  </si>
  <si>
    <t>Ферма_Тверская область, Конаковский район, Завидовское с/п, с. Завидово (кадастровый номер 69:15:00:00:00:0000:16-878:1000/А)</t>
  </si>
  <si>
    <t>40921040
(договор заключен 12.09.2014)</t>
  </si>
  <si>
    <t>Баранов Валерий Викторович</t>
  </si>
  <si>
    <t>Строительная площадка жилого дома_Зубцовский район, Зубцовское с/п, дер. Алексино (земельный участок с кадастровым номером 69:09:090201:0013)</t>
  </si>
  <si>
    <t>40955861
(договор заключен 12.09.2014)</t>
  </si>
  <si>
    <t>Жилая застройка , состоящая из 43 жилых домов_Вышневолоцкий район, Солнечное с/п, пос. Солнечный, ул. Молодежная</t>
  </si>
  <si>
    <t>40942999
(договор заключен 15.09.2014)</t>
  </si>
  <si>
    <t>ООО "Сельмаш Лизинг"</t>
  </si>
  <si>
    <t>24-х квартирный жилой дом_Калининский район, Каблуковское с/п, дер. Савватьево (земельный участок с кадастровым номером 69:10:0190501:39)</t>
  </si>
  <si>
    <t>40943435
(договор заключен 16.09.2014)</t>
  </si>
  <si>
    <t>Дачные дома_Тверская область, Калининский район, Каблуковское с/п, район д. Савватьево, земельные участки членов СНТ "Медик"</t>
  </si>
  <si>
    <t>40955894
(договор заключен 16.09.2014)</t>
  </si>
  <si>
    <t>Крылов Алексей Александрович</t>
  </si>
  <si>
    <t>Коттеджный поселок _Калининский район, Красногорское с/п, дер. Некрасово (кадастровый номер 69:10:000038:1215)</t>
  </si>
  <si>
    <t>40957374
(договор заключен 17.09.2014)</t>
  </si>
  <si>
    <t>Производственное здание_Калининский район, Верхневолжское с/п, дер. Арисково (кадастровые номера 69:10:29:07:01:0019:7-269:1000/А, 69:10:29:07:01:0019)</t>
  </si>
  <si>
    <t>40956019
(договор заключен 18.09.2014)</t>
  </si>
  <si>
    <t>КТПП Удомельский ЖК</t>
  </si>
  <si>
    <t>Ясная поляна-2</t>
  </si>
  <si>
    <t>ТП 0</t>
  </si>
  <si>
    <t>Сведения о наличии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ниже 35 кВ филиала ОАО "МРСК Центра" - "Тверьэнерго" за III-й квартал 2014 года</t>
  </si>
  <si>
    <t>* Для потребителей 3 категории надежности; для потребителей 1 и 2 категории надежности расчет производится при проектировании</t>
  </si>
  <si>
    <t>1989/-</t>
  </si>
  <si>
    <t>1,6</t>
  </si>
  <si>
    <t>открыт</t>
  </si>
  <si>
    <t>1984/2012</t>
  </si>
  <si>
    <t>1985/-</t>
  </si>
  <si>
    <t>1982/2011</t>
  </si>
  <si>
    <t>1983/-</t>
  </si>
  <si>
    <t>1979/-</t>
  </si>
  <si>
    <t>2,5</t>
  </si>
  <si>
    <t>1982/-</t>
  </si>
  <si>
    <t>1968/-</t>
  </si>
  <si>
    <t>1981/-</t>
  </si>
  <si>
    <t>1985/2012</t>
  </si>
  <si>
    <t>1,8</t>
  </si>
  <si>
    <t>1976/-</t>
  </si>
  <si>
    <t>1964/-</t>
  </si>
  <si>
    <t>1980/-</t>
  </si>
  <si>
    <t>1991/-</t>
  </si>
  <si>
    <t>1980/2012</t>
  </si>
  <si>
    <t>1969/2011</t>
  </si>
  <si>
    <t>1994/-</t>
  </si>
  <si>
    <t>1979/2012</t>
  </si>
  <si>
    <t>6,3</t>
  </si>
  <si>
    <t>1978/-</t>
  </si>
  <si>
    <t>1998/-</t>
  </si>
  <si>
    <t>1966/-</t>
  </si>
  <si>
    <t>5,6</t>
  </si>
  <si>
    <t>1967/-</t>
  </si>
  <si>
    <t>1990/-</t>
  </si>
  <si>
    <t>1+1</t>
  </si>
  <si>
    <t>1967/2011</t>
  </si>
  <si>
    <t>2,5+4</t>
  </si>
  <si>
    <t>1964/2011</t>
  </si>
  <si>
    <t>6,3+4</t>
  </si>
  <si>
    <t>1961/-</t>
  </si>
  <si>
    <t>4+2,5</t>
  </si>
  <si>
    <t>2,5+2,5</t>
  </si>
  <si>
    <t>1975/-</t>
  </si>
  <si>
    <t>1,6+2,5</t>
  </si>
  <si>
    <t>4+3,2</t>
  </si>
  <si>
    <t>6,3+6,3</t>
  </si>
  <si>
    <t>25+25</t>
  </si>
  <si>
    <t>1984/-</t>
  </si>
  <si>
    <t>10+10</t>
  </si>
  <si>
    <t>1960/-</t>
  </si>
  <si>
    <t>1978/2011</t>
  </si>
  <si>
    <t>1962/-</t>
  </si>
  <si>
    <t>1970/-</t>
  </si>
  <si>
    <t>1972/-</t>
  </si>
  <si>
    <t>1+1,6</t>
  </si>
  <si>
    <t>6,3+10</t>
  </si>
  <si>
    <t>1986/-</t>
  </si>
  <si>
    <t>3,2+4</t>
  </si>
  <si>
    <t>1+1,8</t>
  </si>
  <si>
    <t>3,2+3,2</t>
  </si>
  <si>
    <t>1988/-</t>
  </si>
  <si>
    <t>2,5+1,6</t>
  </si>
  <si>
    <t>1,6+1,6</t>
  </si>
  <si>
    <t>4+4</t>
  </si>
  <si>
    <t>1,8+2,5</t>
  </si>
  <si>
    <t>1988/2011</t>
  </si>
  <si>
    <t>1,8+4</t>
  </si>
  <si>
    <t>1973/-</t>
  </si>
  <si>
    <t>1,6+1,8</t>
  </si>
  <si>
    <t>1974/2012</t>
  </si>
  <si>
    <t>2,5+3,2</t>
  </si>
  <si>
    <t>1971/2011</t>
  </si>
  <si>
    <t>1,8+1,6</t>
  </si>
  <si>
    <t>1987/-</t>
  </si>
  <si>
    <t>1974/-</t>
  </si>
  <si>
    <t>7,5+10</t>
  </si>
  <si>
    <t>1957/-</t>
  </si>
  <si>
    <t>40+40</t>
  </si>
  <si>
    <t>25+20</t>
  </si>
  <si>
    <t>16+16</t>
  </si>
  <si>
    <t>1959/-</t>
  </si>
  <si>
    <t>1977/-</t>
  </si>
  <si>
    <t>1963/-</t>
  </si>
  <si>
    <t>5,6+6,3</t>
  </si>
  <si>
    <t>1992/-</t>
  </si>
  <si>
    <t>1954/-</t>
  </si>
  <si>
    <t>2,5+1,8</t>
  </si>
  <si>
    <t>40+25</t>
  </si>
  <si>
    <t>1963/2011</t>
  </si>
  <si>
    <t>1969/-</t>
  </si>
  <si>
    <t>1987/2011</t>
  </si>
  <si>
    <t>1+2,5</t>
  </si>
  <si>
    <t>1988/2013</t>
  </si>
  <si>
    <t>1965/2011</t>
  </si>
  <si>
    <t>5,6+5,6</t>
  </si>
  <si>
    <t>16+10</t>
  </si>
  <si>
    <t>1989/2011</t>
  </si>
  <si>
    <t>1971/-</t>
  </si>
  <si>
    <t>40,5+40</t>
  </si>
  <si>
    <t>1949/-</t>
  </si>
  <si>
    <t>1939/-</t>
  </si>
  <si>
    <t>1955/-</t>
  </si>
  <si>
    <t>1995/-</t>
  </si>
  <si>
    <t>2,5+6,3</t>
  </si>
  <si>
    <t>1947/-</t>
  </si>
  <si>
    <t>1956/-</t>
  </si>
  <si>
    <t>2014/-</t>
  </si>
  <si>
    <t>1965/-</t>
  </si>
  <si>
    <t>10+3,2</t>
  </si>
  <si>
    <t>1970/2012</t>
  </si>
  <si>
    <t>1975/2011</t>
  </si>
  <si>
    <t>4+6,3</t>
  </si>
  <si>
    <t>1958/2012</t>
  </si>
  <si>
    <t>5,6+4</t>
  </si>
  <si>
    <t>1953/2010</t>
  </si>
  <si>
    <t>1953/-</t>
  </si>
  <si>
    <t>1946/-</t>
  </si>
  <si>
    <t>1,8+1,8</t>
  </si>
  <si>
    <t>10+6,3</t>
  </si>
  <si>
    <t>10+16</t>
  </si>
  <si>
    <t>1976/2012</t>
  </si>
  <si>
    <t>16+10+10</t>
  </si>
  <si>
    <t>1951/-</t>
  </si>
  <si>
    <t>10+10+10</t>
  </si>
  <si>
    <t>40+40,5</t>
  </si>
  <si>
    <t>10+25</t>
  </si>
  <si>
    <t>0,56</t>
  </si>
  <si>
    <t>2005/-</t>
  </si>
  <si>
    <t>63+63</t>
  </si>
  <si>
    <t>1983/2012</t>
  </si>
  <si>
    <t xml:space="preserve">*Данная вкладка является дублирующей вкладкой "Итоговая" и  приведена в ОЗНАКОМИТЕЛЬНЫХ (вспомогательных) целях так как является приложением к программе по графическому и цветовому отображению подстанций на местности. Текущий и перспективный статус подстанций может отличаться от статуса подстанций во вкладе "Итоговая". </t>
  </si>
  <si>
    <t xml:space="preserve">Перечень ПС 35-110 кВ к которым возможно осуществить технологическое присоединение производителей сельскохозяйственной продукции </t>
  </si>
  <si>
    <t>Наименование объекта центра питания,</t>
  </si>
  <si>
    <t>Класс напряжения</t>
  </si>
  <si>
    <t xml:space="preserve">Приоритетная категория надежности электроснабжения при указанном резерве мощности, (не выше) </t>
  </si>
  <si>
    <t>г. Вышний Волочек</t>
  </si>
  <si>
    <t>Вышневолоцкий РЭС</t>
  </si>
  <si>
    <t xml:space="preserve">9-е Января  </t>
  </si>
  <si>
    <t xml:space="preserve">35/10 </t>
  </si>
  <si>
    <t>№11</t>
  </si>
  <si>
    <t>35/10</t>
  </si>
  <si>
    <t>№13</t>
  </si>
  <si>
    <t>35/6</t>
  </si>
  <si>
    <t>№15</t>
  </si>
  <si>
    <t>№17</t>
  </si>
  <si>
    <t>г. Тверь</t>
  </si>
  <si>
    <t>Калининский РЭС</t>
  </si>
  <si>
    <t xml:space="preserve">№4 </t>
  </si>
  <si>
    <t xml:space="preserve">35/6 </t>
  </si>
  <si>
    <t>№5</t>
  </si>
  <si>
    <t>№7</t>
  </si>
  <si>
    <t>№9</t>
  </si>
  <si>
    <t>Конаковский район</t>
  </si>
  <si>
    <t>Конаковский РЭС</t>
  </si>
  <si>
    <t xml:space="preserve">№ 9 </t>
  </si>
  <si>
    <t>АКУ</t>
  </si>
  <si>
    <t>Калининский район</t>
  </si>
  <si>
    <t>Андреаполь</t>
  </si>
  <si>
    <t>110/35/10</t>
  </si>
  <si>
    <t>Б.Вишенье</t>
  </si>
  <si>
    <t>Б.Городок</t>
  </si>
  <si>
    <t>6,3+5,6</t>
  </si>
  <si>
    <t>Б-4</t>
  </si>
  <si>
    <t>110/6</t>
  </si>
  <si>
    <t>Барыково</t>
  </si>
  <si>
    <t xml:space="preserve">Безбородово </t>
  </si>
  <si>
    <t>110/35/6</t>
  </si>
  <si>
    <t>Белый</t>
  </si>
  <si>
    <t>Березьё</t>
  </si>
  <si>
    <t>Бологово</t>
  </si>
  <si>
    <t>Боровно</t>
  </si>
  <si>
    <t>Бубеньево</t>
  </si>
  <si>
    <t>Бушевец</t>
  </si>
  <si>
    <t>110/10</t>
  </si>
  <si>
    <t>Василево</t>
  </si>
  <si>
    <t>Вега</t>
  </si>
  <si>
    <t>ВеликийОктябрь</t>
  </si>
  <si>
    <t>ВерхняяТроица</t>
  </si>
  <si>
    <t>Весьегонск</t>
  </si>
  <si>
    <t>Волга</t>
  </si>
  <si>
    <t>Воскресенское</t>
  </si>
  <si>
    <t>Выползово</t>
  </si>
  <si>
    <t>Высокое</t>
  </si>
  <si>
    <t xml:space="preserve">Вышний Волочек </t>
  </si>
  <si>
    <t xml:space="preserve">110/35/6 </t>
  </si>
  <si>
    <t>ГолубыеОзера</t>
  </si>
  <si>
    <t>Горицы</t>
  </si>
  <si>
    <t>Даниловская</t>
  </si>
  <si>
    <t>6,3+2,5</t>
  </si>
  <si>
    <t>Дашково</t>
  </si>
  <si>
    <t>Максатихинский</t>
  </si>
  <si>
    <t>ДВП</t>
  </si>
  <si>
    <t>Дм.Гора</t>
  </si>
  <si>
    <t>ДОЗ</t>
  </si>
  <si>
    <t>Дятлово</t>
  </si>
  <si>
    <t>Ельцы</t>
  </si>
  <si>
    <t>Андреапольский район</t>
  </si>
  <si>
    <t>Андреапольский РЭС</t>
  </si>
  <si>
    <t>Ерохино</t>
  </si>
  <si>
    <t>Есеновичи</t>
  </si>
  <si>
    <t xml:space="preserve">ЖБИ  </t>
  </si>
  <si>
    <t>З.Поле</t>
  </si>
  <si>
    <t>Завод 1 Мая</t>
  </si>
  <si>
    <t>Заволжская</t>
  </si>
  <si>
    <t>Заозерная</t>
  </si>
  <si>
    <t>ЗападнаяДвина</t>
  </si>
  <si>
    <t>Зарница</t>
  </si>
  <si>
    <t>Затверецкая</t>
  </si>
  <si>
    <t xml:space="preserve">ЗМИ  </t>
  </si>
  <si>
    <t>Зобнино</t>
  </si>
  <si>
    <t>Изоплит</t>
  </si>
  <si>
    <t>Кесовогорский район</t>
  </si>
  <si>
    <t>Кесовогорский РЭС</t>
  </si>
  <si>
    <t xml:space="preserve">Инякино </t>
  </si>
  <si>
    <t>Калязин</t>
  </si>
  <si>
    <t>Кашарово</t>
  </si>
  <si>
    <t>110/35/10/6</t>
  </si>
  <si>
    <t>г. Кимры</t>
  </si>
  <si>
    <t xml:space="preserve">Кимры </t>
  </si>
  <si>
    <t>Зубцовский</t>
  </si>
  <si>
    <t>Клешнево</t>
  </si>
  <si>
    <t>Княщины</t>
  </si>
  <si>
    <t>Козьмодемьяновская</t>
  </si>
  <si>
    <t>ОРЭС</t>
  </si>
  <si>
    <t>Крапивня</t>
  </si>
  <si>
    <t>КрасноеЗнамя</t>
  </si>
  <si>
    <t>Вышнеоволоцкий район</t>
  </si>
  <si>
    <t xml:space="preserve">Красный Май </t>
  </si>
  <si>
    <t>КрасныйХолм</t>
  </si>
  <si>
    <t>Торжокский район</t>
  </si>
  <si>
    <t>Торжокский РЭС</t>
  </si>
  <si>
    <t xml:space="preserve">КС-20  </t>
  </si>
  <si>
    <t xml:space="preserve">110/6 </t>
  </si>
  <si>
    <t>Куженкино</t>
  </si>
  <si>
    <t>Курортная</t>
  </si>
  <si>
    <t>Кушалино</t>
  </si>
  <si>
    <t xml:space="preserve">Лазурная </t>
  </si>
  <si>
    <t xml:space="preserve"> 110/35/10 </t>
  </si>
  <si>
    <t>Лесное</t>
  </si>
  <si>
    <t>Лихославль</t>
  </si>
  <si>
    <t>Луковниково</t>
  </si>
  <si>
    <t>Макарово</t>
  </si>
  <si>
    <t>Максатиха</t>
  </si>
  <si>
    <t>Мамулино</t>
  </si>
  <si>
    <t>Манхино</t>
  </si>
  <si>
    <t>Медновскийв-ор</t>
  </si>
  <si>
    <t>Медное</t>
  </si>
  <si>
    <t>Механич. з-д</t>
  </si>
  <si>
    <t>110/10-6</t>
  </si>
  <si>
    <t>Микрорайонная</t>
  </si>
  <si>
    <t>Мин.Дворы</t>
  </si>
  <si>
    <t>Мокшино</t>
  </si>
  <si>
    <t>Мостовая</t>
  </si>
  <si>
    <t>Н.Рожок</t>
  </si>
  <si>
    <t>Нагорское</t>
  </si>
  <si>
    <t>Нерль</t>
  </si>
  <si>
    <t>Новокотово</t>
  </si>
  <si>
    <t>Ново-Кузьминская</t>
  </si>
  <si>
    <t>НТПФ</t>
  </si>
  <si>
    <t>Овсище</t>
  </si>
  <si>
    <t>Оленино</t>
  </si>
  <si>
    <t>Осташков</t>
  </si>
  <si>
    <t>Осуга</t>
  </si>
  <si>
    <t xml:space="preserve">ОЭЗ  </t>
  </si>
  <si>
    <t>П.Городище</t>
  </si>
  <si>
    <t>Пено</t>
  </si>
  <si>
    <t>Плоскошь</t>
  </si>
  <si>
    <t>Плотично</t>
  </si>
  <si>
    <t>Полиграфкраски</t>
  </si>
  <si>
    <t>Половцово</t>
  </si>
  <si>
    <t>Пролетарий</t>
  </si>
  <si>
    <t xml:space="preserve">Пролетарская </t>
  </si>
  <si>
    <t xml:space="preserve">110/10 </t>
  </si>
  <si>
    <t>Простор</t>
  </si>
  <si>
    <t>Рамешки</t>
  </si>
  <si>
    <t xml:space="preserve">Редкино  </t>
  </si>
  <si>
    <t>Ржев</t>
  </si>
  <si>
    <t>Ривзавод</t>
  </si>
  <si>
    <t>РМК</t>
  </si>
  <si>
    <t>Роща</t>
  </si>
  <si>
    <t>Ряд</t>
  </si>
  <si>
    <t>Савцино</t>
  </si>
  <si>
    <t>Сахарово</t>
  </si>
  <si>
    <t>Светлица</t>
  </si>
  <si>
    <t>Святое</t>
  </si>
  <si>
    <t>Северная</t>
  </si>
  <si>
    <t>Сеглино</t>
  </si>
  <si>
    <t>Селижарово</t>
  </si>
  <si>
    <t>Селище</t>
  </si>
  <si>
    <t>Соминка</t>
  </si>
  <si>
    <t>Сонково</t>
  </si>
  <si>
    <t>Сороки</t>
  </si>
  <si>
    <t>Сотское</t>
  </si>
  <si>
    <t>Ст.Торопа</t>
  </si>
  <si>
    <t>Стекловолокно</t>
  </si>
  <si>
    <t>Стеклозавод</t>
  </si>
  <si>
    <t>Степурино</t>
  </si>
  <si>
    <t>Стоянцы</t>
  </si>
  <si>
    <t>Стройиндустрия</t>
  </si>
  <si>
    <t>СулежскийБорок</t>
  </si>
  <si>
    <t>Терелесово</t>
  </si>
  <si>
    <t>Торжок</t>
  </si>
  <si>
    <t>Торопец</t>
  </si>
  <si>
    <t>Труд</t>
  </si>
  <si>
    <t>Рамешковский район</t>
  </si>
  <si>
    <t>Рамешковский РЭС</t>
  </si>
  <si>
    <t xml:space="preserve">Тучево </t>
  </si>
  <si>
    <t>Уницы</t>
  </si>
  <si>
    <t>Фенево</t>
  </si>
  <si>
    <t>Фирово</t>
  </si>
  <si>
    <t>Фролово</t>
  </si>
  <si>
    <t>Холохоленка</t>
  </si>
  <si>
    <t>Чертолино</t>
  </si>
  <si>
    <t>Шишково-Дуброво</t>
  </si>
  <si>
    <t>Бежецкий район</t>
  </si>
  <si>
    <t>Бежецкий РЭС</t>
  </si>
  <si>
    <t xml:space="preserve">Шолмино </t>
  </si>
  <si>
    <t xml:space="preserve">110/35/10 </t>
  </si>
  <si>
    <t xml:space="preserve">Экскаваторный з-д </t>
  </si>
  <si>
    <t>110/10/6</t>
  </si>
  <si>
    <t>Ю.-Девичье</t>
  </si>
  <si>
    <t>Юбилейная</t>
  </si>
  <si>
    <t>Яконово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</si>
</sst>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.000"/>
    <numFmt numFmtId="166" formatCode="0.0_)"/>
    <numFmt numFmtId="167" formatCode="#,##0.0"/>
    <numFmt numFmtId="168" formatCode="#,##0.000"/>
    <numFmt numFmtId="169" formatCode="dd/mm/yy;@"/>
  </numFmts>
  <fonts count="6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charset val="204"/>
    </font>
    <font>
      <i/>
      <sz val="1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indexed="10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i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Calibri"/>
      <family val="2"/>
      <charset val="204"/>
    </font>
    <font>
      <sz val="11"/>
      <color indexed="12"/>
      <name val="Times New Roman"/>
      <family val="1"/>
      <charset val="204"/>
    </font>
    <font>
      <u/>
      <sz val="1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5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color indexed="81"/>
      <name val="Tahoma"/>
      <family val="2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i/>
      <sz val="11"/>
      <color indexed="8"/>
      <name val="Calibri"/>
      <family val="2"/>
      <charset val="204"/>
    </font>
    <font>
      <b/>
      <i/>
      <sz val="12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i/>
      <sz val="11"/>
      <name val="Calibri"/>
      <family val="2"/>
      <charset val="204"/>
    </font>
    <font>
      <b/>
      <i/>
      <sz val="12"/>
      <name val="Times New Roman"/>
      <family val="1"/>
      <charset val="204"/>
    </font>
    <font>
      <b/>
      <i/>
      <sz val="11"/>
      <name val="Calibri"/>
      <family val="2"/>
      <charset val="204"/>
    </font>
    <font>
      <b/>
      <sz val="9"/>
      <color indexed="81"/>
      <name val="Tahoma"/>
      <family val="2"/>
      <charset val="204"/>
    </font>
    <font>
      <u/>
      <sz val="9.35"/>
      <color theme="10"/>
      <name val="Calibri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1"/>
      <color rgb="FFFF0000"/>
      <name val="Times New Roman"/>
      <family val="1"/>
      <charset val="204"/>
    </font>
    <font>
      <i/>
      <sz val="11"/>
      <color theme="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0"/>
      <name val="Times New Roman"/>
      <family val="1"/>
      <charset val="204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i/>
      <sz val="11"/>
      <color theme="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Helv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5A5A5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8">
    <xf numFmtId="0" fontId="0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" fillId="0" borderId="0"/>
    <xf numFmtId="43" fontId="1" fillId="0" borderId="0" applyFont="0" applyFill="0" applyBorder="0" applyAlignment="0" applyProtection="0"/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58" fillId="0" borderId="0" applyNumberFormat="0" applyFont="0" applyFill="0" applyBorder="0" applyAlignment="0" applyProtection="0">
      <alignment vertical="top"/>
    </xf>
    <xf numFmtId="0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43" fontId="58" fillId="0" borderId="0" applyFont="0" applyFill="0" applyBorder="0" applyAlignment="0" applyProtection="0"/>
    <xf numFmtId="0" fontId="58" fillId="0" borderId="0"/>
    <xf numFmtId="0" fontId="11" fillId="0" borderId="0"/>
    <xf numFmtId="0" fontId="61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0" fontId="11" fillId="0" borderId="0"/>
    <xf numFmtId="0" fontId="63" fillId="0" borderId="0"/>
    <xf numFmtId="0" fontId="11" fillId="0" borderId="0"/>
    <xf numFmtId="0" fontId="11" fillId="0" borderId="0"/>
    <xf numFmtId="0" fontId="63" fillId="0" borderId="0"/>
    <xf numFmtId="0" fontId="11" fillId="0" borderId="0"/>
    <xf numFmtId="0" fontId="63" fillId="0" borderId="0"/>
    <xf numFmtId="0" fontId="63" fillId="0" borderId="0"/>
    <xf numFmtId="0" fontId="11" fillId="0" borderId="0"/>
    <xf numFmtId="0" fontId="1" fillId="0" borderId="0"/>
    <xf numFmtId="0" fontId="1" fillId="0" borderId="0"/>
    <xf numFmtId="0" fontId="58" fillId="0" borderId="0" applyNumberFormat="0" applyFont="0" applyFill="0" applyBorder="0" applyAlignment="0" applyProtection="0">
      <alignment vertical="top"/>
    </xf>
    <xf numFmtId="0" fontId="11" fillId="0" borderId="0"/>
    <xf numFmtId="0" fontId="11" fillId="0" borderId="0"/>
    <xf numFmtId="0" fontId="67" fillId="0" borderId="0"/>
    <xf numFmtId="0" fontId="68" fillId="0" borderId="0"/>
    <xf numFmtId="0" fontId="64" fillId="11" borderId="67" applyAlignment="0">
      <alignment horizontal="center" vertical="top" wrapText="1"/>
    </xf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921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3" borderId="5" xfId="0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 applyProtection="1">
      <alignment horizontal="center" vertical="center" wrapText="1"/>
    </xf>
    <xf numFmtId="167" fontId="3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68" fontId="3" fillId="2" borderId="1" xfId="0" applyNumberFormat="1" applyFont="1" applyFill="1" applyBorder="1" applyAlignment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168" fontId="3" fillId="0" borderId="1" xfId="0" applyNumberFormat="1" applyFont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2" borderId="3" xfId="1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3" fillId="3" borderId="10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8" fillId="0" borderId="1" xfId="2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169" fontId="3" fillId="0" borderId="3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0" borderId="10" xfId="1" applyFont="1" applyBorder="1" applyAlignment="1" applyProtection="1">
      <alignment horizontal="center" vertical="center" wrapText="1"/>
    </xf>
    <xf numFmtId="0" fontId="14" fillId="3" borderId="12" xfId="0" applyFont="1" applyFill="1" applyBorder="1" applyAlignment="1">
      <alignment horizontal="center" vertical="center" wrapText="1"/>
    </xf>
    <xf numFmtId="0" fontId="14" fillId="3" borderId="21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165" fontId="3" fillId="0" borderId="3" xfId="0" applyNumberFormat="1" applyFont="1" applyFill="1" applyBorder="1" applyAlignment="1">
      <alignment horizontal="center" vertical="center" wrapText="1"/>
    </xf>
    <xf numFmtId="167" fontId="3" fillId="0" borderId="3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167" fontId="3" fillId="2" borderId="3" xfId="0" applyNumberFormat="1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67" fontId="3" fillId="3" borderId="5" xfId="0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2" fontId="3" fillId="0" borderId="3" xfId="0" applyNumberFormat="1" applyFont="1" applyBorder="1" applyAlignment="1">
      <alignment horizontal="center" vertical="center" wrapText="1"/>
    </xf>
    <xf numFmtId="2" fontId="3" fillId="0" borderId="10" xfId="0" applyNumberFormat="1" applyFont="1" applyBorder="1" applyAlignment="1">
      <alignment horizontal="center" vertical="center" wrapText="1"/>
    </xf>
    <xf numFmtId="2" fontId="3" fillId="3" borderId="5" xfId="0" applyNumberFormat="1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3" xfId="0" applyFont="1" applyFill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1" fillId="0" borderId="9" xfId="1" applyFont="1" applyBorder="1" applyAlignment="1" applyProtection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21" fillId="2" borderId="1" xfId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4" fontId="3" fillId="3" borderId="5" xfId="0" applyNumberFormat="1" applyFont="1" applyFill="1" applyBorder="1" applyAlignment="1">
      <alignment horizontal="center" vertical="center" wrapText="1"/>
    </xf>
    <xf numFmtId="168" fontId="3" fillId="3" borderId="5" xfId="0" applyNumberFormat="1" applyFont="1" applyFill="1" applyBorder="1" applyAlignment="1">
      <alignment horizontal="center" vertical="center" wrapText="1"/>
    </xf>
    <xf numFmtId="165" fontId="33" fillId="0" borderId="23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14" fontId="23" fillId="0" borderId="10" xfId="0" applyNumberFormat="1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16" xfId="1" applyFont="1" applyBorder="1" applyAlignment="1" applyProtection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165" fontId="3" fillId="3" borderId="5" xfId="0" applyNumberFormat="1" applyFont="1" applyFill="1" applyBorder="1" applyAlignment="1">
      <alignment horizontal="center" vertical="center" wrapText="1"/>
    </xf>
    <xf numFmtId="2" fontId="2" fillId="3" borderId="10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165" fontId="3" fillId="0" borderId="10" xfId="0" applyNumberFormat="1" applyFont="1" applyBorder="1" applyAlignment="1">
      <alignment horizontal="center" vertical="center" wrapText="1"/>
    </xf>
    <xf numFmtId="0" fontId="3" fillId="2" borderId="10" xfId="1" applyFont="1" applyFill="1" applyBorder="1" applyAlignment="1" applyProtection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1" fontId="38" fillId="0" borderId="1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right" vertical="center" wrapText="1"/>
    </xf>
    <xf numFmtId="165" fontId="8" fillId="0" borderId="0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0" borderId="0" xfId="0" applyFill="1"/>
    <xf numFmtId="49" fontId="7" fillId="2" borderId="10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165" fontId="38" fillId="4" borderId="1" xfId="0" applyNumberFormat="1" applyFont="1" applyFill="1" applyBorder="1" applyAlignment="1">
      <alignment horizontal="center" vertical="center" wrapText="1"/>
    </xf>
    <xf numFmtId="165" fontId="8" fillId="4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0" fontId="23" fillId="0" borderId="1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38" fillId="4" borderId="1" xfId="0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24" xfId="0" applyFont="1" applyFill="1" applyBorder="1" applyAlignment="1" applyProtection="1">
      <alignment horizontal="right" vertical="center" wrapText="1"/>
      <protection locked="0"/>
    </xf>
    <xf numFmtId="0" fontId="8" fillId="0" borderId="31" xfId="0" applyFont="1" applyFill="1" applyBorder="1" applyAlignment="1" applyProtection="1">
      <alignment horizontal="center" vertical="center" wrapText="1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165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2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164" fontId="10" fillId="4" borderId="1" xfId="0" applyNumberFormat="1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0" fontId="38" fillId="4" borderId="24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0" fontId="0" fillId="2" borderId="0" xfId="0" applyFill="1" applyBorder="1"/>
    <xf numFmtId="0" fontId="48" fillId="2" borderId="0" xfId="0" applyFont="1" applyFill="1" applyAlignment="1">
      <alignment horizontal="center"/>
    </xf>
    <xf numFmtId="0" fontId="3" fillId="0" borderId="1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4" fontId="3" fillId="3" borderId="10" xfId="0" applyNumberFormat="1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1" applyFont="1" applyFill="1" applyBorder="1" applyAlignment="1" applyProtection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0" xfId="1" applyFont="1" applyBorder="1" applyAlignment="1" applyProtection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49" fillId="0" borderId="3" xfId="1" applyFont="1" applyBorder="1" applyAlignment="1" applyProtection="1">
      <alignment horizontal="center" vertical="center" wrapText="1"/>
    </xf>
    <xf numFmtId="0" fontId="49" fillId="0" borderId="3" xfId="0" applyFont="1" applyFill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49" fillId="0" borderId="10" xfId="0" applyFont="1" applyBorder="1" applyAlignment="1">
      <alignment horizontal="center" vertical="center" wrapText="1"/>
    </xf>
    <xf numFmtId="0" fontId="49" fillId="0" borderId="0" xfId="0" applyFont="1" applyFill="1" applyAlignment="1">
      <alignment horizontal="center" vertical="center" wrapText="1"/>
    </xf>
    <xf numFmtId="0" fontId="49" fillId="0" borderId="10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1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0" fontId="2" fillId="0" borderId="29" xfId="0" applyFont="1" applyBorder="1" applyAlignment="1">
      <alignment vertical="center" wrapText="1"/>
    </xf>
    <xf numFmtId="165" fontId="2" fillId="0" borderId="3" xfId="0" applyNumberFormat="1" applyFont="1" applyBorder="1" applyAlignment="1">
      <alignment horizontal="center" vertical="center" wrapText="1"/>
    </xf>
    <xf numFmtId="165" fontId="2" fillId="0" borderId="3" xfId="0" applyNumberFormat="1" applyFont="1" applyFill="1" applyBorder="1" applyAlignment="1">
      <alignment horizontal="center" vertical="center" wrapText="1"/>
    </xf>
    <xf numFmtId="165" fontId="2" fillId="3" borderId="5" xfId="0" applyNumberFormat="1" applyFont="1" applyFill="1" applyBorder="1" applyAlignment="1">
      <alignment horizontal="center" vertical="center" wrapText="1"/>
    </xf>
    <xf numFmtId="165" fontId="2" fillId="0" borderId="5" xfId="0" applyNumberFormat="1" applyFont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2" fontId="2" fillId="0" borderId="3" xfId="0" applyNumberFormat="1" applyFont="1" applyFill="1" applyBorder="1" applyAlignment="1">
      <alignment horizontal="center" vertical="center" wrapText="1"/>
    </xf>
    <xf numFmtId="2" fontId="2" fillId="3" borderId="5" xfId="0" applyNumberFormat="1" applyFont="1" applyFill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165" fontId="2" fillId="3" borderId="10" xfId="0" applyNumberFormat="1" applyFont="1" applyFill="1" applyBorder="1" applyAlignment="1">
      <alignment horizontal="center" vertical="center" wrapText="1"/>
    </xf>
    <xf numFmtId="165" fontId="2" fillId="0" borderId="10" xfId="0" applyNumberFormat="1" applyFont="1" applyBorder="1" applyAlignment="1">
      <alignment horizontal="center" vertical="center" wrapText="1"/>
    </xf>
    <xf numFmtId="2" fontId="2" fillId="0" borderId="12" xfId="0" applyNumberFormat="1" applyFont="1" applyBorder="1" applyAlignment="1">
      <alignment horizontal="center" vertical="center" wrapText="1"/>
    </xf>
    <xf numFmtId="2" fontId="2" fillId="3" borderId="22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2" fillId="0" borderId="12" xfId="0" applyNumberFormat="1" applyFont="1" applyBorder="1" applyAlignment="1">
      <alignment horizontal="center" vertical="center" wrapText="1"/>
    </xf>
    <xf numFmtId="2" fontId="2" fillId="0" borderId="13" xfId="0" applyNumberFormat="1" applyFont="1" applyBorder="1" applyAlignment="1">
      <alignment horizontal="center" vertical="center" wrapText="1"/>
    </xf>
    <xf numFmtId="2" fontId="2" fillId="0" borderId="12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2" fontId="30" fillId="0" borderId="23" xfId="0" applyNumberFormat="1" applyFont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48" fillId="0" borderId="3" xfId="0" applyFont="1" applyBorder="1" applyAlignment="1">
      <alignment horizontal="center" vertical="center" wrapText="1"/>
    </xf>
    <xf numFmtId="0" fontId="48" fillId="0" borderId="32" xfId="0" applyFont="1" applyFill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29" fillId="0" borderId="1" xfId="0" applyNumberFormat="1" applyFont="1" applyBorder="1" applyAlignment="1">
      <alignment horizontal="center" vertical="center" wrapText="1"/>
    </xf>
    <xf numFmtId="0" fontId="3" fillId="0" borderId="10" xfId="1" applyFont="1" applyFill="1" applyBorder="1" applyAlignment="1" applyProtection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0" fontId="48" fillId="0" borderId="3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8" fillId="0" borderId="10" xfId="0" applyFont="1" applyBorder="1" applyAlignment="1">
      <alignment horizontal="center" vertical="center" wrapText="1"/>
    </xf>
    <xf numFmtId="0" fontId="48" fillId="0" borderId="0" xfId="0" applyFont="1" applyFill="1" applyAlignment="1">
      <alignment horizontal="center" vertical="center" wrapText="1"/>
    </xf>
    <xf numFmtId="0" fontId="48" fillId="0" borderId="10" xfId="0" applyFont="1" applyFill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1" fillId="0" borderId="1" xfId="1" applyFont="1" applyFill="1" applyBorder="1" applyAlignment="1" applyProtection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168" fontId="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2" fontId="3" fillId="0" borderId="10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48" fillId="2" borderId="1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48" fillId="0" borderId="3" xfId="1" applyFont="1" applyBorder="1" applyAlignment="1" applyProtection="1">
      <alignment horizontal="center" vertical="center" wrapText="1"/>
    </xf>
    <xf numFmtId="0" fontId="3" fillId="0" borderId="3" xfId="1" applyFont="1" applyFill="1" applyBorder="1" applyAlignment="1" applyProtection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0" fontId="8" fillId="6" borderId="35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27" xfId="0" applyFont="1" applyFill="1" applyBorder="1" applyAlignment="1">
      <alignment horizontal="center"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8" fillId="6" borderId="39" xfId="0" applyFont="1" applyFill="1" applyBorder="1" applyAlignment="1">
      <alignment horizontal="center" vertical="center" wrapText="1"/>
    </xf>
    <xf numFmtId="0" fontId="8" fillId="6" borderId="40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43" xfId="0" applyFont="1" applyFill="1" applyBorder="1" applyAlignment="1">
      <alignment horizontal="center" vertical="center" wrapText="1"/>
    </xf>
    <xf numFmtId="0" fontId="8" fillId="6" borderId="44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vertical="center" wrapText="1"/>
    </xf>
    <xf numFmtId="0" fontId="8" fillId="6" borderId="45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vertical="center" wrapText="1"/>
    </xf>
    <xf numFmtId="0" fontId="2" fillId="0" borderId="28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3" fillId="6" borderId="38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7" fillId="6" borderId="34" xfId="0" applyFont="1" applyFill="1" applyBorder="1" applyAlignment="1">
      <alignment horizontal="center" vertical="center" wrapText="1"/>
    </xf>
    <xf numFmtId="0" fontId="7" fillId="6" borderId="41" xfId="0" applyFont="1" applyFill="1" applyBorder="1" applyAlignment="1">
      <alignment horizontal="center" vertical="center" wrapText="1"/>
    </xf>
    <xf numFmtId="0" fontId="7" fillId="6" borderId="28" xfId="0" applyFont="1" applyFill="1" applyBorder="1" applyAlignment="1">
      <alignment horizontal="center" vertical="center" wrapText="1"/>
    </xf>
    <xf numFmtId="0" fontId="8" fillId="6" borderId="19" xfId="0" applyFont="1" applyFill="1" applyBorder="1" applyAlignment="1">
      <alignment horizontal="center" vertical="center" wrapText="1"/>
    </xf>
    <xf numFmtId="0" fontId="8" fillId="6" borderId="26" xfId="0" applyFont="1" applyFill="1" applyBorder="1" applyAlignment="1">
      <alignment horizontal="center" vertical="center" wrapText="1"/>
    </xf>
    <xf numFmtId="0" fontId="8" fillId="6" borderId="17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 wrapText="1"/>
    </xf>
    <xf numFmtId="0" fontId="14" fillId="6" borderId="32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2" fillId="6" borderId="12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14" fillId="6" borderId="15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wrapText="1"/>
    </xf>
    <xf numFmtId="0" fontId="14" fillId="6" borderId="21" xfId="0" applyFont="1" applyFill="1" applyBorder="1" applyAlignment="1">
      <alignment horizontal="center" vertical="center" wrapText="1"/>
    </xf>
    <xf numFmtId="0" fontId="3" fillId="6" borderId="26" xfId="2" applyFont="1" applyFill="1" applyBorder="1" applyAlignment="1">
      <alignment horizontal="center" vertical="center" wrapText="1"/>
    </xf>
    <xf numFmtId="0" fontId="3" fillId="6" borderId="17" xfId="2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14" fillId="6" borderId="2" xfId="0" applyFont="1" applyFill="1" applyBorder="1" applyAlignment="1">
      <alignment horizontal="center" vertical="center" wrapText="1"/>
    </xf>
    <xf numFmtId="0" fontId="14" fillId="6" borderId="1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14" fillId="6" borderId="14" xfId="0" applyFont="1" applyFill="1" applyBorder="1" applyAlignment="1">
      <alignment horizontal="center" vertical="center" wrapText="1"/>
    </xf>
    <xf numFmtId="0" fontId="40" fillId="6" borderId="16" xfId="0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 vertical="center" wrapText="1"/>
    </xf>
    <xf numFmtId="0" fontId="40" fillId="6" borderId="8" xfId="0" applyFont="1" applyFill="1" applyBorder="1" applyAlignment="1">
      <alignment horizontal="center" vertical="center" wrapText="1"/>
    </xf>
    <xf numFmtId="0" fontId="40" fillId="6" borderId="0" xfId="0" applyFont="1" applyFill="1" applyBorder="1" applyAlignment="1">
      <alignment horizontal="center" vertical="center" wrapText="1"/>
    </xf>
    <xf numFmtId="0" fontId="40" fillId="6" borderId="13" xfId="0" applyFont="1" applyFill="1" applyBorder="1" applyAlignment="1">
      <alignment horizontal="center" vertical="center" wrapText="1"/>
    </xf>
    <xf numFmtId="0" fontId="40" fillId="6" borderId="12" xfId="0" applyFont="1" applyFill="1" applyBorder="1" applyAlignment="1">
      <alignment horizontal="center" vertical="center" wrapText="1"/>
    </xf>
    <xf numFmtId="0" fontId="40" fillId="6" borderId="15" xfId="0" applyFont="1" applyFill="1" applyBorder="1" applyAlignment="1">
      <alignment horizontal="center" vertical="center" wrapText="1"/>
    </xf>
    <xf numFmtId="0" fontId="40" fillId="6" borderId="21" xfId="0" applyFont="1" applyFill="1" applyBorder="1" applyAlignment="1">
      <alignment horizontal="center" vertical="center" wrapText="1"/>
    </xf>
    <xf numFmtId="0" fontId="50" fillId="6" borderId="0" xfId="0" applyFont="1" applyFill="1" applyAlignment="1">
      <alignment horizontal="center" vertical="center"/>
    </xf>
    <xf numFmtId="0" fontId="3" fillId="6" borderId="3" xfId="2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0" fontId="49" fillId="6" borderId="12" xfId="0" applyFont="1" applyFill="1" applyBorder="1" applyAlignment="1">
      <alignment horizontal="center" vertical="center" wrapText="1"/>
    </xf>
    <xf numFmtId="0" fontId="49" fillId="6" borderId="0" xfId="0" applyFont="1" applyFill="1" applyBorder="1" applyAlignment="1">
      <alignment horizontal="center" vertical="center" wrapText="1"/>
    </xf>
    <xf numFmtId="0" fontId="48" fillId="6" borderId="12" xfId="0" applyFont="1" applyFill="1" applyBorder="1" applyAlignment="1">
      <alignment horizontal="center" vertical="center" wrapText="1"/>
    </xf>
    <xf numFmtId="0" fontId="48" fillId="6" borderId="0" xfId="0" applyFont="1" applyFill="1" applyBorder="1" applyAlignment="1">
      <alignment horizontal="center" vertical="center" wrapText="1"/>
    </xf>
    <xf numFmtId="0" fontId="14" fillId="6" borderId="19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14" fontId="2" fillId="6" borderId="1" xfId="0" applyNumberFormat="1" applyFont="1" applyFill="1" applyBorder="1" applyAlignment="1">
      <alignment horizontal="center" vertical="center" wrapText="1"/>
    </xf>
    <xf numFmtId="0" fontId="18" fillId="6" borderId="15" xfId="0" applyFont="1" applyFill="1" applyBorder="1" applyAlignment="1">
      <alignment horizontal="center" vertical="center" wrapText="1"/>
    </xf>
    <xf numFmtId="0" fontId="18" fillId="6" borderId="13" xfId="0" applyFont="1" applyFill="1" applyBorder="1" applyAlignment="1">
      <alignment horizontal="center" vertical="center" wrapText="1"/>
    </xf>
    <xf numFmtId="0" fontId="18" fillId="6" borderId="12" xfId="0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14" fontId="2" fillId="6" borderId="9" xfId="0" applyNumberFormat="1" applyFont="1" applyFill="1" applyBorder="1" applyAlignment="1">
      <alignment horizontal="center" vertical="center" wrapText="1"/>
    </xf>
    <xf numFmtId="0" fontId="14" fillId="6" borderId="18" xfId="0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 vertical="center" wrapText="1"/>
    </xf>
    <xf numFmtId="0" fontId="49" fillId="6" borderId="1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0" fontId="49" fillId="6" borderId="3" xfId="0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20" fillId="6" borderId="31" xfId="1" applyFont="1" applyFill="1" applyBorder="1" applyAlignment="1" applyProtection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0" fontId="17" fillId="6" borderId="41" xfId="0" applyFont="1" applyFill="1" applyBorder="1" applyAlignment="1">
      <alignment horizontal="center" vertical="center"/>
    </xf>
    <xf numFmtId="0" fontId="3" fillId="6" borderId="16" xfId="0" applyFont="1" applyFill="1" applyBorder="1" applyAlignment="1">
      <alignment horizontal="center" vertical="center" wrapText="1"/>
    </xf>
    <xf numFmtId="0" fontId="49" fillId="6" borderId="13" xfId="0" applyFont="1" applyFill="1" applyBorder="1" applyAlignment="1">
      <alignment horizontal="center" vertical="center" wrapText="1"/>
    </xf>
    <xf numFmtId="0" fontId="49" fillId="6" borderId="16" xfId="0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8" fillId="2" borderId="38" xfId="2" applyFont="1" applyFill="1" applyBorder="1" applyAlignment="1">
      <alignment horizontal="center" vertical="center" wrapText="1"/>
    </xf>
    <xf numFmtId="166" fontId="8" fillId="2" borderId="37" xfId="2" applyNumberFormat="1" applyFont="1" applyFill="1" applyBorder="1" applyAlignment="1">
      <alignment horizontal="center" vertical="center" wrapText="1"/>
    </xf>
    <xf numFmtId="166" fontId="8" fillId="2" borderId="38" xfId="2" applyNumberFormat="1" applyFont="1" applyFill="1" applyBorder="1" applyAlignment="1">
      <alignment horizontal="center" vertical="center" wrapText="1"/>
    </xf>
    <xf numFmtId="166" fontId="8" fillId="2" borderId="39" xfId="2" applyNumberFormat="1" applyFont="1" applyFill="1" applyBorder="1" applyAlignment="1">
      <alignment horizontal="center" vertical="center" wrapText="1"/>
    </xf>
    <xf numFmtId="0" fontId="8" fillId="6" borderId="34" xfId="2" applyFont="1" applyFill="1" applyBorder="1" applyAlignment="1">
      <alignment horizontal="center" vertical="center" wrapText="1"/>
    </xf>
    <xf numFmtId="0" fontId="8" fillId="6" borderId="41" xfId="2" applyFont="1" applyFill="1" applyBorder="1" applyAlignment="1">
      <alignment horizontal="center" vertical="center" wrapText="1"/>
    </xf>
    <xf numFmtId="0" fontId="8" fillId="6" borderId="28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13" xfId="0" applyFont="1" applyFill="1" applyBorder="1" applyAlignment="1">
      <alignment horizontal="center" vertical="center" wrapText="1"/>
    </xf>
    <xf numFmtId="0" fontId="8" fillId="0" borderId="37" xfId="2" applyFont="1" applyFill="1" applyBorder="1" applyAlignment="1">
      <alignment horizontal="center" vertical="center" wrapText="1"/>
    </xf>
    <xf numFmtId="0" fontId="8" fillId="2" borderId="37" xfId="2" applyFont="1" applyFill="1" applyBorder="1" applyAlignment="1">
      <alignment horizontal="center" vertical="center" wrapText="1"/>
    </xf>
    <xf numFmtId="0" fontId="8" fillId="2" borderId="39" xfId="2" applyFont="1" applyFill="1" applyBorder="1" applyAlignment="1">
      <alignment horizontal="center" vertical="center" wrapText="1"/>
    </xf>
    <xf numFmtId="0" fontId="12" fillId="6" borderId="15" xfId="2" applyFont="1" applyFill="1" applyBorder="1" applyAlignment="1">
      <alignment horizontal="center" vertical="center" wrapText="1"/>
    </xf>
    <xf numFmtId="0" fontId="12" fillId="6" borderId="0" xfId="2" applyFont="1" applyFill="1" applyBorder="1" applyAlignment="1">
      <alignment horizontal="center" vertical="center" wrapText="1"/>
    </xf>
    <xf numFmtId="0" fontId="12" fillId="6" borderId="13" xfId="2" applyFont="1" applyFill="1" applyBorder="1" applyAlignment="1">
      <alignment horizontal="center" vertical="center" wrapText="1"/>
    </xf>
    <xf numFmtId="0" fontId="9" fillId="6" borderId="15" xfId="2" applyFont="1" applyFill="1" applyBorder="1" applyAlignment="1">
      <alignment horizontal="center" vertical="center" wrapText="1"/>
    </xf>
    <xf numFmtId="0" fontId="9" fillId="6" borderId="0" xfId="2" applyFont="1" applyFill="1" applyBorder="1" applyAlignment="1">
      <alignment horizontal="center" vertical="center" wrapText="1"/>
    </xf>
    <xf numFmtId="0" fontId="9" fillId="6" borderId="13" xfId="2" applyFont="1" applyFill="1" applyBorder="1" applyAlignment="1">
      <alignment horizontal="center" vertical="center" wrapText="1"/>
    </xf>
    <xf numFmtId="0" fontId="8" fillId="2" borderId="40" xfId="2" applyFont="1" applyFill="1" applyBorder="1" applyAlignment="1">
      <alignment horizontal="center" vertical="center" wrapText="1"/>
    </xf>
    <xf numFmtId="0" fontId="8" fillId="2" borderId="36" xfId="2" applyFont="1" applyFill="1" applyBorder="1" applyAlignment="1">
      <alignment horizontal="center" vertical="center" wrapText="1"/>
    </xf>
    <xf numFmtId="0" fontId="8" fillId="6" borderId="7" xfId="2" applyFont="1" applyFill="1" applyBorder="1" applyAlignment="1">
      <alignment horizontal="center" vertical="center" wrapText="1"/>
    </xf>
    <xf numFmtId="0" fontId="8" fillId="6" borderId="34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22" xfId="2" applyFont="1" applyFill="1" applyBorder="1" applyAlignment="1">
      <alignment horizontal="center" vertical="center" wrapText="1"/>
    </xf>
    <xf numFmtId="0" fontId="8" fillId="6" borderId="37" xfId="2" applyFont="1" applyFill="1" applyBorder="1" applyAlignment="1">
      <alignment horizontal="center" vertical="center" wrapText="1"/>
    </xf>
    <xf numFmtId="0" fontId="8" fillId="6" borderId="38" xfId="2" applyFont="1" applyFill="1" applyBorder="1" applyAlignment="1">
      <alignment horizontal="center" vertical="center" wrapText="1"/>
    </xf>
    <xf numFmtId="0" fontId="8" fillId="6" borderId="39" xfId="2" applyFont="1" applyFill="1" applyBorder="1" applyAlignment="1">
      <alignment horizontal="center" vertical="center" wrapText="1"/>
    </xf>
    <xf numFmtId="166" fontId="8" fillId="6" borderId="41" xfId="2" applyNumberFormat="1" applyFont="1" applyFill="1" applyBorder="1" applyAlignment="1">
      <alignment horizontal="center" vertical="center" wrapText="1"/>
    </xf>
    <xf numFmtId="166" fontId="8" fillId="6" borderId="28" xfId="2" applyNumberFormat="1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40" xfId="2" applyFont="1" applyFill="1" applyBorder="1" applyAlignment="1">
      <alignment horizontal="center" vertical="center" wrapText="1"/>
    </xf>
    <xf numFmtId="0" fontId="8" fillId="2" borderId="45" xfId="2" applyFont="1" applyFill="1" applyBorder="1" applyAlignment="1">
      <alignment horizontal="center" vertical="center" wrapText="1"/>
    </xf>
    <xf numFmtId="0" fontId="8" fillId="2" borderId="44" xfId="2" applyFont="1" applyFill="1" applyBorder="1" applyAlignment="1">
      <alignment horizontal="center" vertical="center" wrapText="1"/>
    </xf>
    <xf numFmtId="14" fontId="2" fillId="6" borderId="3" xfId="0" applyNumberFormat="1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49" fillId="0" borderId="17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14" fillId="0" borderId="16" xfId="0" applyNumberFormat="1" applyFont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5" xfId="0" applyFont="1" applyFill="1" applyBorder="1" applyAlignment="1">
      <alignment horizontal="center" vertical="center" wrapText="1"/>
    </xf>
    <xf numFmtId="0" fontId="5" fillId="6" borderId="0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33" fillId="0" borderId="36" xfId="0" applyFont="1" applyFill="1" applyBorder="1" applyAlignment="1">
      <alignment vertical="center" wrapText="1"/>
    </xf>
    <xf numFmtId="0" fontId="33" fillId="0" borderId="38" xfId="0" applyFont="1" applyFill="1" applyBorder="1" applyAlignment="1">
      <alignment vertical="center" wrapText="1"/>
    </xf>
    <xf numFmtId="0" fontId="8" fillId="6" borderId="10" xfId="2" applyFont="1" applyFill="1" applyBorder="1" applyAlignment="1">
      <alignment horizontal="center" vertical="center" wrapText="1"/>
    </xf>
    <xf numFmtId="164" fontId="8" fillId="6" borderId="8" xfId="2" applyNumberFormat="1" applyFont="1" applyFill="1" applyBorder="1" applyAlignment="1">
      <alignment horizontal="center" vertical="center" wrapText="1"/>
    </xf>
    <xf numFmtId="164" fontId="8" fillId="6" borderId="27" xfId="2" applyNumberFormat="1" applyFont="1" applyFill="1" applyBorder="1" applyAlignment="1">
      <alignment horizontal="center" vertical="center" wrapText="1"/>
    </xf>
    <xf numFmtId="164" fontId="8" fillId="6" borderId="9" xfId="2" applyNumberFormat="1" applyFont="1" applyFill="1" applyBorder="1" applyAlignment="1">
      <alignment horizontal="center" vertical="center" wrapText="1"/>
    </xf>
    <xf numFmtId="164" fontId="8" fillId="6" borderId="15" xfId="2" applyNumberFormat="1" applyFont="1" applyFill="1" applyBorder="1" applyAlignment="1">
      <alignment horizontal="center" vertical="center" wrapText="1"/>
    </xf>
    <xf numFmtId="164" fontId="8" fillId="6" borderId="0" xfId="2" applyNumberFormat="1" applyFont="1" applyFill="1" applyBorder="1" applyAlignment="1">
      <alignment horizontal="center" vertical="center" wrapText="1"/>
    </xf>
    <xf numFmtId="164" fontId="8" fillId="6" borderId="13" xfId="2" applyNumberFormat="1" applyFont="1" applyFill="1" applyBorder="1" applyAlignment="1">
      <alignment horizontal="center" vertical="center" wrapText="1"/>
    </xf>
    <xf numFmtId="164" fontId="8" fillId="6" borderId="41" xfId="2" applyNumberFormat="1" applyFont="1" applyFill="1" applyBorder="1" applyAlignment="1">
      <alignment horizontal="center" vertical="center" wrapText="1"/>
    </xf>
    <xf numFmtId="164" fontId="8" fillId="6" borderId="28" xfId="2" applyNumberFormat="1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3" fillId="0" borderId="17" xfId="1" applyFont="1" applyBorder="1" applyAlignment="1" applyProtection="1">
      <alignment horizontal="center" vertical="center" wrapText="1"/>
    </xf>
    <xf numFmtId="0" fontId="8" fillId="6" borderId="15" xfId="0" applyFont="1" applyFill="1" applyBorder="1" applyAlignment="1">
      <alignment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vertical="center" wrapText="1"/>
    </xf>
    <xf numFmtId="0" fontId="8" fillId="6" borderId="13" xfId="0" applyFont="1" applyFill="1" applyBorder="1" applyAlignment="1">
      <alignment vertical="center" wrapText="1"/>
    </xf>
    <xf numFmtId="0" fontId="51" fillId="6" borderId="12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vertical="center" wrapText="1"/>
    </xf>
    <xf numFmtId="0" fontId="8" fillId="6" borderId="37" xfId="0" applyFont="1" applyFill="1" applyBorder="1" applyAlignment="1">
      <alignment vertical="center" wrapText="1"/>
    </xf>
    <xf numFmtId="0" fontId="8" fillId="6" borderId="38" xfId="0" applyFont="1" applyFill="1" applyBorder="1" applyAlignment="1">
      <alignment vertical="center" wrapText="1"/>
    </xf>
    <xf numFmtId="0" fontId="8" fillId="6" borderId="39" xfId="0" applyFont="1" applyFill="1" applyBorder="1" applyAlignment="1">
      <alignment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27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14" fontId="2" fillId="6" borderId="10" xfId="0" applyNumberFormat="1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 wrapText="1"/>
    </xf>
    <xf numFmtId="0" fontId="2" fillId="7" borderId="31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 wrapText="1"/>
    </xf>
    <xf numFmtId="0" fontId="2" fillId="7" borderId="16" xfId="0" applyFont="1" applyFill="1" applyBorder="1" applyAlignment="1">
      <alignment vertical="center" wrapText="1"/>
    </xf>
    <xf numFmtId="49" fontId="48" fillId="0" borderId="3" xfId="0" applyNumberFormat="1" applyFont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48" fillId="6" borderId="16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0" fontId="29" fillId="6" borderId="9" xfId="0" applyFont="1" applyFill="1" applyBorder="1" applyAlignment="1">
      <alignment horizontal="center" vertical="center" wrapText="1"/>
    </xf>
    <xf numFmtId="0" fontId="29" fillId="6" borderId="10" xfId="0" applyFont="1" applyFill="1" applyBorder="1" applyAlignment="1">
      <alignment horizontal="center" vertical="center" wrapText="1"/>
    </xf>
    <xf numFmtId="0" fontId="3" fillId="2" borderId="9" xfId="1" applyFont="1" applyFill="1" applyBorder="1" applyAlignment="1" applyProtection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2" fontId="2" fillId="0" borderId="22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6" borderId="27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2" fontId="2" fillId="0" borderId="9" xfId="0" applyNumberFormat="1" applyFont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20" fillId="6" borderId="1" xfId="1" applyFont="1" applyFill="1" applyBorder="1" applyAlignment="1" applyProtection="1">
      <alignment horizontal="center" vertical="center" wrapText="1"/>
    </xf>
    <xf numFmtId="0" fontId="20" fillId="6" borderId="10" xfId="1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2" fontId="52" fillId="0" borderId="1" xfId="0" applyNumberFormat="1" applyFont="1" applyFill="1" applyBorder="1" applyAlignment="1">
      <alignment horizontal="center" vertical="center" wrapText="1"/>
    </xf>
    <xf numFmtId="164" fontId="52" fillId="0" borderId="1" xfId="0" applyNumberFormat="1" applyFont="1" applyFill="1" applyBorder="1" applyAlignment="1" applyProtection="1">
      <alignment horizontal="center" vertical="center" wrapText="1"/>
    </xf>
    <xf numFmtId="0" fontId="3" fillId="6" borderId="31" xfId="1" applyFont="1" applyFill="1" applyBorder="1" applyAlignment="1" applyProtection="1">
      <alignment horizontal="center" vertical="center" wrapText="1"/>
    </xf>
    <xf numFmtId="0" fontId="40" fillId="6" borderId="9" xfId="0" applyFont="1" applyFill="1" applyBorder="1" applyAlignment="1">
      <alignment horizontal="center" vertical="center" wrapText="1"/>
    </xf>
    <xf numFmtId="0" fontId="40" fillId="6" borderId="10" xfId="0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27" xfId="0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8" xfId="1" applyFont="1" applyFill="1" applyBorder="1" applyAlignment="1" applyProtection="1">
      <alignment horizontal="center" vertical="center" wrapText="1"/>
    </xf>
    <xf numFmtId="0" fontId="3" fillId="0" borderId="9" xfId="1" applyFont="1" applyFill="1" applyBorder="1" applyAlignment="1" applyProtection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164" fontId="10" fillId="0" borderId="7" xfId="0" applyNumberFormat="1" applyFont="1" applyFill="1" applyBorder="1" applyAlignment="1">
      <alignment horizontal="center" vertical="center" wrapText="1"/>
    </xf>
    <xf numFmtId="0" fontId="10" fillId="0" borderId="41" xfId="0" applyFont="1" applyFill="1" applyBorder="1" applyAlignment="1">
      <alignment horizontal="center" vertical="center" wrapText="1"/>
    </xf>
    <xf numFmtId="165" fontId="10" fillId="0" borderId="28" xfId="0" applyNumberFormat="1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165" fontId="38" fillId="0" borderId="20" xfId="0" applyNumberFormat="1" applyFont="1" applyFill="1" applyBorder="1" applyAlignment="1">
      <alignment horizontal="center" vertical="center" wrapText="1"/>
    </xf>
    <xf numFmtId="165" fontId="38" fillId="0" borderId="14" xfId="0" applyNumberFormat="1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2" fontId="8" fillId="6" borderId="1" xfId="0" applyNumberFormat="1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>
      <alignment horizontal="center" vertical="center" wrapText="1"/>
    </xf>
    <xf numFmtId="2" fontId="8" fillId="0" borderId="16" xfId="2" applyNumberFormat="1" applyFont="1" applyFill="1" applyBorder="1" applyAlignment="1">
      <alignment horizontal="center" vertical="center" wrapText="1"/>
    </xf>
    <xf numFmtId="2" fontId="8" fillId="0" borderId="24" xfId="0" applyNumberFormat="1" applyFont="1" applyFill="1" applyBorder="1" applyAlignment="1">
      <alignment horizontal="center" vertical="center" wrapText="1"/>
    </xf>
    <xf numFmtId="2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42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2" fontId="8" fillId="0" borderId="1" xfId="3" applyNumberFormat="1" applyFont="1" applyFill="1" applyBorder="1" applyAlignment="1">
      <alignment horizontal="center" vertical="center" wrapText="1"/>
    </xf>
    <xf numFmtId="2" fontId="8" fillId="0" borderId="1" xfId="3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right" vertical="center" wrapText="1"/>
      <protection locked="0"/>
    </xf>
    <xf numFmtId="164" fontId="10" fillId="0" borderId="34" xfId="0" applyNumberFormat="1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vertical="center" wrapText="1"/>
    </xf>
    <xf numFmtId="0" fontId="8" fillId="6" borderId="1" xfId="0" applyFont="1" applyFill="1" applyBorder="1" applyAlignment="1" applyProtection="1">
      <alignment horizontal="center" vertical="center" wrapText="1"/>
    </xf>
    <xf numFmtId="2" fontId="8" fillId="4" borderId="1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1" fontId="7" fillId="2" borderId="10" xfId="0" applyNumberFormat="1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vertical="center" wrapText="1"/>
    </xf>
    <xf numFmtId="0" fontId="0" fillId="0" borderId="0" xfId="0" applyFill="1" applyBorder="1"/>
    <xf numFmtId="2" fontId="53" fillId="0" borderId="1" xfId="0" applyNumberFormat="1" applyFont="1" applyFill="1" applyBorder="1" applyAlignment="1">
      <alignment horizontal="center"/>
    </xf>
    <xf numFmtId="1" fontId="7" fillId="2" borderId="10" xfId="0" applyNumberFormat="1" applyFont="1" applyFill="1" applyBorder="1" applyAlignment="1">
      <alignment horizontal="center" wrapText="1"/>
    </xf>
    <xf numFmtId="1" fontId="7" fillId="2" borderId="8" xfId="0" applyNumberFormat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vertical="center" wrapText="1"/>
    </xf>
    <xf numFmtId="0" fontId="0" fillId="2" borderId="0" xfId="0" applyFill="1" applyBorder="1" applyAlignment="1"/>
    <xf numFmtId="0" fontId="47" fillId="2" borderId="0" xfId="0" applyFont="1" applyFill="1" applyBorder="1" applyAlignment="1"/>
    <xf numFmtId="2" fontId="54" fillId="2" borderId="1" xfId="0" applyNumberFormat="1" applyFont="1" applyFill="1" applyBorder="1"/>
    <xf numFmtId="1" fontId="38" fillId="0" borderId="0" xfId="0" applyNumberFormat="1" applyFont="1" applyFill="1" applyBorder="1" applyAlignment="1">
      <alignment horizontal="center" vertical="center" wrapText="1"/>
    </xf>
    <xf numFmtId="0" fontId="8" fillId="9" borderId="0" xfId="0" applyFont="1" applyFill="1"/>
    <xf numFmtId="0" fontId="8" fillId="9" borderId="9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 wrapText="1"/>
    </xf>
    <xf numFmtId="0" fontId="8" fillId="9" borderId="17" xfId="0" applyFont="1" applyFill="1" applyBorder="1" applyAlignment="1">
      <alignment horizontal="center" vertical="center" wrapText="1"/>
    </xf>
    <xf numFmtId="0" fontId="8" fillId="9" borderId="0" xfId="0" applyFont="1" applyFill="1" applyProtection="1">
      <protection locked="0"/>
    </xf>
    <xf numFmtId="0" fontId="42" fillId="0" borderId="0" xfId="0" applyFont="1" applyFill="1"/>
    <xf numFmtId="0" fontId="8" fillId="0" borderId="8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right" vertical="center" wrapText="1"/>
    </xf>
    <xf numFmtId="2" fontId="8" fillId="0" borderId="27" xfId="0" applyNumberFormat="1" applyFont="1" applyFill="1" applyBorder="1" applyAlignment="1">
      <alignment horizontal="center" vertical="center" wrapText="1"/>
    </xf>
    <xf numFmtId="0" fontId="42" fillId="9" borderId="0" xfId="0" applyFont="1" applyFill="1"/>
    <xf numFmtId="0" fontId="42" fillId="0" borderId="0" xfId="0" applyFont="1" applyFill="1" applyBorder="1"/>
    <xf numFmtId="49" fontId="42" fillId="0" borderId="0" xfId="0" applyNumberFormat="1" applyFont="1" applyFill="1" applyAlignment="1">
      <alignment horizontal="center" vertical="center" wrapText="1"/>
    </xf>
    <xf numFmtId="165" fontId="42" fillId="0" borderId="0" xfId="0" applyNumberFormat="1" applyFont="1" applyFill="1"/>
    <xf numFmtId="165" fontId="42" fillId="0" borderId="0" xfId="0" applyNumberFormat="1" applyFont="1" applyFill="1" applyBorder="1"/>
    <xf numFmtId="0" fontId="42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vertical="center" wrapText="1"/>
    </xf>
    <xf numFmtId="165" fontId="8" fillId="0" borderId="0" xfId="0" applyNumberFormat="1" applyFont="1" applyFill="1" applyBorder="1" applyAlignment="1">
      <alignment vertical="center" wrapText="1"/>
    </xf>
    <xf numFmtId="0" fontId="42" fillId="0" borderId="0" xfId="0" applyFont="1" applyFill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center" vertical="center" wrapText="1"/>
    </xf>
    <xf numFmtId="1" fontId="8" fillId="0" borderId="24" xfId="0" applyNumberFormat="1" applyFont="1" applyFill="1" applyBorder="1" applyAlignment="1">
      <alignment horizontal="center" vertical="center" wrapText="1"/>
    </xf>
    <xf numFmtId="164" fontId="8" fillId="0" borderId="24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49" fontId="8" fillId="0" borderId="24" xfId="0" applyNumberFormat="1" applyFont="1" applyFill="1" applyBorder="1" applyAlignment="1">
      <alignment horizontal="center" vertical="center" wrapText="1"/>
    </xf>
    <xf numFmtId="164" fontId="8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1" xfId="0" applyFont="1" applyFill="1" applyBorder="1"/>
    <xf numFmtId="49" fontId="8" fillId="4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center" vertical="center" wrapText="1"/>
    </xf>
    <xf numFmtId="165" fontId="8" fillId="0" borderId="25" xfId="0" applyNumberFormat="1" applyFont="1" applyFill="1" applyBorder="1"/>
    <xf numFmtId="0" fontId="8" fillId="0" borderId="25" xfId="0" applyFont="1" applyFill="1" applyBorder="1" applyAlignment="1">
      <alignment wrapText="1"/>
    </xf>
    <xf numFmtId="0" fontId="8" fillId="0" borderId="14" xfId="0" applyFont="1" applyFill="1" applyBorder="1"/>
    <xf numFmtId="49" fontId="8" fillId="0" borderId="48" xfId="0" applyNumberFormat="1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right" vertical="center" wrapText="1"/>
    </xf>
    <xf numFmtId="0" fontId="10" fillId="0" borderId="26" xfId="0" applyFont="1" applyFill="1" applyBorder="1" applyAlignment="1">
      <alignment horizontal="right" vertical="center" wrapText="1"/>
    </xf>
    <xf numFmtId="0" fontId="10" fillId="0" borderId="3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2" fontId="10" fillId="0" borderId="1" xfId="0" applyNumberFormat="1" applyFont="1" applyFill="1" applyBorder="1" applyAlignment="1">
      <alignment vertical="center" wrapText="1"/>
    </xf>
    <xf numFmtId="0" fontId="10" fillId="0" borderId="49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8" fillId="0" borderId="31" xfId="0" applyFont="1" applyFill="1" applyBorder="1" applyAlignment="1">
      <alignment horizontal="right" vertical="center" wrapText="1"/>
    </xf>
    <xf numFmtId="0" fontId="8" fillId="0" borderId="31" xfId="0" applyFont="1" applyFill="1" applyBorder="1" applyAlignment="1">
      <alignment vertical="center" wrapText="1"/>
    </xf>
    <xf numFmtId="2" fontId="10" fillId="0" borderId="31" xfId="0" applyNumberFormat="1" applyFont="1" applyFill="1" applyBorder="1" applyAlignment="1">
      <alignment vertical="center" wrapText="1"/>
    </xf>
    <xf numFmtId="165" fontId="8" fillId="0" borderId="31" xfId="0" applyNumberFormat="1" applyFont="1" applyFill="1" applyBorder="1"/>
    <xf numFmtId="0" fontId="8" fillId="0" borderId="31" xfId="0" applyFont="1" applyFill="1" applyBorder="1" applyAlignment="1">
      <alignment wrapText="1"/>
    </xf>
    <xf numFmtId="0" fontId="8" fillId="0" borderId="16" xfId="0" applyFont="1" applyFill="1" applyBorder="1"/>
    <xf numFmtId="49" fontId="8" fillId="0" borderId="50" xfId="0" applyNumberFormat="1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center" vertical="center" wrapText="1"/>
    </xf>
    <xf numFmtId="0" fontId="10" fillId="0" borderId="51" xfId="0" applyFont="1" applyFill="1" applyBorder="1" applyAlignment="1">
      <alignment horizontal="right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52" xfId="0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horizontal="right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vertical="center" wrapText="1"/>
    </xf>
    <xf numFmtId="165" fontId="8" fillId="0" borderId="46" xfId="0" applyNumberFormat="1" applyFont="1" applyFill="1" applyBorder="1"/>
    <xf numFmtId="0" fontId="8" fillId="0" borderId="46" xfId="0" applyFont="1" applyFill="1" applyBorder="1" applyAlignment="1">
      <alignment wrapText="1"/>
    </xf>
    <xf numFmtId="0" fontId="8" fillId="0" borderId="53" xfId="0" applyFont="1" applyFill="1" applyBorder="1"/>
    <xf numFmtId="49" fontId="8" fillId="0" borderId="54" xfId="0" applyNumberFormat="1" applyFont="1" applyFill="1" applyBorder="1" applyAlignment="1">
      <alignment horizontal="center" vertical="center" wrapText="1"/>
    </xf>
    <xf numFmtId="0" fontId="8" fillId="0" borderId="25" xfId="0" applyFont="1" applyFill="1" applyBorder="1"/>
    <xf numFmtId="0" fontId="8" fillId="0" borderId="31" xfId="0" applyFont="1" applyFill="1" applyBorder="1"/>
    <xf numFmtId="0" fontId="8" fillId="0" borderId="46" xfId="0" applyFont="1" applyFill="1" applyBorder="1"/>
    <xf numFmtId="0" fontId="8" fillId="0" borderId="0" xfId="0" applyFont="1" applyFill="1" applyBorder="1" applyAlignment="1">
      <alignment horizontal="right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164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Fill="1" applyAlignment="1">
      <alignment horizontal="center" vertical="center" wrapText="1"/>
    </xf>
    <xf numFmtId="49" fontId="8" fillId="0" borderId="15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/>
    <xf numFmtId="49" fontId="8" fillId="0" borderId="0" xfId="0" applyNumberFormat="1" applyFont="1" applyFill="1" applyAlignment="1">
      <alignment horizontal="center" vertical="center" wrapText="1"/>
    </xf>
    <xf numFmtId="165" fontId="8" fillId="0" borderId="0" xfId="0" applyNumberFormat="1" applyFont="1" applyFill="1"/>
    <xf numFmtId="0" fontId="8" fillId="0" borderId="0" xfId="0" applyFont="1" applyFill="1" applyAlignment="1">
      <alignment horizontal="right" vertical="center" wrapText="1"/>
    </xf>
    <xf numFmtId="2" fontId="8" fillId="0" borderId="0" xfId="0" applyNumberFormat="1" applyFont="1" applyFill="1" applyAlignment="1">
      <alignment horizontal="center" vertical="center" wrapText="1"/>
    </xf>
    <xf numFmtId="1" fontId="42" fillId="0" borderId="0" xfId="0" applyNumberFormat="1" applyFont="1" applyFill="1" applyBorder="1"/>
    <xf numFmtId="0" fontId="42" fillId="0" borderId="0" xfId="0" applyFont="1" applyFill="1" applyAlignment="1">
      <alignment wrapText="1"/>
    </xf>
    <xf numFmtId="0" fontId="42" fillId="0" borderId="3" xfId="0" applyFont="1" applyFill="1" applyBorder="1"/>
    <xf numFmtId="0" fontId="42" fillId="0" borderId="1" xfId="0" applyFont="1" applyFill="1" applyBorder="1"/>
    <xf numFmtId="2" fontId="8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 applyProtection="1">
      <alignment horizontal="center" vertical="center" wrapText="1"/>
      <protection locked="0"/>
    </xf>
    <xf numFmtId="1" fontId="42" fillId="0" borderId="24" xfId="0" applyNumberFormat="1" applyFont="1" applyFill="1" applyBorder="1" applyAlignment="1">
      <alignment horizontal="center" vertical="center" wrapText="1"/>
    </xf>
    <xf numFmtId="49" fontId="8" fillId="0" borderId="24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1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42" fillId="0" borderId="24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vertical="center"/>
    </xf>
    <xf numFmtId="2" fontId="48" fillId="0" borderId="1" xfId="0" applyNumberFormat="1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0" fillId="6" borderId="9" xfId="1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>
      <alignment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right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2" fillId="8" borderId="10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2" fontId="2" fillId="8" borderId="10" xfId="0" applyNumberFormat="1" applyFont="1" applyFill="1" applyBorder="1" applyAlignment="1">
      <alignment horizontal="center" vertical="center" wrapText="1"/>
    </xf>
    <xf numFmtId="165" fontId="3" fillId="0" borderId="10" xfId="0" applyNumberFormat="1" applyFont="1" applyFill="1" applyBorder="1" applyAlignment="1">
      <alignment horizontal="center" vertical="center" wrapText="1"/>
    </xf>
    <xf numFmtId="165" fontId="3" fillId="8" borderId="10" xfId="0" applyNumberFormat="1" applyFont="1" applyFill="1" applyBorder="1" applyAlignment="1">
      <alignment horizontal="center" vertical="center" wrapText="1"/>
    </xf>
    <xf numFmtId="14" fontId="23" fillId="0" borderId="9" xfId="0" applyNumberFormat="1" applyFon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6" borderId="27" xfId="0" applyFill="1" applyBorder="1" applyAlignment="1">
      <alignment horizontal="center" vertical="center" wrapText="1"/>
    </xf>
    <xf numFmtId="14" fontId="14" fillId="0" borderId="9" xfId="0" applyNumberFormat="1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14" fillId="0" borderId="8" xfId="0" applyNumberFormat="1" applyFont="1" applyFill="1" applyBorder="1" applyAlignment="1">
      <alignment horizontal="center" vertical="center" wrapText="1"/>
    </xf>
    <xf numFmtId="0" fontId="14" fillId="0" borderId="27" xfId="0" applyNumberFormat="1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7" fillId="0" borderId="0" xfId="0" applyFont="1" applyFill="1"/>
    <xf numFmtId="0" fontId="7" fillId="0" borderId="0" xfId="0" applyFont="1" applyFill="1" applyAlignment="1">
      <alignment horizontal="center" vertical="center" wrapText="1"/>
    </xf>
    <xf numFmtId="2" fontId="38" fillId="4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2" fontId="2" fillId="0" borderId="9" xfId="0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0" fillId="8" borderId="0" xfId="0" applyFill="1"/>
    <xf numFmtId="0" fontId="0" fillId="0" borderId="0" xfId="0" applyFill="1" applyBorder="1" applyAlignment="1"/>
    <xf numFmtId="16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55" fillId="0" borderId="0" xfId="0" applyNumberFormat="1" applyFont="1" applyFill="1" applyBorder="1" applyAlignment="1">
      <alignment horizontal="center" vertical="center"/>
    </xf>
    <xf numFmtId="0" fontId="55" fillId="0" borderId="0" xfId="0" applyNumberFormat="1" applyFont="1" applyFill="1" applyAlignment="1">
      <alignment horizontal="center" vertical="center"/>
    </xf>
    <xf numFmtId="0" fontId="56" fillId="0" borderId="1" xfId="0" applyFont="1" applyFill="1" applyBorder="1" applyAlignment="1">
      <alignment horizontal="center"/>
    </xf>
    <xf numFmtId="0" fontId="2" fillId="0" borderId="9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40" fillId="0" borderId="10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3" fillId="0" borderId="9" xfId="1" applyFont="1" applyBorder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59" fillId="6" borderId="13" xfId="0" applyFont="1" applyFill="1" applyBorder="1" applyAlignment="1">
      <alignment vertical="center" wrapText="1"/>
    </xf>
    <xf numFmtId="0" fontId="59" fillId="0" borderId="1" xfId="0" applyFont="1" applyFill="1" applyBorder="1" applyAlignment="1">
      <alignment vertical="center" wrapText="1"/>
    </xf>
    <xf numFmtId="0" fontId="2" fillId="0" borderId="10" xfId="0" applyFont="1" applyBorder="1" applyAlignment="1">
      <alignment horizontal="center" vertical="center" wrapText="1"/>
    </xf>
    <xf numFmtId="1" fontId="48" fillId="0" borderId="1" xfId="0" applyNumberFormat="1" applyFont="1" applyFill="1" applyBorder="1" applyAlignment="1">
      <alignment horizontal="center" vertical="center" wrapText="1"/>
    </xf>
    <xf numFmtId="1" fontId="48" fillId="0" borderId="1" xfId="0" applyNumberFormat="1" applyFont="1" applyFill="1" applyBorder="1" applyAlignment="1">
      <alignment horizontal="center"/>
    </xf>
    <xf numFmtId="1" fontId="56" fillId="0" borderId="1" xfId="0" applyNumberFormat="1" applyFont="1" applyFill="1" applyBorder="1" applyAlignment="1">
      <alignment horizontal="center" vertical="top"/>
    </xf>
    <xf numFmtId="1" fontId="56" fillId="0" borderId="1" xfId="0" applyNumberFormat="1" applyFont="1" applyFill="1" applyBorder="1" applyAlignment="1">
      <alignment horizontal="center"/>
    </xf>
    <xf numFmtId="1" fontId="48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1" fillId="2" borderId="9" xfId="1" applyFont="1" applyFill="1" applyBorder="1" applyAlignment="1" applyProtection="1">
      <alignment horizontal="center" vertical="center" wrapText="1"/>
    </xf>
    <xf numFmtId="0" fontId="3" fillId="0" borderId="9" xfId="0" applyNumberFormat="1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8" fillId="0" borderId="12" xfId="2" applyFont="1" applyFill="1" applyBorder="1" applyAlignment="1">
      <alignment horizontal="center" vertical="center" wrapText="1"/>
    </xf>
    <xf numFmtId="0" fontId="8" fillId="0" borderId="15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13" xfId="2" applyFont="1" applyFill="1" applyBorder="1" applyAlignment="1">
      <alignment horizontal="center" vertical="center" wrapText="1"/>
    </xf>
    <xf numFmtId="0" fontId="2" fillId="6" borderId="34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48" fillId="0" borderId="8" xfId="0" applyFont="1" applyBorder="1" applyAlignment="1">
      <alignment horizontal="center" vertical="center" wrapText="1"/>
    </xf>
    <xf numFmtId="0" fontId="48" fillId="0" borderId="27" xfId="0" applyFont="1" applyBorder="1" applyAlignment="1">
      <alignment horizontal="center" vertical="center" wrapText="1"/>
    </xf>
    <xf numFmtId="0" fontId="48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" fillId="6" borderId="10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10" borderId="1" xfId="2" applyFont="1" applyFill="1" applyBorder="1" applyAlignment="1">
      <alignment horizontal="center" vertical="center" wrapText="1"/>
    </xf>
    <xf numFmtId="0" fontId="8" fillId="10" borderId="24" xfId="0" applyFont="1" applyFill="1" applyBorder="1" applyAlignment="1">
      <alignment horizontal="right" vertical="center" wrapText="1"/>
    </xf>
    <xf numFmtId="0" fontId="8" fillId="10" borderId="31" xfId="0" applyFont="1" applyFill="1" applyBorder="1" applyAlignment="1">
      <alignment horizontal="center" vertical="center" wrapText="1"/>
    </xf>
    <xf numFmtId="0" fontId="8" fillId="10" borderId="16" xfId="0" applyFont="1" applyFill="1" applyBorder="1" applyAlignment="1">
      <alignment horizontal="center" vertical="center" wrapText="1"/>
    </xf>
    <xf numFmtId="2" fontId="8" fillId="10" borderId="24" xfId="0" applyNumberFormat="1" applyFont="1" applyFill="1" applyBorder="1" applyAlignment="1">
      <alignment horizontal="center" vertical="center" wrapText="1"/>
    </xf>
    <xf numFmtId="2" fontId="8" fillId="10" borderId="1" xfId="2" applyNumberFormat="1" applyFont="1" applyFill="1" applyBorder="1" applyAlignment="1">
      <alignment horizontal="center" vertical="center" wrapText="1"/>
    </xf>
    <xf numFmtId="0" fontId="8" fillId="10" borderId="1" xfId="2" applyNumberFormat="1" applyFont="1" applyFill="1" applyBorder="1" applyAlignment="1">
      <alignment horizontal="center" vertical="center" wrapText="1"/>
    </xf>
    <xf numFmtId="2" fontId="8" fillId="10" borderId="1" xfId="0" applyNumberFormat="1" applyFont="1" applyFill="1" applyBorder="1" applyAlignment="1">
      <alignment horizontal="center" vertical="center" wrapText="1"/>
    </xf>
    <xf numFmtId="2" fontId="8" fillId="10" borderId="16" xfId="0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 applyProtection="1">
      <alignment horizontal="center" vertical="center" wrapText="1"/>
      <protection locked="0"/>
    </xf>
    <xf numFmtId="0" fontId="8" fillId="10" borderId="24" xfId="0" applyFont="1" applyFill="1" applyBorder="1" applyAlignment="1" applyProtection="1">
      <alignment horizontal="right" vertical="center" wrapText="1"/>
      <protection locked="0"/>
    </xf>
    <xf numFmtId="0" fontId="8" fillId="10" borderId="31" xfId="0" applyFont="1" applyFill="1" applyBorder="1" applyAlignment="1" applyProtection="1">
      <alignment horizontal="center" vertical="center" wrapText="1"/>
      <protection locked="0"/>
    </xf>
    <xf numFmtId="0" fontId="8" fillId="10" borderId="16" xfId="0" applyFont="1" applyFill="1" applyBorder="1" applyAlignment="1" applyProtection="1">
      <alignment horizontal="center" vertical="center" wrapText="1"/>
      <protection locked="0"/>
    </xf>
    <xf numFmtId="2" fontId="8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8" fillId="10" borderId="16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8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8" fillId="2" borderId="43" xfId="2" applyFont="1" applyFill="1" applyBorder="1" applyAlignment="1">
      <alignment horizontal="center" vertical="center" wrapText="1"/>
    </xf>
    <xf numFmtId="0" fontId="3" fillId="0" borderId="8" xfId="1" applyFont="1" applyFill="1" applyBorder="1" applyAlignment="1" applyProtection="1">
      <alignment horizontal="center" vertical="center" wrapText="1"/>
    </xf>
    <xf numFmtId="0" fontId="3" fillId="0" borderId="27" xfId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0" fillId="2" borderId="8" xfId="0" applyFill="1" applyBorder="1" applyAlignment="1"/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2" fontId="8" fillId="10" borderId="1" xfId="3" applyNumberFormat="1" applyFont="1" applyFill="1" applyBorder="1" applyAlignment="1">
      <alignment horizontal="center" vertical="center" wrapText="1"/>
    </xf>
    <xf numFmtId="0" fontId="8" fillId="10" borderId="1" xfId="3" applyFont="1" applyFill="1" applyBorder="1" applyAlignment="1">
      <alignment horizontal="center" vertical="center" wrapText="1"/>
    </xf>
    <xf numFmtId="2" fontId="8" fillId="10" borderId="1" xfId="3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0" fontId="42" fillId="0" borderId="2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4" xfId="2" applyFont="1" applyFill="1" applyBorder="1" applyAlignment="1">
      <alignment vertical="center" wrapText="1"/>
    </xf>
    <xf numFmtId="0" fontId="3" fillId="0" borderId="31" xfId="2" applyFont="1" applyFill="1" applyBorder="1" applyAlignment="1">
      <alignment vertical="center" wrapText="1"/>
    </xf>
    <xf numFmtId="0" fontId="3" fillId="0" borderId="16" xfId="2" applyFont="1" applyFill="1" applyBorder="1" applyAlignment="1">
      <alignment vertical="center" wrapText="1"/>
    </xf>
    <xf numFmtId="0" fontId="3" fillId="0" borderId="24" xfId="0" applyFont="1" applyFill="1" applyBorder="1" applyAlignment="1">
      <alignment vertical="center" wrapText="1"/>
    </xf>
    <xf numFmtId="0" fontId="3" fillId="0" borderId="31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vertical="center" wrapText="1"/>
    </xf>
    <xf numFmtId="0" fontId="2" fillId="0" borderId="24" xfId="0" applyFont="1" applyFill="1" applyBorder="1" applyAlignment="1">
      <alignment vertical="center" wrapText="1"/>
    </xf>
    <xf numFmtId="0" fontId="2" fillId="0" borderId="31" xfId="0" applyFont="1" applyFill="1" applyBorder="1" applyAlignment="1">
      <alignment vertical="center" wrapText="1"/>
    </xf>
    <xf numFmtId="0" fontId="13" fillId="0" borderId="27" xfId="0" applyFont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vertical="center" wrapText="1"/>
    </xf>
    <xf numFmtId="0" fontId="2" fillId="0" borderId="25" xfId="0" applyFont="1" applyFill="1" applyBorder="1" applyAlignment="1">
      <alignment vertical="center" wrapText="1"/>
    </xf>
    <xf numFmtId="0" fontId="14" fillId="0" borderId="27" xfId="0" applyFont="1" applyBorder="1" applyAlignment="1">
      <alignment horizontal="center" vertical="center" wrapText="1"/>
    </xf>
    <xf numFmtId="0" fontId="3" fillId="0" borderId="27" xfId="2" applyFont="1" applyFill="1" applyBorder="1" applyAlignment="1">
      <alignment horizontal="center" vertical="center" wrapText="1"/>
    </xf>
    <xf numFmtId="167" fontId="3" fillId="3" borderId="10" xfId="0" applyNumberFormat="1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48" fillId="0" borderId="1" xfId="0" applyFont="1" applyFill="1" applyBorder="1" applyAlignment="1">
      <alignment vertical="center" wrapText="1"/>
    </xf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2" fontId="52" fillId="0" borderId="0" xfId="0" applyNumberFormat="1" applyFont="1" applyFill="1" applyAlignment="1">
      <alignment horizontal="center" vertical="center" wrapText="1"/>
    </xf>
    <xf numFmtId="0" fontId="62" fillId="0" borderId="0" xfId="0" applyFont="1" applyFill="1"/>
    <xf numFmtId="0" fontId="62" fillId="0" borderId="0" xfId="0" applyFont="1" applyFill="1" applyBorder="1"/>
    <xf numFmtId="49" fontId="62" fillId="0" borderId="0" xfId="0" applyNumberFormat="1" applyFont="1" applyFill="1" applyAlignment="1">
      <alignment horizontal="center" vertical="center" wrapText="1"/>
    </xf>
    <xf numFmtId="1" fontId="52" fillId="0" borderId="0" xfId="0" applyNumberFormat="1" applyFont="1" applyFill="1" applyAlignment="1">
      <alignment horizontal="center" vertical="center" wrapText="1"/>
    </xf>
    <xf numFmtId="165" fontId="62" fillId="0" borderId="0" xfId="0" applyNumberFormat="1" applyFont="1" applyFill="1"/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vertical="center" wrapText="1"/>
    </xf>
    <xf numFmtId="0" fontId="13" fillId="0" borderId="31" xfId="0" applyFont="1" applyFill="1" applyBorder="1" applyAlignment="1">
      <alignment vertical="center" wrapText="1"/>
    </xf>
    <xf numFmtId="0" fontId="13" fillId="0" borderId="16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8" fillId="2" borderId="42" xfId="2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vertical="center" wrapText="1"/>
    </xf>
    <xf numFmtId="0" fontId="13" fillId="0" borderId="9" xfId="0" applyFont="1" applyFill="1" applyBorder="1" applyAlignment="1">
      <alignment vertical="center" wrapText="1"/>
    </xf>
    <xf numFmtId="0" fontId="48" fillId="0" borderId="1" xfId="0" applyFont="1" applyFill="1" applyBorder="1"/>
    <xf numFmtId="0" fontId="48" fillId="0" borderId="1" xfId="0" applyFont="1" applyFill="1" applyBorder="1" applyAlignment="1">
      <alignment horizontal="center"/>
    </xf>
    <xf numFmtId="0" fontId="56" fillId="0" borderId="10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left" vertical="center" wrapText="1"/>
    </xf>
    <xf numFmtId="3" fontId="4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49" fontId="56" fillId="0" borderId="1" xfId="0" applyNumberFormat="1" applyFont="1" applyFill="1" applyBorder="1" applyAlignment="1">
      <alignment horizontal="center" vertical="top" wrapText="1"/>
    </xf>
    <xf numFmtId="49" fontId="48" fillId="0" borderId="1" xfId="0" applyNumberFormat="1" applyFont="1" applyFill="1" applyBorder="1"/>
    <xf numFmtId="49" fontId="48" fillId="0" borderId="1" xfId="0" applyNumberFormat="1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49" fontId="56" fillId="0" borderId="1" xfId="0" applyNumberFormat="1" applyFont="1" applyFill="1" applyBorder="1" applyAlignment="1">
      <alignment horizontal="left" vertical="center" wrapText="1"/>
    </xf>
    <xf numFmtId="49" fontId="56" fillId="0" borderId="1" xfId="0" applyNumberFormat="1" applyFont="1" applyFill="1" applyBorder="1" applyAlignment="1">
      <alignment horizontal="left" vertical="center"/>
    </xf>
    <xf numFmtId="1" fontId="56" fillId="0" borderId="1" xfId="0" applyNumberFormat="1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 vertical="center" wrapText="1"/>
    </xf>
    <xf numFmtId="0" fontId="56" fillId="0" borderId="1" xfId="0" applyFont="1" applyFill="1" applyBorder="1" applyAlignment="1">
      <alignment horizontal="left"/>
    </xf>
    <xf numFmtId="0" fontId="56" fillId="0" borderId="1" xfId="0" applyFont="1" applyFill="1" applyBorder="1" applyAlignment="1">
      <alignment horizontal="left" wrapText="1"/>
    </xf>
    <xf numFmtId="0" fontId="56" fillId="0" borderId="1" xfId="0" applyFont="1" applyFill="1" applyBorder="1"/>
    <xf numFmtId="0" fontId="0" fillId="0" borderId="0" xfId="0" applyFill="1" applyAlignment="1">
      <alignment horizontal="center"/>
    </xf>
    <xf numFmtId="0" fontId="40" fillId="0" borderId="1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0" fontId="40" fillId="8" borderId="1" xfId="0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7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0" xfId="0" applyNumberFormat="1" applyFont="1" applyFill="1" applyBorder="1" applyAlignment="1">
      <alignment horizontal="center" vertical="center" wrapText="1"/>
    </xf>
    <xf numFmtId="0" fontId="8" fillId="0" borderId="3" xfId="2" applyFont="1" applyFill="1" applyBorder="1" applyAlignment="1">
      <alignment horizontal="center" vertical="center" wrapText="1"/>
    </xf>
    <xf numFmtId="49" fontId="34" fillId="2" borderId="0" xfId="0" applyNumberFormat="1" applyFont="1" applyFill="1" applyAlignment="1">
      <alignment horizontal="center" vertical="center" wrapText="1"/>
    </xf>
    <xf numFmtId="49" fontId="34" fillId="0" borderId="0" xfId="0" applyNumberFormat="1" applyFont="1" applyFill="1" applyAlignment="1">
      <alignment horizontal="center" vertical="center" wrapText="1"/>
    </xf>
    <xf numFmtId="49" fontId="34" fillId="2" borderId="26" xfId="0" applyNumberFormat="1" applyFont="1" applyFill="1" applyBorder="1" applyAlignment="1">
      <alignment horizontal="center" vertical="center" wrapText="1"/>
    </xf>
    <xf numFmtId="49" fontId="34" fillId="0" borderId="26" xfId="0" applyNumberFormat="1" applyFont="1" applyFill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top" wrapText="1"/>
    </xf>
    <xf numFmtId="0" fontId="0" fillId="2" borderId="0" xfId="0" applyFill="1" applyAlignment="1"/>
    <xf numFmtId="0" fontId="0" fillId="0" borderId="0" xfId="0" applyFill="1" applyAlignment="1"/>
    <xf numFmtId="164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0" borderId="10" xfId="0" applyNumberFormat="1" applyFont="1" applyFill="1" applyBorder="1" applyAlignment="1" applyProtection="1">
      <alignment horizontal="center" vertical="center" wrapText="1"/>
    </xf>
    <xf numFmtId="164" fontId="8" fillId="0" borderId="12" xfId="0" applyNumberFormat="1" applyFont="1" applyFill="1" applyBorder="1" applyAlignment="1" applyProtection="1">
      <alignment horizontal="center" vertical="center" wrapText="1"/>
    </xf>
    <xf numFmtId="164" fontId="8" fillId="0" borderId="3" xfId="0" applyNumberFormat="1" applyFont="1" applyFill="1" applyBorder="1" applyAlignment="1" applyProtection="1">
      <alignment horizontal="center" vertical="center" wrapText="1"/>
    </xf>
    <xf numFmtId="0" fontId="55" fillId="0" borderId="12" xfId="0" applyFont="1" applyBorder="1"/>
    <xf numFmtId="0" fontId="55" fillId="0" borderId="3" xfId="0" applyFont="1" applyBorder="1"/>
    <xf numFmtId="2" fontId="8" fillId="0" borderId="10" xfId="0" applyNumberFormat="1" applyFont="1" applyFill="1" applyBorder="1" applyAlignment="1">
      <alignment horizontal="center" vertical="center" wrapText="1"/>
    </xf>
    <xf numFmtId="2" fontId="8" fillId="0" borderId="12" xfId="0" applyNumberFormat="1" applyFont="1" applyFill="1" applyBorder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10" borderId="10" xfId="0" applyNumberFormat="1" applyFont="1" applyFill="1" applyBorder="1" applyAlignment="1">
      <alignment horizontal="center" vertical="center" wrapText="1"/>
    </xf>
    <xf numFmtId="2" fontId="8" fillId="10" borderId="12" xfId="0" applyNumberFormat="1" applyFont="1" applyFill="1" applyBorder="1" applyAlignment="1">
      <alignment horizontal="center" vertical="center" wrapText="1"/>
    </xf>
    <xf numFmtId="2" fontId="8" fillId="10" borderId="3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2" fontId="8" fillId="0" borderId="1" xfId="2" applyNumberFormat="1" applyFont="1" applyFill="1" applyBorder="1" applyAlignment="1">
      <alignment horizontal="center" vertical="center" wrapText="1"/>
    </xf>
    <xf numFmtId="2" fontId="8" fillId="0" borderId="10" xfId="2" applyNumberFormat="1" applyFont="1" applyFill="1" applyBorder="1" applyAlignment="1">
      <alignment horizontal="center" vertical="center" wrapText="1"/>
    </xf>
    <xf numFmtId="2" fontId="8" fillId="0" borderId="12" xfId="2" applyNumberFormat="1" applyFont="1" applyFill="1" applyBorder="1" applyAlignment="1">
      <alignment horizontal="center" vertical="center" wrapText="1"/>
    </xf>
    <xf numFmtId="2" fontId="8" fillId="0" borderId="3" xfId="2" applyNumberFormat="1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 wrapText="1"/>
    </xf>
    <xf numFmtId="0" fontId="8" fillId="10" borderId="16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 wrapText="1"/>
    </xf>
    <xf numFmtId="2" fontId="10" fillId="0" borderId="51" xfId="0" applyNumberFormat="1" applyFont="1" applyFill="1" applyBorder="1" applyAlignment="1">
      <alignment horizontal="center" vertical="center" wrapText="1"/>
    </xf>
    <xf numFmtId="2" fontId="10" fillId="0" borderId="53" xfId="0" applyNumberFormat="1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5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2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2" fontId="10" fillId="0" borderId="24" xfId="0" applyNumberFormat="1" applyFont="1" applyFill="1" applyBorder="1" applyAlignment="1">
      <alignment horizontal="center" vertical="center" wrapText="1"/>
    </xf>
    <xf numFmtId="2" fontId="10" fillId="0" borderId="16" xfId="0" applyNumberFormat="1" applyFont="1" applyFill="1" applyBorder="1" applyAlignment="1">
      <alignment horizontal="center" vertical="center" wrapText="1"/>
    </xf>
    <xf numFmtId="0" fontId="38" fillId="4" borderId="31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38" fillId="4" borderId="16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  <protection locked="0"/>
    </xf>
    <xf numFmtId="0" fontId="8" fillId="0" borderId="1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0" xfId="0" applyFont="1" applyFill="1" applyBorder="1" applyAlignment="1" applyProtection="1">
      <alignment horizontal="center" vertical="center" wrapText="1"/>
      <protection locked="0"/>
    </xf>
    <xf numFmtId="0" fontId="8" fillId="4" borderId="31" xfId="0" applyFont="1" applyFill="1" applyBorder="1" applyAlignment="1">
      <alignment horizontal="center" vertical="center" wrapText="1"/>
    </xf>
    <xf numFmtId="0" fontId="10" fillId="4" borderId="24" xfId="0" applyFont="1" applyFill="1" applyBorder="1" applyAlignment="1">
      <alignment horizontal="center" vertical="center" wrapText="1"/>
    </xf>
    <xf numFmtId="0" fontId="10" fillId="4" borderId="31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0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164" fontId="8" fillId="0" borderId="10" xfId="0" applyNumberFormat="1" applyFont="1" applyFill="1" applyBorder="1" applyAlignment="1">
      <alignment horizontal="center" vertical="center" wrapText="1"/>
    </xf>
    <xf numFmtId="164" fontId="8" fillId="0" borderId="12" xfId="0" applyNumberFormat="1" applyFont="1" applyFill="1" applyBorder="1" applyAlignment="1">
      <alignment horizontal="center" vertical="center" wrapText="1"/>
    </xf>
    <xf numFmtId="164" fontId="8" fillId="0" borderId="3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38" fillId="0" borderId="19" xfId="0" applyFont="1" applyFill="1" applyBorder="1" applyAlignment="1">
      <alignment horizontal="right" vertical="center" wrapText="1"/>
    </xf>
    <xf numFmtId="0" fontId="38" fillId="0" borderId="26" xfId="0" applyFont="1" applyFill="1" applyBorder="1" applyAlignment="1">
      <alignment horizontal="right" vertical="center" wrapText="1"/>
    </xf>
    <xf numFmtId="0" fontId="38" fillId="0" borderId="17" xfId="0" applyFont="1" applyFill="1" applyBorder="1" applyAlignment="1">
      <alignment horizontal="right" vertical="center" wrapText="1"/>
    </xf>
    <xf numFmtId="0" fontId="3" fillId="0" borderId="16" xfId="0" applyFont="1" applyFill="1" applyBorder="1" applyAlignment="1">
      <alignment horizontal="center" vertical="center" wrapText="1"/>
    </xf>
    <xf numFmtId="2" fontId="8" fillId="10" borderId="1" xfId="0" applyNumberFormat="1" applyFont="1" applyFill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right"/>
    </xf>
    <xf numFmtId="0" fontId="8" fillId="0" borderId="19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165" fontId="8" fillId="10" borderId="10" xfId="0" applyNumberFormat="1" applyFont="1" applyFill="1" applyBorder="1" applyAlignment="1">
      <alignment horizontal="center" vertical="center" wrapText="1"/>
    </xf>
    <xf numFmtId="165" fontId="8" fillId="10" borderId="12" xfId="0" applyNumberFormat="1" applyFont="1" applyFill="1" applyBorder="1" applyAlignment="1">
      <alignment horizontal="center" vertical="center" wrapText="1"/>
    </xf>
    <xf numFmtId="165" fontId="8" fillId="10" borderId="3" xfId="0" applyNumberFormat="1" applyFont="1" applyFill="1" applyBorder="1" applyAlignment="1">
      <alignment horizontal="center" vertical="center" wrapText="1"/>
    </xf>
    <xf numFmtId="0" fontId="43" fillId="0" borderId="1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2" fontId="8" fillId="0" borderId="1" xfId="0" applyNumberFormat="1" applyFont="1" applyFill="1" applyBorder="1" applyAlignment="1">
      <alignment horizontal="center" vertical="center"/>
    </xf>
    <xf numFmtId="49" fontId="42" fillId="0" borderId="8" xfId="0" applyNumberFormat="1" applyFont="1" applyFill="1" applyBorder="1" applyAlignment="1">
      <alignment horizontal="center" vertical="center" wrapText="1"/>
    </xf>
    <xf numFmtId="49" fontId="42" fillId="0" borderId="15" xfId="0" applyNumberFormat="1" applyFont="1" applyFill="1" applyBorder="1" applyAlignment="1">
      <alignment horizontal="center" vertical="center" wrapText="1"/>
    </xf>
    <xf numFmtId="49" fontId="42" fillId="0" borderId="19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2" fillId="0" borderId="2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0" fillId="0" borderId="0" xfId="0" applyFill="1" applyAlignment="1">
      <alignment wrapText="1"/>
    </xf>
    <xf numFmtId="0" fontId="57" fillId="0" borderId="1" xfId="0" applyFont="1" applyFill="1" applyBorder="1" applyAlignment="1">
      <alignment horizontal="left" vertical="center" wrapText="1"/>
    </xf>
    <xf numFmtId="0" fontId="39" fillId="0" borderId="24" xfId="0" applyFont="1" applyFill="1" applyBorder="1" applyAlignment="1">
      <alignment horizontal="center"/>
    </xf>
    <xf numFmtId="0" fontId="39" fillId="0" borderId="31" xfId="0" applyFont="1" applyFill="1" applyBorder="1" applyAlignment="1">
      <alignment horizontal="center"/>
    </xf>
    <xf numFmtId="0" fontId="39" fillId="2" borderId="16" xfId="0" applyFont="1" applyFill="1" applyBorder="1" applyAlignment="1">
      <alignment horizontal="center"/>
    </xf>
    <xf numFmtId="0" fontId="36" fillId="2" borderId="0" xfId="0" applyFont="1" applyFill="1" applyAlignment="1">
      <alignment horizontal="center" vertical="center" wrapText="1"/>
    </xf>
    <xf numFmtId="0" fontId="36" fillId="0" borderId="0" xfId="0" applyFont="1" applyFill="1" applyAlignment="1">
      <alignment horizontal="center" vertical="center" wrapText="1"/>
    </xf>
    <xf numFmtId="2" fontId="36" fillId="0" borderId="0" xfId="0" applyNumberFormat="1" applyFont="1" applyFill="1" applyAlignment="1">
      <alignment horizontal="center" vertical="center" wrapText="1"/>
    </xf>
    <xf numFmtId="0" fontId="36" fillId="2" borderId="2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2" fontId="36" fillId="0" borderId="26" xfId="0" applyNumberFormat="1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3" xfId="0" applyBorder="1"/>
    <xf numFmtId="0" fontId="7" fillId="0" borderId="1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2" fontId="7" fillId="0" borderId="16" xfId="0" applyNumberFormat="1" applyFont="1" applyFill="1" applyBorder="1" applyAlignment="1">
      <alignment horizontal="center" vertical="center" wrapText="1"/>
    </xf>
    <xf numFmtId="0" fontId="34" fillId="0" borderId="9" xfId="0" applyFont="1" applyFill="1" applyBorder="1" applyAlignment="1">
      <alignment horizontal="center" vertical="center" wrapText="1"/>
    </xf>
    <xf numFmtId="0" fontId="34" fillId="0" borderId="1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49" fontId="34" fillId="2" borderId="0" xfId="0" applyNumberFormat="1" applyFont="1" applyFill="1" applyAlignment="1">
      <alignment horizontal="center" vertical="center" wrapText="1"/>
    </xf>
    <xf numFmtId="0" fontId="34" fillId="2" borderId="0" xfId="0" applyNumberFormat="1" applyFont="1" applyFill="1" applyAlignment="1">
      <alignment horizontal="center" vertical="center" wrapText="1"/>
    </xf>
    <xf numFmtId="49" fontId="35" fillId="2" borderId="0" xfId="0" applyNumberFormat="1" applyFont="1" applyFill="1" applyAlignment="1">
      <alignment horizontal="center" vertical="center" wrapText="1"/>
    </xf>
    <xf numFmtId="49" fontId="34" fillId="2" borderId="26" xfId="0" applyNumberFormat="1" applyFont="1" applyFill="1" applyBorder="1" applyAlignment="1">
      <alignment horizontal="center" vertical="center" wrapText="1"/>
    </xf>
    <xf numFmtId="0" fontId="34" fillId="2" borderId="26" xfId="0" applyNumberFormat="1" applyFont="1" applyFill="1" applyBorder="1" applyAlignment="1">
      <alignment horizontal="center" vertical="center" wrapText="1"/>
    </xf>
    <xf numFmtId="49" fontId="35" fillId="2" borderId="26" xfId="0" applyNumberFormat="1" applyFont="1" applyFill="1" applyBorder="1" applyAlignment="1">
      <alignment horizontal="center" vertical="center" wrapText="1"/>
    </xf>
    <xf numFmtId="0" fontId="39" fillId="2" borderId="24" xfId="0" applyNumberFormat="1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/>
    </xf>
    <xf numFmtId="49" fontId="7" fillId="2" borderId="8" xfId="0" applyNumberFormat="1" applyFont="1" applyFill="1" applyBorder="1" applyAlignment="1">
      <alignment horizontal="center" vertical="center" wrapText="1"/>
    </xf>
    <xf numFmtId="49" fontId="7" fillId="2" borderId="27" xfId="0" applyNumberFormat="1" applyFont="1" applyFill="1" applyBorder="1" applyAlignment="1">
      <alignment horizontal="center" vertical="center" wrapText="1"/>
    </xf>
    <xf numFmtId="49" fontId="7" fillId="2" borderId="9" xfId="0" applyNumberFormat="1" applyFont="1" applyFill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15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49" fontId="7" fillId="0" borderId="19" xfId="0" applyNumberFormat="1" applyFont="1" applyFill="1" applyBorder="1" applyAlignment="1">
      <alignment horizontal="center" vertical="center" wrapText="1"/>
    </xf>
    <xf numFmtId="49" fontId="7" fillId="0" borderId="26" xfId="0" applyNumberFormat="1" applyFont="1" applyFill="1" applyBorder="1" applyAlignment="1">
      <alignment horizontal="center" vertical="center" wrapText="1"/>
    </xf>
    <xf numFmtId="49" fontId="7" fillId="0" borderId="17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wrapText="1"/>
    </xf>
    <xf numFmtId="49" fontId="7" fillId="0" borderId="12" xfId="0" applyNumberFormat="1" applyFont="1" applyFill="1" applyBorder="1" applyAlignment="1">
      <alignment horizontal="center" wrapText="1"/>
    </xf>
    <xf numFmtId="49" fontId="7" fillId="0" borderId="3" xfId="0" applyNumberFormat="1" applyFont="1" applyFill="1" applyBorder="1" applyAlignment="1">
      <alignment horizontal="center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8" fillId="0" borderId="12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2" fontId="3" fillId="7" borderId="16" xfId="0" applyNumberFormat="1" applyFont="1" applyFill="1" applyBorder="1" applyAlignment="1">
      <alignment horizontal="center" vertical="center" wrapText="1"/>
    </xf>
    <xf numFmtId="2" fontId="0" fillId="7" borderId="1" xfId="0" applyNumberForma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center" vertical="center" wrapText="1"/>
    </xf>
    <xf numFmtId="0" fontId="13" fillId="6" borderId="15" xfId="0" applyFont="1" applyFill="1" applyBorder="1" applyAlignment="1">
      <alignment horizontal="center" vertical="center" wrapText="1"/>
    </xf>
    <xf numFmtId="0" fontId="13" fillId="6" borderId="0" xfId="0" applyFont="1" applyFill="1" applyBorder="1" applyAlignment="1">
      <alignment horizontal="center" vertical="center" wrapText="1"/>
    </xf>
    <xf numFmtId="0" fontId="13" fillId="6" borderId="13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6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59" fillId="6" borderId="9" xfId="0" applyFont="1" applyFill="1" applyBorder="1" applyAlignment="1">
      <alignment horizontal="center" vertical="center" wrapText="1"/>
    </xf>
    <xf numFmtId="0" fontId="59" fillId="6" borderId="17" xfId="0" applyFont="1" applyFill="1" applyBorder="1" applyAlignment="1">
      <alignment horizontal="center" vertical="center" wrapText="1"/>
    </xf>
    <xf numFmtId="0" fontId="23" fillId="6" borderId="8" xfId="0" applyFont="1" applyFill="1" applyBorder="1" applyAlignment="1">
      <alignment horizontal="center" vertical="center" wrapText="1"/>
    </xf>
    <xf numFmtId="0" fontId="23" fillId="6" borderId="15" xfId="0" applyFont="1" applyFill="1" applyBorder="1" applyAlignment="1">
      <alignment horizontal="center" vertical="center" wrapText="1"/>
    </xf>
    <xf numFmtId="0" fontId="23" fillId="6" borderId="19" xfId="0" applyFont="1" applyFill="1" applyBorder="1" applyAlignment="1">
      <alignment horizontal="center" vertical="center" wrapText="1"/>
    </xf>
    <xf numFmtId="0" fontId="23" fillId="6" borderId="27" xfId="0" applyFont="1" applyFill="1" applyBorder="1" applyAlignment="1">
      <alignment horizontal="center" vertical="center" wrapText="1"/>
    </xf>
    <xf numFmtId="0" fontId="23" fillId="6" borderId="0" xfId="0" applyFont="1" applyFill="1" applyBorder="1" applyAlignment="1">
      <alignment horizontal="center" vertical="center" wrapText="1"/>
    </xf>
    <xf numFmtId="0" fontId="23" fillId="6" borderId="26" xfId="0" applyFont="1" applyFill="1" applyBorder="1" applyAlignment="1">
      <alignment horizontal="center" vertical="center" wrapText="1"/>
    </xf>
    <xf numFmtId="0" fontId="59" fillId="6" borderId="27" xfId="0" applyFont="1" applyFill="1" applyBorder="1" applyAlignment="1">
      <alignment horizontal="center" vertical="center" wrapText="1"/>
    </xf>
    <xf numFmtId="0" fontId="59" fillId="6" borderId="0" xfId="0" applyFont="1" applyFill="1" applyBorder="1" applyAlignment="1">
      <alignment horizontal="center" vertical="center" wrapText="1"/>
    </xf>
    <xf numFmtId="0" fontId="59" fillId="6" borderId="26" xfId="0" applyFont="1" applyFill="1" applyBorder="1" applyAlignment="1">
      <alignment horizontal="center" vertical="center" wrapText="1"/>
    </xf>
    <xf numFmtId="0" fontId="59" fillId="6" borderId="13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15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7" borderId="25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center" wrapText="1"/>
    </xf>
    <xf numFmtId="0" fontId="3" fillId="7" borderId="25" xfId="0" applyFont="1" applyFill="1" applyBorder="1" applyAlignment="1">
      <alignment horizontal="center" vertical="center" wrapText="1"/>
    </xf>
    <xf numFmtId="0" fontId="3" fillId="7" borderId="14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2" fontId="2" fillId="0" borderId="46" xfId="0" applyNumberFormat="1" applyFont="1" applyBorder="1" applyAlignment="1">
      <alignment horizontal="center" vertical="center" wrapText="1"/>
    </xf>
    <xf numFmtId="2" fontId="2" fillId="0" borderId="53" xfId="0" applyNumberFormat="1" applyFont="1" applyBorder="1" applyAlignment="1">
      <alignment horizontal="center" vertical="center" wrapText="1"/>
    </xf>
    <xf numFmtId="2" fontId="2" fillId="0" borderId="31" xfId="0" applyNumberFormat="1" applyFont="1" applyFill="1" applyBorder="1" applyAlignment="1">
      <alignment horizontal="center" vertical="center" wrapText="1"/>
    </xf>
    <xf numFmtId="2" fontId="2" fillId="0" borderId="16" xfId="0" applyNumberFormat="1" applyFont="1" applyFill="1" applyBorder="1" applyAlignment="1">
      <alignment horizontal="center" vertical="center" wrapText="1"/>
    </xf>
    <xf numFmtId="0" fontId="3" fillId="7" borderId="26" xfId="0" applyFont="1" applyFill="1" applyBorder="1" applyAlignment="1">
      <alignment horizontal="center" vertical="center" wrapText="1"/>
    </xf>
    <xf numFmtId="0" fontId="0" fillId="7" borderId="26" xfId="0" applyFill="1" applyBorder="1" applyAlignment="1">
      <alignment horizontal="center" vertical="center" wrapText="1"/>
    </xf>
    <xf numFmtId="0" fontId="0" fillId="7" borderId="17" xfId="0" applyFill="1" applyBorder="1" applyAlignment="1">
      <alignment horizontal="center" vertical="center" wrapText="1"/>
    </xf>
    <xf numFmtId="0" fontId="2" fillId="7" borderId="2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2" fontId="3" fillId="7" borderId="31" xfId="0" applyNumberFormat="1" applyFont="1" applyFill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7" borderId="25" xfId="0" applyFill="1" applyBorder="1" applyAlignment="1">
      <alignment horizontal="center" vertical="center" wrapText="1"/>
    </xf>
    <xf numFmtId="0" fontId="0" fillId="7" borderId="14" xfId="0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7" borderId="3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2" fontId="2" fillId="8" borderId="31" xfId="0" applyNumberFormat="1" applyFont="1" applyFill="1" applyBorder="1" applyAlignment="1">
      <alignment horizontal="center" vertical="center" wrapText="1"/>
    </xf>
    <xf numFmtId="2" fontId="2" fillId="8" borderId="16" xfId="0" applyNumberFormat="1" applyFont="1" applyFill="1" applyBorder="1" applyAlignment="1">
      <alignment horizontal="center" vertical="center" wrapText="1"/>
    </xf>
    <xf numFmtId="0" fontId="23" fillId="0" borderId="31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" fillId="7" borderId="24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8" fillId="6" borderId="45" xfId="0" applyFont="1" applyFill="1" applyBorder="1" applyAlignment="1">
      <alignment horizontal="center" vertical="center" wrapText="1"/>
    </xf>
    <xf numFmtId="0" fontId="8" fillId="6" borderId="43" xfId="0" applyFont="1" applyFill="1" applyBorder="1" applyAlignment="1">
      <alignment horizontal="center" vertical="center" wrapText="1"/>
    </xf>
    <xf numFmtId="0" fontId="8" fillId="6" borderId="34" xfId="0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center" vertical="center" wrapText="1"/>
    </xf>
    <xf numFmtId="0" fontId="8" fillId="6" borderId="41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 wrapText="1"/>
    </xf>
    <xf numFmtId="0" fontId="8" fillId="6" borderId="28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8" fillId="6" borderId="40" xfId="0" applyFont="1" applyFill="1" applyBorder="1" applyAlignment="1">
      <alignment horizontal="center" vertical="center" wrapText="1"/>
    </xf>
    <xf numFmtId="0" fontId="8" fillId="6" borderId="4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2" fillId="5" borderId="25" xfId="0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7" borderId="41" xfId="0" applyFont="1" applyFill="1" applyBorder="1" applyAlignment="1">
      <alignment horizontal="center" vertical="center" wrapText="1"/>
    </xf>
    <xf numFmtId="0" fontId="2" fillId="7" borderId="28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2" fillId="6" borderId="51" xfId="0" applyFont="1" applyFill="1" applyBorder="1" applyAlignment="1">
      <alignment horizontal="center" vertical="center" wrapText="1"/>
    </xf>
    <xf numFmtId="0" fontId="2" fillId="6" borderId="46" xfId="0" applyFont="1" applyFill="1" applyBorder="1" applyAlignment="1">
      <alignment horizontal="center" vertical="center" wrapText="1"/>
    </xf>
    <xf numFmtId="0" fontId="2" fillId="6" borderId="53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33" fillId="6" borderId="36" xfId="0" applyFont="1" applyFill="1" applyBorder="1" applyAlignment="1">
      <alignment horizontal="center" vertical="center" wrapText="1"/>
    </xf>
    <xf numFmtId="0" fontId="33" fillId="6" borderId="38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24" xfId="2" applyFont="1" applyFill="1" applyBorder="1" applyAlignment="1">
      <alignment horizontal="center" vertical="center" wrapText="1"/>
    </xf>
    <xf numFmtId="0" fontId="3" fillId="0" borderId="31" xfId="2" applyFont="1" applyFill="1" applyBorder="1" applyAlignment="1">
      <alignment horizontal="center" vertical="center" wrapText="1"/>
    </xf>
    <xf numFmtId="0" fontId="3" fillId="0" borderId="16" xfId="2" applyFont="1" applyFill="1" applyBorder="1" applyAlignment="1">
      <alignment horizontal="center" vertical="center" wrapText="1"/>
    </xf>
    <xf numFmtId="0" fontId="3" fillId="7" borderId="17" xfId="2" applyFont="1" applyFill="1" applyBorder="1" applyAlignment="1">
      <alignment horizontal="center" vertical="center" wrapText="1"/>
    </xf>
    <xf numFmtId="0" fontId="3" fillId="7" borderId="3" xfId="2" applyFont="1" applyFill="1" applyBorder="1" applyAlignment="1">
      <alignment horizontal="center" vertical="center" wrapText="1"/>
    </xf>
    <xf numFmtId="0" fontId="3" fillId="7" borderId="1" xfId="2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7" borderId="16" xfId="2" applyFont="1" applyFill="1" applyBorder="1" applyAlignment="1">
      <alignment horizontal="center" vertical="center" wrapText="1"/>
    </xf>
    <xf numFmtId="0" fontId="2" fillId="8" borderId="24" xfId="0" applyFont="1" applyFill="1" applyBorder="1" applyAlignment="1">
      <alignment horizontal="center" vertical="center" wrapText="1"/>
    </xf>
    <xf numFmtId="0" fontId="2" fillId="8" borderId="31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3" fillId="7" borderId="31" xfId="2" applyFont="1" applyFill="1" applyBorder="1" applyAlignment="1">
      <alignment horizontal="center" vertical="center" wrapText="1"/>
    </xf>
    <xf numFmtId="0" fontId="3" fillId="7" borderId="24" xfId="2" applyFont="1" applyFill="1" applyBorder="1" applyAlignment="1">
      <alignment horizontal="center" vertical="center" wrapText="1"/>
    </xf>
    <xf numFmtId="0" fontId="3" fillId="8" borderId="24" xfId="2" applyFont="1" applyFill="1" applyBorder="1" applyAlignment="1">
      <alignment horizontal="center" vertical="center" wrapText="1"/>
    </xf>
    <xf numFmtId="0" fontId="3" fillId="8" borderId="31" xfId="2" applyFont="1" applyFill="1" applyBorder="1" applyAlignment="1">
      <alignment horizontal="center" vertical="center" wrapText="1"/>
    </xf>
    <xf numFmtId="0" fontId="3" fillId="8" borderId="16" xfId="2" applyFont="1" applyFill="1" applyBorder="1" applyAlignment="1">
      <alignment horizontal="center" vertical="center" wrapText="1"/>
    </xf>
    <xf numFmtId="0" fontId="8" fillId="6" borderId="28" xfId="2" applyFont="1" applyFill="1" applyBorder="1" applyAlignment="1">
      <alignment horizontal="center" vertical="center" wrapText="1"/>
    </xf>
    <xf numFmtId="0" fontId="8" fillId="6" borderId="13" xfId="2" applyFont="1" applyFill="1" applyBorder="1" applyAlignment="1">
      <alignment horizontal="center" vertical="center" wrapText="1"/>
    </xf>
    <xf numFmtId="0" fontId="8" fillId="6" borderId="34" xfId="2" applyFont="1" applyFill="1" applyBorder="1" applyAlignment="1">
      <alignment horizontal="center" vertical="center" wrapText="1"/>
    </xf>
    <xf numFmtId="0" fontId="8" fillId="6" borderId="15" xfId="2" applyFont="1" applyFill="1" applyBorder="1" applyAlignment="1">
      <alignment horizontal="center" vertical="center" wrapText="1"/>
    </xf>
    <xf numFmtId="0" fontId="8" fillId="6" borderId="41" xfId="2" applyFont="1" applyFill="1" applyBorder="1" applyAlignment="1">
      <alignment horizontal="center" vertical="center" wrapText="1"/>
    </xf>
    <xf numFmtId="0" fontId="8" fillId="6" borderId="0" xfId="2" applyFont="1" applyFill="1" applyBorder="1" applyAlignment="1">
      <alignment horizontal="center" vertical="center" wrapText="1"/>
    </xf>
    <xf numFmtId="0" fontId="8" fillId="6" borderId="40" xfId="2" applyFont="1" applyFill="1" applyBorder="1" applyAlignment="1">
      <alignment horizontal="center" vertical="center" wrapText="1"/>
    </xf>
    <xf numFmtId="0" fontId="8" fillId="6" borderId="42" xfId="2" applyFont="1" applyFill="1" applyBorder="1" applyAlignment="1">
      <alignment horizontal="center" vertical="center" wrapText="1"/>
    </xf>
    <xf numFmtId="0" fontId="48" fillId="8" borderId="24" xfId="0" applyFont="1" applyFill="1" applyBorder="1" applyAlignment="1">
      <alignment horizontal="center" vertical="center" wrapText="1"/>
    </xf>
    <xf numFmtId="0" fontId="48" fillId="8" borderId="31" xfId="0" applyFont="1" applyFill="1" applyBorder="1" applyAlignment="1">
      <alignment horizontal="center" vertical="center" wrapText="1"/>
    </xf>
    <xf numFmtId="0" fontId="48" fillId="8" borderId="16" xfId="0" applyFont="1" applyFill="1" applyBorder="1" applyAlignment="1">
      <alignment horizontal="center" vertical="center" wrapText="1"/>
    </xf>
    <xf numFmtId="0" fontId="3" fillId="8" borderId="1" xfId="2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2" fillId="6" borderId="31" xfId="0" applyFont="1" applyFill="1" applyBorder="1" applyAlignment="1">
      <alignment horizontal="center" vertical="center" wrapText="1"/>
    </xf>
    <xf numFmtId="0" fontId="2" fillId="6" borderId="16" xfId="0" applyFont="1" applyFill="1" applyBorder="1" applyAlignment="1">
      <alignment horizontal="center" vertical="center" wrapText="1"/>
    </xf>
    <xf numFmtId="0" fontId="3" fillId="7" borderId="9" xfId="2" applyFont="1" applyFill="1" applyBorder="1" applyAlignment="1">
      <alignment horizontal="center" vertical="center" wrapText="1"/>
    </xf>
    <xf numFmtId="0" fontId="3" fillId="7" borderId="10" xfId="2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32" fillId="0" borderId="56" xfId="0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34" xfId="0" applyFont="1" applyFill="1" applyBorder="1" applyAlignment="1">
      <alignment horizontal="center" vertical="center" wrapText="1"/>
    </xf>
    <xf numFmtId="0" fontId="2" fillId="6" borderId="41" xfId="0" applyFont="1" applyFill="1" applyBorder="1" applyAlignment="1">
      <alignment horizontal="center" vertical="center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3" fillId="6" borderId="26" xfId="2" applyFont="1" applyFill="1" applyBorder="1" applyAlignment="1">
      <alignment horizontal="center" vertical="center" wrapText="1"/>
    </xf>
    <xf numFmtId="0" fontId="3" fillId="6" borderId="16" xfId="2" applyFont="1" applyFill="1" applyBorder="1" applyAlignment="1">
      <alignment horizontal="center" vertical="center" wrapText="1"/>
    </xf>
    <xf numFmtId="0" fontId="3" fillId="6" borderId="1" xfId="2" applyFont="1" applyFill="1" applyBorder="1" applyAlignment="1">
      <alignment horizontal="center" vertical="center" wrapText="1"/>
    </xf>
    <xf numFmtId="0" fontId="3" fillId="6" borderId="17" xfId="2" applyFont="1" applyFill="1" applyBorder="1" applyAlignment="1">
      <alignment horizontal="center" vertical="center" wrapText="1"/>
    </xf>
    <xf numFmtId="0" fontId="3" fillId="6" borderId="31" xfId="2" applyFont="1" applyFill="1" applyBorder="1" applyAlignment="1">
      <alignment horizontal="center" vertical="center" wrapText="1"/>
    </xf>
    <xf numFmtId="0" fontId="3" fillId="6" borderId="3" xfId="2" applyFont="1" applyFill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7" borderId="26" xfId="2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3" fillId="7" borderId="31" xfId="0" applyFont="1" applyFill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13" fillId="0" borderId="0" xfId="2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6" fillId="0" borderId="0" xfId="2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33" fillId="0" borderId="36" xfId="0" applyFont="1" applyFill="1" applyBorder="1" applyAlignment="1">
      <alignment horizontal="center" vertical="center" wrapText="1"/>
    </xf>
    <xf numFmtId="0" fontId="33" fillId="0" borderId="38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26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8" fillId="6" borderId="12" xfId="0" applyFont="1" applyFill="1" applyBorder="1" applyAlignment="1">
      <alignment horizontal="center" vertical="center" wrapText="1"/>
    </xf>
    <xf numFmtId="0" fontId="2" fillId="5" borderId="26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8" borderId="24" xfId="0" applyFont="1" applyFill="1" applyBorder="1" applyAlignment="1">
      <alignment horizontal="center" vertical="center" wrapText="1"/>
    </xf>
    <xf numFmtId="0" fontId="3" fillId="8" borderId="31" xfId="0" applyFont="1" applyFill="1" applyBorder="1" applyAlignment="1">
      <alignment horizontal="center" vertical="center" wrapText="1"/>
    </xf>
    <xf numFmtId="0" fontId="3" fillId="8" borderId="16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0" fontId="3" fillId="7" borderId="17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164" fontId="3" fillId="0" borderId="0" xfId="0" applyNumberFormat="1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5" borderId="31" xfId="1" applyFont="1" applyFill="1" applyBorder="1" applyAlignment="1" applyProtection="1">
      <alignment horizontal="center" vertical="center" wrapText="1"/>
    </xf>
    <xf numFmtId="0" fontId="3" fillId="5" borderId="16" xfId="1" applyFont="1" applyFill="1" applyBorder="1" applyAlignment="1" applyProtection="1">
      <alignment horizontal="center" vertical="center" wrapText="1"/>
    </xf>
    <xf numFmtId="0" fontId="3" fillId="5" borderId="14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27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3" fillId="5" borderId="26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8" fillId="6" borderId="37" xfId="0" applyFont="1" applyFill="1" applyBorder="1" applyAlignment="1">
      <alignment horizontal="center" vertical="center" wrapText="1"/>
    </xf>
    <xf numFmtId="0" fontId="10" fillId="0" borderId="59" xfId="0" applyNumberFormat="1" applyFont="1" applyBorder="1" applyAlignment="1">
      <alignment horizontal="center" vertical="center" wrapText="1"/>
    </xf>
    <xf numFmtId="0" fontId="10" fillId="0" borderId="26" xfId="0" applyNumberFormat="1" applyFont="1" applyBorder="1" applyAlignment="1">
      <alignment horizontal="center" vertical="center" wrapText="1"/>
    </xf>
    <xf numFmtId="0" fontId="3" fillId="0" borderId="24" xfId="1" applyFont="1" applyFill="1" applyBorder="1" applyAlignment="1" applyProtection="1">
      <alignment horizontal="center" vertical="center" wrapText="1"/>
    </xf>
    <xf numFmtId="0" fontId="3" fillId="0" borderId="31" xfId="1" applyFont="1" applyFill="1" applyBorder="1" applyAlignment="1" applyProtection="1">
      <alignment horizontal="center" vertical="center" wrapText="1"/>
    </xf>
    <xf numFmtId="0" fontId="3" fillId="0" borderId="16" xfId="1" applyFont="1" applyFill="1" applyBorder="1" applyAlignment="1" applyProtection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6" borderId="36" xfId="0" applyFont="1" applyFill="1" applyBorder="1" applyAlignment="1">
      <alignment horizontal="center" vertical="center" wrapText="1"/>
    </xf>
    <xf numFmtId="0" fontId="8" fillId="6" borderId="38" xfId="0" applyFont="1" applyFill="1" applyBorder="1" applyAlignment="1">
      <alignment horizontal="center" vertical="center" wrapText="1"/>
    </xf>
    <xf numFmtId="0" fontId="13" fillId="8" borderId="24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3" fillId="8" borderId="16" xfId="0" applyFont="1" applyFill="1" applyBorder="1" applyAlignment="1">
      <alignment horizontal="center" vertical="center" wrapText="1"/>
    </xf>
    <xf numFmtId="0" fontId="52" fillId="6" borderId="41" xfId="0" applyFont="1" applyFill="1" applyBorder="1" applyAlignment="1">
      <alignment horizontal="center" vertical="center" wrapText="1"/>
    </xf>
    <xf numFmtId="0" fontId="52" fillId="6" borderId="0" xfId="0" applyFont="1" applyFill="1" applyBorder="1" applyAlignment="1">
      <alignment horizontal="center" vertical="center" wrapText="1"/>
    </xf>
    <xf numFmtId="0" fontId="52" fillId="6" borderId="38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8" fillId="6" borderId="22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63" xfId="2" applyFont="1" applyBorder="1" applyAlignment="1">
      <alignment horizontal="center" vertical="center" wrapText="1"/>
    </xf>
    <xf numFmtId="0" fontId="3" fillId="0" borderId="46" xfId="2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66" xfId="2" applyFont="1" applyBorder="1" applyAlignment="1">
      <alignment horizontal="center" vertical="center" wrapText="1"/>
    </xf>
    <xf numFmtId="0" fontId="3" fillId="0" borderId="27" xfId="2" applyFont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23" fillId="5" borderId="25" xfId="0" applyFont="1" applyFill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5" borderId="31" xfId="0" applyFont="1" applyFill="1" applyBorder="1" applyAlignment="1">
      <alignment horizontal="center" vertical="center" wrapText="1"/>
    </xf>
    <xf numFmtId="0" fontId="23" fillId="5" borderId="16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23" fillId="5" borderId="26" xfId="0" applyFont="1" applyFill="1" applyBorder="1" applyAlignment="1">
      <alignment horizontal="center" vertical="center" wrapText="1"/>
    </xf>
    <xf numFmtId="0" fontId="23" fillId="5" borderId="17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8" fillId="6" borderId="7" xfId="2" applyFont="1" applyFill="1" applyBorder="1" applyAlignment="1">
      <alignment horizontal="center" vertical="center" wrapText="1"/>
    </xf>
    <xf numFmtId="0" fontId="8" fillId="6" borderId="12" xfId="2" applyFont="1" applyFill="1" applyBorder="1" applyAlignment="1">
      <alignment horizontal="center" vertical="center" wrapText="1"/>
    </xf>
    <xf numFmtId="166" fontId="8" fillId="6" borderId="34" xfId="2" applyNumberFormat="1" applyFont="1" applyFill="1" applyBorder="1" applyAlignment="1">
      <alignment horizontal="center" vertical="center" wrapText="1"/>
    </xf>
    <xf numFmtId="166" fontId="8" fillId="6" borderId="15" xfId="2" applyNumberFormat="1" applyFont="1" applyFill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31" xfId="0" applyFont="1" applyBorder="1" applyAlignment="1">
      <alignment horizontal="center" vertical="center" wrapText="1"/>
    </xf>
    <xf numFmtId="166" fontId="8" fillId="6" borderId="41" xfId="2" applyNumberFormat="1" applyFont="1" applyFill="1" applyBorder="1" applyAlignment="1">
      <alignment horizontal="center" vertical="center" wrapText="1"/>
    </xf>
    <xf numFmtId="166" fontId="8" fillId="6" borderId="0" xfId="2" applyNumberFormat="1" applyFont="1" applyFill="1" applyBorder="1" applyAlignment="1">
      <alignment horizontal="center" vertical="center" wrapText="1"/>
    </xf>
    <xf numFmtId="166" fontId="8" fillId="6" borderId="28" xfId="2" applyNumberFormat="1" applyFont="1" applyFill="1" applyBorder="1" applyAlignment="1">
      <alignment horizontal="center" vertical="center" wrapText="1"/>
    </xf>
    <xf numFmtId="166" fontId="8" fillId="6" borderId="13" xfId="2" applyNumberFormat="1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23" fillId="8" borderId="31" xfId="0" applyFont="1" applyFill="1" applyBorder="1" applyAlignment="1">
      <alignment horizontal="center" vertical="center" wrapText="1"/>
    </xf>
    <xf numFmtId="0" fontId="23" fillId="8" borderId="16" xfId="0" applyFont="1" applyFill="1" applyBorder="1" applyAlignment="1">
      <alignment horizontal="center" vertical="center" wrapText="1"/>
    </xf>
    <xf numFmtId="0" fontId="2" fillId="5" borderId="27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9" xfId="0" applyFont="1" applyFill="1" applyBorder="1" applyAlignment="1">
      <alignment horizontal="center" vertical="center" wrapText="1"/>
    </xf>
    <xf numFmtId="0" fontId="2" fillId="5" borderId="41" xfId="0" applyFont="1" applyFill="1" applyBorder="1" applyAlignment="1">
      <alignment horizontal="center" vertical="center" wrapText="1"/>
    </xf>
    <xf numFmtId="0" fontId="23" fillId="5" borderId="41" xfId="0" applyFont="1" applyFill="1" applyBorder="1" applyAlignment="1">
      <alignment horizontal="center" vertical="center" wrapText="1"/>
    </xf>
    <xf numFmtId="0" fontId="23" fillId="5" borderId="28" xfId="0" applyFont="1" applyFill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wrapText="1"/>
    </xf>
    <xf numFmtId="0" fontId="56" fillId="0" borderId="1" xfId="0" applyFont="1" applyBorder="1" applyAlignment="1">
      <alignment horizontal="left" vertical="top"/>
    </xf>
    <xf numFmtId="0" fontId="13" fillId="0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center" vertical="top" wrapText="1"/>
    </xf>
    <xf numFmtId="0" fontId="56" fillId="0" borderId="1" xfId="0" applyFont="1" applyFill="1" applyBorder="1" applyAlignment="1">
      <alignment horizontal="center" vertical="top" wrapText="1"/>
    </xf>
    <xf numFmtId="0" fontId="56" fillId="0" borderId="1" xfId="0" applyFont="1" applyBorder="1" applyAlignment="1">
      <alignment vertical="center" wrapText="1"/>
    </xf>
    <xf numFmtId="164" fontId="13" fillId="0" borderId="1" xfId="0" applyNumberFormat="1" applyFont="1" applyFill="1" applyBorder="1" applyAlignment="1">
      <alignment horizontal="center" vertical="top" wrapText="1"/>
    </xf>
    <xf numFmtId="2" fontId="13" fillId="0" borderId="1" xfId="0" applyNumberFormat="1" applyFont="1" applyFill="1" applyBorder="1" applyAlignment="1">
      <alignment horizontal="center" vertical="top" wrapText="1"/>
    </xf>
    <xf numFmtId="0" fontId="56" fillId="0" borderId="1" xfId="0" applyFont="1" applyBorder="1" applyAlignment="1">
      <alignment horizontal="left" vertical="top" wrapText="1"/>
    </xf>
    <xf numFmtId="0" fontId="56" fillId="0" borderId="1" xfId="0" applyFont="1" applyBorder="1" applyAlignment="1">
      <alignment horizontal="center" vertical="top"/>
    </xf>
    <xf numFmtId="0" fontId="56" fillId="0" borderId="1" xfId="0" applyFont="1" applyFill="1" applyBorder="1" applyAlignment="1" applyProtection="1">
      <alignment horizontal="center" vertical="top" wrapText="1"/>
      <protection locked="0"/>
    </xf>
    <xf numFmtId="0" fontId="66" fillId="0" borderId="1" xfId="0" applyFont="1" applyBorder="1" applyAlignment="1">
      <alignment vertical="center" wrapText="1"/>
    </xf>
    <xf numFmtId="0" fontId="56" fillId="0" borderId="1" xfId="0" applyFont="1" applyFill="1" applyBorder="1" applyAlignment="1">
      <alignment horizontal="left" vertical="top" wrapText="1"/>
    </xf>
    <xf numFmtId="49" fontId="56" fillId="0" borderId="1" xfId="0" applyNumberFormat="1" applyFont="1" applyBorder="1" applyAlignment="1">
      <alignment horizontal="left" vertical="top" wrapText="1"/>
    </xf>
    <xf numFmtId="0" fontId="13" fillId="0" borderId="1" xfId="0" applyFont="1" applyFill="1" applyBorder="1" applyAlignment="1" applyProtection="1">
      <alignment horizontal="center" vertical="top" wrapText="1"/>
      <protection locked="0"/>
    </xf>
    <xf numFmtId="0" fontId="13" fillId="0" borderId="1" xfId="16" applyFont="1" applyFill="1" applyBorder="1" applyAlignment="1">
      <alignment horizontal="center" vertical="top" wrapText="1"/>
    </xf>
    <xf numFmtId="0" fontId="13" fillId="0" borderId="1" xfId="0" applyFont="1" applyFill="1" applyBorder="1" applyAlignment="1" applyProtection="1">
      <alignment horizontal="center" vertical="top" wrapText="1"/>
    </xf>
    <xf numFmtId="0" fontId="56" fillId="0" borderId="1" xfId="0" applyFont="1" applyBorder="1" applyAlignment="1">
      <alignment horizontal="center" vertical="top" wrapText="1"/>
    </xf>
    <xf numFmtId="0" fontId="56" fillId="0" borderId="0" xfId="0" applyFont="1" applyAlignment="1">
      <alignment horizontal="left" vertical="top"/>
    </xf>
    <xf numFmtId="0" fontId="56" fillId="0" borderId="0" xfId="0" applyFont="1" applyAlignment="1">
      <alignment horizontal="center" vertical="top"/>
    </xf>
  </cellXfs>
  <cellStyles count="38">
    <cellStyle name="Гиперссылка" xfId="1" builtinId="8"/>
    <cellStyle name="Гиперссылка 2" xfId="13"/>
    <cellStyle name="Гиперссылка 3" xfId="17"/>
    <cellStyle name="Денежный 2" xfId="18"/>
    <cellStyle name="Обычный" xfId="0" builtinId="0"/>
    <cellStyle name="Обычный 10" xfId="5"/>
    <cellStyle name="Обычный 108 3" xfId="19"/>
    <cellStyle name="Обычный 11" xfId="15"/>
    <cellStyle name="Обычный 158" xfId="20"/>
    <cellStyle name="Обычный 199" xfId="21"/>
    <cellStyle name="Обычный 2" xfId="2"/>
    <cellStyle name="Обычный 2 10" xfId="16"/>
    <cellStyle name="Обычный 2 10 2" xfId="22"/>
    <cellStyle name="Обычный 2 10 3" xfId="23"/>
    <cellStyle name="Обычный 2 2" xfId="24"/>
    <cellStyle name="Обычный 2 3" xfId="25"/>
    <cellStyle name="Обычный 2 4" xfId="26"/>
    <cellStyle name="Обычный 2 60" xfId="27"/>
    <cellStyle name="Обычный 2 91" xfId="28"/>
    <cellStyle name="Обычный 2_Заключенные ДТП СЭС 2008 год" xfId="29"/>
    <cellStyle name="Обычный 3" xfId="6"/>
    <cellStyle name="Обычный 3 2" xfId="30"/>
    <cellStyle name="Обычный 3 3" xfId="31"/>
    <cellStyle name="Обычный 3 3 2" xfId="32"/>
    <cellStyle name="Обычный 3 4" xfId="33"/>
    <cellStyle name="Обычный 4" xfId="7"/>
    <cellStyle name="Обычный 5" xfId="8"/>
    <cellStyle name="Обычный 6" xfId="12"/>
    <cellStyle name="Обычный 7" xfId="9"/>
    <cellStyle name="Обычный 8" xfId="10"/>
    <cellStyle name="Обычный 9" xfId="11"/>
    <cellStyle name="Обычный_Лист1" xfId="3"/>
    <cellStyle name="Стиль 1" xfId="34"/>
    <cellStyle name="Стиль 2" xfId="35"/>
    <cellStyle name="Финансовый 2" xfId="4"/>
    <cellStyle name="Финансовый 2 2" xfId="36"/>
    <cellStyle name="Финансовый 2 3" xfId="37"/>
    <cellStyle name="Финансовый 3" xfId="14"/>
  </cellStyles>
  <dxfs count="55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Application%20Data/nikolskaya/banko-so/Application%20Data/Local%20Settings/&#1058;&#1077;&#1093;&#1091;&#1089;&#1083;&#1086;&#1074;&#1080;&#1103;/&#1058;&#1069;&#1057;/&#1055;&#1057;%20&#8470;%2015/&#1040;&#1088;&#1089;&#1077;&#1083;&#1086;&#1088;-740%20&#1082;&#1042;&#1040;-1%20&#1086;&#1095;&#1077;&#1088;&#1077;&#1076;&#1100;&#1089;%20&#1088;&#1072;&#1073;&#1086;&#1090;&#1072;&#1084;&#1080;.pdf" TargetMode="External"/><Relationship Id="rId2" Type="http://schemas.openxmlformats.org/officeDocument/2006/relationships/hyperlink" Target="../../../../../Application%20Data/nikolskaya/banko-so/Application%20Data/Local%20Settings/&#1058;&#1077;&#1093;&#1091;&#1089;&#1083;&#1086;&#1074;&#1080;&#1103;/&#1058;&#1069;&#1057;/&#1056;&#1072;&#1084;&#1077;&#1096;&#1082;&#1080;/&#1058;&#1059;%20&#1058;&#1054;&#1057;%208607%20&#1074;%20&#1087;.&#1056;&#1072;&#1084;&#1077;&#1096;&#1082;&#1080;.pdf" TargetMode="External"/><Relationship Id="rId1" Type="http://schemas.openxmlformats.org/officeDocument/2006/relationships/hyperlink" Target="../../../../../Application%20Data/nikolskaya/banko-so/Application%20Data/Local%20Settings/&#1058;&#1077;&#1093;&#1091;&#1089;&#1083;&#1086;&#1074;&#1080;&#1103;/&#1058;&#1069;&#1057;/&#1051;&#1080;&#1093;&#1086;&#1089;&#1083;&#1072;&#1074;&#1083;&#1100;/&#1058;&#1059;%20&#1086;&#1087;&#1090;&#1080;&#1084;&#1080;&#1079;&#1072;&#1094;&#1080;&#1103;.pdf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../../../../../Application%20Data/nikolskaya/banko-so/Application%20Data/Local%20Settings/&#1058;&#1077;&#1093;&#1091;&#1089;&#1083;&#1086;&#1074;&#1080;&#1103;/&#1058;&#1069;&#1057;/&#1055;&#1057;%20&#8470;%2015/&#1040;&#1088;&#1089;&#1077;&#1083;&#1086;&#1088;%20-%20II%20&#1086;&#1095;&#1077;&#1088;&#1077;&#1076;&#1100;-740%20&#1082;&#1042;&#1090;.pdf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/>
  <dimension ref="A1:AX677"/>
  <sheetViews>
    <sheetView zoomScale="55" zoomScaleNormal="55" workbookViewId="0">
      <pane ySplit="6" topLeftCell="A7" activePane="bottomLeft" state="frozen"/>
      <selection activeCell="A5" sqref="A5"/>
      <selection pane="bottomLeft" activeCell="AA96" sqref="AA96"/>
    </sheetView>
  </sheetViews>
  <sheetFormatPr defaultRowHeight="15" x14ac:dyDescent="0.25"/>
  <cols>
    <col min="1" max="1" width="9.140625" style="917" customWidth="1"/>
    <col min="2" max="2" width="6" style="258" hidden="1" customWidth="1"/>
    <col min="3" max="3" width="36.7109375" style="258" customWidth="1"/>
    <col min="4" max="4" width="5.7109375" style="991" customWidth="1"/>
    <col min="5" max="5" width="2.85546875" style="258" customWidth="1"/>
    <col min="6" max="6" width="5.7109375" style="258" customWidth="1"/>
    <col min="7" max="7" width="2.7109375" style="258" customWidth="1"/>
    <col min="8" max="8" width="5.7109375" style="258" customWidth="1"/>
    <col min="9" max="9" width="18" style="258" hidden="1" customWidth="1"/>
    <col min="10" max="10" width="13.28515625" style="258" customWidth="1"/>
    <col min="11" max="11" width="15.42578125" style="258" customWidth="1"/>
    <col min="12" max="12" width="10.85546875" style="258" customWidth="1"/>
    <col min="13" max="13" width="10.5703125" style="992" customWidth="1"/>
    <col min="14" max="14" width="18.42578125" style="258" customWidth="1"/>
    <col min="15" max="15" width="18.42578125" style="258" hidden="1" customWidth="1"/>
    <col min="16" max="16" width="9.28515625" style="258" customWidth="1"/>
    <col min="17" max="17" width="12.140625" style="258" customWidth="1"/>
    <col min="18" max="18" width="11" style="258" customWidth="1"/>
    <col min="19" max="19" width="18.28515625" style="258" customWidth="1"/>
    <col min="20" max="20" width="13.7109375" style="258" hidden="1" customWidth="1"/>
    <col min="21" max="22" width="13.5703125" style="258" hidden="1" customWidth="1"/>
    <col min="23" max="23" width="12.42578125" style="258" hidden="1" customWidth="1"/>
    <col min="24" max="24" width="2.28515625" style="917" customWidth="1"/>
    <col min="25" max="25" width="9.85546875" style="923" customWidth="1"/>
    <col min="26" max="26" width="9.140625" style="924" hidden="1" customWidth="1"/>
    <col min="27" max="27" width="32.140625" style="917" customWidth="1"/>
    <col min="28" max="28" width="5.7109375" style="917" customWidth="1"/>
    <col min="29" max="29" width="2.7109375" style="917" customWidth="1"/>
    <col min="30" max="30" width="5.7109375" style="917" customWidth="1"/>
    <col min="31" max="31" width="2.7109375" style="917" customWidth="1"/>
    <col min="32" max="32" width="5.7109375" style="917" customWidth="1"/>
    <col min="33" max="33" width="10.7109375" style="917" hidden="1" customWidth="1"/>
    <col min="34" max="34" width="13.140625" style="925" customWidth="1"/>
    <col min="35" max="35" width="11.42578125" style="925" customWidth="1"/>
    <col min="36" max="37" width="9.140625" style="917" customWidth="1"/>
    <col min="38" max="38" width="9.7109375" style="917" customWidth="1"/>
    <col min="39" max="39" width="9.140625" style="917" customWidth="1"/>
    <col min="40" max="40" width="9.42578125" style="917" customWidth="1"/>
    <col min="41" max="41" width="11.28515625" style="925" customWidth="1"/>
    <col min="42" max="42" width="11.140625" style="925" customWidth="1"/>
    <col min="43" max="43" width="17.5703125" style="925" customWidth="1"/>
    <col min="44" max="44" width="19.28515625" style="994" hidden="1" customWidth="1"/>
    <col min="45" max="45" width="17.85546875" style="917" hidden="1" customWidth="1"/>
    <col min="46" max="46" width="37.5703125" style="996" hidden="1" customWidth="1"/>
    <col min="47" max="47" width="20.140625" style="917" hidden="1" customWidth="1"/>
    <col min="48" max="50" width="9.140625" style="917" hidden="1" customWidth="1"/>
    <col min="51" max="51" width="9.140625" style="917" customWidth="1"/>
    <col min="52" max="16384" width="9.140625" style="917"/>
  </cols>
  <sheetData>
    <row r="1" spans="1:50" x14ac:dyDescent="0.25">
      <c r="B1" s="918"/>
      <c r="C1" s="919"/>
      <c r="D1" s="920"/>
      <c r="E1" s="919"/>
      <c r="F1" s="919"/>
      <c r="G1" s="919"/>
      <c r="H1" s="919"/>
      <c r="I1" s="919"/>
      <c r="J1" s="1426"/>
      <c r="K1" s="1426"/>
      <c r="L1" s="1426"/>
      <c r="M1" s="921"/>
      <c r="N1" s="919"/>
      <c r="O1" s="919"/>
      <c r="P1" s="919"/>
      <c r="Q1" s="2464"/>
      <c r="R1" s="2464"/>
      <c r="S1" s="919"/>
      <c r="T1" s="257"/>
      <c r="X1" s="922"/>
      <c r="AP1" s="926"/>
      <c r="AQ1" s="926"/>
      <c r="AR1" s="927"/>
      <c r="AS1" s="923"/>
      <c r="AT1" s="923"/>
    </row>
    <row r="2" spans="1:50" ht="30" customHeight="1" x14ac:dyDescent="0.25">
      <c r="B2" s="2477" t="s">
        <v>20055</v>
      </c>
      <c r="C2" s="2478"/>
      <c r="D2" s="2478"/>
      <c r="E2" s="2478"/>
      <c r="F2" s="2478"/>
      <c r="G2" s="2478"/>
      <c r="H2" s="2478"/>
      <c r="I2" s="2478"/>
      <c r="J2" s="2478"/>
      <c r="K2" s="2478"/>
      <c r="L2" s="2478"/>
      <c r="M2" s="2478"/>
      <c r="N2" s="2478"/>
      <c r="O2" s="2478"/>
      <c r="P2" s="2478"/>
      <c r="Q2" s="2478"/>
      <c r="R2" s="2478"/>
      <c r="S2" s="2478"/>
      <c r="T2" s="2479"/>
      <c r="X2" s="922"/>
      <c r="Z2" s="928"/>
      <c r="AA2" s="928"/>
      <c r="AB2" s="928"/>
      <c r="AC2" s="928"/>
      <c r="AD2" s="928"/>
      <c r="AE2" s="928"/>
      <c r="AF2" s="928"/>
      <c r="AG2" s="928"/>
      <c r="AH2" s="929"/>
      <c r="AI2" s="929"/>
      <c r="AJ2" s="928"/>
      <c r="AK2" s="928"/>
      <c r="AL2" s="928"/>
      <c r="AM2" s="928"/>
      <c r="AN2" s="928"/>
      <c r="AO2" s="929"/>
      <c r="AP2" s="929"/>
      <c r="AQ2" s="929"/>
      <c r="AR2" s="928"/>
      <c r="AS2" s="923"/>
      <c r="AT2" s="923"/>
    </row>
    <row r="3" spans="1:50" ht="15" customHeight="1" x14ac:dyDescent="0.25">
      <c r="B3" s="2261"/>
      <c r="C3" s="2262"/>
      <c r="D3" s="2262"/>
      <c r="E3" s="2262"/>
      <c r="F3" s="2262"/>
      <c r="G3" s="2262"/>
      <c r="H3" s="2262"/>
      <c r="I3" s="2262"/>
      <c r="J3" s="2262"/>
      <c r="K3" s="2262"/>
      <c r="L3" s="2262"/>
      <c r="M3" s="2262"/>
      <c r="N3" s="2262"/>
      <c r="O3" s="2262"/>
      <c r="P3" s="2262"/>
      <c r="Q3" s="2262"/>
      <c r="R3" s="2262"/>
      <c r="S3" s="2262"/>
      <c r="T3" s="2263"/>
      <c r="X3" s="922"/>
      <c r="Z3" s="928"/>
      <c r="AA3" s="928"/>
      <c r="AB3" s="928"/>
      <c r="AC3" s="928"/>
      <c r="AD3" s="928"/>
      <c r="AE3" s="928"/>
      <c r="AF3" s="928"/>
      <c r="AG3" s="928"/>
      <c r="AH3" s="929"/>
      <c r="AI3" s="929"/>
      <c r="AJ3" s="928"/>
      <c r="AK3" s="928"/>
      <c r="AL3" s="928"/>
      <c r="AM3" s="928"/>
      <c r="AN3" s="928"/>
      <c r="AO3" s="929"/>
      <c r="AP3" s="929"/>
      <c r="AQ3" s="929"/>
      <c r="AR3" s="928"/>
      <c r="AS3" s="923"/>
      <c r="AT3" s="923"/>
    </row>
    <row r="4" spans="1:50" ht="15" customHeight="1" x14ac:dyDescent="0.25">
      <c r="B4" s="2465" t="s">
        <v>1770</v>
      </c>
      <c r="C4" s="2466"/>
      <c r="D4" s="2466"/>
      <c r="E4" s="2466"/>
      <c r="F4" s="2466"/>
      <c r="G4" s="2466"/>
      <c r="H4" s="2466"/>
      <c r="I4" s="2466"/>
      <c r="J4" s="2466"/>
      <c r="K4" s="2466"/>
      <c r="L4" s="2466"/>
      <c r="M4" s="2466"/>
      <c r="N4" s="2466"/>
      <c r="O4" s="2466"/>
      <c r="P4" s="2466"/>
      <c r="Q4" s="2466"/>
      <c r="R4" s="2466"/>
      <c r="S4" s="2466"/>
      <c r="T4" s="2467"/>
      <c r="X4" s="922"/>
      <c r="AO4" s="2470" t="s">
        <v>3</v>
      </c>
      <c r="AP4" s="2470"/>
      <c r="AQ4" s="2470"/>
      <c r="AR4" s="2470"/>
      <c r="AS4" s="2470"/>
      <c r="AT4" s="2470"/>
    </row>
    <row r="5" spans="1:50" ht="15" customHeight="1" x14ac:dyDescent="0.25">
      <c r="A5" s="2419" t="s">
        <v>1766</v>
      </c>
      <c r="B5" s="2419" t="s">
        <v>1766</v>
      </c>
      <c r="C5" s="2423" t="s">
        <v>330</v>
      </c>
      <c r="D5" s="2461" t="s">
        <v>331</v>
      </c>
      <c r="E5" s="2462"/>
      <c r="F5" s="2462"/>
      <c r="G5" s="2462"/>
      <c r="H5" s="2462"/>
      <c r="I5" s="2462"/>
      <c r="J5" s="2462"/>
      <c r="K5" s="2462"/>
      <c r="L5" s="2462"/>
      <c r="M5" s="2462"/>
      <c r="N5" s="2462"/>
      <c r="O5" s="2462"/>
      <c r="P5" s="2462"/>
      <c r="Q5" s="2462"/>
      <c r="R5" s="2411"/>
      <c r="S5" s="2419" t="s">
        <v>1773</v>
      </c>
      <c r="T5" s="2419" t="s">
        <v>1773</v>
      </c>
      <c r="U5" s="2411" t="s">
        <v>1809</v>
      </c>
      <c r="V5" s="2468" t="s">
        <v>3030</v>
      </c>
      <c r="W5" s="2411" t="s">
        <v>3031</v>
      </c>
      <c r="X5" s="922"/>
      <c r="Y5" s="2411" t="s">
        <v>1766</v>
      </c>
      <c r="Z5" s="2411" t="s">
        <v>1766</v>
      </c>
      <c r="AA5" s="2419" t="s">
        <v>330</v>
      </c>
      <c r="AB5" s="2461" t="s">
        <v>1776</v>
      </c>
      <c r="AC5" s="2462"/>
      <c r="AD5" s="2462"/>
      <c r="AE5" s="2462"/>
      <c r="AF5" s="2462"/>
      <c r="AG5" s="2462"/>
      <c r="AH5" s="2462"/>
      <c r="AI5" s="2462"/>
      <c r="AJ5" s="2462"/>
      <c r="AK5" s="2462"/>
      <c r="AL5" s="2462"/>
      <c r="AM5" s="2462"/>
      <c r="AN5" s="2462"/>
      <c r="AO5" s="2462"/>
      <c r="AP5" s="2411"/>
      <c r="AQ5" s="2423" t="s">
        <v>1773</v>
      </c>
      <c r="AR5" s="2423" t="s">
        <v>1773</v>
      </c>
      <c r="AS5" s="2423" t="s">
        <v>1809</v>
      </c>
      <c r="AT5" s="2484" t="s">
        <v>1813</v>
      </c>
      <c r="AU5" s="2487" t="s">
        <v>3216</v>
      </c>
      <c r="AV5" s="2488" t="s">
        <v>3217</v>
      </c>
      <c r="AW5" s="2483" t="s">
        <v>3221</v>
      </c>
      <c r="AX5" s="2483" t="s">
        <v>3222</v>
      </c>
    </row>
    <row r="6" spans="1:50" ht="15" customHeight="1" x14ac:dyDescent="0.25">
      <c r="A6" s="2419"/>
      <c r="B6" s="2419"/>
      <c r="C6" s="2440"/>
      <c r="D6" s="2463" t="s">
        <v>1762</v>
      </c>
      <c r="E6" s="2464"/>
      <c r="F6" s="2464"/>
      <c r="G6" s="2464"/>
      <c r="H6" s="2455"/>
      <c r="I6" s="2461" t="s">
        <v>1762</v>
      </c>
      <c r="J6" s="2419" t="s">
        <v>1763</v>
      </c>
      <c r="K6" s="2419" t="s">
        <v>1761</v>
      </c>
      <c r="L6" s="2419"/>
      <c r="M6" s="2420" t="s">
        <v>332</v>
      </c>
      <c r="N6" s="2419" t="s">
        <v>1764</v>
      </c>
      <c r="O6" s="2423" t="s">
        <v>3029</v>
      </c>
      <c r="P6" s="2411" t="s">
        <v>335</v>
      </c>
      <c r="Q6" s="2419" t="s">
        <v>1778</v>
      </c>
      <c r="R6" s="2419"/>
      <c r="S6" s="2419"/>
      <c r="T6" s="2419"/>
      <c r="U6" s="2411"/>
      <c r="V6" s="2411"/>
      <c r="W6" s="2411"/>
      <c r="X6" s="922"/>
      <c r="Y6" s="2411"/>
      <c r="Z6" s="2411"/>
      <c r="AA6" s="2419"/>
      <c r="AB6" s="2463" t="s">
        <v>1762</v>
      </c>
      <c r="AC6" s="2464"/>
      <c r="AD6" s="2464"/>
      <c r="AE6" s="2464"/>
      <c r="AF6" s="2455"/>
      <c r="AG6" s="2419" t="s">
        <v>1771</v>
      </c>
      <c r="AH6" s="2473" t="s">
        <v>1772</v>
      </c>
      <c r="AI6" s="2473" t="s">
        <v>1775</v>
      </c>
      <c r="AJ6" s="2419" t="s">
        <v>1774</v>
      </c>
      <c r="AK6" s="2419"/>
      <c r="AL6" s="2419" t="s">
        <v>1769</v>
      </c>
      <c r="AM6" s="2419" t="s">
        <v>1764</v>
      </c>
      <c r="AN6" s="2455" t="s">
        <v>335</v>
      </c>
      <c r="AO6" s="2419" t="s">
        <v>1777</v>
      </c>
      <c r="AP6" s="2419"/>
      <c r="AQ6" s="2440"/>
      <c r="AR6" s="2440"/>
      <c r="AS6" s="2440"/>
      <c r="AT6" s="2485"/>
      <c r="AU6" s="2487"/>
      <c r="AV6" s="2488"/>
      <c r="AW6" s="2483"/>
      <c r="AX6" s="2483"/>
    </row>
    <row r="7" spans="1:50" ht="120.75" customHeight="1" x14ac:dyDescent="0.25">
      <c r="A7" s="2419"/>
      <c r="B7" s="2419"/>
      <c r="C7" s="2441"/>
      <c r="D7" s="2471"/>
      <c r="E7" s="2472"/>
      <c r="F7" s="2472"/>
      <c r="G7" s="2472"/>
      <c r="H7" s="2457"/>
      <c r="I7" s="2461"/>
      <c r="J7" s="2419"/>
      <c r="K7" s="1422" t="s">
        <v>333</v>
      </c>
      <c r="L7" s="1422" t="s">
        <v>1500</v>
      </c>
      <c r="M7" s="2420"/>
      <c r="N7" s="2419"/>
      <c r="O7" s="2441"/>
      <c r="P7" s="2411"/>
      <c r="Q7" s="2419"/>
      <c r="R7" s="2419"/>
      <c r="S7" s="2419"/>
      <c r="T7" s="2419"/>
      <c r="U7" s="2411"/>
      <c r="V7" s="2411"/>
      <c r="W7" s="2411"/>
      <c r="X7" s="922"/>
      <c r="Y7" s="2411"/>
      <c r="Z7" s="2411"/>
      <c r="AA7" s="2419"/>
      <c r="AB7" s="2471"/>
      <c r="AC7" s="2472"/>
      <c r="AD7" s="2472"/>
      <c r="AE7" s="2472"/>
      <c r="AF7" s="2457"/>
      <c r="AG7" s="2419"/>
      <c r="AH7" s="2473"/>
      <c r="AI7" s="2473"/>
      <c r="AJ7" s="212" t="s">
        <v>333</v>
      </c>
      <c r="AK7" s="212" t="s">
        <v>1500</v>
      </c>
      <c r="AL7" s="2419"/>
      <c r="AM7" s="2419"/>
      <c r="AN7" s="2457"/>
      <c r="AO7" s="2419"/>
      <c r="AP7" s="2419"/>
      <c r="AQ7" s="2441"/>
      <c r="AR7" s="2441"/>
      <c r="AS7" s="2441"/>
      <c r="AT7" s="2486"/>
      <c r="AU7" s="2487"/>
      <c r="AV7" s="2488"/>
      <c r="AW7" s="2483"/>
      <c r="AX7" s="2483"/>
    </row>
    <row r="8" spans="1:50" ht="15" customHeight="1" x14ac:dyDescent="0.25">
      <c r="A8" s="930">
        <v>1</v>
      </c>
      <c r="B8" s="212">
        <v>1</v>
      </c>
      <c r="C8" s="212">
        <v>2</v>
      </c>
      <c r="D8" s="2463">
        <v>3</v>
      </c>
      <c r="E8" s="2464"/>
      <c r="F8" s="2464"/>
      <c r="G8" s="2464"/>
      <c r="H8" s="2455"/>
      <c r="I8" s="213">
        <v>3</v>
      </c>
      <c r="J8" s="1425">
        <v>4</v>
      </c>
      <c r="K8" s="1422">
        <v>5</v>
      </c>
      <c r="L8" s="1422">
        <v>6</v>
      </c>
      <c r="M8" s="931">
        <v>7</v>
      </c>
      <c r="N8" s="212">
        <v>8</v>
      </c>
      <c r="O8" s="228"/>
      <c r="P8" s="228">
        <v>9</v>
      </c>
      <c r="Q8" s="212">
        <v>10</v>
      </c>
      <c r="R8" s="212">
        <v>11</v>
      </c>
      <c r="S8" s="212">
        <v>12</v>
      </c>
      <c r="T8" s="212">
        <v>13</v>
      </c>
      <c r="U8" s="228">
        <v>13</v>
      </c>
      <c r="V8" s="212">
        <v>15</v>
      </c>
      <c r="W8" s="212">
        <v>16</v>
      </c>
      <c r="X8" s="922"/>
      <c r="Y8" s="932">
        <v>1</v>
      </c>
      <c r="Z8" s="228">
        <v>1</v>
      </c>
      <c r="AA8" s="931">
        <v>2</v>
      </c>
      <c r="AB8" s="2463">
        <v>3</v>
      </c>
      <c r="AC8" s="2464"/>
      <c r="AD8" s="2464"/>
      <c r="AE8" s="2464"/>
      <c r="AF8" s="2455"/>
      <c r="AG8" s="931">
        <v>3</v>
      </c>
      <c r="AH8" s="931">
        <v>4</v>
      </c>
      <c r="AI8" s="931">
        <v>5</v>
      </c>
      <c r="AJ8" s="931">
        <v>6</v>
      </c>
      <c r="AK8" s="931">
        <v>7</v>
      </c>
      <c r="AL8" s="931">
        <v>8</v>
      </c>
      <c r="AM8" s="931">
        <v>9</v>
      </c>
      <c r="AN8" s="933">
        <v>10</v>
      </c>
      <c r="AO8" s="931">
        <v>11</v>
      </c>
      <c r="AP8" s="931">
        <v>12</v>
      </c>
      <c r="AQ8" s="931">
        <v>13</v>
      </c>
      <c r="AR8" s="931">
        <v>13</v>
      </c>
      <c r="AS8" s="934">
        <v>14</v>
      </c>
      <c r="AT8" s="1092">
        <v>15</v>
      </c>
      <c r="AU8" s="1095"/>
      <c r="AV8" s="1101"/>
      <c r="AW8" s="1102"/>
      <c r="AX8" s="1102"/>
    </row>
    <row r="9" spans="1:50" ht="15" customHeight="1" x14ac:dyDescent="0.25">
      <c r="A9" s="212">
        <v>1</v>
      </c>
      <c r="B9" s="212">
        <v>1</v>
      </c>
      <c r="C9" s="213" t="s">
        <v>888</v>
      </c>
      <c r="D9" s="230">
        <v>1.6</v>
      </c>
      <c r="E9" s="229"/>
      <c r="F9" s="229"/>
      <c r="G9" s="229"/>
      <c r="H9" s="228"/>
      <c r="I9" s="229" t="str">
        <f>CONCATENATE(D9,E9,F9,G9,H9)</f>
        <v>1,6</v>
      </c>
      <c r="J9" s="882">
        <v>0.66</v>
      </c>
      <c r="K9" s="1423">
        <v>1.19</v>
      </c>
      <c r="L9" s="1422" t="s">
        <v>334</v>
      </c>
      <c r="M9" s="172">
        <f>K9</f>
        <v>1.19</v>
      </c>
      <c r="N9" s="172">
        <v>0</v>
      </c>
      <c r="O9" s="880"/>
      <c r="P9" s="880">
        <f t="shared" ref="P9:P51" si="0">M9-N9</f>
        <v>1.19</v>
      </c>
      <c r="Q9" s="172">
        <f t="shared" ref="Q9:Q51" si="1">P9-J9</f>
        <v>0.52999999999999992</v>
      </c>
      <c r="R9" s="172">
        <f>Q9</f>
        <v>0.52999999999999992</v>
      </c>
      <c r="S9" s="242" t="str">
        <f>T9</f>
        <v>открыт</v>
      </c>
      <c r="T9" s="259" t="str">
        <f>IF(AND(F9&lt;&gt;0,R9&lt;0),"закрыт",IF(AND(F9=0,R9&lt;0),"закрыт","открыт"))</f>
        <v>открыт</v>
      </c>
      <c r="U9" s="757">
        <f t="shared" ref="U9:U40" si="2">(J9*100)/(I9*1.05)</f>
        <v>39.285714285714285</v>
      </c>
      <c r="V9" s="2254">
        <v>0.55000000000000004</v>
      </c>
      <c r="W9" s="2254" t="s">
        <v>3397</v>
      </c>
      <c r="X9" s="912"/>
      <c r="Y9" s="212">
        <v>1</v>
      </c>
      <c r="Z9" s="228">
        <v>1</v>
      </c>
      <c r="AA9" s="213" t="s">
        <v>888</v>
      </c>
      <c r="AB9" s="230">
        <f>D9</f>
        <v>1.6</v>
      </c>
      <c r="AC9" s="229"/>
      <c r="AD9" s="229"/>
      <c r="AE9" s="229"/>
      <c r="AF9" s="228"/>
      <c r="AG9" s="212" t="str">
        <f>CONCATENATE(AB9,AC9,AD9,AE9,AF9)</f>
        <v>1,6</v>
      </c>
      <c r="AH9" s="172">
        <f>'Зона БЭс'!L8</f>
        <v>0</v>
      </c>
      <c r="AI9" s="172">
        <f>AH9+J9</f>
        <v>0.66</v>
      </c>
      <c r="AJ9" s="172">
        <f>K9</f>
        <v>1.19</v>
      </c>
      <c r="AK9" s="212" t="str">
        <f>L9</f>
        <v>1 сутки</v>
      </c>
      <c r="AL9" s="172">
        <f>AJ9</f>
        <v>1.19</v>
      </c>
      <c r="AM9" s="1973">
        <f>N9</f>
        <v>0</v>
      </c>
      <c r="AN9" s="880">
        <f>AL9-AM9</f>
        <v>1.19</v>
      </c>
      <c r="AO9" s="172">
        <f>AN9-AI9</f>
        <v>0.52999999999999992</v>
      </c>
      <c r="AP9" s="172">
        <f>AO9</f>
        <v>0.52999999999999992</v>
      </c>
      <c r="AQ9" s="220" t="str">
        <f t="shared" ref="AQ9:AQ72" si="3">AR9</f>
        <v>открыт</v>
      </c>
      <c r="AR9" s="1972" t="str">
        <f>IF(AND(AD9&lt;&gt;0,AP9&lt;0),"закрыт",IF(AND(AD9=0,AP9&lt;0),"закрыт","открыт"))</f>
        <v>открыт</v>
      </c>
      <c r="AS9" s="935">
        <f>(AI9*100)/(AG9*1.05)</f>
        <v>39.285714285714285</v>
      </c>
      <c r="AT9" s="937" t="s">
        <v>743</v>
      </c>
      <c r="AU9" s="1095">
        <v>1989</v>
      </c>
      <c r="AV9" s="1101" t="s">
        <v>3218</v>
      </c>
      <c r="AW9" s="1103">
        <v>58.168580612302598</v>
      </c>
      <c r="AX9" s="1103">
        <v>35.465545045961903</v>
      </c>
    </row>
    <row r="10" spans="1:50" ht="15" customHeight="1" x14ac:dyDescent="0.25">
      <c r="A10" s="212">
        <v>2</v>
      </c>
      <c r="B10" s="212">
        <v>2</v>
      </c>
      <c r="C10" s="212" t="s">
        <v>889</v>
      </c>
      <c r="D10" s="230">
        <v>1.6</v>
      </c>
      <c r="E10" s="229"/>
      <c r="F10" s="229"/>
      <c r="G10" s="229"/>
      <c r="H10" s="228"/>
      <c r="I10" s="229" t="str">
        <f t="shared" ref="I10:I73" si="4">CONCATENATE(D10,E10,F10,G10,H10)</f>
        <v>1,6</v>
      </c>
      <c r="J10" s="882">
        <v>0.54</v>
      </c>
      <c r="K10" s="1423">
        <v>1.45</v>
      </c>
      <c r="L10" s="1422" t="s">
        <v>334</v>
      </c>
      <c r="M10" s="172">
        <f>K10</f>
        <v>1.45</v>
      </c>
      <c r="N10" s="172">
        <v>0</v>
      </c>
      <c r="O10" s="880"/>
      <c r="P10" s="880">
        <f t="shared" si="0"/>
        <v>1.45</v>
      </c>
      <c r="Q10" s="172">
        <f t="shared" si="1"/>
        <v>0.90999999999999992</v>
      </c>
      <c r="R10" s="172">
        <f>Q10</f>
        <v>0.90999999999999992</v>
      </c>
      <c r="S10" s="212" t="str">
        <f t="shared" ref="S10:S60" si="5">T10</f>
        <v>открыт</v>
      </c>
      <c r="T10" s="2052" t="str">
        <f t="shared" ref="T10:T73" si="6">IF(AND(F10&lt;&gt;0,R10&lt;0),"закрыт",IF(AND(F10=0,R10&lt;0),"закрыт","открыт"))</f>
        <v>открыт</v>
      </c>
      <c r="U10" s="757">
        <f t="shared" si="2"/>
        <v>32.142857142857139</v>
      </c>
      <c r="V10" s="2254">
        <v>0.62</v>
      </c>
      <c r="W10" s="2254" t="s">
        <v>3397</v>
      </c>
      <c r="X10" s="912"/>
      <c r="Y10" s="212">
        <v>2</v>
      </c>
      <c r="Z10" s="228">
        <v>2</v>
      </c>
      <c r="AA10" s="212" t="s">
        <v>889</v>
      </c>
      <c r="AB10" s="230">
        <f t="shared" ref="AB10:AB73" si="7">D10</f>
        <v>1.6</v>
      </c>
      <c r="AC10" s="229"/>
      <c r="AD10" s="229"/>
      <c r="AE10" s="229"/>
      <c r="AF10" s="228"/>
      <c r="AG10" s="212" t="str">
        <f t="shared" ref="AG10:AG73" si="8">CONCATENATE(AB10,AC10,AD10,AE10,AF10)</f>
        <v>1,6</v>
      </c>
      <c r="AH10" s="172">
        <f>'Зона БЭс'!L10</f>
        <v>0</v>
      </c>
      <c r="AI10" s="172">
        <f t="shared" ref="AI10:AI72" si="9">AH10+J10</f>
        <v>0.54</v>
      </c>
      <c r="AJ10" s="1973">
        <f t="shared" ref="AJ10:AJ73" si="10">K10</f>
        <v>1.45</v>
      </c>
      <c r="AK10" s="212" t="str">
        <f t="shared" ref="AK10:AK73" si="11">L10</f>
        <v>1 сутки</v>
      </c>
      <c r="AL10" s="172">
        <f t="shared" ref="AL10:AL51" si="12">AJ10</f>
        <v>1.45</v>
      </c>
      <c r="AM10" s="1973">
        <f t="shared" ref="AM10:AM73" si="13">N10</f>
        <v>0</v>
      </c>
      <c r="AN10" s="880">
        <f t="shared" ref="AN10:AN51" si="14">AL10-AM10</f>
        <v>1.45</v>
      </c>
      <c r="AO10" s="172">
        <f t="shared" ref="AO10:AO51" si="15">AN10-AI10</f>
        <v>0.90999999999999992</v>
      </c>
      <c r="AP10" s="172">
        <f t="shared" ref="AP10:AP60" si="16">AO10</f>
        <v>0.90999999999999992</v>
      </c>
      <c r="AQ10" s="220" t="str">
        <f t="shared" si="3"/>
        <v>открыт</v>
      </c>
      <c r="AR10" s="2052" t="str">
        <f t="shared" ref="AR10:AR73" si="17">IF(AND(AD10&lt;&gt;0,AP10&lt;0),"закрыт",IF(AND(AD10=0,AP10&lt;0),"закрыт","открыт"))</f>
        <v>открыт</v>
      </c>
      <c r="AS10" s="935">
        <f t="shared" ref="AS10:AS39" si="18">(AI10*100)/(AG10*1.05)</f>
        <v>32.142857142857139</v>
      </c>
      <c r="AT10" s="937" t="s">
        <v>743</v>
      </c>
      <c r="AU10" s="1095">
        <v>1984</v>
      </c>
      <c r="AV10" s="1101">
        <v>2012</v>
      </c>
      <c r="AW10" s="1103">
        <v>57.6981012133975</v>
      </c>
      <c r="AX10" s="1103">
        <v>36.979231133964397</v>
      </c>
    </row>
    <row r="11" spans="1:50" ht="15" customHeight="1" x14ac:dyDescent="0.25">
      <c r="A11" s="212">
        <v>3</v>
      </c>
      <c r="B11" s="212">
        <v>3</v>
      </c>
      <c r="C11" s="212" t="s">
        <v>890</v>
      </c>
      <c r="D11" s="230">
        <v>1</v>
      </c>
      <c r="E11" s="229"/>
      <c r="F11" s="229"/>
      <c r="G11" s="229"/>
      <c r="H11" s="228"/>
      <c r="I11" s="229" t="str">
        <f t="shared" si="4"/>
        <v>1</v>
      </c>
      <c r="J11" s="882">
        <v>0.11</v>
      </c>
      <c r="K11" s="1423">
        <v>0</v>
      </c>
      <c r="L11" s="1422">
        <v>0</v>
      </c>
      <c r="M11" s="172">
        <f>K11</f>
        <v>0</v>
      </c>
      <c r="N11" s="172">
        <v>0</v>
      </c>
      <c r="O11" s="880"/>
      <c r="P11" s="880">
        <f t="shared" si="0"/>
        <v>0</v>
      </c>
      <c r="Q11" s="172">
        <f t="shared" si="1"/>
        <v>-0.11</v>
      </c>
      <c r="R11" s="172">
        <f t="shared" ref="R11:R39" si="19">Q11</f>
        <v>-0.11</v>
      </c>
      <c r="S11" s="212" t="str">
        <f>T11</f>
        <v>закрыт</v>
      </c>
      <c r="T11" s="2052" t="str">
        <f t="shared" si="6"/>
        <v>закрыт</v>
      </c>
      <c r="U11" s="757">
        <f t="shared" si="2"/>
        <v>10.476190476190476</v>
      </c>
      <c r="V11" s="2254"/>
      <c r="W11" s="2254" t="s">
        <v>3032</v>
      </c>
      <c r="X11" s="912"/>
      <c r="Y11" s="212">
        <v>3</v>
      </c>
      <c r="Z11" s="228">
        <v>3</v>
      </c>
      <c r="AA11" s="212" t="s">
        <v>890</v>
      </c>
      <c r="AB11" s="230">
        <f t="shared" si="7"/>
        <v>1</v>
      </c>
      <c r="AC11" s="229"/>
      <c r="AD11" s="229"/>
      <c r="AE11" s="229"/>
      <c r="AF11" s="228"/>
      <c r="AG11" s="212" t="str">
        <f t="shared" si="8"/>
        <v>1</v>
      </c>
      <c r="AH11" s="172">
        <f>'Зона БЭс'!L12</f>
        <v>0</v>
      </c>
      <c r="AI11" s="172">
        <f t="shared" si="9"/>
        <v>0.11</v>
      </c>
      <c r="AJ11" s="1973">
        <f t="shared" si="10"/>
        <v>0</v>
      </c>
      <c r="AK11" s="212">
        <f t="shared" si="11"/>
        <v>0</v>
      </c>
      <c r="AL11" s="172">
        <f t="shared" si="12"/>
        <v>0</v>
      </c>
      <c r="AM11" s="1973">
        <f t="shared" si="13"/>
        <v>0</v>
      </c>
      <c r="AN11" s="880">
        <f t="shared" si="14"/>
        <v>0</v>
      </c>
      <c r="AO11" s="172">
        <f t="shared" si="15"/>
        <v>-0.11</v>
      </c>
      <c r="AP11" s="172">
        <f t="shared" si="16"/>
        <v>-0.11</v>
      </c>
      <c r="AQ11" s="220" t="str">
        <f>AR11</f>
        <v>закрыт</v>
      </c>
      <c r="AR11" s="2052" t="str">
        <f t="shared" si="17"/>
        <v>закрыт</v>
      </c>
      <c r="AS11" s="935">
        <f t="shared" si="18"/>
        <v>10.476190476190476</v>
      </c>
      <c r="AT11" s="937" t="s">
        <v>743</v>
      </c>
      <c r="AU11" s="1095">
        <v>1985</v>
      </c>
      <c r="AV11" s="1101" t="s">
        <v>3218</v>
      </c>
      <c r="AW11" s="1103">
        <v>58.2387265109776</v>
      </c>
      <c r="AX11" s="1103">
        <v>35.952724157647097</v>
      </c>
    </row>
    <row r="12" spans="1:50" ht="15" customHeight="1" x14ac:dyDescent="0.25">
      <c r="A12" s="212">
        <v>4</v>
      </c>
      <c r="B12" s="212">
        <v>4</v>
      </c>
      <c r="C12" s="212" t="s">
        <v>891</v>
      </c>
      <c r="D12" s="230">
        <v>1.6</v>
      </c>
      <c r="E12" s="229"/>
      <c r="F12" s="229"/>
      <c r="G12" s="229"/>
      <c r="H12" s="228"/>
      <c r="I12" s="229" t="str">
        <f t="shared" si="4"/>
        <v>1,6</v>
      </c>
      <c r="J12" s="882">
        <v>0.17</v>
      </c>
      <c r="K12" s="1423">
        <v>0.87</v>
      </c>
      <c r="L12" s="1422" t="s">
        <v>334</v>
      </c>
      <c r="M12" s="172">
        <f t="shared" ref="M12:M51" si="20">K12</f>
        <v>0.87</v>
      </c>
      <c r="N12" s="172">
        <v>0</v>
      </c>
      <c r="O12" s="880"/>
      <c r="P12" s="880">
        <f t="shared" si="0"/>
        <v>0.87</v>
      </c>
      <c r="Q12" s="172">
        <f t="shared" si="1"/>
        <v>0.7</v>
      </c>
      <c r="R12" s="172">
        <f t="shared" si="19"/>
        <v>0.7</v>
      </c>
      <c r="S12" s="212" t="str">
        <f t="shared" si="5"/>
        <v>открыт</v>
      </c>
      <c r="T12" s="2052" t="str">
        <f t="shared" si="6"/>
        <v>открыт</v>
      </c>
      <c r="U12" s="757">
        <f t="shared" si="2"/>
        <v>10.119047619047619</v>
      </c>
      <c r="V12" s="2254">
        <v>0.5</v>
      </c>
      <c r="W12" s="2254" t="s">
        <v>3397</v>
      </c>
      <c r="X12" s="912"/>
      <c r="Y12" s="212">
        <v>4</v>
      </c>
      <c r="Z12" s="228">
        <v>4</v>
      </c>
      <c r="AA12" s="212" t="s">
        <v>891</v>
      </c>
      <c r="AB12" s="230">
        <f t="shared" si="7"/>
        <v>1.6</v>
      </c>
      <c r="AC12" s="229"/>
      <c r="AD12" s="229"/>
      <c r="AE12" s="229"/>
      <c r="AF12" s="228"/>
      <c r="AG12" s="212" t="str">
        <f t="shared" si="8"/>
        <v>1,6</v>
      </c>
      <c r="AH12" s="172">
        <f>'Зона БЭс'!L14</f>
        <v>0</v>
      </c>
      <c r="AI12" s="172">
        <f t="shared" si="9"/>
        <v>0.17</v>
      </c>
      <c r="AJ12" s="1973">
        <f t="shared" si="10"/>
        <v>0.87</v>
      </c>
      <c r="AK12" s="212" t="str">
        <f t="shared" si="11"/>
        <v>1 сутки</v>
      </c>
      <c r="AL12" s="172">
        <f t="shared" si="12"/>
        <v>0.87</v>
      </c>
      <c r="AM12" s="1973">
        <f t="shared" si="13"/>
        <v>0</v>
      </c>
      <c r="AN12" s="880">
        <f t="shared" si="14"/>
        <v>0.87</v>
      </c>
      <c r="AO12" s="172">
        <f t="shared" si="15"/>
        <v>0.7</v>
      </c>
      <c r="AP12" s="172">
        <f t="shared" si="16"/>
        <v>0.7</v>
      </c>
      <c r="AQ12" s="220" t="str">
        <f t="shared" si="3"/>
        <v>открыт</v>
      </c>
      <c r="AR12" s="2052" t="str">
        <f t="shared" si="17"/>
        <v>открыт</v>
      </c>
      <c r="AS12" s="935">
        <f t="shared" si="18"/>
        <v>10.119047619047619</v>
      </c>
      <c r="AT12" s="937" t="s">
        <v>743</v>
      </c>
      <c r="AU12" s="1095">
        <v>1982</v>
      </c>
      <c r="AV12" s="213">
        <v>2011</v>
      </c>
      <c r="AW12" s="1103">
        <v>58.029169559542403</v>
      </c>
      <c r="AX12" s="1103">
        <v>36.993628392820199</v>
      </c>
    </row>
    <row r="13" spans="1:50" ht="15" customHeight="1" x14ac:dyDescent="0.25">
      <c r="A13" s="212">
        <v>5</v>
      </c>
      <c r="B13" s="212">
        <v>5</v>
      </c>
      <c r="C13" s="212" t="s">
        <v>892</v>
      </c>
      <c r="D13" s="230">
        <v>1.6</v>
      </c>
      <c r="E13" s="229"/>
      <c r="F13" s="229"/>
      <c r="G13" s="229"/>
      <c r="H13" s="228"/>
      <c r="I13" s="229" t="str">
        <f t="shared" si="4"/>
        <v>1,6</v>
      </c>
      <c r="J13" s="882">
        <v>0.18</v>
      </c>
      <c r="K13" s="1423">
        <v>0</v>
      </c>
      <c r="L13" s="1422">
        <v>0</v>
      </c>
      <c r="M13" s="172">
        <f t="shared" si="20"/>
        <v>0</v>
      </c>
      <c r="N13" s="172">
        <v>0</v>
      </c>
      <c r="O13" s="880"/>
      <c r="P13" s="880">
        <f t="shared" si="0"/>
        <v>0</v>
      </c>
      <c r="Q13" s="172">
        <f t="shared" si="1"/>
        <v>-0.18</v>
      </c>
      <c r="R13" s="172">
        <f t="shared" si="19"/>
        <v>-0.18</v>
      </c>
      <c r="S13" s="212" t="str">
        <f t="shared" si="5"/>
        <v>закрыт</v>
      </c>
      <c r="T13" s="2052" t="str">
        <f t="shared" si="6"/>
        <v>закрыт</v>
      </c>
      <c r="U13" s="757">
        <f t="shared" si="2"/>
        <v>10.714285714285714</v>
      </c>
      <c r="V13" s="2254">
        <v>0.44</v>
      </c>
      <c r="W13" s="2254" t="s">
        <v>3397</v>
      </c>
      <c r="X13" s="912"/>
      <c r="Y13" s="212">
        <v>5</v>
      </c>
      <c r="Z13" s="228">
        <v>5</v>
      </c>
      <c r="AA13" s="212" t="s">
        <v>892</v>
      </c>
      <c r="AB13" s="230">
        <f t="shared" si="7"/>
        <v>1.6</v>
      </c>
      <c r="AC13" s="229"/>
      <c r="AD13" s="229"/>
      <c r="AE13" s="229"/>
      <c r="AF13" s="228"/>
      <c r="AG13" s="212" t="str">
        <f t="shared" si="8"/>
        <v>1,6</v>
      </c>
      <c r="AH13" s="172">
        <f>'Зона БЭс'!L16</f>
        <v>0</v>
      </c>
      <c r="AI13" s="172">
        <f t="shared" si="9"/>
        <v>0.18</v>
      </c>
      <c r="AJ13" s="1973">
        <f t="shared" si="10"/>
        <v>0</v>
      </c>
      <c r="AK13" s="212">
        <f t="shared" si="11"/>
        <v>0</v>
      </c>
      <c r="AL13" s="172">
        <f t="shared" si="12"/>
        <v>0</v>
      </c>
      <c r="AM13" s="1973">
        <f t="shared" si="13"/>
        <v>0</v>
      </c>
      <c r="AN13" s="880">
        <f t="shared" si="14"/>
        <v>0</v>
      </c>
      <c r="AO13" s="172">
        <f t="shared" si="15"/>
        <v>-0.18</v>
      </c>
      <c r="AP13" s="172">
        <f t="shared" si="16"/>
        <v>-0.18</v>
      </c>
      <c r="AQ13" s="220" t="str">
        <f t="shared" si="3"/>
        <v>закрыт</v>
      </c>
      <c r="AR13" s="2052" t="str">
        <f t="shared" si="17"/>
        <v>закрыт</v>
      </c>
      <c r="AS13" s="935">
        <f t="shared" si="18"/>
        <v>10.714285714285714</v>
      </c>
      <c r="AT13" s="937" t="s">
        <v>743</v>
      </c>
      <c r="AU13" s="1095">
        <v>1983</v>
      </c>
      <c r="AV13" s="1101" t="s">
        <v>3218</v>
      </c>
      <c r="AW13" s="1103">
        <v>58.048253501405398</v>
      </c>
      <c r="AX13" s="1103">
        <v>36.117193294308798</v>
      </c>
    </row>
    <row r="14" spans="1:50" ht="15" customHeight="1" x14ac:dyDescent="0.25">
      <c r="A14" s="212">
        <v>6</v>
      </c>
      <c r="B14" s="212">
        <v>6</v>
      </c>
      <c r="C14" s="212" t="s">
        <v>893</v>
      </c>
      <c r="D14" s="230">
        <v>2.5</v>
      </c>
      <c r="E14" s="229"/>
      <c r="F14" s="229"/>
      <c r="G14" s="229"/>
      <c r="H14" s="228"/>
      <c r="I14" s="229" t="str">
        <f t="shared" si="4"/>
        <v>2,5</v>
      </c>
      <c r="J14" s="882">
        <v>0.23</v>
      </c>
      <c r="K14" s="1423">
        <v>0.81</v>
      </c>
      <c r="L14" s="1422" t="s">
        <v>334</v>
      </c>
      <c r="M14" s="172">
        <f t="shared" si="20"/>
        <v>0.81</v>
      </c>
      <c r="N14" s="172">
        <v>0</v>
      </c>
      <c r="O14" s="880"/>
      <c r="P14" s="880">
        <f t="shared" si="0"/>
        <v>0.81</v>
      </c>
      <c r="Q14" s="172">
        <f t="shared" si="1"/>
        <v>0.58000000000000007</v>
      </c>
      <c r="R14" s="172">
        <f t="shared" si="19"/>
        <v>0.58000000000000007</v>
      </c>
      <c r="S14" s="212" t="str">
        <f t="shared" si="5"/>
        <v>открыт</v>
      </c>
      <c r="T14" s="2052" t="str">
        <f t="shared" si="6"/>
        <v>открыт</v>
      </c>
      <c r="U14" s="757">
        <f t="shared" si="2"/>
        <v>8.7619047619047628</v>
      </c>
      <c r="V14" s="2254"/>
      <c r="W14" s="2254" t="s">
        <v>3032</v>
      </c>
      <c r="X14" s="912"/>
      <c r="Y14" s="212">
        <v>6</v>
      </c>
      <c r="Z14" s="228">
        <v>6</v>
      </c>
      <c r="AA14" s="212" t="s">
        <v>893</v>
      </c>
      <c r="AB14" s="230">
        <f t="shared" si="7"/>
        <v>2.5</v>
      </c>
      <c r="AC14" s="229"/>
      <c r="AD14" s="229"/>
      <c r="AE14" s="229"/>
      <c r="AF14" s="228"/>
      <c r="AG14" s="212" t="str">
        <f t="shared" si="8"/>
        <v>2,5</v>
      </c>
      <c r="AH14" s="172">
        <f>'Зона БЭс'!L19</f>
        <v>0</v>
      </c>
      <c r="AI14" s="172">
        <f t="shared" si="9"/>
        <v>0.23</v>
      </c>
      <c r="AJ14" s="1973">
        <f t="shared" si="10"/>
        <v>0.81</v>
      </c>
      <c r="AK14" s="212" t="str">
        <f t="shared" si="11"/>
        <v>1 сутки</v>
      </c>
      <c r="AL14" s="172">
        <f t="shared" si="12"/>
        <v>0.81</v>
      </c>
      <c r="AM14" s="1973">
        <f t="shared" si="13"/>
        <v>0</v>
      </c>
      <c r="AN14" s="880">
        <f t="shared" si="14"/>
        <v>0.81</v>
      </c>
      <c r="AO14" s="172">
        <f t="shared" si="15"/>
        <v>0.58000000000000007</v>
      </c>
      <c r="AP14" s="172">
        <f t="shared" si="16"/>
        <v>0.58000000000000007</v>
      </c>
      <c r="AQ14" s="220" t="str">
        <f t="shared" si="3"/>
        <v>открыт</v>
      </c>
      <c r="AR14" s="2052" t="str">
        <f t="shared" si="17"/>
        <v>открыт</v>
      </c>
      <c r="AS14" s="935">
        <f t="shared" si="18"/>
        <v>8.7619047619047628</v>
      </c>
      <c r="AT14" s="937" t="s">
        <v>743</v>
      </c>
      <c r="AU14" s="1095">
        <v>1979</v>
      </c>
      <c r="AV14" s="1101" t="s">
        <v>3218</v>
      </c>
      <c r="AW14" s="1103">
        <v>58.694497246865701</v>
      </c>
      <c r="AX14" s="1103">
        <v>36.936407331081497</v>
      </c>
    </row>
    <row r="15" spans="1:50" ht="15" customHeight="1" x14ac:dyDescent="0.25">
      <c r="A15" s="212">
        <v>7</v>
      </c>
      <c r="B15" s="212">
        <v>7</v>
      </c>
      <c r="C15" s="212" t="s">
        <v>894</v>
      </c>
      <c r="D15" s="230">
        <v>4</v>
      </c>
      <c r="E15" s="229"/>
      <c r="F15" s="229"/>
      <c r="G15" s="229"/>
      <c r="H15" s="228"/>
      <c r="I15" s="229" t="str">
        <f t="shared" si="4"/>
        <v>4</v>
      </c>
      <c r="J15" s="882">
        <v>0.18</v>
      </c>
      <c r="K15" s="1423">
        <v>0.69</v>
      </c>
      <c r="L15" s="1422" t="s">
        <v>334</v>
      </c>
      <c r="M15" s="172">
        <f t="shared" si="20"/>
        <v>0.69</v>
      </c>
      <c r="N15" s="172">
        <v>0</v>
      </c>
      <c r="O15" s="880"/>
      <c r="P15" s="880">
        <f t="shared" si="0"/>
        <v>0.69</v>
      </c>
      <c r="Q15" s="172">
        <f t="shared" si="1"/>
        <v>0.51</v>
      </c>
      <c r="R15" s="172">
        <f t="shared" si="19"/>
        <v>0.51</v>
      </c>
      <c r="S15" s="212" t="str">
        <f t="shared" si="5"/>
        <v>открыт</v>
      </c>
      <c r="T15" s="2052" t="str">
        <f t="shared" si="6"/>
        <v>открыт</v>
      </c>
      <c r="U15" s="757">
        <f t="shared" si="2"/>
        <v>4.2857142857142856</v>
      </c>
      <c r="V15" s="2254">
        <v>0.5</v>
      </c>
      <c r="W15" s="2254" t="s">
        <v>3397</v>
      </c>
      <c r="X15" s="912"/>
      <c r="Y15" s="212">
        <v>7</v>
      </c>
      <c r="Z15" s="228">
        <v>7</v>
      </c>
      <c r="AA15" s="212" t="s">
        <v>894</v>
      </c>
      <c r="AB15" s="230">
        <f t="shared" si="7"/>
        <v>4</v>
      </c>
      <c r="AC15" s="229"/>
      <c r="AD15" s="229"/>
      <c r="AE15" s="229"/>
      <c r="AF15" s="228"/>
      <c r="AG15" s="212" t="str">
        <f t="shared" si="8"/>
        <v>4</v>
      </c>
      <c r="AH15" s="172">
        <f>'Зона БЭс'!L21</f>
        <v>0</v>
      </c>
      <c r="AI15" s="172">
        <f t="shared" si="9"/>
        <v>0.18</v>
      </c>
      <c r="AJ15" s="1973">
        <f t="shared" si="10"/>
        <v>0.69</v>
      </c>
      <c r="AK15" s="212" t="str">
        <f t="shared" si="11"/>
        <v>1 сутки</v>
      </c>
      <c r="AL15" s="172">
        <f t="shared" si="12"/>
        <v>0.69</v>
      </c>
      <c r="AM15" s="1973">
        <f t="shared" si="13"/>
        <v>0</v>
      </c>
      <c r="AN15" s="880">
        <f t="shared" si="14"/>
        <v>0.69</v>
      </c>
      <c r="AO15" s="172">
        <f t="shared" si="15"/>
        <v>0.51</v>
      </c>
      <c r="AP15" s="172">
        <f t="shared" si="16"/>
        <v>0.51</v>
      </c>
      <c r="AQ15" s="220" t="str">
        <f t="shared" si="3"/>
        <v>открыт</v>
      </c>
      <c r="AR15" s="2052" t="str">
        <f t="shared" si="17"/>
        <v>открыт</v>
      </c>
      <c r="AS15" s="935">
        <f t="shared" si="18"/>
        <v>4.2857142857142856</v>
      </c>
      <c r="AT15" s="937" t="s">
        <v>743</v>
      </c>
      <c r="AU15" s="1095">
        <v>1982</v>
      </c>
      <c r="AV15" s="1101" t="s">
        <v>3218</v>
      </c>
      <c r="AW15" s="1103">
        <v>58.233227061189901</v>
      </c>
      <c r="AX15" s="1103">
        <v>36.918343686706699</v>
      </c>
    </row>
    <row r="16" spans="1:50" ht="15" customHeight="1" x14ac:dyDescent="0.25">
      <c r="A16" s="212">
        <v>8</v>
      </c>
      <c r="B16" s="212">
        <v>8</v>
      </c>
      <c r="C16" s="212" t="s">
        <v>895</v>
      </c>
      <c r="D16" s="230">
        <v>1.6</v>
      </c>
      <c r="E16" s="229"/>
      <c r="F16" s="229"/>
      <c r="G16" s="229"/>
      <c r="H16" s="228"/>
      <c r="I16" s="229" t="str">
        <f t="shared" si="4"/>
        <v>1,6</v>
      </c>
      <c r="J16" s="882">
        <v>0.28000000000000003</v>
      </c>
      <c r="K16" s="1423">
        <v>1.03</v>
      </c>
      <c r="L16" s="1422" t="s">
        <v>334</v>
      </c>
      <c r="M16" s="172">
        <f t="shared" si="20"/>
        <v>1.03</v>
      </c>
      <c r="N16" s="172">
        <v>0</v>
      </c>
      <c r="O16" s="880"/>
      <c r="P16" s="880">
        <f t="shared" si="0"/>
        <v>1.03</v>
      </c>
      <c r="Q16" s="172">
        <f t="shared" si="1"/>
        <v>0.75</v>
      </c>
      <c r="R16" s="172">
        <f t="shared" si="19"/>
        <v>0.75</v>
      </c>
      <c r="S16" s="212" t="str">
        <f t="shared" si="5"/>
        <v>открыт</v>
      </c>
      <c r="T16" s="2052" t="str">
        <f t="shared" si="6"/>
        <v>открыт</v>
      </c>
      <c r="U16" s="757">
        <f t="shared" si="2"/>
        <v>16.666666666666668</v>
      </c>
      <c r="V16" s="2254">
        <v>0.44</v>
      </c>
      <c r="W16" s="2254" t="s">
        <v>3397</v>
      </c>
      <c r="X16" s="912"/>
      <c r="Y16" s="212">
        <v>8</v>
      </c>
      <c r="Z16" s="228">
        <v>8</v>
      </c>
      <c r="AA16" s="212" t="s">
        <v>895</v>
      </c>
      <c r="AB16" s="230">
        <f t="shared" si="7"/>
        <v>1.6</v>
      </c>
      <c r="AC16" s="229"/>
      <c r="AD16" s="229"/>
      <c r="AE16" s="229"/>
      <c r="AF16" s="228"/>
      <c r="AG16" s="212" t="str">
        <f t="shared" si="8"/>
        <v>1,6</v>
      </c>
      <c r="AH16" s="172">
        <f>'Зона БЭс'!L23</f>
        <v>0</v>
      </c>
      <c r="AI16" s="172">
        <f t="shared" si="9"/>
        <v>0.28000000000000003</v>
      </c>
      <c r="AJ16" s="1973">
        <f t="shared" si="10"/>
        <v>1.03</v>
      </c>
      <c r="AK16" s="212" t="str">
        <f t="shared" si="11"/>
        <v>1 сутки</v>
      </c>
      <c r="AL16" s="172">
        <f t="shared" si="12"/>
        <v>1.03</v>
      </c>
      <c r="AM16" s="1973">
        <f t="shared" si="13"/>
        <v>0</v>
      </c>
      <c r="AN16" s="880">
        <f t="shared" si="14"/>
        <v>1.03</v>
      </c>
      <c r="AO16" s="172">
        <f t="shared" si="15"/>
        <v>0.75</v>
      </c>
      <c r="AP16" s="172">
        <f t="shared" si="16"/>
        <v>0.75</v>
      </c>
      <c r="AQ16" s="220" t="str">
        <f t="shared" si="3"/>
        <v>открыт</v>
      </c>
      <c r="AR16" s="2052" t="str">
        <f t="shared" si="17"/>
        <v>открыт</v>
      </c>
      <c r="AS16" s="935">
        <f t="shared" si="18"/>
        <v>16.666666666666668</v>
      </c>
      <c r="AT16" s="937" t="s">
        <v>743</v>
      </c>
      <c r="AU16" s="1095">
        <v>1968</v>
      </c>
      <c r="AV16" s="1101" t="s">
        <v>3218</v>
      </c>
      <c r="AW16" s="1103">
        <v>58.013638700469102</v>
      </c>
      <c r="AX16" s="1103">
        <v>35.781832313946403</v>
      </c>
    </row>
    <row r="17" spans="1:50" ht="15" customHeight="1" x14ac:dyDescent="0.25">
      <c r="A17" s="212">
        <v>9</v>
      </c>
      <c r="B17" s="212">
        <v>9</v>
      </c>
      <c r="C17" s="212" t="s">
        <v>896</v>
      </c>
      <c r="D17" s="230">
        <v>2.5</v>
      </c>
      <c r="E17" s="229"/>
      <c r="F17" s="229"/>
      <c r="G17" s="229"/>
      <c r="H17" s="228"/>
      <c r="I17" s="229" t="str">
        <f t="shared" si="4"/>
        <v>2,5</v>
      </c>
      <c r="J17" s="882">
        <v>0.18</v>
      </c>
      <c r="K17" s="1423">
        <v>2.94</v>
      </c>
      <c r="L17" s="1422" t="s">
        <v>334</v>
      </c>
      <c r="M17" s="172">
        <f>K17</f>
        <v>2.94</v>
      </c>
      <c r="N17" s="172">
        <v>0</v>
      </c>
      <c r="O17" s="880"/>
      <c r="P17" s="880">
        <f t="shared" si="0"/>
        <v>2.94</v>
      </c>
      <c r="Q17" s="172">
        <f t="shared" si="1"/>
        <v>2.76</v>
      </c>
      <c r="R17" s="172">
        <f t="shared" si="19"/>
        <v>2.76</v>
      </c>
      <c r="S17" s="212" t="str">
        <f t="shared" si="5"/>
        <v>открыт</v>
      </c>
      <c r="T17" s="2052" t="str">
        <f t="shared" si="6"/>
        <v>открыт</v>
      </c>
      <c r="U17" s="757">
        <f t="shared" si="2"/>
        <v>6.8571428571428568</v>
      </c>
      <c r="V17" s="2254">
        <v>0.44</v>
      </c>
      <c r="W17" s="2254" t="s">
        <v>3397</v>
      </c>
      <c r="X17" s="912"/>
      <c r="Y17" s="212">
        <v>9</v>
      </c>
      <c r="Z17" s="228">
        <v>9</v>
      </c>
      <c r="AA17" s="212" t="s">
        <v>896</v>
      </c>
      <c r="AB17" s="230">
        <f t="shared" si="7"/>
        <v>2.5</v>
      </c>
      <c r="AC17" s="229"/>
      <c r="AD17" s="229"/>
      <c r="AE17" s="229"/>
      <c r="AF17" s="228"/>
      <c r="AG17" s="212" t="str">
        <f t="shared" si="8"/>
        <v>2,5</v>
      </c>
      <c r="AH17" s="172">
        <f>'Зона БЭс'!L26</f>
        <v>0.20641304347826084</v>
      </c>
      <c r="AI17" s="172">
        <f t="shared" si="9"/>
        <v>0.38641304347826083</v>
      </c>
      <c r="AJ17" s="1973">
        <f t="shared" si="10"/>
        <v>2.94</v>
      </c>
      <c r="AK17" s="212" t="str">
        <f t="shared" si="11"/>
        <v>1 сутки</v>
      </c>
      <c r="AL17" s="172">
        <f t="shared" si="12"/>
        <v>2.94</v>
      </c>
      <c r="AM17" s="1973">
        <f t="shared" si="13"/>
        <v>0</v>
      </c>
      <c r="AN17" s="880">
        <f t="shared" si="14"/>
        <v>2.94</v>
      </c>
      <c r="AO17" s="172">
        <f t="shared" si="15"/>
        <v>2.5535869565217393</v>
      </c>
      <c r="AP17" s="172">
        <f t="shared" si="16"/>
        <v>2.5535869565217393</v>
      </c>
      <c r="AQ17" s="220" t="str">
        <f t="shared" si="3"/>
        <v>открыт</v>
      </c>
      <c r="AR17" s="2052" t="str">
        <f t="shared" si="17"/>
        <v>открыт</v>
      </c>
      <c r="AS17" s="935">
        <f t="shared" si="18"/>
        <v>14.720496894409937</v>
      </c>
      <c r="AT17" s="937" t="s">
        <v>743</v>
      </c>
      <c r="AU17" s="1095">
        <v>1981</v>
      </c>
      <c r="AV17" s="1101" t="s">
        <v>3218</v>
      </c>
      <c r="AW17" s="1103">
        <v>57.737635139484198</v>
      </c>
      <c r="AX17" s="1103">
        <v>36.7111620708</v>
      </c>
    </row>
    <row r="18" spans="1:50" ht="15" customHeight="1" x14ac:dyDescent="0.25">
      <c r="A18" s="212">
        <v>10</v>
      </c>
      <c r="B18" s="212">
        <v>10</v>
      </c>
      <c r="C18" s="212" t="s">
        <v>897</v>
      </c>
      <c r="D18" s="230">
        <v>1.8</v>
      </c>
      <c r="E18" s="229"/>
      <c r="F18" s="229"/>
      <c r="G18" s="229"/>
      <c r="H18" s="228"/>
      <c r="I18" s="229" t="str">
        <f t="shared" si="4"/>
        <v>1,8</v>
      </c>
      <c r="J18" s="882">
        <v>0.26</v>
      </c>
      <c r="K18" s="1423">
        <v>0.73</v>
      </c>
      <c r="L18" s="1422" t="s">
        <v>334</v>
      </c>
      <c r="M18" s="172">
        <f t="shared" si="20"/>
        <v>0.73</v>
      </c>
      <c r="N18" s="172">
        <v>0</v>
      </c>
      <c r="O18" s="880"/>
      <c r="P18" s="880">
        <f t="shared" si="0"/>
        <v>0.73</v>
      </c>
      <c r="Q18" s="172">
        <f t="shared" si="1"/>
        <v>0.47</v>
      </c>
      <c r="R18" s="172">
        <f t="shared" si="19"/>
        <v>0.47</v>
      </c>
      <c r="S18" s="212" t="str">
        <f t="shared" si="5"/>
        <v>открыт</v>
      </c>
      <c r="T18" s="2052" t="str">
        <f t="shared" si="6"/>
        <v>открыт</v>
      </c>
      <c r="U18" s="757">
        <f t="shared" si="2"/>
        <v>13.756613756613756</v>
      </c>
      <c r="V18" s="2254">
        <v>0.62</v>
      </c>
      <c r="W18" s="2254" t="s">
        <v>3397</v>
      </c>
      <c r="X18" s="912"/>
      <c r="Y18" s="212">
        <v>10</v>
      </c>
      <c r="Z18" s="228">
        <v>10</v>
      </c>
      <c r="AA18" s="212" t="s">
        <v>897</v>
      </c>
      <c r="AB18" s="230">
        <f t="shared" si="7"/>
        <v>1.8</v>
      </c>
      <c r="AC18" s="229"/>
      <c r="AD18" s="229"/>
      <c r="AE18" s="229"/>
      <c r="AF18" s="228"/>
      <c r="AG18" s="212" t="str">
        <f t="shared" si="8"/>
        <v>1,8</v>
      </c>
      <c r="AH18" s="172">
        <f>'Зона БЭс'!L28</f>
        <v>0</v>
      </c>
      <c r="AI18" s="172">
        <f t="shared" si="9"/>
        <v>0.26</v>
      </c>
      <c r="AJ18" s="1973">
        <f t="shared" si="10"/>
        <v>0.73</v>
      </c>
      <c r="AK18" s="212" t="str">
        <f t="shared" si="11"/>
        <v>1 сутки</v>
      </c>
      <c r="AL18" s="172">
        <f t="shared" si="12"/>
        <v>0.73</v>
      </c>
      <c r="AM18" s="1973">
        <f t="shared" si="13"/>
        <v>0</v>
      </c>
      <c r="AN18" s="880">
        <f t="shared" si="14"/>
        <v>0.73</v>
      </c>
      <c r="AO18" s="172">
        <f t="shared" si="15"/>
        <v>0.47</v>
      </c>
      <c r="AP18" s="172">
        <f t="shared" si="16"/>
        <v>0.47</v>
      </c>
      <c r="AQ18" s="220" t="str">
        <f t="shared" si="3"/>
        <v>открыт</v>
      </c>
      <c r="AR18" s="2052" t="str">
        <f t="shared" si="17"/>
        <v>открыт</v>
      </c>
      <c r="AS18" s="935">
        <f t="shared" si="18"/>
        <v>13.756613756613756</v>
      </c>
      <c r="AT18" s="937" t="s">
        <v>743</v>
      </c>
      <c r="AU18" s="1095">
        <v>1985</v>
      </c>
      <c r="AV18" s="1101">
        <v>2012</v>
      </c>
      <c r="AW18" s="1103">
        <v>57.7436647258845</v>
      </c>
      <c r="AX18" s="1103">
        <v>37.403150925236197</v>
      </c>
    </row>
    <row r="19" spans="1:50" ht="15" customHeight="1" x14ac:dyDescent="0.25">
      <c r="A19" s="212">
        <v>11</v>
      </c>
      <c r="B19" s="212">
        <v>11</v>
      </c>
      <c r="C19" s="212" t="s">
        <v>898</v>
      </c>
      <c r="D19" s="230">
        <v>1.6</v>
      </c>
      <c r="E19" s="229"/>
      <c r="F19" s="229"/>
      <c r="G19" s="229"/>
      <c r="H19" s="228"/>
      <c r="I19" s="229" t="str">
        <f t="shared" si="4"/>
        <v>1,6</v>
      </c>
      <c r="J19" s="882">
        <v>0.11</v>
      </c>
      <c r="K19" s="1423">
        <v>1.35</v>
      </c>
      <c r="L19" s="1422" t="s">
        <v>334</v>
      </c>
      <c r="M19" s="172">
        <f t="shared" si="20"/>
        <v>1.35</v>
      </c>
      <c r="N19" s="172">
        <v>0</v>
      </c>
      <c r="O19" s="880"/>
      <c r="P19" s="880">
        <f t="shared" si="0"/>
        <v>1.35</v>
      </c>
      <c r="Q19" s="172">
        <f t="shared" si="1"/>
        <v>1.24</v>
      </c>
      <c r="R19" s="172">
        <f t="shared" si="19"/>
        <v>1.24</v>
      </c>
      <c r="S19" s="212" t="str">
        <f t="shared" si="5"/>
        <v>открыт</v>
      </c>
      <c r="T19" s="2052" t="str">
        <f t="shared" si="6"/>
        <v>открыт</v>
      </c>
      <c r="U19" s="757">
        <f t="shared" si="2"/>
        <v>6.5476190476190466</v>
      </c>
      <c r="V19" s="2254">
        <v>0.5</v>
      </c>
      <c r="W19" s="2254" t="s">
        <v>3397</v>
      </c>
      <c r="X19" s="912"/>
      <c r="Y19" s="212">
        <v>11</v>
      </c>
      <c r="Z19" s="228">
        <v>11</v>
      </c>
      <c r="AA19" s="212" t="s">
        <v>898</v>
      </c>
      <c r="AB19" s="230">
        <f t="shared" si="7"/>
        <v>1.6</v>
      </c>
      <c r="AC19" s="229"/>
      <c r="AD19" s="229"/>
      <c r="AE19" s="229"/>
      <c r="AF19" s="228"/>
      <c r="AG19" s="212" t="str">
        <f t="shared" si="8"/>
        <v>1,6</v>
      </c>
      <c r="AH19" s="172">
        <f>'Зона БЭс'!L31</f>
        <v>0</v>
      </c>
      <c r="AI19" s="172">
        <f t="shared" si="9"/>
        <v>0.11</v>
      </c>
      <c r="AJ19" s="1973">
        <f t="shared" si="10"/>
        <v>1.35</v>
      </c>
      <c r="AK19" s="212" t="str">
        <f t="shared" si="11"/>
        <v>1 сутки</v>
      </c>
      <c r="AL19" s="172">
        <f t="shared" si="12"/>
        <v>1.35</v>
      </c>
      <c r="AM19" s="1973">
        <f t="shared" si="13"/>
        <v>0</v>
      </c>
      <c r="AN19" s="880">
        <f t="shared" si="14"/>
        <v>1.35</v>
      </c>
      <c r="AO19" s="172">
        <f t="shared" si="15"/>
        <v>1.24</v>
      </c>
      <c r="AP19" s="172">
        <f t="shared" si="16"/>
        <v>1.24</v>
      </c>
      <c r="AQ19" s="220" t="str">
        <f t="shared" si="3"/>
        <v>открыт</v>
      </c>
      <c r="AR19" s="2052" t="str">
        <f t="shared" si="17"/>
        <v>открыт</v>
      </c>
      <c r="AS19" s="935">
        <f t="shared" si="18"/>
        <v>6.5476190476190466</v>
      </c>
      <c r="AT19" s="937" t="s">
        <v>743</v>
      </c>
      <c r="AU19" s="1095">
        <v>1979</v>
      </c>
      <c r="AV19" s="1101" t="s">
        <v>3218</v>
      </c>
      <c r="AW19" s="1103">
        <v>58.428626165543903</v>
      </c>
      <c r="AX19" s="1103">
        <v>36.056499942833298</v>
      </c>
    </row>
    <row r="20" spans="1:50" ht="15" customHeight="1" x14ac:dyDescent="0.25">
      <c r="A20" s="212">
        <v>12</v>
      </c>
      <c r="B20" s="212">
        <v>12</v>
      </c>
      <c r="C20" s="212" t="s">
        <v>899</v>
      </c>
      <c r="D20" s="230">
        <v>4</v>
      </c>
      <c r="E20" s="229"/>
      <c r="F20" s="229"/>
      <c r="G20" s="229"/>
      <c r="H20" s="228"/>
      <c r="I20" s="229" t="str">
        <f t="shared" si="4"/>
        <v>4</v>
      </c>
      <c r="J20" s="882">
        <v>0.17</v>
      </c>
      <c r="K20" s="1423">
        <v>1</v>
      </c>
      <c r="L20" s="1422" t="s">
        <v>334</v>
      </c>
      <c r="M20" s="172">
        <f t="shared" si="20"/>
        <v>1</v>
      </c>
      <c r="N20" s="172">
        <v>0</v>
      </c>
      <c r="O20" s="880"/>
      <c r="P20" s="880">
        <f t="shared" si="0"/>
        <v>1</v>
      </c>
      <c r="Q20" s="172">
        <f t="shared" si="1"/>
        <v>0.83</v>
      </c>
      <c r="R20" s="172">
        <f t="shared" si="19"/>
        <v>0.83</v>
      </c>
      <c r="S20" s="212" t="str">
        <f t="shared" si="5"/>
        <v>открыт</v>
      </c>
      <c r="T20" s="2052" t="str">
        <f t="shared" si="6"/>
        <v>открыт</v>
      </c>
      <c r="U20" s="757">
        <f t="shared" si="2"/>
        <v>4.0476190476190474</v>
      </c>
      <c r="V20" s="2254">
        <v>0.49</v>
      </c>
      <c r="W20" s="2254" t="s">
        <v>3397</v>
      </c>
      <c r="X20" s="912"/>
      <c r="Y20" s="212">
        <v>12</v>
      </c>
      <c r="Z20" s="228">
        <v>12</v>
      </c>
      <c r="AA20" s="212" t="s">
        <v>899</v>
      </c>
      <c r="AB20" s="230">
        <f t="shared" si="7"/>
        <v>4</v>
      </c>
      <c r="AC20" s="229"/>
      <c r="AD20" s="229"/>
      <c r="AE20" s="229"/>
      <c r="AF20" s="228"/>
      <c r="AG20" s="212" t="str">
        <f t="shared" si="8"/>
        <v>4</v>
      </c>
      <c r="AH20" s="172">
        <f>'Зона БЭс'!L33</f>
        <v>0</v>
      </c>
      <c r="AI20" s="172">
        <f t="shared" si="9"/>
        <v>0.17</v>
      </c>
      <c r="AJ20" s="1973">
        <f t="shared" si="10"/>
        <v>1</v>
      </c>
      <c r="AK20" s="212" t="str">
        <f t="shared" si="11"/>
        <v>1 сутки</v>
      </c>
      <c r="AL20" s="172">
        <f t="shared" si="12"/>
        <v>1</v>
      </c>
      <c r="AM20" s="1973">
        <f t="shared" si="13"/>
        <v>0</v>
      </c>
      <c r="AN20" s="880">
        <f t="shared" si="14"/>
        <v>1</v>
      </c>
      <c r="AO20" s="172">
        <f t="shared" si="15"/>
        <v>0.83</v>
      </c>
      <c r="AP20" s="172">
        <f t="shared" si="16"/>
        <v>0.83</v>
      </c>
      <c r="AQ20" s="220" t="str">
        <f t="shared" si="3"/>
        <v>открыт</v>
      </c>
      <c r="AR20" s="2052" t="str">
        <f t="shared" si="17"/>
        <v>открыт</v>
      </c>
      <c r="AS20" s="935">
        <f t="shared" si="18"/>
        <v>4.0476190476190474</v>
      </c>
      <c r="AT20" s="937" t="s">
        <v>743</v>
      </c>
      <c r="AU20" s="1095">
        <v>1976</v>
      </c>
      <c r="AV20" s="1101" t="s">
        <v>3218</v>
      </c>
      <c r="AW20" s="1103">
        <v>58.073911711186597</v>
      </c>
      <c r="AX20" s="1103">
        <v>37.458219408843</v>
      </c>
    </row>
    <row r="21" spans="1:50" ht="15" customHeight="1" x14ac:dyDescent="0.25">
      <c r="A21" s="212">
        <v>13</v>
      </c>
      <c r="B21" s="212">
        <v>13</v>
      </c>
      <c r="C21" s="212" t="s">
        <v>900</v>
      </c>
      <c r="D21" s="230">
        <v>2.5</v>
      </c>
      <c r="E21" s="229"/>
      <c r="F21" s="229"/>
      <c r="G21" s="229"/>
      <c r="H21" s="228"/>
      <c r="I21" s="229" t="str">
        <f t="shared" si="4"/>
        <v>2,5</v>
      </c>
      <c r="J21" s="882">
        <v>0.31</v>
      </c>
      <c r="K21" s="1423">
        <v>0.77</v>
      </c>
      <c r="L21" s="1422" t="s">
        <v>334</v>
      </c>
      <c r="M21" s="172">
        <f t="shared" si="20"/>
        <v>0.77</v>
      </c>
      <c r="N21" s="172">
        <v>0</v>
      </c>
      <c r="O21" s="880"/>
      <c r="P21" s="880">
        <f t="shared" si="0"/>
        <v>0.77</v>
      </c>
      <c r="Q21" s="172">
        <f t="shared" si="1"/>
        <v>0.46</v>
      </c>
      <c r="R21" s="172">
        <f t="shared" si="19"/>
        <v>0.46</v>
      </c>
      <c r="S21" s="212" t="str">
        <f t="shared" si="5"/>
        <v>открыт</v>
      </c>
      <c r="T21" s="2052" t="str">
        <f t="shared" si="6"/>
        <v>открыт</v>
      </c>
      <c r="U21" s="757">
        <f t="shared" si="2"/>
        <v>11.80952380952381</v>
      </c>
      <c r="V21" s="2254">
        <v>0.44</v>
      </c>
      <c r="W21" s="2254" t="s">
        <v>3397</v>
      </c>
      <c r="X21" s="912"/>
      <c r="Y21" s="212">
        <v>13</v>
      </c>
      <c r="Z21" s="228">
        <v>13</v>
      </c>
      <c r="AA21" s="212" t="s">
        <v>900</v>
      </c>
      <c r="AB21" s="230">
        <f t="shared" si="7"/>
        <v>2.5</v>
      </c>
      <c r="AC21" s="229"/>
      <c r="AD21" s="229"/>
      <c r="AE21" s="229"/>
      <c r="AF21" s="228"/>
      <c r="AG21" s="212" t="str">
        <f t="shared" si="8"/>
        <v>2,5</v>
      </c>
      <c r="AH21" s="172">
        <f>'Зона БЭс'!L35</f>
        <v>0</v>
      </c>
      <c r="AI21" s="172">
        <f t="shared" si="9"/>
        <v>0.31</v>
      </c>
      <c r="AJ21" s="1973">
        <f t="shared" si="10"/>
        <v>0.77</v>
      </c>
      <c r="AK21" s="212" t="str">
        <f t="shared" si="11"/>
        <v>1 сутки</v>
      </c>
      <c r="AL21" s="172">
        <f t="shared" si="12"/>
        <v>0.77</v>
      </c>
      <c r="AM21" s="1973">
        <f t="shared" si="13"/>
        <v>0</v>
      </c>
      <c r="AN21" s="880">
        <f t="shared" si="14"/>
        <v>0.77</v>
      </c>
      <c r="AO21" s="172">
        <f t="shared" si="15"/>
        <v>0.46</v>
      </c>
      <c r="AP21" s="172">
        <f t="shared" si="16"/>
        <v>0.46</v>
      </c>
      <c r="AQ21" s="220" t="str">
        <f t="shared" si="3"/>
        <v>открыт</v>
      </c>
      <c r="AR21" s="2052" t="str">
        <f t="shared" si="17"/>
        <v>открыт</v>
      </c>
      <c r="AS21" s="935">
        <f t="shared" si="18"/>
        <v>11.80952380952381</v>
      </c>
      <c r="AT21" s="937" t="s">
        <v>743</v>
      </c>
      <c r="AU21" s="1095">
        <v>1976</v>
      </c>
      <c r="AV21" s="1101" t="s">
        <v>3218</v>
      </c>
      <c r="AW21" s="1103">
        <v>57.945378137461198</v>
      </c>
      <c r="AX21" s="1103">
        <v>35.612907709664398</v>
      </c>
    </row>
    <row r="22" spans="1:50" ht="15" customHeight="1" x14ac:dyDescent="0.25">
      <c r="A22" s="212">
        <v>14</v>
      </c>
      <c r="B22" s="212">
        <v>14</v>
      </c>
      <c r="C22" s="212" t="s">
        <v>901</v>
      </c>
      <c r="D22" s="230">
        <v>1.8</v>
      </c>
      <c r="E22" s="229"/>
      <c r="F22" s="229"/>
      <c r="G22" s="229"/>
      <c r="H22" s="228"/>
      <c r="I22" s="229" t="str">
        <f t="shared" si="4"/>
        <v>1,8</v>
      </c>
      <c r="J22" s="882">
        <v>0.36</v>
      </c>
      <c r="K22" s="1423">
        <v>1.35</v>
      </c>
      <c r="L22" s="1422" t="s">
        <v>334</v>
      </c>
      <c r="M22" s="172">
        <f t="shared" si="20"/>
        <v>1.35</v>
      </c>
      <c r="N22" s="172">
        <v>0</v>
      </c>
      <c r="O22" s="880"/>
      <c r="P22" s="880">
        <f t="shared" si="0"/>
        <v>1.35</v>
      </c>
      <c r="Q22" s="172">
        <f t="shared" si="1"/>
        <v>0.9900000000000001</v>
      </c>
      <c r="R22" s="172">
        <f t="shared" si="19"/>
        <v>0.9900000000000001</v>
      </c>
      <c r="S22" s="212" t="str">
        <f t="shared" si="5"/>
        <v>открыт</v>
      </c>
      <c r="T22" s="2052" t="str">
        <f t="shared" si="6"/>
        <v>открыт</v>
      </c>
      <c r="U22" s="757">
        <f t="shared" si="2"/>
        <v>19.047619047619047</v>
      </c>
      <c r="V22" s="2254">
        <v>0.43</v>
      </c>
      <c r="W22" s="2254" t="s">
        <v>3397</v>
      </c>
      <c r="X22" s="912"/>
      <c r="Y22" s="212">
        <v>14</v>
      </c>
      <c r="Z22" s="228">
        <v>14</v>
      </c>
      <c r="AA22" s="212" t="s">
        <v>901</v>
      </c>
      <c r="AB22" s="230">
        <f t="shared" si="7"/>
        <v>1.8</v>
      </c>
      <c r="AC22" s="229"/>
      <c r="AD22" s="229"/>
      <c r="AE22" s="229"/>
      <c r="AF22" s="228"/>
      <c r="AG22" s="212" t="str">
        <f t="shared" si="8"/>
        <v>1,8</v>
      </c>
      <c r="AH22" s="172">
        <f>'Зона БЭс'!L37</f>
        <v>0</v>
      </c>
      <c r="AI22" s="172">
        <f t="shared" si="9"/>
        <v>0.36</v>
      </c>
      <c r="AJ22" s="1973">
        <f t="shared" si="10"/>
        <v>1.35</v>
      </c>
      <c r="AK22" s="212" t="str">
        <f t="shared" si="11"/>
        <v>1 сутки</v>
      </c>
      <c r="AL22" s="172">
        <f t="shared" si="12"/>
        <v>1.35</v>
      </c>
      <c r="AM22" s="1973">
        <f t="shared" si="13"/>
        <v>0</v>
      </c>
      <c r="AN22" s="880">
        <f t="shared" si="14"/>
        <v>1.35</v>
      </c>
      <c r="AO22" s="172">
        <f t="shared" si="15"/>
        <v>0.9900000000000001</v>
      </c>
      <c r="AP22" s="172">
        <f t="shared" si="16"/>
        <v>0.9900000000000001</v>
      </c>
      <c r="AQ22" s="220" t="str">
        <f t="shared" si="3"/>
        <v>открыт</v>
      </c>
      <c r="AR22" s="2052" t="str">
        <f t="shared" si="17"/>
        <v>открыт</v>
      </c>
      <c r="AS22" s="935">
        <f>(AI22*100)/(AG22*1.05)</f>
        <v>19.047619047619047</v>
      </c>
      <c r="AT22" s="937" t="s">
        <v>743</v>
      </c>
      <c r="AU22" s="1095">
        <v>1964</v>
      </c>
      <c r="AV22" s="1101" t="s">
        <v>3218</v>
      </c>
      <c r="AW22" s="1103">
        <v>58.569690881537397</v>
      </c>
      <c r="AX22" s="1103">
        <v>36.8172060846967</v>
      </c>
    </row>
    <row r="23" spans="1:50" ht="15" customHeight="1" x14ac:dyDescent="0.25">
      <c r="A23" s="212">
        <v>15</v>
      </c>
      <c r="B23" s="212">
        <v>15</v>
      </c>
      <c r="C23" s="212" t="s">
        <v>902</v>
      </c>
      <c r="D23" s="230">
        <v>1.6</v>
      </c>
      <c r="E23" s="229"/>
      <c r="F23" s="229"/>
      <c r="G23" s="229"/>
      <c r="H23" s="228"/>
      <c r="I23" s="229" t="str">
        <f t="shared" si="4"/>
        <v>1,6</v>
      </c>
      <c r="J23" s="882">
        <v>0.1</v>
      </c>
      <c r="K23" s="1423">
        <v>0.7</v>
      </c>
      <c r="L23" s="1422" t="s">
        <v>334</v>
      </c>
      <c r="M23" s="172">
        <f t="shared" si="20"/>
        <v>0.7</v>
      </c>
      <c r="N23" s="172">
        <v>0</v>
      </c>
      <c r="O23" s="880"/>
      <c r="P23" s="880">
        <f t="shared" si="0"/>
        <v>0.7</v>
      </c>
      <c r="Q23" s="172">
        <f t="shared" si="1"/>
        <v>0.6</v>
      </c>
      <c r="R23" s="172">
        <f t="shared" si="19"/>
        <v>0.6</v>
      </c>
      <c r="S23" s="212" t="str">
        <f t="shared" si="5"/>
        <v>открыт</v>
      </c>
      <c r="T23" s="2052" t="str">
        <f t="shared" si="6"/>
        <v>открыт</v>
      </c>
      <c r="U23" s="757">
        <f t="shared" si="2"/>
        <v>5.9523809523809517</v>
      </c>
      <c r="V23" s="2254">
        <v>0.5</v>
      </c>
      <c r="W23" s="2254" t="s">
        <v>3397</v>
      </c>
      <c r="X23" s="912"/>
      <c r="Y23" s="212">
        <v>15</v>
      </c>
      <c r="Z23" s="228">
        <v>15</v>
      </c>
      <c r="AA23" s="212" t="s">
        <v>902</v>
      </c>
      <c r="AB23" s="230">
        <f t="shared" si="7"/>
        <v>1.6</v>
      </c>
      <c r="AC23" s="229"/>
      <c r="AD23" s="229"/>
      <c r="AE23" s="229"/>
      <c r="AF23" s="228"/>
      <c r="AG23" s="212" t="str">
        <f t="shared" si="8"/>
        <v>1,6</v>
      </c>
      <c r="AH23" s="172">
        <f>'Зона БЭс'!L39</f>
        <v>0</v>
      </c>
      <c r="AI23" s="172">
        <f t="shared" si="9"/>
        <v>0.1</v>
      </c>
      <c r="AJ23" s="1973">
        <f t="shared" si="10"/>
        <v>0.7</v>
      </c>
      <c r="AK23" s="212" t="str">
        <f t="shared" si="11"/>
        <v>1 сутки</v>
      </c>
      <c r="AL23" s="172">
        <f t="shared" si="12"/>
        <v>0.7</v>
      </c>
      <c r="AM23" s="1973">
        <f t="shared" si="13"/>
        <v>0</v>
      </c>
      <c r="AN23" s="880">
        <f t="shared" si="14"/>
        <v>0.7</v>
      </c>
      <c r="AO23" s="172">
        <f t="shared" si="15"/>
        <v>0.6</v>
      </c>
      <c r="AP23" s="172">
        <f t="shared" si="16"/>
        <v>0.6</v>
      </c>
      <c r="AQ23" s="220" t="str">
        <f t="shared" si="3"/>
        <v>открыт</v>
      </c>
      <c r="AR23" s="2052" t="str">
        <f t="shared" si="17"/>
        <v>открыт</v>
      </c>
      <c r="AS23" s="935">
        <f t="shared" si="18"/>
        <v>5.9523809523809517</v>
      </c>
      <c r="AT23" s="937" t="s">
        <v>743</v>
      </c>
      <c r="AU23" s="1095">
        <v>1980</v>
      </c>
      <c r="AV23" s="1101" t="s">
        <v>3218</v>
      </c>
      <c r="AW23" s="1103">
        <v>58.356999572089698</v>
      </c>
      <c r="AX23" s="1103">
        <v>37.282068566898502</v>
      </c>
    </row>
    <row r="24" spans="1:50" ht="15" customHeight="1" x14ac:dyDescent="0.25">
      <c r="A24" s="212">
        <v>16</v>
      </c>
      <c r="B24" s="212">
        <v>16</v>
      </c>
      <c r="C24" s="212" t="s">
        <v>903</v>
      </c>
      <c r="D24" s="230">
        <v>2.5</v>
      </c>
      <c r="E24" s="229"/>
      <c r="F24" s="229"/>
      <c r="G24" s="229"/>
      <c r="H24" s="228"/>
      <c r="I24" s="229" t="str">
        <f t="shared" si="4"/>
        <v>2,5</v>
      </c>
      <c r="J24" s="882">
        <v>0.13</v>
      </c>
      <c r="K24" s="1423">
        <v>1.32</v>
      </c>
      <c r="L24" s="1422" t="s">
        <v>334</v>
      </c>
      <c r="M24" s="172">
        <f t="shared" si="20"/>
        <v>1.32</v>
      </c>
      <c r="N24" s="172">
        <v>0</v>
      </c>
      <c r="O24" s="880"/>
      <c r="P24" s="880">
        <f t="shared" si="0"/>
        <v>1.32</v>
      </c>
      <c r="Q24" s="172">
        <f t="shared" si="1"/>
        <v>1.19</v>
      </c>
      <c r="R24" s="172">
        <f t="shared" si="19"/>
        <v>1.19</v>
      </c>
      <c r="S24" s="212" t="str">
        <f t="shared" si="5"/>
        <v>открыт</v>
      </c>
      <c r="T24" s="2052" t="str">
        <f t="shared" si="6"/>
        <v>открыт</v>
      </c>
      <c r="U24" s="757">
        <f t="shared" si="2"/>
        <v>4.9523809523809526</v>
      </c>
      <c r="V24" s="2254"/>
      <c r="W24" s="2254" t="s">
        <v>3032</v>
      </c>
      <c r="X24" s="912"/>
      <c r="Y24" s="212">
        <v>16</v>
      </c>
      <c r="Z24" s="228">
        <v>16</v>
      </c>
      <c r="AA24" s="212" t="s">
        <v>903</v>
      </c>
      <c r="AB24" s="230">
        <f t="shared" si="7"/>
        <v>2.5</v>
      </c>
      <c r="AC24" s="229"/>
      <c r="AD24" s="229"/>
      <c r="AE24" s="229"/>
      <c r="AF24" s="228"/>
      <c r="AG24" s="212" t="str">
        <f t="shared" si="8"/>
        <v>2,5</v>
      </c>
      <c r="AH24" s="172">
        <f>'Зона БЭс'!L41</f>
        <v>0</v>
      </c>
      <c r="AI24" s="172">
        <f t="shared" si="9"/>
        <v>0.13</v>
      </c>
      <c r="AJ24" s="1973">
        <f t="shared" si="10"/>
        <v>1.32</v>
      </c>
      <c r="AK24" s="212" t="str">
        <f t="shared" si="11"/>
        <v>1 сутки</v>
      </c>
      <c r="AL24" s="172">
        <f t="shared" si="12"/>
        <v>1.32</v>
      </c>
      <c r="AM24" s="1973">
        <f t="shared" si="13"/>
        <v>0</v>
      </c>
      <c r="AN24" s="880">
        <f t="shared" si="14"/>
        <v>1.32</v>
      </c>
      <c r="AO24" s="172">
        <f t="shared" si="15"/>
        <v>1.19</v>
      </c>
      <c r="AP24" s="172">
        <f t="shared" si="16"/>
        <v>1.19</v>
      </c>
      <c r="AQ24" s="220" t="str">
        <f t="shared" si="3"/>
        <v>открыт</v>
      </c>
      <c r="AR24" s="2052" t="str">
        <f t="shared" si="17"/>
        <v>открыт</v>
      </c>
      <c r="AS24" s="935">
        <f t="shared" si="18"/>
        <v>4.9523809523809526</v>
      </c>
      <c r="AT24" s="937" t="s">
        <v>743</v>
      </c>
      <c r="AU24" s="1095">
        <v>1980</v>
      </c>
      <c r="AV24" s="1101" t="s">
        <v>3218</v>
      </c>
      <c r="AW24" s="1103">
        <v>58.386669943226799</v>
      </c>
      <c r="AX24" s="1103">
        <v>35.505461550146997</v>
      </c>
    </row>
    <row r="25" spans="1:50" ht="15" customHeight="1" x14ac:dyDescent="0.25">
      <c r="A25" s="212">
        <v>17</v>
      </c>
      <c r="B25" s="212">
        <v>17</v>
      </c>
      <c r="C25" s="212" t="s">
        <v>904</v>
      </c>
      <c r="D25" s="230">
        <v>2.5</v>
      </c>
      <c r="E25" s="229"/>
      <c r="F25" s="229"/>
      <c r="G25" s="229"/>
      <c r="H25" s="228"/>
      <c r="I25" s="229" t="str">
        <f t="shared" si="4"/>
        <v>2,5</v>
      </c>
      <c r="J25" s="882">
        <v>0.16</v>
      </c>
      <c r="K25" s="1423">
        <v>0.91</v>
      </c>
      <c r="L25" s="1422" t="s">
        <v>334</v>
      </c>
      <c r="M25" s="172">
        <f t="shared" si="20"/>
        <v>0.91</v>
      </c>
      <c r="N25" s="172">
        <v>0</v>
      </c>
      <c r="O25" s="880"/>
      <c r="P25" s="880">
        <f t="shared" si="0"/>
        <v>0.91</v>
      </c>
      <c r="Q25" s="172">
        <f t="shared" si="1"/>
        <v>0.75</v>
      </c>
      <c r="R25" s="172">
        <f t="shared" si="19"/>
        <v>0.75</v>
      </c>
      <c r="S25" s="212" t="str">
        <f t="shared" si="5"/>
        <v>открыт</v>
      </c>
      <c r="T25" s="2052" t="str">
        <f t="shared" si="6"/>
        <v>открыт</v>
      </c>
      <c r="U25" s="757">
        <f t="shared" si="2"/>
        <v>6.0952380952380949</v>
      </c>
      <c r="V25" s="2254">
        <v>0.44</v>
      </c>
      <c r="W25" s="2254" t="s">
        <v>3397</v>
      </c>
      <c r="X25" s="912"/>
      <c r="Y25" s="212">
        <v>17</v>
      </c>
      <c r="Z25" s="228">
        <v>17</v>
      </c>
      <c r="AA25" s="212" t="s">
        <v>904</v>
      </c>
      <c r="AB25" s="230">
        <f t="shared" si="7"/>
        <v>2.5</v>
      </c>
      <c r="AC25" s="229"/>
      <c r="AD25" s="229"/>
      <c r="AE25" s="229"/>
      <c r="AF25" s="228"/>
      <c r="AG25" s="212" t="str">
        <f t="shared" si="8"/>
        <v>2,5</v>
      </c>
      <c r="AH25" s="172">
        <f>'Зона БЭс'!L43</f>
        <v>0</v>
      </c>
      <c r="AI25" s="172">
        <f t="shared" si="9"/>
        <v>0.16</v>
      </c>
      <c r="AJ25" s="1973">
        <f t="shared" si="10"/>
        <v>0.91</v>
      </c>
      <c r="AK25" s="212" t="str">
        <f t="shared" si="11"/>
        <v>1 сутки</v>
      </c>
      <c r="AL25" s="172">
        <f t="shared" si="12"/>
        <v>0.91</v>
      </c>
      <c r="AM25" s="1973">
        <f t="shared" si="13"/>
        <v>0</v>
      </c>
      <c r="AN25" s="880">
        <f t="shared" si="14"/>
        <v>0.91</v>
      </c>
      <c r="AO25" s="172">
        <f t="shared" si="15"/>
        <v>0.75</v>
      </c>
      <c r="AP25" s="172">
        <f t="shared" si="16"/>
        <v>0.75</v>
      </c>
      <c r="AQ25" s="220" t="str">
        <f t="shared" si="3"/>
        <v>открыт</v>
      </c>
      <c r="AR25" s="2052" t="str">
        <f t="shared" si="17"/>
        <v>открыт</v>
      </c>
      <c r="AS25" s="935">
        <f t="shared" si="18"/>
        <v>6.0952380952380949</v>
      </c>
      <c r="AT25" s="937" t="s">
        <v>743</v>
      </c>
      <c r="AU25" s="1095">
        <v>1991</v>
      </c>
      <c r="AV25" s="1101" t="s">
        <v>3218</v>
      </c>
      <c r="AW25" s="1103">
        <v>57.965807632511201</v>
      </c>
      <c r="AX25" s="1103">
        <v>36.7677248637033</v>
      </c>
    </row>
    <row r="26" spans="1:50" ht="15" customHeight="1" x14ac:dyDescent="0.25">
      <c r="A26" s="212">
        <v>18</v>
      </c>
      <c r="B26" s="212">
        <v>18</v>
      </c>
      <c r="C26" s="212" t="s">
        <v>905</v>
      </c>
      <c r="D26" s="230">
        <v>1.6</v>
      </c>
      <c r="E26" s="229"/>
      <c r="F26" s="229"/>
      <c r="G26" s="229"/>
      <c r="H26" s="228"/>
      <c r="I26" s="229" t="str">
        <f t="shared" si="4"/>
        <v>1,6</v>
      </c>
      <c r="J26" s="882">
        <v>7.0000000000000007E-2</v>
      </c>
      <c r="K26" s="1423">
        <v>0.71</v>
      </c>
      <c r="L26" s="1422" t="s">
        <v>334</v>
      </c>
      <c r="M26" s="172">
        <f t="shared" si="20"/>
        <v>0.71</v>
      </c>
      <c r="N26" s="172">
        <v>0</v>
      </c>
      <c r="O26" s="880"/>
      <c r="P26" s="880">
        <f t="shared" si="0"/>
        <v>0.71</v>
      </c>
      <c r="Q26" s="172">
        <f t="shared" si="1"/>
        <v>0.6399999999999999</v>
      </c>
      <c r="R26" s="172">
        <f t="shared" si="19"/>
        <v>0.6399999999999999</v>
      </c>
      <c r="S26" s="212" t="str">
        <f t="shared" si="5"/>
        <v>открыт</v>
      </c>
      <c r="T26" s="2052" t="str">
        <f t="shared" si="6"/>
        <v>открыт</v>
      </c>
      <c r="U26" s="757">
        <f t="shared" si="2"/>
        <v>4.166666666666667</v>
      </c>
      <c r="V26" s="2254">
        <v>0.5</v>
      </c>
      <c r="W26" s="2254" t="s">
        <v>3397</v>
      </c>
      <c r="X26" s="912"/>
      <c r="Y26" s="212">
        <v>18</v>
      </c>
      <c r="Z26" s="228">
        <v>18</v>
      </c>
      <c r="AA26" s="212" t="s">
        <v>905</v>
      </c>
      <c r="AB26" s="230">
        <f t="shared" si="7"/>
        <v>1.6</v>
      </c>
      <c r="AC26" s="229"/>
      <c r="AD26" s="229"/>
      <c r="AE26" s="229"/>
      <c r="AF26" s="228"/>
      <c r="AG26" s="212" t="str">
        <f t="shared" si="8"/>
        <v>1,6</v>
      </c>
      <c r="AH26" s="172">
        <f>'Зона БЭс'!L45</f>
        <v>0</v>
      </c>
      <c r="AI26" s="172">
        <f t="shared" si="9"/>
        <v>7.0000000000000007E-2</v>
      </c>
      <c r="AJ26" s="1973">
        <f t="shared" si="10"/>
        <v>0.71</v>
      </c>
      <c r="AK26" s="212" t="str">
        <f t="shared" si="11"/>
        <v>1 сутки</v>
      </c>
      <c r="AL26" s="172">
        <f t="shared" si="12"/>
        <v>0.71</v>
      </c>
      <c r="AM26" s="1973">
        <f t="shared" si="13"/>
        <v>0</v>
      </c>
      <c r="AN26" s="880">
        <f t="shared" si="14"/>
        <v>0.71</v>
      </c>
      <c r="AO26" s="172">
        <f t="shared" si="15"/>
        <v>0.6399999999999999</v>
      </c>
      <c r="AP26" s="172">
        <f t="shared" si="16"/>
        <v>0.6399999999999999</v>
      </c>
      <c r="AQ26" s="220" t="str">
        <f t="shared" si="3"/>
        <v>открыт</v>
      </c>
      <c r="AR26" s="2052" t="str">
        <f t="shared" si="17"/>
        <v>открыт</v>
      </c>
      <c r="AS26" s="935">
        <f t="shared" si="18"/>
        <v>4.166666666666667</v>
      </c>
      <c r="AT26" s="937" t="s">
        <v>743</v>
      </c>
      <c r="AU26" s="1095">
        <v>1980</v>
      </c>
      <c r="AV26" s="1101">
        <v>2012</v>
      </c>
      <c r="AW26" s="1103">
        <v>58.149171108863001</v>
      </c>
      <c r="AX26" s="1103">
        <v>37.274005809245502</v>
      </c>
    </row>
    <row r="27" spans="1:50" ht="15" customHeight="1" x14ac:dyDescent="0.25">
      <c r="A27" s="212">
        <v>19</v>
      </c>
      <c r="B27" s="212">
        <v>19</v>
      </c>
      <c r="C27" s="212" t="s">
        <v>906</v>
      </c>
      <c r="D27" s="230">
        <v>1.6</v>
      </c>
      <c r="E27" s="229"/>
      <c r="F27" s="229"/>
      <c r="G27" s="229"/>
      <c r="H27" s="228"/>
      <c r="I27" s="229" t="str">
        <f t="shared" si="4"/>
        <v>1,6</v>
      </c>
      <c r="J27" s="882">
        <v>0.15</v>
      </c>
      <c r="K27" s="1423">
        <v>0.73</v>
      </c>
      <c r="L27" s="1422" t="s">
        <v>334</v>
      </c>
      <c r="M27" s="172">
        <f t="shared" si="20"/>
        <v>0.73</v>
      </c>
      <c r="N27" s="172">
        <v>0</v>
      </c>
      <c r="O27" s="880"/>
      <c r="P27" s="880">
        <f t="shared" si="0"/>
        <v>0.73</v>
      </c>
      <c r="Q27" s="172">
        <f t="shared" si="1"/>
        <v>0.57999999999999996</v>
      </c>
      <c r="R27" s="172">
        <f t="shared" si="19"/>
        <v>0.57999999999999996</v>
      </c>
      <c r="S27" s="212" t="str">
        <f t="shared" si="5"/>
        <v>открыт</v>
      </c>
      <c r="T27" s="2052" t="str">
        <f t="shared" si="6"/>
        <v>открыт</v>
      </c>
      <c r="U27" s="757">
        <f t="shared" si="2"/>
        <v>8.928571428571427</v>
      </c>
      <c r="V27" s="2254">
        <v>0.4</v>
      </c>
      <c r="W27" s="2254" t="s">
        <v>3397</v>
      </c>
      <c r="X27" s="912"/>
      <c r="Y27" s="212">
        <v>19</v>
      </c>
      <c r="Z27" s="228">
        <v>19</v>
      </c>
      <c r="AA27" s="212" t="s">
        <v>906</v>
      </c>
      <c r="AB27" s="230">
        <f t="shared" si="7"/>
        <v>1.6</v>
      </c>
      <c r="AC27" s="229"/>
      <c r="AD27" s="229"/>
      <c r="AE27" s="229"/>
      <c r="AF27" s="228"/>
      <c r="AG27" s="212" t="str">
        <f t="shared" si="8"/>
        <v>1,6</v>
      </c>
      <c r="AH27" s="172">
        <f>'Зона БЭс'!L48</f>
        <v>0</v>
      </c>
      <c r="AI27" s="172">
        <f t="shared" si="9"/>
        <v>0.15</v>
      </c>
      <c r="AJ27" s="1973">
        <f t="shared" si="10"/>
        <v>0.73</v>
      </c>
      <c r="AK27" s="212" t="str">
        <f t="shared" si="11"/>
        <v>1 сутки</v>
      </c>
      <c r="AL27" s="172">
        <f t="shared" si="12"/>
        <v>0.73</v>
      </c>
      <c r="AM27" s="1973">
        <f t="shared" si="13"/>
        <v>0</v>
      </c>
      <c r="AN27" s="880">
        <f t="shared" si="14"/>
        <v>0.73</v>
      </c>
      <c r="AO27" s="172">
        <f t="shared" si="15"/>
        <v>0.57999999999999996</v>
      </c>
      <c r="AP27" s="172">
        <f t="shared" si="16"/>
        <v>0.57999999999999996</v>
      </c>
      <c r="AQ27" s="220" t="str">
        <f t="shared" si="3"/>
        <v>открыт</v>
      </c>
      <c r="AR27" s="2052" t="str">
        <f t="shared" si="17"/>
        <v>открыт</v>
      </c>
      <c r="AS27" s="935">
        <f t="shared" si="18"/>
        <v>8.928571428571427</v>
      </c>
      <c r="AT27" s="937" t="s">
        <v>743</v>
      </c>
      <c r="AU27" s="1095">
        <v>1969</v>
      </c>
      <c r="AV27" s="213">
        <v>2011</v>
      </c>
      <c r="AW27" s="1103">
        <v>57.5473308204175</v>
      </c>
      <c r="AX27" s="1103">
        <v>36.912513416981703</v>
      </c>
    </row>
    <row r="28" spans="1:50" ht="15" customHeight="1" x14ac:dyDescent="0.25">
      <c r="A28" s="212">
        <v>20</v>
      </c>
      <c r="B28" s="212">
        <v>20</v>
      </c>
      <c r="C28" s="212" t="s">
        <v>907</v>
      </c>
      <c r="D28" s="230">
        <v>2.5</v>
      </c>
      <c r="E28" s="229"/>
      <c r="F28" s="229"/>
      <c r="G28" s="229"/>
      <c r="H28" s="228"/>
      <c r="I28" s="229" t="str">
        <f t="shared" si="4"/>
        <v>2,5</v>
      </c>
      <c r="J28" s="882">
        <v>0.26</v>
      </c>
      <c r="K28" s="1423">
        <v>0.68</v>
      </c>
      <c r="L28" s="1422" t="s">
        <v>334</v>
      </c>
      <c r="M28" s="172">
        <f t="shared" si="20"/>
        <v>0.68</v>
      </c>
      <c r="N28" s="172">
        <v>0</v>
      </c>
      <c r="O28" s="880"/>
      <c r="P28" s="880">
        <f t="shared" si="0"/>
        <v>0.68</v>
      </c>
      <c r="Q28" s="172">
        <f t="shared" si="1"/>
        <v>0.42000000000000004</v>
      </c>
      <c r="R28" s="172">
        <f t="shared" si="19"/>
        <v>0.42000000000000004</v>
      </c>
      <c r="S28" s="212" t="str">
        <f t="shared" si="5"/>
        <v>открыт</v>
      </c>
      <c r="T28" s="2052" t="str">
        <f t="shared" si="6"/>
        <v>открыт</v>
      </c>
      <c r="U28" s="757">
        <f t="shared" si="2"/>
        <v>9.9047619047619051</v>
      </c>
      <c r="V28" s="2254">
        <v>0.44</v>
      </c>
      <c r="W28" s="2254" t="s">
        <v>3397</v>
      </c>
      <c r="X28" s="912"/>
      <c r="Y28" s="212">
        <v>20</v>
      </c>
      <c r="Z28" s="228">
        <v>20</v>
      </c>
      <c r="AA28" s="212" t="s">
        <v>907</v>
      </c>
      <c r="AB28" s="230">
        <f t="shared" si="7"/>
        <v>2.5</v>
      </c>
      <c r="AC28" s="229"/>
      <c r="AD28" s="229"/>
      <c r="AE28" s="229"/>
      <c r="AF28" s="228"/>
      <c r="AG28" s="212" t="str">
        <f t="shared" si="8"/>
        <v>2,5</v>
      </c>
      <c r="AH28" s="172">
        <f>'Зона БЭс'!L51</f>
        <v>3.2608695652173912E-2</v>
      </c>
      <c r="AI28" s="172">
        <f t="shared" si="9"/>
        <v>0.2926086956521739</v>
      </c>
      <c r="AJ28" s="1973">
        <f t="shared" si="10"/>
        <v>0.68</v>
      </c>
      <c r="AK28" s="212" t="str">
        <f t="shared" si="11"/>
        <v>1 сутки</v>
      </c>
      <c r="AL28" s="172">
        <f t="shared" si="12"/>
        <v>0.68</v>
      </c>
      <c r="AM28" s="1973">
        <f t="shared" si="13"/>
        <v>0</v>
      </c>
      <c r="AN28" s="880">
        <f t="shared" si="14"/>
        <v>0.68</v>
      </c>
      <c r="AO28" s="172">
        <f t="shared" si="15"/>
        <v>0.38739130434782615</v>
      </c>
      <c r="AP28" s="172">
        <f t="shared" si="16"/>
        <v>0.38739130434782615</v>
      </c>
      <c r="AQ28" s="220" t="str">
        <f t="shared" si="3"/>
        <v>открыт</v>
      </c>
      <c r="AR28" s="2052" t="str">
        <f t="shared" si="17"/>
        <v>открыт</v>
      </c>
      <c r="AS28" s="935">
        <f t="shared" si="18"/>
        <v>11.146997929606625</v>
      </c>
      <c r="AT28" s="937" t="s">
        <v>743</v>
      </c>
      <c r="AU28" s="1095">
        <v>1976</v>
      </c>
      <c r="AV28" s="1101" t="s">
        <v>3218</v>
      </c>
      <c r="AW28" s="1103">
        <v>58.393354245935797</v>
      </c>
      <c r="AX28" s="1103">
        <v>36.6002455407138</v>
      </c>
    </row>
    <row r="29" spans="1:50" ht="15" customHeight="1" x14ac:dyDescent="0.25">
      <c r="A29" s="212">
        <v>21</v>
      </c>
      <c r="B29" s="212">
        <v>21</v>
      </c>
      <c r="C29" s="212" t="s">
        <v>908</v>
      </c>
      <c r="D29" s="230">
        <v>1.6</v>
      </c>
      <c r="E29" s="229"/>
      <c r="F29" s="229"/>
      <c r="G29" s="229"/>
      <c r="H29" s="228"/>
      <c r="I29" s="229" t="str">
        <f t="shared" si="4"/>
        <v>1,6</v>
      </c>
      <c r="J29" s="882">
        <v>0.53</v>
      </c>
      <c r="K29" s="1423">
        <v>0.68</v>
      </c>
      <c r="L29" s="1422" t="s">
        <v>334</v>
      </c>
      <c r="M29" s="172">
        <f t="shared" si="20"/>
        <v>0.68</v>
      </c>
      <c r="N29" s="172">
        <v>0</v>
      </c>
      <c r="O29" s="880"/>
      <c r="P29" s="880">
        <f t="shared" si="0"/>
        <v>0.68</v>
      </c>
      <c r="Q29" s="172">
        <f t="shared" si="1"/>
        <v>0.15000000000000002</v>
      </c>
      <c r="R29" s="172">
        <f t="shared" si="19"/>
        <v>0.15000000000000002</v>
      </c>
      <c r="S29" s="212" t="str">
        <f>T29</f>
        <v>открыт</v>
      </c>
      <c r="T29" s="2052" t="str">
        <f t="shared" si="6"/>
        <v>открыт</v>
      </c>
      <c r="U29" s="757">
        <f t="shared" si="2"/>
        <v>31.547619047619044</v>
      </c>
      <c r="V29" s="2254">
        <v>0.44</v>
      </c>
      <c r="W29" s="2254" t="s">
        <v>3397</v>
      </c>
      <c r="X29" s="912"/>
      <c r="Y29" s="212">
        <v>21</v>
      </c>
      <c r="Z29" s="228">
        <v>21</v>
      </c>
      <c r="AA29" s="212" t="s">
        <v>908</v>
      </c>
      <c r="AB29" s="230">
        <f t="shared" si="7"/>
        <v>1.6</v>
      </c>
      <c r="AC29" s="229"/>
      <c r="AD29" s="229"/>
      <c r="AE29" s="229"/>
      <c r="AF29" s="228"/>
      <c r="AG29" s="212" t="str">
        <f t="shared" si="8"/>
        <v>1,6</v>
      </c>
      <c r="AH29" s="172">
        <f>'Зона БЭс'!L53</f>
        <v>0</v>
      </c>
      <c r="AI29" s="172">
        <f t="shared" si="9"/>
        <v>0.53</v>
      </c>
      <c r="AJ29" s="1973">
        <f t="shared" si="10"/>
        <v>0.68</v>
      </c>
      <c r="AK29" s="212" t="str">
        <f t="shared" si="11"/>
        <v>1 сутки</v>
      </c>
      <c r="AL29" s="172">
        <f t="shared" si="12"/>
        <v>0.68</v>
      </c>
      <c r="AM29" s="1973">
        <f t="shared" si="13"/>
        <v>0</v>
      </c>
      <c r="AN29" s="880">
        <f t="shared" si="14"/>
        <v>0.68</v>
      </c>
      <c r="AO29" s="172">
        <f t="shared" si="15"/>
        <v>0.15000000000000002</v>
      </c>
      <c r="AP29" s="172">
        <f t="shared" si="16"/>
        <v>0.15000000000000002</v>
      </c>
      <c r="AQ29" s="220" t="str">
        <f t="shared" si="3"/>
        <v>открыт</v>
      </c>
      <c r="AR29" s="2052" t="str">
        <f t="shared" si="17"/>
        <v>открыт</v>
      </c>
      <c r="AS29" s="935">
        <f t="shared" si="18"/>
        <v>31.547619047619044</v>
      </c>
      <c r="AT29" s="937" t="s">
        <v>743</v>
      </c>
      <c r="AU29" s="1095">
        <v>1976</v>
      </c>
      <c r="AV29" s="1101" t="s">
        <v>3218</v>
      </c>
      <c r="AW29" s="1103">
        <v>57.677359611616701</v>
      </c>
      <c r="AX29" s="1103">
        <v>36.803990047399999</v>
      </c>
    </row>
    <row r="30" spans="1:50" ht="15" customHeight="1" x14ac:dyDescent="0.25">
      <c r="A30" s="212">
        <v>22</v>
      </c>
      <c r="B30" s="212">
        <v>22</v>
      </c>
      <c r="C30" s="212" t="s">
        <v>909</v>
      </c>
      <c r="D30" s="230">
        <v>2.5</v>
      </c>
      <c r="E30" s="229"/>
      <c r="F30" s="229"/>
      <c r="G30" s="229"/>
      <c r="H30" s="228"/>
      <c r="I30" s="229" t="str">
        <f t="shared" si="4"/>
        <v>2,5</v>
      </c>
      <c r="J30" s="882">
        <v>0.11</v>
      </c>
      <c r="K30" s="1423">
        <v>1.27</v>
      </c>
      <c r="L30" s="1422" t="s">
        <v>334</v>
      </c>
      <c r="M30" s="172">
        <f>K30</f>
        <v>1.27</v>
      </c>
      <c r="N30" s="172">
        <v>0</v>
      </c>
      <c r="O30" s="880"/>
      <c r="P30" s="880">
        <f t="shared" si="0"/>
        <v>1.27</v>
      </c>
      <c r="Q30" s="172">
        <f t="shared" si="1"/>
        <v>1.1599999999999999</v>
      </c>
      <c r="R30" s="172">
        <f t="shared" si="19"/>
        <v>1.1599999999999999</v>
      </c>
      <c r="S30" s="212" t="str">
        <f t="shared" si="5"/>
        <v>открыт</v>
      </c>
      <c r="T30" s="2052" t="str">
        <f t="shared" si="6"/>
        <v>открыт</v>
      </c>
      <c r="U30" s="757">
        <f t="shared" si="2"/>
        <v>4.1904761904761907</v>
      </c>
      <c r="V30" s="2254">
        <v>0.44</v>
      </c>
      <c r="W30" s="2254" t="s">
        <v>3397</v>
      </c>
      <c r="X30" s="912"/>
      <c r="Y30" s="212">
        <v>22</v>
      </c>
      <c r="Z30" s="228">
        <v>22</v>
      </c>
      <c r="AA30" s="212" t="s">
        <v>909</v>
      </c>
      <c r="AB30" s="230">
        <f t="shared" si="7"/>
        <v>2.5</v>
      </c>
      <c r="AC30" s="229"/>
      <c r="AD30" s="229"/>
      <c r="AE30" s="229"/>
      <c r="AF30" s="228"/>
      <c r="AG30" s="212" t="str">
        <f t="shared" si="8"/>
        <v>2,5</v>
      </c>
      <c r="AH30" s="172">
        <f>'Зона БЭс'!L55</f>
        <v>0</v>
      </c>
      <c r="AI30" s="172">
        <f t="shared" si="9"/>
        <v>0.11</v>
      </c>
      <c r="AJ30" s="1973">
        <f t="shared" si="10"/>
        <v>1.27</v>
      </c>
      <c r="AK30" s="212" t="str">
        <f t="shared" si="11"/>
        <v>1 сутки</v>
      </c>
      <c r="AL30" s="172">
        <f t="shared" si="12"/>
        <v>1.27</v>
      </c>
      <c r="AM30" s="1973">
        <f t="shared" si="13"/>
        <v>0</v>
      </c>
      <c r="AN30" s="880">
        <f t="shared" si="14"/>
        <v>1.27</v>
      </c>
      <c r="AO30" s="172">
        <f t="shared" si="15"/>
        <v>1.1599999999999999</v>
      </c>
      <c r="AP30" s="172">
        <f t="shared" si="16"/>
        <v>1.1599999999999999</v>
      </c>
      <c r="AQ30" s="220" t="str">
        <f t="shared" si="3"/>
        <v>открыт</v>
      </c>
      <c r="AR30" s="2052" t="str">
        <f t="shared" si="17"/>
        <v>открыт</v>
      </c>
      <c r="AS30" s="935">
        <f t="shared" si="18"/>
        <v>4.1904761904761907</v>
      </c>
      <c r="AT30" s="937" t="s">
        <v>743</v>
      </c>
      <c r="AU30" s="1095">
        <v>1980</v>
      </c>
      <c r="AV30" s="1101" t="s">
        <v>3218</v>
      </c>
      <c r="AW30" s="1103">
        <v>57.4776533741978</v>
      </c>
      <c r="AX30" s="1103">
        <v>36.6106506997791</v>
      </c>
    </row>
    <row r="31" spans="1:50" ht="15" customHeight="1" x14ac:dyDescent="0.25">
      <c r="A31" s="212">
        <v>23</v>
      </c>
      <c r="B31" s="212">
        <v>23</v>
      </c>
      <c r="C31" s="212" t="s">
        <v>910</v>
      </c>
      <c r="D31" s="230">
        <v>2.5</v>
      </c>
      <c r="E31" s="229"/>
      <c r="F31" s="229"/>
      <c r="G31" s="229"/>
      <c r="H31" s="228"/>
      <c r="I31" s="229" t="str">
        <f t="shared" si="4"/>
        <v>2,5</v>
      </c>
      <c r="J31" s="882">
        <v>0.2</v>
      </c>
      <c r="K31" s="1423">
        <v>1.37</v>
      </c>
      <c r="L31" s="1422" t="s">
        <v>334</v>
      </c>
      <c r="M31" s="172">
        <f t="shared" si="20"/>
        <v>1.37</v>
      </c>
      <c r="N31" s="172">
        <v>0</v>
      </c>
      <c r="O31" s="880"/>
      <c r="P31" s="880">
        <f t="shared" si="0"/>
        <v>1.37</v>
      </c>
      <c r="Q31" s="172">
        <f t="shared" si="1"/>
        <v>1.1700000000000002</v>
      </c>
      <c r="R31" s="172">
        <f t="shared" si="19"/>
        <v>1.1700000000000002</v>
      </c>
      <c r="S31" s="212" t="str">
        <f t="shared" si="5"/>
        <v>открыт</v>
      </c>
      <c r="T31" s="2052" t="str">
        <f t="shared" si="6"/>
        <v>открыт</v>
      </c>
      <c r="U31" s="757">
        <f t="shared" si="2"/>
        <v>7.6190476190476186</v>
      </c>
      <c r="V31" s="2254">
        <v>0.44</v>
      </c>
      <c r="W31" s="2254" t="s">
        <v>3397</v>
      </c>
      <c r="X31" s="912"/>
      <c r="Y31" s="212">
        <v>23</v>
      </c>
      <c r="Z31" s="228">
        <v>23</v>
      </c>
      <c r="AA31" s="212" t="s">
        <v>910</v>
      </c>
      <c r="AB31" s="230">
        <f t="shared" si="7"/>
        <v>2.5</v>
      </c>
      <c r="AC31" s="229"/>
      <c r="AD31" s="229"/>
      <c r="AE31" s="229"/>
      <c r="AF31" s="228"/>
      <c r="AG31" s="212" t="str">
        <f t="shared" si="8"/>
        <v>2,5</v>
      </c>
      <c r="AH31" s="172">
        <f>'Зона БЭс'!L57</f>
        <v>0</v>
      </c>
      <c r="AI31" s="172">
        <f t="shared" si="9"/>
        <v>0.2</v>
      </c>
      <c r="AJ31" s="1973">
        <f t="shared" si="10"/>
        <v>1.37</v>
      </c>
      <c r="AK31" s="212" t="str">
        <f t="shared" si="11"/>
        <v>1 сутки</v>
      </c>
      <c r="AL31" s="172">
        <f t="shared" si="12"/>
        <v>1.37</v>
      </c>
      <c r="AM31" s="1973">
        <f t="shared" si="13"/>
        <v>0</v>
      </c>
      <c r="AN31" s="880">
        <f t="shared" si="14"/>
        <v>1.37</v>
      </c>
      <c r="AO31" s="172">
        <f t="shared" si="15"/>
        <v>1.1700000000000002</v>
      </c>
      <c r="AP31" s="172">
        <f t="shared" si="16"/>
        <v>1.1700000000000002</v>
      </c>
      <c r="AQ31" s="220" t="str">
        <f t="shared" si="3"/>
        <v>открыт</v>
      </c>
      <c r="AR31" s="2052" t="str">
        <f t="shared" si="17"/>
        <v>открыт</v>
      </c>
      <c r="AS31" s="935">
        <f t="shared" si="18"/>
        <v>7.6190476190476186</v>
      </c>
      <c r="AT31" s="937" t="s">
        <v>743</v>
      </c>
      <c r="AU31" s="1095">
        <v>1979</v>
      </c>
      <c r="AV31" s="1101" t="s">
        <v>3218</v>
      </c>
      <c r="AW31" s="1103">
        <v>57.538188854814599</v>
      </c>
      <c r="AX31" s="1103">
        <v>35.975925033216697</v>
      </c>
    </row>
    <row r="32" spans="1:50" ht="15" customHeight="1" x14ac:dyDescent="0.25">
      <c r="A32" s="212">
        <v>24</v>
      </c>
      <c r="B32" s="212">
        <v>24</v>
      </c>
      <c r="C32" s="212" t="s">
        <v>911</v>
      </c>
      <c r="D32" s="230">
        <v>4</v>
      </c>
      <c r="E32" s="229"/>
      <c r="F32" s="229"/>
      <c r="G32" s="229"/>
      <c r="H32" s="228"/>
      <c r="I32" s="229" t="str">
        <f t="shared" si="4"/>
        <v>4</v>
      </c>
      <c r="J32" s="882">
        <v>0.4</v>
      </c>
      <c r="K32" s="1423">
        <v>1.76</v>
      </c>
      <c r="L32" s="1422" t="s">
        <v>334</v>
      </c>
      <c r="M32" s="172">
        <f t="shared" si="20"/>
        <v>1.76</v>
      </c>
      <c r="N32" s="172">
        <v>0</v>
      </c>
      <c r="O32" s="880"/>
      <c r="P32" s="880">
        <f t="shared" si="0"/>
        <v>1.76</v>
      </c>
      <c r="Q32" s="172">
        <f t="shared" si="1"/>
        <v>1.3599999999999999</v>
      </c>
      <c r="R32" s="172">
        <f t="shared" si="19"/>
        <v>1.3599999999999999</v>
      </c>
      <c r="S32" s="212" t="str">
        <f t="shared" si="5"/>
        <v>открыт</v>
      </c>
      <c r="T32" s="2052" t="str">
        <f t="shared" si="6"/>
        <v>открыт</v>
      </c>
      <c r="U32" s="757">
        <f t="shared" si="2"/>
        <v>9.5238095238095237</v>
      </c>
      <c r="V32" s="2254">
        <v>0.44</v>
      </c>
      <c r="W32" s="2254" t="s">
        <v>3397</v>
      </c>
      <c r="X32" s="912"/>
      <c r="Y32" s="212">
        <v>24</v>
      </c>
      <c r="Z32" s="228">
        <v>24</v>
      </c>
      <c r="AA32" s="212" t="s">
        <v>911</v>
      </c>
      <c r="AB32" s="230">
        <f t="shared" si="7"/>
        <v>4</v>
      </c>
      <c r="AC32" s="229"/>
      <c r="AD32" s="229"/>
      <c r="AE32" s="229"/>
      <c r="AF32" s="228"/>
      <c r="AG32" s="212" t="str">
        <f t="shared" si="8"/>
        <v>4</v>
      </c>
      <c r="AH32" s="172">
        <f>'Зона БЭс'!L60</f>
        <v>0.43478260869565216</v>
      </c>
      <c r="AI32" s="172">
        <f t="shared" si="9"/>
        <v>0.83478260869565224</v>
      </c>
      <c r="AJ32" s="1973">
        <f t="shared" si="10"/>
        <v>1.76</v>
      </c>
      <c r="AK32" s="212" t="str">
        <f t="shared" si="11"/>
        <v>1 сутки</v>
      </c>
      <c r="AL32" s="172">
        <f t="shared" si="12"/>
        <v>1.76</v>
      </c>
      <c r="AM32" s="1973">
        <f t="shared" si="13"/>
        <v>0</v>
      </c>
      <c r="AN32" s="880">
        <f t="shared" si="14"/>
        <v>1.76</v>
      </c>
      <c r="AO32" s="172">
        <f t="shared" si="15"/>
        <v>0.92521739130434777</v>
      </c>
      <c r="AP32" s="172">
        <f t="shared" si="16"/>
        <v>0.92521739130434777</v>
      </c>
      <c r="AQ32" s="220" t="str">
        <f t="shared" si="3"/>
        <v>открыт</v>
      </c>
      <c r="AR32" s="2052" t="str">
        <f t="shared" si="17"/>
        <v>открыт</v>
      </c>
      <c r="AS32" s="935">
        <f t="shared" si="18"/>
        <v>19.875776397515526</v>
      </c>
      <c r="AT32" s="937" t="s">
        <v>743</v>
      </c>
      <c r="AU32" s="1095">
        <v>1994</v>
      </c>
      <c r="AV32" s="1101" t="s">
        <v>3218</v>
      </c>
      <c r="AW32" s="1103">
        <v>57.812227650658102</v>
      </c>
      <c r="AX32" s="1103">
        <v>36.689438107678001</v>
      </c>
    </row>
    <row r="33" spans="1:50" ht="15" customHeight="1" x14ac:dyDescent="0.25">
      <c r="A33" s="212">
        <v>25</v>
      </c>
      <c r="B33" s="212">
        <v>25</v>
      </c>
      <c r="C33" s="212" t="s">
        <v>912</v>
      </c>
      <c r="D33" s="230">
        <v>1.8</v>
      </c>
      <c r="E33" s="229"/>
      <c r="F33" s="229"/>
      <c r="G33" s="229"/>
      <c r="H33" s="228"/>
      <c r="I33" s="229" t="str">
        <f t="shared" si="4"/>
        <v>1,8</v>
      </c>
      <c r="J33" s="882">
        <v>0.76</v>
      </c>
      <c r="K33" s="1423">
        <v>0.73</v>
      </c>
      <c r="L33" s="1422" t="s">
        <v>334</v>
      </c>
      <c r="M33" s="172">
        <f t="shared" si="20"/>
        <v>0.73</v>
      </c>
      <c r="N33" s="172">
        <v>0</v>
      </c>
      <c r="O33" s="880"/>
      <c r="P33" s="880">
        <f t="shared" si="0"/>
        <v>0.73</v>
      </c>
      <c r="Q33" s="172">
        <f t="shared" si="1"/>
        <v>-3.0000000000000027E-2</v>
      </c>
      <c r="R33" s="172">
        <f t="shared" si="19"/>
        <v>-3.0000000000000027E-2</v>
      </c>
      <c r="S33" s="212" t="str">
        <f t="shared" si="5"/>
        <v>закрыт</v>
      </c>
      <c r="T33" s="2052" t="str">
        <f t="shared" si="6"/>
        <v>закрыт</v>
      </c>
      <c r="U33" s="757">
        <f t="shared" si="2"/>
        <v>40.211640211640209</v>
      </c>
      <c r="V33" s="2254">
        <v>0.5</v>
      </c>
      <c r="W33" s="2254" t="s">
        <v>3397</v>
      </c>
      <c r="X33" s="912"/>
      <c r="Y33" s="212">
        <v>25</v>
      </c>
      <c r="Z33" s="228">
        <v>25</v>
      </c>
      <c r="AA33" s="212" t="s">
        <v>912</v>
      </c>
      <c r="AB33" s="230">
        <f t="shared" si="7"/>
        <v>1.8</v>
      </c>
      <c r="AC33" s="229"/>
      <c r="AD33" s="229"/>
      <c r="AE33" s="229"/>
      <c r="AF33" s="228"/>
      <c r="AG33" s="212" t="str">
        <f t="shared" si="8"/>
        <v>1,8</v>
      </c>
      <c r="AH33" s="172">
        <f>'Зона БЭс'!L67</f>
        <v>6.1141304347826081E-2</v>
      </c>
      <c r="AI33" s="172">
        <f t="shared" si="9"/>
        <v>0.82114130434782606</v>
      </c>
      <c r="AJ33" s="1973">
        <f t="shared" si="10"/>
        <v>0.73</v>
      </c>
      <c r="AK33" s="212" t="str">
        <f t="shared" si="11"/>
        <v>1 сутки</v>
      </c>
      <c r="AL33" s="172">
        <f t="shared" si="12"/>
        <v>0.73</v>
      </c>
      <c r="AM33" s="1973">
        <f t="shared" si="13"/>
        <v>0</v>
      </c>
      <c r="AN33" s="880">
        <f t="shared" si="14"/>
        <v>0.73</v>
      </c>
      <c r="AO33" s="172">
        <f t="shared" si="15"/>
        <v>-9.114130434782608E-2</v>
      </c>
      <c r="AP33" s="172">
        <f t="shared" si="16"/>
        <v>-9.114130434782608E-2</v>
      </c>
      <c r="AQ33" s="220" t="str">
        <f t="shared" si="3"/>
        <v>закрыт</v>
      </c>
      <c r="AR33" s="2052" t="str">
        <f t="shared" si="17"/>
        <v>закрыт</v>
      </c>
      <c r="AS33" s="935">
        <f t="shared" si="18"/>
        <v>43.446629859673337</v>
      </c>
      <c r="AT33" s="937" t="s">
        <v>743</v>
      </c>
      <c r="AU33" s="1095">
        <v>1981</v>
      </c>
      <c r="AV33" s="1101" t="s">
        <v>3218</v>
      </c>
      <c r="AW33" s="1103">
        <v>58.464285994179797</v>
      </c>
      <c r="AX33" s="1103">
        <v>37.371467100750998</v>
      </c>
    </row>
    <row r="34" spans="1:50" ht="15" customHeight="1" x14ac:dyDescent="0.25">
      <c r="A34" s="212">
        <v>26</v>
      </c>
      <c r="B34" s="212">
        <v>26</v>
      </c>
      <c r="C34" s="212" t="s">
        <v>913</v>
      </c>
      <c r="D34" s="1171">
        <v>2.5</v>
      </c>
      <c r="E34" s="229"/>
      <c r="F34" s="229"/>
      <c r="G34" s="229"/>
      <c r="H34" s="228"/>
      <c r="I34" s="229" t="str">
        <f t="shared" si="4"/>
        <v>2,5</v>
      </c>
      <c r="J34" s="882">
        <v>0.25</v>
      </c>
      <c r="K34" s="1423">
        <v>0.75</v>
      </c>
      <c r="L34" s="1422" t="s">
        <v>334</v>
      </c>
      <c r="M34" s="172">
        <f t="shared" si="20"/>
        <v>0.75</v>
      </c>
      <c r="N34" s="172">
        <v>0</v>
      </c>
      <c r="O34" s="880"/>
      <c r="P34" s="880">
        <f t="shared" si="0"/>
        <v>0.75</v>
      </c>
      <c r="Q34" s="172">
        <f t="shared" si="1"/>
        <v>0.5</v>
      </c>
      <c r="R34" s="172">
        <f t="shared" si="19"/>
        <v>0.5</v>
      </c>
      <c r="S34" s="212" t="str">
        <f t="shared" si="5"/>
        <v>открыт</v>
      </c>
      <c r="T34" s="2052" t="str">
        <f t="shared" si="6"/>
        <v>открыт</v>
      </c>
      <c r="U34" s="757">
        <f t="shared" si="2"/>
        <v>9.5238095238095237</v>
      </c>
      <c r="V34" s="2254">
        <v>0.75</v>
      </c>
      <c r="W34" s="2254" t="s">
        <v>3397</v>
      </c>
      <c r="X34" s="912"/>
      <c r="Y34" s="212">
        <v>26</v>
      </c>
      <c r="Z34" s="228">
        <v>26</v>
      </c>
      <c r="AA34" s="212" t="s">
        <v>913</v>
      </c>
      <c r="AB34" s="1171">
        <f t="shared" si="7"/>
        <v>2.5</v>
      </c>
      <c r="AC34" s="229"/>
      <c r="AD34" s="229"/>
      <c r="AE34" s="229"/>
      <c r="AF34" s="228"/>
      <c r="AG34" s="212" t="str">
        <f t="shared" si="8"/>
        <v>2,5</v>
      </c>
      <c r="AH34" s="172">
        <f>'Зона БЭс'!L69</f>
        <v>0</v>
      </c>
      <c r="AI34" s="172">
        <f t="shared" si="9"/>
        <v>0.25</v>
      </c>
      <c r="AJ34" s="1973">
        <f t="shared" si="10"/>
        <v>0.75</v>
      </c>
      <c r="AK34" s="212" t="str">
        <f t="shared" si="11"/>
        <v>1 сутки</v>
      </c>
      <c r="AL34" s="172">
        <f t="shared" si="12"/>
        <v>0.75</v>
      </c>
      <c r="AM34" s="1973">
        <f t="shared" si="13"/>
        <v>0</v>
      </c>
      <c r="AN34" s="880">
        <f t="shared" si="14"/>
        <v>0.75</v>
      </c>
      <c r="AO34" s="172">
        <f t="shared" si="15"/>
        <v>0.5</v>
      </c>
      <c r="AP34" s="172">
        <f t="shared" si="16"/>
        <v>0.5</v>
      </c>
      <c r="AQ34" s="220" t="str">
        <f t="shared" si="3"/>
        <v>открыт</v>
      </c>
      <c r="AR34" s="2052" t="str">
        <f t="shared" si="17"/>
        <v>открыт</v>
      </c>
      <c r="AS34" s="935">
        <f t="shared" si="18"/>
        <v>9.5238095238095237</v>
      </c>
      <c r="AT34" s="937" t="s">
        <v>743</v>
      </c>
      <c r="AU34" s="1095">
        <v>1979</v>
      </c>
      <c r="AV34" s="1101">
        <v>2012</v>
      </c>
      <c r="AW34" s="1103">
        <v>58.205023586651599</v>
      </c>
      <c r="AX34" s="1103">
        <v>36.486957046222798</v>
      </c>
    </row>
    <row r="35" spans="1:50" ht="15" customHeight="1" x14ac:dyDescent="0.25">
      <c r="A35" s="212">
        <v>27</v>
      </c>
      <c r="B35" s="212">
        <v>27</v>
      </c>
      <c r="C35" s="212" t="s">
        <v>914</v>
      </c>
      <c r="D35" s="230">
        <v>6.3</v>
      </c>
      <c r="E35" s="229"/>
      <c r="F35" s="229"/>
      <c r="G35" s="229"/>
      <c r="H35" s="228"/>
      <c r="I35" s="229" t="str">
        <f t="shared" si="4"/>
        <v>6,3</v>
      </c>
      <c r="J35" s="882">
        <v>0.71</v>
      </c>
      <c r="K35" s="1423">
        <v>1.57</v>
      </c>
      <c r="L35" s="1422" t="s">
        <v>334</v>
      </c>
      <c r="M35" s="172">
        <f t="shared" si="20"/>
        <v>1.57</v>
      </c>
      <c r="N35" s="172">
        <v>0</v>
      </c>
      <c r="O35" s="880"/>
      <c r="P35" s="880">
        <f t="shared" si="0"/>
        <v>1.57</v>
      </c>
      <c r="Q35" s="172">
        <f t="shared" si="1"/>
        <v>0.8600000000000001</v>
      </c>
      <c r="R35" s="172">
        <f t="shared" si="19"/>
        <v>0.8600000000000001</v>
      </c>
      <c r="S35" s="212" t="str">
        <f t="shared" si="5"/>
        <v>открыт</v>
      </c>
      <c r="T35" s="2052" t="str">
        <f t="shared" si="6"/>
        <v>открыт</v>
      </c>
      <c r="U35" s="757">
        <f t="shared" si="2"/>
        <v>10.733182161753589</v>
      </c>
      <c r="V35" s="2254">
        <v>0.44</v>
      </c>
      <c r="W35" s="2254" t="s">
        <v>3397</v>
      </c>
      <c r="X35" s="912"/>
      <c r="Y35" s="212">
        <v>27</v>
      </c>
      <c r="Z35" s="228">
        <v>27</v>
      </c>
      <c r="AA35" s="212" t="s">
        <v>914</v>
      </c>
      <c r="AB35" s="230">
        <f t="shared" si="7"/>
        <v>6.3</v>
      </c>
      <c r="AC35" s="229"/>
      <c r="AD35" s="229"/>
      <c r="AE35" s="229"/>
      <c r="AF35" s="228"/>
      <c r="AG35" s="212" t="str">
        <f t="shared" si="8"/>
        <v>6,3</v>
      </c>
      <c r="AH35" s="172">
        <f>'Зона БЭс'!L71</f>
        <v>0</v>
      </c>
      <c r="AI35" s="172">
        <f t="shared" si="9"/>
        <v>0.71</v>
      </c>
      <c r="AJ35" s="1973">
        <f t="shared" si="10"/>
        <v>1.57</v>
      </c>
      <c r="AK35" s="212" t="str">
        <f t="shared" si="11"/>
        <v>1 сутки</v>
      </c>
      <c r="AL35" s="172">
        <f t="shared" si="12"/>
        <v>1.57</v>
      </c>
      <c r="AM35" s="1973">
        <f t="shared" si="13"/>
        <v>0</v>
      </c>
      <c r="AN35" s="880">
        <f t="shared" si="14"/>
        <v>1.57</v>
      </c>
      <c r="AO35" s="172">
        <f t="shared" si="15"/>
        <v>0.8600000000000001</v>
      </c>
      <c r="AP35" s="172">
        <f t="shared" si="16"/>
        <v>0.8600000000000001</v>
      </c>
      <c r="AQ35" s="220" t="str">
        <f t="shared" si="3"/>
        <v>открыт</v>
      </c>
      <c r="AR35" s="2052" t="str">
        <f t="shared" si="17"/>
        <v>открыт</v>
      </c>
      <c r="AS35" s="935">
        <f t="shared" si="18"/>
        <v>10.733182161753589</v>
      </c>
      <c r="AT35" s="937" t="s">
        <v>743</v>
      </c>
      <c r="AU35" s="1095">
        <v>1982</v>
      </c>
      <c r="AV35" s="1101" t="s">
        <v>3218</v>
      </c>
      <c r="AW35" s="1103">
        <v>57.782564746760997</v>
      </c>
      <c r="AX35" s="1103">
        <v>36.630738308910203</v>
      </c>
    </row>
    <row r="36" spans="1:50" ht="15" customHeight="1" x14ac:dyDescent="0.25">
      <c r="A36" s="212">
        <v>28</v>
      </c>
      <c r="B36" s="212">
        <v>28</v>
      </c>
      <c r="C36" s="212" t="s">
        <v>915</v>
      </c>
      <c r="D36" s="230">
        <v>2.5</v>
      </c>
      <c r="E36" s="229"/>
      <c r="F36" s="229"/>
      <c r="G36" s="229"/>
      <c r="H36" s="228"/>
      <c r="I36" s="229" t="str">
        <f t="shared" si="4"/>
        <v>2,5</v>
      </c>
      <c r="J36" s="882">
        <v>0.13</v>
      </c>
      <c r="K36" s="1423">
        <v>0.96</v>
      </c>
      <c r="L36" s="1422" t="s">
        <v>334</v>
      </c>
      <c r="M36" s="172">
        <f t="shared" si="20"/>
        <v>0.96</v>
      </c>
      <c r="N36" s="172">
        <v>0</v>
      </c>
      <c r="O36" s="880"/>
      <c r="P36" s="880">
        <f t="shared" si="0"/>
        <v>0.96</v>
      </c>
      <c r="Q36" s="172">
        <f t="shared" si="1"/>
        <v>0.83</v>
      </c>
      <c r="R36" s="172">
        <f t="shared" si="19"/>
        <v>0.83</v>
      </c>
      <c r="S36" s="212" t="str">
        <f t="shared" si="5"/>
        <v>открыт</v>
      </c>
      <c r="T36" s="2052" t="str">
        <f t="shared" si="6"/>
        <v>открыт</v>
      </c>
      <c r="U36" s="757">
        <f t="shared" si="2"/>
        <v>4.9523809523809526</v>
      </c>
      <c r="V36" s="2254">
        <v>0.44</v>
      </c>
      <c r="W36" s="2254" t="s">
        <v>3397</v>
      </c>
      <c r="X36" s="912"/>
      <c r="Y36" s="212">
        <v>28</v>
      </c>
      <c r="Z36" s="228">
        <v>28</v>
      </c>
      <c r="AA36" s="212" t="s">
        <v>915</v>
      </c>
      <c r="AB36" s="230">
        <f t="shared" si="7"/>
        <v>2.5</v>
      </c>
      <c r="AC36" s="229"/>
      <c r="AD36" s="229"/>
      <c r="AE36" s="229"/>
      <c r="AF36" s="228"/>
      <c r="AG36" s="212" t="str">
        <f t="shared" si="8"/>
        <v>2,5</v>
      </c>
      <c r="AH36" s="172">
        <f>'Зона БЭс'!L73</f>
        <v>0</v>
      </c>
      <c r="AI36" s="172">
        <f t="shared" si="9"/>
        <v>0.13</v>
      </c>
      <c r="AJ36" s="1973">
        <f t="shared" si="10"/>
        <v>0.96</v>
      </c>
      <c r="AK36" s="212" t="str">
        <f t="shared" si="11"/>
        <v>1 сутки</v>
      </c>
      <c r="AL36" s="172">
        <f t="shared" si="12"/>
        <v>0.96</v>
      </c>
      <c r="AM36" s="1973">
        <f t="shared" si="13"/>
        <v>0</v>
      </c>
      <c r="AN36" s="880">
        <f t="shared" si="14"/>
        <v>0.96</v>
      </c>
      <c r="AO36" s="172">
        <f t="shared" si="15"/>
        <v>0.83</v>
      </c>
      <c r="AP36" s="172">
        <f t="shared" si="16"/>
        <v>0.83</v>
      </c>
      <c r="AQ36" s="220" t="str">
        <f t="shared" si="3"/>
        <v>открыт</v>
      </c>
      <c r="AR36" s="2052" t="str">
        <f t="shared" si="17"/>
        <v>открыт</v>
      </c>
      <c r="AS36" s="935">
        <f t="shared" si="18"/>
        <v>4.9523809523809526</v>
      </c>
      <c r="AT36" s="937" t="s">
        <v>743</v>
      </c>
      <c r="AU36" s="1095">
        <v>1983</v>
      </c>
      <c r="AV36" s="1101" t="s">
        <v>3218</v>
      </c>
      <c r="AW36" s="1103">
        <v>57.708587303994101</v>
      </c>
      <c r="AX36" s="1103">
        <v>36.505252512965001</v>
      </c>
    </row>
    <row r="37" spans="1:50" ht="15" customHeight="1" x14ac:dyDescent="0.25">
      <c r="A37" s="212">
        <v>29</v>
      </c>
      <c r="B37" s="212">
        <v>29</v>
      </c>
      <c r="C37" s="212" t="s">
        <v>916</v>
      </c>
      <c r="D37" s="230">
        <v>2.5</v>
      </c>
      <c r="E37" s="229"/>
      <c r="F37" s="229"/>
      <c r="G37" s="229"/>
      <c r="H37" s="228"/>
      <c r="I37" s="229" t="str">
        <f t="shared" si="4"/>
        <v>2,5</v>
      </c>
      <c r="J37" s="882">
        <v>0.52</v>
      </c>
      <c r="K37" s="1423">
        <v>0.88</v>
      </c>
      <c r="L37" s="1422" t="s">
        <v>334</v>
      </c>
      <c r="M37" s="172">
        <f t="shared" si="20"/>
        <v>0.88</v>
      </c>
      <c r="N37" s="172">
        <v>0</v>
      </c>
      <c r="O37" s="880"/>
      <c r="P37" s="880">
        <f t="shared" si="0"/>
        <v>0.88</v>
      </c>
      <c r="Q37" s="172">
        <f t="shared" si="1"/>
        <v>0.36</v>
      </c>
      <c r="R37" s="172">
        <f t="shared" si="19"/>
        <v>0.36</v>
      </c>
      <c r="S37" s="212" t="str">
        <f t="shared" si="5"/>
        <v>открыт</v>
      </c>
      <c r="T37" s="2052" t="str">
        <f t="shared" si="6"/>
        <v>открыт</v>
      </c>
      <c r="U37" s="757">
        <f t="shared" si="2"/>
        <v>19.80952380952381</v>
      </c>
      <c r="V37" s="2254"/>
      <c r="W37" s="2254" t="s">
        <v>3032</v>
      </c>
      <c r="X37" s="912"/>
      <c r="Y37" s="212">
        <v>29</v>
      </c>
      <c r="Z37" s="228">
        <v>29</v>
      </c>
      <c r="AA37" s="212" t="s">
        <v>916</v>
      </c>
      <c r="AB37" s="230">
        <f t="shared" si="7"/>
        <v>2.5</v>
      </c>
      <c r="AC37" s="229"/>
      <c r="AD37" s="229"/>
      <c r="AE37" s="229"/>
      <c r="AF37" s="228"/>
      <c r="AG37" s="212" t="str">
        <f t="shared" si="8"/>
        <v>2,5</v>
      </c>
      <c r="AH37" s="172">
        <f>'Зона БЭс'!L76</f>
        <v>0</v>
      </c>
      <c r="AI37" s="172">
        <f t="shared" si="9"/>
        <v>0.52</v>
      </c>
      <c r="AJ37" s="1973">
        <f t="shared" si="10"/>
        <v>0.88</v>
      </c>
      <c r="AK37" s="212" t="str">
        <f t="shared" si="11"/>
        <v>1 сутки</v>
      </c>
      <c r="AL37" s="172">
        <f t="shared" si="12"/>
        <v>0.88</v>
      </c>
      <c r="AM37" s="1973">
        <f t="shared" si="13"/>
        <v>0</v>
      </c>
      <c r="AN37" s="880">
        <f t="shared" si="14"/>
        <v>0.88</v>
      </c>
      <c r="AO37" s="172">
        <f t="shared" si="15"/>
        <v>0.36</v>
      </c>
      <c r="AP37" s="172">
        <f t="shared" si="16"/>
        <v>0.36</v>
      </c>
      <c r="AQ37" s="220" t="str">
        <f t="shared" si="3"/>
        <v>открыт</v>
      </c>
      <c r="AR37" s="2052" t="str">
        <f t="shared" si="17"/>
        <v>открыт</v>
      </c>
      <c r="AS37" s="935">
        <f t="shared" si="18"/>
        <v>19.80952380952381</v>
      </c>
      <c r="AT37" s="937" t="s">
        <v>743</v>
      </c>
      <c r="AU37" s="1095">
        <v>1978</v>
      </c>
      <c r="AV37" s="1101" t="s">
        <v>3218</v>
      </c>
      <c r="AW37" s="1103">
        <v>57.830694932763102</v>
      </c>
      <c r="AX37" s="1103">
        <v>35.631129064387302</v>
      </c>
    </row>
    <row r="38" spans="1:50" ht="15" customHeight="1" x14ac:dyDescent="0.25">
      <c r="A38" s="212">
        <v>30</v>
      </c>
      <c r="B38" s="212">
        <v>30</v>
      </c>
      <c r="C38" s="212" t="s">
        <v>917</v>
      </c>
      <c r="D38" s="230">
        <v>16</v>
      </c>
      <c r="E38" s="229"/>
      <c r="F38" s="229"/>
      <c r="G38" s="229"/>
      <c r="H38" s="228"/>
      <c r="I38" s="229" t="str">
        <f t="shared" si="4"/>
        <v>16</v>
      </c>
      <c r="J38" s="882">
        <v>0.72</v>
      </c>
      <c r="K38" s="1423">
        <v>2.92</v>
      </c>
      <c r="L38" s="1422" t="s">
        <v>334</v>
      </c>
      <c r="M38" s="172">
        <f t="shared" si="20"/>
        <v>2.92</v>
      </c>
      <c r="N38" s="172">
        <v>0</v>
      </c>
      <c r="O38" s="880"/>
      <c r="P38" s="880">
        <f t="shared" si="0"/>
        <v>2.92</v>
      </c>
      <c r="Q38" s="172">
        <f t="shared" si="1"/>
        <v>2.2000000000000002</v>
      </c>
      <c r="R38" s="172">
        <f t="shared" si="19"/>
        <v>2.2000000000000002</v>
      </c>
      <c r="S38" s="212" t="str">
        <f t="shared" si="5"/>
        <v>открыт</v>
      </c>
      <c r="T38" s="2052" t="str">
        <f t="shared" si="6"/>
        <v>открыт</v>
      </c>
      <c r="U38" s="757">
        <f t="shared" si="2"/>
        <v>4.2857142857142856</v>
      </c>
      <c r="V38" s="2254">
        <v>0.44</v>
      </c>
      <c r="W38" s="2254" t="s">
        <v>3397</v>
      </c>
      <c r="X38" s="912"/>
      <c r="Y38" s="212">
        <v>30</v>
      </c>
      <c r="Z38" s="228">
        <v>30</v>
      </c>
      <c r="AA38" s="212" t="s">
        <v>917</v>
      </c>
      <c r="AB38" s="230">
        <f t="shared" si="7"/>
        <v>16</v>
      </c>
      <c r="AC38" s="229"/>
      <c r="AD38" s="229"/>
      <c r="AE38" s="229"/>
      <c r="AF38" s="228"/>
      <c r="AG38" s="212" t="str">
        <f t="shared" si="8"/>
        <v>16</v>
      </c>
      <c r="AH38" s="172">
        <f>'Зона БЭс'!L81</f>
        <v>6.9293478260869568E-2</v>
      </c>
      <c r="AI38" s="172">
        <f t="shared" si="9"/>
        <v>0.7892934782608696</v>
      </c>
      <c r="AJ38" s="1973">
        <f t="shared" si="10"/>
        <v>2.92</v>
      </c>
      <c r="AK38" s="212" t="str">
        <f t="shared" si="11"/>
        <v>1 сутки</v>
      </c>
      <c r="AL38" s="172">
        <f t="shared" si="12"/>
        <v>2.92</v>
      </c>
      <c r="AM38" s="1973">
        <f t="shared" si="13"/>
        <v>0</v>
      </c>
      <c r="AN38" s="880">
        <f t="shared" si="14"/>
        <v>2.92</v>
      </c>
      <c r="AO38" s="172">
        <f t="shared" si="15"/>
        <v>2.1307065217391301</v>
      </c>
      <c r="AP38" s="172">
        <f t="shared" si="16"/>
        <v>2.1307065217391301</v>
      </c>
      <c r="AQ38" s="220" t="str">
        <f t="shared" si="3"/>
        <v>открыт</v>
      </c>
      <c r="AR38" s="2052" t="str">
        <f t="shared" si="17"/>
        <v>открыт</v>
      </c>
      <c r="AS38" s="935">
        <f t="shared" si="18"/>
        <v>4.6981754658385091</v>
      </c>
      <c r="AT38" s="937" t="s">
        <v>743</v>
      </c>
      <c r="AU38" s="1095">
        <v>1998</v>
      </c>
      <c r="AV38" s="1101" t="s">
        <v>3218</v>
      </c>
      <c r="AW38" s="1103">
        <v>57.776523504667999</v>
      </c>
      <c r="AX38" s="1103">
        <v>36.718058575477002</v>
      </c>
    </row>
    <row r="39" spans="1:50" ht="15" customHeight="1" x14ac:dyDescent="0.25">
      <c r="A39" s="212">
        <v>31</v>
      </c>
      <c r="B39" s="212">
        <v>31</v>
      </c>
      <c r="C39" s="212" t="s">
        <v>918</v>
      </c>
      <c r="D39" s="230">
        <v>10</v>
      </c>
      <c r="E39" s="229"/>
      <c r="F39" s="229"/>
      <c r="G39" s="229"/>
      <c r="H39" s="228"/>
      <c r="I39" s="229" t="str">
        <f t="shared" si="4"/>
        <v>10</v>
      </c>
      <c r="J39" s="882">
        <v>4.92</v>
      </c>
      <c r="K39" s="1423">
        <v>5</v>
      </c>
      <c r="L39" s="1422" t="s">
        <v>334</v>
      </c>
      <c r="M39" s="172">
        <f t="shared" si="20"/>
        <v>5</v>
      </c>
      <c r="N39" s="172">
        <v>0</v>
      </c>
      <c r="O39" s="880"/>
      <c r="P39" s="880">
        <f t="shared" si="0"/>
        <v>5</v>
      </c>
      <c r="Q39" s="172">
        <f t="shared" si="1"/>
        <v>8.0000000000000071E-2</v>
      </c>
      <c r="R39" s="172">
        <f t="shared" si="19"/>
        <v>8.0000000000000071E-2</v>
      </c>
      <c r="S39" s="212" t="str">
        <f t="shared" si="5"/>
        <v>открыт</v>
      </c>
      <c r="T39" s="2052" t="str">
        <f t="shared" si="6"/>
        <v>открыт</v>
      </c>
      <c r="U39" s="757">
        <f t="shared" si="2"/>
        <v>46.857142857142854</v>
      </c>
      <c r="V39" s="2254">
        <v>0.44</v>
      </c>
      <c r="W39" s="2254" t="s">
        <v>3397</v>
      </c>
      <c r="X39" s="912"/>
      <c r="Y39" s="212">
        <v>31</v>
      </c>
      <c r="Z39" s="228">
        <v>31</v>
      </c>
      <c r="AA39" s="212" t="s">
        <v>918</v>
      </c>
      <c r="AB39" s="230">
        <f t="shared" si="7"/>
        <v>10</v>
      </c>
      <c r="AC39" s="229"/>
      <c r="AD39" s="229"/>
      <c r="AE39" s="229"/>
      <c r="AF39" s="228"/>
      <c r="AG39" s="212" t="str">
        <f t="shared" si="8"/>
        <v>10</v>
      </c>
      <c r="AH39" s="172">
        <f>SUM(AH18+AH10+AH58+'Зона БЭс'!L83)</f>
        <v>0</v>
      </c>
      <c r="AI39" s="172">
        <f t="shared" si="9"/>
        <v>4.92</v>
      </c>
      <c r="AJ39" s="1973">
        <f t="shared" si="10"/>
        <v>5</v>
      </c>
      <c r="AK39" s="212" t="str">
        <f t="shared" si="11"/>
        <v>1 сутки</v>
      </c>
      <c r="AL39" s="172">
        <f t="shared" si="12"/>
        <v>5</v>
      </c>
      <c r="AM39" s="1973">
        <f t="shared" si="13"/>
        <v>0</v>
      </c>
      <c r="AN39" s="880">
        <f t="shared" si="14"/>
        <v>5</v>
      </c>
      <c r="AO39" s="172">
        <f t="shared" si="15"/>
        <v>8.0000000000000071E-2</v>
      </c>
      <c r="AP39" s="172">
        <f t="shared" si="16"/>
        <v>8.0000000000000071E-2</v>
      </c>
      <c r="AQ39" s="220" t="str">
        <f t="shared" si="3"/>
        <v>открыт</v>
      </c>
      <c r="AR39" s="2052" t="str">
        <f t="shared" si="17"/>
        <v>открыт</v>
      </c>
      <c r="AS39" s="935">
        <f t="shared" si="18"/>
        <v>46.857142857142854</v>
      </c>
      <c r="AT39" s="937" t="s">
        <v>743</v>
      </c>
      <c r="AU39" s="1095">
        <v>1981</v>
      </c>
      <c r="AV39" s="1101" t="s">
        <v>3218</v>
      </c>
      <c r="AW39" s="1103">
        <v>57.780753789986697</v>
      </c>
      <c r="AX39" s="1103">
        <v>37.171410467278399</v>
      </c>
    </row>
    <row r="40" spans="1:50" ht="15" customHeight="1" x14ac:dyDescent="0.25">
      <c r="A40" s="2419">
        <v>32</v>
      </c>
      <c r="B40" s="2419">
        <v>32</v>
      </c>
      <c r="C40" s="1983" t="s">
        <v>919</v>
      </c>
      <c r="D40" s="1975">
        <v>6.3</v>
      </c>
      <c r="E40" s="1976"/>
      <c r="F40" s="1976"/>
      <c r="G40" s="1976"/>
      <c r="H40" s="1977"/>
      <c r="I40" s="1976" t="str">
        <f t="shared" si="4"/>
        <v>6,3</v>
      </c>
      <c r="J40" s="1978">
        <v>0.85000000000000009</v>
      </c>
      <c r="K40" s="1981">
        <v>1.39</v>
      </c>
      <c r="L40" s="1983" t="s">
        <v>334</v>
      </c>
      <c r="M40" s="1981">
        <f t="shared" si="20"/>
        <v>1.39</v>
      </c>
      <c r="N40" s="1981">
        <v>0</v>
      </c>
      <c r="O40" s="1982"/>
      <c r="P40" s="1982">
        <f t="shared" si="0"/>
        <v>1.39</v>
      </c>
      <c r="Q40" s="1981">
        <f t="shared" si="1"/>
        <v>0.53999999999999981</v>
      </c>
      <c r="R40" s="2408">
        <f>MIN(Q40:Q42)</f>
        <v>-0.56000000000000005</v>
      </c>
      <c r="S40" s="2458" t="str">
        <f>T40</f>
        <v>закрыт</v>
      </c>
      <c r="T40" s="2052" t="str">
        <f t="shared" si="6"/>
        <v>закрыт</v>
      </c>
      <c r="U40" s="2398">
        <f t="shared" si="2"/>
        <v>12.849584278155708</v>
      </c>
      <c r="V40" s="2398">
        <v>0.44</v>
      </c>
      <c r="W40" s="2398" t="s">
        <v>3397</v>
      </c>
      <c r="X40" s="912"/>
      <c r="Y40" s="2419">
        <v>32</v>
      </c>
      <c r="Z40" s="2411">
        <v>32</v>
      </c>
      <c r="AA40" s="1983" t="s">
        <v>919</v>
      </c>
      <c r="AB40" s="1975">
        <f t="shared" si="7"/>
        <v>6.3</v>
      </c>
      <c r="AC40" s="1976"/>
      <c r="AD40" s="1976"/>
      <c r="AE40" s="1976"/>
      <c r="AF40" s="1977"/>
      <c r="AG40" s="1983" t="str">
        <f t="shared" si="8"/>
        <v>6,3</v>
      </c>
      <c r="AH40" s="1981">
        <f>SUM(AH41:AH42)</f>
        <v>6.1141304347826081E-2</v>
      </c>
      <c r="AI40" s="1981">
        <f t="shared" si="9"/>
        <v>0.91114130434782614</v>
      </c>
      <c r="AJ40" s="1981">
        <f t="shared" si="10"/>
        <v>1.39</v>
      </c>
      <c r="AK40" s="1983" t="str">
        <f t="shared" si="11"/>
        <v>1 сутки</v>
      </c>
      <c r="AL40" s="1981">
        <f>AJ40</f>
        <v>1.39</v>
      </c>
      <c r="AM40" s="1981">
        <f t="shared" si="13"/>
        <v>0</v>
      </c>
      <c r="AN40" s="1982">
        <f t="shared" si="14"/>
        <v>1.39</v>
      </c>
      <c r="AO40" s="1981">
        <f t="shared" si="15"/>
        <v>0.47885869565217376</v>
      </c>
      <c r="AP40" s="2408">
        <f>MIN(AO40:AO42)</f>
        <v>-0.62114130434782611</v>
      </c>
      <c r="AQ40" s="2474" t="str">
        <f>AR40</f>
        <v>закрыт</v>
      </c>
      <c r="AR40" s="2052" t="str">
        <f t="shared" si="17"/>
        <v>закрыт</v>
      </c>
      <c r="AS40" s="2452">
        <f>(AI40*100)/(AG40*1.05)</f>
        <v>13.7738670347366</v>
      </c>
      <c r="AT40" s="937" t="s">
        <v>743</v>
      </c>
      <c r="AU40" s="1095">
        <v>1979</v>
      </c>
      <c r="AV40" s="1101" t="s">
        <v>3218</v>
      </c>
      <c r="AW40" s="1103">
        <v>58.547368724877003</v>
      </c>
      <c r="AX40" s="1103">
        <v>37.081294891711501</v>
      </c>
    </row>
    <row r="41" spans="1:50" ht="15" customHeight="1" x14ac:dyDescent="0.25">
      <c r="A41" s="2419"/>
      <c r="B41" s="2419"/>
      <c r="C41" s="1983" t="s">
        <v>1768</v>
      </c>
      <c r="D41" s="1975">
        <v>6.3</v>
      </c>
      <c r="E41" s="1976"/>
      <c r="F41" s="1976"/>
      <c r="G41" s="1976"/>
      <c r="H41" s="1977"/>
      <c r="I41" s="1976" t="str">
        <f t="shared" si="4"/>
        <v>6,3</v>
      </c>
      <c r="J41" s="1978">
        <v>0.56000000000000005</v>
      </c>
      <c r="K41" s="1981">
        <v>0</v>
      </c>
      <c r="L41" s="1983">
        <v>0</v>
      </c>
      <c r="M41" s="1981">
        <f>K41</f>
        <v>0</v>
      </c>
      <c r="N41" s="1981">
        <v>0</v>
      </c>
      <c r="O41" s="1982"/>
      <c r="P41" s="1982">
        <f t="shared" si="0"/>
        <v>0</v>
      </c>
      <c r="Q41" s="1981">
        <f t="shared" si="1"/>
        <v>-0.56000000000000005</v>
      </c>
      <c r="R41" s="2409"/>
      <c r="S41" s="2459"/>
      <c r="T41" s="2052" t="str">
        <f t="shared" si="6"/>
        <v>открыт</v>
      </c>
      <c r="U41" s="2398"/>
      <c r="V41" s="2398"/>
      <c r="W41" s="2398"/>
      <c r="X41" s="912"/>
      <c r="Y41" s="2419"/>
      <c r="Z41" s="2411"/>
      <c r="AA41" s="1983" t="s">
        <v>1768</v>
      </c>
      <c r="AB41" s="1975">
        <f t="shared" si="7"/>
        <v>6.3</v>
      </c>
      <c r="AC41" s="1976"/>
      <c r="AD41" s="1976"/>
      <c r="AE41" s="1976"/>
      <c r="AF41" s="1977"/>
      <c r="AG41" s="1983" t="str">
        <f t="shared" si="8"/>
        <v>6,3</v>
      </c>
      <c r="AH41" s="1981">
        <f>AH33</f>
        <v>6.1141304347826081E-2</v>
      </c>
      <c r="AI41" s="1981">
        <f t="shared" si="9"/>
        <v>0.62114130434782611</v>
      </c>
      <c r="AJ41" s="1981">
        <f t="shared" si="10"/>
        <v>0</v>
      </c>
      <c r="AK41" s="1983">
        <f t="shared" si="11"/>
        <v>0</v>
      </c>
      <c r="AL41" s="1981">
        <f>AJ41</f>
        <v>0</v>
      </c>
      <c r="AM41" s="1981">
        <f t="shared" si="13"/>
        <v>0</v>
      </c>
      <c r="AN41" s="1982">
        <f t="shared" si="14"/>
        <v>0</v>
      </c>
      <c r="AO41" s="1981">
        <f t="shared" si="15"/>
        <v>-0.62114130434782611</v>
      </c>
      <c r="AP41" s="2409"/>
      <c r="AQ41" s="2475"/>
      <c r="AR41" s="2052" t="str">
        <f t="shared" si="17"/>
        <v>открыт</v>
      </c>
      <c r="AS41" s="2453"/>
      <c r="AT41" s="937" t="s">
        <v>743</v>
      </c>
      <c r="AU41" s="1095">
        <v>1979</v>
      </c>
      <c r="AV41" s="1101" t="s">
        <v>3218</v>
      </c>
      <c r="AW41" s="1103">
        <v>58.547368724877003</v>
      </c>
      <c r="AX41" s="1103">
        <v>37.081294891711501</v>
      </c>
    </row>
    <row r="42" spans="1:50" ht="15" customHeight="1" x14ac:dyDescent="0.25">
      <c r="A42" s="2419"/>
      <c r="B42" s="2419"/>
      <c r="C42" s="1983" t="s">
        <v>1767</v>
      </c>
      <c r="D42" s="1975">
        <v>6.3</v>
      </c>
      <c r="E42" s="1976"/>
      <c r="F42" s="1976"/>
      <c r="G42" s="1976"/>
      <c r="H42" s="1977"/>
      <c r="I42" s="1976" t="str">
        <f t="shared" si="4"/>
        <v>6,3</v>
      </c>
      <c r="J42" s="1978">
        <v>0.28999999999999998</v>
      </c>
      <c r="K42" s="1981">
        <v>1.39</v>
      </c>
      <c r="L42" s="1983" t="s">
        <v>334</v>
      </c>
      <c r="M42" s="1981">
        <f t="shared" si="20"/>
        <v>1.39</v>
      </c>
      <c r="N42" s="1981">
        <v>0</v>
      </c>
      <c r="O42" s="1982"/>
      <c r="P42" s="1982">
        <f t="shared" si="0"/>
        <v>1.39</v>
      </c>
      <c r="Q42" s="1981">
        <f t="shared" si="1"/>
        <v>1.0999999999999999</v>
      </c>
      <c r="R42" s="2410"/>
      <c r="S42" s="2460"/>
      <c r="T42" s="2052" t="str">
        <f t="shared" si="6"/>
        <v>открыт</v>
      </c>
      <c r="U42" s="2398"/>
      <c r="V42" s="2398"/>
      <c r="W42" s="2398"/>
      <c r="X42" s="912"/>
      <c r="Y42" s="2419"/>
      <c r="Z42" s="2411"/>
      <c r="AA42" s="1983" t="s">
        <v>1767</v>
      </c>
      <c r="AB42" s="1975">
        <f t="shared" si="7"/>
        <v>6.3</v>
      </c>
      <c r="AC42" s="1976"/>
      <c r="AD42" s="1976"/>
      <c r="AE42" s="1976"/>
      <c r="AF42" s="1977"/>
      <c r="AG42" s="1983" t="str">
        <f t="shared" si="8"/>
        <v>6,3</v>
      </c>
      <c r="AH42" s="1981">
        <f>'Зона БЭс'!L85</f>
        <v>0</v>
      </c>
      <c r="AI42" s="1981">
        <f t="shared" si="9"/>
        <v>0.28999999999999998</v>
      </c>
      <c r="AJ42" s="1981">
        <f t="shared" si="10"/>
        <v>1.39</v>
      </c>
      <c r="AK42" s="1983" t="str">
        <f t="shared" si="11"/>
        <v>1 сутки</v>
      </c>
      <c r="AL42" s="1981">
        <f t="shared" si="12"/>
        <v>1.39</v>
      </c>
      <c r="AM42" s="1981">
        <f t="shared" si="13"/>
        <v>0</v>
      </c>
      <c r="AN42" s="1982">
        <f t="shared" si="14"/>
        <v>1.39</v>
      </c>
      <c r="AO42" s="1981">
        <f t="shared" si="15"/>
        <v>1.0999999999999999</v>
      </c>
      <c r="AP42" s="2410"/>
      <c r="AQ42" s="2476"/>
      <c r="AR42" s="2052" t="str">
        <f t="shared" si="17"/>
        <v>открыт</v>
      </c>
      <c r="AS42" s="2454"/>
      <c r="AT42" s="937" t="s">
        <v>743</v>
      </c>
      <c r="AU42" s="1095">
        <v>1979</v>
      </c>
      <c r="AV42" s="1101" t="s">
        <v>3218</v>
      </c>
      <c r="AW42" s="1103">
        <v>58.547368724877003</v>
      </c>
      <c r="AX42" s="1103">
        <v>37.081294891711501</v>
      </c>
    </row>
    <row r="43" spans="1:50" ht="15" customHeight="1" x14ac:dyDescent="0.25">
      <c r="A43" s="2419">
        <v>33</v>
      </c>
      <c r="B43" s="2419">
        <v>33</v>
      </c>
      <c r="C43" s="1983" t="s">
        <v>920</v>
      </c>
      <c r="D43" s="1975">
        <v>6.3</v>
      </c>
      <c r="E43" s="1976"/>
      <c r="F43" s="1976"/>
      <c r="G43" s="1976"/>
      <c r="H43" s="1977"/>
      <c r="I43" s="1976" t="str">
        <f t="shared" si="4"/>
        <v>6,3</v>
      </c>
      <c r="J43" s="1978">
        <v>0.71</v>
      </c>
      <c r="K43" s="1981">
        <v>1.4</v>
      </c>
      <c r="L43" s="1983" t="s">
        <v>334</v>
      </c>
      <c r="M43" s="1981">
        <f t="shared" si="20"/>
        <v>1.4</v>
      </c>
      <c r="N43" s="1981">
        <v>0</v>
      </c>
      <c r="O43" s="1982"/>
      <c r="P43" s="1982">
        <f t="shared" si="0"/>
        <v>1.4</v>
      </c>
      <c r="Q43" s="1981">
        <f t="shared" si="1"/>
        <v>0.69</v>
      </c>
      <c r="R43" s="2469">
        <f>MIN(Q43:Q45)</f>
        <v>-0.12</v>
      </c>
      <c r="S43" s="2458" t="str">
        <f>T43</f>
        <v>закрыт</v>
      </c>
      <c r="T43" s="2052" t="str">
        <f t="shared" si="6"/>
        <v>закрыт</v>
      </c>
      <c r="U43" s="2398">
        <f>(J43*100)/(I43*1.05)</f>
        <v>10.733182161753589</v>
      </c>
      <c r="V43" s="2398">
        <v>0.75</v>
      </c>
      <c r="W43" s="2398" t="s">
        <v>3397</v>
      </c>
      <c r="X43" s="912"/>
      <c r="Y43" s="2419">
        <v>33</v>
      </c>
      <c r="Z43" s="2411">
        <v>33</v>
      </c>
      <c r="AA43" s="1983" t="s">
        <v>920</v>
      </c>
      <c r="AB43" s="1975">
        <f t="shared" si="7"/>
        <v>6.3</v>
      </c>
      <c r="AC43" s="1976"/>
      <c r="AD43" s="1976"/>
      <c r="AE43" s="1976"/>
      <c r="AF43" s="1977"/>
      <c r="AG43" s="1983" t="str">
        <f t="shared" si="8"/>
        <v>6,3</v>
      </c>
      <c r="AH43" s="1981">
        <f>SUM(AH44:AH45)</f>
        <v>0</v>
      </c>
      <c r="AI43" s="1981">
        <f t="shared" si="9"/>
        <v>0.71</v>
      </c>
      <c r="AJ43" s="1981">
        <f t="shared" si="10"/>
        <v>1.4</v>
      </c>
      <c r="AK43" s="1983" t="str">
        <f t="shared" si="11"/>
        <v>1 сутки</v>
      </c>
      <c r="AL43" s="1981">
        <f t="shared" si="12"/>
        <v>1.4</v>
      </c>
      <c r="AM43" s="1981">
        <f t="shared" si="13"/>
        <v>0</v>
      </c>
      <c r="AN43" s="1982">
        <f t="shared" si="14"/>
        <v>1.4</v>
      </c>
      <c r="AO43" s="1981">
        <f t="shared" si="15"/>
        <v>0.69</v>
      </c>
      <c r="AP43" s="2408">
        <f>MIN(AO43:AO45)</f>
        <v>-0.12</v>
      </c>
      <c r="AQ43" s="2474" t="str">
        <f>AR43</f>
        <v>закрыт</v>
      </c>
      <c r="AR43" s="2052" t="str">
        <f t="shared" si="17"/>
        <v>закрыт</v>
      </c>
      <c r="AS43" s="2452">
        <f>(AI43*100)/(AG43*1.05)</f>
        <v>10.733182161753589</v>
      </c>
      <c r="AT43" s="937" t="s">
        <v>743</v>
      </c>
      <c r="AU43" s="1095">
        <v>1980</v>
      </c>
      <c r="AV43" s="1101" t="s">
        <v>3218</v>
      </c>
      <c r="AW43" s="1103">
        <v>58.413755079792601</v>
      </c>
      <c r="AX43" s="1103">
        <v>37.073295478038403</v>
      </c>
    </row>
    <row r="44" spans="1:50" ht="15" customHeight="1" x14ac:dyDescent="0.25">
      <c r="A44" s="2419"/>
      <c r="B44" s="2419"/>
      <c r="C44" s="1983" t="s">
        <v>1768</v>
      </c>
      <c r="D44" s="1975">
        <v>6.3</v>
      </c>
      <c r="E44" s="1976"/>
      <c r="F44" s="1976"/>
      <c r="G44" s="1976"/>
      <c r="H44" s="1977"/>
      <c r="I44" s="1976" t="str">
        <f t="shared" si="4"/>
        <v>6,3</v>
      </c>
      <c r="J44" s="1978">
        <v>0.12</v>
      </c>
      <c r="K44" s="1981">
        <v>0</v>
      </c>
      <c r="L44" s="1983">
        <v>0</v>
      </c>
      <c r="M44" s="1981">
        <f>K44</f>
        <v>0</v>
      </c>
      <c r="N44" s="1981">
        <v>0</v>
      </c>
      <c r="O44" s="1982"/>
      <c r="P44" s="1982">
        <f t="shared" si="0"/>
        <v>0</v>
      </c>
      <c r="Q44" s="1981">
        <f t="shared" si="1"/>
        <v>-0.12</v>
      </c>
      <c r="R44" s="2469"/>
      <c r="S44" s="2459"/>
      <c r="T44" s="2052" t="str">
        <f t="shared" si="6"/>
        <v>открыт</v>
      </c>
      <c r="U44" s="2398"/>
      <c r="V44" s="2398"/>
      <c r="W44" s="2398"/>
      <c r="X44" s="912"/>
      <c r="Y44" s="2419"/>
      <c r="Z44" s="2411"/>
      <c r="AA44" s="1983" t="s">
        <v>1768</v>
      </c>
      <c r="AB44" s="1975">
        <f t="shared" si="7"/>
        <v>6.3</v>
      </c>
      <c r="AC44" s="1976"/>
      <c r="AD44" s="1976"/>
      <c r="AE44" s="1976"/>
      <c r="AF44" s="1977"/>
      <c r="AG44" s="1983" t="str">
        <f t="shared" si="8"/>
        <v>6,3</v>
      </c>
      <c r="AH44" s="1981">
        <f>AH23</f>
        <v>0</v>
      </c>
      <c r="AI44" s="1981">
        <f t="shared" si="9"/>
        <v>0.12</v>
      </c>
      <c r="AJ44" s="1981">
        <f t="shared" si="10"/>
        <v>0</v>
      </c>
      <c r="AK44" s="1983">
        <f t="shared" si="11"/>
        <v>0</v>
      </c>
      <c r="AL44" s="1981">
        <f t="shared" si="12"/>
        <v>0</v>
      </c>
      <c r="AM44" s="1981">
        <f t="shared" si="13"/>
        <v>0</v>
      </c>
      <c r="AN44" s="1982">
        <f t="shared" si="14"/>
        <v>0</v>
      </c>
      <c r="AO44" s="1981">
        <f t="shared" si="15"/>
        <v>-0.12</v>
      </c>
      <c r="AP44" s="2409"/>
      <c r="AQ44" s="2475"/>
      <c r="AR44" s="2052" t="str">
        <f t="shared" si="17"/>
        <v>открыт</v>
      </c>
      <c r="AS44" s="2453"/>
      <c r="AT44" s="937" t="s">
        <v>743</v>
      </c>
      <c r="AU44" s="1095">
        <v>1980</v>
      </c>
      <c r="AV44" s="1101" t="s">
        <v>3218</v>
      </c>
      <c r="AW44" s="1103">
        <v>58.413755079792601</v>
      </c>
      <c r="AX44" s="1103">
        <v>37.073295478038403</v>
      </c>
    </row>
    <row r="45" spans="1:50" ht="15" customHeight="1" x14ac:dyDescent="0.25">
      <c r="A45" s="2419"/>
      <c r="B45" s="2419"/>
      <c r="C45" s="1983" t="s">
        <v>1767</v>
      </c>
      <c r="D45" s="1975">
        <v>6.3</v>
      </c>
      <c r="E45" s="1976"/>
      <c r="F45" s="1976"/>
      <c r="G45" s="1976"/>
      <c r="H45" s="1977"/>
      <c r="I45" s="1976" t="str">
        <f t="shared" si="4"/>
        <v>6,3</v>
      </c>
      <c r="J45" s="1978">
        <v>0.59</v>
      </c>
      <c r="K45" s="1981">
        <v>1.4</v>
      </c>
      <c r="L45" s="1983" t="s">
        <v>334</v>
      </c>
      <c r="M45" s="1981">
        <f t="shared" si="20"/>
        <v>1.4</v>
      </c>
      <c r="N45" s="1981">
        <v>0</v>
      </c>
      <c r="O45" s="1982"/>
      <c r="P45" s="1982">
        <f t="shared" si="0"/>
        <v>1.4</v>
      </c>
      <c r="Q45" s="1981">
        <f t="shared" si="1"/>
        <v>0.80999999999999994</v>
      </c>
      <c r="R45" s="2469"/>
      <c r="S45" s="2460"/>
      <c r="T45" s="2052" t="str">
        <f t="shared" si="6"/>
        <v>открыт</v>
      </c>
      <c r="U45" s="2398"/>
      <c r="V45" s="2398"/>
      <c r="W45" s="2398"/>
      <c r="X45" s="912"/>
      <c r="Y45" s="2419"/>
      <c r="Z45" s="2411"/>
      <c r="AA45" s="1983" t="s">
        <v>1767</v>
      </c>
      <c r="AB45" s="1975">
        <f t="shared" si="7"/>
        <v>6.3</v>
      </c>
      <c r="AC45" s="1976"/>
      <c r="AD45" s="1976"/>
      <c r="AE45" s="1976"/>
      <c r="AF45" s="1977"/>
      <c r="AG45" s="1983" t="str">
        <f t="shared" si="8"/>
        <v>6,3</v>
      </c>
      <c r="AH45" s="1981">
        <f>'Зона БЭс'!L87</f>
        <v>0</v>
      </c>
      <c r="AI45" s="1981">
        <f t="shared" si="9"/>
        <v>0.59</v>
      </c>
      <c r="AJ45" s="1981">
        <f t="shared" si="10"/>
        <v>1.4</v>
      </c>
      <c r="AK45" s="1983" t="str">
        <f t="shared" si="11"/>
        <v>1 сутки</v>
      </c>
      <c r="AL45" s="1981">
        <f t="shared" si="12"/>
        <v>1.4</v>
      </c>
      <c r="AM45" s="1981">
        <f t="shared" si="13"/>
        <v>0</v>
      </c>
      <c r="AN45" s="1982">
        <f t="shared" si="14"/>
        <v>1.4</v>
      </c>
      <c r="AO45" s="1981">
        <f t="shared" si="15"/>
        <v>0.80999999999999994</v>
      </c>
      <c r="AP45" s="2410"/>
      <c r="AQ45" s="2476"/>
      <c r="AR45" s="2052" t="str">
        <f t="shared" si="17"/>
        <v>открыт</v>
      </c>
      <c r="AS45" s="2454"/>
      <c r="AT45" s="937" t="s">
        <v>743</v>
      </c>
      <c r="AU45" s="1095">
        <v>1980</v>
      </c>
      <c r="AV45" s="1101" t="s">
        <v>3218</v>
      </c>
      <c r="AW45" s="1103">
        <v>58.413755079792601</v>
      </c>
      <c r="AX45" s="1103">
        <v>37.073295478038403</v>
      </c>
    </row>
    <row r="46" spans="1:50" ht="15" customHeight="1" x14ac:dyDescent="0.25">
      <c r="A46" s="2423">
        <v>34</v>
      </c>
      <c r="B46" s="212">
        <v>34</v>
      </c>
      <c r="C46" s="1983" t="s">
        <v>921</v>
      </c>
      <c r="D46" s="1975">
        <v>5.6</v>
      </c>
      <c r="E46" s="1976"/>
      <c r="F46" s="1976"/>
      <c r="G46" s="1976"/>
      <c r="H46" s="1977"/>
      <c r="I46" s="1976" t="str">
        <f t="shared" si="4"/>
        <v>5,6</v>
      </c>
      <c r="J46" s="1978">
        <v>0.54</v>
      </c>
      <c r="K46" s="1981">
        <v>1.46</v>
      </c>
      <c r="L46" s="1983" t="s">
        <v>334</v>
      </c>
      <c r="M46" s="1981">
        <f t="shared" si="20"/>
        <v>1.46</v>
      </c>
      <c r="N46" s="1981">
        <v>0</v>
      </c>
      <c r="O46" s="1982"/>
      <c r="P46" s="1982">
        <f t="shared" si="0"/>
        <v>1.46</v>
      </c>
      <c r="Q46" s="1981">
        <f t="shared" si="1"/>
        <v>0.91999999999999993</v>
      </c>
      <c r="R46" s="2408">
        <f>MIN(Q46:Q48)</f>
        <v>-0.13</v>
      </c>
      <c r="S46" s="2458" t="str">
        <f>T46</f>
        <v>закрыт</v>
      </c>
      <c r="T46" s="2052" t="str">
        <f t="shared" si="6"/>
        <v>закрыт</v>
      </c>
      <c r="U46" s="2400">
        <f>(J46*100)/(I46*1.05)</f>
        <v>9.183673469387756</v>
      </c>
      <c r="V46" s="2400">
        <v>0.43</v>
      </c>
      <c r="W46" s="2400" t="s">
        <v>3397</v>
      </c>
      <c r="X46" s="912"/>
      <c r="Y46" s="2423">
        <v>34</v>
      </c>
      <c r="Z46" s="228">
        <v>34</v>
      </c>
      <c r="AA46" s="1983" t="s">
        <v>921</v>
      </c>
      <c r="AB46" s="1975">
        <f t="shared" si="7"/>
        <v>5.6</v>
      </c>
      <c r="AC46" s="1976"/>
      <c r="AD46" s="1976"/>
      <c r="AE46" s="1976"/>
      <c r="AF46" s="1977"/>
      <c r="AG46" s="1983" t="str">
        <f t="shared" si="8"/>
        <v>5,6</v>
      </c>
      <c r="AH46" s="1981">
        <f>SUM(AH47:AH48)</f>
        <v>0</v>
      </c>
      <c r="AI46" s="1981">
        <f t="shared" si="9"/>
        <v>0.54</v>
      </c>
      <c r="AJ46" s="1981">
        <f t="shared" si="10"/>
        <v>1.46</v>
      </c>
      <c r="AK46" s="1983" t="str">
        <f t="shared" si="11"/>
        <v>1 сутки</v>
      </c>
      <c r="AL46" s="1981">
        <f t="shared" si="12"/>
        <v>1.46</v>
      </c>
      <c r="AM46" s="1981">
        <f t="shared" si="13"/>
        <v>0</v>
      </c>
      <c r="AN46" s="1982">
        <f t="shared" si="14"/>
        <v>1.46</v>
      </c>
      <c r="AO46" s="1981">
        <f t="shared" si="15"/>
        <v>0.91999999999999993</v>
      </c>
      <c r="AP46" s="2408">
        <f>MIN(AO46:AO48)</f>
        <v>-0.13</v>
      </c>
      <c r="AQ46" s="2474" t="str">
        <f>AR46</f>
        <v>закрыт</v>
      </c>
      <c r="AR46" s="2052" t="str">
        <f t="shared" si="17"/>
        <v>закрыт</v>
      </c>
      <c r="AS46" s="2452">
        <f>(AI46*100)/(AG46*1.05)</f>
        <v>9.183673469387756</v>
      </c>
      <c r="AT46" s="937" t="s">
        <v>743</v>
      </c>
      <c r="AU46" s="1095">
        <v>1966</v>
      </c>
      <c r="AV46" s="1101" t="s">
        <v>3218</v>
      </c>
      <c r="AW46" s="1103">
        <v>57.564684502073497</v>
      </c>
      <c r="AX46" s="1103">
        <v>36.316230032992799</v>
      </c>
    </row>
    <row r="47" spans="1:50" ht="15" customHeight="1" x14ac:dyDescent="0.25">
      <c r="A47" s="2440"/>
      <c r="B47" s="212"/>
      <c r="C47" s="1983" t="s">
        <v>1768</v>
      </c>
      <c r="D47" s="1975">
        <v>5.6</v>
      </c>
      <c r="E47" s="1976"/>
      <c r="F47" s="1976"/>
      <c r="G47" s="1976"/>
      <c r="H47" s="1977"/>
      <c r="I47" s="1976" t="str">
        <f t="shared" si="4"/>
        <v>5,6</v>
      </c>
      <c r="J47" s="1978">
        <v>0.13</v>
      </c>
      <c r="K47" s="1981">
        <v>0</v>
      </c>
      <c r="L47" s="1983">
        <v>0</v>
      </c>
      <c r="M47" s="1981">
        <f t="shared" si="20"/>
        <v>0</v>
      </c>
      <c r="N47" s="1981">
        <v>0</v>
      </c>
      <c r="O47" s="1982"/>
      <c r="P47" s="1982">
        <f t="shared" si="0"/>
        <v>0</v>
      </c>
      <c r="Q47" s="1981">
        <f t="shared" si="1"/>
        <v>-0.13</v>
      </c>
      <c r="R47" s="2409"/>
      <c r="S47" s="2459"/>
      <c r="T47" s="2052" t="str">
        <f t="shared" si="6"/>
        <v>открыт</v>
      </c>
      <c r="U47" s="2401"/>
      <c r="V47" s="2401"/>
      <c r="W47" s="2401"/>
      <c r="X47" s="912"/>
      <c r="Y47" s="2440"/>
      <c r="Z47" s="228"/>
      <c r="AA47" s="1983" t="s">
        <v>1768</v>
      </c>
      <c r="AB47" s="1975">
        <f t="shared" si="7"/>
        <v>5.6</v>
      </c>
      <c r="AC47" s="1976"/>
      <c r="AD47" s="1976"/>
      <c r="AE47" s="1976"/>
      <c r="AF47" s="1977"/>
      <c r="AG47" s="1983" t="str">
        <f t="shared" si="8"/>
        <v>5,6</v>
      </c>
      <c r="AH47" s="1981">
        <f>AH30</f>
        <v>0</v>
      </c>
      <c r="AI47" s="1981">
        <f t="shared" si="9"/>
        <v>0.13</v>
      </c>
      <c r="AJ47" s="1981">
        <f t="shared" si="10"/>
        <v>0</v>
      </c>
      <c r="AK47" s="1983">
        <f t="shared" si="11"/>
        <v>0</v>
      </c>
      <c r="AL47" s="1981">
        <f t="shared" si="12"/>
        <v>0</v>
      </c>
      <c r="AM47" s="1981">
        <f t="shared" si="13"/>
        <v>0</v>
      </c>
      <c r="AN47" s="1982">
        <f t="shared" si="14"/>
        <v>0</v>
      </c>
      <c r="AO47" s="1981">
        <f t="shared" si="15"/>
        <v>-0.13</v>
      </c>
      <c r="AP47" s="2409"/>
      <c r="AQ47" s="2475"/>
      <c r="AR47" s="2052" t="str">
        <f t="shared" si="17"/>
        <v>открыт</v>
      </c>
      <c r="AS47" s="2453"/>
      <c r="AT47" s="937" t="s">
        <v>743</v>
      </c>
      <c r="AU47" s="1095">
        <v>1966</v>
      </c>
      <c r="AV47" s="1101" t="s">
        <v>3218</v>
      </c>
      <c r="AW47" s="1103">
        <v>57.564684502073497</v>
      </c>
      <c r="AX47" s="1103">
        <v>36.316230032992799</v>
      </c>
    </row>
    <row r="48" spans="1:50" ht="15" customHeight="1" x14ac:dyDescent="0.25">
      <c r="A48" s="2441"/>
      <c r="B48" s="212"/>
      <c r="C48" s="1983" t="s">
        <v>1767</v>
      </c>
      <c r="D48" s="1975">
        <v>5.6</v>
      </c>
      <c r="E48" s="1976"/>
      <c r="F48" s="1976"/>
      <c r="G48" s="1976"/>
      <c r="H48" s="1977"/>
      <c r="I48" s="1976" t="str">
        <f t="shared" si="4"/>
        <v>5,6</v>
      </c>
      <c r="J48" s="1978">
        <v>0.41</v>
      </c>
      <c r="K48" s="1981">
        <v>1.46</v>
      </c>
      <c r="L48" s="1983" t="s">
        <v>334</v>
      </c>
      <c r="M48" s="1981">
        <f t="shared" si="20"/>
        <v>1.46</v>
      </c>
      <c r="N48" s="1981">
        <v>0</v>
      </c>
      <c r="O48" s="1982"/>
      <c r="P48" s="1982">
        <f t="shared" si="0"/>
        <v>1.46</v>
      </c>
      <c r="Q48" s="1981">
        <f t="shared" si="1"/>
        <v>1.05</v>
      </c>
      <c r="R48" s="2410"/>
      <c r="S48" s="2460"/>
      <c r="T48" s="2052" t="str">
        <f t="shared" si="6"/>
        <v>открыт</v>
      </c>
      <c r="U48" s="2402"/>
      <c r="V48" s="2402"/>
      <c r="W48" s="2402"/>
      <c r="X48" s="912"/>
      <c r="Y48" s="2441"/>
      <c r="Z48" s="228"/>
      <c r="AA48" s="1983" t="s">
        <v>1767</v>
      </c>
      <c r="AB48" s="1975">
        <f t="shared" si="7"/>
        <v>5.6</v>
      </c>
      <c r="AC48" s="1976"/>
      <c r="AD48" s="1976"/>
      <c r="AE48" s="1976"/>
      <c r="AF48" s="1977"/>
      <c r="AG48" s="1983" t="str">
        <f t="shared" si="8"/>
        <v>5,6</v>
      </c>
      <c r="AH48" s="1981">
        <f>'Зона БЭс'!L89</f>
        <v>0</v>
      </c>
      <c r="AI48" s="1981">
        <f t="shared" si="9"/>
        <v>0.41</v>
      </c>
      <c r="AJ48" s="1981">
        <f t="shared" si="10"/>
        <v>1.46</v>
      </c>
      <c r="AK48" s="1983" t="str">
        <f t="shared" si="11"/>
        <v>1 сутки</v>
      </c>
      <c r="AL48" s="1981">
        <f t="shared" si="12"/>
        <v>1.46</v>
      </c>
      <c r="AM48" s="1981">
        <f t="shared" si="13"/>
        <v>0</v>
      </c>
      <c r="AN48" s="1982">
        <f t="shared" si="14"/>
        <v>1.46</v>
      </c>
      <c r="AO48" s="1981">
        <f t="shared" si="15"/>
        <v>1.05</v>
      </c>
      <c r="AP48" s="2410"/>
      <c r="AQ48" s="2476"/>
      <c r="AR48" s="2052" t="str">
        <f t="shared" si="17"/>
        <v>открыт</v>
      </c>
      <c r="AS48" s="2454"/>
      <c r="AT48" s="937" t="s">
        <v>743</v>
      </c>
      <c r="AU48" s="1095">
        <v>1966</v>
      </c>
      <c r="AV48" s="1101" t="s">
        <v>3218</v>
      </c>
      <c r="AW48" s="1103">
        <v>57.564684502073497</v>
      </c>
      <c r="AX48" s="1103">
        <v>36.316230032992799</v>
      </c>
    </row>
    <row r="49" spans="1:50" ht="15" customHeight="1" x14ac:dyDescent="0.25">
      <c r="A49" s="2423">
        <v>35</v>
      </c>
      <c r="B49" s="212">
        <v>35</v>
      </c>
      <c r="C49" s="212" t="s">
        <v>922</v>
      </c>
      <c r="D49" s="230">
        <v>6.3</v>
      </c>
      <c r="E49" s="229"/>
      <c r="F49" s="229"/>
      <c r="G49" s="229"/>
      <c r="H49" s="228"/>
      <c r="I49" s="229" t="str">
        <f t="shared" si="4"/>
        <v>6,3</v>
      </c>
      <c r="J49" s="882">
        <v>2.33</v>
      </c>
      <c r="K49" s="1423">
        <v>6.08</v>
      </c>
      <c r="L49" s="1422" t="s">
        <v>334</v>
      </c>
      <c r="M49" s="172">
        <f>K49</f>
        <v>6.08</v>
      </c>
      <c r="N49" s="172">
        <v>0</v>
      </c>
      <c r="O49" s="880"/>
      <c r="P49" s="880">
        <f t="shared" si="0"/>
        <v>6.08</v>
      </c>
      <c r="Q49" s="172">
        <f t="shared" si="1"/>
        <v>3.75</v>
      </c>
      <c r="R49" s="172">
        <f>MIN(Q49:Q51)</f>
        <v>0.74</v>
      </c>
      <c r="S49" s="757" t="str">
        <f t="shared" si="5"/>
        <v>открыт</v>
      </c>
      <c r="T49" s="2052" t="str">
        <f t="shared" si="6"/>
        <v>открыт</v>
      </c>
      <c r="U49" s="757">
        <f>(J49*100)/(I49*1.05)</f>
        <v>35.222978080120939</v>
      </c>
      <c r="V49" s="2254">
        <v>0.5</v>
      </c>
      <c r="W49" s="2254" t="s">
        <v>3397</v>
      </c>
      <c r="X49" s="912"/>
      <c r="Y49" s="2423">
        <v>35</v>
      </c>
      <c r="Z49" s="228">
        <v>35</v>
      </c>
      <c r="AA49" s="212" t="s">
        <v>922</v>
      </c>
      <c r="AB49" s="230">
        <f t="shared" si="7"/>
        <v>6.3</v>
      </c>
      <c r="AC49" s="229"/>
      <c r="AD49" s="229"/>
      <c r="AE49" s="229"/>
      <c r="AF49" s="228"/>
      <c r="AG49" s="212" t="str">
        <f t="shared" si="8"/>
        <v>6,3</v>
      </c>
      <c r="AH49" s="172">
        <f>SUM(AH50:AH51)</f>
        <v>0</v>
      </c>
      <c r="AI49" s="172">
        <f t="shared" si="9"/>
        <v>2.33</v>
      </c>
      <c r="AJ49" s="1973">
        <f t="shared" si="10"/>
        <v>6.08</v>
      </c>
      <c r="AK49" s="212" t="str">
        <f t="shared" si="11"/>
        <v>1 сутки</v>
      </c>
      <c r="AL49" s="172">
        <f t="shared" si="12"/>
        <v>6.08</v>
      </c>
      <c r="AM49" s="1973">
        <f t="shared" si="13"/>
        <v>0</v>
      </c>
      <c r="AN49" s="880">
        <f t="shared" si="14"/>
        <v>6.08</v>
      </c>
      <c r="AO49" s="172">
        <f t="shared" si="15"/>
        <v>3.75</v>
      </c>
      <c r="AP49" s="2405">
        <f>MIN(AO49:AO51)</f>
        <v>0.74</v>
      </c>
      <c r="AQ49" s="757" t="str">
        <f t="shared" si="3"/>
        <v>открыт</v>
      </c>
      <c r="AR49" s="2052" t="str">
        <f t="shared" si="17"/>
        <v>открыт</v>
      </c>
      <c r="AS49" s="2452">
        <f>(AI49*100)/(AG49*1.05)</f>
        <v>35.222978080120939</v>
      </c>
      <c r="AT49" s="937" t="s">
        <v>743</v>
      </c>
      <c r="AU49" s="1095">
        <v>1967</v>
      </c>
      <c r="AV49" s="1101" t="s">
        <v>3218</v>
      </c>
      <c r="AW49" s="1103">
        <v>58.2898085836852</v>
      </c>
      <c r="AX49" s="1103">
        <v>36.138191362349801</v>
      </c>
    </row>
    <row r="50" spans="1:50" ht="15" customHeight="1" x14ac:dyDescent="0.25">
      <c r="A50" s="2440"/>
      <c r="B50" s="212"/>
      <c r="C50" s="212" t="s">
        <v>1768</v>
      </c>
      <c r="D50" s="230">
        <v>6.3</v>
      </c>
      <c r="E50" s="229"/>
      <c r="F50" s="229"/>
      <c r="G50" s="229"/>
      <c r="H50" s="228"/>
      <c r="I50" s="229" t="str">
        <f t="shared" si="4"/>
        <v>6,3</v>
      </c>
      <c r="J50" s="882">
        <v>2.12</v>
      </c>
      <c r="K50" s="1423">
        <v>5.13</v>
      </c>
      <c r="L50" s="1422" t="s">
        <v>334</v>
      </c>
      <c r="M50" s="172">
        <f t="shared" si="20"/>
        <v>5.13</v>
      </c>
      <c r="N50" s="172">
        <v>0</v>
      </c>
      <c r="O50" s="880"/>
      <c r="P50" s="880">
        <f t="shared" si="0"/>
        <v>5.13</v>
      </c>
      <c r="Q50" s="172">
        <f t="shared" si="1"/>
        <v>3.01</v>
      </c>
      <c r="R50" s="172"/>
      <c r="S50" s="757" t="str">
        <f t="shared" si="5"/>
        <v>открыт</v>
      </c>
      <c r="T50" s="2052" t="str">
        <f t="shared" si="6"/>
        <v>открыт</v>
      </c>
      <c r="U50" s="757"/>
      <c r="V50" s="2254"/>
      <c r="W50" s="2254"/>
      <c r="X50" s="912"/>
      <c r="Y50" s="2440"/>
      <c r="Z50" s="228"/>
      <c r="AA50" s="212" t="s">
        <v>1768</v>
      </c>
      <c r="AB50" s="230">
        <f t="shared" si="7"/>
        <v>6.3</v>
      </c>
      <c r="AC50" s="229"/>
      <c r="AD50" s="229"/>
      <c r="AE50" s="229"/>
      <c r="AF50" s="228"/>
      <c r="AG50" s="212" t="str">
        <f t="shared" si="8"/>
        <v>6,3</v>
      </c>
      <c r="AH50" s="172">
        <f>SUM(AH24+AH11+AH53)</f>
        <v>0</v>
      </c>
      <c r="AI50" s="172">
        <f t="shared" si="9"/>
        <v>2.12</v>
      </c>
      <c r="AJ50" s="1973">
        <f t="shared" si="10"/>
        <v>5.13</v>
      </c>
      <c r="AK50" s="212" t="str">
        <f t="shared" si="11"/>
        <v>1 сутки</v>
      </c>
      <c r="AL50" s="172">
        <f t="shared" si="12"/>
        <v>5.13</v>
      </c>
      <c r="AM50" s="1973">
        <f t="shared" si="13"/>
        <v>0</v>
      </c>
      <c r="AN50" s="880">
        <f t="shared" si="14"/>
        <v>5.13</v>
      </c>
      <c r="AO50" s="172">
        <f t="shared" si="15"/>
        <v>3.01</v>
      </c>
      <c r="AP50" s="2406"/>
      <c r="AQ50" s="757" t="str">
        <f t="shared" si="3"/>
        <v>открыт</v>
      </c>
      <c r="AR50" s="2052" t="str">
        <f t="shared" si="17"/>
        <v>открыт</v>
      </c>
      <c r="AS50" s="2453"/>
      <c r="AT50" s="937" t="s">
        <v>743</v>
      </c>
      <c r="AU50" s="1095">
        <v>1967</v>
      </c>
      <c r="AV50" s="1101" t="s">
        <v>3218</v>
      </c>
      <c r="AW50" s="1103">
        <v>58.2898085836852</v>
      </c>
      <c r="AX50" s="1103">
        <v>36.138191362349801</v>
      </c>
    </row>
    <row r="51" spans="1:50" ht="15" customHeight="1" x14ac:dyDescent="0.25">
      <c r="A51" s="2441"/>
      <c r="B51" s="212"/>
      <c r="C51" s="212" t="s">
        <v>1767</v>
      </c>
      <c r="D51" s="230">
        <v>6.3</v>
      </c>
      <c r="E51" s="229"/>
      <c r="F51" s="229"/>
      <c r="G51" s="229"/>
      <c r="H51" s="228"/>
      <c r="I51" s="229" t="str">
        <f t="shared" si="4"/>
        <v>6,3</v>
      </c>
      <c r="J51" s="882">
        <v>0.21</v>
      </c>
      <c r="K51" s="1423">
        <v>0.95</v>
      </c>
      <c r="L51" s="1422" t="s">
        <v>334</v>
      </c>
      <c r="M51" s="172">
        <f t="shared" si="20"/>
        <v>0.95</v>
      </c>
      <c r="N51" s="172">
        <v>0</v>
      </c>
      <c r="O51" s="880"/>
      <c r="P51" s="880">
        <f t="shared" si="0"/>
        <v>0.95</v>
      </c>
      <c r="Q51" s="172">
        <f t="shared" si="1"/>
        <v>0.74</v>
      </c>
      <c r="R51" s="172"/>
      <c r="S51" s="757" t="str">
        <f t="shared" si="5"/>
        <v>открыт</v>
      </c>
      <c r="T51" s="2052" t="str">
        <f t="shared" si="6"/>
        <v>открыт</v>
      </c>
      <c r="U51" s="757"/>
      <c r="V51" s="2254"/>
      <c r="W51" s="2254"/>
      <c r="X51" s="912"/>
      <c r="Y51" s="2441"/>
      <c r="Z51" s="228"/>
      <c r="AA51" s="212" t="s">
        <v>1767</v>
      </c>
      <c r="AB51" s="230">
        <f t="shared" si="7"/>
        <v>6.3</v>
      </c>
      <c r="AC51" s="229"/>
      <c r="AD51" s="229"/>
      <c r="AE51" s="229"/>
      <c r="AF51" s="228"/>
      <c r="AG51" s="212" t="str">
        <f t="shared" si="8"/>
        <v>6,3</v>
      </c>
      <c r="AH51" s="172">
        <f>'Зона БЭс'!L91</f>
        <v>0</v>
      </c>
      <c r="AI51" s="172">
        <f t="shared" si="9"/>
        <v>0.21</v>
      </c>
      <c r="AJ51" s="1973">
        <f t="shared" si="10"/>
        <v>0.95</v>
      </c>
      <c r="AK51" s="212" t="str">
        <f t="shared" si="11"/>
        <v>1 сутки</v>
      </c>
      <c r="AL51" s="172">
        <f t="shared" si="12"/>
        <v>0.95</v>
      </c>
      <c r="AM51" s="1973">
        <f t="shared" si="13"/>
        <v>0</v>
      </c>
      <c r="AN51" s="880">
        <f t="shared" si="14"/>
        <v>0.95</v>
      </c>
      <c r="AO51" s="172">
        <f t="shared" si="15"/>
        <v>0.74</v>
      </c>
      <c r="AP51" s="2407"/>
      <c r="AQ51" s="757" t="str">
        <f t="shared" si="3"/>
        <v>открыт</v>
      </c>
      <c r="AR51" s="2052" t="str">
        <f t="shared" si="17"/>
        <v>открыт</v>
      </c>
      <c r="AS51" s="2454"/>
      <c r="AT51" s="937" t="s">
        <v>743</v>
      </c>
      <c r="AU51" s="1095">
        <v>1967</v>
      </c>
      <c r="AV51" s="1101" t="s">
        <v>3218</v>
      </c>
      <c r="AW51" s="1103">
        <v>58.2898085836852</v>
      </c>
      <c r="AX51" s="1103">
        <v>36.138191362349801</v>
      </c>
    </row>
    <row r="52" spans="1:50" ht="15" customHeight="1" x14ac:dyDescent="0.25">
      <c r="A52" s="212">
        <v>36</v>
      </c>
      <c r="B52" s="212">
        <v>36</v>
      </c>
      <c r="C52" s="212" t="s">
        <v>923</v>
      </c>
      <c r="D52" s="230">
        <v>1</v>
      </c>
      <c r="E52" s="229" t="s">
        <v>773</v>
      </c>
      <c r="F52" s="229">
        <v>1</v>
      </c>
      <c r="G52" s="229"/>
      <c r="H52" s="228"/>
      <c r="I52" s="229" t="str">
        <f t="shared" si="4"/>
        <v>1+1</v>
      </c>
      <c r="J52" s="882">
        <v>0.05</v>
      </c>
      <c r="K52" s="1423">
        <v>0.69</v>
      </c>
      <c r="L52" s="1422" t="s">
        <v>334</v>
      </c>
      <c r="M52" s="172">
        <f t="shared" ref="M52:M78" si="21">J52-K52</f>
        <v>-0.6399999999999999</v>
      </c>
      <c r="N52" s="172">
        <v>0</v>
      </c>
      <c r="O52" s="880"/>
      <c r="P52" s="880">
        <f t="shared" ref="P52:P78" si="22">MIN(D52:F52)*1.05</f>
        <v>1.05</v>
      </c>
      <c r="Q52" s="172">
        <f t="shared" ref="Q52:Q59" si="23">P52-N52-M52</f>
        <v>1.69</v>
      </c>
      <c r="R52" s="172">
        <f>Q52</f>
        <v>1.69</v>
      </c>
      <c r="S52" s="757" t="str">
        <f t="shared" si="5"/>
        <v>открыт</v>
      </c>
      <c r="T52" s="2052" t="str">
        <f t="shared" si="6"/>
        <v>открыт</v>
      </c>
      <c r="U52" s="757">
        <f t="shared" ref="U52:U61" si="24">(J52*100)/P52</f>
        <v>4.7619047619047619</v>
      </c>
      <c r="V52" s="2254">
        <v>0.5</v>
      </c>
      <c r="W52" s="2254" t="s">
        <v>3397</v>
      </c>
      <c r="X52" s="912"/>
      <c r="Y52" s="212">
        <v>36</v>
      </c>
      <c r="Z52" s="228">
        <v>36</v>
      </c>
      <c r="AA52" s="212" t="s">
        <v>923</v>
      </c>
      <c r="AB52" s="230">
        <f t="shared" si="7"/>
        <v>1</v>
      </c>
      <c r="AC52" s="229" t="str">
        <f t="shared" ref="AC52:AC73" si="25">E52</f>
        <v>+</v>
      </c>
      <c r="AD52" s="229">
        <f t="shared" ref="AD52:AD73" si="26">F52</f>
        <v>1</v>
      </c>
      <c r="AE52" s="229"/>
      <c r="AF52" s="228"/>
      <c r="AG52" s="212" t="str">
        <f t="shared" si="8"/>
        <v>1+1</v>
      </c>
      <c r="AH52" s="172">
        <f>'Зона БЭс'!L93</f>
        <v>0</v>
      </c>
      <c r="AI52" s="172">
        <f t="shared" si="9"/>
        <v>0.05</v>
      </c>
      <c r="AJ52" s="1973">
        <f t="shared" si="10"/>
        <v>0.69</v>
      </c>
      <c r="AK52" s="212" t="str">
        <f t="shared" si="11"/>
        <v>1 сутки</v>
      </c>
      <c r="AL52" s="172">
        <f>AI52-AJ52</f>
        <v>-0.6399999999999999</v>
      </c>
      <c r="AM52" s="1973">
        <f t="shared" si="13"/>
        <v>0</v>
      </c>
      <c r="AN52" s="880">
        <f t="shared" ref="AN52:AN78" si="27">MIN(AB52:AF52)*1.05</f>
        <v>1.05</v>
      </c>
      <c r="AO52" s="172">
        <f t="shared" ref="AO52:AO78" si="28">AN52-AL52-AM52</f>
        <v>1.69</v>
      </c>
      <c r="AP52" s="172">
        <f t="shared" si="16"/>
        <v>1.69</v>
      </c>
      <c r="AQ52" s="757" t="str">
        <f t="shared" si="3"/>
        <v>открыт</v>
      </c>
      <c r="AR52" s="2052" t="str">
        <f t="shared" si="17"/>
        <v>открыт</v>
      </c>
      <c r="AS52" s="935">
        <f t="shared" ref="AS52:AS61" si="29">(AI52*100)/AN52</f>
        <v>4.7619047619047619</v>
      </c>
      <c r="AT52" s="937" t="s">
        <v>743</v>
      </c>
      <c r="AU52" s="1095">
        <v>1990</v>
      </c>
      <c r="AV52" s="1101" t="s">
        <v>3218</v>
      </c>
      <c r="AW52" s="1103">
        <v>58.285012691051499</v>
      </c>
      <c r="AX52" s="1103">
        <v>36.678206871206797</v>
      </c>
    </row>
    <row r="53" spans="1:50" ht="15" customHeight="1" x14ac:dyDescent="0.25">
      <c r="A53" s="212">
        <v>37</v>
      </c>
      <c r="B53" s="212">
        <v>37</v>
      </c>
      <c r="C53" s="212" t="s">
        <v>924</v>
      </c>
      <c r="D53" s="230">
        <v>2.5</v>
      </c>
      <c r="E53" s="229" t="s">
        <v>773</v>
      </c>
      <c r="F53" s="229">
        <v>4</v>
      </c>
      <c r="G53" s="229"/>
      <c r="H53" s="228"/>
      <c r="I53" s="229" t="str">
        <f t="shared" si="4"/>
        <v>2,5+4</v>
      </c>
      <c r="J53" s="882">
        <v>1.87</v>
      </c>
      <c r="K53" s="1423">
        <v>1.47</v>
      </c>
      <c r="L53" s="1422" t="s">
        <v>334</v>
      </c>
      <c r="M53" s="172">
        <f t="shared" si="21"/>
        <v>0.40000000000000013</v>
      </c>
      <c r="N53" s="172">
        <v>0</v>
      </c>
      <c r="O53" s="880"/>
      <c r="P53" s="880">
        <f>MIN(D53:F53)*1.05</f>
        <v>2.625</v>
      </c>
      <c r="Q53" s="172">
        <f t="shared" si="23"/>
        <v>2.2249999999999996</v>
      </c>
      <c r="R53" s="172">
        <f t="shared" ref="R53:R60" si="30">Q53</f>
        <v>2.2249999999999996</v>
      </c>
      <c r="S53" s="757" t="str">
        <f t="shared" si="5"/>
        <v>открыт</v>
      </c>
      <c r="T53" s="2052" t="str">
        <f t="shared" si="6"/>
        <v>открыт</v>
      </c>
      <c r="U53" s="757">
        <f t="shared" si="24"/>
        <v>71.238095238095241</v>
      </c>
      <c r="V53" s="2254">
        <v>0.44</v>
      </c>
      <c r="W53" s="2254" t="s">
        <v>3397</v>
      </c>
      <c r="X53" s="912"/>
      <c r="Y53" s="212">
        <v>37</v>
      </c>
      <c r="Z53" s="228">
        <v>37</v>
      </c>
      <c r="AA53" s="212" t="s">
        <v>924</v>
      </c>
      <c r="AB53" s="230">
        <f t="shared" si="7"/>
        <v>2.5</v>
      </c>
      <c r="AC53" s="229" t="str">
        <f t="shared" si="25"/>
        <v>+</v>
      </c>
      <c r="AD53" s="229">
        <f t="shared" si="26"/>
        <v>4</v>
      </c>
      <c r="AE53" s="229"/>
      <c r="AF53" s="228"/>
      <c r="AG53" s="212" t="str">
        <f t="shared" si="8"/>
        <v>2,5+4</v>
      </c>
      <c r="AH53" s="172">
        <f>'Зона БЭс'!L100</f>
        <v>0</v>
      </c>
      <c r="AI53" s="172">
        <f t="shared" si="9"/>
        <v>1.87</v>
      </c>
      <c r="AJ53" s="1973">
        <f t="shared" si="10"/>
        <v>1.47</v>
      </c>
      <c r="AK53" s="212" t="str">
        <f t="shared" si="11"/>
        <v>1 сутки</v>
      </c>
      <c r="AL53" s="172">
        <f t="shared" ref="AL53:AL78" si="31">AI53-AJ53</f>
        <v>0.40000000000000013</v>
      </c>
      <c r="AM53" s="1973">
        <f t="shared" si="13"/>
        <v>0</v>
      </c>
      <c r="AN53" s="880">
        <f t="shared" si="27"/>
        <v>2.625</v>
      </c>
      <c r="AO53" s="172">
        <f t="shared" si="28"/>
        <v>2.2249999999999996</v>
      </c>
      <c r="AP53" s="172">
        <f t="shared" si="16"/>
        <v>2.2249999999999996</v>
      </c>
      <c r="AQ53" s="757" t="str">
        <f t="shared" si="3"/>
        <v>открыт</v>
      </c>
      <c r="AR53" s="2052" t="str">
        <f t="shared" si="17"/>
        <v>открыт</v>
      </c>
      <c r="AS53" s="935">
        <f t="shared" si="29"/>
        <v>71.238095238095241</v>
      </c>
      <c r="AT53" s="937" t="s">
        <v>743</v>
      </c>
      <c r="AU53" s="1095">
        <v>1967</v>
      </c>
      <c r="AV53" s="213">
        <v>2011</v>
      </c>
      <c r="AW53" s="1103">
        <v>58.2957611052909</v>
      </c>
      <c r="AX53" s="1103">
        <v>35.522793476085099</v>
      </c>
    </row>
    <row r="54" spans="1:50" ht="15" customHeight="1" x14ac:dyDescent="0.25">
      <c r="A54" s="212">
        <v>38</v>
      </c>
      <c r="B54" s="212">
        <v>38</v>
      </c>
      <c r="C54" s="212" t="s">
        <v>925</v>
      </c>
      <c r="D54" s="230">
        <v>6.3</v>
      </c>
      <c r="E54" s="229" t="s">
        <v>773</v>
      </c>
      <c r="F54" s="229">
        <v>4</v>
      </c>
      <c r="G54" s="229"/>
      <c r="H54" s="228"/>
      <c r="I54" s="229" t="str">
        <f t="shared" si="4"/>
        <v>6,3+4</v>
      </c>
      <c r="J54" s="882">
        <v>4.6500000000000004</v>
      </c>
      <c r="K54" s="1423">
        <v>1.73</v>
      </c>
      <c r="L54" s="1422" t="s">
        <v>334</v>
      </c>
      <c r="M54" s="172">
        <f t="shared" si="21"/>
        <v>2.9200000000000004</v>
      </c>
      <c r="N54" s="172">
        <v>0</v>
      </c>
      <c r="O54" s="880"/>
      <c r="P54" s="880">
        <f>MIN(D54:F54)*1.05</f>
        <v>4.2</v>
      </c>
      <c r="Q54" s="172">
        <f t="shared" si="23"/>
        <v>1.2799999999999998</v>
      </c>
      <c r="R54" s="172">
        <f t="shared" si="30"/>
        <v>1.2799999999999998</v>
      </c>
      <c r="S54" s="757" t="str">
        <f t="shared" si="5"/>
        <v>открыт</v>
      </c>
      <c r="T54" s="2052" t="str">
        <f t="shared" si="6"/>
        <v>открыт</v>
      </c>
      <c r="U54" s="757">
        <f t="shared" si="24"/>
        <v>110.71428571428572</v>
      </c>
      <c r="V54" s="2254">
        <v>0.4</v>
      </c>
      <c r="W54" s="2254" t="s">
        <v>3397</v>
      </c>
      <c r="X54" s="912"/>
      <c r="Y54" s="212">
        <v>38</v>
      </c>
      <c r="Z54" s="228">
        <v>38</v>
      </c>
      <c r="AA54" s="212" t="s">
        <v>925</v>
      </c>
      <c r="AB54" s="230">
        <f t="shared" si="7"/>
        <v>6.3</v>
      </c>
      <c r="AC54" s="229" t="str">
        <f t="shared" si="25"/>
        <v>+</v>
      </c>
      <c r="AD54" s="229">
        <f t="shared" si="26"/>
        <v>4</v>
      </c>
      <c r="AE54" s="229"/>
      <c r="AF54" s="228"/>
      <c r="AG54" s="212" t="str">
        <f t="shared" si="8"/>
        <v>6,3+4</v>
      </c>
      <c r="AH54" s="172">
        <f>'Зона БЭс'!L115</f>
        <v>0.18570652173913044</v>
      </c>
      <c r="AI54" s="172">
        <f t="shared" si="9"/>
        <v>4.8357065217391311</v>
      </c>
      <c r="AJ54" s="1973">
        <f t="shared" si="10"/>
        <v>1.73</v>
      </c>
      <c r="AK54" s="212" t="str">
        <f t="shared" si="11"/>
        <v>1 сутки</v>
      </c>
      <c r="AL54" s="172">
        <f t="shared" si="31"/>
        <v>3.1057065217391311</v>
      </c>
      <c r="AM54" s="1973">
        <f t="shared" si="13"/>
        <v>0</v>
      </c>
      <c r="AN54" s="880">
        <f t="shared" si="27"/>
        <v>4.2</v>
      </c>
      <c r="AO54" s="172">
        <f t="shared" si="28"/>
        <v>1.0942934782608691</v>
      </c>
      <c r="AP54" s="172">
        <f t="shared" si="16"/>
        <v>1.0942934782608691</v>
      </c>
      <c r="AQ54" s="757" t="str">
        <f t="shared" si="3"/>
        <v>открыт</v>
      </c>
      <c r="AR54" s="2052" t="str">
        <f t="shared" si="17"/>
        <v>открыт</v>
      </c>
      <c r="AS54" s="935">
        <f t="shared" si="29"/>
        <v>115.1358695652174</v>
      </c>
      <c r="AT54" s="937" t="s">
        <v>743</v>
      </c>
      <c r="AU54" s="1095">
        <v>1964</v>
      </c>
      <c r="AV54" s="213">
        <v>2011</v>
      </c>
      <c r="AW54" s="1103">
        <v>57.775240333090302</v>
      </c>
      <c r="AX54" s="1103">
        <v>35.932209388654101</v>
      </c>
    </row>
    <row r="55" spans="1:50" ht="15" customHeight="1" x14ac:dyDescent="0.25">
      <c r="A55" s="212">
        <v>39</v>
      </c>
      <c r="B55" s="212">
        <v>39</v>
      </c>
      <c r="C55" s="212" t="s">
        <v>926</v>
      </c>
      <c r="D55" s="230">
        <v>4</v>
      </c>
      <c r="E55" s="229" t="s">
        <v>773</v>
      </c>
      <c r="F55" s="229">
        <v>2.5</v>
      </c>
      <c r="G55" s="229"/>
      <c r="H55" s="228"/>
      <c r="I55" s="229" t="str">
        <f t="shared" si="4"/>
        <v>4+2,5</v>
      </c>
      <c r="J55" s="882">
        <v>1.79</v>
      </c>
      <c r="K55" s="1423">
        <v>1.1200000000000001</v>
      </c>
      <c r="L55" s="1422" t="s">
        <v>334</v>
      </c>
      <c r="M55" s="172">
        <f t="shared" si="21"/>
        <v>0.66999999999999993</v>
      </c>
      <c r="N55" s="172">
        <v>0</v>
      </c>
      <c r="O55" s="880"/>
      <c r="P55" s="880">
        <f t="shared" si="22"/>
        <v>2.625</v>
      </c>
      <c r="Q55" s="172">
        <f t="shared" si="23"/>
        <v>1.9550000000000001</v>
      </c>
      <c r="R55" s="172">
        <f t="shared" si="30"/>
        <v>1.9550000000000001</v>
      </c>
      <c r="S55" s="757" t="str">
        <f t="shared" si="5"/>
        <v>открыт</v>
      </c>
      <c r="T55" s="2052" t="str">
        <f t="shared" si="6"/>
        <v>открыт</v>
      </c>
      <c r="U55" s="757">
        <f t="shared" si="24"/>
        <v>68.19047619047619</v>
      </c>
      <c r="V55" s="2254">
        <v>0.44</v>
      </c>
      <c r="W55" s="2254" t="s">
        <v>3397</v>
      </c>
      <c r="X55" s="912"/>
      <c r="Y55" s="212">
        <v>39</v>
      </c>
      <c r="Z55" s="228">
        <v>39</v>
      </c>
      <c r="AA55" s="212" t="s">
        <v>926</v>
      </c>
      <c r="AB55" s="230">
        <f t="shared" si="7"/>
        <v>4</v>
      </c>
      <c r="AC55" s="229" t="str">
        <f t="shared" si="25"/>
        <v>+</v>
      </c>
      <c r="AD55" s="229">
        <f t="shared" si="26"/>
        <v>2.5</v>
      </c>
      <c r="AE55" s="229"/>
      <c r="AF55" s="228"/>
      <c r="AG55" s="212" t="str">
        <f t="shared" si="8"/>
        <v>4+2,5</v>
      </c>
      <c r="AH55" s="172">
        <f>'Зона БЭс'!L123</f>
        <v>0.13108695652173913</v>
      </c>
      <c r="AI55" s="172">
        <f t="shared" si="9"/>
        <v>1.9210869565217392</v>
      </c>
      <c r="AJ55" s="1973">
        <f t="shared" si="10"/>
        <v>1.1200000000000001</v>
      </c>
      <c r="AK55" s="212" t="str">
        <f t="shared" si="11"/>
        <v>1 сутки</v>
      </c>
      <c r="AL55" s="172">
        <f t="shared" si="31"/>
        <v>0.80108695652173911</v>
      </c>
      <c r="AM55" s="1973">
        <f t="shared" si="13"/>
        <v>0</v>
      </c>
      <c r="AN55" s="880">
        <f t="shared" si="27"/>
        <v>2.625</v>
      </c>
      <c r="AO55" s="172">
        <f t="shared" si="28"/>
        <v>1.8239130434782609</v>
      </c>
      <c r="AP55" s="172">
        <f t="shared" si="16"/>
        <v>1.8239130434782609</v>
      </c>
      <c r="AQ55" s="757" t="str">
        <f t="shared" si="3"/>
        <v>открыт</v>
      </c>
      <c r="AR55" s="2052" t="str">
        <f t="shared" si="17"/>
        <v>открыт</v>
      </c>
      <c r="AS55" s="935">
        <f t="shared" si="29"/>
        <v>73.184265010351979</v>
      </c>
      <c r="AT55" s="937" t="s">
        <v>743</v>
      </c>
      <c r="AU55" s="1095">
        <v>1961</v>
      </c>
      <c r="AV55" s="1101" t="s">
        <v>3218</v>
      </c>
      <c r="AW55" s="1103">
        <v>58.149503084579898</v>
      </c>
      <c r="AX55" s="1103">
        <v>36.754327949918697</v>
      </c>
    </row>
    <row r="56" spans="1:50" ht="15" customHeight="1" x14ac:dyDescent="0.25">
      <c r="A56" s="212">
        <v>40</v>
      </c>
      <c r="B56" s="212">
        <v>40</v>
      </c>
      <c r="C56" s="212" t="s">
        <v>927</v>
      </c>
      <c r="D56" s="230">
        <v>2.5</v>
      </c>
      <c r="E56" s="229" t="s">
        <v>773</v>
      </c>
      <c r="F56" s="229">
        <v>2.5</v>
      </c>
      <c r="G56" s="229"/>
      <c r="H56" s="228"/>
      <c r="I56" s="229" t="str">
        <f t="shared" si="4"/>
        <v>2,5+2,5</v>
      </c>
      <c r="J56" s="882">
        <v>0.18</v>
      </c>
      <c r="K56" s="1423">
        <v>0</v>
      </c>
      <c r="L56" s="1422">
        <v>0</v>
      </c>
      <c r="M56" s="172">
        <f t="shared" si="21"/>
        <v>0.18</v>
      </c>
      <c r="N56" s="172">
        <v>0</v>
      </c>
      <c r="O56" s="880"/>
      <c r="P56" s="880">
        <f t="shared" si="22"/>
        <v>2.625</v>
      </c>
      <c r="Q56" s="172">
        <f t="shared" si="23"/>
        <v>2.4449999999999998</v>
      </c>
      <c r="R56" s="172">
        <f t="shared" si="30"/>
        <v>2.4449999999999998</v>
      </c>
      <c r="S56" s="757" t="str">
        <f t="shared" si="5"/>
        <v>открыт</v>
      </c>
      <c r="T56" s="2052" t="str">
        <f t="shared" si="6"/>
        <v>открыт</v>
      </c>
      <c r="U56" s="757">
        <f t="shared" si="24"/>
        <v>6.8571428571428568</v>
      </c>
      <c r="V56" s="2254">
        <v>0.5</v>
      </c>
      <c r="W56" s="2254" t="s">
        <v>3397</v>
      </c>
      <c r="X56" s="912"/>
      <c r="Y56" s="212">
        <v>40</v>
      </c>
      <c r="Z56" s="228">
        <v>40</v>
      </c>
      <c r="AA56" s="212" t="s">
        <v>927</v>
      </c>
      <c r="AB56" s="230">
        <f t="shared" si="7"/>
        <v>2.5</v>
      </c>
      <c r="AC56" s="229" t="str">
        <f t="shared" si="25"/>
        <v>+</v>
      </c>
      <c r="AD56" s="229">
        <f t="shared" si="26"/>
        <v>2.5</v>
      </c>
      <c r="AE56" s="229"/>
      <c r="AF56" s="228"/>
      <c r="AG56" s="212" t="str">
        <f t="shared" si="8"/>
        <v>2,5+2,5</v>
      </c>
      <c r="AH56" s="172">
        <f>'Зона БЭс'!L125</f>
        <v>0</v>
      </c>
      <c r="AI56" s="172">
        <f t="shared" si="9"/>
        <v>0.18</v>
      </c>
      <c r="AJ56" s="1973">
        <f t="shared" si="10"/>
        <v>0</v>
      </c>
      <c r="AK56" s="212">
        <f t="shared" si="11"/>
        <v>0</v>
      </c>
      <c r="AL56" s="172">
        <f t="shared" si="31"/>
        <v>0.18</v>
      </c>
      <c r="AM56" s="1973">
        <f t="shared" si="13"/>
        <v>0</v>
      </c>
      <c r="AN56" s="880">
        <f t="shared" si="27"/>
        <v>2.625</v>
      </c>
      <c r="AO56" s="172">
        <f t="shared" si="28"/>
        <v>2.4449999999999998</v>
      </c>
      <c r="AP56" s="172">
        <f t="shared" si="16"/>
        <v>2.4449999999999998</v>
      </c>
      <c r="AQ56" s="757" t="str">
        <f t="shared" si="3"/>
        <v>открыт</v>
      </c>
      <c r="AR56" s="2052" t="str">
        <f t="shared" si="17"/>
        <v>открыт</v>
      </c>
      <c r="AS56" s="935">
        <f t="shared" si="29"/>
        <v>6.8571428571428568</v>
      </c>
      <c r="AT56" s="937" t="s">
        <v>743</v>
      </c>
      <c r="AU56" s="1095">
        <v>1978</v>
      </c>
      <c r="AV56" s="1101" t="s">
        <v>3218</v>
      </c>
      <c r="AW56" s="1103">
        <v>58.064675135796001</v>
      </c>
      <c r="AX56" s="1103">
        <v>36.619704493160597</v>
      </c>
    </row>
    <row r="57" spans="1:50" ht="15" customHeight="1" x14ac:dyDescent="0.25">
      <c r="A57" s="212">
        <v>41</v>
      </c>
      <c r="B57" s="212">
        <v>41</v>
      </c>
      <c r="C57" s="212" t="s">
        <v>928</v>
      </c>
      <c r="D57" s="230">
        <v>1.6</v>
      </c>
      <c r="E57" s="229" t="s">
        <v>773</v>
      </c>
      <c r="F57" s="229">
        <v>2.5</v>
      </c>
      <c r="G57" s="229"/>
      <c r="H57" s="228"/>
      <c r="I57" s="229" t="str">
        <f t="shared" si="4"/>
        <v>1,6+2,5</v>
      </c>
      <c r="J57" s="882">
        <v>1.1200000000000001</v>
      </c>
      <c r="K57" s="1423">
        <v>1.43</v>
      </c>
      <c r="L57" s="1422" t="s">
        <v>334</v>
      </c>
      <c r="M57" s="172">
        <f t="shared" si="21"/>
        <v>-0.30999999999999983</v>
      </c>
      <c r="N57" s="172">
        <v>0</v>
      </c>
      <c r="O57" s="880"/>
      <c r="P57" s="880">
        <f t="shared" si="22"/>
        <v>1.6800000000000002</v>
      </c>
      <c r="Q57" s="172">
        <f t="shared" si="23"/>
        <v>1.99</v>
      </c>
      <c r="R57" s="172">
        <f t="shared" si="30"/>
        <v>1.99</v>
      </c>
      <c r="S57" s="757" t="str">
        <f t="shared" si="5"/>
        <v>открыт</v>
      </c>
      <c r="T57" s="2052" t="str">
        <f t="shared" si="6"/>
        <v>открыт</v>
      </c>
      <c r="U57" s="757">
        <f t="shared" si="24"/>
        <v>66.666666666666671</v>
      </c>
      <c r="V57" s="2254">
        <v>0.44</v>
      </c>
      <c r="W57" s="2254" t="s">
        <v>3397</v>
      </c>
      <c r="X57" s="912"/>
      <c r="Y57" s="212">
        <v>41</v>
      </c>
      <c r="Z57" s="228">
        <v>41</v>
      </c>
      <c r="AA57" s="212" t="s">
        <v>928</v>
      </c>
      <c r="AB57" s="230">
        <f t="shared" si="7"/>
        <v>1.6</v>
      </c>
      <c r="AC57" s="229" t="str">
        <f t="shared" si="25"/>
        <v>+</v>
      </c>
      <c r="AD57" s="229">
        <f t="shared" si="26"/>
        <v>2.5</v>
      </c>
      <c r="AE57" s="229"/>
      <c r="AF57" s="228"/>
      <c r="AG57" s="212" t="str">
        <f t="shared" si="8"/>
        <v>1,6+2,5</v>
      </c>
      <c r="AH57" s="172">
        <f>'Зона БЭс'!L127</f>
        <v>0</v>
      </c>
      <c r="AI57" s="172">
        <f t="shared" si="9"/>
        <v>1.1200000000000001</v>
      </c>
      <c r="AJ57" s="1973">
        <f t="shared" si="10"/>
        <v>1.43</v>
      </c>
      <c r="AK57" s="212" t="str">
        <f t="shared" si="11"/>
        <v>1 сутки</v>
      </c>
      <c r="AL57" s="172">
        <f t="shared" si="31"/>
        <v>-0.30999999999999983</v>
      </c>
      <c r="AM57" s="1973">
        <f t="shared" si="13"/>
        <v>0</v>
      </c>
      <c r="AN57" s="880">
        <f t="shared" si="27"/>
        <v>1.6800000000000002</v>
      </c>
      <c r="AO57" s="172">
        <f t="shared" si="28"/>
        <v>1.99</v>
      </c>
      <c r="AP57" s="172">
        <f t="shared" si="16"/>
        <v>1.99</v>
      </c>
      <c r="AQ57" s="757" t="str">
        <f t="shared" si="3"/>
        <v>открыт</v>
      </c>
      <c r="AR57" s="2052" t="str">
        <f t="shared" si="17"/>
        <v>открыт</v>
      </c>
      <c r="AS57" s="935">
        <f t="shared" si="29"/>
        <v>66.666666666666671</v>
      </c>
      <c r="AT57" s="937" t="s">
        <v>743</v>
      </c>
      <c r="AU57" s="1095">
        <v>1975</v>
      </c>
      <c r="AV57" s="1101" t="s">
        <v>3218</v>
      </c>
      <c r="AW57" s="1103">
        <v>57.632090002592399</v>
      </c>
      <c r="AX57" s="1103">
        <v>35.908846469797197</v>
      </c>
    </row>
    <row r="58" spans="1:50" ht="15" customHeight="1" x14ac:dyDescent="0.25">
      <c r="A58" s="212">
        <v>42</v>
      </c>
      <c r="B58" s="212">
        <v>42</v>
      </c>
      <c r="C58" s="212" t="s">
        <v>929</v>
      </c>
      <c r="D58" s="230">
        <v>4</v>
      </c>
      <c r="E58" s="229" t="s">
        <v>773</v>
      </c>
      <c r="F58" s="229">
        <v>3.2</v>
      </c>
      <c r="G58" s="229"/>
      <c r="H58" s="228"/>
      <c r="I58" s="229" t="str">
        <f t="shared" si="4"/>
        <v>4+3,2</v>
      </c>
      <c r="J58" s="882">
        <v>3.8</v>
      </c>
      <c r="K58" s="1423">
        <v>2.21</v>
      </c>
      <c r="L58" s="1422" t="s">
        <v>334</v>
      </c>
      <c r="M58" s="172">
        <f t="shared" si="21"/>
        <v>1.5899999999999999</v>
      </c>
      <c r="N58" s="172">
        <v>0</v>
      </c>
      <c r="O58" s="880"/>
      <c r="P58" s="880">
        <f t="shared" si="22"/>
        <v>3.3600000000000003</v>
      </c>
      <c r="Q58" s="172">
        <f t="shared" si="23"/>
        <v>1.7700000000000005</v>
      </c>
      <c r="R58" s="172">
        <f t="shared" si="30"/>
        <v>1.7700000000000005</v>
      </c>
      <c r="S58" s="757" t="str">
        <f t="shared" si="5"/>
        <v>открыт</v>
      </c>
      <c r="T58" s="2052" t="str">
        <f t="shared" si="6"/>
        <v>открыт</v>
      </c>
      <c r="U58" s="757">
        <f t="shared" si="24"/>
        <v>113.09523809523809</v>
      </c>
      <c r="V58" s="2254">
        <v>0.44</v>
      </c>
      <c r="W58" s="2254" t="s">
        <v>3397</v>
      </c>
      <c r="X58" s="912"/>
      <c r="Y58" s="212">
        <v>42</v>
      </c>
      <c r="Z58" s="228">
        <v>42</v>
      </c>
      <c r="AA58" s="212" t="s">
        <v>929</v>
      </c>
      <c r="AB58" s="230">
        <f t="shared" si="7"/>
        <v>4</v>
      </c>
      <c r="AC58" s="229" t="str">
        <f t="shared" si="25"/>
        <v>+</v>
      </c>
      <c r="AD58" s="229">
        <f t="shared" si="26"/>
        <v>3.2</v>
      </c>
      <c r="AE58" s="229"/>
      <c r="AF58" s="228"/>
      <c r="AG58" s="212" t="str">
        <f t="shared" si="8"/>
        <v>4+3,2</v>
      </c>
      <c r="AH58" s="172">
        <f>'Зона БЭс'!L132</f>
        <v>0</v>
      </c>
      <c r="AI58" s="172">
        <f t="shared" si="9"/>
        <v>3.8</v>
      </c>
      <c r="AJ58" s="1973">
        <f t="shared" si="10"/>
        <v>2.21</v>
      </c>
      <c r="AK58" s="212" t="str">
        <f t="shared" si="11"/>
        <v>1 сутки</v>
      </c>
      <c r="AL58" s="172">
        <f t="shared" si="31"/>
        <v>1.5899999999999999</v>
      </c>
      <c r="AM58" s="1973">
        <f t="shared" si="13"/>
        <v>0</v>
      </c>
      <c r="AN58" s="880">
        <f t="shared" si="27"/>
        <v>3.3600000000000003</v>
      </c>
      <c r="AO58" s="172">
        <f t="shared" si="28"/>
        <v>1.7700000000000005</v>
      </c>
      <c r="AP58" s="172">
        <f t="shared" si="16"/>
        <v>1.7700000000000005</v>
      </c>
      <c r="AQ58" s="757" t="str">
        <f t="shared" si="3"/>
        <v>открыт</v>
      </c>
      <c r="AR58" s="2052" t="str">
        <f t="shared" si="17"/>
        <v>открыт</v>
      </c>
      <c r="AS58" s="935">
        <f t="shared" si="29"/>
        <v>113.09523809523809</v>
      </c>
      <c r="AT58" s="937" t="s">
        <v>743</v>
      </c>
      <c r="AU58" s="1095">
        <v>1961</v>
      </c>
      <c r="AV58" s="1101" t="s">
        <v>3218</v>
      </c>
      <c r="AW58" s="1103">
        <v>57.781191947557701</v>
      </c>
      <c r="AX58" s="1103">
        <v>37.158502657856097</v>
      </c>
    </row>
    <row r="59" spans="1:50" ht="15" customHeight="1" x14ac:dyDescent="0.25">
      <c r="A59" s="212">
        <v>43</v>
      </c>
      <c r="B59" s="212">
        <v>43</v>
      </c>
      <c r="C59" s="212" t="s">
        <v>930</v>
      </c>
      <c r="D59" s="230">
        <v>1.6</v>
      </c>
      <c r="E59" s="229" t="s">
        <v>773</v>
      </c>
      <c r="F59" s="229">
        <v>2.5</v>
      </c>
      <c r="G59" s="229"/>
      <c r="H59" s="228"/>
      <c r="I59" s="229" t="str">
        <f t="shared" si="4"/>
        <v>1,6+2,5</v>
      </c>
      <c r="J59" s="882">
        <v>0.43</v>
      </c>
      <c r="K59" s="1423">
        <v>0.73</v>
      </c>
      <c r="L59" s="1422" t="s">
        <v>334</v>
      </c>
      <c r="M59" s="172">
        <f t="shared" si="21"/>
        <v>-0.3</v>
      </c>
      <c r="N59" s="172">
        <v>0</v>
      </c>
      <c r="O59" s="880"/>
      <c r="P59" s="880">
        <f t="shared" si="22"/>
        <v>1.6800000000000002</v>
      </c>
      <c r="Q59" s="172">
        <f t="shared" si="23"/>
        <v>1.9800000000000002</v>
      </c>
      <c r="R59" s="172">
        <f t="shared" si="30"/>
        <v>1.9800000000000002</v>
      </c>
      <c r="S59" s="757" t="str">
        <f>T59</f>
        <v>открыт</v>
      </c>
      <c r="T59" s="2052" t="str">
        <f t="shared" si="6"/>
        <v>открыт</v>
      </c>
      <c r="U59" s="757">
        <f t="shared" si="24"/>
        <v>25.595238095238091</v>
      </c>
      <c r="V59" s="2254">
        <v>0.44</v>
      </c>
      <c r="W59" s="2254" t="s">
        <v>3397</v>
      </c>
      <c r="X59" s="912"/>
      <c r="Y59" s="212">
        <v>43</v>
      </c>
      <c r="Z59" s="228">
        <v>43</v>
      </c>
      <c r="AA59" s="212" t="s">
        <v>930</v>
      </c>
      <c r="AB59" s="230">
        <f t="shared" si="7"/>
        <v>1.6</v>
      </c>
      <c r="AC59" s="229" t="str">
        <f t="shared" si="25"/>
        <v>+</v>
      </c>
      <c r="AD59" s="229">
        <f t="shared" si="26"/>
        <v>2.5</v>
      </c>
      <c r="AE59" s="229"/>
      <c r="AF59" s="228"/>
      <c r="AG59" s="212" t="str">
        <f t="shared" si="8"/>
        <v>1,6+2,5</v>
      </c>
      <c r="AH59" s="172">
        <f>'Зона БЭс'!L134</f>
        <v>0</v>
      </c>
      <c r="AI59" s="172">
        <f t="shared" si="9"/>
        <v>0.43</v>
      </c>
      <c r="AJ59" s="1973">
        <f t="shared" si="10"/>
        <v>0.73</v>
      </c>
      <c r="AK59" s="212" t="str">
        <f t="shared" si="11"/>
        <v>1 сутки</v>
      </c>
      <c r="AL59" s="172">
        <f t="shared" si="31"/>
        <v>-0.3</v>
      </c>
      <c r="AM59" s="1973">
        <f t="shared" si="13"/>
        <v>0</v>
      </c>
      <c r="AN59" s="880">
        <f t="shared" si="27"/>
        <v>1.6800000000000002</v>
      </c>
      <c r="AO59" s="172">
        <f t="shared" si="28"/>
        <v>1.9800000000000002</v>
      </c>
      <c r="AP59" s="172">
        <f t="shared" si="16"/>
        <v>1.9800000000000002</v>
      </c>
      <c r="AQ59" s="757" t="str">
        <f t="shared" si="3"/>
        <v>открыт</v>
      </c>
      <c r="AR59" s="2052" t="str">
        <f t="shared" si="17"/>
        <v>открыт</v>
      </c>
      <c r="AS59" s="935">
        <f t="shared" si="29"/>
        <v>25.595238095238091</v>
      </c>
      <c r="AT59" s="937" t="s">
        <v>743</v>
      </c>
      <c r="AU59" s="1095">
        <v>1983</v>
      </c>
      <c r="AV59" s="1101" t="s">
        <v>3218</v>
      </c>
      <c r="AW59" s="1103">
        <v>57.966819952449299</v>
      </c>
      <c r="AX59" s="1103">
        <v>36.8193100945184</v>
      </c>
    </row>
    <row r="60" spans="1:50" ht="15" customHeight="1" x14ac:dyDescent="0.25">
      <c r="A60" s="212">
        <v>44</v>
      </c>
      <c r="B60" s="212">
        <v>44</v>
      </c>
      <c r="C60" s="212" t="s">
        <v>931</v>
      </c>
      <c r="D60" s="230">
        <v>6.3</v>
      </c>
      <c r="E60" s="229" t="s">
        <v>773</v>
      </c>
      <c r="F60" s="229">
        <v>6.3</v>
      </c>
      <c r="G60" s="229"/>
      <c r="H60" s="228"/>
      <c r="I60" s="229" t="str">
        <f t="shared" si="4"/>
        <v>6,3+6,3</v>
      </c>
      <c r="J60" s="882">
        <v>0.6</v>
      </c>
      <c r="K60" s="1423">
        <v>0.98</v>
      </c>
      <c r="L60" s="1422" t="s">
        <v>334</v>
      </c>
      <c r="M60" s="172">
        <f t="shared" si="21"/>
        <v>-0.38</v>
      </c>
      <c r="N60" s="172">
        <v>0</v>
      </c>
      <c r="O60" s="880"/>
      <c r="P60" s="880">
        <f t="shared" si="22"/>
        <v>6.6150000000000002</v>
      </c>
      <c r="Q60" s="172">
        <f t="shared" ref="Q60:Q78" si="32">P60-M60-N60</f>
        <v>6.9950000000000001</v>
      </c>
      <c r="R60" s="172">
        <f t="shared" si="30"/>
        <v>6.9950000000000001</v>
      </c>
      <c r="S60" s="757" t="str">
        <f t="shared" si="5"/>
        <v>открыт</v>
      </c>
      <c r="T60" s="2052" t="str">
        <f t="shared" si="6"/>
        <v>открыт</v>
      </c>
      <c r="U60" s="757">
        <f t="shared" si="24"/>
        <v>9.0702947845804989</v>
      </c>
      <c r="V60" s="2254">
        <v>0.44</v>
      </c>
      <c r="W60" s="2254" t="s">
        <v>3397</v>
      </c>
      <c r="X60" s="912"/>
      <c r="Y60" s="212">
        <v>44</v>
      </c>
      <c r="Z60" s="228">
        <v>44</v>
      </c>
      <c r="AA60" s="212" t="s">
        <v>931</v>
      </c>
      <c r="AB60" s="230">
        <f t="shared" si="7"/>
        <v>6.3</v>
      </c>
      <c r="AC60" s="229" t="str">
        <f t="shared" si="25"/>
        <v>+</v>
      </c>
      <c r="AD60" s="229">
        <f t="shared" si="26"/>
        <v>6.3</v>
      </c>
      <c r="AE60" s="229"/>
      <c r="AF60" s="228"/>
      <c r="AG60" s="212" t="str">
        <f t="shared" si="8"/>
        <v>6,3+6,3</v>
      </c>
      <c r="AH60" s="172">
        <f>'Зона БЭс'!L141</f>
        <v>2.0421195652173916</v>
      </c>
      <c r="AI60" s="172">
        <f>AH60+J60</f>
        <v>2.6421195652173917</v>
      </c>
      <c r="AJ60" s="1973">
        <f t="shared" si="10"/>
        <v>0.98</v>
      </c>
      <c r="AK60" s="212" t="str">
        <f t="shared" si="11"/>
        <v>1 сутки</v>
      </c>
      <c r="AL60" s="172">
        <f t="shared" si="31"/>
        <v>1.6621195652173917</v>
      </c>
      <c r="AM60" s="1973">
        <f t="shared" si="13"/>
        <v>0</v>
      </c>
      <c r="AN60" s="880">
        <f t="shared" si="27"/>
        <v>6.6150000000000002</v>
      </c>
      <c r="AO60" s="172">
        <f t="shared" si="28"/>
        <v>4.9528804347826085</v>
      </c>
      <c r="AP60" s="172">
        <f t="shared" si="16"/>
        <v>4.9528804347826085</v>
      </c>
      <c r="AQ60" s="757" t="str">
        <f t="shared" si="3"/>
        <v>открыт</v>
      </c>
      <c r="AR60" s="2052" t="str">
        <f t="shared" si="17"/>
        <v>открыт</v>
      </c>
      <c r="AS60" s="935">
        <f t="shared" si="29"/>
        <v>39.941338854382337</v>
      </c>
      <c r="AT60" s="937" t="s">
        <v>743</v>
      </c>
      <c r="AU60" s="1095">
        <v>1975</v>
      </c>
      <c r="AV60" s="1101" t="s">
        <v>3218</v>
      </c>
      <c r="AW60" s="1103">
        <v>57.793758057565199</v>
      </c>
      <c r="AX60" s="1103">
        <v>36.461193560361203</v>
      </c>
    </row>
    <row r="61" spans="1:50" ht="15" customHeight="1" x14ac:dyDescent="0.25">
      <c r="A61" s="2419">
        <v>45</v>
      </c>
      <c r="B61" s="2419">
        <v>45</v>
      </c>
      <c r="C61" s="212" t="s">
        <v>932</v>
      </c>
      <c r="D61" s="230">
        <v>6.3</v>
      </c>
      <c r="E61" s="229" t="s">
        <v>773</v>
      </c>
      <c r="F61" s="229">
        <v>6.3</v>
      </c>
      <c r="G61" s="229"/>
      <c r="H61" s="228"/>
      <c r="I61" s="229" t="str">
        <f t="shared" si="4"/>
        <v>6,3+6,3</v>
      </c>
      <c r="J61" s="882">
        <v>4.0599999999999996</v>
      </c>
      <c r="K61" s="1423">
        <v>0.21</v>
      </c>
      <c r="L61" s="1422" t="s">
        <v>334</v>
      </c>
      <c r="M61" s="172">
        <f t="shared" si="21"/>
        <v>3.8499999999999996</v>
      </c>
      <c r="N61" s="172">
        <v>0</v>
      </c>
      <c r="O61" s="880"/>
      <c r="P61" s="880">
        <f t="shared" si="22"/>
        <v>6.6150000000000002</v>
      </c>
      <c r="Q61" s="172">
        <f t="shared" si="32"/>
        <v>2.7650000000000006</v>
      </c>
      <c r="R61" s="2420">
        <f>MIN(Q61:Q63)</f>
        <v>2.5550000000000006</v>
      </c>
      <c r="S61" s="2400" t="str">
        <f>T61</f>
        <v>открыт</v>
      </c>
      <c r="T61" s="2052" t="str">
        <f t="shared" si="6"/>
        <v>открыт</v>
      </c>
      <c r="U61" s="2400">
        <f t="shared" si="24"/>
        <v>61.375661375661366</v>
      </c>
      <c r="V61" s="2400">
        <v>0.44</v>
      </c>
      <c r="W61" s="2400" t="s">
        <v>3397</v>
      </c>
      <c r="X61" s="912"/>
      <c r="Y61" s="2419">
        <v>45</v>
      </c>
      <c r="Z61" s="2411">
        <v>45</v>
      </c>
      <c r="AA61" s="212" t="s">
        <v>932</v>
      </c>
      <c r="AB61" s="230">
        <f t="shared" si="7"/>
        <v>6.3</v>
      </c>
      <c r="AC61" s="229" t="str">
        <f t="shared" si="25"/>
        <v>+</v>
      </c>
      <c r="AD61" s="229">
        <f t="shared" si="26"/>
        <v>6.3</v>
      </c>
      <c r="AE61" s="229"/>
      <c r="AF61" s="228"/>
      <c r="AG61" s="212" t="str">
        <f t="shared" si="8"/>
        <v>6,3+6,3</v>
      </c>
      <c r="AH61" s="172">
        <f>SUM(AH62:AH63)</f>
        <v>0</v>
      </c>
      <c r="AI61" s="172">
        <f t="shared" si="9"/>
        <v>4.0599999999999996</v>
      </c>
      <c r="AJ61" s="1973">
        <f t="shared" si="10"/>
        <v>0.21</v>
      </c>
      <c r="AK61" s="212" t="str">
        <f t="shared" si="11"/>
        <v>1 сутки</v>
      </c>
      <c r="AL61" s="172">
        <f t="shared" si="31"/>
        <v>3.8499999999999996</v>
      </c>
      <c r="AM61" s="1973">
        <f t="shared" si="13"/>
        <v>0</v>
      </c>
      <c r="AN61" s="880">
        <f t="shared" si="27"/>
        <v>6.6150000000000002</v>
      </c>
      <c r="AO61" s="172">
        <f t="shared" si="28"/>
        <v>2.7650000000000006</v>
      </c>
      <c r="AP61" s="2405">
        <f>MIN(AO61:AO63)</f>
        <v>2.5550000000000006</v>
      </c>
      <c r="AQ61" s="2400" t="str">
        <f t="shared" si="3"/>
        <v>открыт</v>
      </c>
      <c r="AR61" s="2052" t="str">
        <f t="shared" si="17"/>
        <v>открыт</v>
      </c>
      <c r="AS61" s="2452">
        <f t="shared" si="29"/>
        <v>61.375661375661366</v>
      </c>
      <c r="AT61" s="937" t="s">
        <v>743</v>
      </c>
      <c r="AU61" s="1095">
        <v>1978</v>
      </c>
      <c r="AV61" s="1101" t="s">
        <v>3218</v>
      </c>
      <c r="AW61" s="1103">
        <v>58.650946279156003</v>
      </c>
      <c r="AX61" s="1103">
        <v>37.250127302002099</v>
      </c>
    </row>
    <row r="62" spans="1:50" ht="15" customHeight="1" x14ac:dyDescent="0.25">
      <c r="A62" s="2419"/>
      <c r="B62" s="2419"/>
      <c r="C62" s="212" t="s">
        <v>1768</v>
      </c>
      <c r="D62" s="230">
        <v>6.3</v>
      </c>
      <c r="E62" s="229" t="s">
        <v>773</v>
      </c>
      <c r="F62" s="229">
        <v>6.3</v>
      </c>
      <c r="G62" s="229"/>
      <c r="H62" s="228"/>
      <c r="I62" s="229" t="str">
        <f t="shared" si="4"/>
        <v>6,3+6,3</v>
      </c>
      <c r="J62" s="882">
        <v>0</v>
      </c>
      <c r="K62" s="1423">
        <v>0.21</v>
      </c>
      <c r="L62" s="1422" t="s">
        <v>334</v>
      </c>
      <c r="M62" s="172">
        <f t="shared" si="21"/>
        <v>-0.21</v>
      </c>
      <c r="N62" s="172">
        <v>0</v>
      </c>
      <c r="O62" s="880"/>
      <c r="P62" s="880">
        <f t="shared" si="22"/>
        <v>6.6150000000000002</v>
      </c>
      <c r="Q62" s="172">
        <f t="shared" si="32"/>
        <v>6.8250000000000002</v>
      </c>
      <c r="R62" s="2420"/>
      <c r="S62" s="2401"/>
      <c r="T62" s="2052" t="str">
        <f t="shared" si="6"/>
        <v>открыт</v>
      </c>
      <c r="U62" s="2403"/>
      <c r="V62" s="2403"/>
      <c r="W62" s="2403"/>
      <c r="X62" s="913"/>
      <c r="Y62" s="2419"/>
      <c r="Z62" s="2411"/>
      <c r="AA62" s="212" t="s">
        <v>1768</v>
      </c>
      <c r="AB62" s="230">
        <f t="shared" si="7"/>
        <v>6.3</v>
      </c>
      <c r="AC62" s="229" t="str">
        <f t="shared" si="25"/>
        <v>+</v>
      </c>
      <c r="AD62" s="229">
        <f t="shared" si="26"/>
        <v>6.3</v>
      </c>
      <c r="AE62" s="229"/>
      <c r="AF62" s="228"/>
      <c r="AG62" s="212" t="str">
        <f t="shared" si="8"/>
        <v>6,3+6,3</v>
      </c>
      <c r="AH62" s="172">
        <v>0</v>
      </c>
      <c r="AI62" s="172">
        <f t="shared" si="9"/>
        <v>0</v>
      </c>
      <c r="AJ62" s="1973">
        <f t="shared" si="10"/>
        <v>0.21</v>
      </c>
      <c r="AK62" s="212" t="str">
        <f t="shared" si="11"/>
        <v>1 сутки</v>
      </c>
      <c r="AL62" s="172">
        <f t="shared" si="31"/>
        <v>-0.21</v>
      </c>
      <c r="AM62" s="1973">
        <f t="shared" si="13"/>
        <v>0</v>
      </c>
      <c r="AN62" s="880">
        <f t="shared" si="27"/>
        <v>6.6150000000000002</v>
      </c>
      <c r="AO62" s="172">
        <f t="shared" si="28"/>
        <v>6.8250000000000002</v>
      </c>
      <c r="AP62" s="2406"/>
      <c r="AQ62" s="2403" t="str">
        <f t="shared" si="3"/>
        <v>открыт</v>
      </c>
      <c r="AR62" s="2052" t="str">
        <f t="shared" si="17"/>
        <v>открыт</v>
      </c>
      <c r="AS62" s="2453"/>
      <c r="AT62" s="937" t="s">
        <v>743</v>
      </c>
      <c r="AU62" s="1095">
        <v>1978</v>
      </c>
      <c r="AV62" s="1101" t="s">
        <v>3218</v>
      </c>
      <c r="AW62" s="1103">
        <v>58.650946279156003</v>
      </c>
      <c r="AX62" s="1103">
        <v>37.250127302002099</v>
      </c>
    </row>
    <row r="63" spans="1:50" ht="15" customHeight="1" x14ac:dyDescent="0.25">
      <c r="A63" s="2419"/>
      <c r="B63" s="2419"/>
      <c r="C63" s="212" t="s">
        <v>1767</v>
      </c>
      <c r="D63" s="230">
        <v>6.3</v>
      </c>
      <c r="E63" s="229" t="s">
        <v>773</v>
      </c>
      <c r="F63" s="229">
        <v>6.3</v>
      </c>
      <c r="G63" s="229"/>
      <c r="H63" s="228"/>
      <c r="I63" s="229" t="str">
        <f t="shared" si="4"/>
        <v>6,3+6,3</v>
      </c>
      <c r="J63" s="882">
        <v>4.0599999999999996</v>
      </c>
      <c r="K63" s="1423">
        <v>0</v>
      </c>
      <c r="L63" s="1422">
        <v>0</v>
      </c>
      <c r="M63" s="172">
        <f t="shared" si="21"/>
        <v>4.0599999999999996</v>
      </c>
      <c r="N63" s="172">
        <v>0</v>
      </c>
      <c r="O63" s="880"/>
      <c r="P63" s="880">
        <f t="shared" si="22"/>
        <v>6.6150000000000002</v>
      </c>
      <c r="Q63" s="172">
        <f t="shared" si="32"/>
        <v>2.5550000000000006</v>
      </c>
      <c r="R63" s="2420"/>
      <c r="S63" s="2402"/>
      <c r="T63" s="2052" t="str">
        <f t="shared" si="6"/>
        <v>открыт</v>
      </c>
      <c r="U63" s="2404"/>
      <c r="V63" s="2404"/>
      <c r="W63" s="2404"/>
      <c r="X63" s="914"/>
      <c r="Y63" s="2419"/>
      <c r="Z63" s="2411"/>
      <c r="AA63" s="212" t="s">
        <v>1767</v>
      </c>
      <c r="AB63" s="230">
        <f t="shared" si="7"/>
        <v>6.3</v>
      </c>
      <c r="AC63" s="229" t="str">
        <f t="shared" si="25"/>
        <v>+</v>
      </c>
      <c r="AD63" s="229">
        <f t="shared" si="26"/>
        <v>6.3</v>
      </c>
      <c r="AE63" s="229"/>
      <c r="AF63" s="228"/>
      <c r="AG63" s="212" t="str">
        <f t="shared" si="8"/>
        <v>6,3+6,3</v>
      </c>
      <c r="AH63" s="172">
        <f>'Зона БЭс'!L147</f>
        <v>0</v>
      </c>
      <c r="AI63" s="172">
        <f t="shared" si="9"/>
        <v>4.0599999999999996</v>
      </c>
      <c r="AJ63" s="1973">
        <f t="shared" si="10"/>
        <v>0</v>
      </c>
      <c r="AK63" s="212">
        <f t="shared" si="11"/>
        <v>0</v>
      </c>
      <c r="AL63" s="172">
        <f t="shared" si="31"/>
        <v>4.0599999999999996</v>
      </c>
      <c r="AM63" s="1973">
        <f t="shared" si="13"/>
        <v>0</v>
      </c>
      <c r="AN63" s="880">
        <f t="shared" si="27"/>
        <v>6.6150000000000002</v>
      </c>
      <c r="AO63" s="172">
        <f t="shared" si="28"/>
        <v>2.5550000000000006</v>
      </c>
      <c r="AP63" s="2407"/>
      <c r="AQ63" s="2404" t="str">
        <f t="shared" si="3"/>
        <v>открыт</v>
      </c>
      <c r="AR63" s="2052" t="str">
        <f t="shared" si="17"/>
        <v>открыт</v>
      </c>
      <c r="AS63" s="2454"/>
      <c r="AT63" s="937" t="s">
        <v>743</v>
      </c>
      <c r="AU63" s="1095">
        <v>1978</v>
      </c>
      <c r="AV63" s="1101" t="s">
        <v>3218</v>
      </c>
      <c r="AW63" s="1103">
        <v>58.650946279156003</v>
      </c>
      <c r="AX63" s="1103">
        <v>37.250127302002099</v>
      </c>
    </row>
    <row r="64" spans="1:50" ht="15" customHeight="1" x14ac:dyDescent="0.25">
      <c r="A64" s="2419">
        <v>46</v>
      </c>
      <c r="B64" s="2419">
        <v>46</v>
      </c>
      <c r="C64" s="212" t="s">
        <v>933</v>
      </c>
      <c r="D64" s="230">
        <v>25</v>
      </c>
      <c r="E64" s="229" t="s">
        <v>773</v>
      </c>
      <c r="F64" s="229">
        <v>25</v>
      </c>
      <c r="G64" s="229"/>
      <c r="H64" s="228"/>
      <c r="I64" s="229" t="str">
        <f t="shared" si="4"/>
        <v>25+25</v>
      </c>
      <c r="J64" s="882">
        <v>11.1</v>
      </c>
      <c r="K64" s="1423">
        <v>2.5</v>
      </c>
      <c r="L64" s="1422" t="s">
        <v>334</v>
      </c>
      <c r="M64" s="172">
        <f t="shared" si="21"/>
        <v>8.6</v>
      </c>
      <c r="N64" s="172">
        <v>0</v>
      </c>
      <c r="O64" s="880"/>
      <c r="P64" s="880">
        <f t="shared" si="22"/>
        <v>26.25</v>
      </c>
      <c r="Q64" s="172">
        <f t="shared" si="32"/>
        <v>17.649999999999999</v>
      </c>
      <c r="R64" s="2420">
        <f>MIN(Q64:Q66)</f>
        <v>17.649999999999999</v>
      </c>
      <c r="S64" s="2400" t="str">
        <f>T64</f>
        <v>открыт</v>
      </c>
      <c r="T64" s="2052" t="str">
        <f t="shared" si="6"/>
        <v>открыт</v>
      </c>
      <c r="U64" s="2400">
        <f>(J64*100)/P64</f>
        <v>42.285714285714285</v>
      </c>
      <c r="V64" s="2400">
        <v>0.51</v>
      </c>
      <c r="W64" s="2400" t="s">
        <v>3397</v>
      </c>
      <c r="X64" s="915"/>
      <c r="Y64" s="2419">
        <v>46</v>
      </c>
      <c r="Z64" s="2411">
        <v>46</v>
      </c>
      <c r="AA64" s="212" t="s">
        <v>933</v>
      </c>
      <c r="AB64" s="230">
        <f t="shared" si="7"/>
        <v>25</v>
      </c>
      <c r="AC64" s="229" t="str">
        <f t="shared" si="25"/>
        <v>+</v>
      </c>
      <c r="AD64" s="229">
        <f t="shared" si="26"/>
        <v>25</v>
      </c>
      <c r="AE64" s="229"/>
      <c r="AF64" s="228"/>
      <c r="AG64" s="212" t="str">
        <f t="shared" si="8"/>
        <v>25+25</v>
      </c>
      <c r="AH64" s="172">
        <f>SUM(AH65:AH66)</f>
        <v>0</v>
      </c>
      <c r="AI64" s="172">
        <f t="shared" si="9"/>
        <v>11.1</v>
      </c>
      <c r="AJ64" s="1973">
        <f t="shared" si="10"/>
        <v>2.5</v>
      </c>
      <c r="AK64" s="212" t="str">
        <f t="shared" si="11"/>
        <v>1 сутки</v>
      </c>
      <c r="AL64" s="172">
        <f t="shared" si="31"/>
        <v>8.6</v>
      </c>
      <c r="AM64" s="1973">
        <f t="shared" si="13"/>
        <v>0</v>
      </c>
      <c r="AN64" s="880">
        <f t="shared" si="27"/>
        <v>26.25</v>
      </c>
      <c r="AO64" s="172">
        <f t="shared" si="28"/>
        <v>17.649999999999999</v>
      </c>
      <c r="AP64" s="2405">
        <f>MIN(AO64:AO66)</f>
        <v>17.649999999999999</v>
      </c>
      <c r="AQ64" s="2400" t="str">
        <f t="shared" si="3"/>
        <v>открыт</v>
      </c>
      <c r="AR64" s="2052" t="str">
        <f t="shared" si="17"/>
        <v>открыт</v>
      </c>
      <c r="AS64" s="2452">
        <f>(AI64*100)/AN64</f>
        <v>42.285714285714285</v>
      </c>
      <c r="AT64" s="937" t="s">
        <v>743</v>
      </c>
      <c r="AU64" s="1095">
        <v>1990</v>
      </c>
      <c r="AV64" s="1101" t="s">
        <v>3218</v>
      </c>
      <c r="AW64" s="1103">
        <v>57.8020291616387</v>
      </c>
      <c r="AX64" s="1103">
        <v>35.903628854152899</v>
      </c>
    </row>
    <row r="65" spans="1:50" ht="15" customHeight="1" x14ac:dyDescent="0.25">
      <c r="A65" s="2419"/>
      <c r="B65" s="2419"/>
      <c r="C65" s="212" t="s">
        <v>1768</v>
      </c>
      <c r="D65" s="230">
        <v>25</v>
      </c>
      <c r="E65" s="229" t="s">
        <v>773</v>
      </c>
      <c r="F65" s="229">
        <v>25</v>
      </c>
      <c r="G65" s="229"/>
      <c r="H65" s="228"/>
      <c r="I65" s="229" t="str">
        <f t="shared" si="4"/>
        <v>25+25</v>
      </c>
      <c r="J65" s="882">
        <v>4.8</v>
      </c>
      <c r="K65" s="1423">
        <v>2.5</v>
      </c>
      <c r="L65" s="1422" t="s">
        <v>334</v>
      </c>
      <c r="M65" s="172">
        <f t="shared" si="21"/>
        <v>2.2999999999999998</v>
      </c>
      <c r="N65" s="172">
        <v>0</v>
      </c>
      <c r="O65" s="880"/>
      <c r="P65" s="880">
        <f t="shared" si="22"/>
        <v>26.25</v>
      </c>
      <c r="Q65" s="172">
        <f t="shared" si="32"/>
        <v>23.95</v>
      </c>
      <c r="R65" s="2420"/>
      <c r="S65" s="2401"/>
      <c r="T65" s="2052" t="str">
        <f t="shared" si="6"/>
        <v>открыт</v>
      </c>
      <c r="U65" s="2403"/>
      <c r="V65" s="2403"/>
      <c r="W65" s="2403"/>
      <c r="X65" s="912"/>
      <c r="Y65" s="2419"/>
      <c r="Z65" s="2411"/>
      <c r="AA65" s="212" t="s">
        <v>1768</v>
      </c>
      <c r="AB65" s="230">
        <f t="shared" si="7"/>
        <v>25</v>
      </c>
      <c r="AC65" s="229" t="str">
        <f t="shared" si="25"/>
        <v>+</v>
      </c>
      <c r="AD65" s="229">
        <f t="shared" si="26"/>
        <v>25</v>
      </c>
      <c r="AE65" s="229"/>
      <c r="AF65" s="228"/>
      <c r="AG65" s="212" t="str">
        <f t="shared" si="8"/>
        <v>25+25</v>
      </c>
      <c r="AH65" s="172">
        <v>0</v>
      </c>
      <c r="AI65" s="172">
        <f t="shared" si="9"/>
        <v>4.8</v>
      </c>
      <c r="AJ65" s="1973">
        <f t="shared" si="10"/>
        <v>2.5</v>
      </c>
      <c r="AK65" s="212" t="str">
        <f t="shared" si="11"/>
        <v>1 сутки</v>
      </c>
      <c r="AL65" s="172">
        <f t="shared" si="31"/>
        <v>2.2999999999999998</v>
      </c>
      <c r="AM65" s="1973">
        <f t="shared" si="13"/>
        <v>0</v>
      </c>
      <c r="AN65" s="880">
        <f t="shared" si="27"/>
        <v>26.25</v>
      </c>
      <c r="AO65" s="172">
        <f t="shared" si="28"/>
        <v>23.95</v>
      </c>
      <c r="AP65" s="2406"/>
      <c r="AQ65" s="2403" t="str">
        <f t="shared" si="3"/>
        <v>открыт</v>
      </c>
      <c r="AR65" s="2052" t="str">
        <f t="shared" si="17"/>
        <v>открыт</v>
      </c>
      <c r="AS65" s="2453"/>
      <c r="AT65" s="937" t="s">
        <v>743</v>
      </c>
      <c r="AU65" s="1095">
        <v>1990</v>
      </c>
      <c r="AV65" s="1101" t="s">
        <v>3218</v>
      </c>
      <c r="AW65" s="1103">
        <v>57.8020291616387</v>
      </c>
      <c r="AX65" s="1103">
        <v>35.903628854152899</v>
      </c>
    </row>
    <row r="66" spans="1:50" ht="15" customHeight="1" x14ac:dyDescent="0.25">
      <c r="A66" s="2419"/>
      <c r="B66" s="2419"/>
      <c r="C66" s="212" t="s">
        <v>1767</v>
      </c>
      <c r="D66" s="230">
        <v>25</v>
      </c>
      <c r="E66" s="229" t="s">
        <v>773</v>
      </c>
      <c r="F66" s="229">
        <v>25</v>
      </c>
      <c r="G66" s="229"/>
      <c r="H66" s="228"/>
      <c r="I66" s="229" t="str">
        <f t="shared" si="4"/>
        <v>25+25</v>
      </c>
      <c r="J66" s="882">
        <v>6.3</v>
      </c>
      <c r="K66" s="1423">
        <v>0</v>
      </c>
      <c r="L66" s="1422">
        <v>0</v>
      </c>
      <c r="M66" s="172">
        <f t="shared" si="21"/>
        <v>6.3</v>
      </c>
      <c r="N66" s="172">
        <v>0</v>
      </c>
      <c r="O66" s="880"/>
      <c r="P66" s="880">
        <f t="shared" si="22"/>
        <v>26.25</v>
      </c>
      <c r="Q66" s="172">
        <f t="shared" si="32"/>
        <v>19.95</v>
      </c>
      <c r="R66" s="2420"/>
      <c r="S66" s="2402"/>
      <c r="T66" s="2052" t="str">
        <f t="shared" si="6"/>
        <v>открыт</v>
      </c>
      <c r="U66" s="2404"/>
      <c r="V66" s="2404"/>
      <c r="W66" s="2404"/>
      <c r="X66" s="912"/>
      <c r="Y66" s="2419"/>
      <c r="Z66" s="2411"/>
      <c r="AA66" s="212" t="s">
        <v>1767</v>
      </c>
      <c r="AB66" s="230">
        <f t="shared" si="7"/>
        <v>25</v>
      </c>
      <c r="AC66" s="229" t="str">
        <f t="shared" si="25"/>
        <v>+</v>
      </c>
      <c r="AD66" s="229">
        <f t="shared" si="26"/>
        <v>25</v>
      </c>
      <c r="AE66" s="229"/>
      <c r="AF66" s="228"/>
      <c r="AG66" s="212" t="str">
        <f t="shared" si="8"/>
        <v>25+25</v>
      </c>
      <c r="AH66" s="172">
        <f>'Зона БЭс'!L151</f>
        <v>0</v>
      </c>
      <c r="AI66" s="172">
        <f t="shared" si="9"/>
        <v>6.3</v>
      </c>
      <c r="AJ66" s="1973">
        <f t="shared" si="10"/>
        <v>0</v>
      </c>
      <c r="AK66" s="212">
        <f t="shared" si="11"/>
        <v>0</v>
      </c>
      <c r="AL66" s="172">
        <f t="shared" si="31"/>
        <v>6.3</v>
      </c>
      <c r="AM66" s="1973">
        <f t="shared" si="13"/>
        <v>0</v>
      </c>
      <c r="AN66" s="880">
        <f t="shared" si="27"/>
        <v>26.25</v>
      </c>
      <c r="AO66" s="172">
        <f t="shared" si="28"/>
        <v>19.95</v>
      </c>
      <c r="AP66" s="2407"/>
      <c r="AQ66" s="2404" t="str">
        <f t="shared" si="3"/>
        <v>открыт</v>
      </c>
      <c r="AR66" s="2052" t="str">
        <f t="shared" si="17"/>
        <v>открыт</v>
      </c>
      <c r="AS66" s="2454"/>
      <c r="AT66" s="937" t="s">
        <v>743</v>
      </c>
      <c r="AU66" s="1095">
        <v>1990</v>
      </c>
      <c r="AV66" s="1101" t="s">
        <v>3218</v>
      </c>
      <c r="AW66" s="1103">
        <v>57.8020291616387</v>
      </c>
      <c r="AX66" s="1103">
        <v>35.903628854152899</v>
      </c>
    </row>
    <row r="67" spans="1:50" ht="15" customHeight="1" x14ac:dyDescent="0.25">
      <c r="A67" s="2419">
        <v>47</v>
      </c>
      <c r="B67" s="2419">
        <v>47</v>
      </c>
      <c r="C67" s="212" t="s">
        <v>934</v>
      </c>
      <c r="D67" s="230">
        <v>10</v>
      </c>
      <c r="E67" s="229" t="s">
        <v>773</v>
      </c>
      <c r="F67" s="229">
        <v>10</v>
      </c>
      <c r="G67" s="229"/>
      <c r="H67" s="228"/>
      <c r="I67" s="229" t="str">
        <f t="shared" si="4"/>
        <v>10+10</v>
      </c>
      <c r="J67" s="882">
        <v>5.6099999999999994</v>
      </c>
      <c r="K67" s="1423">
        <v>6.25</v>
      </c>
      <c r="L67" s="1422" t="s">
        <v>334</v>
      </c>
      <c r="M67" s="172">
        <f t="shared" si="21"/>
        <v>-0.64000000000000057</v>
      </c>
      <c r="N67" s="172">
        <v>0</v>
      </c>
      <c r="O67" s="880"/>
      <c r="P67" s="880">
        <f t="shared" si="22"/>
        <v>10.5</v>
      </c>
      <c r="Q67" s="172">
        <f t="shared" si="32"/>
        <v>11.14</v>
      </c>
      <c r="R67" s="2420">
        <f>MIN(Q67:Q69)</f>
        <v>5.15</v>
      </c>
      <c r="S67" s="2400" t="str">
        <f>T67</f>
        <v>открыт</v>
      </c>
      <c r="T67" s="2052" t="str">
        <f t="shared" si="6"/>
        <v>открыт</v>
      </c>
      <c r="U67" s="2400">
        <f>(J67*100)/P67</f>
        <v>53.428571428571431</v>
      </c>
      <c r="V67" s="2400">
        <v>0.49</v>
      </c>
      <c r="W67" s="2400" t="s">
        <v>3397</v>
      </c>
      <c r="X67" s="912"/>
      <c r="Y67" s="2419">
        <v>47</v>
      </c>
      <c r="Z67" s="2411">
        <v>47</v>
      </c>
      <c r="AA67" s="212" t="s">
        <v>934</v>
      </c>
      <c r="AB67" s="230">
        <f t="shared" si="7"/>
        <v>10</v>
      </c>
      <c r="AC67" s="229" t="str">
        <f t="shared" si="25"/>
        <v>+</v>
      </c>
      <c r="AD67" s="229">
        <f t="shared" si="26"/>
        <v>10</v>
      </c>
      <c r="AE67" s="229"/>
      <c r="AF67" s="228"/>
      <c r="AG67" s="212" t="str">
        <f t="shared" si="8"/>
        <v>10+10</v>
      </c>
      <c r="AH67" s="172">
        <f>SUM(AH68:AH69)</f>
        <v>2.0380434782608699E-2</v>
      </c>
      <c r="AI67" s="172">
        <f t="shared" si="9"/>
        <v>5.6303804347826079</v>
      </c>
      <c r="AJ67" s="1973">
        <f t="shared" si="10"/>
        <v>6.25</v>
      </c>
      <c r="AK67" s="212" t="str">
        <f t="shared" si="11"/>
        <v>1 сутки</v>
      </c>
      <c r="AL67" s="172">
        <f t="shared" si="31"/>
        <v>-0.61961956521739214</v>
      </c>
      <c r="AM67" s="1973">
        <f t="shared" si="13"/>
        <v>0</v>
      </c>
      <c r="AN67" s="880">
        <f t="shared" si="27"/>
        <v>10.5</v>
      </c>
      <c r="AO67" s="172">
        <f t="shared" si="28"/>
        <v>11.119619565217391</v>
      </c>
      <c r="AP67" s="2405">
        <f>MIN(AO67:AO69)</f>
        <v>5.1296195652173919</v>
      </c>
      <c r="AQ67" s="2400" t="str">
        <f t="shared" si="3"/>
        <v>открыт</v>
      </c>
      <c r="AR67" s="2052" t="str">
        <f t="shared" si="17"/>
        <v>открыт</v>
      </c>
      <c r="AS67" s="2452">
        <f>(AI67*100)/AN67</f>
        <v>53.622670807453403</v>
      </c>
      <c r="AT67" s="937" t="s">
        <v>743</v>
      </c>
      <c r="AU67" s="1095">
        <v>1984</v>
      </c>
      <c r="AV67" s="1101" t="s">
        <v>3218</v>
      </c>
      <c r="AW67" s="1103">
        <v>58.075610974762903</v>
      </c>
      <c r="AX67" s="1103">
        <v>37.131743667775297</v>
      </c>
    </row>
    <row r="68" spans="1:50" ht="15" customHeight="1" x14ac:dyDescent="0.25">
      <c r="A68" s="2419"/>
      <c r="B68" s="2419"/>
      <c r="C68" s="212" t="s">
        <v>1768</v>
      </c>
      <c r="D68" s="230">
        <v>10</v>
      </c>
      <c r="E68" s="229" t="s">
        <v>773</v>
      </c>
      <c r="F68" s="229">
        <v>10</v>
      </c>
      <c r="G68" s="229"/>
      <c r="H68" s="228"/>
      <c r="I68" s="229" t="str">
        <f t="shared" si="4"/>
        <v>10+10</v>
      </c>
      <c r="J68" s="882">
        <v>0.26</v>
      </c>
      <c r="K68" s="1423">
        <v>6.25</v>
      </c>
      <c r="L68" s="1422" t="s">
        <v>334</v>
      </c>
      <c r="M68" s="172">
        <f t="shared" si="21"/>
        <v>-5.99</v>
      </c>
      <c r="N68" s="172">
        <v>0</v>
      </c>
      <c r="O68" s="880"/>
      <c r="P68" s="880">
        <f t="shared" si="22"/>
        <v>10.5</v>
      </c>
      <c r="Q68" s="172">
        <f t="shared" si="32"/>
        <v>16.490000000000002</v>
      </c>
      <c r="R68" s="2420"/>
      <c r="S68" s="2401"/>
      <c r="T68" s="2052" t="str">
        <f t="shared" si="6"/>
        <v>открыт</v>
      </c>
      <c r="U68" s="2403"/>
      <c r="V68" s="2403"/>
      <c r="W68" s="2403"/>
      <c r="X68" s="912"/>
      <c r="Y68" s="2419"/>
      <c r="Z68" s="2411"/>
      <c r="AA68" s="212" t="s">
        <v>1768</v>
      </c>
      <c r="AB68" s="230">
        <f t="shared" si="7"/>
        <v>10</v>
      </c>
      <c r="AC68" s="229" t="str">
        <f t="shared" si="25"/>
        <v>+</v>
      </c>
      <c r="AD68" s="229">
        <f t="shared" si="26"/>
        <v>10</v>
      </c>
      <c r="AE68" s="229"/>
      <c r="AF68" s="228"/>
      <c r="AG68" s="212" t="str">
        <f t="shared" si="8"/>
        <v>10+10</v>
      </c>
      <c r="AH68" s="172">
        <f>SUM(AH26+AH20)</f>
        <v>0</v>
      </c>
      <c r="AI68" s="172">
        <f t="shared" si="9"/>
        <v>0.26</v>
      </c>
      <c r="AJ68" s="1973">
        <f t="shared" si="10"/>
        <v>6.25</v>
      </c>
      <c r="AK68" s="212" t="str">
        <f t="shared" si="11"/>
        <v>1 сутки</v>
      </c>
      <c r="AL68" s="172">
        <f t="shared" si="31"/>
        <v>-5.99</v>
      </c>
      <c r="AM68" s="1973">
        <f t="shared" si="13"/>
        <v>0</v>
      </c>
      <c r="AN68" s="880">
        <f t="shared" si="27"/>
        <v>10.5</v>
      </c>
      <c r="AO68" s="172">
        <f t="shared" si="28"/>
        <v>16.490000000000002</v>
      </c>
      <c r="AP68" s="2406"/>
      <c r="AQ68" s="2403" t="str">
        <f t="shared" si="3"/>
        <v>открыт</v>
      </c>
      <c r="AR68" s="2052" t="str">
        <f t="shared" si="17"/>
        <v>открыт</v>
      </c>
      <c r="AS68" s="2453"/>
      <c r="AT68" s="937" t="s">
        <v>743</v>
      </c>
      <c r="AU68" s="1095">
        <v>1984</v>
      </c>
      <c r="AV68" s="1101" t="s">
        <v>3218</v>
      </c>
      <c r="AW68" s="1103">
        <v>58.075610974762903</v>
      </c>
      <c r="AX68" s="1103">
        <v>37.131743667775297</v>
      </c>
    </row>
    <row r="69" spans="1:50" ht="15" customHeight="1" x14ac:dyDescent="0.25">
      <c r="A69" s="2419"/>
      <c r="B69" s="2419"/>
      <c r="C69" s="212" t="s">
        <v>1767</v>
      </c>
      <c r="D69" s="230">
        <v>10</v>
      </c>
      <c r="E69" s="229" t="s">
        <v>773</v>
      </c>
      <c r="F69" s="229">
        <v>10</v>
      </c>
      <c r="G69" s="229"/>
      <c r="H69" s="228"/>
      <c r="I69" s="229" t="str">
        <f t="shared" si="4"/>
        <v>10+10</v>
      </c>
      <c r="J69" s="882">
        <v>5.35</v>
      </c>
      <c r="K69" s="1423">
        <v>0</v>
      </c>
      <c r="L69" s="1422">
        <v>0</v>
      </c>
      <c r="M69" s="172">
        <f t="shared" si="21"/>
        <v>5.35</v>
      </c>
      <c r="N69" s="172">
        <v>0</v>
      </c>
      <c r="O69" s="880"/>
      <c r="P69" s="880">
        <f t="shared" si="22"/>
        <v>10.5</v>
      </c>
      <c r="Q69" s="172">
        <f t="shared" si="32"/>
        <v>5.15</v>
      </c>
      <c r="R69" s="2420"/>
      <c r="S69" s="2402"/>
      <c r="T69" s="2052" t="str">
        <f t="shared" si="6"/>
        <v>открыт</v>
      </c>
      <c r="U69" s="2404"/>
      <c r="V69" s="2404"/>
      <c r="W69" s="2404"/>
      <c r="X69" s="912"/>
      <c r="Y69" s="2419"/>
      <c r="Z69" s="2411"/>
      <c r="AA69" s="212" t="s">
        <v>1767</v>
      </c>
      <c r="AB69" s="230">
        <f t="shared" si="7"/>
        <v>10</v>
      </c>
      <c r="AC69" s="229" t="str">
        <f t="shared" si="25"/>
        <v>+</v>
      </c>
      <c r="AD69" s="229">
        <f t="shared" si="26"/>
        <v>10</v>
      </c>
      <c r="AE69" s="229"/>
      <c r="AF69" s="228"/>
      <c r="AG69" s="212" t="str">
        <f t="shared" si="8"/>
        <v>10+10</v>
      </c>
      <c r="AH69" s="172">
        <f>'Зона БЭс'!L160</f>
        <v>2.0380434782608699E-2</v>
      </c>
      <c r="AI69" s="172">
        <f t="shared" si="9"/>
        <v>5.3703804347826081</v>
      </c>
      <c r="AJ69" s="1973">
        <f t="shared" si="10"/>
        <v>0</v>
      </c>
      <c r="AK69" s="212">
        <f t="shared" si="11"/>
        <v>0</v>
      </c>
      <c r="AL69" s="172">
        <f t="shared" si="31"/>
        <v>5.3703804347826081</v>
      </c>
      <c r="AM69" s="1973">
        <f t="shared" si="13"/>
        <v>0</v>
      </c>
      <c r="AN69" s="880">
        <f t="shared" si="27"/>
        <v>10.5</v>
      </c>
      <c r="AO69" s="172">
        <f t="shared" si="28"/>
        <v>5.1296195652173919</v>
      </c>
      <c r="AP69" s="2407"/>
      <c r="AQ69" s="2404" t="str">
        <f t="shared" si="3"/>
        <v>открыт</v>
      </c>
      <c r="AR69" s="2052" t="str">
        <f t="shared" si="17"/>
        <v>открыт</v>
      </c>
      <c r="AS69" s="2454"/>
      <c r="AT69" s="937" t="s">
        <v>743</v>
      </c>
      <c r="AU69" s="1095">
        <v>1984</v>
      </c>
      <c r="AV69" s="1101" t="s">
        <v>3218</v>
      </c>
      <c r="AW69" s="1103">
        <v>58.075610974762903</v>
      </c>
      <c r="AX69" s="1103">
        <v>37.131743667775297</v>
      </c>
    </row>
    <row r="70" spans="1:50" ht="15" customHeight="1" x14ac:dyDescent="0.25">
      <c r="A70" s="2419">
        <v>48</v>
      </c>
      <c r="B70" s="2419">
        <v>48</v>
      </c>
      <c r="C70" s="212" t="s">
        <v>935</v>
      </c>
      <c r="D70" s="230">
        <v>6.3</v>
      </c>
      <c r="E70" s="229" t="s">
        <v>773</v>
      </c>
      <c r="F70" s="229">
        <v>6.3</v>
      </c>
      <c r="G70" s="229"/>
      <c r="H70" s="228"/>
      <c r="I70" s="229" t="str">
        <f t="shared" si="4"/>
        <v>6,3+6,3</v>
      </c>
      <c r="J70" s="882">
        <v>2.67</v>
      </c>
      <c r="K70" s="1423">
        <v>6.25</v>
      </c>
      <c r="L70" s="1422" t="s">
        <v>334</v>
      </c>
      <c r="M70" s="172">
        <f t="shared" si="21"/>
        <v>-3.58</v>
      </c>
      <c r="N70" s="172">
        <v>0</v>
      </c>
      <c r="O70" s="880"/>
      <c r="P70" s="880">
        <f t="shared" si="22"/>
        <v>6.6150000000000002</v>
      </c>
      <c r="Q70" s="172">
        <f t="shared" si="32"/>
        <v>10.195</v>
      </c>
      <c r="R70" s="2420">
        <f>MIN(Q70:Q72)</f>
        <v>6.3450000000000006</v>
      </c>
      <c r="S70" s="2400" t="str">
        <f>T70</f>
        <v>открыт</v>
      </c>
      <c r="T70" s="2052" t="str">
        <f t="shared" si="6"/>
        <v>открыт</v>
      </c>
      <c r="U70" s="2400">
        <f>(J70*100)/P70</f>
        <v>40.362811791383216</v>
      </c>
      <c r="V70" s="2400">
        <v>0.44</v>
      </c>
      <c r="W70" s="2400" t="s">
        <v>3397</v>
      </c>
      <c r="X70" s="912"/>
      <c r="Y70" s="2419">
        <v>48</v>
      </c>
      <c r="Z70" s="2411">
        <v>48</v>
      </c>
      <c r="AA70" s="212" t="s">
        <v>935</v>
      </c>
      <c r="AB70" s="230">
        <f t="shared" si="7"/>
        <v>6.3</v>
      </c>
      <c r="AC70" s="229" t="str">
        <f t="shared" si="25"/>
        <v>+</v>
      </c>
      <c r="AD70" s="229">
        <f t="shared" si="26"/>
        <v>6.3</v>
      </c>
      <c r="AE70" s="229"/>
      <c r="AF70" s="228"/>
      <c r="AG70" s="212" t="str">
        <f t="shared" si="8"/>
        <v>6,3+6,3</v>
      </c>
      <c r="AH70" s="172">
        <f>SUM(AH71:AH72)</f>
        <v>0.13108695652173913</v>
      </c>
      <c r="AI70" s="172">
        <f t="shared" si="9"/>
        <v>2.8010869565217389</v>
      </c>
      <c r="AJ70" s="1973">
        <f t="shared" si="10"/>
        <v>6.25</v>
      </c>
      <c r="AK70" s="212" t="str">
        <f t="shared" si="11"/>
        <v>1 сутки</v>
      </c>
      <c r="AL70" s="172">
        <f t="shared" si="31"/>
        <v>-3.4489130434782611</v>
      </c>
      <c r="AM70" s="1973">
        <f t="shared" si="13"/>
        <v>0</v>
      </c>
      <c r="AN70" s="880">
        <f t="shared" si="27"/>
        <v>6.6150000000000002</v>
      </c>
      <c r="AO70" s="172">
        <f t="shared" si="28"/>
        <v>10.063913043478262</v>
      </c>
      <c r="AP70" s="2405">
        <f>MIN(AO70:AO72)</f>
        <v>6.3450000000000006</v>
      </c>
      <c r="AQ70" s="2400" t="str">
        <f t="shared" si="3"/>
        <v>открыт</v>
      </c>
      <c r="AR70" s="2052" t="str">
        <f t="shared" si="17"/>
        <v>открыт</v>
      </c>
      <c r="AS70" s="2452">
        <f>(AI70*100)/AN70</f>
        <v>42.344474021492651</v>
      </c>
      <c r="AT70" s="937" t="s">
        <v>743</v>
      </c>
      <c r="AU70" s="1095">
        <v>1960</v>
      </c>
      <c r="AV70" s="1101" t="s">
        <v>3218</v>
      </c>
      <c r="AW70" s="1103">
        <v>58.030151237087701</v>
      </c>
      <c r="AX70" s="1103">
        <v>36.425569565154298</v>
      </c>
    </row>
    <row r="71" spans="1:50" ht="15" customHeight="1" x14ac:dyDescent="0.25">
      <c r="A71" s="2419"/>
      <c r="B71" s="2419"/>
      <c r="C71" s="212" t="s">
        <v>1768</v>
      </c>
      <c r="D71" s="230">
        <v>6.3</v>
      </c>
      <c r="E71" s="229" t="s">
        <v>773</v>
      </c>
      <c r="F71" s="229">
        <v>6.3</v>
      </c>
      <c r="G71" s="229"/>
      <c r="H71" s="228"/>
      <c r="I71" s="229" t="str">
        <f t="shared" si="4"/>
        <v>6,3+6,3</v>
      </c>
      <c r="J71" s="882">
        <v>2.4</v>
      </c>
      <c r="K71" s="1423">
        <v>6.25</v>
      </c>
      <c r="L71" s="1422" t="s">
        <v>334</v>
      </c>
      <c r="M71" s="172">
        <f t="shared" si="21"/>
        <v>-3.85</v>
      </c>
      <c r="N71" s="172">
        <v>0</v>
      </c>
      <c r="O71" s="880"/>
      <c r="P71" s="880">
        <f t="shared" si="22"/>
        <v>6.6150000000000002</v>
      </c>
      <c r="Q71" s="172">
        <f t="shared" si="32"/>
        <v>10.465</v>
      </c>
      <c r="R71" s="2420"/>
      <c r="S71" s="2401"/>
      <c r="T71" s="2052" t="str">
        <f t="shared" si="6"/>
        <v>открыт</v>
      </c>
      <c r="U71" s="2403"/>
      <c r="V71" s="2403"/>
      <c r="W71" s="2403"/>
      <c r="X71" s="912"/>
      <c r="Y71" s="2419"/>
      <c r="Z71" s="2411"/>
      <c r="AA71" s="212" t="s">
        <v>1768</v>
      </c>
      <c r="AB71" s="230">
        <f t="shared" si="7"/>
        <v>6.3</v>
      </c>
      <c r="AC71" s="229" t="str">
        <f t="shared" si="25"/>
        <v>+</v>
      </c>
      <c r="AD71" s="229">
        <f t="shared" si="26"/>
        <v>6.3</v>
      </c>
      <c r="AE71" s="229"/>
      <c r="AF71" s="228"/>
      <c r="AG71" s="212" t="str">
        <f t="shared" si="8"/>
        <v>6,3+6,3</v>
      </c>
      <c r="AH71" s="172">
        <f>SUM(AH15+AH55+AH56+AH52)</f>
        <v>0.13108695652173913</v>
      </c>
      <c r="AI71" s="172">
        <f t="shared" si="9"/>
        <v>2.5310869565217389</v>
      </c>
      <c r="AJ71" s="1973">
        <f t="shared" si="10"/>
        <v>6.25</v>
      </c>
      <c r="AK71" s="212" t="str">
        <f t="shared" si="11"/>
        <v>1 сутки</v>
      </c>
      <c r="AL71" s="172">
        <f t="shared" si="31"/>
        <v>-3.7189130434782611</v>
      </c>
      <c r="AM71" s="1973">
        <f t="shared" si="13"/>
        <v>0</v>
      </c>
      <c r="AN71" s="880">
        <f t="shared" si="27"/>
        <v>6.6150000000000002</v>
      </c>
      <c r="AO71" s="172">
        <f t="shared" si="28"/>
        <v>10.333913043478262</v>
      </c>
      <c r="AP71" s="2406"/>
      <c r="AQ71" s="2403" t="str">
        <f t="shared" si="3"/>
        <v>открыт</v>
      </c>
      <c r="AR71" s="2052" t="str">
        <f t="shared" si="17"/>
        <v>открыт</v>
      </c>
      <c r="AS71" s="2453"/>
      <c r="AT71" s="937" t="s">
        <v>743</v>
      </c>
      <c r="AU71" s="1095">
        <v>1960</v>
      </c>
      <c r="AV71" s="1101" t="s">
        <v>3218</v>
      </c>
      <c r="AW71" s="1103">
        <v>58.030151237087701</v>
      </c>
      <c r="AX71" s="1103">
        <v>36.425569565154298</v>
      </c>
    </row>
    <row r="72" spans="1:50" ht="15" customHeight="1" x14ac:dyDescent="0.25">
      <c r="A72" s="2419"/>
      <c r="B72" s="2419"/>
      <c r="C72" s="212" t="s">
        <v>1767</v>
      </c>
      <c r="D72" s="230">
        <v>6.3</v>
      </c>
      <c r="E72" s="229" t="s">
        <v>773</v>
      </c>
      <c r="F72" s="229">
        <v>6.3</v>
      </c>
      <c r="G72" s="229"/>
      <c r="H72" s="228"/>
      <c r="I72" s="229" t="str">
        <f t="shared" si="4"/>
        <v>6,3+6,3</v>
      </c>
      <c r="J72" s="882">
        <v>0.27</v>
      </c>
      <c r="K72" s="1423">
        <v>0</v>
      </c>
      <c r="L72" s="1422">
        <v>0</v>
      </c>
      <c r="M72" s="172">
        <f t="shared" si="21"/>
        <v>0.27</v>
      </c>
      <c r="N72" s="172">
        <v>0</v>
      </c>
      <c r="O72" s="880"/>
      <c r="P72" s="880">
        <f t="shared" si="22"/>
        <v>6.6150000000000002</v>
      </c>
      <c r="Q72" s="172">
        <f t="shared" si="32"/>
        <v>6.3450000000000006</v>
      </c>
      <c r="R72" s="2420"/>
      <c r="S72" s="2402"/>
      <c r="T72" s="2052" t="str">
        <f t="shared" si="6"/>
        <v>открыт</v>
      </c>
      <c r="U72" s="2404"/>
      <c r="V72" s="2404"/>
      <c r="W72" s="2404"/>
      <c r="X72" s="912"/>
      <c r="Y72" s="2419"/>
      <c r="Z72" s="2411"/>
      <c r="AA72" s="212" t="s">
        <v>1767</v>
      </c>
      <c r="AB72" s="230">
        <f t="shared" si="7"/>
        <v>6.3</v>
      </c>
      <c r="AC72" s="229" t="str">
        <f t="shared" si="25"/>
        <v>+</v>
      </c>
      <c r="AD72" s="229">
        <f t="shared" si="26"/>
        <v>6.3</v>
      </c>
      <c r="AE72" s="229"/>
      <c r="AF72" s="228"/>
      <c r="AG72" s="212" t="str">
        <f t="shared" si="8"/>
        <v>6,3+6,3</v>
      </c>
      <c r="AH72" s="172">
        <f>'Зона БЭс'!L162</f>
        <v>0</v>
      </c>
      <c r="AI72" s="172">
        <f t="shared" si="9"/>
        <v>0.27</v>
      </c>
      <c r="AJ72" s="1973">
        <f t="shared" si="10"/>
        <v>0</v>
      </c>
      <c r="AK72" s="212">
        <f t="shared" si="11"/>
        <v>0</v>
      </c>
      <c r="AL72" s="172">
        <f t="shared" si="31"/>
        <v>0.27</v>
      </c>
      <c r="AM72" s="1973">
        <f t="shared" si="13"/>
        <v>0</v>
      </c>
      <c r="AN72" s="880">
        <f t="shared" si="27"/>
        <v>6.6150000000000002</v>
      </c>
      <c r="AO72" s="172">
        <f t="shared" si="28"/>
        <v>6.3450000000000006</v>
      </c>
      <c r="AP72" s="2407"/>
      <c r="AQ72" s="2404" t="str">
        <f t="shared" si="3"/>
        <v>открыт</v>
      </c>
      <c r="AR72" s="2052" t="str">
        <f t="shared" si="17"/>
        <v>открыт</v>
      </c>
      <c r="AS72" s="2454"/>
      <c r="AT72" s="937" t="s">
        <v>743</v>
      </c>
      <c r="AU72" s="1095">
        <v>1960</v>
      </c>
      <c r="AV72" s="1101" t="s">
        <v>3218</v>
      </c>
      <c r="AW72" s="1103">
        <v>58.030151237087701</v>
      </c>
      <c r="AX72" s="1103">
        <v>36.425569565154298</v>
      </c>
    </row>
    <row r="73" spans="1:50" ht="15" customHeight="1" x14ac:dyDescent="0.25">
      <c r="A73" s="2419">
        <v>49</v>
      </c>
      <c r="B73" s="2419">
        <v>49</v>
      </c>
      <c r="C73" s="212" t="s">
        <v>936</v>
      </c>
      <c r="D73" s="230">
        <v>10</v>
      </c>
      <c r="E73" s="229" t="s">
        <v>773</v>
      </c>
      <c r="F73" s="229">
        <v>10</v>
      </c>
      <c r="G73" s="229"/>
      <c r="H73" s="228"/>
      <c r="I73" s="229" t="str">
        <f t="shared" si="4"/>
        <v>10+10</v>
      </c>
      <c r="J73" s="882">
        <v>5.1899999999999995</v>
      </c>
      <c r="K73" s="1423">
        <v>4.6500000000000004</v>
      </c>
      <c r="L73" s="1422" t="s">
        <v>334</v>
      </c>
      <c r="M73" s="172">
        <f t="shared" si="21"/>
        <v>0.53999999999999915</v>
      </c>
      <c r="N73" s="172">
        <v>0</v>
      </c>
      <c r="O73" s="880"/>
      <c r="P73" s="880">
        <f t="shared" si="22"/>
        <v>10.5</v>
      </c>
      <c r="Q73" s="172">
        <f t="shared" si="32"/>
        <v>9.9600000000000009</v>
      </c>
      <c r="R73" s="2420">
        <f>MIN(Q73:Q75)</f>
        <v>9.4</v>
      </c>
      <c r="S73" s="2400" t="str">
        <f>T73</f>
        <v>открыт</v>
      </c>
      <c r="T73" s="2052" t="str">
        <f t="shared" si="6"/>
        <v>открыт</v>
      </c>
      <c r="U73" s="2400">
        <f>(J73*100)/P73</f>
        <v>49.428571428571431</v>
      </c>
      <c r="V73" s="2400">
        <v>0.57999999999999996</v>
      </c>
      <c r="W73" s="2400" t="s">
        <v>3397</v>
      </c>
      <c r="X73" s="912"/>
      <c r="Y73" s="2419">
        <v>49</v>
      </c>
      <c r="Z73" s="2411">
        <v>49</v>
      </c>
      <c r="AA73" s="212" t="s">
        <v>936</v>
      </c>
      <c r="AB73" s="230">
        <f t="shared" si="7"/>
        <v>10</v>
      </c>
      <c r="AC73" s="229" t="str">
        <f t="shared" si="25"/>
        <v>+</v>
      </c>
      <c r="AD73" s="229">
        <f t="shared" si="26"/>
        <v>10</v>
      </c>
      <c r="AE73" s="229"/>
      <c r="AF73" s="228"/>
      <c r="AG73" s="212" t="str">
        <f t="shared" si="8"/>
        <v>10+10</v>
      </c>
      <c r="AH73" s="172">
        <f>SUM(AH74:AH75)</f>
        <v>3.2608695652173912E-2</v>
      </c>
      <c r="AI73" s="172">
        <f t="shared" ref="AI73:AI136" si="33">AH73+J73</f>
        <v>5.2226086956521733</v>
      </c>
      <c r="AJ73" s="1973">
        <f t="shared" si="10"/>
        <v>4.6500000000000004</v>
      </c>
      <c r="AK73" s="212" t="str">
        <f t="shared" si="11"/>
        <v>1 сутки</v>
      </c>
      <c r="AL73" s="172">
        <f t="shared" si="31"/>
        <v>0.57260869565217298</v>
      </c>
      <c r="AM73" s="1973">
        <f t="shared" si="13"/>
        <v>0</v>
      </c>
      <c r="AN73" s="880">
        <f t="shared" si="27"/>
        <v>10.5</v>
      </c>
      <c r="AO73" s="172">
        <f t="shared" si="28"/>
        <v>9.927391304347827</v>
      </c>
      <c r="AP73" s="2405">
        <f>MIN(AO73:AO75)</f>
        <v>9.4</v>
      </c>
      <c r="AQ73" s="2400" t="str">
        <f t="shared" ref="AQ73:AQ135" si="34">AR73</f>
        <v>открыт</v>
      </c>
      <c r="AR73" s="2052" t="str">
        <f t="shared" si="17"/>
        <v>открыт</v>
      </c>
      <c r="AS73" s="2452">
        <f>(AI73*100)/AN73</f>
        <v>49.739130434782609</v>
      </c>
      <c r="AT73" s="937" t="s">
        <v>743</v>
      </c>
      <c r="AU73" s="1095">
        <v>1964</v>
      </c>
      <c r="AV73" s="1101" t="s">
        <v>3218</v>
      </c>
      <c r="AW73" s="1103">
        <v>58.448470562256297</v>
      </c>
      <c r="AX73" s="1103">
        <v>36.413952207882701</v>
      </c>
    </row>
    <row r="74" spans="1:50" ht="15" customHeight="1" x14ac:dyDescent="0.25">
      <c r="A74" s="2419"/>
      <c r="B74" s="2419"/>
      <c r="C74" s="212" t="s">
        <v>1768</v>
      </c>
      <c r="D74" s="230">
        <v>10</v>
      </c>
      <c r="E74" s="229" t="s">
        <v>773</v>
      </c>
      <c r="F74" s="229">
        <v>10</v>
      </c>
      <c r="G74" s="229"/>
      <c r="H74" s="228"/>
      <c r="I74" s="229" t="str">
        <f t="shared" ref="I74:I137" si="35">CONCATENATE(D74,E74,F74,G74,H74)</f>
        <v>10+10</v>
      </c>
      <c r="J74" s="882">
        <v>2.94</v>
      </c>
      <c r="K74" s="1423">
        <v>3.5</v>
      </c>
      <c r="L74" s="1422" t="s">
        <v>334</v>
      </c>
      <c r="M74" s="172">
        <f t="shared" si="21"/>
        <v>-0.56000000000000005</v>
      </c>
      <c r="N74" s="172">
        <v>0</v>
      </c>
      <c r="O74" s="880"/>
      <c r="P74" s="880">
        <f t="shared" si="22"/>
        <v>10.5</v>
      </c>
      <c r="Q74" s="172">
        <f t="shared" si="32"/>
        <v>11.06</v>
      </c>
      <c r="R74" s="2420"/>
      <c r="S74" s="2401"/>
      <c r="T74" s="2052" t="str">
        <f t="shared" ref="T74:T137" si="36">IF(AND(F74&lt;&gt;0,R74&lt;0),"закрыт",IF(AND(F74=0,R74&lt;0),"закрыт","открыт"))</f>
        <v>открыт</v>
      </c>
      <c r="U74" s="2403"/>
      <c r="V74" s="2403"/>
      <c r="W74" s="2403"/>
      <c r="X74" s="912"/>
      <c r="Y74" s="2419"/>
      <c r="Z74" s="2411"/>
      <c r="AA74" s="212" t="s">
        <v>1768</v>
      </c>
      <c r="AB74" s="230">
        <f t="shared" ref="AB74:AB137" si="37">D74</f>
        <v>10</v>
      </c>
      <c r="AC74" s="229" t="str">
        <f t="shared" ref="AC74:AC137" si="38">E74</f>
        <v>+</v>
      </c>
      <c r="AD74" s="229">
        <f t="shared" ref="AD74:AD137" si="39">F74</f>
        <v>10</v>
      </c>
      <c r="AE74" s="229"/>
      <c r="AF74" s="228"/>
      <c r="AG74" s="212" t="str">
        <f t="shared" ref="AG74:AG137" si="40">CONCATENATE(AB74,AC74,AD74,AE74,AF74)</f>
        <v>10+10</v>
      </c>
      <c r="AH74" s="172">
        <f>SUM(AH14+AH19+AH28+AH22)</f>
        <v>3.2608695652173912E-2</v>
      </c>
      <c r="AI74" s="172">
        <f>AH74+J74</f>
        <v>2.9726086956521738</v>
      </c>
      <c r="AJ74" s="1973">
        <f t="shared" ref="AJ74:AJ137" si="41">K74</f>
        <v>3.5</v>
      </c>
      <c r="AK74" s="212" t="str">
        <f t="shared" ref="AK74:AK137" si="42">L74</f>
        <v>1 сутки</v>
      </c>
      <c r="AL74" s="172">
        <f t="shared" si="31"/>
        <v>-0.52739130434782622</v>
      </c>
      <c r="AM74" s="1973">
        <f t="shared" ref="AM74:AM137" si="43">N74</f>
        <v>0</v>
      </c>
      <c r="AN74" s="880">
        <f t="shared" si="27"/>
        <v>10.5</v>
      </c>
      <c r="AO74" s="172">
        <f t="shared" si="28"/>
        <v>11.027391304347827</v>
      </c>
      <c r="AP74" s="2406"/>
      <c r="AQ74" s="2403" t="str">
        <f t="shared" si="34"/>
        <v>открыт</v>
      </c>
      <c r="AR74" s="2052" t="str">
        <f t="shared" ref="AR74:AR137" si="44">IF(AND(AD74&lt;&gt;0,AP74&lt;0),"закрыт",IF(AND(AD74=0,AP74&lt;0),"закрыт","открыт"))</f>
        <v>открыт</v>
      </c>
      <c r="AS74" s="2453"/>
      <c r="AT74" s="937" t="s">
        <v>743</v>
      </c>
      <c r="AU74" s="1095">
        <v>1964</v>
      </c>
      <c r="AV74" s="1101" t="s">
        <v>3218</v>
      </c>
      <c r="AW74" s="1103">
        <v>58.448470562256297</v>
      </c>
      <c r="AX74" s="1103">
        <v>36.413952207882701</v>
      </c>
    </row>
    <row r="75" spans="1:50" ht="15" customHeight="1" x14ac:dyDescent="0.25">
      <c r="A75" s="2419"/>
      <c r="B75" s="2419"/>
      <c r="C75" s="212" t="s">
        <v>1767</v>
      </c>
      <c r="D75" s="230">
        <v>10</v>
      </c>
      <c r="E75" s="229" t="s">
        <v>773</v>
      </c>
      <c r="F75" s="229">
        <v>10</v>
      </c>
      <c r="G75" s="229"/>
      <c r="H75" s="228"/>
      <c r="I75" s="229" t="str">
        <f t="shared" si="35"/>
        <v>10+10</v>
      </c>
      <c r="J75" s="882">
        <v>2.25</v>
      </c>
      <c r="K75" s="1423">
        <v>1.1499999999999999</v>
      </c>
      <c r="L75" s="1422" t="s">
        <v>334</v>
      </c>
      <c r="M75" s="172">
        <f t="shared" si="21"/>
        <v>1.1000000000000001</v>
      </c>
      <c r="N75" s="172">
        <v>0</v>
      </c>
      <c r="O75" s="880"/>
      <c r="P75" s="880">
        <f t="shared" si="22"/>
        <v>10.5</v>
      </c>
      <c r="Q75" s="172">
        <f t="shared" si="32"/>
        <v>9.4</v>
      </c>
      <c r="R75" s="2420"/>
      <c r="S75" s="2402"/>
      <c r="T75" s="2052" t="str">
        <f t="shared" si="36"/>
        <v>открыт</v>
      </c>
      <c r="U75" s="2404"/>
      <c r="V75" s="2404"/>
      <c r="W75" s="2404"/>
      <c r="X75" s="912"/>
      <c r="Y75" s="2419"/>
      <c r="Z75" s="2411"/>
      <c r="AA75" s="212" t="s">
        <v>1767</v>
      </c>
      <c r="AB75" s="230">
        <f t="shared" si="37"/>
        <v>10</v>
      </c>
      <c r="AC75" s="229" t="str">
        <f t="shared" si="38"/>
        <v>+</v>
      </c>
      <c r="AD75" s="229">
        <f t="shared" si="39"/>
        <v>10</v>
      </c>
      <c r="AE75" s="229"/>
      <c r="AF75" s="228"/>
      <c r="AG75" s="212" t="str">
        <f t="shared" si="40"/>
        <v>10+10</v>
      </c>
      <c r="AH75" s="172">
        <f>'Зона БЭс'!L164</f>
        <v>0</v>
      </c>
      <c r="AI75" s="172">
        <f t="shared" si="33"/>
        <v>2.25</v>
      </c>
      <c r="AJ75" s="1973">
        <f t="shared" si="41"/>
        <v>1.1499999999999999</v>
      </c>
      <c r="AK75" s="212" t="str">
        <f t="shared" si="42"/>
        <v>1 сутки</v>
      </c>
      <c r="AL75" s="172">
        <f t="shared" si="31"/>
        <v>1.1000000000000001</v>
      </c>
      <c r="AM75" s="1973">
        <f t="shared" si="43"/>
        <v>0</v>
      </c>
      <c r="AN75" s="880">
        <f t="shared" si="27"/>
        <v>10.5</v>
      </c>
      <c r="AO75" s="172">
        <f t="shared" si="28"/>
        <v>9.4</v>
      </c>
      <c r="AP75" s="2407"/>
      <c r="AQ75" s="2404" t="str">
        <f t="shared" si="34"/>
        <v>открыт</v>
      </c>
      <c r="AR75" s="2052" t="str">
        <f t="shared" si="44"/>
        <v>открыт</v>
      </c>
      <c r="AS75" s="2454"/>
      <c r="AT75" s="937" t="s">
        <v>743</v>
      </c>
      <c r="AU75" s="1095">
        <v>1964</v>
      </c>
      <c r="AV75" s="1101" t="s">
        <v>3218</v>
      </c>
      <c r="AW75" s="1103">
        <v>58.448470562256297</v>
      </c>
      <c r="AX75" s="1103">
        <v>36.413952207882701</v>
      </c>
    </row>
    <row r="76" spans="1:50" ht="15" customHeight="1" x14ac:dyDescent="0.25">
      <c r="A76" s="2419">
        <v>50</v>
      </c>
      <c r="B76" s="2419">
        <v>50</v>
      </c>
      <c r="C76" s="212" t="s">
        <v>937</v>
      </c>
      <c r="D76" s="230">
        <v>25</v>
      </c>
      <c r="E76" s="229" t="s">
        <v>773</v>
      </c>
      <c r="F76" s="229">
        <v>25</v>
      </c>
      <c r="G76" s="229"/>
      <c r="H76" s="228"/>
      <c r="I76" s="229" t="str">
        <f t="shared" si="35"/>
        <v>25+25</v>
      </c>
      <c r="J76" s="882">
        <v>13.39</v>
      </c>
      <c r="K76" s="1423">
        <v>4.7</v>
      </c>
      <c r="L76" s="1422" t="s">
        <v>334</v>
      </c>
      <c r="M76" s="172">
        <f t="shared" si="21"/>
        <v>8.6900000000000013</v>
      </c>
      <c r="N76" s="172">
        <v>0</v>
      </c>
      <c r="O76" s="880"/>
      <c r="P76" s="880">
        <f t="shared" si="22"/>
        <v>26.25</v>
      </c>
      <c r="Q76" s="172">
        <f t="shared" si="32"/>
        <v>17.559999999999999</v>
      </c>
      <c r="R76" s="2420">
        <f>MIN(Q76:Q78)</f>
        <v>17.559999999999999</v>
      </c>
      <c r="S76" s="2400" t="str">
        <f>T76</f>
        <v>открыт</v>
      </c>
      <c r="T76" s="2052" t="str">
        <f t="shared" si="36"/>
        <v>открыт</v>
      </c>
      <c r="U76" s="2400">
        <f>(J76*100)/P76</f>
        <v>51.009523809523813</v>
      </c>
      <c r="V76" s="2400">
        <v>0.44</v>
      </c>
      <c r="W76" s="2400" t="s">
        <v>3397</v>
      </c>
      <c r="X76" s="912"/>
      <c r="Y76" s="2419">
        <v>50</v>
      </c>
      <c r="Z76" s="2411">
        <v>50</v>
      </c>
      <c r="AA76" s="212" t="s">
        <v>937</v>
      </c>
      <c r="AB76" s="230">
        <f t="shared" si="37"/>
        <v>25</v>
      </c>
      <c r="AC76" s="229" t="str">
        <f t="shared" si="38"/>
        <v>+</v>
      </c>
      <c r="AD76" s="229">
        <f t="shared" si="39"/>
        <v>25</v>
      </c>
      <c r="AE76" s="229"/>
      <c r="AF76" s="228"/>
      <c r="AG76" s="212" t="str">
        <f t="shared" si="40"/>
        <v>25+25</v>
      </c>
      <c r="AH76" s="172">
        <f>SUM(AH77:AH78)</f>
        <v>0.64119565217391306</v>
      </c>
      <c r="AI76" s="172">
        <f t="shared" si="33"/>
        <v>14.031195652173913</v>
      </c>
      <c r="AJ76" s="1973">
        <f t="shared" si="41"/>
        <v>4.7</v>
      </c>
      <c r="AK76" s="212" t="str">
        <f t="shared" si="42"/>
        <v>1 сутки</v>
      </c>
      <c r="AL76" s="172">
        <f t="shared" si="31"/>
        <v>9.3311956521739141</v>
      </c>
      <c r="AM76" s="1973">
        <f t="shared" si="43"/>
        <v>0</v>
      </c>
      <c r="AN76" s="880">
        <f t="shared" si="27"/>
        <v>26.25</v>
      </c>
      <c r="AO76" s="172">
        <f t="shared" si="28"/>
        <v>16.918804347826086</v>
      </c>
      <c r="AP76" s="2405">
        <f>MIN(AO76:AO78)</f>
        <v>16.918804347826086</v>
      </c>
      <c r="AQ76" s="2400" t="str">
        <f t="shared" si="34"/>
        <v>открыт</v>
      </c>
      <c r="AR76" s="2052" t="str">
        <f t="shared" si="44"/>
        <v>открыт</v>
      </c>
      <c r="AS76" s="2452">
        <f>(AI76*100)/AN76</f>
        <v>53.452173913043474</v>
      </c>
      <c r="AT76" s="937" t="s">
        <v>743</v>
      </c>
      <c r="AU76" s="1095">
        <v>1960</v>
      </c>
      <c r="AV76" s="1101" t="s">
        <v>3218</v>
      </c>
      <c r="AW76" s="1103">
        <v>57.810277826926203</v>
      </c>
      <c r="AX76" s="1103">
        <v>36.710883336967399</v>
      </c>
    </row>
    <row r="77" spans="1:50" ht="15" customHeight="1" x14ac:dyDescent="0.25">
      <c r="A77" s="2419"/>
      <c r="B77" s="2419"/>
      <c r="C77" s="212" t="s">
        <v>1768</v>
      </c>
      <c r="D77" s="230">
        <v>25</v>
      </c>
      <c r="E77" s="229" t="s">
        <v>773</v>
      </c>
      <c r="F77" s="229">
        <v>25</v>
      </c>
      <c r="G77" s="229"/>
      <c r="H77" s="228"/>
      <c r="I77" s="229" t="str">
        <f t="shared" si="35"/>
        <v>25+25</v>
      </c>
      <c r="J77" s="882">
        <v>5.4</v>
      </c>
      <c r="K77" s="1423">
        <v>4.7</v>
      </c>
      <c r="L77" s="1422" t="s">
        <v>334</v>
      </c>
      <c r="M77" s="172">
        <f t="shared" si="21"/>
        <v>0.70000000000000018</v>
      </c>
      <c r="N77" s="172">
        <v>0</v>
      </c>
      <c r="O77" s="880"/>
      <c r="P77" s="880">
        <f t="shared" si="22"/>
        <v>26.25</v>
      </c>
      <c r="Q77" s="172">
        <f t="shared" si="32"/>
        <v>25.55</v>
      </c>
      <c r="R77" s="2420"/>
      <c r="S77" s="2401"/>
      <c r="T77" s="2052" t="str">
        <f t="shared" si="36"/>
        <v>открыт</v>
      </c>
      <c r="U77" s="2403"/>
      <c r="V77" s="2403"/>
      <c r="W77" s="2403"/>
      <c r="X77" s="912"/>
      <c r="Y77" s="2419"/>
      <c r="Z77" s="2411"/>
      <c r="AA77" s="212" t="s">
        <v>1768</v>
      </c>
      <c r="AB77" s="230">
        <f t="shared" si="37"/>
        <v>25</v>
      </c>
      <c r="AC77" s="229" t="str">
        <f t="shared" si="38"/>
        <v>+</v>
      </c>
      <c r="AD77" s="229">
        <f t="shared" si="39"/>
        <v>25</v>
      </c>
      <c r="AE77" s="229"/>
      <c r="AF77" s="228"/>
      <c r="AG77" s="212" t="str">
        <f>CONCATENATE(AB77,AC77,AD77,AE77,AF77)</f>
        <v>25+25</v>
      </c>
      <c r="AH77" s="172">
        <f>AH27+AH29+AH17+AH25+AH32+AH59+AH12</f>
        <v>0.64119565217391306</v>
      </c>
      <c r="AI77" s="172">
        <f t="shared" si="33"/>
        <v>6.0411956521739132</v>
      </c>
      <c r="AJ77" s="1973">
        <f t="shared" si="41"/>
        <v>4.7</v>
      </c>
      <c r="AK77" s="212" t="str">
        <f t="shared" si="42"/>
        <v>1 сутки</v>
      </c>
      <c r="AL77" s="172">
        <f t="shared" si="31"/>
        <v>1.341195652173913</v>
      </c>
      <c r="AM77" s="1973">
        <f t="shared" si="43"/>
        <v>0</v>
      </c>
      <c r="AN77" s="880">
        <f t="shared" si="27"/>
        <v>26.25</v>
      </c>
      <c r="AO77" s="172">
        <f t="shared" si="28"/>
        <v>24.908804347826088</v>
      </c>
      <c r="AP77" s="2406"/>
      <c r="AQ77" s="2403" t="str">
        <f t="shared" si="34"/>
        <v>открыт</v>
      </c>
      <c r="AR77" s="2052" t="str">
        <f t="shared" si="44"/>
        <v>открыт</v>
      </c>
      <c r="AS77" s="2453"/>
      <c r="AT77" s="937" t="s">
        <v>743</v>
      </c>
      <c r="AU77" s="1095">
        <v>1960</v>
      </c>
      <c r="AV77" s="1101" t="s">
        <v>3218</v>
      </c>
      <c r="AW77" s="1103">
        <v>57.810277826926203</v>
      </c>
      <c r="AX77" s="1103">
        <v>36.710883336967399</v>
      </c>
    </row>
    <row r="78" spans="1:50" ht="15" customHeight="1" x14ac:dyDescent="0.25">
      <c r="A78" s="2419"/>
      <c r="B78" s="2419"/>
      <c r="C78" s="212" t="s">
        <v>1767</v>
      </c>
      <c r="D78" s="230">
        <v>25</v>
      </c>
      <c r="E78" s="229" t="s">
        <v>773</v>
      </c>
      <c r="F78" s="229">
        <v>25</v>
      </c>
      <c r="G78" s="229"/>
      <c r="H78" s="228"/>
      <c r="I78" s="229" t="str">
        <f t="shared" si="35"/>
        <v>25+25</v>
      </c>
      <c r="J78" s="882">
        <v>7.99</v>
      </c>
      <c r="K78" s="1423">
        <v>0</v>
      </c>
      <c r="L78" s="1422">
        <v>0</v>
      </c>
      <c r="M78" s="172">
        <f t="shared" si="21"/>
        <v>7.99</v>
      </c>
      <c r="N78" s="172">
        <v>0</v>
      </c>
      <c r="O78" s="880"/>
      <c r="P78" s="880">
        <f t="shared" si="22"/>
        <v>26.25</v>
      </c>
      <c r="Q78" s="172">
        <f t="shared" si="32"/>
        <v>18.259999999999998</v>
      </c>
      <c r="R78" s="2420"/>
      <c r="S78" s="2402"/>
      <c r="T78" s="2052" t="str">
        <f t="shared" si="36"/>
        <v>открыт</v>
      </c>
      <c r="U78" s="2404"/>
      <c r="V78" s="2404"/>
      <c r="W78" s="2404"/>
      <c r="X78" s="912"/>
      <c r="Y78" s="2419"/>
      <c r="Z78" s="2411"/>
      <c r="AA78" s="212" t="s">
        <v>1767</v>
      </c>
      <c r="AB78" s="230">
        <f t="shared" si="37"/>
        <v>25</v>
      </c>
      <c r="AC78" s="229" t="str">
        <f t="shared" si="38"/>
        <v>+</v>
      </c>
      <c r="AD78" s="229">
        <f t="shared" si="39"/>
        <v>25</v>
      </c>
      <c r="AE78" s="229"/>
      <c r="AF78" s="228"/>
      <c r="AG78" s="212" t="str">
        <f t="shared" si="40"/>
        <v>25+25</v>
      </c>
      <c r="AH78" s="172">
        <f>'Зона БЭс'!L167</f>
        <v>0</v>
      </c>
      <c r="AI78" s="172">
        <f t="shared" si="33"/>
        <v>7.99</v>
      </c>
      <c r="AJ78" s="1973">
        <f t="shared" si="41"/>
        <v>0</v>
      </c>
      <c r="AK78" s="212">
        <f t="shared" si="42"/>
        <v>0</v>
      </c>
      <c r="AL78" s="172">
        <f t="shared" si="31"/>
        <v>7.99</v>
      </c>
      <c r="AM78" s="1973">
        <f t="shared" si="43"/>
        <v>0</v>
      </c>
      <c r="AN78" s="880">
        <f t="shared" si="27"/>
        <v>26.25</v>
      </c>
      <c r="AO78" s="172">
        <f t="shared" si="28"/>
        <v>18.259999999999998</v>
      </c>
      <c r="AP78" s="2407"/>
      <c r="AQ78" s="2404" t="str">
        <f t="shared" si="34"/>
        <v>открыт</v>
      </c>
      <c r="AR78" s="2052" t="str">
        <f t="shared" si="44"/>
        <v>открыт</v>
      </c>
      <c r="AS78" s="2454"/>
      <c r="AT78" s="937" t="s">
        <v>743</v>
      </c>
      <c r="AU78" s="1095">
        <v>1960</v>
      </c>
      <c r="AV78" s="1101" t="s">
        <v>3218</v>
      </c>
      <c r="AW78" s="1103">
        <v>57.810277826926203</v>
      </c>
      <c r="AX78" s="1103">
        <v>36.710883336967399</v>
      </c>
    </row>
    <row r="79" spans="1:50" ht="15" customHeight="1" x14ac:dyDescent="0.25">
      <c r="A79" s="212">
        <v>51</v>
      </c>
      <c r="B79" s="212">
        <v>1</v>
      </c>
      <c r="C79" s="212" t="s">
        <v>938</v>
      </c>
      <c r="D79" s="230">
        <v>4</v>
      </c>
      <c r="E79" s="229"/>
      <c r="F79" s="229"/>
      <c r="G79" s="229"/>
      <c r="H79" s="228"/>
      <c r="I79" s="229" t="str">
        <f t="shared" si="35"/>
        <v>4</v>
      </c>
      <c r="J79" s="882">
        <v>0.19</v>
      </c>
      <c r="K79" s="1423">
        <v>0.01</v>
      </c>
      <c r="L79" s="1422" t="s">
        <v>334</v>
      </c>
      <c r="M79" s="172">
        <f>K79</f>
        <v>0.01</v>
      </c>
      <c r="N79" s="172">
        <v>0</v>
      </c>
      <c r="O79" s="880"/>
      <c r="P79" s="880">
        <f t="shared" ref="P79:P88" si="45">M79-N79</f>
        <v>0.01</v>
      </c>
      <c r="Q79" s="172">
        <f t="shared" ref="Q79:Q88" si="46">P79-J79</f>
        <v>-0.18</v>
      </c>
      <c r="R79" s="172">
        <f>Q79</f>
        <v>-0.18</v>
      </c>
      <c r="S79" s="212" t="str">
        <f t="shared" ref="S79:S136" si="47">T79</f>
        <v>закрыт</v>
      </c>
      <c r="T79" s="2052" t="str">
        <f t="shared" si="36"/>
        <v>закрыт</v>
      </c>
      <c r="U79" s="757">
        <f t="shared" ref="U79:U88" si="48">(J79*100)/(I79*1.05)</f>
        <v>4.5238095238095237</v>
      </c>
      <c r="V79" s="2254">
        <v>0.49</v>
      </c>
      <c r="W79" s="2254" t="s">
        <v>3033</v>
      </c>
      <c r="X79" s="912"/>
      <c r="Y79" s="212">
        <v>51</v>
      </c>
      <c r="Z79" s="228">
        <v>1</v>
      </c>
      <c r="AA79" s="212" t="s">
        <v>938</v>
      </c>
      <c r="AB79" s="230">
        <f t="shared" si="37"/>
        <v>4</v>
      </c>
      <c r="AC79" s="229"/>
      <c r="AD79" s="229"/>
      <c r="AE79" s="229"/>
      <c r="AF79" s="228"/>
      <c r="AG79" s="212" t="str">
        <f t="shared" si="40"/>
        <v>4</v>
      </c>
      <c r="AH79" s="172">
        <f>'Зона ВЭс'!L8</f>
        <v>0</v>
      </c>
      <c r="AI79" s="172">
        <f t="shared" si="33"/>
        <v>0.19</v>
      </c>
      <c r="AJ79" s="1973">
        <f t="shared" si="41"/>
        <v>0.01</v>
      </c>
      <c r="AK79" s="212" t="str">
        <f t="shared" si="42"/>
        <v>1 сутки</v>
      </c>
      <c r="AL79" s="172">
        <f t="shared" ref="AL79:AL88" si="49">AJ79</f>
        <v>0.01</v>
      </c>
      <c r="AM79" s="1973">
        <f t="shared" si="43"/>
        <v>0</v>
      </c>
      <c r="AN79" s="880">
        <f t="shared" ref="AN79:AN88" si="50">AL79-AM79</f>
        <v>0.01</v>
      </c>
      <c r="AO79" s="172">
        <f t="shared" ref="AO79:AO88" si="51">AN79-AI79</f>
        <v>-0.18</v>
      </c>
      <c r="AP79" s="172">
        <f>AO79</f>
        <v>-0.18</v>
      </c>
      <c r="AQ79" s="220" t="str">
        <f>AR79</f>
        <v>закрыт</v>
      </c>
      <c r="AR79" s="2052" t="str">
        <f t="shared" si="44"/>
        <v>закрыт</v>
      </c>
      <c r="AS79" s="935">
        <f>(AI79*100)/(AG79*1.05)</f>
        <v>4.5238095238095237</v>
      </c>
      <c r="AT79" s="937" t="s">
        <v>744</v>
      </c>
      <c r="AU79" s="1095">
        <v>1979</v>
      </c>
      <c r="AV79" s="1101" t="s">
        <v>3218</v>
      </c>
      <c r="AW79" s="1103">
        <v>57.734708803120498</v>
      </c>
      <c r="AX79" s="1103">
        <v>34.251455634969801</v>
      </c>
    </row>
    <row r="80" spans="1:50" ht="15" customHeight="1" x14ac:dyDescent="0.25">
      <c r="A80" s="212">
        <v>52</v>
      </c>
      <c r="B80" s="212">
        <v>2</v>
      </c>
      <c r="C80" s="212" t="s">
        <v>939</v>
      </c>
      <c r="D80" s="230">
        <v>1.6</v>
      </c>
      <c r="E80" s="229"/>
      <c r="F80" s="229"/>
      <c r="G80" s="229"/>
      <c r="H80" s="228"/>
      <c r="I80" s="229" t="str">
        <f t="shared" si="35"/>
        <v>1,6</v>
      </c>
      <c r="J80" s="882">
        <v>0.23</v>
      </c>
      <c r="K80" s="1423">
        <v>0.25</v>
      </c>
      <c r="L80" s="1422" t="s">
        <v>334</v>
      </c>
      <c r="M80" s="172">
        <f t="shared" ref="M80:M88" si="52">K80</f>
        <v>0.25</v>
      </c>
      <c r="N80" s="172">
        <v>0</v>
      </c>
      <c r="O80" s="880"/>
      <c r="P80" s="880">
        <f t="shared" si="45"/>
        <v>0.25</v>
      </c>
      <c r="Q80" s="172">
        <f t="shared" si="46"/>
        <v>1.999999999999999E-2</v>
      </c>
      <c r="R80" s="172">
        <f t="shared" ref="R80:R129" si="53">Q80</f>
        <v>1.999999999999999E-2</v>
      </c>
      <c r="S80" s="212" t="str">
        <f t="shared" si="47"/>
        <v>открыт</v>
      </c>
      <c r="T80" s="2052" t="str">
        <f t="shared" si="36"/>
        <v>открыт</v>
      </c>
      <c r="U80" s="757">
        <f t="shared" si="48"/>
        <v>13.69047619047619</v>
      </c>
      <c r="V80" s="2254">
        <v>0.4</v>
      </c>
      <c r="W80" s="2254" t="s">
        <v>3033</v>
      </c>
      <c r="X80" s="912"/>
      <c r="Y80" s="212">
        <v>52</v>
      </c>
      <c r="Z80" s="228">
        <v>2</v>
      </c>
      <c r="AA80" s="212" t="s">
        <v>939</v>
      </c>
      <c r="AB80" s="230">
        <f t="shared" si="37"/>
        <v>1.6</v>
      </c>
      <c r="AC80" s="229"/>
      <c r="AD80" s="229"/>
      <c r="AE80" s="229"/>
      <c r="AF80" s="228"/>
      <c r="AG80" s="212" t="str">
        <f t="shared" si="40"/>
        <v>1,6</v>
      </c>
      <c r="AH80" s="172">
        <f>'Зона ВЭс'!L10</f>
        <v>0</v>
      </c>
      <c r="AI80" s="172">
        <f t="shared" si="33"/>
        <v>0.23</v>
      </c>
      <c r="AJ80" s="1973">
        <f t="shared" si="41"/>
        <v>0.25</v>
      </c>
      <c r="AK80" s="212" t="str">
        <f t="shared" si="42"/>
        <v>1 сутки</v>
      </c>
      <c r="AL80" s="172">
        <f t="shared" si="49"/>
        <v>0.25</v>
      </c>
      <c r="AM80" s="1973">
        <f t="shared" si="43"/>
        <v>0</v>
      </c>
      <c r="AN80" s="880">
        <f t="shared" si="50"/>
        <v>0.25</v>
      </c>
      <c r="AO80" s="172">
        <f t="shared" si="51"/>
        <v>1.999999999999999E-2</v>
      </c>
      <c r="AP80" s="172">
        <f>AO80</f>
        <v>1.999999999999999E-2</v>
      </c>
      <c r="AQ80" s="220" t="str">
        <f t="shared" si="34"/>
        <v>открыт</v>
      </c>
      <c r="AR80" s="2052" t="str">
        <f t="shared" si="44"/>
        <v>открыт</v>
      </c>
      <c r="AS80" s="935">
        <f t="shared" ref="AS80:AS87" si="54">(AI80*100)/(AG80*1.05)</f>
        <v>13.69047619047619</v>
      </c>
      <c r="AT80" s="937" t="s">
        <v>744</v>
      </c>
      <c r="AU80" s="1095">
        <v>1984</v>
      </c>
      <c r="AV80" s="1101" t="s">
        <v>3218</v>
      </c>
      <c r="AW80" s="1103">
        <v>57.337287818827299</v>
      </c>
      <c r="AX80" s="1103">
        <v>33.695109920522803</v>
      </c>
    </row>
    <row r="81" spans="1:50" ht="15" customHeight="1" x14ac:dyDescent="0.25">
      <c r="A81" s="212">
        <v>53</v>
      </c>
      <c r="B81" s="212">
        <v>3</v>
      </c>
      <c r="C81" s="212" t="s">
        <v>940</v>
      </c>
      <c r="D81" s="230">
        <v>1.8</v>
      </c>
      <c r="E81" s="229"/>
      <c r="F81" s="229"/>
      <c r="G81" s="229"/>
      <c r="H81" s="228"/>
      <c r="I81" s="229" t="str">
        <f t="shared" si="35"/>
        <v>1,8</v>
      </c>
      <c r="J81" s="882">
        <v>0.35</v>
      </c>
      <c r="K81" s="1423">
        <v>0</v>
      </c>
      <c r="L81" s="1422">
        <v>0</v>
      </c>
      <c r="M81" s="172">
        <f t="shared" si="52"/>
        <v>0</v>
      </c>
      <c r="N81" s="172">
        <v>0</v>
      </c>
      <c r="O81" s="880"/>
      <c r="P81" s="880">
        <f t="shared" si="45"/>
        <v>0</v>
      </c>
      <c r="Q81" s="172">
        <f t="shared" si="46"/>
        <v>-0.35</v>
      </c>
      <c r="R81" s="172">
        <f t="shared" si="53"/>
        <v>-0.35</v>
      </c>
      <c r="S81" s="212" t="str">
        <f t="shared" si="47"/>
        <v>закрыт</v>
      </c>
      <c r="T81" s="2052" t="str">
        <f t="shared" si="36"/>
        <v>закрыт</v>
      </c>
      <c r="U81" s="757">
        <f t="shared" si="48"/>
        <v>18.518518518518519</v>
      </c>
      <c r="V81" s="2254">
        <v>0.44</v>
      </c>
      <c r="W81" s="2254" t="s">
        <v>3033</v>
      </c>
      <c r="X81" s="912"/>
      <c r="Y81" s="212">
        <v>53</v>
      </c>
      <c r="Z81" s="228">
        <v>3</v>
      </c>
      <c r="AA81" s="212" t="s">
        <v>940</v>
      </c>
      <c r="AB81" s="230">
        <f t="shared" si="37"/>
        <v>1.8</v>
      </c>
      <c r="AC81" s="229"/>
      <c r="AD81" s="229"/>
      <c r="AE81" s="229"/>
      <c r="AF81" s="228"/>
      <c r="AG81" s="212" t="str">
        <f t="shared" si="40"/>
        <v>1,8</v>
      </c>
      <c r="AH81" s="172">
        <f>'Зона ВЭс'!L13</f>
        <v>0.24456521739130435</v>
      </c>
      <c r="AI81" s="172">
        <f t="shared" si="33"/>
        <v>0.5945652173913043</v>
      </c>
      <c r="AJ81" s="1973">
        <f t="shared" si="41"/>
        <v>0</v>
      </c>
      <c r="AK81" s="212">
        <f t="shared" si="42"/>
        <v>0</v>
      </c>
      <c r="AL81" s="172">
        <f t="shared" si="49"/>
        <v>0</v>
      </c>
      <c r="AM81" s="1973">
        <f t="shared" si="43"/>
        <v>0</v>
      </c>
      <c r="AN81" s="880">
        <f t="shared" si="50"/>
        <v>0</v>
      </c>
      <c r="AO81" s="172">
        <f t="shared" si="51"/>
        <v>-0.5945652173913043</v>
      </c>
      <c r="AP81" s="172">
        <f>AO81</f>
        <v>-0.5945652173913043</v>
      </c>
      <c r="AQ81" s="220" t="str">
        <f t="shared" si="34"/>
        <v>закрыт</v>
      </c>
      <c r="AR81" s="2052" t="str">
        <f t="shared" si="44"/>
        <v>закрыт</v>
      </c>
      <c r="AS81" s="935">
        <f t="shared" si="54"/>
        <v>31.458477110651017</v>
      </c>
      <c r="AT81" s="937" t="s">
        <v>744</v>
      </c>
      <c r="AU81" s="1095">
        <v>1980</v>
      </c>
      <c r="AV81" s="1101" t="s">
        <v>3218</v>
      </c>
      <c r="AW81" s="1103">
        <v>57.543570844495598</v>
      </c>
      <c r="AX81" s="1103">
        <v>34.200940354594699</v>
      </c>
    </row>
    <row r="82" spans="1:50" ht="15" customHeight="1" x14ac:dyDescent="0.25">
      <c r="A82" s="212">
        <v>54</v>
      </c>
      <c r="B82" s="212">
        <v>4</v>
      </c>
      <c r="C82" s="212" t="s">
        <v>941</v>
      </c>
      <c r="D82" s="230">
        <v>1.6</v>
      </c>
      <c r="E82" s="229"/>
      <c r="F82" s="229"/>
      <c r="G82" s="229"/>
      <c r="H82" s="228"/>
      <c r="I82" s="229" t="str">
        <f t="shared" si="35"/>
        <v>1,6</v>
      </c>
      <c r="J82" s="882">
        <v>0.24</v>
      </c>
      <c r="K82" s="1423">
        <v>0.23</v>
      </c>
      <c r="L82" s="1422" t="s">
        <v>334</v>
      </c>
      <c r="M82" s="172">
        <f t="shared" si="52"/>
        <v>0.23</v>
      </c>
      <c r="N82" s="172">
        <v>0</v>
      </c>
      <c r="O82" s="880"/>
      <c r="P82" s="880">
        <f t="shared" si="45"/>
        <v>0.23</v>
      </c>
      <c r="Q82" s="172">
        <f t="shared" si="46"/>
        <v>-9.9999999999999811E-3</v>
      </c>
      <c r="R82" s="172">
        <f t="shared" si="53"/>
        <v>-9.9999999999999811E-3</v>
      </c>
      <c r="S82" s="212" t="str">
        <f t="shared" si="47"/>
        <v>закрыт</v>
      </c>
      <c r="T82" s="2052" t="str">
        <f t="shared" si="36"/>
        <v>закрыт</v>
      </c>
      <c r="U82" s="757">
        <f t="shared" si="48"/>
        <v>14.285714285714285</v>
      </c>
      <c r="V82" s="2254">
        <v>0.9</v>
      </c>
      <c r="W82" s="2254" t="s">
        <v>3033</v>
      </c>
      <c r="X82" s="912"/>
      <c r="Y82" s="212">
        <v>54</v>
      </c>
      <c r="Z82" s="228">
        <v>4</v>
      </c>
      <c r="AA82" s="212" t="s">
        <v>941</v>
      </c>
      <c r="AB82" s="230">
        <f t="shared" si="37"/>
        <v>1.6</v>
      </c>
      <c r="AC82" s="229"/>
      <c r="AD82" s="229"/>
      <c r="AE82" s="229"/>
      <c r="AF82" s="228"/>
      <c r="AG82" s="212" t="str">
        <f t="shared" si="40"/>
        <v>1,6</v>
      </c>
      <c r="AH82" s="172">
        <f>'Зона ВЭс'!L16</f>
        <v>8.315217391304347E-2</v>
      </c>
      <c r="AI82" s="172">
        <f t="shared" si="33"/>
        <v>0.32315217391304346</v>
      </c>
      <c r="AJ82" s="1973">
        <f t="shared" si="41"/>
        <v>0.23</v>
      </c>
      <c r="AK82" s="212" t="str">
        <f t="shared" si="42"/>
        <v>1 сутки</v>
      </c>
      <c r="AL82" s="172">
        <f t="shared" si="49"/>
        <v>0.23</v>
      </c>
      <c r="AM82" s="1973">
        <f t="shared" si="43"/>
        <v>0</v>
      </c>
      <c r="AN82" s="880">
        <f t="shared" si="50"/>
        <v>0.23</v>
      </c>
      <c r="AO82" s="172">
        <f t="shared" si="51"/>
        <v>-9.3152173913043451E-2</v>
      </c>
      <c r="AP82" s="172">
        <f>AO82</f>
        <v>-9.3152173913043451E-2</v>
      </c>
      <c r="AQ82" s="220" t="str">
        <f t="shared" si="34"/>
        <v>закрыт</v>
      </c>
      <c r="AR82" s="2052" t="str">
        <f t="shared" si="44"/>
        <v>закрыт</v>
      </c>
      <c r="AS82" s="935">
        <f t="shared" si="54"/>
        <v>19.235248447204963</v>
      </c>
      <c r="AT82" s="937" t="s">
        <v>744</v>
      </c>
      <c r="AU82" s="1095">
        <v>1980</v>
      </c>
      <c r="AV82" s="1101" t="s">
        <v>3218</v>
      </c>
      <c r="AW82" s="1103">
        <v>57.903337170375103</v>
      </c>
      <c r="AX82" s="1103">
        <v>34.781156242278399</v>
      </c>
    </row>
    <row r="83" spans="1:50" ht="15" customHeight="1" x14ac:dyDescent="0.25">
      <c r="A83" s="212">
        <v>55</v>
      </c>
      <c r="B83" s="212">
        <v>5</v>
      </c>
      <c r="C83" s="212" t="s">
        <v>942</v>
      </c>
      <c r="D83" s="230">
        <v>1.6</v>
      </c>
      <c r="E83" s="229"/>
      <c r="F83" s="229"/>
      <c r="G83" s="229"/>
      <c r="H83" s="228"/>
      <c r="I83" s="229" t="str">
        <f t="shared" si="35"/>
        <v>1,6</v>
      </c>
      <c r="J83" s="882">
        <v>0.36</v>
      </c>
      <c r="K83" s="1423">
        <v>0.26</v>
      </c>
      <c r="L83" s="1422" t="s">
        <v>334</v>
      </c>
      <c r="M83" s="172">
        <f t="shared" si="52"/>
        <v>0.26</v>
      </c>
      <c r="N83" s="172">
        <v>0</v>
      </c>
      <c r="O83" s="880"/>
      <c r="P83" s="880">
        <f t="shared" si="45"/>
        <v>0.26</v>
      </c>
      <c r="Q83" s="172">
        <f t="shared" si="46"/>
        <v>-9.9999999999999978E-2</v>
      </c>
      <c r="R83" s="172">
        <f t="shared" si="53"/>
        <v>-9.9999999999999978E-2</v>
      </c>
      <c r="S83" s="212" t="str">
        <f t="shared" si="47"/>
        <v>закрыт</v>
      </c>
      <c r="T83" s="2052" t="str">
        <f t="shared" si="36"/>
        <v>закрыт</v>
      </c>
      <c r="U83" s="757">
        <f t="shared" si="48"/>
        <v>21.428571428571427</v>
      </c>
      <c r="V83" s="2254">
        <v>0.7</v>
      </c>
      <c r="W83" s="2254" t="s">
        <v>3033</v>
      </c>
      <c r="X83" s="912"/>
      <c r="Y83" s="212">
        <v>55</v>
      </c>
      <c r="Z83" s="228">
        <v>5</v>
      </c>
      <c r="AA83" s="212" t="s">
        <v>942</v>
      </c>
      <c r="AB83" s="230">
        <f t="shared" si="37"/>
        <v>1.6</v>
      </c>
      <c r="AC83" s="229"/>
      <c r="AD83" s="229"/>
      <c r="AE83" s="229"/>
      <c r="AF83" s="228"/>
      <c r="AG83" s="212" t="str">
        <f t="shared" si="40"/>
        <v>1,6</v>
      </c>
      <c r="AH83" s="172">
        <f>'Зона ВЭс'!L21</f>
        <v>0.1630434782608696</v>
      </c>
      <c r="AI83" s="172">
        <f t="shared" si="33"/>
        <v>0.52304347826086961</v>
      </c>
      <c r="AJ83" s="1973">
        <f t="shared" si="41"/>
        <v>0.26</v>
      </c>
      <c r="AK83" s="212" t="str">
        <f t="shared" si="42"/>
        <v>1 сутки</v>
      </c>
      <c r="AL83" s="172">
        <f t="shared" si="49"/>
        <v>0.26</v>
      </c>
      <c r="AM83" s="1973">
        <f t="shared" si="43"/>
        <v>0</v>
      </c>
      <c r="AN83" s="880">
        <f t="shared" si="50"/>
        <v>0.26</v>
      </c>
      <c r="AO83" s="172">
        <f t="shared" si="51"/>
        <v>-0.2630434782608696</v>
      </c>
      <c r="AP83" s="172">
        <f>AO83</f>
        <v>-0.2630434782608696</v>
      </c>
      <c r="AQ83" s="220" t="str">
        <f t="shared" si="34"/>
        <v>закрыт</v>
      </c>
      <c r="AR83" s="2052" t="str">
        <f t="shared" si="44"/>
        <v>закрыт</v>
      </c>
      <c r="AS83" s="935">
        <f t="shared" si="54"/>
        <v>31.133540372670808</v>
      </c>
      <c r="AT83" s="937" t="s">
        <v>744</v>
      </c>
      <c r="AU83" s="1095">
        <v>1983</v>
      </c>
      <c r="AV83" s="1101" t="s">
        <v>3218</v>
      </c>
      <c r="AW83" s="1103">
        <v>57.681961743865799</v>
      </c>
      <c r="AX83" s="1103">
        <v>35.215466072650798</v>
      </c>
    </row>
    <row r="84" spans="1:50" ht="15" customHeight="1" x14ac:dyDescent="0.25">
      <c r="A84" s="212">
        <v>56</v>
      </c>
      <c r="B84" s="212">
        <v>6</v>
      </c>
      <c r="C84" s="212" t="s">
        <v>943</v>
      </c>
      <c r="D84" s="230">
        <v>2.5</v>
      </c>
      <c r="E84" s="229"/>
      <c r="F84" s="229"/>
      <c r="G84" s="229"/>
      <c r="H84" s="228"/>
      <c r="I84" s="229" t="str">
        <f t="shared" si="35"/>
        <v>2,5</v>
      </c>
      <c r="J84" s="882">
        <v>0.12</v>
      </c>
      <c r="K84" s="1423">
        <v>0.12</v>
      </c>
      <c r="L84" s="1422" t="s">
        <v>334</v>
      </c>
      <c r="M84" s="172">
        <f t="shared" si="52"/>
        <v>0.12</v>
      </c>
      <c r="N84" s="172">
        <v>0</v>
      </c>
      <c r="O84" s="880"/>
      <c r="P84" s="880">
        <f t="shared" si="45"/>
        <v>0.12</v>
      </c>
      <c r="Q84" s="172">
        <f t="shared" si="46"/>
        <v>0</v>
      </c>
      <c r="R84" s="172">
        <f t="shared" si="53"/>
        <v>0</v>
      </c>
      <c r="S84" s="212" t="str">
        <f t="shared" si="47"/>
        <v>открыт</v>
      </c>
      <c r="T84" s="2052" t="str">
        <f t="shared" si="36"/>
        <v>открыт</v>
      </c>
      <c r="U84" s="757">
        <f t="shared" si="48"/>
        <v>4.5714285714285712</v>
      </c>
      <c r="V84" s="2254"/>
      <c r="W84" s="2254" t="s">
        <v>3032</v>
      </c>
      <c r="X84" s="912"/>
      <c r="Y84" s="212">
        <v>56</v>
      </c>
      <c r="Z84" s="228">
        <v>6</v>
      </c>
      <c r="AA84" s="212" t="s">
        <v>943</v>
      </c>
      <c r="AB84" s="230">
        <f t="shared" si="37"/>
        <v>2.5</v>
      </c>
      <c r="AC84" s="229"/>
      <c r="AD84" s="229"/>
      <c r="AE84" s="229"/>
      <c r="AF84" s="228"/>
      <c r="AG84" s="212" t="str">
        <f t="shared" si="40"/>
        <v>2,5</v>
      </c>
      <c r="AH84" s="172">
        <f>'Зона ВЭс'!L23</f>
        <v>0</v>
      </c>
      <c r="AI84" s="172">
        <f t="shared" si="33"/>
        <v>0.12</v>
      </c>
      <c r="AJ84" s="1973">
        <f t="shared" si="41"/>
        <v>0.12</v>
      </c>
      <c r="AK84" s="212" t="str">
        <f t="shared" si="42"/>
        <v>1 сутки</v>
      </c>
      <c r="AL84" s="172">
        <f t="shared" si="49"/>
        <v>0.12</v>
      </c>
      <c r="AM84" s="1973">
        <f t="shared" si="43"/>
        <v>0</v>
      </c>
      <c r="AN84" s="880">
        <f t="shared" si="50"/>
        <v>0.12</v>
      </c>
      <c r="AO84" s="172">
        <f t="shared" si="51"/>
        <v>0</v>
      </c>
      <c r="AP84" s="172">
        <f t="shared" ref="AP84:AP129" si="55">AO84</f>
        <v>0</v>
      </c>
      <c r="AQ84" s="220" t="str">
        <f t="shared" si="34"/>
        <v>открыт</v>
      </c>
      <c r="AR84" s="2052" t="str">
        <f t="shared" si="44"/>
        <v>открыт</v>
      </c>
      <c r="AS84" s="935">
        <f t="shared" si="54"/>
        <v>4.5714285714285712</v>
      </c>
      <c r="AT84" s="937" t="s">
        <v>744</v>
      </c>
      <c r="AU84" s="1095">
        <v>1984</v>
      </c>
      <c r="AV84" s="1101" t="s">
        <v>3218</v>
      </c>
      <c r="AW84" s="1103">
        <v>57.3974539559403</v>
      </c>
      <c r="AX84" s="1103">
        <v>34.1217816220665</v>
      </c>
    </row>
    <row r="85" spans="1:50" ht="15" customHeight="1" x14ac:dyDescent="0.25">
      <c r="A85" s="212">
        <v>57</v>
      </c>
      <c r="B85" s="212">
        <v>7</v>
      </c>
      <c r="C85" s="212" t="s">
        <v>944</v>
      </c>
      <c r="D85" s="230">
        <v>2.5</v>
      </c>
      <c r="E85" s="229"/>
      <c r="F85" s="229"/>
      <c r="G85" s="229"/>
      <c r="H85" s="228"/>
      <c r="I85" s="229" t="str">
        <f t="shared" si="35"/>
        <v>2,5</v>
      </c>
      <c r="J85" s="882">
        <v>0.08</v>
      </c>
      <c r="K85" s="1423">
        <v>0.05</v>
      </c>
      <c r="L85" s="1422">
        <v>0</v>
      </c>
      <c r="M85" s="172">
        <f t="shared" si="52"/>
        <v>0.05</v>
      </c>
      <c r="N85" s="172">
        <v>0</v>
      </c>
      <c r="O85" s="880"/>
      <c r="P85" s="880">
        <f t="shared" si="45"/>
        <v>0.05</v>
      </c>
      <c r="Q85" s="172">
        <f t="shared" si="46"/>
        <v>-0.03</v>
      </c>
      <c r="R85" s="172">
        <f t="shared" si="53"/>
        <v>-0.03</v>
      </c>
      <c r="S85" s="212" t="str">
        <f t="shared" si="47"/>
        <v>закрыт</v>
      </c>
      <c r="T85" s="2052" t="str">
        <f t="shared" si="36"/>
        <v>закрыт</v>
      </c>
      <c r="U85" s="757">
        <f t="shared" si="48"/>
        <v>3.0476190476190474</v>
      </c>
      <c r="V85" s="2254">
        <v>0.5</v>
      </c>
      <c r="W85" s="2254" t="s">
        <v>3033</v>
      </c>
      <c r="X85" s="912"/>
      <c r="Y85" s="212">
        <v>57</v>
      </c>
      <c r="Z85" s="228">
        <v>7</v>
      </c>
      <c r="AA85" s="212" t="s">
        <v>944</v>
      </c>
      <c r="AB85" s="230">
        <f t="shared" si="37"/>
        <v>2.5</v>
      </c>
      <c r="AC85" s="229"/>
      <c r="AD85" s="229"/>
      <c r="AE85" s="229"/>
      <c r="AF85" s="228"/>
      <c r="AG85" s="212" t="str">
        <f t="shared" si="40"/>
        <v>2,5</v>
      </c>
      <c r="AH85" s="172">
        <f>'Зона ВЭс'!L25</f>
        <v>0</v>
      </c>
      <c r="AI85" s="172">
        <f t="shared" si="33"/>
        <v>0.08</v>
      </c>
      <c r="AJ85" s="1973">
        <f t="shared" si="41"/>
        <v>0.05</v>
      </c>
      <c r="AK85" s="212">
        <f t="shared" si="42"/>
        <v>0</v>
      </c>
      <c r="AL85" s="172">
        <f t="shared" si="49"/>
        <v>0.05</v>
      </c>
      <c r="AM85" s="1973">
        <f t="shared" si="43"/>
        <v>0</v>
      </c>
      <c r="AN85" s="880">
        <f t="shared" si="50"/>
        <v>0.05</v>
      </c>
      <c r="AO85" s="172">
        <f t="shared" si="51"/>
        <v>-0.03</v>
      </c>
      <c r="AP85" s="172">
        <f t="shared" si="55"/>
        <v>-0.03</v>
      </c>
      <c r="AQ85" s="220" t="str">
        <f t="shared" si="34"/>
        <v>закрыт</v>
      </c>
      <c r="AR85" s="2052" t="str">
        <f t="shared" si="44"/>
        <v>закрыт</v>
      </c>
      <c r="AS85" s="935">
        <f t="shared" si="54"/>
        <v>3.0476190476190474</v>
      </c>
      <c r="AT85" s="937" t="s">
        <v>744</v>
      </c>
      <c r="AU85" s="1095">
        <v>1978</v>
      </c>
      <c r="AV85" s="213">
        <v>2011</v>
      </c>
      <c r="AW85" s="1103">
        <v>57.979977683273901</v>
      </c>
      <c r="AX85" s="1103">
        <v>33.650923326913897</v>
      </c>
    </row>
    <row r="86" spans="1:50" ht="15" customHeight="1" x14ac:dyDescent="0.25">
      <c r="A86" s="212">
        <v>58</v>
      </c>
      <c r="B86" s="212">
        <v>8</v>
      </c>
      <c r="C86" s="212" t="s">
        <v>945</v>
      </c>
      <c r="D86" s="230">
        <v>25</v>
      </c>
      <c r="E86" s="229"/>
      <c r="F86" s="229"/>
      <c r="G86" s="229"/>
      <c r="H86" s="228"/>
      <c r="I86" s="229" t="str">
        <f t="shared" si="35"/>
        <v>25</v>
      </c>
      <c r="J86" s="882">
        <v>0.97</v>
      </c>
      <c r="K86" s="1423">
        <v>0.97</v>
      </c>
      <c r="L86" s="1422" t="s">
        <v>334</v>
      </c>
      <c r="M86" s="172">
        <f t="shared" si="52"/>
        <v>0.97</v>
      </c>
      <c r="N86" s="172">
        <v>0</v>
      </c>
      <c r="O86" s="880"/>
      <c r="P86" s="880">
        <f t="shared" si="45"/>
        <v>0.97</v>
      </c>
      <c r="Q86" s="172">
        <f t="shared" si="46"/>
        <v>0</v>
      </c>
      <c r="R86" s="172">
        <f t="shared" si="53"/>
        <v>0</v>
      </c>
      <c r="S86" s="212" t="str">
        <f t="shared" si="47"/>
        <v>открыт</v>
      </c>
      <c r="T86" s="2052" t="str">
        <f t="shared" si="36"/>
        <v>открыт</v>
      </c>
      <c r="U86" s="757">
        <f t="shared" si="48"/>
        <v>3.6952380952380954</v>
      </c>
      <c r="V86" s="2254"/>
      <c r="W86" s="2254" t="s">
        <v>3032</v>
      </c>
      <c r="X86" s="912"/>
      <c r="Y86" s="212">
        <v>58</v>
      </c>
      <c r="Z86" s="228">
        <v>8</v>
      </c>
      <c r="AA86" s="212" t="s">
        <v>945</v>
      </c>
      <c r="AB86" s="230">
        <f t="shared" si="37"/>
        <v>25</v>
      </c>
      <c r="AC86" s="229"/>
      <c r="AD86" s="229"/>
      <c r="AE86" s="229"/>
      <c r="AF86" s="228"/>
      <c r="AG86" s="212" t="str">
        <f t="shared" si="40"/>
        <v>25</v>
      </c>
      <c r="AH86" s="172">
        <f>AH103+'Зона ВЭс'!L27</f>
        <v>0</v>
      </c>
      <c r="AI86" s="172">
        <f t="shared" si="33"/>
        <v>0.97</v>
      </c>
      <c r="AJ86" s="1973">
        <f t="shared" si="41"/>
        <v>0.97</v>
      </c>
      <c r="AK86" s="212" t="str">
        <f t="shared" si="42"/>
        <v>1 сутки</v>
      </c>
      <c r="AL86" s="172">
        <f t="shared" si="49"/>
        <v>0.97</v>
      </c>
      <c r="AM86" s="1973">
        <f t="shared" si="43"/>
        <v>0</v>
      </c>
      <c r="AN86" s="880">
        <f t="shared" si="50"/>
        <v>0.97</v>
      </c>
      <c r="AO86" s="172">
        <f t="shared" si="51"/>
        <v>0</v>
      </c>
      <c r="AP86" s="172">
        <f t="shared" si="55"/>
        <v>0</v>
      </c>
      <c r="AQ86" s="220" t="str">
        <f t="shared" si="34"/>
        <v>открыт</v>
      </c>
      <c r="AR86" s="2052" t="str">
        <f t="shared" si="44"/>
        <v>открыт</v>
      </c>
      <c r="AS86" s="935">
        <f t="shared" si="54"/>
        <v>3.6952380952380954</v>
      </c>
      <c r="AT86" s="937" t="s">
        <v>744</v>
      </c>
      <c r="AU86" s="1095">
        <v>1989</v>
      </c>
      <c r="AV86" s="1101" t="s">
        <v>3218</v>
      </c>
      <c r="AW86" s="1103">
        <v>57.280755054760697</v>
      </c>
      <c r="AX86" s="1103">
        <v>34.229776902529103</v>
      </c>
    </row>
    <row r="87" spans="1:50" ht="15" customHeight="1" x14ac:dyDescent="0.25">
      <c r="A87" s="212">
        <v>59</v>
      </c>
      <c r="B87" s="212">
        <v>9</v>
      </c>
      <c r="C87" s="212" t="s">
        <v>946</v>
      </c>
      <c r="D87" s="230">
        <v>1</v>
      </c>
      <c r="E87" s="229"/>
      <c r="F87" s="229"/>
      <c r="G87" s="229"/>
      <c r="H87" s="228"/>
      <c r="I87" s="229" t="str">
        <f t="shared" si="35"/>
        <v>1</v>
      </c>
      <c r="J87" s="882">
        <v>0.25</v>
      </c>
      <c r="K87" s="1423">
        <v>0.24</v>
      </c>
      <c r="L87" s="1422" t="s">
        <v>334</v>
      </c>
      <c r="M87" s="172">
        <f t="shared" si="52"/>
        <v>0.24</v>
      </c>
      <c r="N87" s="172">
        <v>0</v>
      </c>
      <c r="O87" s="880"/>
      <c r="P87" s="880">
        <f t="shared" si="45"/>
        <v>0.24</v>
      </c>
      <c r="Q87" s="172">
        <f t="shared" si="46"/>
        <v>-1.0000000000000009E-2</v>
      </c>
      <c r="R87" s="172">
        <f t="shared" si="53"/>
        <v>-1.0000000000000009E-2</v>
      </c>
      <c r="S87" s="212" t="str">
        <f t="shared" si="47"/>
        <v>закрыт</v>
      </c>
      <c r="T87" s="2052" t="str">
        <f t="shared" si="36"/>
        <v>закрыт</v>
      </c>
      <c r="U87" s="757">
        <f t="shared" si="48"/>
        <v>23.80952380952381</v>
      </c>
      <c r="V87" s="2254"/>
      <c r="W87" s="2254" t="s">
        <v>3032</v>
      </c>
      <c r="X87" s="912"/>
      <c r="Y87" s="212">
        <v>59</v>
      </c>
      <c r="Z87" s="228">
        <v>9</v>
      </c>
      <c r="AA87" s="212" t="s">
        <v>946</v>
      </c>
      <c r="AB87" s="230">
        <f t="shared" si="37"/>
        <v>1</v>
      </c>
      <c r="AC87" s="229"/>
      <c r="AD87" s="229"/>
      <c r="AE87" s="229"/>
      <c r="AF87" s="228"/>
      <c r="AG87" s="212" t="str">
        <f t="shared" si="40"/>
        <v>1</v>
      </c>
      <c r="AH87" s="172">
        <f>'Зона ВЭс'!L30</f>
        <v>0</v>
      </c>
      <c r="AI87" s="172">
        <f t="shared" si="33"/>
        <v>0.25</v>
      </c>
      <c r="AJ87" s="1973">
        <f t="shared" si="41"/>
        <v>0.24</v>
      </c>
      <c r="AK87" s="212" t="str">
        <f t="shared" si="42"/>
        <v>1 сутки</v>
      </c>
      <c r="AL87" s="172">
        <f t="shared" si="49"/>
        <v>0.24</v>
      </c>
      <c r="AM87" s="1973">
        <f t="shared" si="43"/>
        <v>0</v>
      </c>
      <c r="AN87" s="880">
        <f t="shared" si="50"/>
        <v>0.24</v>
      </c>
      <c r="AO87" s="172">
        <f t="shared" si="51"/>
        <v>-1.0000000000000009E-2</v>
      </c>
      <c r="AP87" s="172">
        <f t="shared" si="55"/>
        <v>-1.0000000000000009E-2</v>
      </c>
      <c r="AQ87" s="220" t="str">
        <f t="shared" si="34"/>
        <v>закрыт</v>
      </c>
      <c r="AR87" s="2052" t="str">
        <f t="shared" si="44"/>
        <v>закрыт</v>
      </c>
      <c r="AS87" s="935">
        <f t="shared" si="54"/>
        <v>23.80952380952381</v>
      </c>
      <c r="AT87" s="937" t="s">
        <v>744</v>
      </c>
      <c r="AU87" s="1095">
        <v>1962</v>
      </c>
      <c r="AV87" s="1101" t="s">
        <v>3218</v>
      </c>
      <c r="AW87" s="1103">
        <v>57.950902775863199</v>
      </c>
      <c r="AX87" s="1103">
        <v>35.015180866362698</v>
      </c>
    </row>
    <row r="88" spans="1:50" ht="15" customHeight="1" x14ac:dyDescent="0.25">
      <c r="A88" s="212">
        <v>60</v>
      </c>
      <c r="B88" s="212">
        <v>10</v>
      </c>
      <c r="C88" s="212" t="s">
        <v>947</v>
      </c>
      <c r="D88" s="230">
        <v>4</v>
      </c>
      <c r="E88" s="229"/>
      <c r="F88" s="229"/>
      <c r="G88" s="229"/>
      <c r="H88" s="228"/>
      <c r="I88" s="229" t="str">
        <f t="shared" si="35"/>
        <v>4</v>
      </c>
      <c r="J88" s="882">
        <v>2.4500000000000002</v>
      </c>
      <c r="K88" s="1423">
        <v>0.9</v>
      </c>
      <c r="L88" s="1422" t="s">
        <v>334</v>
      </c>
      <c r="M88" s="172">
        <f t="shared" si="52"/>
        <v>0.9</v>
      </c>
      <c r="N88" s="172">
        <v>0</v>
      </c>
      <c r="O88" s="880"/>
      <c r="P88" s="880">
        <f t="shared" si="45"/>
        <v>0.9</v>
      </c>
      <c r="Q88" s="172">
        <f t="shared" si="46"/>
        <v>-1.5500000000000003</v>
      </c>
      <c r="R88" s="172">
        <f t="shared" si="53"/>
        <v>-1.5500000000000003</v>
      </c>
      <c r="S88" s="212" t="str">
        <f t="shared" si="47"/>
        <v>закрыт</v>
      </c>
      <c r="T88" s="2052" t="str">
        <f t="shared" si="36"/>
        <v>закрыт</v>
      </c>
      <c r="U88" s="757">
        <f t="shared" si="48"/>
        <v>58.333333333333336</v>
      </c>
      <c r="V88" s="2254">
        <v>0.46</v>
      </c>
      <c r="W88" s="2254" t="s">
        <v>3033</v>
      </c>
      <c r="X88" s="912"/>
      <c r="Y88" s="212">
        <v>60</v>
      </c>
      <c r="Z88" s="228">
        <v>10</v>
      </c>
      <c r="AA88" s="212" t="s">
        <v>947</v>
      </c>
      <c r="AB88" s="230">
        <f t="shared" si="37"/>
        <v>4</v>
      </c>
      <c r="AC88" s="229"/>
      <c r="AD88" s="229"/>
      <c r="AE88" s="229"/>
      <c r="AF88" s="228"/>
      <c r="AG88" s="212" t="str">
        <f t="shared" si="40"/>
        <v>4</v>
      </c>
      <c r="AH88" s="172">
        <f>'Зона ВЭс'!L35</f>
        <v>0</v>
      </c>
      <c r="AI88" s="172">
        <f t="shared" si="33"/>
        <v>2.4500000000000002</v>
      </c>
      <c r="AJ88" s="1973">
        <f t="shared" si="41"/>
        <v>0.9</v>
      </c>
      <c r="AK88" s="212" t="str">
        <f t="shared" si="42"/>
        <v>1 сутки</v>
      </c>
      <c r="AL88" s="172">
        <f t="shared" si="49"/>
        <v>0.9</v>
      </c>
      <c r="AM88" s="1973">
        <f t="shared" si="43"/>
        <v>0</v>
      </c>
      <c r="AN88" s="880">
        <f t="shared" si="50"/>
        <v>0.9</v>
      </c>
      <c r="AO88" s="172">
        <f t="shared" si="51"/>
        <v>-1.5500000000000003</v>
      </c>
      <c r="AP88" s="172">
        <f t="shared" si="55"/>
        <v>-1.5500000000000003</v>
      </c>
      <c r="AQ88" s="220" t="str">
        <f t="shared" si="34"/>
        <v>закрыт</v>
      </c>
      <c r="AR88" s="2052" t="str">
        <f t="shared" si="44"/>
        <v>закрыт</v>
      </c>
      <c r="AS88" s="935">
        <f>(AI88*100)/(AG88*1.05)</f>
        <v>58.333333333333336</v>
      </c>
      <c r="AT88" s="937" t="s">
        <v>744</v>
      </c>
      <c r="AU88" s="1095">
        <v>1970</v>
      </c>
      <c r="AV88" s="1101" t="s">
        <v>3218</v>
      </c>
      <c r="AW88" s="1103">
        <v>57.604268408936399</v>
      </c>
      <c r="AX88" s="1103">
        <v>34.597035020600103</v>
      </c>
    </row>
    <row r="89" spans="1:50" ht="15" customHeight="1" x14ac:dyDescent="0.25">
      <c r="A89" s="212">
        <v>61</v>
      </c>
      <c r="B89" s="212">
        <v>11</v>
      </c>
      <c r="C89" s="212" t="s">
        <v>948</v>
      </c>
      <c r="D89" s="230">
        <v>1</v>
      </c>
      <c r="E89" s="229" t="s">
        <v>773</v>
      </c>
      <c r="F89" s="229">
        <v>1.6</v>
      </c>
      <c r="G89" s="229"/>
      <c r="H89" s="228"/>
      <c r="I89" s="229" t="str">
        <f t="shared" si="35"/>
        <v>1+1,6</v>
      </c>
      <c r="J89" s="882">
        <v>0.64</v>
      </c>
      <c r="K89" s="1423">
        <v>0</v>
      </c>
      <c r="L89" s="1422">
        <v>0</v>
      </c>
      <c r="M89" s="172">
        <f t="shared" ref="M89:M120" si="56">J89-K89</f>
        <v>0.64</v>
      </c>
      <c r="N89" s="172">
        <v>0</v>
      </c>
      <c r="O89" s="880"/>
      <c r="P89" s="880">
        <f t="shared" ref="P89:P120" si="57">MIN(D89:F89)*1.05</f>
        <v>1.05</v>
      </c>
      <c r="Q89" s="172">
        <f t="shared" ref="Q89:Q129" si="58">P89-N89-M89</f>
        <v>0.41000000000000003</v>
      </c>
      <c r="R89" s="172">
        <f>Q89</f>
        <v>0.41000000000000003</v>
      </c>
      <c r="S89" s="212" t="str">
        <f t="shared" si="47"/>
        <v>открыт</v>
      </c>
      <c r="T89" s="2052" t="str">
        <f t="shared" si="36"/>
        <v>открыт</v>
      </c>
      <c r="U89" s="757">
        <f t="shared" ref="U89:U130" si="59">(J89*100)/P89</f>
        <v>60.952380952380949</v>
      </c>
      <c r="V89" s="2254"/>
      <c r="W89" s="2254" t="s">
        <v>3032</v>
      </c>
      <c r="X89" s="912"/>
      <c r="Y89" s="212">
        <v>61</v>
      </c>
      <c r="Z89" s="228">
        <v>11</v>
      </c>
      <c r="AA89" s="212" t="s">
        <v>948</v>
      </c>
      <c r="AB89" s="230">
        <f t="shared" si="37"/>
        <v>1</v>
      </c>
      <c r="AC89" s="229" t="str">
        <f t="shared" si="38"/>
        <v>+</v>
      </c>
      <c r="AD89" s="229">
        <f t="shared" si="39"/>
        <v>1.6</v>
      </c>
      <c r="AE89" s="229"/>
      <c r="AF89" s="228"/>
      <c r="AG89" s="212" t="str">
        <f t="shared" si="40"/>
        <v>1+1,6</v>
      </c>
      <c r="AH89" s="172">
        <f>'Зона ВЭс'!L37</f>
        <v>0</v>
      </c>
      <c r="AI89" s="172">
        <f t="shared" si="33"/>
        <v>0.64</v>
      </c>
      <c r="AJ89" s="1973">
        <f t="shared" si="41"/>
        <v>0</v>
      </c>
      <c r="AK89" s="212">
        <f t="shared" si="42"/>
        <v>0</v>
      </c>
      <c r="AL89" s="172">
        <f t="shared" ref="AL89:AL120" si="60">AI89-AJ89</f>
        <v>0.64</v>
      </c>
      <c r="AM89" s="1973">
        <f t="shared" si="43"/>
        <v>0</v>
      </c>
      <c r="AN89" s="880">
        <f t="shared" ref="AN89:AN120" si="61">MIN(AB89:AF89)*1.05</f>
        <v>1.05</v>
      </c>
      <c r="AO89" s="172">
        <f>AN89-AL89-AM89</f>
        <v>0.41000000000000003</v>
      </c>
      <c r="AP89" s="172">
        <f>AO89</f>
        <v>0.41000000000000003</v>
      </c>
      <c r="AQ89" s="220" t="str">
        <f t="shared" si="34"/>
        <v>открыт</v>
      </c>
      <c r="AR89" s="2052" t="str">
        <f t="shared" si="44"/>
        <v>открыт</v>
      </c>
      <c r="AS89" s="935">
        <f t="shared" ref="AS89:AS130" si="62">(AI89*100)/AN89</f>
        <v>60.952380952380949</v>
      </c>
      <c r="AT89" s="937" t="s">
        <v>744</v>
      </c>
      <c r="AU89" s="1095">
        <v>1972</v>
      </c>
      <c r="AV89" s="1101" t="s">
        <v>3218</v>
      </c>
      <c r="AW89" s="1103">
        <v>57.872847658966101</v>
      </c>
      <c r="AX89" s="1103">
        <v>33.584345984605797</v>
      </c>
    </row>
    <row r="90" spans="1:50" ht="15" customHeight="1" x14ac:dyDescent="0.25">
      <c r="A90" s="212">
        <v>62</v>
      </c>
      <c r="B90" s="212">
        <v>12</v>
      </c>
      <c r="C90" s="212" t="s">
        <v>949</v>
      </c>
      <c r="D90" s="230">
        <v>6.3</v>
      </c>
      <c r="E90" s="229" t="s">
        <v>773</v>
      </c>
      <c r="F90" s="229">
        <v>10</v>
      </c>
      <c r="G90" s="229"/>
      <c r="H90" s="228"/>
      <c r="I90" s="229" t="str">
        <f t="shared" si="35"/>
        <v>6,3+10</v>
      </c>
      <c r="J90" s="882">
        <v>4.1500000000000004</v>
      </c>
      <c r="K90" s="1423">
        <v>0</v>
      </c>
      <c r="L90" s="1422">
        <v>0</v>
      </c>
      <c r="M90" s="172">
        <f t="shared" si="56"/>
        <v>4.1500000000000004</v>
      </c>
      <c r="N90" s="172">
        <v>0</v>
      </c>
      <c r="O90" s="880"/>
      <c r="P90" s="880">
        <f t="shared" si="57"/>
        <v>6.6150000000000002</v>
      </c>
      <c r="Q90" s="172">
        <f t="shared" si="58"/>
        <v>2.4649999999999999</v>
      </c>
      <c r="R90" s="172">
        <f>Q90</f>
        <v>2.4649999999999999</v>
      </c>
      <c r="S90" s="212" t="str">
        <f t="shared" si="47"/>
        <v>открыт</v>
      </c>
      <c r="T90" s="2052" t="str">
        <f t="shared" si="36"/>
        <v>открыт</v>
      </c>
      <c r="U90" s="757">
        <f t="shared" si="59"/>
        <v>62.736205593348458</v>
      </c>
      <c r="V90" s="2254"/>
      <c r="W90" s="2254" t="s">
        <v>3032</v>
      </c>
      <c r="X90" s="912"/>
      <c r="Y90" s="212">
        <v>62</v>
      </c>
      <c r="Z90" s="228">
        <v>12</v>
      </c>
      <c r="AA90" s="212" t="s">
        <v>949</v>
      </c>
      <c r="AB90" s="230">
        <f t="shared" si="37"/>
        <v>6.3</v>
      </c>
      <c r="AC90" s="229" t="str">
        <f t="shared" si="38"/>
        <v>+</v>
      </c>
      <c r="AD90" s="229">
        <f t="shared" si="39"/>
        <v>10</v>
      </c>
      <c r="AE90" s="229"/>
      <c r="AF90" s="228"/>
      <c r="AG90" s="212" t="str">
        <f t="shared" si="40"/>
        <v>6,3+10</v>
      </c>
      <c r="AH90" s="172">
        <f>'Зона ВЭс'!L39</f>
        <v>0</v>
      </c>
      <c r="AI90" s="172">
        <f t="shared" si="33"/>
        <v>4.1500000000000004</v>
      </c>
      <c r="AJ90" s="1973">
        <f t="shared" si="41"/>
        <v>0</v>
      </c>
      <c r="AK90" s="212">
        <f t="shared" si="42"/>
        <v>0</v>
      </c>
      <c r="AL90" s="172">
        <f t="shared" si="60"/>
        <v>4.1500000000000004</v>
      </c>
      <c r="AM90" s="1973">
        <f t="shared" si="43"/>
        <v>0</v>
      </c>
      <c r="AN90" s="880">
        <f t="shared" si="61"/>
        <v>6.6150000000000002</v>
      </c>
      <c r="AO90" s="172">
        <f>AN90-AI90</f>
        <v>2.4649999999999999</v>
      </c>
      <c r="AP90" s="172">
        <f>AO90</f>
        <v>2.4649999999999999</v>
      </c>
      <c r="AQ90" s="220" t="str">
        <f t="shared" si="34"/>
        <v>открыт</v>
      </c>
      <c r="AR90" s="2052" t="str">
        <f t="shared" si="44"/>
        <v>открыт</v>
      </c>
      <c r="AS90" s="935">
        <f t="shared" si="62"/>
        <v>62.736205593348458</v>
      </c>
      <c r="AT90" s="937" t="s">
        <v>744</v>
      </c>
      <c r="AU90" s="1095">
        <v>1985</v>
      </c>
      <c r="AV90" s="1101" t="s">
        <v>3218</v>
      </c>
      <c r="AW90" s="1103">
        <v>57.583092008346497</v>
      </c>
      <c r="AX90" s="1103">
        <v>34.519063126938597</v>
      </c>
    </row>
    <row r="91" spans="1:50" ht="15" customHeight="1" x14ac:dyDescent="0.25">
      <c r="A91" s="212">
        <v>63</v>
      </c>
      <c r="B91" s="212">
        <v>13</v>
      </c>
      <c r="C91" s="212" t="s">
        <v>950</v>
      </c>
      <c r="D91" s="230">
        <v>3.2</v>
      </c>
      <c r="E91" s="229" t="s">
        <v>773</v>
      </c>
      <c r="F91" s="229">
        <v>4</v>
      </c>
      <c r="G91" s="229"/>
      <c r="H91" s="228"/>
      <c r="I91" s="229" t="str">
        <f t="shared" si="35"/>
        <v>3,2+4</v>
      </c>
      <c r="J91" s="882">
        <v>0.96</v>
      </c>
      <c r="K91" s="1423">
        <v>0.2</v>
      </c>
      <c r="L91" s="1422">
        <v>120</v>
      </c>
      <c r="M91" s="172">
        <f t="shared" si="56"/>
        <v>0.76</v>
      </c>
      <c r="N91" s="172">
        <v>0</v>
      </c>
      <c r="O91" s="880"/>
      <c r="P91" s="880">
        <f t="shared" si="57"/>
        <v>3.3600000000000003</v>
      </c>
      <c r="Q91" s="172">
        <f t="shared" si="58"/>
        <v>2.6000000000000005</v>
      </c>
      <c r="R91" s="172">
        <f>Q91</f>
        <v>2.6000000000000005</v>
      </c>
      <c r="S91" s="212" t="str">
        <f t="shared" si="47"/>
        <v>открыт</v>
      </c>
      <c r="T91" s="2052" t="str">
        <f t="shared" si="36"/>
        <v>открыт</v>
      </c>
      <c r="U91" s="757">
        <f t="shared" si="59"/>
        <v>28.571428571428569</v>
      </c>
      <c r="V91" s="2254">
        <v>0.5</v>
      </c>
      <c r="W91" s="2254" t="s">
        <v>3033</v>
      </c>
      <c r="X91" s="912"/>
      <c r="Y91" s="212">
        <v>63</v>
      </c>
      <c r="Z91" s="228">
        <v>13</v>
      </c>
      <c r="AA91" s="212" t="s">
        <v>950</v>
      </c>
      <c r="AB91" s="230">
        <f t="shared" si="37"/>
        <v>3.2</v>
      </c>
      <c r="AC91" s="229" t="str">
        <f t="shared" si="38"/>
        <v>+</v>
      </c>
      <c r="AD91" s="229">
        <f t="shared" si="39"/>
        <v>4</v>
      </c>
      <c r="AE91" s="229"/>
      <c r="AF91" s="228"/>
      <c r="AG91" s="212" t="str">
        <f t="shared" si="40"/>
        <v>3,2+4</v>
      </c>
      <c r="AH91" s="172">
        <f>'Зона ВЭс'!L43</f>
        <v>0</v>
      </c>
      <c r="AI91" s="172">
        <f t="shared" si="33"/>
        <v>0.96</v>
      </c>
      <c r="AJ91" s="1973">
        <f t="shared" si="41"/>
        <v>0.2</v>
      </c>
      <c r="AK91" s="212">
        <f t="shared" si="42"/>
        <v>120</v>
      </c>
      <c r="AL91" s="172">
        <f t="shared" si="60"/>
        <v>0.76</v>
      </c>
      <c r="AM91" s="1973">
        <f t="shared" si="43"/>
        <v>0</v>
      </c>
      <c r="AN91" s="880">
        <f t="shared" si="61"/>
        <v>3.3600000000000003</v>
      </c>
      <c r="AO91" s="172">
        <f>AN91-AI91</f>
        <v>2.4000000000000004</v>
      </c>
      <c r="AP91" s="172">
        <f>AO91</f>
        <v>2.4000000000000004</v>
      </c>
      <c r="AQ91" s="220" t="str">
        <f t="shared" si="34"/>
        <v>открыт</v>
      </c>
      <c r="AR91" s="2052" t="str">
        <f t="shared" si="44"/>
        <v>открыт</v>
      </c>
      <c r="AS91" s="935">
        <f t="shared" si="62"/>
        <v>28.571428571428569</v>
      </c>
      <c r="AT91" s="937" t="s">
        <v>744</v>
      </c>
      <c r="AU91" s="1095">
        <v>1986</v>
      </c>
      <c r="AV91" s="1101" t="s">
        <v>3218</v>
      </c>
      <c r="AW91" s="1103">
        <v>57.711664222731898</v>
      </c>
      <c r="AX91" s="1103">
        <v>34.308029350708203</v>
      </c>
    </row>
    <row r="92" spans="1:50" ht="15" customHeight="1" x14ac:dyDescent="0.25">
      <c r="A92" s="212">
        <v>64</v>
      </c>
      <c r="B92" s="212">
        <v>14</v>
      </c>
      <c r="C92" s="212" t="s">
        <v>951</v>
      </c>
      <c r="D92" s="230">
        <v>1</v>
      </c>
      <c r="E92" s="229" t="s">
        <v>773</v>
      </c>
      <c r="F92" s="229">
        <v>1.8</v>
      </c>
      <c r="G92" s="229"/>
      <c r="H92" s="228"/>
      <c r="I92" s="229" t="str">
        <f t="shared" si="35"/>
        <v>1+1,8</v>
      </c>
      <c r="J92" s="882">
        <v>0.02</v>
      </c>
      <c r="K92" s="1423">
        <v>0</v>
      </c>
      <c r="L92" s="1422">
        <v>0</v>
      </c>
      <c r="M92" s="172">
        <f t="shared" si="56"/>
        <v>0.02</v>
      </c>
      <c r="N92" s="172">
        <v>0</v>
      </c>
      <c r="O92" s="880"/>
      <c r="P92" s="880">
        <f t="shared" si="57"/>
        <v>1.05</v>
      </c>
      <c r="Q92" s="172">
        <f t="shared" si="58"/>
        <v>1.03</v>
      </c>
      <c r="R92" s="172">
        <f>Q92</f>
        <v>1.03</v>
      </c>
      <c r="S92" s="212" t="str">
        <f t="shared" si="47"/>
        <v>открыт</v>
      </c>
      <c r="T92" s="2052" t="str">
        <f t="shared" si="36"/>
        <v>открыт</v>
      </c>
      <c r="U92" s="757">
        <f t="shared" si="59"/>
        <v>1.9047619047619047</v>
      </c>
      <c r="V92" s="2254"/>
      <c r="W92" s="2254" t="s">
        <v>3032</v>
      </c>
      <c r="X92" s="912"/>
      <c r="Y92" s="212">
        <v>64</v>
      </c>
      <c r="Z92" s="228">
        <v>14</v>
      </c>
      <c r="AA92" s="212" t="s">
        <v>951</v>
      </c>
      <c r="AB92" s="230">
        <f t="shared" si="37"/>
        <v>1</v>
      </c>
      <c r="AC92" s="229" t="str">
        <f t="shared" si="38"/>
        <v>+</v>
      </c>
      <c r="AD92" s="229">
        <f t="shared" si="39"/>
        <v>1.8</v>
      </c>
      <c r="AE92" s="229"/>
      <c r="AF92" s="228"/>
      <c r="AG92" s="212" t="str">
        <f t="shared" si="40"/>
        <v>1+1,8</v>
      </c>
      <c r="AH92" s="172">
        <f>'Зона ВЭс'!L45</f>
        <v>0</v>
      </c>
      <c r="AI92" s="172">
        <f t="shared" si="33"/>
        <v>0.02</v>
      </c>
      <c r="AJ92" s="1973">
        <f t="shared" si="41"/>
        <v>0</v>
      </c>
      <c r="AK92" s="212">
        <f t="shared" si="42"/>
        <v>0</v>
      </c>
      <c r="AL92" s="172">
        <f t="shared" si="60"/>
        <v>0.02</v>
      </c>
      <c r="AM92" s="1973">
        <f t="shared" si="43"/>
        <v>0</v>
      </c>
      <c r="AN92" s="880">
        <f t="shared" si="61"/>
        <v>1.05</v>
      </c>
      <c r="AO92" s="172">
        <f>AN92-AL92-AM92</f>
        <v>1.03</v>
      </c>
      <c r="AP92" s="172">
        <f t="shared" si="55"/>
        <v>1.03</v>
      </c>
      <c r="AQ92" s="220" t="str">
        <f t="shared" si="34"/>
        <v>открыт</v>
      </c>
      <c r="AR92" s="2052" t="str">
        <f t="shared" si="44"/>
        <v>открыт</v>
      </c>
      <c r="AS92" s="935">
        <f t="shared" si="62"/>
        <v>1.9047619047619047</v>
      </c>
      <c r="AT92" s="937" t="s">
        <v>744</v>
      </c>
      <c r="AU92" s="1095">
        <v>1968</v>
      </c>
      <c r="AV92" s="1101" t="s">
        <v>3218</v>
      </c>
      <c r="AW92" s="1103">
        <v>57.8240221041303</v>
      </c>
      <c r="AX92" s="1103">
        <v>33.545197760664401</v>
      </c>
    </row>
    <row r="93" spans="1:50" ht="15" customHeight="1" x14ac:dyDescent="0.25">
      <c r="A93" s="212">
        <v>65</v>
      </c>
      <c r="B93" s="212">
        <v>15</v>
      </c>
      <c r="C93" s="212" t="s">
        <v>2644</v>
      </c>
      <c r="D93" s="230">
        <v>10</v>
      </c>
      <c r="E93" s="229" t="s">
        <v>773</v>
      </c>
      <c r="F93" s="229">
        <v>10</v>
      </c>
      <c r="G93" s="229"/>
      <c r="H93" s="228"/>
      <c r="I93" s="229" t="str">
        <f t="shared" si="35"/>
        <v>10+10</v>
      </c>
      <c r="J93" s="882">
        <v>4.5</v>
      </c>
      <c r="K93" s="1423">
        <v>0</v>
      </c>
      <c r="L93" s="1422">
        <v>0</v>
      </c>
      <c r="M93" s="172">
        <f t="shared" si="56"/>
        <v>4.5</v>
      </c>
      <c r="N93" s="172">
        <v>0</v>
      </c>
      <c r="O93" s="880"/>
      <c r="P93" s="880">
        <f t="shared" si="57"/>
        <v>10.5</v>
      </c>
      <c r="Q93" s="172">
        <f t="shared" si="58"/>
        <v>6</v>
      </c>
      <c r="R93" s="172">
        <f>Q93</f>
        <v>6</v>
      </c>
      <c r="S93" s="212" t="str">
        <f t="shared" si="47"/>
        <v>открыт</v>
      </c>
      <c r="T93" s="2052" t="str">
        <f t="shared" si="36"/>
        <v>открыт</v>
      </c>
      <c r="U93" s="757">
        <f t="shared" si="59"/>
        <v>42.857142857142854</v>
      </c>
      <c r="V93" s="2254"/>
      <c r="W93" s="2254" t="s">
        <v>3032</v>
      </c>
      <c r="X93" s="912"/>
      <c r="Y93" s="212">
        <v>65</v>
      </c>
      <c r="Z93" s="228">
        <v>15</v>
      </c>
      <c r="AA93" s="212" t="s">
        <v>2644</v>
      </c>
      <c r="AB93" s="230">
        <f t="shared" si="37"/>
        <v>10</v>
      </c>
      <c r="AC93" s="229" t="str">
        <f t="shared" si="38"/>
        <v>+</v>
      </c>
      <c r="AD93" s="229">
        <f t="shared" si="39"/>
        <v>10</v>
      </c>
      <c r="AE93" s="229"/>
      <c r="AF93" s="228"/>
      <c r="AG93" s="212" t="str">
        <f t="shared" si="40"/>
        <v>10+10</v>
      </c>
      <c r="AH93" s="172">
        <f>'Зона ВЭс'!L52</f>
        <v>1.5525978260869564</v>
      </c>
      <c r="AI93" s="172">
        <f t="shared" si="33"/>
        <v>6.0525978260869566</v>
      </c>
      <c r="AJ93" s="1973">
        <f t="shared" si="41"/>
        <v>0</v>
      </c>
      <c r="AK93" s="212">
        <f t="shared" si="42"/>
        <v>0</v>
      </c>
      <c r="AL93" s="172">
        <f t="shared" si="60"/>
        <v>6.0525978260869566</v>
      </c>
      <c r="AM93" s="1973">
        <f t="shared" si="43"/>
        <v>0</v>
      </c>
      <c r="AN93" s="880">
        <f t="shared" si="61"/>
        <v>10.5</v>
      </c>
      <c r="AO93" s="172">
        <f>AN93-AI93</f>
        <v>4.4474021739130434</v>
      </c>
      <c r="AP93" s="172">
        <f>AO93</f>
        <v>4.4474021739130434</v>
      </c>
      <c r="AQ93" s="220" t="str">
        <f t="shared" si="34"/>
        <v>открыт</v>
      </c>
      <c r="AR93" s="2052" t="str">
        <f t="shared" si="44"/>
        <v>открыт</v>
      </c>
      <c r="AS93" s="935">
        <f t="shared" si="62"/>
        <v>57.64378881987578</v>
      </c>
      <c r="AT93" s="937" t="s">
        <v>744</v>
      </c>
      <c r="AU93" s="1095">
        <v>1986</v>
      </c>
      <c r="AV93" s="1101" t="s">
        <v>3218</v>
      </c>
      <c r="AW93" s="1103">
        <v>57.868926338664501</v>
      </c>
      <c r="AX93" s="1103">
        <v>33.678183903363703</v>
      </c>
    </row>
    <row r="94" spans="1:50" ht="15" customHeight="1" x14ac:dyDescent="0.25">
      <c r="A94" s="212">
        <v>66</v>
      </c>
      <c r="B94" s="212">
        <v>16</v>
      </c>
      <c r="C94" s="212" t="s">
        <v>952</v>
      </c>
      <c r="D94" s="230">
        <v>3.2</v>
      </c>
      <c r="E94" s="229" t="s">
        <v>773</v>
      </c>
      <c r="F94" s="229">
        <v>3.2</v>
      </c>
      <c r="G94" s="229"/>
      <c r="H94" s="228"/>
      <c r="I94" s="229" t="str">
        <f t="shared" si="35"/>
        <v>3,2+3,2</v>
      </c>
      <c r="J94" s="882">
        <v>2.85</v>
      </c>
      <c r="K94" s="1423">
        <v>0</v>
      </c>
      <c r="L94" s="1422">
        <v>0</v>
      </c>
      <c r="M94" s="172">
        <f t="shared" si="56"/>
        <v>2.85</v>
      </c>
      <c r="N94" s="172">
        <v>0</v>
      </c>
      <c r="O94" s="880"/>
      <c r="P94" s="880">
        <f t="shared" si="57"/>
        <v>3.3600000000000003</v>
      </c>
      <c r="Q94" s="172">
        <f t="shared" si="58"/>
        <v>0.51000000000000023</v>
      </c>
      <c r="R94" s="172">
        <f t="shared" si="53"/>
        <v>0.51000000000000023</v>
      </c>
      <c r="S94" s="212" t="str">
        <f t="shared" si="47"/>
        <v>открыт</v>
      </c>
      <c r="T94" s="2052" t="str">
        <f t="shared" si="36"/>
        <v>открыт</v>
      </c>
      <c r="U94" s="757">
        <f t="shared" si="59"/>
        <v>84.821428571428569</v>
      </c>
      <c r="V94" s="2254">
        <v>0.7</v>
      </c>
      <c r="W94" s="2254" t="s">
        <v>3033</v>
      </c>
      <c r="X94" s="912"/>
      <c r="Y94" s="212">
        <v>66</v>
      </c>
      <c r="Z94" s="228">
        <v>16</v>
      </c>
      <c r="AA94" s="212" t="s">
        <v>952</v>
      </c>
      <c r="AB94" s="230">
        <f t="shared" si="37"/>
        <v>3.2</v>
      </c>
      <c r="AC94" s="229" t="str">
        <f t="shared" si="38"/>
        <v>+</v>
      </c>
      <c r="AD94" s="229">
        <f t="shared" si="39"/>
        <v>3.2</v>
      </c>
      <c r="AE94" s="229"/>
      <c r="AF94" s="228"/>
      <c r="AG94" s="212" t="str">
        <f t="shared" si="40"/>
        <v>3,2+3,2</v>
      </c>
      <c r="AH94" s="172">
        <f>'Зона ВЭс'!L55</f>
        <v>0</v>
      </c>
      <c r="AI94" s="172">
        <f t="shared" si="33"/>
        <v>2.85</v>
      </c>
      <c r="AJ94" s="1973">
        <f t="shared" si="41"/>
        <v>0</v>
      </c>
      <c r="AK94" s="212">
        <f t="shared" si="42"/>
        <v>0</v>
      </c>
      <c r="AL94" s="172">
        <f t="shared" si="60"/>
        <v>2.85</v>
      </c>
      <c r="AM94" s="1973">
        <f t="shared" si="43"/>
        <v>0</v>
      </c>
      <c r="AN94" s="880">
        <f t="shared" si="61"/>
        <v>3.3600000000000003</v>
      </c>
      <c r="AO94" s="172">
        <f t="shared" ref="AO94:AO125" si="63">AN94-AL94-AM94</f>
        <v>0.51000000000000023</v>
      </c>
      <c r="AP94" s="172">
        <f t="shared" si="55"/>
        <v>0.51000000000000023</v>
      </c>
      <c r="AQ94" s="220" t="str">
        <f>AR94</f>
        <v>открыт</v>
      </c>
      <c r="AR94" s="2052" t="str">
        <f t="shared" si="44"/>
        <v>открыт</v>
      </c>
      <c r="AS94" s="935">
        <f t="shared" si="62"/>
        <v>84.821428571428569</v>
      </c>
      <c r="AT94" s="937" t="s">
        <v>744</v>
      </c>
      <c r="AU94" s="1095">
        <v>1960</v>
      </c>
      <c r="AV94" s="1101" t="s">
        <v>3218</v>
      </c>
      <c r="AW94" s="1103">
        <v>57.670826900589198</v>
      </c>
      <c r="AX94" s="1103">
        <v>34.143911100993201</v>
      </c>
    </row>
    <row r="95" spans="1:50" ht="15" customHeight="1" x14ac:dyDescent="0.25">
      <c r="A95" s="212">
        <v>67</v>
      </c>
      <c r="B95" s="212">
        <v>17</v>
      </c>
      <c r="C95" s="212" t="s">
        <v>953</v>
      </c>
      <c r="D95" s="230">
        <v>2.5</v>
      </c>
      <c r="E95" s="229" t="s">
        <v>773</v>
      </c>
      <c r="F95" s="229">
        <v>2.5</v>
      </c>
      <c r="G95" s="229"/>
      <c r="H95" s="228"/>
      <c r="I95" s="229" t="str">
        <f t="shared" si="35"/>
        <v>2,5+2,5</v>
      </c>
      <c r="J95" s="882">
        <v>0.44</v>
      </c>
      <c r="K95" s="1423">
        <v>0.2</v>
      </c>
      <c r="L95" s="1422">
        <v>120</v>
      </c>
      <c r="M95" s="172">
        <f t="shared" si="56"/>
        <v>0.24</v>
      </c>
      <c r="N95" s="172">
        <v>0</v>
      </c>
      <c r="O95" s="880"/>
      <c r="P95" s="880">
        <f t="shared" si="57"/>
        <v>2.625</v>
      </c>
      <c r="Q95" s="172">
        <f t="shared" si="58"/>
        <v>2.3849999999999998</v>
      </c>
      <c r="R95" s="172">
        <f t="shared" si="53"/>
        <v>2.3849999999999998</v>
      </c>
      <c r="S95" s="212" t="str">
        <f t="shared" si="47"/>
        <v>открыт</v>
      </c>
      <c r="T95" s="2052" t="str">
        <f t="shared" si="36"/>
        <v>открыт</v>
      </c>
      <c r="U95" s="757">
        <f t="shared" si="59"/>
        <v>16.761904761904763</v>
      </c>
      <c r="V95" s="2254">
        <v>0.4</v>
      </c>
      <c r="W95" s="2254" t="s">
        <v>3033</v>
      </c>
      <c r="X95" s="912"/>
      <c r="Y95" s="212">
        <v>67</v>
      </c>
      <c r="Z95" s="228">
        <v>17</v>
      </c>
      <c r="AA95" s="212" t="s">
        <v>953</v>
      </c>
      <c r="AB95" s="230">
        <f t="shared" si="37"/>
        <v>2.5</v>
      </c>
      <c r="AC95" s="229" t="str">
        <f t="shared" si="38"/>
        <v>+</v>
      </c>
      <c r="AD95" s="229">
        <f t="shared" si="39"/>
        <v>2.5</v>
      </c>
      <c r="AE95" s="229"/>
      <c r="AF95" s="228"/>
      <c r="AG95" s="212" t="str">
        <f t="shared" si="40"/>
        <v>2,5+2,5</v>
      </c>
      <c r="AH95" s="172">
        <f>'Зона ВЭс'!L58</f>
        <v>6.8478260869565225E-2</v>
      </c>
      <c r="AI95" s="172">
        <f t="shared" si="33"/>
        <v>0.50847826086956527</v>
      </c>
      <c r="AJ95" s="1973">
        <f t="shared" si="41"/>
        <v>0.2</v>
      </c>
      <c r="AK95" s="212">
        <f t="shared" si="42"/>
        <v>120</v>
      </c>
      <c r="AL95" s="172">
        <f t="shared" si="60"/>
        <v>0.30847826086956526</v>
      </c>
      <c r="AM95" s="1973">
        <f t="shared" si="43"/>
        <v>0</v>
      </c>
      <c r="AN95" s="880">
        <f t="shared" si="61"/>
        <v>2.625</v>
      </c>
      <c r="AO95" s="172">
        <f t="shared" si="63"/>
        <v>2.3165217391304349</v>
      </c>
      <c r="AP95" s="172">
        <f t="shared" si="55"/>
        <v>2.3165217391304349</v>
      </c>
      <c r="AQ95" s="212" t="str">
        <f t="shared" si="34"/>
        <v>открыт</v>
      </c>
      <c r="AR95" s="2052" t="str">
        <f t="shared" si="44"/>
        <v>открыт</v>
      </c>
      <c r="AS95" s="935">
        <f t="shared" si="62"/>
        <v>19.370600414078677</v>
      </c>
      <c r="AT95" s="937" t="s">
        <v>744</v>
      </c>
      <c r="AU95" s="1095">
        <v>1979</v>
      </c>
      <c r="AV95" s="1101" t="s">
        <v>3218</v>
      </c>
      <c r="AW95" s="1103">
        <v>57.7721481817238</v>
      </c>
      <c r="AX95" s="1103">
        <v>34.383550362481301</v>
      </c>
    </row>
    <row r="96" spans="1:50" ht="15" customHeight="1" x14ac:dyDescent="0.25">
      <c r="A96" s="212">
        <v>68</v>
      </c>
      <c r="B96" s="212">
        <v>18</v>
      </c>
      <c r="C96" s="212" t="s">
        <v>954</v>
      </c>
      <c r="D96" s="230">
        <v>6.3</v>
      </c>
      <c r="E96" s="229" t="s">
        <v>773</v>
      </c>
      <c r="F96" s="229">
        <v>6.3</v>
      </c>
      <c r="G96" s="229"/>
      <c r="H96" s="228"/>
      <c r="I96" s="229" t="str">
        <f t="shared" si="35"/>
        <v>6,3+6,3</v>
      </c>
      <c r="J96" s="882">
        <v>0.4</v>
      </c>
      <c r="K96" s="1423">
        <v>0</v>
      </c>
      <c r="L96" s="1422">
        <v>0</v>
      </c>
      <c r="M96" s="172">
        <f t="shared" si="56"/>
        <v>0.4</v>
      </c>
      <c r="N96" s="172">
        <v>0</v>
      </c>
      <c r="O96" s="880"/>
      <c r="P96" s="880">
        <f t="shared" si="57"/>
        <v>6.6150000000000002</v>
      </c>
      <c r="Q96" s="172">
        <f t="shared" si="58"/>
        <v>6.2149999999999999</v>
      </c>
      <c r="R96" s="172">
        <f t="shared" si="53"/>
        <v>6.2149999999999999</v>
      </c>
      <c r="S96" s="212" t="str">
        <f t="shared" si="47"/>
        <v>открыт</v>
      </c>
      <c r="T96" s="2052" t="str">
        <f t="shared" si="36"/>
        <v>открыт</v>
      </c>
      <c r="U96" s="757">
        <f t="shared" si="59"/>
        <v>6.046863189720332</v>
      </c>
      <c r="V96" s="2254">
        <v>0.4</v>
      </c>
      <c r="W96" s="2254" t="s">
        <v>3033</v>
      </c>
      <c r="X96" s="912"/>
      <c r="Y96" s="212">
        <v>68</v>
      </c>
      <c r="Z96" s="228">
        <v>18</v>
      </c>
      <c r="AA96" s="212" t="s">
        <v>954</v>
      </c>
      <c r="AB96" s="230">
        <f t="shared" si="37"/>
        <v>6.3</v>
      </c>
      <c r="AC96" s="229" t="str">
        <f t="shared" si="38"/>
        <v>+</v>
      </c>
      <c r="AD96" s="229">
        <f t="shared" si="39"/>
        <v>6.3</v>
      </c>
      <c r="AE96" s="229"/>
      <c r="AF96" s="228"/>
      <c r="AG96" s="212" t="str">
        <f t="shared" si="40"/>
        <v>6,3+6,3</v>
      </c>
      <c r="AH96" s="172">
        <f>'Зона ВЭс'!L60</f>
        <v>0</v>
      </c>
      <c r="AI96" s="172">
        <f t="shared" si="33"/>
        <v>0.4</v>
      </c>
      <c r="AJ96" s="1973">
        <f t="shared" si="41"/>
        <v>0</v>
      </c>
      <c r="AK96" s="212">
        <f t="shared" si="42"/>
        <v>0</v>
      </c>
      <c r="AL96" s="172">
        <f t="shared" si="60"/>
        <v>0.4</v>
      </c>
      <c r="AM96" s="1973">
        <f t="shared" si="43"/>
        <v>0</v>
      </c>
      <c r="AN96" s="880">
        <f t="shared" si="61"/>
        <v>6.6150000000000002</v>
      </c>
      <c r="AO96" s="172">
        <f t="shared" si="63"/>
        <v>6.2149999999999999</v>
      </c>
      <c r="AP96" s="172">
        <f t="shared" si="55"/>
        <v>6.2149999999999999</v>
      </c>
      <c r="AQ96" s="212" t="str">
        <f t="shared" si="34"/>
        <v>открыт</v>
      </c>
      <c r="AR96" s="2052" t="str">
        <f t="shared" si="44"/>
        <v>открыт</v>
      </c>
      <c r="AS96" s="935">
        <f t="shared" si="62"/>
        <v>6.046863189720332</v>
      </c>
      <c r="AT96" s="937" t="s">
        <v>744</v>
      </c>
      <c r="AU96" s="1095">
        <v>1988</v>
      </c>
      <c r="AV96" s="1101" t="s">
        <v>3218</v>
      </c>
      <c r="AW96" s="1103">
        <v>57.8442779260156</v>
      </c>
      <c r="AX96" s="1103">
        <v>34.162693792070002</v>
      </c>
    </row>
    <row r="97" spans="1:50" ht="15" customHeight="1" x14ac:dyDescent="0.25">
      <c r="A97" s="212">
        <v>69</v>
      </c>
      <c r="B97" s="212">
        <v>19</v>
      </c>
      <c r="C97" s="212" t="s">
        <v>955</v>
      </c>
      <c r="D97" s="230">
        <v>6.3</v>
      </c>
      <c r="E97" s="229" t="s">
        <v>773</v>
      </c>
      <c r="F97" s="229">
        <v>4</v>
      </c>
      <c r="G97" s="229"/>
      <c r="H97" s="228"/>
      <c r="I97" s="229" t="str">
        <f t="shared" si="35"/>
        <v>6,3+4</v>
      </c>
      <c r="J97" s="882">
        <v>1.1499999999999999</v>
      </c>
      <c r="K97" s="1423">
        <v>0</v>
      </c>
      <c r="L97" s="1422">
        <v>0</v>
      </c>
      <c r="M97" s="172">
        <f t="shared" si="56"/>
        <v>1.1499999999999999</v>
      </c>
      <c r="N97" s="172">
        <v>0</v>
      </c>
      <c r="O97" s="880"/>
      <c r="P97" s="880">
        <f t="shared" si="57"/>
        <v>4.2</v>
      </c>
      <c r="Q97" s="172">
        <f t="shared" si="58"/>
        <v>3.0500000000000003</v>
      </c>
      <c r="R97" s="172">
        <f t="shared" si="53"/>
        <v>3.0500000000000003</v>
      </c>
      <c r="S97" s="212" t="str">
        <f t="shared" si="47"/>
        <v>открыт</v>
      </c>
      <c r="T97" s="2052" t="str">
        <f t="shared" si="36"/>
        <v>открыт</v>
      </c>
      <c r="U97" s="757">
        <f t="shared" si="59"/>
        <v>27.380952380952376</v>
      </c>
      <c r="V97" s="2254">
        <v>0.7</v>
      </c>
      <c r="W97" s="2254" t="s">
        <v>3033</v>
      </c>
      <c r="X97" s="912"/>
      <c r="Y97" s="212">
        <v>69</v>
      </c>
      <c r="Z97" s="228">
        <v>19</v>
      </c>
      <c r="AA97" s="212" t="s">
        <v>955</v>
      </c>
      <c r="AB97" s="230">
        <f t="shared" si="37"/>
        <v>6.3</v>
      </c>
      <c r="AC97" s="229" t="str">
        <f t="shared" si="38"/>
        <v>+</v>
      </c>
      <c r="AD97" s="229">
        <f t="shared" si="39"/>
        <v>4</v>
      </c>
      <c r="AE97" s="229"/>
      <c r="AF97" s="228"/>
      <c r="AG97" s="212" t="str">
        <f t="shared" si="40"/>
        <v>6,3+4</v>
      </c>
      <c r="AH97" s="172">
        <f>'Зона ВЭс'!L66</f>
        <v>0.39130434782608697</v>
      </c>
      <c r="AI97" s="172">
        <f t="shared" si="33"/>
        <v>1.5413043478260868</v>
      </c>
      <c r="AJ97" s="1973">
        <f t="shared" si="41"/>
        <v>0</v>
      </c>
      <c r="AK97" s="212">
        <f t="shared" si="42"/>
        <v>0</v>
      </c>
      <c r="AL97" s="172">
        <f t="shared" si="60"/>
        <v>1.5413043478260868</v>
      </c>
      <c r="AM97" s="1973">
        <f t="shared" si="43"/>
        <v>0</v>
      </c>
      <c r="AN97" s="880">
        <f t="shared" si="61"/>
        <v>4.2</v>
      </c>
      <c r="AO97" s="172">
        <f t="shared" si="63"/>
        <v>2.6586956521739133</v>
      </c>
      <c r="AP97" s="172">
        <f t="shared" si="55"/>
        <v>2.6586956521739133</v>
      </c>
      <c r="AQ97" s="212" t="str">
        <f t="shared" si="34"/>
        <v>открыт</v>
      </c>
      <c r="AR97" s="2052" t="str">
        <f t="shared" si="44"/>
        <v>открыт</v>
      </c>
      <c r="AS97" s="935">
        <f t="shared" si="62"/>
        <v>36.697722567287784</v>
      </c>
      <c r="AT97" s="937" t="s">
        <v>744</v>
      </c>
      <c r="AU97" s="1095">
        <v>1975</v>
      </c>
      <c r="AV97" s="1101" t="s">
        <v>3218</v>
      </c>
      <c r="AW97" s="1103">
        <v>57.442031982207403</v>
      </c>
      <c r="AX97" s="1103">
        <v>33.814412439192097</v>
      </c>
    </row>
    <row r="98" spans="1:50" ht="15" customHeight="1" x14ac:dyDescent="0.25">
      <c r="A98" s="212">
        <v>70</v>
      </c>
      <c r="B98" s="212">
        <v>20</v>
      </c>
      <c r="C98" s="212" t="s">
        <v>956</v>
      </c>
      <c r="D98" s="230">
        <v>2.5</v>
      </c>
      <c r="E98" s="229" t="s">
        <v>773</v>
      </c>
      <c r="F98" s="229">
        <v>1.6</v>
      </c>
      <c r="G98" s="229"/>
      <c r="H98" s="228"/>
      <c r="I98" s="229" t="str">
        <f t="shared" si="35"/>
        <v>2,5+1,6</v>
      </c>
      <c r="J98" s="882">
        <v>0.71</v>
      </c>
      <c r="K98" s="1423">
        <v>0</v>
      </c>
      <c r="L98" s="1422">
        <v>0</v>
      </c>
      <c r="M98" s="172">
        <f t="shared" si="56"/>
        <v>0.71</v>
      </c>
      <c r="N98" s="172">
        <v>0</v>
      </c>
      <c r="O98" s="880"/>
      <c r="P98" s="880">
        <f t="shared" si="57"/>
        <v>1.6800000000000002</v>
      </c>
      <c r="Q98" s="172">
        <f t="shared" si="58"/>
        <v>0.9700000000000002</v>
      </c>
      <c r="R98" s="172">
        <f t="shared" si="53"/>
        <v>0.9700000000000002</v>
      </c>
      <c r="S98" s="212" t="str">
        <f t="shared" si="47"/>
        <v>открыт</v>
      </c>
      <c r="T98" s="2052" t="str">
        <f t="shared" si="36"/>
        <v>открыт</v>
      </c>
      <c r="U98" s="757">
        <f t="shared" si="59"/>
        <v>42.261904761904759</v>
      </c>
      <c r="V98" s="2254"/>
      <c r="W98" s="2254" t="s">
        <v>3032</v>
      </c>
      <c r="X98" s="912"/>
      <c r="Y98" s="212">
        <v>70</v>
      </c>
      <c r="Z98" s="228">
        <v>20</v>
      </c>
      <c r="AA98" s="212" t="s">
        <v>956</v>
      </c>
      <c r="AB98" s="230">
        <f t="shared" si="37"/>
        <v>2.5</v>
      </c>
      <c r="AC98" s="229" t="str">
        <f t="shared" si="38"/>
        <v>+</v>
      </c>
      <c r="AD98" s="229">
        <f t="shared" si="39"/>
        <v>1.6</v>
      </c>
      <c r="AE98" s="229"/>
      <c r="AF98" s="228"/>
      <c r="AG98" s="212" t="str">
        <f t="shared" si="40"/>
        <v>2,5+1,6</v>
      </c>
      <c r="AH98" s="172">
        <f>'Зона ВЭс'!L72</f>
        <v>0</v>
      </c>
      <c r="AI98" s="172">
        <f t="shared" si="33"/>
        <v>0.71</v>
      </c>
      <c r="AJ98" s="1973">
        <f t="shared" si="41"/>
        <v>0</v>
      </c>
      <c r="AK98" s="212">
        <f t="shared" si="42"/>
        <v>0</v>
      </c>
      <c r="AL98" s="172">
        <f t="shared" si="60"/>
        <v>0.71</v>
      </c>
      <c r="AM98" s="1973">
        <f t="shared" si="43"/>
        <v>0</v>
      </c>
      <c r="AN98" s="880">
        <f t="shared" si="61"/>
        <v>1.6800000000000002</v>
      </c>
      <c r="AO98" s="172">
        <f t="shared" si="63"/>
        <v>0.9700000000000002</v>
      </c>
      <c r="AP98" s="172">
        <f t="shared" si="55"/>
        <v>0.9700000000000002</v>
      </c>
      <c r="AQ98" s="212" t="str">
        <f t="shared" si="34"/>
        <v>открыт</v>
      </c>
      <c r="AR98" s="2052" t="str">
        <f t="shared" si="44"/>
        <v>открыт</v>
      </c>
      <c r="AS98" s="935">
        <f t="shared" si="62"/>
        <v>42.261904761904759</v>
      </c>
      <c r="AT98" s="937" t="s">
        <v>744</v>
      </c>
      <c r="AU98" s="1095">
        <v>1979</v>
      </c>
      <c r="AV98" s="1101" t="s">
        <v>3218</v>
      </c>
      <c r="AW98" s="1103">
        <v>57.3579252791329</v>
      </c>
      <c r="AX98" s="1103">
        <v>34.836595533239702</v>
      </c>
    </row>
    <row r="99" spans="1:50" ht="15" customHeight="1" x14ac:dyDescent="0.25">
      <c r="A99" s="212">
        <v>71</v>
      </c>
      <c r="B99" s="212">
        <v>21</v>
      </c>
      <c r="C99" s="212" t="s">
        <v>957</v>
      </c>
      <c r="D99" s="230">
        <v>2.5</v>
      </c>
      <c r="E99" s="229" t="s">
        <v>773</v>
      </c>
      <c r="F99" s="229">
        <v>1.6</v>
      </c>
      <c r="G99" s="229"/>
      <c r="H99" s="228"/>
      <c r="I99" s="229" t="str">
        <f t="shared" si="35"/>
        <v>2,5+1,6</v>
      </c>
      <c r="J99" s="882">
        <v>0.39</v>
      </c>
      <c r="K99" s="1423">
        <v>0.4</v>
      </c>
      <c r="L99" s="1422">
        <v>120</v>
      </c>
      <c r="M99" s="172">
        <f t="shared" si="56"/>
        <v>-1.0000000000000009E-2</v>
      </c>
      <c r="N99" s="172">
        <v>0</v>
      </c>
      <c r="O99" s="880"/>
      <c r="P99" s="880">
        <f t="shared" si="57"/>
        <v>1.6800000000000002</v>
      </c>
      <c r="Q99" s="172">
        <f t="shared" si="58"/>
        <v>1.6900000000000002</v>
      </c>
      <c r="R99" s="172">
        <f t="shared" si="53"/>
        <v>1.6900000000000002</v>
      </c>
      <c r="S99" s="212" t="str">
        <f t="shared" si="47"/>
        <v>открыт</v>
      </c>
      <c r="T99" s="2052" t="str">
        <f t="shared" si="36"/>
        <v>открыт</v>
      </c>
      <c r="U99" s="757">
        <f t="shared" si="59"/>
        <v>23.214285714285712</v>
      </c>
      <c r="V99" s="2254">
        <v>0.5</v>
      </c>
      <c r="W99" s="2254" t="s">
        <v>3033</v>
      </c>
      <c r="X99" s="912"/>
      <c r="Y99" s="212">
        <v>71</v>
      </c>
      <c r="Z99" s="228">
        <v>21</v>
      </c>
      <c r="AA99" s="212" t="s">
        <v>957</v>
      </c>
      <c r="AB99" s="230">
        <f>D99</f>
        <v>2.5</v>
      </c>
      <c r="AC99" s="229" t="str">
        <f t="shared" si="38"/>
        <v>+</v>
      </c>
      <c r="AD99" s="229">
        <f t="shared" si="39"/>
        <v>1.6</v>
      </c>
      <c r="AE99" s="229"/>
      <c r="AF99" s="228"/>
      <c r="AG99" s="212" t="str">
        <f t="shared" si="40"/>
        <v>2,5+1,6</v>
      </c>
      <c r="AH99" s="172">
        <f>'Зона ВЭс'!L75</f>
        <v>0</v>
      </c>
      <c r="AI99" s="172">
        <f t="shared" si="33"/>
        <v>0.39</v>
      </c>
      <c r="AJ99" s="1973">
        <f t="shared" si="41"/>
        <v>0.4</v>
      </c>
      <c r="AK99" s="212">
        <f t="shared" si="42"/>
        <v>120</v>
      </c>
      <c r="AL99" s="172">
        <f t="shared" si="60"/>
        <v>-1.0000000000000009E-2</v>
      </c>
      <c r="AM99" s="1973">
        <f t="shared" si="43"/>
        <v>0</v>
      </c>
      <c r="AN99" s="880">
        <f t="shared" si="61"/>
        <v>1.6800000000000002</v>
      </c>
      <c r="AO99" s="172">
        <f t="shared" si="63"/>
        <v>1.6900000000000002</v>
      </c>
      <c r="AP99" s="172">
        <f t="shared" si="55"/>
        <v>1.6900000000000002</v>
      </c>
      <c r="AQ99" s="212" t="str">
        <f t="shared" si="34"/>
        <v>открыт</v>
      </c>
      <c r="AR99" s="2052" t="str">
        <f t="shared" si="44"/>
        <v>открыт</v>
      </c>
      <c r="AS99" s="935">
        <f t="shared" si="62"/>
        <v>23.214285714285712</v>
      </c>
      <c r="AT99" s="937" t="s">
        <v>744</v>
      </c>
      <c r="AU99" s="1095">
        <v>1990</v>
      </c>
      <c r="AV99" s="1101" t="s">
        <v>3218</v>
      </c>
      <c r="AW99" s="1103">
        <v>57.767868441990103</v>
      </c>
      <c r="AX99" s="1103">
        <v>34.892569280207297</v>
      </c>
    </row>
    <row r="100" spans="1:50" ht="15" customHeight="1" x14ac:dyDescent="0.25">
      <c r="A100" s="212">
        <v>72</v>
      </c>
      <c r="B100" s="212">
        <v>22</v>
      </c>
      <c r="C100" s="212" t="s">
        <v>2389</v>
      </c>
      <c r="D100" s="230">
        <v>1.6</v>
      </c>
      <c r="E100" s="229" t="s">
        <v>773</v>
      </c>
      <c r="F100" s="229">
        <v>1.6</v>
      </c>
      <c r="G100" s="229"/>
      <c r="H100" s="228"/>
      <c r="I100" s="229" t="str">
        <f t="shared" si="35"/>
        <v>1,6+1,6</v>
      </c>
      <c r="J100" s="882">
        <v>0.28000000000000003</v>
      </c>
      <c r="K100" s="1423">
        <v>0</v>
      </c>
      <c r="L100" s="1422">
        <v>0</v>
      </c>
      <c r="M100" s="172">
        <f t="shared" si="56"/>
        <v>0.28000000000000003</v>
      </c>
      <c r="N100" s="172">
        <v>0</v>
      </c>
      <c r="O100" s="880"/>
      <c r="P100" s="880">
        <f t="shared" si="57"/>
        <v>1.6800000000000002</v>
      </c>
      <c r="Q100" s="172">
        <f t="shared" si="58"/>
        <v>1.4000000000000001</v>
      </c>
      <c r="R100" s="172">
        <f t="shared" si="53"/>
        <v>1.4000000000000001</v>
      </c>
      <c r="S100" s="212" t="str">
        <f t="shared" si="47"/>
        <v>открыт</v>
      </c>
      <c r="T100" s="2052" t="str">
        <f t="shared" si="36"/>
        <v>открыт</v>
      </c>
      <c r="U100" s="757">
        <f t="shared" si="59"/>
        <v>16.666666666666668</v>
      </c>
      <c r="V100" s="2254"/>
      <c r="W100" s="2254" t="s">
        <v>3032</v>
      </c>
      <c r="X100" s="912"/>
      <c r="Y100" s="212">
        <v>72</v>
      </c>
      <c r="Z100" s="228">
        <v>22</v>
      </c>
      <c r="AA100" s="212" t="s">
        <v>2389</v>
      </c>
      <c r="AB100" s="230">
        <f t="shared" si="37"/>
        <v>1.6</v>
      </c>
      <c r="AC100" s="229" t="str">
        <f t="shared" si="38"/>
        <v>+</v>
      </c>
      <c r="AD100" s="229">
        <f t="shared" si="39"/>
        <v>1.6</v>
      </c>
      <c r="AE100" s="229"/>
      <c r="AF100" s="228"/>
      <c r="AG100" s="212" t="str">
        <f t="shared" si="40"/>
        <v>1,6+1,6</v>
      </c>
      <c r="AH100" s="172">
        <f>'Зона ВЭс'!L77</f>
        <v>0</v>
      </c>
      <c r="AI100" s="172">
        <f t="shared" si="33"/>
        <v>0.28000000000000003</v>
      </c>
      <c r="AJ100" s="1973">
        <f t="shared" si="41"/>
        <v>0</v>
      </c>
      <c r="AK100" s="212">
        <f t="shared" si="42"/>
        <v>0</v>
      </c>
      <c r="AL100" s="172">
        <f t="shared" si="60"/>
        <v>0.28000000000000003</v>
      </c>
      <c r="AM100" s="1973">
        <f t="shared" si="43"/>
        <v>0</v>
      </c>
      <c r="AN100" s="880">
        <f t="shared" si="61"/>
        <v>1.6800000000000002</v>
      </c>
      <c r="AO100" s="172">
        <f t="shared" si="63"/>
        <v>1.4000000000000001</v>
      </c>
      <c r="AP100" s="172">
        <f t="shared" si="55"/>
        <v>1.4000000000000001</v>
      </c>
      <c r="AQ100" s="212" t="str">
        <f t="shared" si="34"/>
        <v>открыт</v>
      </c>
      <c r="AR100" s="2052" t="str">
        <f t="shared" si="44"/>
        <v>открыт</v>
      </c>
      <c r="AS100" s="935">
        <f t="shared" si="62"/>
        <v>16.666666666666668</v>
      </c>
      <c r="AT100" s="937" t="s">
        <v>745</v>
      </c>
      <c r="AU100" s="1095">
        <v>1989</v>
      </c>
      <c r="AV100" s="1101" t="s">
        <v>3218</v>
      </c>
      <c r="AW100" s="1103">
        <v>57.488246932443701</v>
      </c>
      <c r="AX100" s="1103">
        <v>35.123287080946</v>
      </c>
    </row>
    <row r="101" spans="1:50" ht="15" customHeight="1" x14ac:dyDescent="0.25">
      <c r="A101" s="212">
        <v>73</v>
      </c>
      <c r="B101" s="212">
        <v>23</v>
      </c>
      <c r="C101" s="212" t="s">
        <v>958</v>
      </c>
      <c r="D101" s="230">
        <v>4</v>
      </c>
      <c r="E101" s="229" t="s">
        <v>773</v>
      </c>
      <c r="F101" s="229">
        <v>4</v>
      </c>
      <c r="G101" s="229"/>
      <c r="H101" s="228"/>
      <c r="I101" s="229" t="str">
        <f t="shared" si="35"/>
        <v>4+4</v>
      </c>
      <c r="J101" s="882">
        <v>2.67</v>
      </c>
      <c r="K101" s="1423">
        <v>0</v>
      </c>
      <c r="L101" s="1422">
        <v>0</v>
      </c>
      <c r="M101" s="172">
        <f t="shared" si="56"/>
        <v>2.67</v>
      </c>
      <c r="N101" s="172">
        <v>0</v>
      </c>
      <c r="O101" s="880"/>
      <c r="P101" s="880">
        <f t="shared" si="57"/>
        <v>4.2</v>
      </c>
      <c r="Q101" s="172">
        <f t="shared" si="58"/>
        <v>1.5300000000000002</v>
      </c>
      <c r="R101" s="172">
        <f t="shared" si="53"/>
        <v>1.5300000000000002</v>
      </c>
      <c r="S101" s="212" t="str">
        <f t="shared" si="47"/>
        <v>открыт</v>
      </c>
      <c r="T101" s="2052" t="str">
        <f t="shared" si="36"/>
        <v>открыт</v>
      </c>
      <c r="U101" s="757">
        <f t="shared" si="59"/>
        <v>63.571428571428569</v>
      </c>
      <c r="V101" s="2254">
        <v>0.8</v>
      </c>
      <c r="W101" s="2254" t="s">
        <v>3033</v>
      </c>
      <c r="X101" s="912"/>
      <c r="Y101" s="212">
        <v>73</v>
      </c>
      <c r="Z101" s="228">
        <v>23</v>
      </c>
      <c r="AA101" s="212" t="s">
        <v>958</v>
      </c>
      <c r="AB101" s="230">
        <f t="shared" si="37"/>
        <v>4</v>
      </c>
      <c r="AC101" s="229" t="str">
        <f t="shared" si="38"/>
        <v>+</v>
      </c>
      <c r="AD101" s="229">
        <f t="shared" si="39"/>
        <v>4</v>
      </c>
      <c r="AE101" s="229"/>
      <c r="AF101" s="228"/>
      <c r="AG101" s="212" t="str">
        <f t="shared" si="40"/>
        <v>4+4</v>
      </c>
      <c r="AH101" s="172">
        <f>'Зона ВЭс'!L79</f>
        <v>0</v>
      </c>
      <c r="AI101" s="172">
        <f t="shared" si="33"/>
        <v>2.67</v>
      </c>
      <c r="AJ101" s="1973">
        <f t="shared" si="41"/>
        <v>0</v>
      </c>
      <c r="AK101" s="212">
        <f t="shared" si="42"/>
        <v>0</v>
      </c>
      <c r="AL101" s="172">
        <f t="shared" si="60"/>
        <v>2.67</v>
      </c>
      <c r="AM101" s="1973">
        <f t="shared" si="43"/>
        <v>0</v>
      </c>
      <c r="AN101" s="880">
        <f t="shared" si="61"/>
        <v>4.2</v>
      </c>
      <c r="AO101" s="172">
        <f t="shared" si="63"/>
        <v>1.5300000000000002</v>
      </c>
      <c r="AP101" s="172">
        <f t="shared" si="55"/>
        <v>1.5300000000000002</v>
      </c>
      <c r="AQ101" s="212" t="str">
        <f t="shared" si="34"/>
        <v>открыт</v>
      </c>
      <c r="AR101" s="2052" t="str">
        <f t="shared" si="44"/>
        <v>открыт</v>
      </c>
      <c r="AS101" s="935">
        <f t="shared" si="62"/>
        <v>63.571428571428569</v>
      </c>
      <c r="AT101" s="937" t="s">
        <v>744</v>
      </c>
      <c r="AU101" s="1095">
        <v>1980</v>
      </c>
      <c r="AV101" s="1101" t="s">
        <v>3218</v>
      </c>
      <c r="AW101" s="1103">
        <v>57.629632543282298</v>
      </c>
      <c r="AX101" s="1103">
        <v>34.495544901883001</v>
      </c>
    </row>
    <row r="102" spans="1:50" ht="15" customHeight="1" x14ac:dyDescent="0.25">
      <c r="A102" s="212">
        <v>74</v>
      </c>
      <c r="B102" s="212">
        <v>24</v>
      </c>
      <c r="C102" s="212" t="s">
        <v>959</v>
      </c>
      <c r="D102" s="230">
        <v>1.6</v>
      </c>
      <c r="E102" s="229" t="s">
        <v>773</v>
      </c>
      <c r="F102" s="229">
        <v>1.6</v>
      </c>
      <c r="G102" s="229"/>
      <c r="H102" s="228"/>
      <c r="I102" s="229" t="str">
        <f t="shared" si="35"/>
        <v>1,6+1,6</v>
      </c>
      <c r="J102" s="882">
        <v>0.46</v>
      </c>
      <c r="K102" s="1423">
        <v>0</v>
      </c>
      <c r="L102" s="1422">
        <v>0</v>
      </c>
      <c r="M102" s="172">
        <f t="shared" si="56"/>
        <v>0.46</v>
      </c>
      <c r="N102" s="172">
        <v>0</v>
      </c>
      <c r="O102" s="880"/>
      <c r="P102" s="880">
        <f t="shared" si="57"/>
        <v>1.6800000000000002</v>
      </c>
      <c r="Q102" s="172">
        <f t="shared" si="58"/>
        <v>1.2200000000000002</v>
      </c>
      <c r="R102" s="172">
        <f t="shared" si="53"/>
        <v>1.2200000000000002</v>
      </c>
      <c r="S102" s="757" t="str">
        <f t="shared" si="47"/>
        <v>открыт</v>
      </c>
      <c r="T102" s="2052" t="str">
        <f t="shared" si="36"/>
        <v>открыт</v>
      </c>
      <c r="U102" s="757">
        <f t="shared" si="59"/>
        <v>27.38095238095238</v>
      </c>
      <c r="V102" s="2254"/>
      <c r="W102" s="2254" t="s">
        <v>3032</v>
      </c>
      <c r="X102" s="912"/>
      <c r="Y102" s="212">
        <v>74</v>
      </c>
      <c r="Z102" s="228">
        <v>24</v>
      </c>
      <c r="AA102" s="212" t="s">
        <v>959</v>
      </c>
      <c r="AB102" s="230">
        <f t="shared" si="37"/>
        <v>1.6</v>
      </c>
      <c r="AC102" s="229" t="str">
        <f t="shared" si="38"/>
        <v>+</v>
      </c>
      <c r="AD102" s="229">
        <f t="shared" si="39"/>
        <v>1.6</v>
      </c>
      <c r="AE102" s="229"/>
      <c r="AF102" s="228"/>
      <c r="AG102" s="212" t="str">
        <f t="shared" si="40"/>
        <v>1,6+1,6</v>
      </c>
      <c r="AH102" s="172">
        <f>'Зона ВЭс'!L82</f>
        <v>0</v>
      </c>
      <c r="AI102" s="172">
        <f t="shared" si="33"/>
        <v>0.46</v>
      </c>
      <c r="AJ102" s="1973">
        <f t="shared" si="41"/>
        <v>0</v>
      </c>
      <c r="AK102" s="212">
        <f t="shared" si="42"/>
        <v>0</v>
      </c>
      <c r="AL102" s="172">
        <f t="shared" si="60"/>
        <v>0.46</v>
      </c>
      <c r="AM102" s="1973">
        <f t="shared" si="43"/>
        <v>0</v>
      </c>
      <c r="AN102" s="880">
        <f t="shared" si="61"/>
        <v>1.6800000000000002</v>
      </c>
      <c r="AO102" s="172">
        <f t="shared" si="63"/>
        <v>1.2200000000000002</v>
      </c>
      <c r="AP102" s="172">
        <f t="shared" si="55"/>
        <v>1.2200000000000002</v>
      </c>
      <c r="AQ102" s="757" t="str">
        <f t="shared" si="34"/>
        <v>открыт</v>
      </c>
      <c r="AR102" s="2052" t="str">
        <f t="shared" si="44"/>
        <v>открыт</v>
      </c>
      <c r="AS102" s="935">
        <f t="shared" si="62"/>
        <v>27.38095238095238</v>
      </c>
      <c r="AT102" s="937" t="s">
        <v>744</v>
      </c>
      <c r="AU102" s="1095">
        <v>1979</v>
      </c>
      <c r="AV102" s="1101" t="s">
        <v>3218</v>
      </c>
      <c r="AW102" s="1103">
        <v>57.699834256032702</v>
      </c>
      <c r="AX102" s="1103">
        <v>34.772205230770801</v>
      </c>
    </row>
    <row r="103" spans="1:50" ht="15" customHeight="1" x14ac:dyDescent="0.25">
      <c r="A103" s="212">
        <v>75</v>
      </c>
      <c r="B103" s="212">
        <v>25</v>
      </c>
      <c r="C103" s="212" t="s">
        <v>960</v>
      </c>
      <c r="D103" s="230">
        <v>1.8</v>
      </c>
      <c r="E103" s="229" t="s">
        <v>773</v>
      </c>
      <c r="F103" s="229">
        <v>2.5</v>
      </c>
      <c r="G103" s="229"/>
      <c r="H103" s="228"/>
      <c r="I103" s="229" t="str">
        <f t="shared" si="35"/>
        <v>1,8+2,5</v>
      </c>
      <c r="J103" s="882">
        <v>1.05</v>
      </c>
      <c r="K103" s="1423">
        <v>0</v>
      </c>
      <c r="L103" s="1422">
        <v>0</v>
      </c>
      <c r="M103" s="172">
        <f t="shared" si="56"/>
        <v>1.05</v>
      </c>
      <c r="N103" s="172">
        <v>0</v>
      </c>
      <c r="O103" s="880"/>
      <c r="P103" s="880">
        <f t="shared" si="57"/>
        <v>1.8900000000000001</v>
      </c>
      <c r="Q103" s="172">
        <f t="shared" si="58"/>
        <v>0.84000000000000008</v>
      </c>
      <c r="R103" s="172">
        <f t="shared" si="53"/>
        <v>0.84000000000000008</v>
      </c>
      <c r="S103" s="757" t="str">
        <f t="shared" si="47"/>
        <v>открыт</v>
      </c>
      <c r="T103" s="2052" t="str">
        <f t="shared" si="36"/>
        <v>открыт</v>
      </c>
      <c r="U103" s="757">
        <f t="shared" si="59"/>
        <v>55.55555555555555</v>
      </c>
      <c r="V103" s="2254">
        <v>0.5</v>
      </c>
      <c r="W103" s="2254" t="s">
        <v>3033</v>
      </c>
      <c r="X103" s="912"/>
      <c r="Y103" s="212">
        <v>75</v>
      </c>
      <c r="Z103" s="228">
        <v>25</v>
      </c>
      <c r="AA103" s="212" t="s">
        <v>960</v>
      </c>
      <c r="AB103" s="230">
        <f t="shared" si="37"/>
        <v>1.8</v>
      </c>
      <c r="AC103" s="229" t="str">
        <f t="shared" si="38"/>
        <v>+</v>
      </c>
      <c r="AD103" s="229">
        <f t="shared" si="39"/>
        <v>2.5</v>
      </c>
      <c r="AE103" s="229"/>
      <c r="AF103" s="228"/>
      <c r="AG103" s="212" t="str">
        <f t="shared" si="40"/>
        <v>1,8+2,5</v>
      </c>
      <c r="AH103" s="172">
        <f>'Зона ВЭс'!L84</f>
        <v>0</v>
      </c>
      <c r="AI103" s="172">
        <f t="shared" si="33"/>
        <v>1.05</v>
      </c>
      <c r="AJ103" s="1973">
        <f t="shared" si="41"/>
        <v>0</v>
      </c>
      <c r="AK103" s="212">
        <f t="shared" si="42"/>
        <v>0</v>
      </c>
      <c r="AL103" s="172">
        <f t="shared" si="60"/>
        <v>1.05</v>
      </c>
      <c r="AM103" s="1973">
        <f t="shared" si="43"/>
        <v>0</v>
      </c>
      <c r="AN103" s="880">
        <f t="shared" si="61"/>
        <v>1.8900000000000001</v>
      </c>
      <c r="AO103" s="172">
        <f t="shared" si="63"/>
        <v>0.84000000000000008</v>
      </c>
      <c r="AP103" s="172">
        <f t="shared" si="55"/>
        <v>0.84000000000000008</v>
      </c>
      <c r="AQ103" s="757" t="str">
        <f t="shared" si="34"/>
        <v>открыт</v>
      </c>
      <c r="AR103" s="2052" t="str">
        <f t="shared" si="44"/>
        <v>открыт</v>
      </c>
      <c r="AS103" s="935">
        <f t="shared" si="62"/>
        <v>55.55555555555555</v>
      </c>
      <c r="AT103" s="937" t="s">
        <v>744</v>
      </c>
      <c r="AU103" s="1095">
        <v>1979</v>
      </c>
      <c r="AV103" s="1101" t="s">
        <v>3218</v>
      </c>
      <c r="AW103" s="1103">
        <v>57.279388593644498</v>
      </c>
      <c r="AX103" s="1103">
        <v>34.2263674343438</v>
      </c>
    </row>
    <row r="104" spans="1:50" ht="15" customHeight="1" x14ac:dyDescent="0.25">
      <c r="A104" s="212">
        <v>76</v>
      </c>
      <c r="B104" s="212">
        <v>26</v>
      </c>
      <c r="C104" s="212" t="s">
        <v>961</v>
      </c>
      <c r="D104" s="230">
        <v>2.5</v>
      </c>
      <c r="E104" s="229" t="s">
        <v>773</v>
      </c>
      <c r="F104" s="229">
        <v>2.5</v>
      </c>
      <c r="G104" s="229"/>
      <c r="H104" s="228"/>
      <c r="I104" s="229" t="str">
        <f t="shared" si="35"/>
        <v>2,5+2,5</v>
      </c>
      <c r="J104" s="882">
        <v>0.41</v>
      </c>
      <c r="K104" s="1423">
        <v>0</v>
      </c>
      <c r="L104" s="1422">
        <v>0</v>
      </c>
      <c r="M104" s="172">
        <f t="shared" si="56"/>
        <v>0.41</v>
      </c>
      <c r="N104" s="172">
        <v>0</v>
      </c>
      <c r="O104" s="880"/>
      <c r="P104" s="880">
        <f t="shared" si="57"/>
        <v>2.625</v>
      </c>
      <c r="Q104" s="172">
        <f t="shared" si="58"/>
        <v>2.2149999999999999</v>
      </c>
      <c r="R104" s="172">
        <f t="shared" si="53"/>
        <v>2.2149999999999999</v>
      </c>
      <c r="S104" s="757" t="str">
        <f t="shared" si="47"/>
        <v>открыт</v>
      </c>
      <c r="T104" s="2052" t="str">
        <f t="shared" si="36"/>
        <v>открыт</v>
      </c>
      <c r="U104" s="757">
        <f t="shared" si="59"/>
        <v>15.619047619047619</v>
      </c>
      <c r="V104" s="2254">
        <v>0.7</v>
      </c>
      <c r="W104" s="2254" t="s">
        <v>3033</v>
      </c>
      <c r="X104" s="912"/>
      <c r="Y104" s="212">
        <v>76</v>
      </c>
      <c r="Z104" s="228">
        <v>26</v>
      </c>
      <c r="AA104" s="212" t="s">
        <v>961</v>
      </c>
      <c r="AB104" s="230">
        <f t="shared" si="37"/>
        <v>2.5</v>
      </c>
      <c r="AC104" s="229" t="str">
        <f t="shared" si="38"/>
        <v>+</v>
      </c>
      <c r="AD104" s="229">
        <f t="shared" si="39"/>
        <v>2.5</v>
      </c>
      <c r="AE104" s="229"/>
      <c r="AF104" s="228"/>
      <c r="AG104" s="212" t="str">
        <f t="shared" si="40"/>
        <v>2,5+2,5</v>
      </c>
      <c r="AH104" s="172">
        <f>'Зона ВЭс'!L87</f>
        <v>0.19565217391304349</v>
      </c>
      <c r="AI104" s="172">
        <f t="shared" si="33"/>
        <v>0.60565217391304349</v>
      </c>
      <c r="AJ104" s="1973">
        <f t="shared" si="41"/>
        <v>0</v>
      </c>
      <c r="AK104" s="212">
        <f t="shared" si="42"/>
        <v>0</v>
      </c>
      <c r="AL104" s="172">
        <f t="shared" si="60"/>
        <v>0.60565217391304349</v>
      </c>
      <c r="AM104" s="1973">
        <f t="shared" si="43"/>
        <v>0</v>
      </c>
      <c r="AN104" s="880">
        <f t="shared" si="61"/>
        <v>2.625</v>
      </c>
      <c r="AO104" s="172">
        <f t="shared" si="63"/>
        <v>2.0193478260869564</v>
      </c>
      <c r="AP104" s="172">
        <f t="shared" si="55"/>
        <v>2.0193478260869564</v>
      </c>
      <c r="AQ104" s="757" t="str">
        <f t="shared" si="34"/>
        <v>открыт</v>
      </c>
      <c r="AR104" s="2052" t="str">
        <f t="shared" si="44"/>
        <v>открыт</v>
      </c>
      <c r="AS104" s="935">
        <f t="shared" si="62"/>
        <v>23.072463768115945</v>
      </c>
      <c r="AT104" s="937" t="s">
        <v>744</v>
      </c>
      <c r="AU104" s="1095">
        <v>1988</v>
      </c>
      <c r="AV104" s="213">
        <v>2011</v>
      </c>
      <c r="AW104" s="1103">
        <v>57.573525012778198</v>
      </c>
      <c r="AX104" s="1103">
        <v>34.580709108756601</v>
      </c>
    </row>
    <row r="105" spans="1:50" ht="15" customHeight="1" x14ac:dyDescent="0.25">
      <c r="A105" s="212">
        <v>77</v>
      </c>
      <c r="B105" s="212">
        <v>27</v>
      </c>
      <c r="C105" s="212" t="s">
        <v>962</v>
      </c>
      <c r="D105" s="230">
        <v>6.3</v>
      </c>
      <c r="E105" s="229" t="s">
        <v>773</v>
      </c>
      <c r="F105" s="229">
        <v>6.3</v>
      </c>
      <c r="G105" s="229"/>
      <c r="H105" s="228"/>
      <c r="I105" s="229" t="str">
        <f t="shared" si="35"/>
        <v>6,3+6,3</v>
      </c>
      <c r="J105" s="882">
        <v>1.48</v>
      </c>
      <c r="K105" s="1423">
        <v>0.2</v>
      </c>
      <c r="L105" s="1422">
        <v>120</v>
      </c>
      <c r="M105" s="172">
        <f t="shared" si="56"/>
        <v>1.28</v>
      </c>
      <c r="N105" s="172">
        <v>0</v>
      </c>
      <c r="O105" s="880"/>
      <c r="P105" s="880">
        <f t="shared" si="57"/>
        <v>6.6150000000000002</v>
      </c>
      <c r="Q105" s="172">
        <f t="shared" si="58"/>
        <v>5.335</v>
      </c>
      <c r="R105" s="172">
        <f t="shared" si="53"/>
        <v>5.335</v>
      </c>
      <c r="S105" s="757" t="str">
        <f t="shared" si="47"/>
        <v>открыт</v>
      </c>
      <c r="T105" s="2052" t="str">
        <f t="shared" si="36"/>
        <v>открыт</v>
      </c>
      <c r="U105" s="757">
        <f t="shared" si="59"/>
        <v>22.373393801965229</v>
      </c>
      <c r="V105" s="2254"/>
      <c r="W105" s="2254" t="s">
        <v>3032</v>
      </c>
      <c r="X105" s="912"/>
      <c r="Y105" s="212">
        <v>77</v>
      </c>
      <c r="Z105" s="228">
        <v>27</v>
      </c>
      <c r="AA105" s="212" t="s">
        <v>962</v>
      </c>
      <c r="AB105" s="230">
        <f t="shared" si="37"/>
        <v>6.3</v>
      </c>
      <c r="AC105" s="229" t="str">
        <f t="shared" si="38"/>
        <v>+</v>
      </c>
      <c r="AD105" s="229">
        <f t="shared" si="39"/>
        <v>6.3</v>
      </c>
      <c r="AE105" s="229"/>
      <c r="AF105" s="228"/>
      <c r="AG105" s="212" t="str">
        <f t="shared" si="40"/>
        <v>6,3+6,3</v>
      </c>
      <c r="AH105" s="172">
        <f>'Зона ВЭс'!L90</f>
        <v>0</v>
      </c>
      <c r="AI105" s="172">
        <f t="shared" si="33"/>
        <v>1.48</v>
      </c>
      <c r="AJ105" s="1973">
        <f t="shared" si="41"/>
        <v>0.2</v>
      </c>
      <c r="AK105" s="212">
        <f t="shared" si="42"/>
        <v>120</v>
      </c>
      <c r="AL105" s="172">
        <f t="shared" si="60"/>
        <v>1.28</v>
      </c>
      <c r="AM105" s="1973">
        <f t="shared" si="43"/>
        <v>0</v>
      </c>
      <c r="AN105" s="880">
        <f t="shared" si="61"/>
        <v>6.6150000000000002</v>
      </c>
      <c r="AO105" s="172">
        <f t="shared" si="63"/>
        <v>5.335</v>
      </c>
      <c r="AP105" s="172">
        <f t="shared" si="55"/>
        <v>5.335</v>
      </c>
      <c r="AQ105" s="757" t="str">
        <f t="shared" si="34"/>
        <v>открыт</v>
      </c>
      <c r="AR105" s="2052" t="str">
        <f t="shared" si="44"/>
        <v>открыт</v>
      </c>
      <c r="AS105" s="935">
        <f t="shared" si="62"/>
        <v>22.373393801965229</v>
      </c>
      <c r="AT105" s="937" t="s">
        <v>744</v>
      </c>
      <c r="AU105" s="1095">
        <v>1985</v>
      </c>
      <c r="AV105" s="1101" t="s">
        <v>3218</v>
      </c>
      <c r="AW105" s="1103">
        <v>57.857132786891199</v>
      </c>
      <c r="AX105" s="1103">
        <v>34.0446356018983</v>
      </c>
    </row>
    <row r="106" spans="1:50" ht="15" customHeight="1" x14ac:dyDescent="0.25">
      <c r="A106" s="212">
        <v>78</v>
      </c>
      <c r="B106" s="212">
        <v>28</v>
      </c>
      <c r="C106" s="212" t="s">
        <v>963</v>
      </c>
      <c r="D106" s="230">
        <v>2.5</v>
      </c>
      <c r="E106" s="229" t="s">
        <v>773</v>
      </c>
      <c r="F106" s="229">
        <v>2.5</v>
      </c>
      <c r="G106" s="229"/>
      <c r="H106" s="228"/>
      <c r="I106" s="229" t="str">
        <f t="shared" si="35"/>
        <v>2,5+2,5</v>
      </c>
      <c r="J106" s="882">
        <v>0.52</v>
      </c>
      <c r="K106" s="1423">
        <v>0.27</v>
      </c>
      <c r="L106" s="1422">
        <v>120</v>
      </c>
      <c r="M106" s="172">
        <f t="shared" si="56"/>
        <v>0.25</v>
      </c>
      <c r="N106" s="172">
        <v>0</v>
      </c>
      <c r="O106" s="880"/>
      <c r="P106" s="880">
        <f t="shared" si="57"/>
        <v>2.625</v>
      </c>
      <c r="Q106" s="172">
        <f t="shared" si="58"/>
        <v>2.375</v>
      </c>
      <c r="R106" s="172">
        <f t="shared" si="53"/>
        <v>2.375</v>
      </c>
      <c r="S106" s="757" t="str">
        <f t="shared" si="47"/>
        <v>открыт</v>
      </c>
      <c r="T106" s="2052" t="str">
        <f t="shared" si="36"/>
        <v>открыт</v>
      </c>
      <c r="U106" s="757">
        <f t="shared" si="59"/>
        <v>19.80952380952381</v>
      </c>
      <c r="V106" s="2254"/>
      <c r="W106" s="2254" t="s">
        <v>3032</v>
      </c>
      <c r="X106" s="912"/>
      <c r="Y106" s="212">
        <v>78</v>
      </c>
      <c r="Z106" s="228">
        <v>28</v>
      </c>
      <c r="AA106" s="212" t="s">
        <v>963</v>
      </c>
      <c r="AB106" s="230">
        <f t="shared" si="37"/>
        <v>2.5</v>
      </c>
      <c r="AC106" s="229" t="str">
        <f t="shared" si="38"/>
        <v>+</v>
      </c>
      <c r="AD106" s="229">
        <f t="shared" si="39"/>
        <v>2.5</v>
      </c>
      <c r="AE106" s="229"/>
      <c r="AF106" s="228"/>
      <c r="AG106" s="212" t="str">
        <f t="shared" si="40"/>
        <v>2,5+2,5</v>
      </c>
      <c r="AH106" s="172">
        <f>'Зона ВЭс'!L92</f>
        <v>0</v>
      </c>
      <c r="AI106" s="172">
        <f t="shared" si="33"/>
        <v>0.52</v>
      </c>
      <c r="AJ106" s="1973">
        <f t="shared" si="41"/>
        <v>0.27</v>
      </c>
      <c r="AK106" s="212">
        <f t="shared" si="42"/>
        <v>120</v>
      </c>
      <c r="AL106" s="172">
        <f t="shared" si="60"/>
        <v>0.25</v>
      </c>
      <c r="AM106" s="1973">
        <f t="shared" si="43"/>
        <v>0</v>
      </c>
      <c r="AN106" s="880">
        <f t="shared" si="61"/>
        <v>2.625</v>
      </c>
      <c r="AO106" s="172">
        <f t="shared" si="63"/>
        <v>2.375</v>
      </c>
      <c r="AP106" s="172">
        <f t="shared" si="55"/>
        <v>2.375</v>
      </c>
      <c r="AQ106" s="757" t="str">
        <f t="shared" si="34"/>
        <v>открыт</v>
      </c>
      <c r="AR106" s="2052" t="str">
        <f t="shared" si="44"/>
        <v>открыт</v>
      </c>
      <c r="AS106" s="935">
        <f t="shared" si="62"/>
        <v>19.80952380952381</v>
      </c>
      <c r="AT106" s="937" t="s">
        <v>744</v>
      </c>
      <c r="AU106" s="1095">
        <v>1981</v>
      </c>
      <c r="AV106" s="1101" t="s">
        <v>3218</v>
      </c>
      <c r="AW106" s="1103">
        <v>57.303848389370401</v>
      </c>
      <c r="AX106" s="1103">
        <v>34.585047065027197</v>
      </c>
    </row>
    <row r="107" spans="1:50" ht="15" customHeight="1" x14ac:dyDescent="0.25">
      <c r="A107" s="212">
        <v>79</v>
      </c>
      <c r="B107" s="212">
        <v>29</v>
      </c>
      <c r="C107" s="212" t="s">
        <v>964</v>
      </c>
      <c r="D107" s="230">
        <v>1.8</v>
      </c>
      <c r="E107" s="229" t="s">
        <v>773</v>
      </c>
      <c r="F107" s="229">
        <v>4</v>
      </c>
      <c r="G107" s="229"/>
      <c r="H107" s="228"/>
      <c r="I107" s="229" t="str">
        <f t="shared" si="35"/>
        <v>1,8+4</v>
      </c>
      <c r="J107" s="882">
        <v>0.64</v>
      </c>
      <c r="K107" s="1423">
        <v>0</v>
      </c>
      <c r="L107" s="1422">
        <v>0</v>
      </c>
      <c r="M107" s="172">
        <f t="shared" si="56"/>
        <v>0.64</v>
      </c>
      <c r="N107" s="172">
        <v>0</v>
      </c>
      <c r="O107" s="880"/>
      <c r="P107" s="880">
        <f t="shared" si="57"/>
        <v>1.8900000000000001</v>
      </c>
      <c r="Q107" s="172">
        <f t="shared" si="58"/>
        <v>1.25</v>
      </c>
      <c r="R107" s="172">
        <f t="shared" si="53"/>
        <v>1.25</v>
      </c>
      <c r="S107" s="757" t="str">
        <f t="shared" si="47"/>
        <v>открыт</v>
      </c>
      <c r="T107" s="2052" t="str">
        <f t="shared" si="36"/>
        <v>открыт</v>
      </c>
      <c r="U107" s="757">
        <f t="shared" si="59"/>
        <v>33.862433862433861</v>
      </c>
      <c r="V107" s="2254"/>
      <c r="W107" s="2254" t="s">
        <v>3032</v>
      </c>
      <c r="X107" s="912"/>
      <c r="Y107" s="212">
        <v>79</v>
      </c>
      <c r="Z107" s="228">
        <v>29</v>
      </c>
      <c r="AA107" s="212" t="s">
        <v>964</v>
      </c>
      <c r="AB107" s="230">
        <f t="shared" si="37"/>
        <v>1.8</v>
      </c>
      <c r="AC107" s="229" t="str">
        <f t="shared" si="38"/>
        <v>+</v>
      </c>
      <c r="AD107" s="229">
        <f t="shared" si="39"/>
        <v>4</v>
      </c>
      <c r="AE107" s="229"/>
      <c r="AF107" s="228"/>
      <c r="AG107" s="212" t="str">
        <f t="shared" si="40"/>
        <v>1,8+4</v>
      </c>
      <c r="AH107" s="172">
        <f>'Зона ВЭс'!L97</f>
        <v>0.12228260869565216</v>
      </c>
      <c r="AI107" s="172">
        <f t="shared" si="33"/>
        <v>0.76228260869565223</v>
      </c>
      <c r="AJ107" s="1973">
        <f t="shared" si="41"/>
        <v>0</v>
      </c>
      <c r="AK107" s="212">
        <f t="shared" si="42"/>
        <v>0</v>
      </c>
      <c r="AL107" s="172">
        <f t="shared" si="60"/>
        <v>0.76228260869565223</v>
      </c>
      <c r="AM107" s="1973">
        <f t="shared" si="43"/>
        <v>0</v>
      </c>
      <c r="AN107" s="880">
        <f t="shared" si="61"/>
        <v>1.8900000000000001</v>
      </c>
      <c r="AO107" s="172">
        <f t="shared" si="63"/>
        <v>1.1277173913043479</v>
      </c>
      <c r="AP107" s="172">
        <f t="shared" si="55"/>
        <v>1.1277173913043479</v>
      </c>
      <c r="AQ107" s="757" t="str">
        <f t="shared" si="34"/>
        <v>открыт</v>
      </c>
      <c r="AR107" s="2052" t="str">
        <f t="shared" si="44"/>
        <v>открыт</v>
      </c>
      <c r="AS107" s="935">
        <f t="shared" si="62"/>
        <v>40.33241315850011</v>
      </c>
      <c r="AT107" s="937" t="s">
        <v>744</v>
      </c>
      <c r="AU107" s="1095">
        <v>1972</v>
      </c>
      <c r="AV107" s="1101" t="s">
        <v>3218</v>
      </c>
      <c r="AW107" s="1103">
        <v>57.585976239644701</v>
      </c>
      <c r="AX107" s="1103">
        <v>35.472571930240903</v>
      </c>
    </row>
    <row r="108" spans="1:50" ht="15" customHeight="1" x14ac:dyDescent="0.25">
      <c r="A108" s="212">
        <v>80</v>
      </c>
      <c r="B108" s="212">
        <v>30</v>
      </c>
      <c r="C108" s="212" t="s">
        <v>965</v>
      </c>
      <c r="D108" s="230">
        <v>1.6</v>
      </c>
      <c r="E108" s="229" t="s">
        <v>773</v>
      </c>
      <c r="F108" s="229">
        <v>1.8</v>
      </c>
      <c r="G108" s="229"/>
      <c r="H108" s="228"/>
      <c r="I108" s="229" t="str">
        <f t="shared" si="35"/>
        <v>1,6+1,8</v>
      </c>
      <c r="J108" s="882">
        <v>0.42</v>
      </c>
      <c r="K108" s="1423">
        <v>0</v>
      </c>
      <c r="L108" s="1422">
        <v>0</v>
      </c>
      <c r="M108" s="172">
        <f t="shared" si="56"/>
        <v>0.42</v>
      </c>
      <c r="N108" s="172">
        <v>0</v>
      </c>
      <c r="O108" s="880"/>
      <c r="P108" s="880">
        <f t="shared" si="57"/>
        <v>1.6800000000000002</v>
      </c>
      <c r="Q108" s="172">
        <f t="shared" si="58"/>
        <v>1.2600000000000002</v>
      </c>
      <c r="R108" s="172">
        <f t="shared" si="53"/>
        <v>1.2600000000000002</v>
      </c>
      <c r="S108" s="757" t="str">
        <f t="shared" si="47"/>
        <v>открыт</v>
      </c>
      <c r="T108" s="2052" t="str">
        <f t="shared" si="36"/>
        <v>открыт</v>
      </c>
      <c r="U108" s="757">
        <f t="shared" si="59"/>
        <v>24.999999999999996</v>
      </c>
      <c r="V108" s="2254"/>
      <c r="W108" s="2254" t="s">
        <v>3032</v>
      </c>
      <c r="X108" s="912"/>
      <c r="Y108" s="212">
        <v>80</v>
      </c>
      <c r="Z108" s="228">
        <v>30</v>
      </c>
      <c r="AA108" s="212" t="s">
        <v>965</v>
      </c>
      <c r="AB108" s="230">
        <f t="shared" si="37"/>
        <v>1.6</v>
      </c>
      <c r="AC108" s="229" t="str">
        <f t="shared" si="38"/>
        <v>+</v>
      </c>
      <c r="AD108" s="229">
        <f t="shared" si="39"/>
        <v>1.8</v>
      </c>
      <c r="AE108" s="229"/>
      <c r="AF108" s="228"/>
      <c r="AG108" s="212" t="str">
        <f t="shared" si="40"/>
        <v>1,6+1,8</v>
      </c>
      <c r="AH108" s="172">
        <f>'Зона ВЭс'!L99</f>
        <v>0</v>
      </c>
      <c r="AI108" s="172">
        <f t="shared" si="33"/>
        <v>0.42</v>
      </c>
      <c r="AJ108" s="1973">
        <f t="shared" si="41"/>
        <v>0</v>
      </c>
      <c r="AK108" s="212">
        <f t="shared" si="42"/>
        <v>0</v>
      </c>
      <c r="AL108" s="172">
        <f t="shared" si="60"/>
        <v>0.42</v>
      </c>
      <c r="AM108" s="1973">
        <f t="shared" si="43"/>
        <v>0</v>
      </c>
      <c r="AN108" s="880">
        <f t="shared" si="61"/>
        <v>1.6800000000000002</v>
      </c>
      <c r="AO108" s="172">
        <f t="shared" si="63"/>
        <v>1.2600000000000002</v>
      </c>
      <c r="AP108" s="172">
        <f t="shared" si="55"/>
        <v>1.2600000000000002</v>
      </c>
      <c r="AQ108" s="757" t="str">
        <f t="shared" si="34"/>
        <v>открыт</v>
      </c>
      <c r="AR108" s="2052" t="str">
        <f t="shared" si="44"/>
        <v>открыт</v>
      </c>
      <c r="AS108" s="935">
        <f t="shared" si="62"/>
        <v>24.999999999999996</v>
      </c>
      <c r="AT108" s="937" t="s">
        <v>744</v>
      </c>
      <c r="AU108" s="1095">
        <v>1973</v>
      </c>
      <c r="AV108" s="1101" t="s">
        <v>3218</v>
      </c>
      <c r="AW108" s="1103">
        <v>57.421972539744097</v>
      </c>
      <c r="AX108" s="1103">
        <v>35.203476168952598</v>
      </c>
    </row>
    <row r="109" spans="1:50" ht="15" customHeight="1" x14ac:dyDescent="0.25">
      <c r="A109" s="212">
        <v>81</v>
      </c>
      <c r="B109" s="212">
        <v>31</v>
      </c>
      <c r="C109" s="212" t="s">
        <v>966</v>
      </c>
      <c r="D109" s="230">
        <v>10</v>
      </c>
      <c r="E109" s="229" t="s">
        <v>773</v>
      </c>
      <c r="F109" s="229">
        <v>10</v>
      </c>
      <c r="G109" s="229"/>
      <c r="H109" s="228"/>
      <c r="I109" s="229" t="str">
        <f t="shared" si="35"/>
        <v>10+10</v>
      </c>
      <c r="J109" s="882">
        <v>2.23</v>
      </c>
      <c r="K109" s="1423">
        <v>0</v>
      </c>
      <c r="L109" s="1422">
        <v>0</v>
      </c>
      <c r="M109" s="172">
        <f t="shared" si="56"/>
        <v>2.23</v>
      </c>
      <c r="N109" s="172">
        <v>0</v>
      </c>
      <c r="O109" s="880"/>
      <c r="P109" s="880">
        <f t="shared" si="57"/>
        <v>10.5</v>
      </c>
      <c r="Q109" s="172">
        <f t="shared" si="58"/>
        <v>8.27</v>
      </c>
      <c r="R109" s="172">
        <f t="shared" si="53"/>
        <v>8.27</v>
      </c>
      <c r="S109" s="757" t="str">
        <f t="shared" si="47"/>
        <v>открыт</v>
      </c>
      <c r="T109" s="2052" t="str">
        <f t="shared" si="36"/>
        <v>открыт</v>
      </c>
      <c r="U109" s="757">
        <f t="shared" si="59"/>
        <v>21.238095238095237</v>
      </c>
      <c r="V109" s="2254">
        <v>0.4</v>
      </c>
      <c r="W109" s="2254" t="s">
        <v>3033</v>
      </c>
      <c r="X109" s="912"/>
      <c r="Y109" s="212">
        <v>81</v>
      </c>
      <c r="Z109" s="228">
        <v>31</v>
      </c>
      <c r="AA109" s="212" t="s">
        <v>966</v>
      </c>
      <c r="AB109" s="230">
        <f t="shared" si="37"/>
        <v>10</v>
      </c>
      <c r="AC109" s="229" t="str">
        <f t="shared" si="38"/>
        <v>+</v>
      </c>
      <c r="AD109" s="229">
        <f t="shared" si="39"/>
        <v>10</v>
      </c>
      <c r="AE109" s="229"/>
      <c r="AF109" s="228"/>
      <c r="AG109" s="212" t="str">
        <f t="shared" si="40"/>
        <v>10+10</v>
      </c>
      <c r="AH109" s="172">
        <f>'Зона ВЭс'!L102</f>
        <v>0</v>
      </c>
      <c r="AI109" s="172">
        <f t="shared" si="33"/>
        <v>2.23</v>
      </c>
      <c r="AJ109" s="1973">
        <f t="shared" si="41"/>
        <v>0</v>
      </c>
      <c r="AK109" s="212">
        <f t="shared" si="42"/>
        <v>0</v>
      </c>
      <c r="AL109" s="172">
        <f t="shared" si="60"/>
        <v>2.23</v>
      </c>
      <c r="AM109" s="1973">
        <f t="shared" si="43"/>
        <v>0</v>
      </c>
      <c r="AN109" s="880">
        <f t="shared" si="61"/>
        <v>10.5</v>
      </c>
      <c r="AO109" s="172">
        <f t="shared" si="63"/>
        <v>8.27</v>
      </c>
      <c r="AP109" s="172">
        <f t="shared" si="55"/>
        <v>8.27</v>
      </c>
      <c r="AQ109" s="757" t="str">
        <f t="shared" si="34"/>
        <v>открыт</v>
      </c>
      <c r="AR109" s="2052" t="str">
        <f t="shared" si="44"/>
        <v>открыт</v>
      </c>
      <c r="AS109" s="935">
        <f t="shared" si="62"/>
        <v>21.238095238095237</v>
      </c>
      <c r="AT109" s="937" t="s">
        <v>744</v>
      </c>
      <c r="AU109" s="1095">
        <v>1991</v>
      </c>
      <c r="AV109" s="1101" t="s">
        <v>3218</v>
      </c>
      <c r="AW109" s="1103">
        <v>57.633773826808799</v>
      </c>
      <c r="AX109" s="1103">
        <v>34.398878344159797</v>
      </c>
    </row>
    <row r="110" spans="1:50" ht="15" customHeight="1" x14ac:dyDescent="0.25">
      <c r="A110" s="212">
        <v>82</v>
      </c>
      <c r="B110" s="212">
        <v>32</v>
      </c>
      <c r="C110" s="212" t="s">
        <v>967</v>
      </c>
      <c r="D110" s="230">
        <v>2.5</v>
      </c>
      <c r="E110" s="229" t="s">
        <v>773</v>
      </c>
      <c r="F110" s="229">
        <v>3.2</v>
      </c>
      <c r="G110" s="229"/>
      <c r="H110" s="228"/>
      <c r="I110" s="229" t="str">
        <f t="shared" si="35"/>
        <v>2,5+3,2</v>
      </c>
      <c r="J110" s="882">
        <v>1.83</v>
      </c>
      <c r="K110" s="1423">
        <v>0.2</v>
      </c>
      <c r="L110" s="1422">
        <v>120</v>
      </c>
      <c r="M110" s="172">
        <f t="shared" si="56"/>
        <v>1.6300000000000001</v>
      </c>
      <c r="N110" s="172">
        <v>0</v>
      </c>
      <c r="O110" s="880"/>
      <c r="P110" s="880">
        <f t="shared" si="57"/>
        <v>2.625</v>
      </c>
      <c r="Q110" s="172">
        <f t="shared" si="58"/>
        <v>0.99499999999999988</v>
      </c>
      <c r="R110" s="172">
        <f t="shared" si="53"/>
        <v>0.99499999999999988</v>
      </c>
      <c r="S110" s="757" t="str">
        <f t="shared" si="47"/>
        <v>открыт</v>
      </c>
      <c r="T110" s="2052" t="str">
        <f t="shared" si="36"/>
        <v>открыт</v>
      </c>
      <c r="U110" s="757">
        <f t="shared" si="59"/>
        <v>69.714285714285708</v>
      </c>
      <c r="V110" s="2254"/>
      <c r="W110" s="2254" t="s">
        <v>3032</v>
      </c>
      <c r="X110" s="912"/>
      <c r="Y110" s="212">
        <v>82</v>
      </c>
      <c r="Z110" s="228">
        <v>32</v>
      </c>
      <c r="AA110" s="212" t="s">
        <v>967</v>
      </c>
      <c r="AB110" s="230">
        <f t="shared" si="37"/>
        <v>2.5</v>
      </c>
      <c r="AC110" s="229" t="str">
        <f t="shared" si="38"/>
        <v>+</v>
      </c>
      <c r="AD110" s="229">
        <f t="shared" si="39"/>
        <v>3.2</v>
      </c>
      <c r="AE110" s="229"/>
      <c r="AF110" s="228"/>
      <c r="AG110" s="212" t="str">
        <f t="shared" si="40"/>
        <v>2,5+3,2</v>
      </c>
      <c r="AH110" s="172">
        <f>'Зона ВЭс'!L116</f>
        <v>1.0092391304347825</v>
      </c>
      <c r="AI110" s="172">
        <f t="shared" si="33"/>
        <v>2.8392391304347826</v>
      </c>
      <c r="AJ110" s="1973">
        <f t="shared" si="41"/>
        <v>0.2</v>
      </c>
      <c r="AK110" s="212">
        <f t="shared" si="42"/>
        <v>120</v>
      </c>
      <c r="AL110" s="172">
        <f t="shared" si="60"/>
        <v>2.6392391304347824</v>
      </c>
      <c r="AM110" s="1973">
        <f t="shared" si="43"/>
        <v>0</v>
      </c>
      <c r="AN110" s="880">
        <f t="shared" si="61"/>
        <v>2.625</v>
      </c>
      <c r="AO110" s="172">
        <f t="shared" si="63"/>
        <v>-1.4239130434782421E-2</v>
      </c>
      <c r="AP110" s="172">
        <f t="shared" si="55"/>
        <v>-1.4239130434782421E-2</v>
      </c>
      <c r="AQ110" s="757" t="str">
        <f t="shared" si="34"/>
        <v>закрыт</v>
      </c>
      <c r="AR110" s="2052" t="str">
        <f t="shared" si="44"/>
        <v>закрыт</v>
      </c>
      <c r="AS110" s="935">
        <f t="shared" si="62"/>
        <v>108.16149068322981</v>
      </c>
      <c r="AT110" s="937" t="s">
        <v>744</v>
      </c>
      <c r="AU110" s="1095">
        <v>1974</v>
      </c>
      <c r="AV110" s="213">
        <v>2012</v>
      </c>
      <c r="AW110" s="1103">
        <v>57.722189315239497</v>
      </c>
      <c r="AX110" s="1103">
        <v>33.950545503123301</v>
      </c>
    </row>
    <row r="111" spans="1:50" ht="15" customHeight="1" x14ac:dyDescent="0.25">
      <c r="A111" s="212">
        <v>83</v>
      </c>
      <c r="B111" s="212">
        <v>33</v>
      </c>
      <c r="C111" s="212" t="s">
        <v>968</v>
      </c>
      <c r="D111" s="230">
        <v>2.5</v>
      </c>
      <c r="E111" s="229" t="s">
        <v>773</v>
      </c>
      <c r="F111" s="229">
        <v>1.6</v>
      </c>
      <c r="G111" s="229"/>
      <c r="H111" s="228"/>
      <c r="I111" s="229" t="str">
        <f t="shared" si="35"/>
        <v>2,5+1,6</v>
      </c>
      <c r="J111" s="882">
        <v>0.24</v>
      </c>
      <c r="K111" s="1423">
        <v>0</v>
      </c>
      <c r="L111" s="1422">
        <v>0</v>
      </c>
      <c r="M111" s="172">
        <f t="shared" si="56"/>
        <v>0.24</v>
      </c>
      <c r="N111" s="172">
        <v>0</v>
      </c>
      <c r="O111" s="880"/>
      <c r="P111" s="880">
        <f t="shared" si="57"/>
        <v>1.6800000000000002</v>
      </c>
      <c r="Q111" s="172">
        <f t="shared" si="58"/>
        <v>1.4400000000000002</v>
      </c>
      <c r="R111" s="172">
        <f t="shared" si="53"/>
        <v>1.4400000000000002</v>
      </c>
      <c r="S111" s="757" t="str">
        <f t="shared" si="47"/>
        <v>открыт</v>
      </c>
      <c r="T111" s="2052" t="str">
        <f t="shared" si="36"/>
        <v>открыт</v>
      </c>
      <c r="U111" s="757">
        <f t="shared" si="59"/>
        <v>14.285714285714285</v>
      </c>
      <c r="V111" s="2254">
        <v>0.9</v>
      </c>
      <c r="W111" s="2254" t="s">
        <v>3033</v>
      </c>
      <c r="X111" s="912"/>
      <c r="Y111" s="212">
        <v>83</v>
      </c>
      <c r="Z111" s="228">
        <v>33</v>
      </c>
      <c r="AA111" s="212" t="s">
        <v>968</v>
      </c>
      <c r="AB111" s="230">
        <f t="shared" si="37"/>
        <v>2.5</v>
      </c>
      <c r="AC111" s="229" t="str">
        <f t="shared" si="38"/>
        <v>+</v>
      </c>
      <c r="AD111" s="229">
        <f t="shared" si="39"/>
        <v>1.6</v>
      </c>
      <c r="AE111" s="229"/>
      <c r="AF111" s="228"/>
      <c r="AG111" s="212" t="str">
        <f t="shared" si="40"/>
        <v>2,5+1,6</v>
      </c>
      <c r="AH111" s="172">
        <f>'Зона ВЭс'!L118</f>
        <v>0</v>
      </c>
      <c r="AI111" s="172">
        <f t="shared" si="33"/>
        <v>0.24</v>
      </c>
      <c r="AJ111" s="1973">
        <f t="shared" si="41"/>
        <v>0</v>
      </c>
      <c r="AK111" s="212">
        <f t="shared" si="42"/>
        <v>0</v>
      </c>
      <c r="AL111" s="172">
        <f t="shared" si="60"/>
        <v>0.24</v>
      </c>
      <c r="AM111" s="1973">
        <f t="shared" si="43"/>
        <v>0</v>
      </c>
      <c r="AN111" s="880">
        <f t="shared" si="61"/>
        <v>1.6800000000000002</v>
      </c>
      <c r="AO111" s="172">
        <f t="shared" si="63"/>
        <v>1.4400000000000002</v>
      </c>
      <c r="AP111" s="172">
        <f t="shared" si="55"/>
        <v>1.4400000000000002</v>
      </c>
      <c r="AQ111" s="757" t="str">
        <f t="shared" si="34"/>
        <v>открыт</v>
      </c>
      <c r="AR111" s="2052" t="str">
        <f t="shared" si="44"/>
        <v>открыт</v>
      </c>
      <c r="AS111" s="935">
        <f t="shared" si="62"/>
        <v>14.285714285714285</v>
      </c>
      <c r="AT111" s="937" t="s">
        <v>744</v>
      </c>
      <c r="AU111" s="1095">
        <v>1981</v>
      </c>
      <c r="AV111" s="1101" t="s">
        <v>3218</v>
      </c>
      <c r="AW111" s="1103">
        <v>57.637077174942597</v>
      </c>
      <c r="AX111" s="1103">
        <v>34.931955344256302</v>
      </c>
    </row>
    <row r="112" spans="1:50" ht="15" customHeight="1" x14ac:dyDescent="0.25">
      <c r="A112" s="212">
        <v>84</v>
      </c>
      <c r="B112" s="212">
        <v>34</v>
      </c>
      <c r="C112" s="212" t="s">
        <v>969</v>
      </c>
      <c r="D112" s="230">
        <v>4</v>
      </c>
      <c r="E112" s="229" t="s">
        <v>773</v>
      </c>
      <c r="F112" s="229">
        <v>4</v>
      </c>
      <c r="G112" s="229"/>
      <c r="H112" s="228"/>
      <c r="I112" s="229" t="str">
        <f t="shared" si="35"/>
        <v>4+4</v>
      </c>
      <c r="J112" s="882">
        <v>1.04</v>
      </c>
      <c r="K112" s="1423">
        <v>0.1</v>
      </c>
      <c r="L112" s="1422">
        <v>120</v>
      </c>
      <c r="M112" s="172">
        <f t="shared" si="56"/>
        <v>0.94000000000000006</v>
      </c>
      <c r="N112" s="172">
        <v>0</v>
      </c>
      <c r="O112" s="880"/>
      <c r="P112" s="880">
        <f t="shared" si="57"/>
        <v>4.2</v>
      </c>
      <c r="Q112" s="172">
        <f t="shared" si="58"/>
        <v>3.2600000000000002</v>
      </c>
      <c r="R112" s="172">
        <f t="shared" si="53"/>
        <v>3.2600000000000002</v>
      </c>
      <c r="S112" s="757" t="str">
        <f t="shared" si="47"/>
        <v>открыт</v>
      </c>
      <c r="T112" s="2052" t="str">
        <f t="shared" si="36"/>
        <v>открыт</v>
      </c>
      <c r="U112" s="757">
        <f t="shared" si="59"/>
        <v>24.761904761904759</v>
      </c>
      <c r="V112" s="2254"/>
      <c r="W112" s="2254" t="s">
        <v>3032</v>
      </c>
      <c r="X112" s="912"/>
      <c r="Y112" s="212">
        <v>84</v>
      </c>
      <c r="Z112" s="228">
        <v>34</v>
      </c>
      <c r="AA112" s="212" t="s">
        <v>969</v>
      </c>
      <c r="AB112" s="230">
        <f t="shared" si="37"/>
        <v>4</v>
      </c>
      <c r="AC112" s="229" t="str">
        <f t="shared" si="38"/>
        <v>+</v>
      </c>
      <c r="AD112" s="229">
        <f t="shared" si="39"/>
        <v>4</v>
      </c>
      <c r="AE112" s="229"/>
      <c r="AF112" s="228"/>
      <c r="AG112" s="212" t="str">
        <f t="shared" si="40"/>
        <v>4+4</v>
      </c>
      <c r="AH112" s="172">
        <f>'Зона ВЭс'!L121</f>
        <v>1.9565217391304349E-2</v>
      </c>
      <c r="AI112" s="172">
        <f t="shared" si="33"/>
        <v>1.0595652173913044</v>
      </c>
      <c r="AJ112" s="1973">
        <f t="shared" si="41"/>
        <v>0.1</v>
      </c>
      <c r="AK112" s="212">
        <f t="shared" si="42"/>
        <v>120</v>
      </c>
      <c r="AL112" s="172">
        <f t="shared" si="60"/>
        <v>0.9595652173913044</v>
      </c>
      <c r="AM112" s="1973">
        <f t="shared" si="43"/>
        <v>0</v>
      </c>
      <c r="AN112" s="880">
        <f t="shared" si="61"/>
        <v>4.2</v>
      </c>
      <c r="AO112" s="172">
        <f t="shared" si="63"/>
        <v>3.2404347826086957</v>
      </c>
      <c r="AP112" s="172">
        <f t="shared" si="55"/>
        <v>3.2404347826086957</v>
      </c>
      <c r="AQ112" s="757" t="str">
        <f t="shared" si="34"/>
        <v>открыт</v>
      </c>
      <c r="AR112" s="2052" t="str">
        <f t="shared" si="44"/>
        <v>открыт</v>
      </c>
      <c r="AS112" s="935">
        <f t="shared" si="62"/>
        <v>25.227743271221531</v>
      </c>
      <c r="AT112" s="937" t="s">
        <v>744</v>
      </c>
      <c r="AU112" s="1095">
        <v>1998</v>
      </c>
      <c r="AV112" s="1101" t="s">
        <v>3218</v>
      </c>
      <c r="AW112" s="1103">
        <v>57.815930789930697</v>
      </c>
      <c r="AX112" s="1103">
        <v>33.846530989388803</v>
      </c>
    </row>
    <row r="113" spans="1:50" ht="15" customHeight="1" x14ac:dyDescent="0.25">
      <c r="A113" s="212">
        <v>85</v>
      </c>
      <c r="B113" s="212">
        <v>35</v>
      </c>
      <c r="C113" s="212" t="s">
        <v>970</v>
      </c>
      <c r="D113" s="230">
        <v>2.5</v>
      </c>
      <c r="E113" s="229" t="s">
        <v>773</v>
      </c>
      <c r="F113" s="229">
        <v>2.5</v>
      </c>
      <c r="G113" s="229"/>
      <c r="H113" s="228"/>
      <c r="I113" s="229" t="str">
        <f t="shared" si="35"/>
        <v>2,5+2,5</v>
      </c>
      <c r="J113" s="882">
        <v>0.37</v>
      </c>
      <c r="K113" s="1423">
        <v>0</v>
      </c>
      <c r="L113" s="1422">
        <v>0</v>
      </c>
      <c r="M113" s="172">
        <f t="shared" si="56"/>
        <v>0.37</v>
      </c>
      <c r="N113" s="172">
        <v>0</v>
      </c>
      <c r="O113" s="880"/>
      <c r="P113" s="880">
        <f t="shared" si="57"/>
        <v>2.625</v>
      </c>
      <c r="Q113" s="172">
        <f t="shared" si="58"/>
        <v>2.2549999999999999</v>
      </c>
      <c r="R113" s="172">
        <f t="shared" si="53"/>
        <v>2.2549999999999999</v>
      </c>
      <c r="S113" s="757" t="str">
        <f t="shared" si="47"/>
        <v>открыт</v>
      </c>
      <c r="T113" s="2052" t="str">
        <f t="shared" si="36"/>
        <v>открыт</v>
      </c>
      <c r="U113" s="757">
        <f t="shared" si="59"/>
        <v>14.095238095238095</v>
      </c>
      <c r="V113" s="2254">
        <v>0.9</v>
      </c>
      <c r="W113" s="2254" t="s">
        <v>3033</v>
      </c>
      <c r="X113" s="912"/>
      <c r="Y113" s="212">
        <v>85</v>
      </c>
      <c r="Z113" s="228">
        <v>35</v>
      </c>
      <c r="AA113" s="212" t="s">
        <v>970</v>
      </c>
      <c r="AB113" s="230">
        <f t="shared" si="37"/>
        <v>2.5</v>
      </c>
      <c r="AC113" s="229" t="str">
        <f t="shared" si="38"/>
        <v>+</v>
      </c>
      <c r="AD113" s="229">
        <f t="shared" si="39"/>
        <v>2.5</v>
      </c>
      <c r="AE113" s="229"/>
      <c r="AF113" s="228"/>
      <c r="AG113" s="212" t="str">
        <f t="shared" si="40"/>
        <v>2,5+2,5</v>
      </c>
      <c r="AH113" s="172">
        <f>'Зона ВЭс'!L123</f>
        <v>0</v>
      </c>
      <c r="AI113" s="172">
        <f t="shared" si="33"/>
        <v>0.37</v>
      </c>
      <c r="AJ113" s="1973">
        <f t="shared" si="41"/>
        <v>0</v>
      </c>
      <c r="AK113" s="212">
        <f t="shared" si="42"/>
        <v>0</v>
      </c>
      <c r="AL113" s="172">
        <f t="shared" si="60"/>
        <v>0.37</v>
      </c>
      <c r="AM113" s="1973">
        <f t="shared" si="43"/>
        <v>0</v>
      </c>
      <c r="AN113" s="880">
        <f t="shared" si="61"/>
        <v>2.625</v>
      </c>
      <c r="AO113" s="172">
        <f t="shared" si="63"/>
        <v>2.2549999999999999</v>
      </c>
      <c r="AP113" s="172">
        <f t="shared" si="55"/>
        <v>2.2549999999999999</v>
      </c>
      <c r="AQ113" s="757" t="str">
        <f t="shared" si="34"/>
        <v>открыт</v>
      </c>
      <c r="AR113" s="2052" t="str">
        <f t="shared" si="44"/>
        <v>открыт</v>
      </c>
      <c r="AS113" s="935">
        <f t="shared" si="62"/>
        <v>14.095238095238095</v>
      </c>
      <c r="AT113" s="937" t="s">
        <v>744</v>
      </c>
      <c r="AU113" s="1095">
        <v>1983</v>
      </c>
      <c r="AV113" s="1101" t="s">
        <v>3218</v>
      </c>
      <c r="AW113" s="1103">
        <v>57.901759317155197</v>
      </c>
      <c r="AX113" s="1103">
        <v>34.548969215896904</v>
      </c>
    </row>
    <row r="114" spans="1:50" ht="15" customHeight="1" x14ac:dyDescent="0.25">
      <c r="A114" s="212">
        <v>86</v>
      </c>
      <c r="B114" s="212">
        <v>36</v>
      </c>
      <c r="C114" s="212" t="s">
        <v>971</v>
      </c>
      <c r="D114" s="230">
        <v>1</v>
      </c>
      <c r="E114" s="229" t="s">
        <v>773</v>
      </c>
      <c r="F114" s="229">
        <v>1</v>
      </c>
      <c r="G114" s="229"/>
      <c r="H114" s="228"/>
      <c r="I114" s="229" t="str">
        <f t="shared" si="35"/>
        <v>1+1</v>
      </c>
      <c r="J114" s="882">
        <v>0.56000000000000005</v>
      </c>
      <c r="K114" s="1423">
        <v>0.47</v>
      </c>
      <c r="L114" s="1422">
        <v>120</v>
      </c>
      <c r="M114" s="172">
        <f t="shared" si="56"/>
        <v>9.000000000000008E-2</v>
      </c>
      <c r="N114" s="172">
        <v>0</v>
      </c>
      <c r="O114" s="880"/>
      <c r="P114" s="880">
        <f t="shared" si="57"/>
        <v>1.05</v>
      </c>
      <c r="Q114" s="172">
        <f t="shared" si="58"/>
        <v>0.96</v>
      </c>
      <c r="R114" s="172">
        <f t="shared" si="53"/>
        <v>0.96</v>
      </c>
      <c r="S114" s="757" t="str">
        <f t="shared" si="47"/>
        <v>открыт</v>
      </c>
      <c r="T114" s="2052" t="str">
        <f t="shared" si="36"/>
        <v>открыт</v>
      </c>
      <c r="U114" s="757">
        <f t="shared" si="59"/>
        <v>53.333333333333336</v>
      </c>
      <c r="V114" s="2254">
        <v>0.5</v>
      </c>
      <c r="W114" s="2254" t="s">
        <v>3033</v>
      </c>
      <c r="X114" s="912"/>
      <c r="Y114" s="212">
        <v>86</v>
      </c>
      <c r="Z114" s="228">
        <v>36</v>
      </c>
      <c r="AA114" s="212" t="s">
        <v>971</v>
      </c>
      <c r="AB114" s="230">
        <f t="shared" si="37"/>
        <v>1</v>
      </c>
      <c r="AC114" s="229" t="str">
        <f t="shared" si="38"/>
        <v>+</v>
      </c>
      <c r="AD114" s="229">
        <f t="shared" si="39"/>
        <v>1</v>
      </c>
      <c r="AE114" s="229"/>
      <c r="AF114" s="228"/>
      <c r="AG114" s="212" t="str">
        <f t="shared" si="40"/>
        <v>1+1</v>
      </c>
      <c r="AH114" s="172">
        <f>'Зона ВЭс'!L126</f>
        <v>1.016304347826087E-2</v>
      </c>
      <c r="AI114" s="172">
        <f t="shared" si="33"/>
        <v>0.57016304347826097</v>
      </c>
      <c r="AJ114" s="1973">
        <f t="shared" si="41"/>
        <v>0.47</v>
      </c>
      <c r="AK114" s="212">
        <f t="shared" si="42"/>
        <v>120</v>
      </c>
      <c r="AL114" s="172">
        <f t="shared" si="60"/>
        <v>0.10016304347826099</v>
      </c>
      <c r="AM114" s="1973">
        <f t="shared" si="43"/>
        <v>0</v>
      </c>
      <c r="AN114" s="880">
        <f t="shared" si="61"/>
        <v>1.05</v>
      </c>
      <c r="AO114" s="172">
        <f t="shared" si="63"/>
        <v>0.94983695652173905</v>
      </c>
      <c r="AP114" s="172">
        <f t="shared" si="55"/>
        <v>0.94983695652173905</v>
      </c>
      <c r="AQ114" s="757" t="str">
        <f t="shared" si="34"/>
        <v>открыт</v>
      </c>
      <c r="AR114" s="2052" t="str">
        <f t="shared" si="44"/>
        <v>открыт</v>
      </c>
      <c r="AS114" s="935">
        <f t="shared" si="62"/>
        <v>54.301242236024848</v>
      </c>
      <c r="AT114" s="937" t="s">
        <v>744</v>
      </c>
      <c r="AU114" s="1095">
        <v>1981</v>
      </c>
      <c r="AV114" s="1101" t="s">
        <v>3218</v>
      </c>
      <c r="AW114" s="1103">
        <v>57.7248395461474</v>
      </c>
      <c r="AX114" s="1103">
        <v>35.269410953925501</v>
      </c>
    </row>
    <row r="115" spans="1:50" ht="15" customHeight="1" x14ac:dyDescent="0.25">
      <c r="A115" s="212">
        <v>87</v>
      </c>
      <c r="B115" s="212">
        <v>37</v>
      </c>
      <c r="C115" s="212" t="s">
        <v>972</v>
      </c>
      <c r="D115" s="230">
        <v>1</v>
      </c>
      <c r="E115" s="229" t="s">
        <v>773</v>
      </c>
      <c r="F115" s="229">
        <v>1</v>
      </c>
      <c r="G115" s="229"/>
      <c r="H115" s="228"/>
      <c r="I115" s="229" t="str">
        <f t="shared" si="35"/>
        <v>1+1</v>
      </c>
      <c r="J115" s="882">
        <v>0.43</v>
      </c>
      <c r="K115" s="1423">
        <v>0.37</v>
      </c>
      <c r="L115" s="1422">
        <v>120</v>
      </c>
      <c r="M115" s="172">
        <f t="shared" si="56"/>
        <v>0.06</v>
      </c>
      <c r="N115" s="172">
        <v>0</v>
      </c>
      <c r="O115" s="880"/>
      <c r="P115" s="880">
        <f t="shared" si="57"/>
        <v>1.05</v>
      </c>
      <c r="Q115" s="172">
        <f t="shared" si="58"/>
        <v>0.99</v>
      </c>
      <c r="R115" s="172">
        <f t="shared" si="53"/>
        <v>0.99</v>
      </c>
      <c r="S115" s="757" t="str">
        <f t="shared" si="47"/>
        <v>открыт</v>
      </c>
      <c r="T115" s="2052" t="str">
        <f t="shared" si="36"/>
        <v>открыт</v>
      </c>
      <c r="U115" s="757">
        <f t="shared" si="59"/>
        <v>40.952380952380949</v>
      </c>
      <c r="V115" s="2254">
        <v>0.5</v>
      </c>
      <c r="W115" s="2254" t="s">
        <v>3033</v>
      </c>
      <c r="X115" s="912"/>
      <c r="Y115" s="212">
        <v>87</v>
      </c>
      <c r="Z115" s="228">
        <v>37</v>
      </c>
      <c r="AA115" s="212" t="s">
        <v>972</v>
      </c>
      <c r="AB115" s="230">
        <f t="shared" si="37"/>
        <v>1</v>
      </c>
      <c r="AC115" s="229" t="str">
        <f t="shared" si="38"/>
        <v>+</v>
      </c>
      <c r="AD115" s="229">
        <f t="shared" si="39"/>
        <v>1</v>
      </c>
      <c r="AE115" s="229"/>
      <c r="AF115" s="228"/>
      <c r="AG115" s="212" t="str">
        <f t="shared" si="40"/>
        <v>1+1</v>
      </c>
      <c r="AH115" s="172">
        <f>'Зона ВЭс'!L128</f>
        <v>0</v>
      </c>
      <c r="AI115" s="172">
        <f t="shared" si="33"/>
        <v>0.43</v>
      </c>
      <c r="AJ115" s="1973">
        <f t="shared" si="41"/>
        <v>0.37</v>
      </c>
      <c r="AK115" s="212">
        <f t="shared" si="42"/>
        <v>120</v>
      </c>
      <c r="AL115" s="172">
        <f t="shared" si="60"/>
        <v>0.06</v>
      </c>
      <c r="AM115" s="1973">
        <f t="shared" si="43"/>
        <v>0</v>
      </c>
      <c r="AN115" s="880">
        <f t="shared" si="61"/>
        <v>1.05</v>
      </c>
      <c r="AO115" s="172">
        <f t="shared" si="63"/>
        <v>0.99</v>
      </c>
      <c r="AP115" s="172">
        <f t="shared" si="55"/>
        <v>0.99</v>
      </c>
      <c r="AQ115" s="757" t="str">
        <f t="shared" si="34"/>
        <v>открыт</v>
      </c>
      <c r="AR115" s="2052" t="str">
        <f t="shared" si="44"/>
        <v>открыт</v>
      </c>
      <c r="AS115" s="935">
        <f t="shared" si="62"/>
        <v>40.952380952380949</v>
      </c>
      <c r="AT115" s="937" t="s">
        <v>744</v>
      </c>
      <c r="AU115" s="1095">
        <v>1972</v>
      </c>
      <c r="AV115" s="1101" t="s">
        <v>3218</v>
      </c>
      <c r="AW115" s="1103">
        <v>58.0618745669615</v>
      </c>
      <c r="AX115" s="1103">
        <v>34.940325847982102</v>
      </c>
    </row>
    <row r="116" spans="1:50" ht="15" customHeight="1" x14ac:dyDescent="0.25">
      <c r="A116" s="212">
        <v>88</v>
      </c>
      <c r="B116" s="212">
        <v>38</v>
      </c>
      <c r="C116" s="212" t="s">
        <v>2643</v>
      </c>
      <c r="D116" s="230">
        <v>2.5</v>
      </c>
      <c r="E116" s="229" t="s">
        <v>773</v>
      </c>
      <c r="F116" s="229">
        <v>1.6</v>
      </c>
      <c r="G116" s="229"/>
      <c r="H116" s="228"/>
      <c r="I116" s="229" t="str">
        <f t="shared" si="35"/>
        <v>2,5+1,6</v>
      </c>
      <c r="J116" s="882">
        <v>0.3</v>
      </c>
      <c r="K116" s="1423">
        <v>0</v>
      </c>
      <c r="L116" s="1422">
        <v>0</v>
      </c>
      <c r="M116" s="172">
        <f t="shared" si="56"/>
        <v>0.3</v>
      </c>
      <c r="N116" s="172">
        <v>0</v>
      </c>
      <c r="O116" s="880"/>
      <c r="P116" s="880">
        <f t="shared" si="57"/>
        <v>1.6800000000000002</v>
      </c>
      <c r="Q116" s="172">
        <f t="shared" si="58"/>
        <v>1.3800000000000001</v>
      </c>
      <c r="R116" s="172">
        <f t="shared" si="53"/>
        <v>1.3800000000000001</v>
      </c>
      <c r="S116" s="757" t="str">
        <f t="shared" si="47"/>
        <v>открыт</v>
      </c>
      <c r="T116" s="2052" t="str">
        <f t="shared" si="36"/>
        <v>открыт</v>
      </c>
      <c r="U116" s="757">
        <f t="shared" si="59"/>
        <v>17.857142857142854</v>
      </c>
      <c r="V116" s="2254"/>
      <c r="W116" s="2254" t="s">
        <v>3032</v>
      </c>
      <c r="X116" s="912"/>
      <c r="Y116" s="212">
        <v>88</v>
      </c>
      <c r="Z116" s="228">
        <v>38</v>
      </c>
      <c r="AA116" s="212" t="s">
        <v>2643</v>
      </c>
      <c r="AB116" s="230">
        <f t="shared" si="37"/>
        <v>2.5</v>
      </c>
      <c r="AC116" s="229" t="str">
        <f t="shared" si="38"/>
        <v>+</v>
      </c>
      <c r="AD116" s="229">
        <f t="shared" si="39"/>
        <v>1.6</v>
      </c>
      <c r="AE116" s="229"/>
      <c r="AF116" s="228"/>
      <c r="AG116" s="212" t="str">
        <f t="shared" si="40"/>
        <v>2,5+1,6</v>
      </c>
      <c r="AH116" s="172">
        <f>'Зона ВЭс'!L130</f>
        <v>0</v>
      </c>
      <c r="AI116" s="172">
        <f t="shared" si="33"/>
        <v>0.3</v>
      </c>
      <c r="AJ116" s="1973">
        <f t="shared" si="41"/>
        <v>0</v>
      </c>
      <c r="AK116" s="212">
        <f t="shared" si="42"/>
        <v>0</v>
      </c>
      <c r="AL116" s="172">
        <f t="shared" si="60"/>
        <v>0.3</v>
      </c>
      <c r="AM116" s="1973">
        <f t="shared" si="43"/>
        <v>0</v>
      </c>
      <c r="AN116" s="880">
        <f t="shared" si="61"/>
        <v>1.6800000000000002</v>
      </c>
      <c r="AO116" s="172">
        <f t="shared" si="63"/>
        <v>1.3800000000000001</v>
      </c>
      <c r="AP116" s="172">
        <f t="shared" si="55"/>
        <v>1.3800000000000001</v>
      </c>
      <c r="AQ116" s="757" t="str">
        <f t="shared" si="34"/>
        <v>открыт</v>
      </c>
      <c r="AR116" s="2052" t="str">
        <f t="shared" si="44"/>
        <v>открыт</v>
      </c>
      <c r="AS116" s="935">
        <f t="shared" si="62"/>
        <v>17.857142857142854</v>
      </c>
      <c r="AT116" s="937" t="s">
        <v>744</v>
      </c>
      <c r="AU116" s="1095">
        <v>1983</v>
      </c>
      <c r="AV116" s="1101" t="s">
        <v>3218</v>
      </c>
      <c r="AW116" s="1103">
        <v>57.710523908072098</v>
      </c>
      <c r="AX116" s="1103">
        <v>35.002795604796397</v>
      </c>
    </row>
    <row r="117" spans="1:50" ht="15" customHeight="1" x14ac:dyDescent="0.25">
      <c r="A117" s="212">
        <v>89</v>
      </c>
      <c r="B117" s="212">
        <v>39</v>
      </c>
      <c r="C117" s="212" t="s">
        <v>973</v>
      </c>
      <c r="D117" s="230">
        <v>2.5</v>
      </c>
      <c r="E117" s="229" t="s">
        <v>773</v>
      </c>
      <c r="F117" s="229">
        <v>2.5</v>
      </c>
      <c r="G117" s="229"/>
      <c r="H117" s="228"/>
      <c r="I117" s="229" t="str">
        <f t="shared" si="35"/>
        <v>2,5+2,5</v>
      </c>
      <c r="J117" s="882">
        <v>1.64</v>
      </c>
      <c r="K117" s="1423">
        <v>1.4</v>
      </c>
      <c r="L117" s="1422">
        <v>120</v>
      </c>
      <c r="M117" s="172">
        <f t="shared" si="56"/>
        <v>0.24</v>
      </c>
      <c r="N117" s="172">
        <v>0</v>
      </c>
      <c r="O117" s="880"/>
      <c r="P117" s="880">
        <f t="shared" si="57"/>
        <v>2.625</v>
      </c>
      <c r="Q117" s="172">
        <f t="shared" si="58"/>
        <v>2.3849999999999998</v>
      </c>
      <c r="R117" s="172">
        <f t="shared" si="53"/>
        <v>2.3849999999999998</v>
      </c>
      <c r="S117" s="757" t="str">
        <f t="shared" si="47"/>
        <v>открыт</v>
      </c>
      <c r="T117" s="2052" t="str">
        <f t="shared" si="36"/>
        <v>открыт</v>
      </c>
      <c r="U117" s="757">
        <f t="shared" si="59"/>
        <v>62.476190476190474</v>
      </c>
      <c r="V117" s="2254"/>
      <c r="W117" s="2254" t="s">
        <v>3032</v>
      </c>
      <c r="X117" s="912"/>
      <c r="Y117" s="212">
        <v>89</v>
      </c>
      <c r="Z117" s="228">
        <v>39</v>
      </c>
      <c r="AA117" s="212" t="s">
        <v>973</v>
      </c>
      <c r="AB117" s="230">
        <f t="shared" si="37"/>
        <v>2.5</v>
      </c>
      <c r="AC117" s="229" t="str">
        <f t="shared" si="38"/>
        <v>+</v>
      </c>
      <c r="AD117" s="229">
        <f t="shared" si="39"/>
        <v>2.5</v>
      </c>
      <c r="AE117" s="229"/>
      <c r="AF117" s="228"/>
      <c r="AG117" s="212" t="str">
        <f t="shared" si="40"/>
        <v>2,5+2,5</v>
      </c>
      <c r="AH117" s="172">
        <f>'Зона ВЭс'!L133</f>
        <v>0.58695652173913049</v>
      </c>
      <c r="AI117" s="172">
        <f t="shared" si="33"/>
        <v>2.2269565217391305</v>
      </c>
      <c r="AJ117" s="1973">
        <f t="shared" si="41"/>
        <v>1.4</v>
      </c>
      <c r="AK117" s="212">
        <f t="shared" si="42"/>
        <v>120</v>
      </c>
      <c r="AL117" s="172">
        <f t="shared" si="60"/>
        <v>0.82695652173913059</v>
      </c>
      <c r="AM117" s="1973">
        <f t="shared" si="43"/>
        <v>0</v>
      </c>
      <c r="AN117" s="880">
        <f t="shared" si="61"/>
        <v>2.625</v>
      </c>
      <c r="AO117" s="172">
        <f t="shared" si="63"/>
        <v>1.7980434782608694</v>
      </c>
      <c r="AP117" s="172">
        <f t="shared" si="55"/>
        <v>1.7980434782608694</v>
      </c>
      <c r="AQ117" s="757" t="str">
        <f t="shared" si="34"/>
        <v>открыт</v>
      </c>
      <c r="AR117" s="2052" t="str">
        <f t="shared" si="44"/>
        <v>открыт</v>
      </c>
      <c r="AS117" s="935">
        <f t="shared" si="62"/>
        <v>84.836438923395448</v>
      </c>
      <c r="AT117" s="937" t="s">
        <v>744</v>
      </c>
      <c r="AU117" s="1095">
        <v>1971</v>
      </c>
      <c r="AV117" s="213">
        <v>2011</v>
      </c>
      <c r="AW117" s="1103">
        <v>57.577173367643901</v>
      </c>
      <c r="AX117" s="1103">
        <v>34.595558134151197</v>
      </c>
    </row>
    <row r="118" spans="1:50" ht="15" customHeight="1" x14ac:dyDescent="0.25">
      <c r="A118" s="212">
        <v>90</v>
      </c>
      <c r="B118" s="212">
        <v>40</v>
      </c>
      <c r="C118" s="212" t="s">
        <v>974</v>
      </c>
      <c r="D118" s="230">
        <v>1.8</v>
      </c>
      <c r="E118" s="229" t="s">
        <v>773</v>
      </c>
      <c r="F118" s="229">
        <v>1.6</v>
      </c>
      <c r="G118" s="229"/>
      <c r="H118" s="228"/>
      <c r="I118" s="229" t="str">
        <f t="shared" si="35"/>
        <v>1,8+1,6</v>
      </c>
      <c r="J118" s="882">
        <v>0.26</v>
      </c>
      <c r="K118" s="1423">
        <v>0</v>
      </c>
      <c r="L118" s="1422">
        <v>0</v>
      </c>
      <c r="M118" s="172">
        <f t="shared" si="56"/>
        <v>0.26</v>
      </c>
      <c r="N118" s="172">
        <v>0</v>
      </c>
      <c r="O118" s="880"/>
      <c r="P118" s="880">
        <f t="shared" si="57"/>
        <v>1.6800000000000002</v>
      </c>
      <c r="Q118" s="172">
        <f t="shared" si="58"/>
        <v>1.4200000000000002</v>
      </c>
      <c r="R118" s="172">
        <f t="shared" si="53"/>
        <v>1.4200000000000002</v>
      </c>
      <c r="S118" s="757" t="str">
        <f t="shared" si="47"/>
        <v>открыт</v>
      </c>
      <c r="T118" s="2052" t="str">
        <f t="shared" si="36"/>
        <v>открыт</v>
      </c>
      <c r="U118" s="757">
        <f t="shared" si="59"/>
        <v>15.476190476190474</v>
      </c>
      <c r="V118" s="2254">
        <v>0.8</v>
      </c>
      <c r="W118" s="2254" t="s">
        <v>3033</v>
      </c>
      <c r="X118" s="912"/>
      <c r="Y118" s="212">
        <v>90</v>
      </c>
      <c r="Z118" s="228">
        <v>40</v>
      </c>
      <c r="AA118" s="212" t="s">
        <v>974</v>
      </c>
      <c r="AB118" s="230">
        <f t="shared" si="37"/>
        <v>1.8</v>
      </c>
      <c r="AC118" s="229" t="str">
        <f t="shared" si="38"/>
        <v>+</v>
      </c>
      <c r="AD118" s="229">
        <f t="shared" si="39"/>
        <v>1.6</v>
      </c>
      <c r="AE118" s="229"/>
      <c r="AF118" s="228"/>
      <c r="AG118" s="212" t="str">
        <f t="shared" si="40"/>
        <v>1,8+1,6</v>
      </c>
      <c r="AH118" s="172">
        <f>'Зона ВЭс'!L138</f>
        <v>0</v>
      </c>
      <c r="AI118" s="172">
        <f t="shared" si="33"/>
        <v>0.26</v>
      </c>
      <c r="AJ118" s="1973">
        <f t="shared" si="41"/>
        <v>0</v>
      </c>
      <c r="AK118" s="212">
        <f t="shared" si="42"/>
        <v>0</v>
      </c>
      <c r="AL118" s="172">
        <f t="shared" si="60"/>
        <v>0.26</v>
      </c>
      <c r="AM118" s="1973">
        <f t="shared" si="43"/>
        <v>0</v>
      </c>
      <c r="AN118" s="880">
        <f t="shared" si="61"/>
        <v>1.6800000000000002</v>
      </c>
      <c r="AO118" s="172">
        <f t="shared" si="63"/>
        <v>1.4200000000000002</v>
      </c>
      <c r="AP118" s="172">
        <f t="shared" si="55"/>
        <v>1.4200000000000002</v>
      </c>
      <c r="AQ118" s="757" t="str">
        <f t="shared" si="34"/>
        <v>открыт</v>
      </c>
      <c r="AR118" s="2052" t="str">
        <f t="shared" si="44"/>
        <v>открыт</v>
      </c>
      <c r="AS118" s="935">
        <f t="shared" si="62"/>
        <v>15.476190476190474</v>
      </c>
      <c r="AT118" s="937" t="s">
        <v>744</v>
      </c>
      <c r="AU118" s="1095">
        <v>1983</v>
      </c>
      <c r="AV118" s="1101" t="s">
        <v>3218</v>
      </c>
      <c r="AW118" s="1103">
        <v>57.386806507304101</v>
      </c>
      <c r="AX118" s="1103">
        <v>34.345181794732802</v>
      </c>
    </row>
    <row r="119" spans="1:50" ht="15" customHeight="1" x14ac:dyDescent="0.25">
      <c r="A119" s="212">
        <v>91</v>
      </c>
      <c r="B119" s="212">
        <v>41</v>
      </c>
      <c r="C119" s="212" t="s">
        <v>975</v>
      </c>
      <c r="D119" s="230">
        <v>1</v>
      </c>
      <c r="E119" s="229" t="s">
        <v>773</v>
      </c>
      <c r="F119" s="229">
        <v>1</v>
      </c>
      <c r="G119" s="229"/>
      <c r="H119" s="228"/>
      <c r="I119" s="229" t="str">
        <f t="shared" si="35"/>
        <v>1+1</v>
      </c>
      <c r="J119" s="882">
        <v>0.21</v>
      </c>
      <c r="K119" s="1423">
        <v>0</v>
      </c>
      <c r="L119" s="1422">
        <v>0</v>
      </c>
      <c r="M119" s="172">
        <f t="shared" si="56"/>
        <v>0.21</v>
      </c>
      <c r="N119" s="172">
        <v>0</v>
      </c>
      <c r="O119" s="880"/>
      <c r="P119" s="880">
        <f t="shared" si="57"/>
        <v>1.05</v>
      </c>
      <c r="Q119" s="172">
        <f t="shared" si="58"/>
        <v>0.84000000000000008</v>
      </c>
      <c r="R119" s="172">
        <f t="shared" si="53"/>
        <v>0.84000000000000008</v>
      </c>
      <c r="S119" s="757" t="str">
        <f t="shared" si="47"/>
        <v>открыт</v>
      </c>
      <c r="T119" s="2052" t="str">
        <f t="shared" si="36"/>
        <v>открыт</v>
      </c>
      <c r="U119" s="757">
        <f t="shared" si="59"/>
        <v>20</v>
      </c>
      <c r="V119" s="2254"/>
      <c r="W119" s="2254" t="s">
        <v>3032</v>
      </c>
      <c r="X119" s="912"/>
      <c r="Y119" s="212">
        <v>91</v>
      </c>
      <c r="Z119" s="228">
        <v>41</v>
      </c>
      <c r="AA119" s="212" t="s">
        <v>975</v>
      </c>
      <c r="AB119" s="230">
        <f t="shared" si="37"/>
        <v>1</v>
      </c>
      <c r="AC119" s="229" t="str">
        <f t="shared" si="38"/>
        <v>+</v>
      </c>
      <c r="AD119" s="229">
        <f t="shared" si="39"/>
        <v>1</v>
      </c>
      <c r="AE119" s="229"/>
      <c r="AF119" s="228"/>
      <c r="AG119" s="212" t="str">
        <f t="shared" si="40"/>
        <v>1+1</v>
      </c>
      <c r="AH119" s="172">
        <f>'Зона ВЭс'!L140</f>
        <v>0</v>
      </c>
      <c r="AI119" s="172">
        <f t="shared" si="33"/>
        <v>0.21</v>
      </c>
      <c r="AJ119" s="1973">
        <f t="shared" si="41"/>
        <v>0</v>
      </c>
      <c r="AK119" s="212">
        <f t="shared" si="42"/>
        <v>0</v>
      </c>
      <c r="AL119" s="172">
        <f t="shared" si="60"/>
        <v>0.21</v>
      </c>
      <c r="AM119" s="1973">
        <f t="shared" si="43"/>
        <v>0</v>
      </c>
      <c r="AN119" s="880">
        <f t="shared" si="61"/>
        <v>1.05</v>
      </c>
      <c r="AO119" s="172">
        <f t="shared" si="63"/>
        <v>0.84000000000000008</v>
      </c>
      <c r="AP119" s="172">
        <f t="shared" si="55"/>
        <v>0.84000000000000008</v>
      </c>
      <c r="AQ119" s="757" t="str">
        <f t="shared" si="34"/>
        <v>открыт</v>
      </c>
      <c r="AR119" s="2052" t="str">
        <f t="shared" si="44"/>
        <v>открыт</v>
      </c>
      <c r="AS119" s="935">
        <f t="shared" si="62"/>
        <v>20</v>
      </c>
      <c r="AT119" s="937" t="s">
        <v>744</v>
      </c>
      <c r="AU119" s="1095">
        <v>1983</v>
      </c>
      <c r="AV119" s="1101" t="s">
        <v>3218</v>
      </c>
      <c r="AW119" s="1103">
        <v>57.953110991655997</v>
      </c>
      <c r="AX119" s="1103">
        <v>35.393933005018702</v>
      </c>
    </row>
    <row r="120" spans="1:50" ht="15" customHeight="1" x14ac:dyDescent="0.25">
      <c r="A120" s="212">
        <v>92</v>
      </c>
      <c r="B120" s="212">
        <v>42</v>
      </c>
      <c r="C120" s="212" t="s">
        <v>976</v>
      </c>
      <c r="D120" s="230">
        <v>2.5</v>
      </c>
      <c r="E120" s="229" t="s">
        <v>773</v>
      </c>
      <c r="F120" s="229">
        <v>2.5</v>
      </c>
      <c r="G120" s="229"/>
      <c r="H120" s="228"/>
      <c r="I120" s="229" t="str">
        <f t="shared" si="35"/>
        <v>2,5+2,5</v>
      </c>
      <c r="J120" s="882">
        <v>1.65</v>
      </c>
      <c r="K120" s="1423">
        <v>0.7</v>
      </c>
      <c r="L120" s="1422">
        <v>120</v>
      </c>
      <c r="M120" s="172">
        <f t="shared" si="56"/>
        <v>0.95</v>
      </c>
      <c r="N120" s="172">
        <v>0</v>
      </c>
      <c r="O120" s="880"/>
      <c r="P120" s="880">
        <f t="shared" si="57"/>
        <v>2.625</v>
      </c>
      <c r="Q120" s="172">
        <f t="shared" si="58"/>
        <v>1.675</v>
      </c>
      <c r="R120" s="172">
        <f t="shared" si="53"/>
        <v>1.675</v>
      </c>
      <c r="S120" s="757" t="str">
        <f t="shared" si="47"/>
        <v>открыт</v>
      </c>
      <c r="T120" s="2052" t="str">
        <f t="shared" si="36"/>
        <v>открыт</v>
      </c>
      <c r="U120" s="757">
        <f t="shared" si="59"/>
        <v>62.857142857142854</v>
      </c>
      <c r="V120" s="2254">
        <v>0.5</v>
      </c>
      <c r="W120" s="2254" t="s">
        <v>3033</v>
      </c>
      <c r="X120" s="912"/>
      <c r="Y120" s="212">
        <v>92</v>
      </c>
      <c r="Z120" s="228">
        <v>42</v>
      </c>
      <c r="AA120" s="212" t="s">
        <v>976</v>
      </c>
      <c r="AB120" s="230">
        <f t="shared" si="37"/>
        <v>2.5</v>
      </c>
      <c r="AC120" s="229" t="str">
        <f t="shared" si="38"/>
        <v>+</v>
      </c>
      <c r="AD120" s="229">
        <f t="shared" si="39"/>
        <v>2.5</v>
      </c>
      <c r="AE120" s="229"/>
      <c r="AF120" s="228"/>
      <c r="AG120" s="212" t="str">
        <f t="shared" si="40"/>
        <v>2,5+2,5</v>
      </c>
      <c r="AH120" s="172">
        <f>'Зона ВЭс'!L148</f>
        <v>0.28363043478260869</v>
      </c>
      <c r="AI120" s="172">
        <f t="shared" si="33"/>
        <v>1.9336304347826085</v>
      </c>
      <c r="AJ120" s="1973">
        <f t="shared" si="41"/>
        <v>0.7</v>
      </c>
      <c r="AK120" s="212">
        <f t="shared" si="42"/>
        <v>120</v>
      </c>
      <c r="AL120" s="172">
        <f t="shared" si="60"/>
        <v>1.2336304347826086</v>
      </c>
      <c r="AM120" s="1973">
        <f t="shared" si="43"/>
        <v>0</v>
      </c>
      <c r="AN120" s="880">
        <f t="shared" si="61"/>
        <v>2.625</v>
      </c>
      <c r="AO120" s="172">
        <f t="shared" si="63"/>
        <v>1.3913695652173914</v>
      </c>
      <c r="AP120" s="172">
        <f t="shared" si="55"/>
        <v>1.3913695652173914</v>
      </c>
      <c r="AQ120" s="757" t="str">
        <f t="shared" si="34"/>
        <v>открыт</v>
      </c>
      <c r="AR120" s="2052" t="str">
        <f t="shared" si="44"/>
        <v>открыт</v>
      </c>
      <c r="AS120" s="935">
        <f t="shared" si="62"/>
        <v>73.662111801242233</v>
      </c>
      <c r="AT120" s="937" t="s">
        <v>744</v>
      </c>
      <c r="AU120" s="1095">
        <v>1983</v>
      </c>
      <c r="AV120" s="1101" t="s">
        <v>3218</v>
      </c>
      <c r="AW120" s="1103">
        <v>57.662026497903398</v>
      </c>
      <c r="AX120" s="1103">
        <v>34.466291824711</v>
      </c>
    </row>
    <row r="121" spans="1:50" ht="15" customHeight="1" x14ac:dyDescent="0.25">
      <c r="A121" s="212">
        <v>93</v>
      </c>
      <c r="B121" s="212">
        <v>43</v>
      </c>
      <c r="C121" s="212" t="s">
        <v>977</v>
      </c>
      <c r="D121" s="230">
        <v>2.5</v>
      </c>
      <c r="E121" s="229" t="s">
        <v>773</v>
      </c>
      <c r="F121" s="229">
        <v>2.5</v>
      </c>
      <c r="G121" s="229"/>
      <c r="H121" s="228"/>
      <c r="I121" s="229" t="str">
        <f t="shared" si="35"/>
        <v>2,5+2,5</v>
      </c>
      <c r="J121" s="882">
        <v>0.49</v>
      </c>
      <c r="K121" s="1423">
        <v>0</v>
      </c>
      <c r="L121" s="1422">
        <v>0</v>
      </c>
      <c r="M121" s="172">
        <f t="shared" ref="M121:M156" si="64">J121-K121</f>
        <v>0.49</v>
      </c>
      <c r="N121" s="172">
        <v>0</v>
      </c>
      <c r="O121" s="880"/>
      <c r="P121" s="880">
        <f t="shared" ref="P121:P156" si="65">MIN(D121:F121)*1.05</f>
        <v>2.625</v>
      </c>
      <c r="Q121" s="172">
        <f t="shared" si="58"/>
        <v>2.1349999999999998</v>
      </c>
      <c r="R121" s="172">
        <f t="shared" si="53"/>
        <v>2.1349999999999998</v>
      </c>
      <c r="S121" s="757" t="str">
        <f t="shared" si="47"/>
        <v>открыт</v>
      </c>
      <c r="T121" s="2052" t="str">
        <f t="shared" si="36"/>
        <v>открыт</v>
      </c>
      <c r="U121" s="757">
        <f t="shared" si="59"/>
        <v>18.666666666666668</v>
      </c>
      <c r="V121" s="2254">
        <v>0.5</v>
      </c>
      <c r="W121" s="2254" t="s">
        <v>3033</v>
      </c>
      <c r="X121" s="912"/>
      <c r="Y121" s="212">
        <v>93</v>
      </c>
      <c r="Z121" s="228">
        <v>43</v>
      </c>
      <c r="AA121" s="212" t="s">
        <v>977</v>
      </c>
      <c r="AB121" s="230">
        <f t="shared" si="37"/>
        <v>2.5</v>
      </c>
      <c r="AC121" s="229" t="str">
        <f t="shared" si="38"/>
        <v>+</v>
      </c>
      <c r="AD121" s="229">
        <f t="shared" si="39"/>
        <v>2.5</v>
      </c>
      <c r="AE121" s="229"/>
      <c r="AF121" s="228"/>
      <c r="AG121" s="212" t="str">
        <f t="shared" si="40"/>
        <v>2,5+2,5</v>
      </c>
      <c r="AH121" s="172">
        <f>'Зона ВЭс'!L152</f>
        <v>0</v>
      </c>
      <c r="AI121" s="172">
        <f t="shared" si="33"/>
        <v>0.49</v>
      </c>
      <c r="AJ121" s="1973">
        <f t="shared" si="41"/>
        <v>0</v>
      </c>
      <c r="AK121" s="212">
        <f t="shared" si="42"/>
        <v>0</v>
      </c>
      <c r="AL121" s="172">
        <f t="shared" ref="AL121:AL156" si="66">AI121-AJ121</f>
        <v>0.49</v>
      </c>
      <c r="AM121" s="1973">
        <f t="shared" si="43"/>
        <v>0</v>
      </c>
      <c r="AN121" s="880">
        <f t="shared" ref="AN121:AN156" si="67">MIN(AB121:AF121)*1.05</f>
        <v>2.625</v>
      </c>
      <c r="AO121" s="172">
        <f t="shared" si="63"/>
        <v>2.1349999999999998</v>
      </c>
      <c r="AP121" s="172">
        <f t="shared" si="55"/>
        <v>2.1349999999999998</v>
      </c>
      <c r="AQ121" s="757" t="str">
        <f t="shared" si="34"/>
        <v>открыт</v>
      </c>
      <c r="AR121" s="2052" t="str">
        <f t="shared" si="44"/>
        <v>открыт</v>
      </c>
      <c r="AS121" s="935">
        <f t="shared" si="62"/>
        <v>18.666666666666668</v>
      </c>
      <c r="AT121" s="937" t="s">
        <v>744</v>
      </c>
      <c r="AU121" s="1095">
        <v>1987</v>
      </c>
      <c r="AV121" s="1101" t="s">
        <v>3218</v>
      </c>
      <c r="AW121" s="1103">
        <v>57.5990458402567</v>
      </c>
      <c r="AX121" s="1103">
        <v>33.802564181866003</v>
      </c>
    </row>
    <row r="122" spans="1:50" ht="15" customHeight="1" x14ac:dyDescent="0.25">
      <c r="A122" s="212">
        <v>94</v>
      </c>
      <c r="B122" s="212">
        <v>44</v>
      </c>
      <c r="C122" s="212" t="s">
        <v>978</v>
      </c>
      <c r="D122" s="230">
        <v>2.5</v>
      </c>
      <c r="E122" s="229" t="s">
        <v>773</v>
      </c>
      <c r="F122" s="229">
        <v>2.5</v>
      </c>
      <c r="G122" s="229"/>
      <c r="H122" s="228"/>
      <c r="I122" s="229" t="str">
        <f t="shared" si="35"/>
        <v>2,5+2,5</v>
      </c>
      <c r="J122" s="882">
        <v>0.3</v>
      </c>
      <c r="K122" s="1423">
        <v>0.3</v>
      </c>
      <c r="L122" s="1422">
        <v>120</v>
      </c>
      <c r="M122" s="172">
        <f t="shared" si="64"/>
        <v>0</v>
      </c>
      <c r="N122" s="172">
        <v>0</v>
      </c>
      <c r="O122" s="880"/>
      <c r="P122" s="880">
        <f t="shared" si="65"/>
        <v>2.625</v>
      </c>
      <c r="Q122" s="172">
        <f t="shared" si="58"/>
        <v>2.625</v>
      </c>
      <c r="R122" s="172">
        <f t="shared" si="53"/>
        <v>2.625</v>
      </c>
      <c r="S122" s="757" t="str">
        <f t="shared" si="47"/>
        <v>открыт</v>
      </c>
      <c r="T122" s="2052" t="str">
        <f t="shared" si="36"/>
        <v>открыт</v>
      </c>
      <c r="U122" s="757">
        <f t="shared" si="59"/>
        <v>11.428571428571429</v>
      </c>
      <c r="V122" s="2254">
        <v>0.9</v>
      </c>
      <c r="W122" s="2254" t="s">
        <v>3033</v>
      </c>
      <c r="X122" s="912"/>
      <c r="Y122" s="212">
        <v>94</v>
      </c>
      <c r="Z122" s="228">
        <v>44</v>
      </c>
      <c r="AA122" s="212" t="s">
        <v>978</v>
      </c>
      <c r="AB122" s="230">
        <f t="shared" si="37"/>
        <v>2.5</v>
      </c>
      <c r="AC122" s="229" t="str">
        <f t="shared" si="38"/>
        <v>+</v>
      </c>
      <c r="AD122" s="229">
        <f t="shared" si="39"/>
        <v>2.5</v>
      </c>
      <c r="AE122" s="229"/>
      <c r="AF122" s="228"/>
      <c r="AG122" s="212" t="str">
        <f t="shared" si="40"/>
        <v>2,5+2,5</v>
      </c>
      <c r="AH122" s="172">
        <f>'Зона ВЭс'!L155</f>
        <v>0</v>
      </c>
      <c r="AI122" s="172">
        <f t="shared" si="33"/>
        <v>0.3</v>
      </c>
      <c r="AJ122" s="1973">
        <f t="shared" si="41"/>
        <v>0.3</v>
      </c>
      <c r="AK122" s="212">
        <f t="shared" si="42"/>
        <v>120</v>
      </c>
      <c r="AL122" s="172">
        <f t="shared" si="66"/>
        <v>0</v>
      </c>
      <c r="AM122" s="1973">
        <f t="shared" si="43"/>
        <v>0</v>
      </c>
      <c r="AN122" s="880">
        <f t="shared" si="67"/>
        <v>2.625</v>
      </c>
      <c r="AO122" s="172">
        <f t="shared" si="63"/>
        <v>2.625</v>
      </c>
      <c r="AP122" s="172">
        <f t="shared" si="55"/>
        <v>2.625</v>
      </c>
      <c r="AQ122" s="757" t="str">
        <f t="shared" si="34"/>
        <v>открыт</v>
      </c>
      <c r="AR122" s="2052" t="str">
        <f t="shared" si="44"/>
        <v>открыт</v>
      </c>
      <c r="AS122" s="935">
        <f t="shared" si="62"/>
        <v>11.428571428571429</v>
      </c>
      <c r="AT122" s="937" t="s">
        <v>744</v>
      </c>
      <c r="AU122" s="1095">
        <v>1983</v>
      </c>
      <c r="AV122" s="1101" t="s">
        <v>3218</v>
      </c>
      <c r="AW122" s="1103">
        <v>57.945300577811103</v>
      </c>
      <c r="AX122" s="1103">
        <v>35.069401232814897</v>
      </c>
    </row>
    <row r="123" spans="1:50" ht="15" customHeight="1" x14ac:dyDescent="0.25">
      <c r="A123" s="212">
        <v>95</v>
      </c>
      <c r="B123" s="212">
        <v>45</v>
      </c>
      <c r="C123" s="212" t="s">
        <v>979</v>
      </c>
      <c r="D123" s="230">
        <v>1.6</v>
      </c>
      <c r="E123" s="229" t="s">
        <v>773</v>
      </c>
      <c r="F123" s="229">
        <v>1.6</v>
      </c>
      <c r="G123" s="229"/>
      <c r="H123" s="228"/>
      <c r="I123" s="229" t="str">
        <f t="shared" si="35"/>
        <v>1,6+1,6</v>
      </c>
      <c r="J123" s="882">
        <v>0.49</v>
      </c>
      <c r="K123" s="1423">
        <v>0</v>
      </c>
      <c r="L123" s="1422">
        <v>0</v>
      </c>
      <c r="M123" s="172">
        <f t="shared" si="64"/>
        <v>0.49</v>
      </c>
      <c r="N123" s="172">
        <v>0</v>
      </c>
      <c r="O123" s="880"/>
      <c r="P123" s="880">
        <f t="shared" si="65"/>
        <v>1.6800000000000002</v>
      </c>
      <c r="Q123" s="172">
        <f t="shared" si="58"/>
        <v>1.1900000000000002</v>
      </c>
      <c r="R123" s="172">
        <f t="shared" si="53"/>
        <v>1.1900000000000002</v>
      </c>
      <c r="S123" s="757" t="str">
        <f t="shared" si="47"/>
        <v>открыт</v>
      </c>
      <c r="T123" s="2052" t="str">
        <f t="shared" si="36"/>
        <v>открыт</v>
      </c>
      <c r="U123" s="757">
        <f t="shared" si="59"/>
        <v>29.166666666666664</v>
      </c>
      <c r="V123" s="2254">
        <v>0.5</v>
      </c>
      <c r="W123" s="2254" t="s">
        <v>3033</v>
      </c>
      <c r="X123" s="912"/>
      <c r="Y123" s="212">
        <v>95</v>
      </c>
      <c r="Z123" s="228">
        <v>45</v>
      </c>
      <c r="AA123" s="212" t="s">
        <v>979</v>
      </c>
      <c r="AB123" s="230">
        <f t="shared" si="37"/>
        <v>1.6</v>
      </c>
      <c r="AC123" s="229" t="str">
        <f t="shared" si="38"/>
        <v>+</v>
      </c>
      <c r="AD123" s="229">
        <f t="shared" si="39"/>
        <v>1.6</v>
      </c>
      <c r="AE123" s="229"/>
      <c r="AF123" s="228"/>
      <c r="AG123" s="212" t="str">
        <f t="shared" si="40"/>
        <v>1,6+1,6</v>
      </c>
      <c r="AH123" s="172">
        <f>'Зона ВЭс'!L158</f>
        <v>0</v>
      </c>
      <c r="AI123" s="172">
        <f t="shared" si="33"/>
        <v>0.49</v>
      </c>
      <c r="AJ123" s="1973">
        <f t="shared" si="41"/>
        <v>0</v>
      </c>
      <c r="AK123" s="212">
        <f t="shared" si="42"/>
        <v>0</v>
      </c>
      <c r="AL123" s="172">
        <f t="shared" si="66"/>
        <v>0.49</v>
      </c>
      <c r="AM123" s="1973">
        <f t="shared" si="43"/>
        <v>0</v>
      </c>
      <c r="AN123" s="880">
        <f t="shared" si="67"/>
        <v>1.6800000000000002</v>
      </c>
      <c r="AO123" s="172">
        <f t="shared" si="63"/>
        <v>1.1900000000000002</v>
      </c>
      <c r="AP123" s="172">
        <f t="shared" si="55"/>
        <v>1.1900000000000002</v>
      </c>
      <c r="AQ123" s="757" t="str">
        <f t="shared" si="34"/>
        <v>открыт</v>
      </c>
      <c r="AR123" s="2052" t="str">
        <f t="shared" si="44"/>
        <v>открыт</v>
      </c>
      <c r="AS123" s="935">
        <f t="shared" si="62"/>
        <v>29.166666666666664</v>
      </c>
      <c r="AT123" s="937" t="s">
        <v>744</v>
      </c>
      <c r="AU123" s="1095">
        <v>1981</v>
      </c>
      <c r="AV123" s="1101" t="s">
        <v>3218</v>
      </c>
      <c r="AW123" s="1103">
        <v>58.0205494510083</v>
      </c>
      <c r="AX123" s="1103">
        <v>34.479960034719802</v>
      </c>
    </row>
    <row r="124" spans="1:50" ht="15" customHeight="1" x14ac:dyDescent="0.25">
      <c r="A124" s="212">
        <v>96</v>
      </c>
      <c r="B124" s="212">
        <v>46</v>
      </c>
      <c r="C124" s="212" t="s">
        <v>980</v>
      </c>
      <c r="D124" s="230">
        <v>2.5</v>
      </c>
      <c r="E124" s="229" t="s">
        <v>773</v>
      </c>
      <c r="F124" s="229">
        <v>2.5</v>
      </c>
      <c r="G124" s="229"/>
      <c r="H124" s="228"/>
      <c r="I124" s="229" t="str">
        <f t="shared" si="35"/>
        <v>2,5+2,5</v>
      </c>
      <c r="J124" s="882">
        <v>0.64</v>
      </c>
      <c r="K124" s="1423">
        <v>0</v>
      </c>
      <c r="L124" s="1422">
        <v>0</v>
      </c>
      <c r="M124" s="172">
        <f t="shared" si="64"/>
        <v>0.64</v>
      </c>
      <c r="N124" s="172">
        <v>0</v>
      </c>
      <c r="O124" s="880"/>
      <c r="P124" s="880">
        <f t="shared" si="65"/>
        <v>2.625</v>
      </c>
      <c r="Q124" s="172">
        <f t="shared" si="58"/>
        <v>1.9849999999999999</v>
      </c>
      <c r="R124" s="172">
        <f t="shared" si="53"/>
        <v>1.9849999999999999</v>
      </c>
      <c r="S124" s="757" t="str">
        <f t="shared" si="47"/>
        <v>открыт</v>
      </c>
      <c r="T124" s="2052" t="str">
        <f t="shared" si="36"/>
        <v>открыт</v>
      </c>
      <c r="U124" s="757">
        <f t="shared" si="59"/>
        <v>24.38095238095238</v>
      </c>
      <c r="V124" s="2254"/>
      <c r="W124" s="2254" t="s">
        <v>3032</v>
      </c>
      <c r="X124" s="912"/>
      <c r="Y124" s="212">
        <v>96</v>
      </c>
      <c r="Z124" s="228">
        <v>46</v>
      </c>
      <c r="AA124" s="212" t="s">
        <v>980</v>
      </c>
      <c r="AB124" s="230">
        <f t="shared" si="37"/>
        <v>2.5</v>
      </c>
      <c r="AC124" s="229" t="str">
        <f t="shared" si="38"/>
        <v>+</v>
      </c>
      <c r="AD124" s="229">
        <f t="shared" si="39"/>
        <v>2.5</v>
      </c>
      <c r="AE124" s="229"/>
      <c r="AF124" s="228"/>
      <c r="AG124" s="212" t="str">
        <f t="shared" si="40"/>
        <v>2,5+2,5</v>
      </c>
      <c r="AH124" s="172">
        <f>'Зона ВЭс'!L163</f>
        <v>4.8913043478260872E-2</v>
      </c>
      <c r="AI124" s="172">
        <f t="shared" si="33"/>
        <v>0.68891304347826088</v>
      </c>
      <c r="AJ124" s="1973">
        <f t="shared" si="41"/>
        <v>0</v>
      </c>
      <c r="AK124" s="212">
        <f t="shared" si="42"/>
        <v>0</v>
      </c>
      <c r="AL124" s="172">
        <f t="shared" si="66"/>
        <v>0.68891304347826088</v>
      </c>
      <c r="AM124" s="1973">
        <f t="shared" si="43"/>
        <v>0</v>
      </c>
      <c r="AN124" s="880">
        <f t="shared" si="67"/>
        <v>2.625</v>
      </c>
      <c r="AO124" s="172">
        <f t="shared" si="63"/>
        <v>1.9360869565217391</v>
      </c>
      <c r="AP124" s="172">
        <f t="shared" si="55"/>
        <v>1.9360869565217391</v>
      </c>
      <c r="AQ124" s="757" t="str">
        <f t="shared" si="34"/>
        <v>открыт</v>
      </c>
      <c r="AR124" s="2052" t="str">
        <f t="shared" si="44"/>
        <v>открыт</v>
      </c>
      <c r="AS124" s="935">
        <f t="shared" si="62"/>
        <v>26.244306418219463</v>
      </c>
      <c r="AT124" s="937" t="s">
        <v>744</v>
      </c>
      <c r="AU124" s="1095">
        <v>1985</v>
      </c>
      <c r="AV124" s="1101" t="s">
        <v>3218</v>
      </c>
      <c r="AW124" s="1103">
        <v>57.615550915135103</v>
      </c>
      <c r="AX124" s="1103">
        <v>34.601271753156297</v>
      </c>
    </row>
    <row r="125" spans="1:50" ht="15" customHeight="1" x14ac:dyDescent="0.25">
      <c r="A125" s="212">
        <v>97</v>
      </c>
      <c r="B125" s="212">
        <v>47</v>
      </c>
      <c r="C125" s="212" t="s">
        <v>981</v>
      </c>
      <c r="D125" s="230">
        <v>1.6</v>
      </c>
      <c r="E125" s="229" t="s">
        <v>773</v>
      </c>
      <c r="F125" s="229">
        <v>1.6</v>
      </c>
      <c r="G125" s="229"/>
      <c r="H125" s="228"/>
      <c r="I125" s="229" t="str">
        <f t="shared" si="35"/>
        <v>1,6+1,6</v>
      </c>
      <c r="J125" s="882">
        <v>0.61</v>
      </c>
      <c r="K125" s="1423">
        <v>0.47</v>
      </c>
      <c r="L125" s="1422">
        <v>120</v>
      </c>
      <c r="M125" s="172">
        <f t="shared" si="64"/>
        <v>0.14000000000000001</v>
      </c>
      <c r="N125" s="172">
        <v>0</v>
      </c>
      <c r="O125" s="880"/>
      <c r="P125" s="880">
        <f t="shared" si="65"/>
        <v>1.6800000000000002</v>
      </c>
      <c r="Q125" s="172">
        <f t="shared" si="58"/>
        <v>1.54</v>
      </c>
      <c r="R125" s="172">
        <f t="shared" si="53"/>
        <v>1.54</v>
      </c>
      <c r="S125" s="757" t="str">
        <f t="shared" si="47"/>
        <v>открыт</v>
      </c>
      <c r="T125" s="2052" t="str">
        <f t="shared" si="36"/>
        <v>открыт</v>
      </c>
      <c r="U125" s="757">
        <f t="shared" si="59"/>
        <v>36.309523809523803</v>
      </c>
      <c r="V125" s="2254">
        <v>0.6</v>
      </c>
      <c r="W125" s="2254" t="s">
        <v>3033</v>
      </c>
      <c r="X125" s="912"/>
      <c r="Y125" s="212">
        <v>97</v>
      </c>
      <c r="Z125" s="228">
        <v>47</v>
      </c>
      <c r="AA125" s="212" t="s">
        <v>981</v>
      </c>
      <c r="AB125" s="230">
        <f t="shared" si="37"/>
        <v>1.6</v>
      </c>
      <c r="AC125" s="229" t="str">
        <f t="shared" si="38"/>
        <v>+</v>
      </c>
      <c r="AD125" s="229">
        <f t="shared" si="39"/>
        <v>1.6</v>
      </c>
      <c r="AE125" s="229"/>
      <c r="AF125" s="228"/>
      <c r="AG125" s="212" t="str">
        <f t="shared" si="40"/>
        <v>1,6+1,6</v>
      </c>
      <c r="AH125" s="172">
        <f>'Зона ВЭс'!L166</f>
        <v>0</v>
      </c>
      <c r="AI125" s="172">
        <f t="shared" si="33"/>
        <v>0.61</v>
      </c>
      <c r="AJ125" s="1973">
        <f t="shared" si="41"/>
        <v>0.47</v>
      </c>
      <c r="AK125" s="212">
        <f t="shared" si="42"/>
        <v>120</v>
      </c>
      <c r="AL125" s="172">
        <f t="shared" si="66"/>
        <v>0.14000000000000001</v>
      </c>
      <c r="AM125" s="1973">
        <f t="shared" si="43"/>
        <v>0</v>
      </c>
      <c r="AN125" s="880">
        <f t="shared" si="67"/>
        <v>1.6800000000000002</v>
      </c>
      <c r="AO125" s="172">
        <f t="shared" si="63"/>
        <v>1.54</v>
      </c>
      <c r="AP125" s="172">
        <f t="shared" si="55"/>
        <v>1.54</v>
      </c>
      <c r="AQ125" s="757" t="str">
        <f t="shared" si="34"/>
        <v>открыт</v>
      </c>
      <c r="AR125" s="2052" t="str">
        <f t="shared" si="44"/>
        <v>открыт</v>
      </c>
      <c r="AS125" s="935">
        <f t="shared" si="62"/>
        <v>36.309523809523803</v>
      </c>
      <c r="AT125" s="937" t="s">
        <v>744</v>
      </c>
      <c r="AU125" s="1095">
        <v>1987</v>
      </c>
      <c r="AV125" s="1101" t="s">
        <v>3218</v>
      </c>
      <c r="AW125" s="1103">
        <v>57.563012031619103</v>
      </c>
      <c r="AX125" s="1103">
        <v>34.732428906605399</v>
      </c>
    </row>
    <row r="126" spans="1:50" ht="15" customHeight="1" x14ac:dyDescent="0.25">
      <c r="A126" s="212">
        <v>98</v>
      </c>
      <c r="B126" s="212">
        <v>48</v>
      </c>
      <c r="C126" s="212" t="s">
        <v>982</v>
      </c>
      <c r="D126" s="230">
        <v>1.6</v>
      </c>
      <c r="E126" s="229" t="s">
        <v>773</v>
      </c>
      <c r="F126" s="229">
        <v>1.6</v>
      </c>
      <c r="G126" s="229"/>
      <c r="H126" s="228"/>
      <c r="I126" s="229" t="str">
        <f t="shared" si="35"/>
        <v>1,6+1,6</v>
      </c>
      <c r="J126" s="882">
        <v>0.78</v>
      </c>
      <c r="K126" s="1423">
        <v>0</v>
      </c>
      <c r="L126" s="1422">
        <v>0</v>
      </c>
      <c r="M126" s="172">
        <f t="shared" si="64"/>
        <v>0.78</v>
      </c>
      <c r="N126" s="172">
        <v>0</v>
      </c>
      <c r="O126" s="880"/>
      <c r="P126" s="880">
        <f t="shared" si="65"/>
        <v>1.6800000000000002</v>
      </c>
      <c r="Q126" s="172">
        <f t="shared" si="58"/>
        <v>0.90000000000000013</v>
      </c>
      <c r="R126" s="172">
        <f t="shared" si="53"/>
        <v>0.90000000000000013</v>
      </c>
      <c r="S126" s="757" t="str">
        <f t="shared" si="47"/>
        <v>открыт</v>
      </c>
      <c r="T126" s="2052" t="str">
        <f t="shared" si="36"/>
        <v>открыт</v>
      </c>
      <c r="U126" s="757">
        <f t="shared" si="59"/>
        <v>46.428571428571423</v>
      </c>
      <c r="V126" s="2254">
        <v>0.5</v>
      </c>
      <c r="W126" s="2254" t="s">
        <v>3033</v>
      </c>
      <c r="X126" s="912"/>
      <c r="Y126" s="212">
        <v>98</v>
      </c>
      <c r="Z126" s="228">
        <v>48</v>
      </c>
      <c r="AA126" s="212" t="s">
        <v>982</v>
      </c>
      <c r="AB126" s="230">
        <f t="shared" si="37"/>
        <v>1.6</v>
      </c>
      <c r="AC126" s="229" t="str">
        <f t="shared" si="38"/>
        <v>+</v>
      </c>
      <c r="AD126" s="229">
        <f t="shared" si="39"/>
        <v>1.6</v>
      </c>
      <c r="AE126" s="229"/>
      <c r="AF126" s="228"/>
      <c r="AG126" s="212" t="str">
        <f t="shared" si="40"/>
        <v>1,6+1,6</v>
      </c>
      <c r="AH126" s="172">
        <f>'Зона ВЭс'!L171</f>
        <v>2.717391304347826E-2</v>
      </c>
      <c r="AI126" s="172">
        <f t="shared" si="33"/>
        <v>0.8071739130434783</v>
      </c>
      <c r="AJ126" s="1973">
        <f t="shared" si="41"/>
        <v>0</v>
      </c>
      <c r="AK126" s="212">
        <f t="shared" si="42"/>
        <v>0</v>
      </c>
      <c r="AL126" s="172">
        <f t="shared" si="66"/>
        <v>0.8071739130434783</v>
      </c>
      <c r="AM126" s="1973">
        <f t="shared" si="43"/>
        <v>0</v>
      </c>
      <c r="AN126" s="880">
        <f t="shared" si="67"/>
        <v>1.6800000000000002</v>
      </c>
      <c r="AO126" s="172">
        <f t="shared" ref="AO126:AO156" si="68">AN126-AL126-AM126</f>
        <v>0.87282608695652186</v>
      </c>
      <c r="AP126" s="172">
        <f t="shared" si="55"/>
        <v>0.87282608695652186</v>
      </c>
      <c r="AQ126" s="757" t="str">
        <f t="shared" si="34"/>
        <v>открыт</v>
      </c>
      <c r="AR126" s="2052" t="str">
        <f t="shared" si="44"/>
        <v>открыт</v>
      </c>
      <c r="AS126" s="935">
        <f t="shared" si="62"/>
        <v>48.046066252587991</v>
      </c>
      <c r="AT126" s="937" t="s">
        <v>744</v>
      </c>
      <c r="AU126" s="1095">
        <v>1978</v>
      </c>
      <c r="AV126" s="1101" t="s">
        <v>3218</v>
      </c>
      <c r="AW126" s="1103">
        <v>58.004625137083501</v>
      </c>
      <c r="AX126" s="1103">
        <v>34.259169822107403</v>
      </c>
    </row>
    <row r="127" spans="1:50" ht="15" customHeight="1" x14ac:dyDescent="0.25">
      <c r="A127" s="212">
        <v>99</v>
      </c>
      <c r="B127" s="212">
        <v>49</v>
      </c>
      <c r="C127" s="212" t="s">
        <v>983</v>
      </c>
      <c r="D127" s="230">
        <v>2.5</v>
      </c>
      <c r="E127" s="229" t="s">
        <v>773</v>
      </c>
      <c r="F127" s="229">
        <v>2.5</v>
      </c>
      <c r="G127" s="229"/>
      <c r="H127" s="228"/>
      <c r="I127" s="229" t="str">
        <f t="shared" si="35"/>
        <v>2,5+2,5</v>
      </c>
      <c r="J127" s="882">
        <v>1.88</v>
      </c>
      <c r="K127" s="1423">
        <v>1.41</v>
      </c>
      <c r="L127" s="1422">
        <v>120</v>
      </c>
      <c r="M127" s="172">
        <f t="shared" si="64"/>
        <v>0.47</v>
      </c>
      <c r="N127" s="172">
        <v>0</v>
      </c>
      <c r="O127" s="880"/>
      <c r="P127" s="880">
        <f t="shared" si="65"/>
        <v>2.625</v>
      </c>
      <c r="Q127" s="172">
        <f t="shared" si="58"/>
        <v>2.1550000000000002</v>
      </c>
      <c r="R127" s="172">
        <f t="shared" si="53"/>
        <v>2.1550000000000002</v>
      </c>
      <c r="S127" s="757" t="str">
        <f t="shared" si="47"/>
        <v>открыт</v>
      </c>
      <c r="T127" s="2052" t="str">
        <f t="shared" si="36"/>
        <v>открыт</v>
      </c>
      <c r="U127" s="757">
        <f t="shared" si="59"/>
        <v>71.61904761904762</v>
      </c>
      <c r="V127" s="2254">
        <v>0.4</v>
      </c>
      <c r="W127" s="2254" t="s">
        <v>3033</v>
      </c>
      <c r="X127" s="912"/>
      <c r="Y127" s="212">
        <v>99</v>
      </c>
      <c r="Z127" s="228">
        <v>49</v>
      </c>
      <c r="AA127" s="212" t="s">
        <v>983</v>
      </c>
      <c r="AB127" s="230">
        <f t="shared" si="37"/>
        <v>2.5</v>
      </c>
      <c r="AC127" s="229" t="str">
        <f t="shared" si="38"/>
        <v>+</v>
      </c>
      <c r="AD127" s="229">
        <f t="shared" si="39"/>
        <v>2.5</v>
      </c>
      <c r="AE127" s="229"/>
      <c r="AF127" s="228"/>
      <c r="AG127" s="212" t="str">
        <f t="shared" si="40"/>
        <v>2,5+2,5</v>
      </c>
      <c r="AH127" s="172">
        <f>'Зона ВЭс'!L174</f>
        <v>0</v>
      </c>
      <c r="AI127" s="172">
        <f t="shared" si="33"/>
        <v>1.88</v>
      </c>
      <c r="AJ127" s="1973">
        <f t="shared" si="41"/>
        <v>1.41</v>
      </c>
      <c r="AK127" s="212">
        <f t="shared" si="42"/>
        <v>120</v>
      </c>
      <c r="AL127" s="172">
        <f t="shared" si="66"/>
        <v>0.47</v>
      </c>
      <c r="AM127" s="1973">
        <f t="shared" si="43"/>
        <v>0</v>
      </c>
      <c r="AN127" s="880">
        <f t="shared" si="67"/>
        <v>2.625</v>
      </c>
      <c r="AO127" s="172">
        <f t="shared" si="68"/>
        <v>2.1550000000000002</v>
      </c>
      <c r="AP127" s="172">
        <f t="shared" si="55"/>
        <v>2.1550000000000002</v>
      </c>
      <c r="AQ127" s="757" t="str">
        <f t="shared" si="34"/>
        <v>открыт</v>
      </c>
      <c r="AR127" s="2052" t="str">
        <f t="shared" si="44"/>
        <v>открыт</v>
      </c>
      <c r="AS127" s="935">
        <f t="shared" si="62"/>
        <v>71.61904761904762</v>
      </c>
      <c r="AT127" s="937" t="s">
        <v>744</v>
      </c>
      <c r="AU127" s="1095">
        <v>1985</v>
      </c>
      <c r="AV127" s="1101" t="s">
        <v>3218</v>
      </c>
      <c r="AW127" s="1103">
        <v>57.466965577883599</v>
      </c>
      <c r="AX127" s="1103">
        <v>33.685654540797998</v>
      </c>
    </row>
    <row r="128" spans="1:50" ht="15" customHeight="1" x14ac:dyDescent="0.25">
      <c r="A128" s="212">
        <v>100</v>
      </c>
      <c r="B128" s="212">
        <v>50</v>
      </c>
      <c r="C128" s="212" t="s">
        <v>984</v>
      </c>
      <c r="D128" s="230">
        <v>7.5</v>
      </c>
      <c r="E128" s="229" t="s">
        <v>773</v>
      </c>
      <c r="F128" s="229">
        <v>10</v>
      </c>
      <c r="G128" s="229"/>
      <c r="H128" s="228"/>
      <c r="I128" s="229" t="str">
        <f t="shared" si="35"/>
        <v>7,5+10</v>
      </c>
      <c r="J128" s="882">
        <v>7.12</v>
      </c>
      <c r="K128" s="1423">
        <v>0.9</v>
      </c>
      <c r="L128" s="1422">
        <v>120</v>
      </c>
      <c r="M128" s="172">
        <f t="shared" si="64"/>
        <v>6.22</v>
      </c>
      <c r="N128" s="172">
        <v>0</v>
      </c>
      <c r="O128" s="880"/>
      <c r="P128" s="880">
        <f t="shared" si="65"/>
        <v>7.875</v>
      </c>
      <c r="Q128" s="172">
        <f t="shared" si="58"/>
        <v>1.6550000000000002</v>
      </c>
      <c r="R128" s="172">
        <f t="shared" si="53"/>
        <v>1.6550000000000002</v>
      </c>
      <c r="S128" s="757" t="str">
        <f>T128</f>
        <v>открыт</v>
      </c>
      <c r="T128" s="2052" t="str">
        <f t="shared" si="36"/>
        <v>открыт</v>
      </c>
      <c r="U128" s="757">
        <f t="shared" si="59"/>
        <v>90.412698412698418</v>
      </c>
      <c r="V128" s="2254">
        <v>0.5</v>
      </c>
      <c r="W128" s="2254" t="s">
        <v>3033</v>
      </c>
      <c r="X128" s="912"/>
      <c r="Y128" s="212">
        <v>100</v>
      </c>
      <c r="Z128" s="228">
        <v>50</v>
      </c>
      <c r="AA128" s="212" t="s">
        <v>984</v>
      </c>
      <c r="AB128" s="230">
        <f t="shared" si="37"/>
        <v>7.5</v>
      </c>
      <c r="AC128" s="229" t="str">
        <f t="shared" si="38"/>
        <v>+</v>
      </c>
      <c r="AD128" s="229">
        <f t="shared" si="39"/>
        <v>10</v>
      </c>
      <c r="AE128" s="229"/>
      <c r="AF128" s="228"/>
      <c r="AG128" s="212" t="str">
        <f t="shared" si="40"/>
        <v>7,5+10</v>
      </c>
      <c r="AH128" s="172">
        <f>'Зона ВЭс'!L181</f>
        <v>0</v>
      </c>
      <c r="AI128" s="172">
        <f t="shared" si="33"/>
        <v>7.12</v>
      </c>
      <c r="AJ128" s="1973">
        <f t="shared" si="41"/>
        <v>0.9</v>
      </c>
      <c r="AK128" s="212">
        <f t="shared" si="42"/>
        <v>120</v>
      </c>
      <c r="AL128" s="172">
        <f t="shared" si="66"/>
        <v>6.22</v>
      </c>
      <c r="AM128" s="1973">
        <f t="shared" si="43"/>
        <v>0</v>
      </c>
      <c r="AN128" s="880">
        <f t="shared" si="67"/>
        <v>7.875</v>
      </c>
      <c r="AO128" s="172">
        <f t="shared" si="68"/>
        <v>1.6550000000000002</v>
      </c>
      <c r="AP128" s="172">
        <f t="shared" si="55"/>
        <v>1.6550000000000002</v>
      </c>
      <c r="AQ128" s="757" t="str">
        <f t="shared" si="34"/>
        <v>открыт</v>
      </c>
      <c r="AR128" s="2052" t="str">
        <f t="shared" si="44"/>
        <v>открыт</v>
      </c>
      <c r="AS128" s="935">
        <f t="shared" si="62"/>
        <v>90.412698412698418</v>
      </c>
      <c r="AT128" s="937" t="s">
        <v>744</v>
      </c>
      <c r="AU128" s="1095">
        <v>1974</v>
      </c>
      <c r="AV128" s="1101" t="s">
        <v>3218</v>
      </c>
      <c r="AW128" s="1103">
        <v>57.586412116685999</v>
      </c>
      <c r="AX128" s="1103">
        <v>34.539257743638998</v>
      </c>
    </row>
    <row r="129" spans="1:50" ht="15" customHeight="1" x14ac:dyDescent="0.25">
      <c r="A129" s="212">
        <v>101</v>
      </c>
      <c r="B129" s="212">
        <v>51</v>
      </c>
      <c r="C129" s="212" t="s">
        <v>985</v>
      </c>
      <c r="D129" s="230">
        <v>2.5</v>
      </c>
      <c r="E129" s="229" t="s">
        <v>773</v>
      </c>
      <c r="F129" s="229">
        <v>2.5</v>
      </c>
      <c r="G129" s="229"/>
      <c r="H129" s="228"/>
      <c r="I129" s="229" t="str">
        <f t="shared" si="35"/>
        <v>2,5+2,5</v>
      </c>
      <c r="J129" s="882">
        <v>0.27</v>
      </c>
      <c r="K129" s="1423">
        <v>0.17</v>
      </c>
      <c r="L129" s="1422">
        <v>120</v>
      </c>
      <c r="M129" s="172">
        <f t="shared" si="64"/>
        <v>0.1</v>
      </c>
      <c r="N129" s="172">
        <v>0</v>
      </c>
      <c r="O129" s="880"/>
      <c r="P129" s="880">
        <f t="shared" si="65"/>
        <v>2.625</v>
      </c>
      <c r="Q129" s="172">
        <f t="shared" si="58"/>
        <v>2.5249999999999999</v>
      </c>
      <c r="R129" s="172">
        <f t="shared" si="53"/>
        <v>2.5249999999999999</v>
      </c>
      <c r="S129" s="757" t="str">
        <f t="shared" si="47"/>
        <v>открыт</v>
      </c>
      <c r="T129" s="2052" t="str">
        <f t="shared" si="36"/>
        <v>открыт</v>
      </c>
      <c r="U129" s="757">
        <f t="shared" si="59"/>
        <v>10.285714285714286</v>
      </c>
      <c r="V129" s="2254">
        <v>0.4</v>
      </c>
      <c r="W129" s="2254" t="s">
        <v>3033</v>
      </c>
      <c r="X129" s="912"/>
      <c r="Y129" s="212">
        <v>101</v>
      </c>
      <c r="Z129" s="228">
        <v>51</v>
      </c>
      <c r="AA129" s="212" t="s">
        <v>985</v>
      </c>
      <c r="AB129" s="230">
        <f t="shared" si="37"/>
        <v>2.5</v>
      </c>
      <c r="AC129" s="229" t="str">
        <f t="shared" si="38"/>
        <v>+</v>
      </c>
      <c r="AD129" s="229">
        <f t="shared" si="39"/>
        <v>2.5</v>
      </c>
      <c r="AE129" s="229"/>
      <c r="AF129" s="228"/>
      <c r="AG129" s="212" t="str">
        <f t="shared" si="40"/>
        <v>2,5+2,5</v>
      </c>
      <c r="AH129" s="172">
        <f>'Зона ВЭс'!L183</f>
        <v>0</v>
      </c>
      <c r="AI129" s="172">
        <f t="shared" si="33"/>
        <v>0.27</v>
      </c>
      <c r="AJ129" s="1973">
        <f t="shared" si="41"/>
        <v>0.17</v>
      </c>
      <c r="AK129" s="212">
        <f t="shared" si="42"/>
        <v>120</v>
      </c>
      <c r="AL129" s="172">
        <f t="shared" si="66"/>
        <v>0.1</v>
      </c>
      <c r="AM129" s="1973">
        <f t="shared" si="43"/>
        <v>0</v>
      </c>
      <c r="AN129" s="880">
        <f t="shared" si="67"/>
        <v>2.625</v>
      </c>
      <c r="AO129" s="172">
        <f t="shared" si="68"/>
        <v>2.5249999999999999</v>
      </c>
      <c r="AP129" s="172">
        <f t="shared" si="55"/>
        <v>2.5249999999999999</v>
      </c>
      <c r="AQ129" s="757" t="str">
        <f t="shared" si="34"/>
        <v>открыт</v>
      </c>
      <c r="AR129" s="2052" t="str">
        <f t="shared" si="44"/>
        <v>открыт</v>
      </c>
      <c r="AS129" s="935">
        <f t="shared" si="62"/>
        <v>10.285714285714286</v>
      </c>
      <c r="AT129" s="937" t="s">
        <v>744</v>
      </c>
      <c r="AU129" s="1095">
        <v>1984</v>
      </c>
      <c r="AV129" s="1101" t="s">
        <v>3218</v>
      </c>
      <c r="AW129" s="1103">
        <v>57.462721817982199</v>
      </c>
      <c r="AX129" s="1103">
        <v>34.072403200208498</v>
      </c>
    </row>
    <row r="130" spans="1:50" ht="15" customHeight="1" x14ac:dyDescent="0.25">
      <c r="A130" s="2419">
        <v>102</v>
      </c>
      <c r="B130" s="2423">
        <v>52</v>
      </c>
      <c r="C130" s="212" t="s">
        <v>986</v>
      </c>
      <c r="D130" s="230">
        <v>10</v>
      </c>
      <c r="E130" s="229" t="s">
        <v>773</v>
      </c>
      <c r="F130" s="229">
        <v>10</v>
      </c>
      <c r="G130" s="229"/>
      <c r="H130" s="228"/>
      <c r="I130" s="229" t="str">
        <f t="shared" si="35"/>
        <v>10+10</v>
      </c>
      <c r="J130" s="882">
        <v>2.27</v>
      </c>
      <c r="K130" s="1423">
        <v>1.37</v>
      </c>
      <c r="L130" s="1422">
        <v>120</v>
      </c>
      <c r="M130" s="172">
        <f t="shared" si="64"/>
        <v>0.89999999999999991</v>
      </c>
      <c r="N130" s="172">
        <v>0</v>
      </c>
      <c r="O130" s="880"/>
      <c r="P130" s="880">
        <f t="shared" si="65"/>
        <v>10.5</v>
      </c>
      <c r="Q130" s="172">
        <f t="shared" ref="Q130:Q156" si="69">P130-M130-N130</f>
        <v>9.6</v>
      </c>
      <c r="R130" s="2420">
        <f>MIN(Q130:Q132)</f>
        <v>9.6</v>
      </c>
      <c r="S130" s="2400" t="str">
        <f>T130</f>
        <v>открыт</v>
      </c>
      <c r="T130" s="2052" t="str">
        <f t="shared" si="36"/>
        <v>открыт</v>
      </c>
      <c r="U130" s="2398">
        <f t="shared" si="59"/>
        <v>21.61904761904762</v>
      </c>
      <c r="V130" s="2398"/>
      <c r="W130" s="2398" t="s">
        <v>3034</v>
      </c>
      <c r="X130" s="912"/>
      <c r="Y130" s="2419">
        <v>102</v>
      </c>
      <c r="Z130" s="2455">
        <v>52</v>
      </c>
      <c r="AA130" s="212" t="s">
        <v>986</v>
      </c>
      <c r="AB130" s="230">
        <f t="shared" si="37"/>
        <v>10</v>
      </c>
      <c r="AC130" s="229" t="str">
        <f t="shared" si="38"/>
        <v>+</v>
      </c>
      <c r="AD130" s="229">
        <f t="shared" si="39"/>
        <v>10</v>
      </c>
      <c r="AE130" s="229"/>
      <c r="AF130" s="228"/>
      <c r="AG130" s="212" t="str">
        <f t="shared" si="40"/>
        <v>10+10</v>
      </c>
      <c r="AH130" s="172">
        <f>SUM(AH131:AH132)</f>
        <v>1.016304347826087E-2</v>
      </c>
      <c r="AI130" s="172">
        <f t="shared" si="33"/>
        <v>2.2801630434782609</v>
      </c>
      <c r="AJ130" s="1973">
        <f t="shared" si="41"/>
        <v>1.37</v>
      </c>
      <c r="AK130" s="212">
        <f t="shared" si="42"/>
        <v>120</v>
      </c>
      <c r="AL130" s="172">
        <f t="shared" si="66"/>
        <v>0.91016304347826082</v>
      </c>
      <c r="AM130" s="1973">
        <f t="shared" si="43"/>
        <v>0</v>
      </c>
      <c r="AN130" s="880">
        <f t="shared" si="67"/>
        <v>10.5</v>
      </c>
      <c r="AO130" s="172">
        <f t="shared" si="68"/>
        <v>9.5898369565217401</v>
      </c>
      <c r="AP130" s="2405">
        <f>MIN(AO130:AO132)</f>
        <v>9.5898369565217401</v>
      </c>
      <c r="AQ130" s="2398" t="str">
        <f>AR130</f>
        <v>открыт</v>
      </c>
      <c r="AR130" s="2052" t="str">
        <f t="shared" si="44"/>
        <v>открыт</v>
      </c>
      <c r="AS130" s="2452">
        <f t="shared" si="62"/>
        <v>21.715838509316772</v>
      </c>
      <c r="AT130" s="937" t="s">
        <v>744</v>
      </c>
      <c r="AU130" s="1095">
        <v>1982</v>
      </c>
      <c r="AV130" s="1101" t="s">
        <v>3218</v>
      </c>
      <c r="AW130" s="1103">
        <v>57.8456706899387</v>
      </c>
      <c r="AX130" s="1103">
        <v>35.396921230622802</v>
      </c>
    </row>
    <row r="131" spans="1:50" ht="15" customHeight="1" x14ac:dyDescent="0.25">
      <c r="A131" s="2419"/>
      <c r="B131" s="2440"/>
      <c r="C131" s="212" t="s">
        <v>1768</v>
      </c>
      <c r="D131" s="230">
        <v>10</v>
      </c>
      <c r="E131" s="229" t="s">
        <v>773</v>
      </c>
      <c r="F131" s="229">
        <v>10</v>
      </c>
      <c r="G131" s="229"/>
      <c r="H131" s="228"/>
      <c r="I131" s="229" t="str">
        <f t="shared" si="35"/>
        <v>10+10</v>
      </c>
      <c r="J131" s="882">
        <v>1.84</v>
      </c>
      <c r="K131" s="1423">
        <v>1.37</v>
      </c>
      <c r="L131" s="1422">
        <v>120</v>
      </c>
      <c r="M131" s="172">
        <f t="shared" si="64"/>
        <v>0.47</v>
      </c>
      <c r="N131" s="172">
        <v>0</v>
      </c>
      <c r="O131" s="880"/>
      <c r="P131" s="880">
        <f t="shared" si="65"/>
        <v>10.5</v>
      </c>
      <c r="Q131" s="172">
        <f t="shared" si="69"/>
        <v>10.029999999999999</v>
      </c>
      <c r="R131" s="2420"/>
      <c r="S131" s="2401"/>
      <c r="T131" s="2052" t="str">
        <f t="shared" si="36"/>
        <v>открыт</v>
      </c>
      <c r="U131" s="2399"/>
      <c r="V131" s="2399"/>
      <c r="W131" s="2399" t="s">
        <v>3034</v>
      </c>
      <c r="X131" s="912"/>
      <c r="Y131" s="2419"/>
      <c r="Z131" s="2456"/>
      <c r="AA131" s="212" t="s">
        <v>1768</v>
      </c>
      <c r="AB131" s="230">
        <f t="shared" si="37"/>
        <v>10</v>
      </c>
      <c r="AC131" s="229" t="str">
        <f t="shared" si="38"/>
        <v>+</v>
      </c>
      <c r="AD131" s="229">
        <f t="shared" si="39"/>
        <v>10</v>
      </c>
      <c r="AE131" s="229"/>
      <c r="AF131" s="228"/>
      <c r="AG131" s="212" t="str">
        <f t="shared" si="40"/>
        <v>10+10</v>
      </c>
      <c r="AH131" s="172">
        <v>0</v>
      </c>
      <c r="AI131" s="172">
        <f t="shared" si="33"/>
        <v>1.84</v>
      </c>
      <c r="AJ131" s="1973">
        <f t="shared" si="41"/>
        <v>1.37</v>
      </c>
      <c r="AK131" s="212">
        <f t="shared" si="42"/>
        <v>120</v>
      </c>
      <c r="AL131" s="172">
        <f t="shared" si="66"/>
        <v>0.47</v>
      </c>
      <c r="AM131" s="1973">
        <f t="shared" si="43"/>
        <v>0</v>
      </c>
      <c r="AN131" s="880">
        <f t="shared" si="67"/>
        <v>10.5</v>
      </c>
      <c r="AO131" s="172">
        <f t="shared" si="68"/>
        <v>10.029999999999999</v>
      </c>
      <c r="AP131" s="2406"/>
      <c r="AQ131" s="2399" t="str">
        <f t="shared" si="34"/>
        <v>открыт</v>
      </c>
      <c r="AR131" s="2052" t="str">
        <f t="shared" si="44"/>
        <v>открыт</v>
      </c>
      <c r="AS131" s="2453"/>
      <c r="AT131" s="937" t="s">
        <v>744</v>
      </c>
      <c r="AU131" s="1095">
        <v>1982</v>
      </c>
      <c r="AV131" s="1101" t="s">
        <v>3218</v>
      </c>
      <c r="AW131" s="1103">
        <v>57.8456706899387</v>
      </c>
      <c r="AX131" s="1103">
        <v>35.396921230622802</v>
      </c>
    </row>
    <row r="132" spans="1:50" ht="15" customHeight="1" x14ac:dyDescent="0.25">
      <c r="A132" s="2419"/>
      <c r="B132" s="2441"/>
      <c r="C132" s="212" t="s">
        <v>1767</v>
      </c>
      <c r="D132" s="230">
        <v>10</v>
      </c>
      <c r="E132" s="229" t="s">
        <v>773</v>
      </c>
      <c r="F132" s="229">
        <v>10</v>
      </c>
      <c r="G132" s="229"/>
      <c r="H132" s="228"/>
      <c r="I132" s="229" t="str">
        <f t="shared" si="35"/>
        <v>10+10</v>
      </c>
      <c r="J132" s="882">
        <v>0.43</v>
      </c>
      <c r="K132" s="1423">
        <v>0</v>
      </c>
      <c r="L132" s="1422">
        <v>120</v>
      </c>
      <c r="M132" s="172">
        <f t="shared" si="64"/>
        <v>0.43</v>
      </c>
      <c r="N132" s="172">
        <v>0</v>
      </c>
      <c r="O132" s="880"/>
      <c r="P132" s="880">
        <f t="shared" si="65"/>
        <v>10.5</v>
      </c>
      <c r="Q132" s="172">
        <f t="shared" si="69"/>
        <v>10.07</v>
      </c>
      <c r="R132" s="2420"/>
      <c r="S132" s="2402"/>
      <c r="T132" s="2052" t="str">
        <f t="shared" si="36"/>
        <v>открыт</v>
      </c>
      <c r="U132" s="2399"/>
      <c r="V132" s="2399"/>
      <c r="W132" s="2399" t="s">
        <v>3034</v>
      </c>
      <c r="X132" s="912"/>
      <c r="Y132" s="2419"/>
      <c r="Z132" s="2457"/>
      <c r="AA132" s="212" t="s">
        <v>1767</v>
      </c>
      <c r="AB132" s="230">
        <f t="shared" si="37"/>
        <v>10</v>
      </c>
      <c r="AC132" s="229" t="str">
        <f t="shared" si="38"/>
        <v>+</v>
      </c>
      <c r="AD132" s="229">
        <f t="shared" si="39"/>
        <v>10</v>
      </c>
      <c r="AE132" s="229"/>
      <c r="AF132" s="228"/>
      <c r="AG132" s="212" t="str">
        <f t="shared" si="40"/>
        <v>10+10</v>
      </c>
      <c r="AH132" s="172">
        <f>'Зона ВЭс'!L188</f>
        <v>1.016304347826087E-2</v>
      </c>
      <c r="AI132" s="172">
        <f t="shared" si="33"/>
        <v>0.44016304347826085</v>
      </c>
      <c r="AJ132" s="1973">
        <f t="shared" si="41"/>
        <v>0</v>
      </c>
      <c r="AK132" s="212">
        <f t="shared" si="42"/>
        <v>120</v>
      </c>
      <c r="AL132" s="172">
        <f t="shared" si="66"/>
        <v>0.44016304347826085</v>
      </c>
      <c r="AM132" s="1973">
        <f t="shared" si="43"/>
        <v>0</v>
      </c>
      <c r="AN132" s="880">
        <f t="shared" si="67"/>
        <v>10.5</v>
      </c>
      <c r="AO132" s="172">
        <f t="shared" si="68"/>
        <v>10.059836956521739</v>
      </c>
      <c r="AP132" s="2407"/>
      <c r="AQ132" s="2399" t="str">
        <f t="shared" si="34"/>
        <v>открыт</v>
      </c>
      <c r="AR132" s="2052" t="str">
        <f t="shared" si="44"/>
        <v>открыт</v>
      </c>
      <c r="AS132" s="2454"/>
      <c r="AT132" s="937" t="s">
        <v>744</v>
      </c>
      <c r="AU132" s="1095">
        <v>1982</v>
      </c>
      <c r="AV132" s="1101" t="s">
        <v>3218</v>
      </c>
      <c r="AW132" s="1103">
        <v>57.8456706899387</v>
      </c>
      <c r="AX132" s="1103">
        <v>35.396921230622802</v>
      </c>
    </row>
    <row r="133" spans="1:50" ht="15" customHeight="1" x14ac:dyDescent="0.25">
      <c r="A133" s="2419">
        <v>103</v>
      </c>
      <c r="B133" s="2419">
        <v>53</v>
      </c>
      <c r="C133" s="1693" t="s">
        <v>16804</v>
      </c>
      <c r="D133" s="230">
        <v>10</v>
      </c>
      <c r="E133" s="229" t="s">
        <v>773</v>
      </c>
      <c r="F133" s="229">
        <v>10</v>
      </c>
      <c r="G133" s="229"/>
      <c r="H133" s="228"/>
      <c r="I133" s="229" t="str">
        <f t="shared" si="35"/>
        <v>10+10</v>
      </c>
      <c r="J133" s="882">
        <v>3.8</v>
      </c>
      <c r="K133" s="1423">
        <v>1.08</v>
      </c>
      <c r="L133" s="1422">
        <v>120</v>
      </c>
      <c r="M133" s="172">
        <f t="shared" si="64"/>
        <v>2.7199999999999998</v>
      </c>
      <c r="N133" s="172">
        <v>0</v>
      </c>
      <c r="O133" s="880"/>
      <c r="P133" s="880">
        <f t="shared" si="65"/>
        <v>10.5</v>
      </c>
      <c r="Q133" s="172">
        <f t="shared" si="69"/>
        <v>7.78</v>
      </c>
      <c r="R133" s="2420">
        <f>MIN(Q133:Q135)</f>
        <v>7.78</v>
      </c>
      <c r="S133" s="2400" t="str">
        <f>T133</f>
        <v>открыт</v>
      </c>
      <c r="T133" s="2052" t="str">
        <f t="shared" si="36"/>
        <v>открыт</v>
      </c>
      <c r="U133" s="2398">
        <f>(J133*100)/P133</f>
        <v>36.19047619047619</v>
      </c>
      <c r="V133" s="2398"/>
      <c r="W133" s="2398" t="s">
        <v>3035</v>
      </c>
      <c r="X133" s="912"/>
      <c r="Y133" s="2419">
        <v>103</v>
      </c>
      <c r="Z133" s="2411">
        <v>53</v>
      </c>
      <c r="AA133" s="1693" t="s">
        <v>16804</v>
      </c>
      <c r="AB133" s="230">
        <f t="shared" si="37"/>
        <v>10</v>
      </c>
      <c r="AC133" s="229" t="str">
        <f t="shared" si="38"/>
        <v>+</v>
      </c>
      <c r="AD133" s="229">
        <f t="shared" si="39"/>
        <v>10</v>
      </c>
      <c r="AE133" s="229"/>
      <c r="AF133" s="228"/>
      <c r="AG133" s="212" t="str">
        <f t="shared" si="40"/>
        <v>10+10</v>
      </c>
      <c r="AH133" s="172">
        <f>SUM(AH134:AH135)</f>
        <v>0.15489130434782605</v>
      </c>
      <c r="AI133" s="172">
        <f t="shared" si="33"/>
        <v>3.954891304347826</v>
      </c>
      <c r="AJ133" s="1973">
        <f t="shared" si="41"/>
        <v>1.08</v>
      </c>
      <c r="AK133" s="212">
        <f t="shared" si="42"/>
        <v>120</v>
      </c>
      <c r="AL133" s="172">
        <f t="shared" si="66"/>
        <v>2.8748913043478259</v>
      </c>
      <c r="AM133" s="1973">
        <f t="shared" si="43"/>
        <v>0</v>
      </c>
      <c r="AN133" s="880">
        <f t="shared" si="67"/>
        <v>10.5</v>
      </c>
      <c r="AO133" s="172">
        <f t="shared" si="68"/>
        <v>7.6251086956521741</v>
      </c>
      <c r="AP133" s="2405">
        <f>MIN(AO133:AO135)</f>
        <v>7.6251086956521741</v>
      </c>
      <c r="AQ133" s="2398" t="str">
        <f>AR133</f>
        <v>открыт</v>
      </c>
      <c r="AR133" s="2052" t="str">
        <f t="shared" si="44"/>
        <v>открыт</v>
      </c>
      <c r="AS133" s="2452">
        <f>(AI133*100)/AN133</f>
        <v>37.665631469979296</v>
      </c>
      <c r="AT133" s="937" t="s">
        <v>744</v>
      </c>
      <c r="AU133" s="1095">
        <v>1972</v>
      </c>
      <c r="AV133" s="1101" t="s">
        <v>3218</v>
      </c>
      <c r="AW133" s="1103">
        <v>57.894637354718498</v>
      </c>
      <c r="AX133" s="1103">
        <v>33.661370068374403</v>
      </c>
    </row>
    <row r="134" spans="1:50" ht="15" customHeight="1" x14ac:dyDescent="0.25">
      <c r="A134" s="2419"/>
      <c r="B134" s="2419"/>
      <c r="C134" s="212" t="s">
        <v>1768</v>
      </c>
      <c r="D134" s="230">
        <v>10</v>
      </c>
      <c r="E134" s="229" t="s">
        <v>773</v>
      </c>
      <c r="F134" s="229">
        <v>10</v>
      </c>
      <c r="G134" s="229"/>
      <c r="H134" s="228"/>
      <c r="I134" s="229" t="str">
        <f t="shared" si="35"/>
        <v>10+10</v>
      </c>
      <c r="J134" s="882">
        <v>2.08</v>
      </c>
      <c r="K134" s="1423">
        <v>0</v>
      </c>
      <c r="L134" s="1422">
        <v>120</v>
      </c>
      <c r="M134" s="172">
        <f t="shared" si="64"/>
        <v>2.08</v>
      </c>
      <c r="N134" s="172">
        <v>0</v>
      </c>
      <c r="O134" s="880"/>
      <c r="P134" s="880">
        <f t="shared" si="65"/>
        <v>10.5</v>
      </c>
      <c r="Q134" s="172">
        <f t="shared" si="69"/>
        <v>8.42</v>
      </c>
      <c r="R134" s="2420"/>
      <c r="S134" s="2401"/>
      <c r="T134" s="2052" t="str">
        <f t="shared" si="36"/>
        <v>открыт</v>
      </c>
      <c r="U134" s="2399"/>
      <c r="V134" s="2399"/>
      <c r="W134" s="2399" t="s">
        <v>3034</v>
      </c>
      <c r="X134" s="912"/>
      <c r="Y134" s="2419"/>
      <c r="Z134" s="2411"/>
      <c r="AA134" s="212" t="s">
        <v>1768</v>
      </c>
      <c r="AB134" s="230">
        <f t="shared" si="37"/>
        <v>10</v>
      </c>
      <c r="AC134" s="229" t="str">
        <f t="shared" si="38"/>
        <v>+</v>
      </c>
      <c r="AD134" s="229">
        <f t="shared" si="39"/>
        <v>10</v>
      </c>
      <c r="AE134" s="229"/>
      <c r="AF134" s="228"/>
      <c r="AG134" s="212" t="str">
        <f t="shared" si="40"/>
        <v>10+10</v>
      </c>
      <c r="AH134" s="172">
        <f>SUM(AH85)</f>
        <v>0</v>
      </c>
      <c r="AI134" s="172">
        <f t="shared" si="33"/>
        <v>2.08</v>
      </c>
      <c r="AJ134" s="1973">
        <f t="shared" si="41"/>
        <v>0</v>
      </c>
      <c r="AK134" s="212">
        <f t="shared" si="42"/>
        <v>120</v>
      </c>
      <c r="AL134" s="172">
        <f t="shared" si="66"/>
        <v>2.08</v>
      </c>
      <c r="AM134" s="1973">
        <f t="shared" si="43"/>
        <v>0</v>
      </c>
      <c r="AN134" s="880">
        <f t="shared" si="67"/>
        <v>10.5</v>
      </c>
      <c r="AO134" s="172">
        <f t="shared" si="68"/>
        <v>8.42</v>
      </c>
      <c r="AP134" s="2406"/>
      <c r="AQ134" s="2399" t="str">
        <f t="shared" si="34"/>
        <v>открыт</v>
      </c>
      <c r="AR134" s="2052" t="str">
        <f t="shared" si="44"/>
        <v>открыт</v>
      </c>
      <c r="AS134" s="2453"/>
      <c r="AT134" s="937" t="s">
        <v>744</v>
      </c>
      <c r="AU134" s="1095">
        <v>1972</v>
      </c>
      <c r="AV134" s="1101" t="s">
        <v>3218</v>
      </c>
      <c r="AW134" s="1103">
        <v>57.894637354718498</v>
      </c>
      <c r="AX134" s="1103">
        <v>33.661370068374403</v>
      </c>
    </row>
    <row r="135" spans="1:50" ht="15" customHeight="1" x14ac:dyDescent="0.25">
      <c r="A135" s="2419"/>
      <c r="B135" s="2419"/>
      <c r="C135" s="212" t="s">
        <v>1767</v>
      </c>
      <c r="D135" s="230">
        <v>10</v>
      </c>
      <c r="E135" s="229" t="s">
        <v>773</v>
      </c>
      <c r="F135" s="229">
        <v>10</v>
      </c>
      <c r="G135" s="229"/>
      <c r="H135" s="228"/>
      <c r="I135" s="229" t="str">
        <f t="shared" si="35"/>
        <v>10+10</v>
      </c>
      <c r="J135" s="882">
        <v>1.72</v>
      </c>
      <c r="K135" s="1423">
        <v>1.08</v>
      </c>
      <c r="L135" s="1422">
        <v>120</v>
      </c>
      <c r="M135" s="172">
        <f t="shared" si="64"/>
        <v>0.6399999999999999</v>
      </c>
      <c r="N135" s="172">
        <v>0</v>
      </c>
      <c r="O135" s="880"/>
      <c r="P135" s="880">
        <f t="shared" si="65"/>
        <v>10.5</v>
      </c>
      <c r="Q135" s="172">
        <f t="shared" si="69"/>
        <v>9.86</v>
      </c>
      <c r="R135" s="2420"/>
      <c r="S135" s="2402"/>
      <c r="T135" s="2052" t="str">
        <f t="shared" si="36"/>
        <v>открыт</v>
      </c>
      <c r="U135" s="2399"/>
      <c r="V135" s="2399"/>
      <c r="W135" s="2399" t="s">
        <v>3034</v>
      </c>
      <c r="X135" s="912"/>
      <c r="Y135" s="2419"/>
      <c r="Z135" s="2411"/>
      <c r="AA135" s="212" t="s">
        <v>1767</v>
      </c>
      <c r="AB135" s="230">
        <f t="shared" si="37"/>
        <v>10</v>
      </c>
      <c r="AC135" s="229" t="str">
        <f t="shared" si="38"/>
        <v>+</v>
      </c>
      <c r="AD135" s="229">
        <f t="shared" si="39"/>
        <v>10</v>
      </c>
      <c r="AE135" s="229"/>
      <c r="AF135" s="228"/>
      <c r="AG135" s="212" t="str">
        <f t="shared" si="40"/>
        <v>10+10</v>
      </c>
      <c r="AH135" s="172">
        <f>'Зона ВЭс'!L192</f>
        <v>0.15489130434782605</v>
      </c>
      <c r="AI135" s="172">
        <f t="shared" si="33"/>
        <v>1.8748913043478259</v>
      </c>
      <c r="AJ135" s="1973">
        <f t="shared" si="41"/>
        <v>1.08</v>
      </c>
      <c r="AK135" s="212">
        <f t="shared" si="42"/>
        <v>120</v>
      </c>
      <c r="AL135" s="172">
        <f t="shared" si="66"/>
        <v>0.79489130434782584</v>
      </c>
      <c r="AM135" s="1973">
        <f t="shared" si="43"/>
        <v>0</v>
      </c>
      <c r="AN135" s="880">
        <f t="shared" si="67"/>
        <v>10.5</v>
      </c>
      <c r="AO135" s="172">
        <f t="shared" si="68"/>
        <v>9.705108695652175</v>
      </c>
      <c r="AP135" s="2407"/>
      <c r="AQ135" s="2399" t="str">
        <f t="shared" si="34"/>
        <v>открыт</v>
      </c>
      <c r="AR135" s="2052" t="str">
        <f t="shared" si="44"/>
        <v>открыт</v>
      </c>
      <c r="AS135" s="2454"/>
      <c r="AT135" s="937" t="s">
        <v>744</v>
      </c>
      <c r="AU135" s="1095">
        <v>1972</v>
      </c>
      <c r="AV135" s="1101" t="s">
        <v>3218</v>
      </c>
      <c r="AW135" s="1103">
        <v>57.894637354718498</v>
      </c>
      <c r="AX135" s="1103">
        <v>33.661370068374403</v>
      </c>
    </row>
    <row r="136" spans="1:50" ht="15" customHeight="1" x14ac:dyDescent="0.25">
      <c r="A136" s="2419">
        <v>104</v>
      </c>
      <c r="B136" s="2419">
        <v>54</v>
      </c>
      <c r="C136" s="212" t="s">
        <v>987</v>
      </c>
      <c r="D136" s="230">
        <v>40</v>
      </c>
      <c r="E136" s="229" t="s">
        <v>773</v>
      </c>
      <c r="F136" s="229">
        <v>40</v>
      </c>
      <c r="G136" s="229"/>
      <c r="H136" s="228"/>
      <c r="I136" s="229" t="str">
        <f t="shared" si="35"/>
        <v>40+40</v>
      </c>
      <c r="J136" s="882">
        <v>23.32</v>
      </c>
      <c r="K136" s="1423">
        <v>0</v>
      </c>
      <c r="L136" s="1422">
        <v>120</v>
      </c>
      <c r="M136" s="172">
        <f t="shared" si="64"/>
        <v>23.32</v>
      </c>
      <c r="N136" s="172">
        <v>0</v>
      </c>
      <c r="O136" s="880"/>
      <c r="P136" s="880">
        <f t="shared" si="65"/>
        <v>42</v>
      </c>
      <c r="Q136" s="172">
        <f t="shared" si="69"/>
        <v>18.68</v>
      </c>
      <c r="R136" s="2420">
        <f>MIN(Q136:Q138)</f>
        <v>18.68</v>
      </c>
      <c r="S136" s="2400" t="str">
        <f t="shared" si="47"/>
        <v>открыт</v>
      </c>
      <c r="T136" s="2052" t="str">
        <f t="shared" si="36"/>
        <v>открыт</v>
      </c>
      <c r="U136" s="2398">
        <f>(J136*100)/P136</f>
        <v>55.523809523809526</v>
      </c>
      <c r="V136" s="2398">
        <v>0.5</v>
      </c>
      <c r="W136" s="2398" t="s">
        <v>3035</v>
      </c>
      <c r="X136" s="912"/>
      <c r="Y136" s="2419">
        <v>104</v>
      </c>
      <c r="Z136" s="2411">
        <v>54</v>
      </c>
      <c r="AA136" s="212" t="s">
        <v>987</v>
      </c>
      <c r="AB136" s="230">
        <f t="shared" si="37"/>
        <v>40</v>
      </c>
      <c r="AC136" s="229" t="str">
        <f t="shared" si="38"/>
        <v>+</v>
      </c>
      <c r="AD136" s="229">
        <f t="shared" si="39"/>
        <v>40</v>
      </c>
      <c r="AE136" s="229"/>
      <c r="AF136" s="228"/>
      <c r="AG136" s="212" t="str">
        <f t="shared" si="40"/>
        <v>40+40</v>
      </c>
      <c r="AH136" s="172">
        <f>SUM(AH137:AH138)</f>
        <v>0.50575000000000003</v>
      </c>
      <c r="AI136" s="172">
        <f t="shared" si="33"/>
        <v>23.825749999999999</v>
      </c>
      <c r="AJ136" s="1973">
        <f t="shared" si="41"/>
        <v>0</v>
      </c>
      <c r="AK136" s="212">
        <f t="shared" si="42"/>
        <v>120</v>
      </c>
      <c r="AL136" s="172">
        <f t="shared" si="66"/>
        <v>23.825749999999999</v>
      </c>
      <c r="AM136" s="1973">
        <f t="shared" si="43"/>
        <v>0</v>
      </c>
      <c r="AN136" s="880">
        <f t="shared" si="67"/>
        <v>42</v>
      </c>
      <c r="AO136" s="172">
        <f t="shared" si="68"/>
        <v>18.174250000000001</v>
      </c>
      <c r="AP136" s="2405">
        <f>MIN(AO136:AO138)</f>
        <v>18.174250000000001</v>
      </c>
      <c r="AQ136" s="2398" t="str">
        <f>AR136</f>
        <v>открыт</v>
      </c>
      <c r="AR136" s="2052" t="str">
        <f t="shared" si="44"/>
        <v>открыт</v>
      </c>
      <c r="AS136" s="2452">
        <f>(AI136*100)/AN136</f>
        <v>56.727976190476184</v>
      </c>
      <c r="AT136" s="937" t="s">
        <v>744</v>
      </c>
      <c r="AU136" s="1095">
        <v>1957</v>
      </c>
      <c r="AV136" s="1101" t="s">
        <v>3218</v>
      </c>
      <c r="AW136" s="1103">
        <v>57.600507797324703</v>
      </c>
      <c r="AX136" s="1103">
        <v>34.507950699587497</v>
      </c>
    </row>
    <row r="137" spans="1:50" ht="15" customHeight="1" x14ac:dyDescent="0.25">
      <c r="A137" s="2419"/>
      <c r="B137" s="2419"/>
      <c r="C137" s="212" t="s">
        <v>1768</v>
      </c>
      <c r="D137" s="230">
        <v>40</v>
      </c>
      <c r="E137" s="229" t="s">
        <v>773</v>
      </c>
      <c r="F137" s="229">
        <v>40</v>
      </c>
      <c r="G137" s="229"/>
      <c r="H137" s="228"/>
      <c r="I137" s="229" t="str">
        <f t="shared" si="35"/>
        <v>40+40</v>
      </c>
      <c r="J137" s="882">
        <v>17.86</v>
      </c>
      <c r="K137" s="1423">
        <v>0</v>
      </c>
      <c r="L137" s="1422">
        <v>120</v>
      </c>
      <c r="M137" s="172">
        <f t="shared" si="64"/>
        <v>17.86</v>
      </c>
      <c r="N137" s="172">
        <v>0</v>
      </c>
      <c r="O137" s="880"/>
      <c r="P137" s="880">
        <f t="shared" si="65"/>
        <v>42</v>
      </c>
      <c r="Q137" s="172">
        <f t="shared" si="69"/>
        <v>24.14</v>
      </c>
      <c r="R137" s="2420"/>
      <c r="S137" s="2401"/>
      <c r="T137" s="2052" t="str">
        <f t="shared" si="36"/>
        <v>открыт</v>
      </c>
      <c r="U137" s="2399"/>
      <c r="V137" s="2399"/>
      <c r="W137" s="2399" t="s">
        <v>3034</v>
      </c>
      <c r="X137" s="912"/>
      <c r="Y137" s="2419"/>
      <c r="Z137" s="2411"/>
      <c r="AA137" s="212" t="s">
        <v>1768</v>
      </c>
      <c r="AB137" s="230">
        <f t="shared" si="37"/>
        <v>40</v>
      </c>
      <c r="AC137" s="229" t="str">
        <f t="shared" si="38"/>
        <v>+</v>
      </c>
      <c r="AD137" s="229">
        <f t="shared" si="39"/>
        <v>40</v>
      </c>
      <c r="AE137" s="229"/>
      <c r="AF137" s="228"/>
      <c r="AG137" s="212" t="str">
        <f t="shared" si="40"/>
        <v>40+40</v>
      </c>
      <c r="AH137" s="172">
        <f>SUM(AH88+AH128+AH125+AH120+AH101+AH102+AH111+AH116+AH124+AH83+AH114)</f>
        <v>0.50575000000000003</v>
      </c>
      <c r="AI137" s="172">
        <f t="shared" ref="AI137:AI200" si="70">AH137+J137</f>
        <v>18.365749999999998</v>
      </c>
      <c r="AJ137" s="1973">
        <f t="shared" si="41"/>
        <v>0</v>
      </c>
      <c r="AK137" s="212">
        <f t="shared" si="42"/>
        <v>120</v>
      </c>
      <c r="AL137" s="172">
        <f t="shared" si="66"/>
        <v>18.365749999999998</v>
      </c>
      <c r="AM137" s="1973">
        <f t="shared" si="43"/>
        <v>0</v>
      </c>
      <c r="AN137" s="880">
        <f t="shared" si="67"/>
        <v>42</v>
      </c>
      <c r="AO137" s="172">
        <f t="shared" si="68"/>
        <v>23.634250000000002</v>
      </c>
      <c r="AP137" s="2406"/>
      <c r="AQ137" s="2399" t="str">
        <f t="shared" ref="AQ137:AQ200" si="71">AR137</f>
        <v>открыт</v>
      </c>
      <c r="AR137" s="2052" t="str">
        <f t="shared" si="44"/>
        <v>открыт</v>
      </c>
      <c r="AS137" s="2453"/>
      <c r="AT137" s="937" t="s">
        <v>744</v>
      </c>
      <c r="AU137" s="1095">
        <v>1957</v>
      </c>
      <c r="AV137" s="1101" t="s">
        <v>3218</v>
      </c>
      <c r="AW137" s="1103">
        <v>57.600507797324703</v>
      </c>
      <c r="AX137" s="1103">
        <v>34.507950699587497</v>
      </c>
    </row>
    <row r="138" spans="1:50" ht="15" customHeight="1" x14ac:dyDescent="0.25">
      <c r="A138" s="2419"/>
      <c r="B138" s="2419"/>
      <c r="C138" s="212" t="s">
        <v>1767</v>
      </c>
      <c r="D138" s="230">
        <v>40</v>
      </c>
      <c r="E138" s="229" t="s">
        <v>773</v>
      </c>
      <c r="F138" s="229">
        <v>40</v>
      </c>
      <c r="G138" s="229"/>
      <c r="H138" s="228"/>
      <c r="I138" s="229" t="str">
        <f t="shared" ref="I138:I201" si="72">CONCATENATE(D138,E138,F138,G138,H138)</f>
        <v>40+40</v>
      </c>
      <c r="J138" s="882">
        <v>5.46</v>
      </c>
      <c r="K138" s="1423">
        <v>0</v>
      </c>
      <c r="L138" s="1422">
        <v>120</v>
      </c>
      <c r="M138" s="172">
        <f t="shared" si="64"/>
        <v>5.46</v>
      </c>
      <c r="N138" s="172">
        <v>0</v>
      </c>
      <c r="O138" s="880"/>
      <c r="P138" s="880">
        <f t="shared" si="65"/>
        <v>42</v>
      </c>
      <c r="Q138" s="172">
        <f t="shared" si="69"/>
        <v>36.54</v>
      </c>
      <c r="R138" s="2420"/>
      <c r="S138" s="2402"/>
      <c r="T138" s="2052" t="str">
        <f t="shared" ref="T138:T201" si="73">IF(AND(F138&lt;&gt;0,R138&lt;0),"закрыт",IF(AND(F138=0,R138&lt;0),"закрыт","открыт"))</f>
        <v>открыт</v>
      </c>
      <c r="U138" s="2399"/>
      <c r="V138" s="2399"/>
      <c r="W138" s="2399" t="s">
        <v>3034</v>
      </c>
      <c r="X138" s="912"/>
      <c r="Y138" s="2419"/>
      <c r="Z138" s="2411"/>
      <c r="AA138" s="212" t="s">
        <v>1767</v>
      </c>
      <c r="AB138" s="230">
        <f t="shared" ref="AB138:AB201" si="74">D138</f>
        <v>40</v>
      </c>
      <c r="AC138" s="229" t="str">
        <f t="shared" ref="AC138:AC201" si="75">E138</f>
        <v>+</v>
      </c>
      <c r="AD138" s="229">
        <f t="shared" ref="AD138:AD201" si="76">F138</f>
        <v>40</v>
      </c>
      <c r="AE138" s="229"/>
      <c r="AF138" s="228"/>
      <c r="AG138" s="212" t="str">
        <f t="shared" ref="AG138:AG201" si="77">CONCATENATE(AB138,AC138,AD138,AE138,AF138)</f>
        <v>40+40</v>
      </c>
      <c r="AH138" s="172">
        <f>'Зона ВЭс'!L196</f>
        <v>0</v>
      </c>
      <c r="AI138" s="172">
        <f t="shared" si="70"/>
        <v>5.46</v>
      </c>
      <c r="AJ138" s="1973">
        <f t="shared" ref="AJ138:AJ201" si="78">K138</f>
        <v>0</v>
      </c>
      <c r="AK138" s="212">
        <f t="shared" ref="AK138:AK201" si="79">L138</f>
        <v>120</v>
      </c>
      <c r="AL138" s="172">
        <f t="shared" si="66"/>
        <v>5.46</v>
      </c>
      <c r="AM138" s="1973">
        <f t="shared" ref="AM138:AM201" si="80">N138</f>
        <v>0</v>
      </c>
      <c r="AN138" s="880">
        <f t="shared" si="67"/>
        <v>42</v>
      </c>
      <c r="AO138" s="172">
        <f t="shared" si="68"/>
        <v>36.54</v>
      </c>
      <c r="AP138" s="2407"/>
      <c r="AQ138" s="2399" t="str">
        <f t="shared" si="71"/>
        <v>открыт</v>
      </c>
      <c r="AR138" s="2052" t="str">
        <f t="shared" ref="AR138:AR201" si="81">IF(AND(AD138&lt;&gt;0,AP138&lt;0),"закрыт",IF(AND(AD138=0,AP138&lt;0),"закрыт","открыт"))</f>
        <v>открыт</v>
      </c>
      <c r="AS138" s="2454"/>
      <c r="AT138" s="937" t="s">
        <v>744</v>
      </c>
      <c r="AU138" s="1095">
        <v>1957</v>
      </c>
      <c r="AV138" s="1101" t="s">
        <v>3218</v>
      </c>
      <c r="AW138" s="1103">
        <v>57.600507797324703</v>
      </c>
      <c r="AX138" s="1103">
        <v>34.507950699587497</v>
      </c>
    </row>
    <row r="139" spans="1:50" ht="15" customHeight="1" x14ac:dyDescent="0.25">
      <c r="A139" s="2423">
        <v>105</v>
      </c>
      <c r="B139" s="2423">
        <v>55</v>
      </c>
      <c r="C139" s="212" t="s">
        <v>988</v>
      </c>
      <c r="D139" s="230">
        <v>25</v>
      </c>
      <c r="E139" s="229" t="s">
        <v>773</v>
      </c>
      <c r="F139" s="229">
        <v>20</v>
      </c>
      <c r="G139" s="229"/>
      <c r="H139" s="228"/>
      <c r="I139" s="229" t="str">
        <f t="shared" si="72"/>
        <v>25+20</v>
      </c>
      <c r="J139" s="882">
        <v>11.77</v>
      </c>
      <c r="K139" s="1423">
        <v>3.34</v>
      </c>
      <c r="L139" s="1422">
        <v>120</v>
      </c>
      <c r="M139" s="172">
        <f t="shared" si="64"/>
        <v>8.43</v>
      </c>
      <c r="N139" s="172">
        <v>0</v>
      </c>
      <c r="O139" s="880"/>
      <c r="P139" s="880">
        <f t="shared" si="65"/>
        <v>21</v>
      </c>
      <c r="Q139" s="172">
        <f t="shared" si="69"/>
        <v>12.57</v>
      </c>
      <c r="R139" s="2405">
        <f>MIN(Q139:Q141)</f>
        <v>12.57</v>
      </c>
      <c r="S139" s="2400" t="str">
        <f t="shared" ref="S139:S198" si="82">T139</f>
        <v>открыт</v>
      </c>
      <c r="T139" s="2052" t="str">
        <f t="shared" si="73"/>
        <v>открыт</v>
      </c>
      <c r="U139" s="2400">
        <f>(J139*100)/P139</f>
        <v>56.047619047619051</v>
      </c>
      <c r="V139" s="2400"/>
      <c r="W139" s="2400" t="s">
        <v>3035</v>
      </c>
      <c r="X139" s="912"/>
      <c r="Y139" s="2423">
        <v>105</v>
      </c>
      <c r="Z139" s="2423">
        <v>55</v>
      </c>
      <c r="AA139" s="212" t="s">
        <v>988</v>
      </c>
      <c r="AB139" s="230">
        <f t="shared" si="74"/>
        <v>25</v>
      </c>
      <c r="AC139" s="229" t="str">
        <f t="shared" si="75"/>
        <v>+</v>
      </c>
      <c r="AD139" s="229">
        <f t="shared" si="76"/>
        <v>20</v>
      </c>
      <c r="AE139" s="229"/>
      <c r="AF139" s="228"/>
      <c r="AG139" s="212" t="str">
        <f t="shared" si="77"/>
        <v>25+20</v>
      </c>
      <c r="AH139" s="172">
        <f>SUM(AH140:AH141)</f>
        <v>0.78260869565217395</v>
      </c>
      <c r="AI139" s="172">
        <f t="shared" si="70"/>
        <v>12.552608695652173</v>
      </c>
      <c r="AJ139" s="1973">
        <f t="shared" si="78"/>
        <v>3.34</v>
      </c>
      <c r="AK139" s="212">
        <f t="shared" si="79"/>
        <v>120</v>
      </c>
      <c r="AL139" s="172">
        <f t="shared" si="66"/>
        <v>9.2126086956521736</v>
      </c>
      <c r="AM139" s="1973">
        <f t="shared" si="80"/>
        <v>0</v>
      </c>
      <c r="AN139" s="880">
        <f t="shared" si="67"/>
        <v>21</v>
      </c>
      <c r="AO139" s="172">
        <f t="shared" si="68"/>
        <v>11.787391304347826</v>
      </c>
      <c r="AP139" s="2405">
        <f>MIN(AO139:AO141)</f>
        <v>11.787391304347826</v>
      </c>
      <c r="AQ139" s="2400" t="str">
        <f t="shared" si="71"/>
        <v>открыт</v>
      </c>
      <c r="AR139" s="2052" t="str">
        <f t="shared" si="81"/>
        <v>открыт</v>
      </c>
      <c r="AS139" s="2452">
        <f>(AI139*100)/AN139</f>
        <v>59.774327122153203</v>
      </c>
      <c r="AT139" s="937" t="s">
        <v>744</v>
      </c>
      <c r="AU139" s="1095">
        <v>1974</v>
      </c>
      <c r="AV139" s="1101" t="s">
        <v>3218</v>
      </c>
      <c r="AW139" s="1103">
        <v>57.561058143833897</v>
      </c>
      <c r="AX139" s="1103">
        <v>34.552623945873101</v>
      </c>
    </row>
    <row r="140" spans="1:50" ht="15" customHeight="1" x14ac:dyDescent="0.25">
      <c r="A140" s="2440"/>
      <c r="B140" s="2440"/>
      <c r="C140" s="212" t="s">
        <v>1768</v>
      </c>
      <c r="D140" s="230">
        <v>25</v>
      </c>
      <c r="E140" s="229" t="s">
        <v>773</v>
      </c>
      <c r="F140" s="229">
        <v>20</v>
      </c>
      <c r="G140" s="229"/>
      <c r="H140" s="228"/>
      <c r="I140" s="229" t="str">
        <f t="shared" si="72"/>
        <v>25+20</v>
      </c>
      <c r="J140" s="882">
        <v>6.81</v>
      </c>
      <c r="K140" s="1423">
        <v>0</v>
      </c>
      <c r="L140" s="1422">
        <v>120</v>
      </c>
      <c r="M140" s="172">
        <f t="shared" si="64"/>
        <v>6.81</v>
      </c>
      <c r="N140" s="172">
        <v>0</v>
      </c>
      <c r="O140" s="880"/>
      <c r="P140" s="880">
        <f t="shared" si="65"/>
        <v>21</v>
      </c>
      <c r="Q140" s="172">
        <f t="shared" si="69"/>
        <v>14.190000000000001</v>
      </c>
      <c r="R140" s="2406"/>
      <c r="S140" s="2401"/>
      <c r="T140" s="2052" t="str">
        <f t="shared" si="73"/>
        <v>открыт</v>
      </c>
      <c r="U140" s="2401"/>
      <c r="V140" s="2401"/>
      <c r="W140" s="2401" t="s">
        <v>3035</v>
      </c>
      <c r="X140" s="912"/>
      <c r="Y140" s="2440"/>
      <c r="Z140" s="2440"/>
      <c r="AA140" s="212" t="s">
        <v>1768</v>
      </c>
      <c r="AB140" s="230">
        <f t="shared" si="74"/>
        <v>25</v>
      </c>
      <c r="AC140" s="229" t="str">
        <f t="shared" si="75"/>
        <v>+</v>
      </c>
      <c r="AD140" s="229">
        <f t="shared" si="76"/>
        <v>20</v>
      </c>
      <c r="AE140" s="229"/>
      <c r="AF140" s="228"/>
      <c r="AG140" s="212" t="str">
        <f t="shared" si="77"/>
        <v>25+20</v>
      </c>
      <c r="AH140" s="172">
        <f>SUM(AH117+AH104)</f>
        <v>0.78260869565217395</v>
      </c>
      <c r="AI140" s="172">
        <f t="shared" si="70"/>
        <v>7.5926086956521734</v>
      </c>
      <c r="AJ140" s="1973">
        <f t="shared" si="78"/>
        <v>0</v>
      </c>
      <c r="AK140" s="212">
        <f t="shared" si="79"/>
        <v>120</v>
      </c>
      <c r="AL140" s="172">
        <f t="shared" si="66"/>
        <v>7.5926086956521734</v>
      </c>
      <c r="AM140" s="1973">
        <f t="shared" si="80"/>
        <v>0</v>
      </c>
      <c r="AN140" s="880">
        <f t="shared" si="67"/>
        <v>21</v>
      </c>
      <c r="AO140" s="172">
        <f t="shared" si="68"/>
        <v>13.407391304347826</v>
      </c>
      <c r="AP140" s="2406"/>
      <c r="AQ140" s="2401" t="str">
        <f t="shared" si="71"/>
        <v>открыт</v>
      </c>
      <c r="AR140" s="2052" t="str">
        <f t="shared" si="81"/>
        <v>открыт</v>
      </c>
      <c r="AS140" s="2453"/>
      <c r="AT140" s="937" t="s">
        <v>744</v>
      </c>
      <c r="AU140" s="1095">
        <v>1974</v>
      </c>
      <c r="AV140" s="1101" t="s">
        <v>3218</v>
      </c>
      <c r="AW140" s="1103">
        <v>57.561058143833897</v>
      </c>
      <c r="AX140" s="1103">
        <v>34.552623945873101</v>
      </c>
    </row>
    <row r="141" spans="1:50" ht="15" customHeight="1" x14ac:dyDescent="0.25">
      <c r="A141" s="2441"/>
      <c r="B141" s="2441"/>
      <c r="C141" s="212" t="s">
        <v>1767</v>
      </c>
      <c r="D141" s="230">
        <v>25</v>
      </c>
      <c r="E141" s="229" t="s">
        <v>773</v>
      </c>
      <c r="F141" s="229">
        <v>20</v>
      </c>
      <c r="G141" s="229"/>
      <c r="H141" s="228"/>
      <c r="I141" s="229" t="str">
        <f t="shared" si="72"/>
        <v>25+20</v>
      </c>
      <c r="J141" s="882">
        <v>4.96</v>
      </c>
      <c r="K141" s="1423">
        <v>3.34</v>
      </c>
      <c r="L141" s="1422">
        <v>120</v>
      </c>
      <c r="M141" s="172">
        <f t="shared" si="64"/>
        <v>1.62</v>
      </c>
      <c r="N141" s="172">
        <v>0</v>
      </c>
      <c r="O141" s="880"/>
      <c r="P141" s="880">
        <f t="shared" si="65"/>
        <v>21</v>
      </c>
      <c r="Q141" s="172">
        <f t="shared" si="69"/>
        <v>19.38</v>
      </c>
      <c r="R141" s="2407"/>
      <c r="S141" s="2402"/>
      <c r="T141" s="2052" t="str">
        <f t="shared" si="73"/>
        <v>открыт</v>
      </c>
      <c r="U141" s="2402"/>
      <c r="V141" s="2402"/>
      <c r="W141" s="2402" t="s">
        <v>3034</v>
      </c>
      <c r="X141" s="912"/>
      <c r="Y141" s="2441"/>
      <c r="Z141" s="2441"/>
      <c r="AA141" s="212" t="s">
        <v>1767</v>
      </c>
      <c r="AB141" s="230">
        <f t="shared" si="74"/>
        <v>25</v>
      </c>
      <c r="AC141" s="229" t="str">
        <f t="shared" si="75"/>
        <v>+</v>
      </c>
      <c r="AD141" s="229">
        <f t="shared" si="76"/>
        <v>20</v>
      </c>
      <c r="AE141" s="229"/>
      <c r="AF141" s="228"/>
      <c r="AG141" s="212" t="str">
        <f t="shared" si="77"/>
        <v>25+20</v>
      </c>
      <c r="AH141" s="172">
        <f>'Зона ВЭс'!L199</f>
        <v>0</v>
      </c>
      <c r="AI141" s="172">
        <f t="shared" si="70"/>
        <v>4.96</v>
      </c>
      <c r="AJ141" s="1973">
        <f t="shared" si="78"/>
        <v>3.34</v>
      </c>
      <c r="AK141" s="212">
        <f t="shared" si="79"/>
        <v>120</v>
      </c>
      <c r="AL141" s="172">
        <f t="shared" si="66"/>
        <v>1.62</v>
      </c>
      <c r="AM141" s="1973">
        <f t="shared" si="80"/>
        <v>0</v>
      </c>
      <c r="AN141" s="880">
        <f t="shared" si="67"/>
        <v>21</v>
      </c>
      <c r="AO141" s="172">
        <f t="shared" si="68"/>
        <v>19.38</v>
      </c>
      <c r="AP141" s="2407"/>
      <c r="AQ141" s="2402" t="str">
        <f t="shared" si="71"/>
        <v>открыт</v>
      </c>
      <c r="AR141" s="2052" t="str">
        <f t="shared" si="81"/>
        <v>открыт</v>
      </c>
      <c r="AS141" s="2454"/>
      <c r="AT141" s="937" t="s">
        <v>744</v>
      </c>
      <c r="AU141" s="1095">
        <v>1974</v>
      </c>
      <c r="AV141" s="1101" t="s">
        <v>3218</v>
      </c>
      <c r="AW141" s="1103">
        <v>57.561058143833897</v>
      </c>
      <c r="AX141" s="1103">
        <v>34.552623945873101</v>
      </c>
    </row>
    <row r="142" spans="1:50" ht="15" customHeight="1" x14ac:dyDescent="0.25">
      <c r="A142" s="2419">
        <v>106</v>
      </c>
      <c r="B142" s="2419">
        <v>56</v>
      </c>
      <c r="C142" s="212" t="s">
        <v>989</v>
      </c>
      <c r="D142" s="230">
        <v>16</v>
      </c>
      <c r="E142" s="229" t="s">
        <v>773</v>
      </c>
      <c r="F142" s="229">
        <v>16</v>
      </c>
      <c r="G142" s="229"/>
      <c r="H142" s="228"/>
      <c r="I142" s="229" t="str">
        <f t="shared" si="72"/>
        <v>16+16</v>
      </c>
      <c r="J142" s="882">
        <v>2.44</v>
      </c>
      <c r="K142" s="1423">
        <v>0</v>
      </c>
      <c r="L142" s="1422">
        <v>120</v>
      </c>
      <c r="M142" s="172">
        <f t="shared" si="64"/>
        <v>2.44</v>
      </c>
      <c r="N142" s="172">
        <v>0</v>
      </c>
      <c r="O142" s="880"/>
      <c r="P142" s="880">
        <f t="shared" si="65"/>
        <v>16.8</v>
      </c>
      <c r="Q142" s="172">
        <f t="shared" si="69"/>
        <v>14.360000000000001</v>
      </c>
      <c r="R142" s="2420">
        <f>MIN(Q142:Q144)</f>
        <v>14.360000000000001</v>
      </c>
      <c r="S142" s="2400" t="str">
        <f t="shared" si="82"/>
        <v>открыт</v>
      </c>
      <c r="T142" s="2052" t="str">
        <f t="shared" si="73"/>
        <v>открыт</v>
      </c>
      <c r="U142" s="2398">
        <f>(J142*100)/P142</f>
        <v>14.523809523809524</v>
      </c>
      <c r="V142" s="2398">
        <v>0.4</v>
      </c>
      <c r="W142" s="2398" t="s">
        <v>3034</v>
      </c>
      <c r="X142" s="912"/>
      <c r="Y142" s="2419">
        <v>106</v>
      </c>
      <c r="Z142" s="2411">
        <v>56</v>
      </c>
      <c r="AA142" s="212" t="s">
        <v>989</v>
      </c>
      <c r="AB142" s="230">
        <f t="shared" si="74"/>
        <v>16</v>
      </c>
      <c r="AC142" s="229" t="str">
        <f t="shared" si="75"/>
        <v>+</v>
      </c>
      <c r="AD142" s="229">
        <f t="shared" si="76"/>
        <v>16</v>
      </c>
      <c r="AE142" s="229"/>
      <c r="AF142" s="228"/>
      <c r="AG142" s="212" t="str">
        <f t="shared" si="77"/>
        <v>16+16</v>
      </c>
      <c r="AH142" s="172">
        <f>SUM(AH143:AH144)</f>
        <v>0.12228260869565216</v>
      </c>
      <c r="AI142" s="172">
        <f t="shared" si="70"/>
        <v>2.5622826086956523</v>
      </c>
      <c r="AJ142" s="1973">
        <f t="shared" si="78"/>
        <v>0</v>
      </c>
      <c r="AK142" s="212">
        <f t="shared" si="79"/>
        <v>120</v>
      </c>
      <c r="AL142" s="172">
        <f t="shared" si="66"/>
        <v>2.5622826086956523</v>
      </c>
      <c r="AM142" s="1973">
        <f t="shared" si="80"/>
        <v>0</v>
      </c>
      <c r="AN142" s="880">
        <f t="shared" si="67"/>
        <v>16.8</v>
      </c>
      <c r="AO142" s="172">
        <f t="shared" si="68"/>
        <v>14.237717391304349</v>
      </c>
      <c r="AP142" s="2405">
        <f>MIN(AO142:AO144)</f>
        <v>14.237717391304349</v>
      </c>
      <c r="AQ142" s="2398" t="str">
        <f t="shared" si="71"/>
        <v>открыт</v>
      </c>
      <c r="AR142" s="2052" t="str">
        <f t="shared" si="81"/>
        <v>открыт</v>
      </c>
      <c r="AS142" s="2452">
        <f>(AI142*100)/AN142</f>
        <v>15.251682194616979</v>
      </c>
      <c r="AT142" s="937" t="s">
        <v>744</v>
      </c>
      <c r="AU142" s="1095">
        <v>1989</v>
      </c>
      <c r="AV142" s="1101" t="s">
        <v>3218</v>
      </c>
      <c r="AW142" s="1103">
        <v>57.424520442148101</v>
      </c>
      <c r="AX142" s="1103">
        <v>35.000676085974902</v>
      </c>
    </row>
    <row r="143" spans="1:50" ht="15" customHeight="1" x14ac:dyDescent="0.25">
      <c r="A143" s="2419"/>
      <c r="B143" s="2419"/>
      <c r="C143" s="212" t="s">
        <v>1768</v>
      </c>
      <c r="D143" s="230">
        <v>16</v>
      </c>
      <c r="E143" s="229" t="s">
        <v>773</v>
      </c>
      <c r="F143" s="229">
        <v>16</v>
      </c>
      <c r="G143" s="229"/>
      <c r="H143" s="228"/>
      <c r="I143" s="229" t="str">
        <f t="shared" si="72"/>
        <v>16+16</v>
      </c>
      <c r="J143" s="882">
        <v>0.99</v>
      </c>
      <c r="K143" s="1423">
        <v>0</v>
      </c>
      <c r="L143" s="1422">
        <v>120</v>
      </c>
      <c r="M143" s="172">
        <f t="shared" si="64"/>
        <v>0.99</v>
      </c>
      <c r="N143" s="172">
        <v>0</v>
      </c>
      <c r="O143" s="880"/>
      <c r="P143" s="880">
        <f t="shared" si="65"/>
        <v>16.8</v>
      </c>
      <c r="Q143" s="172">
        <f t="shared" si="69"/>
        <v>15.81</v>
      </c>
      <c r="R143" s="2420"/>
      <c r="S143" s="2401"/>
      <c r="T143" s="2052" t="str">
        <f t="shared" si="73"/>
        <v>открыт</v>
      </c>
      <c r="U143" s="2399"/>
      <c r="V143" s="2399"/>
      <c r="W143" s="2399" t="s">
        <v>3034</v>
      </c>
      <c r="X143" s="912"/>
      <c r="Y143" s="2419"/>
      <c r="Z143" s="2411"/>
      <c r="AA143" s="212" t="s">
        <v>1768</v>
      </c>
      <c r="AB143" s="230">
        <f t="shared" si="74"/>
        <v>16</v>
      </c>
      <c r="AC143" s="229" t="str">
        <f t="shared" si="75"/>
        <v>+</v>
      </c>
      <c r="AD143" s="229">
        <f t="shared" si="76"/>
        <v>16</v>
      </c>
      <c r="AE143" s="229"/>
      <c r="AF143" s="228"/>
      <c r="AG143" s="212" t="str">
        <f t="shared" si="77"/>
        <v>16+16</v>
      </c>
      <c r="AH143" s="172">
        <f>SUM(AH100+AH108+AH107)</f>
        <v>0.12228260869565216</v>
      </c>
      <c r="AI143" s="172">
        <f t="shared" si="70"/>
        <v>1.1122826086956521</v>
      </c>
      <c r="AJ143" s="1973">
        <f t="shared" si="78"/>
        <v>0</v>
      </c>
      <c r="AK143" s="212">
        <f t="shared" si="79"/>
        <v>120</v>
      </c>
      <c r="AL143" s="172">
        <f t="shared" si="66"/>
        <v>1.1122826086956521</v>
      </c>
      <c r="AM143" s="1973">
        <f t="shared" si="80"/>
        <v>0</v>
      </c>
      <c r="AN143" s="880">
        <f t="shared" si="67"/>
        <v>16.8</v>
      </c>
      <c r="AO143" s="172">
        <f t="shared" si="68"/>
        <v>15.687717391304348</v>
      </c>
      <c r="AP143" s="2406"/>
      <c r="AQ143" s="2399" t="str">
        <f t="shared" si="71"/>
        <v>открыт</v>
      </c>
      <c r="AR143" s="2052" t="str">
        <f t="shared" si="81"/>
        <v>открыт</v>
      </c>
      <c r="AS143" s="2453"/>
      <c r="AT143" s="937" t="s">
        <v>744</v>
      </c>
      <c r="AU143" s="1095">
        <v>1989</v>
      </c>
      <c r="AV143" s="1101" t="s">
        <v>3218</v>
      </c>
      <c r="AW143" s="1103">
        <v>57.424520442148101</v>
      </c>
      <c r="AX143" s="1103">
        <v>35.000676085974902</v>
      </c>
    </row>
    <row r="144" spans="1:50" ht="15" customHeight="1" x14ac:dyDescent="0.25">
      <c r="A144" s="2419"/>
      <c r="B144" s="2419"/>
      <c r="C144" s="212" t="s">
        <v>1767</v>
      </c>
      <c r="D144" s="230">
        <v>16</v>
      </c>
      <c r="E144" s="229" t="s">
        <v>773</v>
      </c>
      <c r="F144" s="229">
        <v>16</v>
      </c>
      <c r="G144" s="229"/>
      <c r="H144" s="228"/>
      <c r="I144" s="229" t="str">
        <f t="shared" si="72"/>
        <v>16+16</v>
      </c>
      <c r="J144" s="882">
        <v>1.45</v>
      </c>
      <c r="K144" s="1423">
        <v>0</v>
      </c>
      <c r="L144" s="1422">
        <v>120</v>
      </c>
      <c r="M144" s="172">
        <f t="shared" si="64"/>
        <v>1.45</v>
      </c>
      <c r="N144" s="172">
        <v>0</v>
      </c>
      <c r="O144" s="880"/>
      <c r="P144" s="880">
        <f t="shared" si="65"/>
        <v>16.8</v>
      </c>
      <c r="Q144" s="172">
        <f t="shared" si="69"/>
        <v>15.350000000000001</v>
      </c>
      <c r="R144" s="2420"/>
      <c r="S144" s="2402"/>
      <c r="T144" s="2052" t="str">
        <f t="shared" si="73"/>
        <v>открыт</v>
      </c>
      <c r="U144" s="2399"/>
      <c r="V144" s="2399"/>
      <c r="W144" s="2399" t="s">
        <v>3034</v>
      </c>
      <c r="X144" s="912"/>
      <c r="Y144" s="2419"/>
      <c r="Z144" s="2411"/>
      <c r="AA144" s="212" t="s">
        <v>1767</v>
      </c>
      <c r="AB144" s="230">
        <f t="shared" si="74"/>
        <v>16</v>
      </c>
      <c r="AC144" s="229" t="str">
        <f t="shared" si="75"/>
        <v>+</v>
      </c>
      <c r="AD144" s="229">
        <f t="shared" si="76"/>
        <v>16</v>
      </c>
      <c r="AE144" s="229"/>
      <c r="AF144" s="228"/>
      <c r="AG144" s="212" t="str">
        <f t="shared" si="77"/>
        <v>16+16</v>
      </c>
      <c r="AH144" s="172">
        <f>'Зона ВЭс'!L203</f>
        <v>0</v>
      </c>
      <c r="AI144" s="172">
        <f t="shared" si="70"/>
        <v>1.45</v>
      </c>
      <c r="AJ144" s="1973">
        <f t="shared" si="78"/>
        <v>0</v>
      </c>
      <c r="AK144" s="212">
        <f t="shared" si="79"/>
        <v>120</v>
      </c>
      <c r="AL144" s="172">
        <f t="shared" si="66"/>
        <v>1.45</v>
      </c>
      <c r="AM144" s="1973">
        <f t="shared" si="80"/>
        <v>0</v>
      </c>
      <c r="AN144" s="880">
        <f t="shared" si="67"/>
        <v>16.8</v>
      </c>
      <c r="AO144" s="172">
        <f t="shared" si="68"/>
        <v>15.350000000000001</v>
      </c>
      <c r="AP144" s="2407"/>
      <c r="AQ144" s="2399" t="str">
        <f t="shared" si="71"/>
        <v>открыт</v>
      </c>
      <c r="AR144" s="2052" t="str">
        <f t="shared" si="81"/>
        <v>открыт</v>
      </c>
      <c r="AS144" s="2454"/>
      <c r="AT144" s="937" t="s">
        <v>744</v>
      </c>
      <c r="AU144" s="1095">
        <v>1989</v>
      </c>
      <c r="AV144" s="1101" t="s">
        <v>3218</v>
      </c>
      <c r="AW144" s="1103">
        <v>57.424520442148101</v>
      </c>
      <c r="AX144" s="1103">
        <v>35.000676085974902</v>
      </c>
    </row>
    <row r="145" spans="1:50" ht="15" customHeight="1" x14ac:dyDescent="0.25">
      <c r="A145" s="2419">
        <v>107</v>
      </c>
      <c r="B145" s="2419">
        <v>57</v>
      </c>
      <c r="C145" s="212" t="s">
        <v>990</v>
      </c>
      <c r="D145" s="230">
        <v>16</v>
      </c>
      <c r="E145" s="229" t="s">
        <v>773</v>
      </c>
      <c r="F145" s="229">
        <v>16</v>
      </c>
      <c r="G145" s="229"/>
      <c r="H145" s="228"/>
      <c r="I145" s="229" t="str">
        <f t="shared" si="72"/>
        <v>16+16</v>
      </c>
      <c r="J145" s="882">
        <v>3.5</v>
      </c>
      <c r="K145" s="1423">
        <v>2.74</v>
      </c>
      <c r="L145" s="1422">
        <v>120</v>
      </c>
      <c r="M145" s="172">
        <f t="shared" si="64"/>
        <v>0.75999999999999979</v>
      </c>
      <c r="N145" s="172">
        <v>0</v>
      </c>
      <c r="O145" s="880"/>
      <c r="P145" s="880">
        <f t="shared" si="65"/>
        <v>16.8</v>
      </c>
      <c r="Q145" s="172">
        <f t="shared" si="69"/>
        <v>16.04</v>
      </c>
      <c r="R145" s="2420">
        <f>MIN(Q145:Q147)</f>
        <v>16.04</v>
      </c>
      <c r="S145" s="2400" t="str">
        <f>T145</f>
        <v>открыт</v>
      </c>
      <c r="T145" s="2052" t="str">
        <f t="shared" si="73"/>
        <v>открыт</v>
      </c>
      <c r="U145" s="2398">
        <f>(J145*100)/P145</f>
        <v>20.833333333333332</v>
      </c>
      <c r="V145" s="2398">
        <v>0.5</v>
      </c>
      <c r="W145" s="2398" t="s">
        <v>3035</v>
      </c>
      <c r="X145" s="912"/>
      <c r="Y145" s="2419">
        <v>107</v>
      </c>
      <c r="Z145" s="2411">
        <v>57</v>
      </c>
      <c r="AA145" s="212" t="s">
        <v>990</v>
      </c>
      <c r="AB145" s="230">
        <f t="shared" si="74"/>
        <v>16</v>
      </c>
      <c r="AC145" s="229" t="str">
        <f t="shared" si="75"/>
        <v>+</v>
      </c>
      <c r="AD145" s="229">
        <f t="shared" si="76"/>
        <v>16</v>
      </c>
      <c r="AE145" s="229"/>
      <c r="AF145" s="228"/>
      <c r="AG145" s="212" t="str">
        <f t="shared" si="77"/>
        <v>16+16</v>
      </c>
      <c r="AH145" s="172">
        <f>SUM(AH146:AH147)</f>
        <v>0.39130434782608697</v>
      </c>
      <c r="AI145" s="172">
        <f t="shared" si="70"/>
        <v>3.8913043478260869</v>
      </c>
      <c r="AJ145" s="1973">
        <f t="shared" si="78"/>
        <v>2.74</v>
      </c>
      <c r="AK145" s="212">
        <f t="shared" si="79"/>
        <v>120</v>
      </c>
      <c r="AL145" s="172">
        <f t="shared" si="66"/>
        <v>1.1513043478260867</v>
      </c>
      <c r="AM145" s="1973">
        <f t="shared" si="80"/>
        <v>0</v>
      </c>
      <c r="AN145" s="880">
        <f t="shared" si="67"/>
        <v>16.8</v>
      </c>
      <c r="AO145" s="172">
        <f t="shared" si="68"/>
        <v>15.648695652173913</v>
      </c>
      <c r="AP145" s="2405">
        <f>MIN(AO145:AO147)</f>
        <v>15.648695652173913</v>
      </c>
      <c r="AQ145" s="2398" t="str">
        <f t="shared" si="71"/>
        <v>открыт</v>
      </c>
      <c r="AR145" s="2052" t="str">
        <f t="shared" si="81"/>
        <v>открыт</v>
      </c>
      <c r="AS145" s="2452">
        <f>(AI145*100)/AN145</f>
        <v>23.162525879917183</v>
      </c>
      <c r="AT145" s="937" t="s">
        <v>744</v>
      </c>
      <c r="AU145" s="1095">
        <v>1976</v>
      </c>
      <c r="AV145" s="1101" t="s">
        <v>3218</v>
      </c>
      <c r="AW145" s="1103">
        <v>57.5990178775236</v>
      </c>
      <c r="AX145" s="1103">
        <v>33.975736921093798</v>
      </c>
    </row>
    <row r="146" spans="1:50" ht="15" customHeight="1" x14ac:dyDescent="0.25">
      <c r="A146" s="2419"/>
      <c r="B146" s="2419"/>
      <c r="C146" s="212" t="s">
        <v>1768</v>
      </c>
      <c r="D146" s="230">
        <v>16</v>
      </c>
      <c r="E146" s="229" t="s">
        <v>773</v>
      </c>
      <c r="F146" s="229">
        <v>16</v>
      </c>
      <c r="G146" s="229"/>
      <c r="H146" s="228"/>
      <c r="I146" s="229" t="str">
        <f t="shared" si="72"/>
        <v>16+16</v>
      </c>
      <c r="J146" s="882">
        <v>3.24</v>
      </c>
      <c r="K146" s="1423">
        <v>2.74</v>
      </c>
      <c r="L146" s="1422">
        <v>120</v>
      </c>
      <c r="M146" s="172">
        <f t="shared" si="64"/>
        <v>0.5</v>
      </c>
      <c r="N146" s="172">
        <v>0</v>
      </c>
      <c r="O146" s="880"/>
      <c r="P146" s="880">
        <f t="shared" si="65"/>
        <v>16.8</v>
      </c>
      <c r="Q146" s="172">
        <f t="shared" si="69"/>
        <v>16.3</v>
      </c>
      <c r="R146" s="2420"/>
      <c r="S146" s="2401"/>
      <c r="T146" s="2052" t="str">
        <f t="shared" si="73"/>
        <v>открыт</v>
      </c>
      <c r="U146" s="2399"/>
      <c r="V146" s="2399"/>
      <c r="W146" s="2399" t="s">
        <v>3034</v>
      </c>
      <c r="X146" s="912"/>
      <c r="Y146" s="2419"/>
      <c r="Z146" s="2411"/>
      <c r="AA146" s="212" t="s">
        <v>1768</v>
      </c>
      <c r="AB146" s="230">
        <f t="shared" si="74"/>
        <v>16</v>
      </c>
      <c r="AC146" s="229" t="str">
        <f t="shared" si="75"/>
        <v>+</v>
      </c>
      <c r="AD146" s="229">
        <f t="shared" si="76"/>
        <v>16</v>
      </c>
      <c r="AE146" s="229"/>
      <c r="AF146" s="228"/>
      <c r="AG146" s="212" t="str">
        <f t="shared" si="77"/>
        <v>16+16</v>
      </c>
      <c r="AH146" s="172">
        <f>SUM(AH121+AH97+AH94+AH127)</f>
        <v>0.39130434782608697</v>
      </c>
      <c r="AI146" s="172">
        <f t="shared" si="70"/>
        <v>3.6313043478260871</v>
      </c>
      <c r="AJ146" s="1973">
        <f t="shared" si="78"/>
        <v>2.74</v>
      </c>
      <c r="AK146" s="212">
        <f t="shared" si="79"/>
        <v>120</v>
      </c>
      <c r="AL146" s="172">
        <f t="shared" si="66"/>
        <v>0.89130434782608692</v>
      </c>
      <c r="AM146" s="1973">
        <f t="shared" si="80"/>
        <v>0</v>
      </c>
      <c r="AN146" s="880">
        <f t="shared" si="67"/>
        <v>16.8</v>
      </c>
      <c r="AO146" s="172">
        <f t="shared" si="68"/>
        <v>15.908695652173915</v>
      </c>
      <c r="AP146" s="2406"/>
      <c r="AQ146" s="2399" t="str">
        <f t="shared" si="71"/>
        <v>открыт</v>
      </c>
      <c r="AR146" s="2052" t="str">
        <f t="shared" si="81"/>
        <v>открыт</v>
      </c>
      <c r="AS146" s="2453"/>
      <c r="AT146" s="937" t="s">
        <v>744</v>
      </c>
      <c r="AU146" s="1095">
        <v>1976</v>
      </c>
      <c r="AV146" s="1101" t="s">
        <v>3218</v>
      </c>
      <c r="AW146" s="1103">
        <v>57.5990178775236</v>
      </c>
      <c r="AX146" s="1103">
        <v>33.975736921093798</v>
      </c>
    </row>
    <row r="147" spans="1:50" ht="15" customHeight="1" x14ac:dyDescent="0.25">
      <c r="A147" s="2419"/>
      <c r="B147" s="2419"/>
      <c r="C147" s="212" t="s">
        <v>1767</v>
      </c>
      <c r="D147" s="230">
        <v>16</v>
      </c>
      <c r="E147" s="229" t="s">
        <v>773</v>
      </c>
      <c r="F147" s="229">
        <v>16</v>
      </c>
      <c r="G147" s="229"/>
      <c r="H147" s="228"/>
      <c r="I147" s="229" t="str">
        <f t="shared" si="72"/>
        <v>16+16</v>
      </c>
      <c r="J147" s="882">
        <v>0.26</v>
      </c>
      <c r="K147" s="1423">
        <v>0</v>
      </c>
      <c r="L147" s="1422">
        <v>0</v>
      </c>
      <c r="M147" s="172">
        <f t="shared" si="64"/>
        <v>0.26</v>
      </c>
      <c r="N147" s="172">
        <v>0</v>
      </c>
      <c r="O147" s="880"/>
      <c r="P147" s="880">
        <f t="shared" si="65"/>
        <v>16.8</v>
      </c>
      <c r="Q147" s="172">
        <f t="shared" si="69"/>
        <v>16.54</v>
      </c>
      <c r="R147" s="2420"/>
      <c r="S147" s="2402"/>
      <c r="T147" s="2052" t="str">
        <f t="shared" si="73"/>
        <v>открыт</v>
      </c>
      <c r="U147" s="2399"/>
      <c r="V147" s="2399"/>
      <c r="W147" s="2399" t="s">
        <v>3034</v>
      </c>
      <c r="X147" s="912"/>
      <c r="Y147" s="2419"/>
      <c r="Z147" s="2411"/>
      <c r="AA147" s="212" t="s">
        <v>1767</v>
      </c>
      <c r="AB147" s="230">
        <f t="shared" si="74"/>
        <v>16</v>
      </c>
      <c r="AC147" s="229" t="str">
        <f t="shared" si="75"/>
        <v>+</v>
      </c>
      <c r="AD147" s="229">
        <f t="shared" si="76"/>
        <v>16</v>
      </c>
      <c r="AE147" s="229"/>
      <c r="AF147" s="228"/>
      <c r="AG147" s="212" t="str">
        <f t="shared" si="77"/>
        <v>16+16</v>
      </c>
      <c r="AH147" s="172">
        <f>'Зона ВЭс'!L205</f>
        <v>0</v>
      </c>
      <c r="AI147" s="172">
        <f t="shared" si="70"/>
        <v>0.26</v>
      </c>
      <c r="AJ147" s="1973">
        <f t="shared" si="78"/>
        <v>0</v>
      </c>
      <c r="AK147" s="212">
        <f t="shared" si="79"/>
        <v>0</v>
      </c>
      <c r="AL147" s="172">
        <f t="shared" si="66"/>
        <v>0.26</v>
      </c>
      <c r="AM147" s="1973">
        <f t="shared" si="80"/>
        <v>0</v>
      </c>
      <c r="AN147" s="880">
        <f t="shared" si="67"/>
        <v>16.8</v>
      </c>
      <c r="AO147" s="172">
        <f t="shared" si="68"/>
        <v>16.54</v>
      </c>
      <c r="AP147" s="2407"/>
      <c r="AQ147" s="2399" t="str">
        <f t="shared" si="71"/>
        <v>открыт</v>
      </c>
      <c r="AR147" s="2052" t="str">
        <f t="shared" si="81"/>
        <v>открыт</v>
      </c>
      <c r="AS147" s="2454"/>
      <c r="AT147" s="937" t="s">
        <v>744</v>
      </c>
      <c r="AU147" s="1095">
        <v>1976</v>
      </c>
      <c r="AV147" s="1101" t="s">
        <v>3218</v>
      </c>
      <c r="AW147" s="1103">
        <v>57.5990178775236</v>
      </c>
      <c r="AX147" s="1103">
        <v>33.975736921093798</v>
      </c>
    </row>
    <row r="148" spans="1:50" ht="15" customHeight="1" x14ac:dyDescent="0.25">
      <c r="A148" s="2419">
        <v>108</v>
      </c>
      <c r="B148" s="2419">
        <v>58</v>
      </c>
      <c r="C148" s="212" t="s">
        <v>991</v>
      </c>
      <c r="D148" s="230">
        <v>25</v>
      </c>
      <c r="E148" s="229" t="s">
        <v>773</v>
      </c>
      <c r="F148" s="229">
        <v>25</v>
      </c>
      <c r="G148" s="229"/>
      <c r="H148" s="228"/>
      <c r="I148" s="229" t="str">
        <f t="shared" si="72"/>
        <v>25+25</v>
      </c>
      <c r="J148" s="882">
        <v>16.509999999999998</v>
      </c>
      <c r="K148" s="1423">
        <v>6.98</v>
      </c>
      <c r="L148" s="1422">
        <v>120</v>
      </c>
      <c r="M148" s="172">
        <f t="shared" si="64"/>
        <v>9.5299999999999976</v>
      </c>
      <c r="N148" s="172">
        <v>0</v>
      </c>
      <c r="O148" s="880"/>
      <c r="P148" s="880">
        <f t="shared" si="65"/>
        <v>26.25</v>
      </c>
      <c r="Q148" s="172">
        <f t="shared" si="69"/>
        <v>16.720000000000002</v>
      </c>
      <c r="R148" s="2420">
        <f>MIN(Q148:Q150)</f>
        <v>16.720000000000002</v>
      </c>
      <c r="S148" s="2400" t="str">
        <f t="shared" si="82"/>
        <v>открыт</v>
      </c>
      <c r="T148" s="2052" t="str">
        <f t="shared" si="73"/>
        <v>открыт</v>
      </c>
      <c r="U148" s="2398">
        <f>(J148*100)/P148</f>
        <v>62.895238095238085</v>
      </c>
      <c r="V148" s="2398">
        <v>0.4</v>
      </c>
      <c r="W148" s="2398" t="s">
        <v>3034</v>
      </c>
      <c r="X148" s="912"/>
      <c r="Y148" s="2419">
        <v>108</v>
      </c>
      <c r="Z148" s="2411">
        <v>58</v>
      </c>
      <c r="AA148" s="212" t="s">
        <v>991</v>
      </c>
      <c r="AB148" s="230">
        <f t="shared" si="74"/>
        <v>25</v>
      </c>
      <c r="AC148" s="229" t="str">
        <f t="shared" si="75"/>
        <v>+</v>
      </c>
      <c r="AD148" s="229">
        <f t="shared" si="76"/>
        <v>25</v>
      </c>
      <c r="AE148" s="229"/>
      <c r="AF148" s="228"/>
      <c r="AG148" s="212" t="str">
        <f t="shared" si="77"/>
        <v>25+25</v>
      </c>
      <c r="AH148" s="172">
        <f>SUM(AH149:AH150)</f>
        <v>0.66032608695652173</v>
      </c>
      <c r="AI148" s="172">
        <f t="shared" si="70"/>
        <v>17.170326086956521</v>
      </c>
      <c r="AJ148" s="1973">
        <f t="shared" si="78"/>
        <v>6.98</v>
      </c>
      <c r="AK148" s="212">
        <f t="shared" si="79"/>
        <v>120</v>
      </c>
      <c r="AL148" s="172">
        <f t="shared" si="66"/>
        <v>10.190326086956521</v>
      </c>
      <c r="AM148" s="1973">
        <f t="shared" si="80"/>
        <v>0</v>
      </c>
      <c r="AN148" s="880">
        <f t="shared" si="67"/>
        <v>26.25</v>
      </c>
      <c r="AO148" s="172">
        <f t="shared" si="68"/>
        <v>16.059673913043479</v>
      </c>
      <c r="AP148" s="2405">
        <f>MIN(AO148:AO150)</f>
        <v>16.059673913043479</v>
      </c>
      <c r="AQ148" s="2398" t="str">
        <f t="shared" si="71"/>
        <v>открыт</v>
      </c>
      <c r="AR148" s="2052" t="str">
        <f t="shared" si="81"/>
        <v>открыт</v>
      </c>
      <c r="AS148" s="2452">
        <f>(AI148*100)/AN148</f>
        <v>65.410766045548655</v>
      </c>
      <c r="AT148" s="937" t="s">
        <v>744</v>
      </c>
      <c r="AU148" s="1095">
        <v>1982</v>
      </c>
      <c r="AV148" s="1101" t="s">
        <v>3218</v>
      </c>
      <c r="AW148" s="1103">
        <v>57.866844936852402</v>
      </c>
      <c r="AX148" s="1103">
        <v>35.008621730403597</v>
      </c>
    </row>
    <row r="149" spans="1:50" ht="15" customHeight="1" x14ac:dyDescent="0.25">
      <c r="A149" s="2419"/>
      <c r="B149" s="2419"/>
      <c r="C149" s="212" t="s">
        <v>1768</v>
      </c>
      <c r="D149" s="230">
        <v>25</v>
      </c>
      <c r="E149" s="229" t="s">
        <v>773</v>
      </c>
      <c r="F149" s="229">
        <v>25</v>
      </c>
      <c r="G149" s="229"/>
      <c r="H149" s="228"/>
      <c r="I149" s="229" t="str">
        <f t="shared" si="72"/>
        <v>25+25</v>
      </c>
      <c r="J149" s="882">
        <v>10.24</v>
      </c>
      <c r="K149" s="1423">
        <v>6.98</v>
      </c>
      <c r="L149" s="1422">
        <v>120</v>
      </c>
      <c r="M149" s="172">
        <f t="shared" si="64"/>
        <v>3.26</v>
      </c>
      <c r="N149" s="172">
        <v>0</v>
      </c>
      <c r="O149" s="880"/>
      <c r="P149" s="880">
        <f t="shared" si="65"/>
        <v>26.25</v>
      </c>
      <c r="Q149" s="172">
        <f t="shared" si="69"/>
        <v>22.990000000000002</v>
      </c>
      <c r="R149" s="2420"/>
      <c r="S149" s="2401"/>
      <c r="T149" s="2052" t="str">
        <f t="shared" si="73"/>
        <v>открыт</v>
      </c>
      <c r="U149" s="2399"/>
      <c r="V149" s="2399"/>
      <c r="W149" s="2399" t="s">
        <v>3034</v>
      </c>
      <c r="X149" s="912"/>
      <c r="Y149" s="2419"/>
      <c r="Z149" s="2411"/>
      <c r="AA149" s="212" t="s">
        <v>1768</v>
      </c>
      <c r="AB149" s="230">
        <f t="shared" si="74"/>
        <v>25</v>
      </c>
      <c r="AC149" s="229" t="str">
        <f t="shared" si="75"/>
        <v>+</v>
      </c>
      <c r="AD149" s="229">
        <f t="shared" si="76"/>
        <v>25</v>
      </c>
      <c r="AE149" s="229"/>
      <c r="AF149" s="228"/>
      <c r="AG149" s="212" t="str">
        <f t="shared" si="77"/>
        <v>25+25</v>
      </c>
      <c r="AH149" s="172">
        <f>SUM(AH82+AH87+AH122+AH99)</f>
        <v>8.315217391304347E-2</v>
      </c>
      <c r="AI149" s="172">
        <f t="shared" si="70"/>
        <v>10.323152173913044</v>
      </c>
      <c r="AJ149" s="1973">
        <f t="shared" si="78"/>
        <v>6.98</v>
      </c>
      <c r="AK149" s="212">
        <f t="shared" si="79"/>
        <v>120</v>
      </c>
      <c r="AL149" s="172">
        <f t="shared" si="66"/>
        <v>3.3431521739130439</v>
      </c>
      <c r="AM149" s="1973">
        <f t="shared" si="80"/>
        <v>0</v>
      </c>
      <c r="AN149" s="880">
        <f t="shared" si="67"/>
        <v>26.25</v>
      </c>
      <c r="AO149" s="172">
        <f t="shared" si="68"/>
        <v>22.906847826086956</v>
      </c>
      <c r="AP149" s="2406"/>
      <c r="AQ149" s="2399" t="str">
        <f t="shared" si="71"/>
        <v>открыт</v>
      </c>
      <c r="AR149" s="2052" t="str">
        <f t="shared" si="81"/>
        <v>открыт</v>
      </c>
      <c r="AS149" s="2453"/>
      <c r="AT149" s="937" t="s">
        <v>744</v>
      </c>
      <c r="AU149" s="1095">
        <v>1982</v>
      </c>
      <c r="AV149" s="1101" t="s">
        <v>3218</v>
      </c>
      <c r="AW149" s="1103">
        <v>57.866844936852402</v>
      </c>
      <c r="AX149" s="1103">
        <v>35.008621730403597</v>
      </c>
    </row>
    <row r="150" spans="1:50" ht="15" customHeight="1" x14ac:dyDescent="0.25">
      <c r="A150" s="2419"/>
      <c r="B150" s="2419"/>
      <c r="C150" s="212" t="s">
        <v>1767</v>
      </c>
      <c r="D150" s="230">
        <v>25</v>
      </c>
      <c r="E150" s="229" t="s">
        <v>773</v>
      </c>
      <c r="F150" s="229">
        <v>25</v>
      </c>
      <c r="G150" s="229"/>
      <c r="H150" s="228"/>
      <c r="I150" s="229" t="str">
        <f t="shared" si="72"/>
        <v>25+25</v>
      </c>
      <c r="J150" s="882">
        <v>6.27</v>
      </c>
      <c r="K150" s="1423">
        <v>0</v>
      </c>
      <c r="L150" s="1422">
        <v>120</v>
      </c>
      <c r="M150" s="172">
        <f t="shared" si="64"/>
        <v>6.27</v>
      </c>
      <c r="N150" s="172">
        <v>0</v>
      </c>
      <c r="O150" s="880"/>
      <c r="P150" s="880">
        <f t="shared" si="65"/>
        <v>26.25</v>
      </c>
      <c r="Q150" s="172">
        <f t="shared" si="69"/>
        <v>19.98</v>
      </c>
      <c r="R150" s="2420"/>
      <c r="S150" s="2402"/>
      <c r="T150" s="2052" t="str">
        <f t="shared" si="73"/>
        <v>открыт</v>
      </c>
      <c r="U150" s="2399"/>
      <c r="V150" s="2399"/>
      <c r="W150" s="2399" t="s">
        <v>3034</v>
      </c>
      <c r="X150" s="912"/>
      <c r="Y150" s="2419"/>
      <c r="Z150" s="2411"/>
      <c r="AA150" s="212" t="s">
        <v>1767</v>
      </c>
      <c r="AB150" s="230">
        <f t="shared" si="74"/>
        <v>25</v>
      </c>
      <c r="AC150" s="229" t="str">
        <f t="shared" si="75"/>
        <v>+</v>
      </c>
      <c r="AD150" s="229">
        <f t="shared" si="76"/>
        <v>25</v>
      </c>
      <c r="AE150" s="229"/>
      <c r="AF150" s="228"/>
      <c r="AG150" s="212" t="str">
        <f t="shared" si="77"/>
        <v>25+25</v>
      </c>
      <c r="AH150" s="172">
        <f>'Зона ВЭс'!L229</f>
        <v>0.57717391304347831</v>
      </c>
      <c r="AI150" s="172">
        <f t="shared" si="70"/>
        <v>6.8471739130434779</v>
      </c>
      <c r="AJ150" s="1973">
        <f t="shared" si="78"/>
        <v>0</v>
      </c>
      <c r="AK150" s="212">
        <f t="shared" si="79"/>
        <v>120</v>
      </c>
      <c r="AL150" s="172">
        <f t="shared" si="66"/>
        <v>6.8471739130434779</v>
      </c>
      <c r="AM150" s="1973">
        <f t="shared" si="80"/>
        <v>0</v>
      </c>
      <c r="AN150" s="880">
        <f t="shared" si="67"/>
        <v>26.25</v>
      </c>
      <c r="AO150" s="172">
        <f t="shared" si="68"/>
        <v>19.402826086956523</v>
      </c>
      <c r="AP150" s="2407"/>
      <c r="AQ150" s="2399" t="str">
        <f t="shared" si="71"/>
        <v>открыт</v>
      </c>
      <c r="AR150" s="2052" t="str">
        <f t="shared" si="81"/>
        <v>открыт</v>
      </c>
      <c r="AS150" s="2454"/>
      <c r="AT150" s="937" t="s">
        <v>744</v>
      </c>
      <c r="AU150" s="1095">
        <v>1982</v>
      </c>
      <c r="AV150" s="1101" t="s">
        <v>3218</v>
      </c>
      <c r="AW150" s="1103">
        <v>57.866844936852402</v>
      </c>
      <c r="AX150" s="1103">
        <v>35.008621730403597</v>
      </c>
    </row>
    <row r="151" spans="1:50" ht="15" customHeight="1" x14ac:dyDescent="0.25">
      <c r="A151" s="2419">
        <v>109</v>
      </c>
      <c r="B151" s="2419">
        <v>59</v>
      </c>
      <c r="C151" s="212" t="s">
        <v>992</v>
      </c>
      <c r="D151" s="230">
        <v>6.3</v>
      </c>
      <c r="E151" s="229" t="s">
        <v>773</v>
      </c>
      <c r="F151" s="229">
        <v>6.3</v>
      </c>
      <c r="G151" s="229"/>
      <c r="H151" s="228"/>
      <c r="I151" s="229" t="str">
        <f t="shared" si="72"/>
        <v>6,3+6,3</v>
      </c>
      <c r="J151" s="882">
        <v>3.5100000000000002</v>
      </c>
      <c r="K151" s="1423">
        <v>1.1599999999999999</v>
      </c>
      <c r="L151" s="1422">
        <v>120</v>
      </c>
      <c r="M151" s="172">
        <f t="shared" si="64"/>
        <v>2.3500000000000005</v>
      </c>
      <c r="N151" s="172">
        <v>0</v>
      </c>
      <c r="O151" s="880"/>
      <c r="P151" s="880">
        <f t="shared" si="65"/>
        <v>6.6150000000000002</v>
      </c>
      <c r="Q151" s="172">
        <f t="shared" si="69"/>
        <v>4.2649999999999997</v>
      </c>
      <c r="R151" s="2420">
        <f>MIN(Q151:Q153)</f>
        <v>4.2649999999999997</v>
      </c>
      <c r="S151" s="2400" t="str">
        <f>T151</f>
        <v>открыт</v>
      </c>
      <c r="T151" s="2052" t="str">
        <f t="shared" si="73"/>
        <v>открыт</v>
      </c>
      <c r="U151" s="2398">
        <f>(J151*100)/P151</f>
        <v>53.061224489795919</v>
      </c>
      <c r="V151" s="2398">
        <v>0.4</v>
      </c>
      <c r="W151" s="2398" t="s">
        <v>3035</v>
      </c>
      <c r="X151" s="912"/>
      <c r="Y151" s="2419">
        <v>109</v>
      </c>
      <c r="Z151" s="2411">
        <v>59</v>
      </c>
      <c r="AA151" s="212" t="s">
        <v>992</v>
      </c>
      <c r="AB151" s="230">
        <f t="shared" si="74"/>
        <v>6.3</v>
      </c>
      <c r="AC151" s="229" t="str">
        <f t="shared" si="75"/>
        <v>+</v>
      </c>
      <c r="AD151" s="229">
        <f t="shared" si="76"/>
        <v>6.3</v>
      </c>
      <c r="AE151" s="229"/>
      <c r="AF151" s="228"/>
      <c r="AG151" s="212" t="str">
        <f t="shared" si="77"/>
        <v>6,3+6,3</v>
      </c>
      <c r="AH151" s="172">
        <f>SUM(AH152:AH153)</f>
        <v>0</v>
      </c>
      <c r="AI151" s="172">
        <f t="shared" si="70"/>
        <v>3.5100000000000002</v>
      </c>
      <c r="AJ151" s="1973">
        <f t="shared" si="78"/>
        <v>1.1599999999999999</v>
      </c>
      <c r="AK151" s="212">
        <f t="shared" si="79"/>
        <v>120</v>
      </c>
      <c r="AL151" s="172">
        <f t="shared" si="66"/>
        <v>2.3500000000000005</v>
      </c>
      <c r="AM151" s="1973">
        <f t="shared" si="80"/>
        <v>0</v>
      </c>
      <c r="AN151" s="880">
        <f t="shared" si="67"/>
        <v>6.6150000000000002</v>
      </c>
      <c r="AO151" s="172">
        <f t="shared" si="68"/>
        <v>4.2649999999999997</v>
      </c>
      <c r="AP151" s="2405">
        <f>MIN(AO151:AO153)</f>
        <v>4.2649999999999997</v>
      </c>
      <c r="AQ151" s="2398" t="str">
        <f t="shared" si="71"/>
        <v>открыт</v>
      </c>
      <c r="AR151" s="2052" t="str">
        <f t="shared" si="81"/>
        <v>открыт</v>
      </c>
      <c r="AS151" s="2452">
        <f>(AI151*100)/AN151</f>
        <v>53.061224489795919</v>
      </c>
      <c r="AT151" s="937" t="s">
        <v>744</v>
      </c>
      <c r="AU151" s="1095">
        <v>1974</v>
      </c>
      <c r="AV151" s="1101" t="s">
        <v>3218</v>
      </c>
      <c r="AW151" s="1103">
        <v>57.468765872844202</v>
      </c>
      <c r="AX151" s="1103">
        <v>34.716617163861798</v>
      </c>
    </row>
    <row r="152" spans="1:50" ht="15" customHeight="1" x14ac:dyDescent="0.25">
      <c r="A152" s="2419"/>
      <c r="B152" s="2419"/>
      <c r="C152" s="212" t="s">
        <v>1768</v>
      </c>
      <c r="D152" s="230">
        <v>6.3</v>
      </c>
      <c r="E152" s="229" t="s">
        <v>773</v>
      </c>
      <c r="F152" s="229">
        <v>6.3</v>
      </c>
      <c r="G152" s="229"/>
      <c r="H152" s="228"/>
      <c r="I152" s="229" t="str">
        <f t="shared" si="72"/>
        <v>6,3+6,3</v>
      </c>
      <c r="J152" s="882">
        <v>2.2200000000000002</v>
      </c>
      <c r="K152" s="1423">
        <v>1.1599999999999999</v>
      </c>
      <c r="L152" s="1422">
        <v>120</v>
      </c>
      <c r="M152" s="172">
        <f t="shared" si="64"/>
        <v>1.0600000000000003</v>
      </c>
      <c r="N152" s="172">
        <v>0</v>
      </c>
      <c r="O152" s="880"/>
      <c r="P152" s="880">
        <f t="shared" si="65"/>
        <v>6.6150000000000002</v>
      </c>
      <c r="Q152" s="172">
        <f t="shared" si="69"/>
        <v>5.5549999999999997</v>
      </c>
      <c r="R152" s="2420"/>
      <c r="S152" s="2401"/>
      <c r="T152" s="2052" t="str">
        <f t="shared" si="73"/>
        <v>открыт</v>
      </c>
      <c r="U152" s="2399"/>
      <c r="V152" s="2399"/>
      <c r="W152" s="2399" t="s">
        <v>3034</v>
      </c>
      <c r="X152" s="912"/>
      <c r="Y152" s="2419"/>
      <c r="Z152" s="2411"/>
      <c r="AA152" s="212" t="s">
        <v>1768</v>
      </c>
      <c r="AB152" s="230">
        <f t="shared" si="74"/>
        <v>6.3</v>
      </c>
      <c r="AC152" s="229" t="str">
        <f t="shared" si="75"/>
        <v>+</v>
      </c>
      <c r="AD152" s="229">
        <f t="shared" si="76"/>
        <v>6.3</v>
      </c>
      <c r="AE152" s="229"/>
      <c r="AF152" s="228"/>
      <c r="AG152" s="212" t="str">
        <f t="shared" si="77"/>
        <v>6,3+6,3</v>
      </c>
      <c r="AH152" s="172">
        <f>SUM(AH98+AH106)</f>
        <v>0</v>
      </c>
      <c r="AI152" s="172">
        <f t="shared" si="70"/>
        <v>2.2200000000000002</v>
      </c>
      <c r="AJ152" s="1973">
        <f t="shared" si="78"/>
        <v>1.1599999999999999</v>
      </c>
      <c r="AK152" s="212">
        <f t="shared" si="79"/>
        <v>120</v>
      </c>
      <c r="AL152" s="172">
        <f t="shared" si="66"/>
        <v>1.0600000000000003</v>
      </c>
      <c r="AM152" s="1973">
        <f t="shared" si="80"/>
        <v>0</v>
      </c>
      <c r="AN152" s="880">
        <f t="shared" si="67"/>
        <v>6.6150000000000002</v>
      </c>
      <c r="AO152" s="172">
        <f t="shared" si="68"/>
        <v>5.5549999999999997</v>
      </c>
      <c r="AP152" s="2406"/>
      <c r="AQ152" s="2399" t="str">
        <f t="shared" si="71"/>
        <v>открыт</v>
      </c>
      <c r="AR152" s="2052" t="str">
        <f t="shared" si="81"/>
        <v>открыт</v>
      </c>
      <c r="AS152" s="2453"/>
      <c r="AT152" s="937" t="s">
        <v>744</v>
      </c>
      <c r="AU152" s="1095">
        <v>1974</v>
      </c>
      <c r="AV152" s="1101" t="s">
        <v>3218</v>
      </c>
      <c r="AW152" s="1103">
        <v>57.468765872844202</v>
      </c>
      <c r="AX152" s="1103">
        <v>34.716617163861798</v>
      </c>
    </row>
    <row r="153" spans="1:50" ht="15" customHeight="1" x14ac:dyDescent="0.25">
      <c r="A153" s="2419"/>
      <c r="B153" s="2419"/>
      <c r="C153" s="212" t="s">
        <v>1767</v>
      </c>
      <c r="D153" s="230">
        <v>6.3</v>
      </c>
      <c r="E153" s="229" t="s">
        <v>773</v>
      </c>
      <c r="F153" s="229">
        <v>6.3</v>
      </c>
      <c r="G153" s="229"/>
      <c r="H153" s="228"/>
      <c r="I153" s="229" t="str">
        <f t="shared" si="72"/>
        <v>6,3+6,3</v>
      </c>
      <c r="J153" s="882">
        <v>1.29</v>
      </c>
      <c r="K153" s="1423">
        <v>0</v>
      </c>
      <c r="L153" s="1422">
        <v>0</v>
      </c>
      <c r="M153" s="172">
        <f t="shared" si="64"/>
        <v>1.29</v>
      </c>
      <c r="N153" s="172">
        <v>0</v>
      </c>
      <c r="O153" s="880"/>
      <c r="P153" s="880">
        <f t="shared" si="65"/>
        <v>6.6150000000000002</v>
      </c>
      <c r="Q153" s="172">
        <f t="shared" si="69"/>
        <v>5.3250000000000002</v>
      </c>
      <c r="R153" s="2420"/>
      <c r="S153" s="2402"/>
      <c r="T153" s="2052" t="str">
        <f t="shared" si="73"/>
        <v>открыт</v>
      </c>
      <c r="U153" s="2399"/>
      <c r="V153" s="2399"/>
      <c r="W153" s="2399" t="s">
        <v>3034</v>
      </c>
      <c r="X153" s="912"/>
      <c r="Y153" s="2419"/>
      <c r="Z153" s="2411"/>
      <c r="AA153" s="212" t="s">
        <v>1767</v>
      </c>
      <c r="AB153" s="230">
        <f t="shared" si="74"/>
        <v>6.3</v>
      </c>
      <c r="AC153" s="229" t="str">
        <f t="shared" si="75"/>
        <v>+</v>
      </c>
      <c r="AD153" s="229">
        <f t="shared" si="76"/>
        <v>6.3</v>
      </c>
      <c r="AE153" s="229"/>
      <c r="AF153" s="228"/>
      <c r="AG153" s="212" t="str">
        <f t="shared" si="77"/>
        <v>6,3+6,3</v>
      </c>
      <c r="AH153" s="244">
        <f>'Зона ВЭс'!L233</f>
        <v>0</v>
      </c>
      <c r="AI153" s="172">
        <f t="shared" si="70"/>
        <v>1.29</v>
      </c>
      <c r="AJ153" s="1973">
        <f t="shared" si="78"/>
        <v>0</v>
      </c>
      <c r="AK153" s="212">
        <f t="shared" si="79"/>
        <v>0</v>
      </c>
      <c r="AL153" s="172">
        <f t="shared" si="66"/>
        <v>1.29</v>
      </c>
      <c r="AM153" s="1973">
        <f t="shared" si="80"/>
        <v>0</v>
      </c>
      <c r="AN153" s="880">
        <f t="shared" si="67"/>
        <v>6.6150000000000002</v>
      </c>
      <c r="AO153" s="172">
        <f t="shared" si="68"/>
        <v>5.3250000000000002</v>
      </c>
      <c r="AP153" s="2407"/>
      <c r="AQ153" s="2399" t="str">
        <f t="shared" si="71"/>
        <v>открыт</v>
      </c>
      <c r="AR153" s="2052" t="str">
        <f t="shared" si="81"/>
        <v>открыт</v>
      </c>
      <c r="AS153" s="2454"/>
      <c r="AT153" s="937" t="s">
        <v>744</v>
      </c>
      <c r="AU153" s="1095">
        <v>1974</v>
      </c>
      <c r="AV153" s="1101" t="s">
        <v>3218</v>
      </c>
      <c r="AW153" s="1103">
        <v>57.468765872844202</v>
      </c>
      <c r="AX153" s="1103">
        <v>34.716617163861798</v>
      </c>
    </row>
    <row r="154" spans="1:50" ht="15" customHeight="1" x14ac:dyDescent="0.25">
      <c r="A154" s="2423">
        <v>110</v>
      </c>
      <c r="B154" s="2423">
        <v>60</v>
      </c>
      <c r="C154" s="228" t="s">
        <v>993</v>
      </c>
      <c r="D154" s="230">
        <v>25</v>
      </c>
      <c r="E154" s="229" t="s">
        <v>773</v>
      </c>
      <c r="F154" s="229">
        <v>25</v>
      </c>
      <c r="G154" s="229"/>
      <c r="H154" s="228"/>
      <c r="I154" s="229" t="str">
        <f t="shared" si="72"/>
        <v>25+25</v>
      </c>
      <c r="J154" s="882">
        <v>4.54</v>
      </c>
      <c r="K154" s="1423">
        <v>0.62</v>
      </c>
      <c r="L154" s="1422">
        <v>120</v>
      </c>
      <c r="M154" s="172">
        <f t="shared" si="64"/>
        <v>3.92</v>
      </c>
      <c r="N154" s="172">
        <v>0</v>
      </c>
      <c r="O154" s="880"/>
      <c r="P154" s="880">
        <f t="shared" si="65"/>
        <v>26.25</v>
      </c>
      <c r="Q154" s="172">
        <f t="shared" si="69"/>
        <v>22.33</v>
      </c>
      <c r="R154" s="2405">
        <f>MIN(Q154:Q156)</f>
        <v>22.33</v>
      </c>
      <c r="S154" s="2400" t="str">
        <f t="shared" si="82"/>
        <v>открыт</v>
      </c>
      <c r="T154" s="2052" t="str">
        <f t="shared" si="73"/>
        <v>открыт</v>
      </c>
      <c r="U154" s="2398">
        <f>(J154*100)/P154</f>
        <v>17.295238095238094</v>
      </c>
      <c r="V154" s="2398">
        <v>0.4</v>
      </c>
      <c r="W154" s="2398" t="s">
        <v>3034</v>
      </c>
      <c r="X154" s="912"/>
      <c r="Y154" s="2423">
        <v>110</v>
      </c>
      <c r="Z154" s="2455">
        <v>60</v>
      </c>
      <c r="AA154" s="228" t="s">
        <v>993</v>
      </c>
      <c r="AB154" s="230">
        <f t="shared" si="74"/>
        <v>25</v>
      </c>
      <c r="AC154" s="229" t="str">
        <f t="shared" si="75"/>
        <v>+</v>
      </c>
      <c r="AD154" s="229">
        <f t="shared" si="76"/>
        <v>25</v>
      </c>
      <c r="AE154" s="229"/>
      <c r="AF154" s="228"/>
      <c r="AG154" s="212" t="str">
        <f t="shared" si="77"/>
        <v>25+25</v>
      </c>
      <c r="AH154" s="172">
        <f>SUM(AH155:AH156)</f>
        <v>0</v>
      </c>
      <c r="AI154" s="172">
        <f t="shared" si="70"/>
        <v>4.54</v>
      </c>
      <c r="AJ154" s="1973">
        <f t="shared" si="78"/>
        <v>0.62</v>
      </c>
      <c r="AK154" s="212">
        <f t="shared" si="79"/>
        <v>120</v>
      </c>
      <c r="AL154" s="172">
        <f t="shared" si="66"/>
        <v>3.92</v>
      </c>
      <c r="AM154" s="1973">
        <f t="shared" si="80"/>
        <v>0</v>
      </c>
      <c r="AN154" s="880">
        <f t="shared" si="67"/>
        <v>26.25</v>
      </c>
      <c r="AO154" s="172">
        <f t="shared" si="68"/>
        <v>22.33</v>
      </c>
      <c r="AP154" s="2405">
        <f>MIN(AO154:AO156)</f>
        <v>22.33</v>
      </c>
      <c r="AQ154" s="2398" t="str">
        <f t="shared" si="71"/>
        <v>открыт</v>
      </c>
      <c r="AR154" s="2052" t="str">
        <f t="shared" si="81"/>
        <v>открыт</v>
      </c>
      <c r="AS154" s="2452">
        <f>(AI154*100)/AN154</f>
        <v>17.295238095238094</v>
      </c>
      <c r="AT154" s="937" t="s">
        <v>744</v>
      </c>
      <c r="AU154" s="1095">
        <v>1959</v>
      </c>
      <c r="AV154" s="1101" t="s">
        <v>3218</v>
      </c>
      <c r="AW154" s="1103">
        <v>57.637373082097099</v>
      </c>
      <c r="AX154" s="1103">
        <v>34.465650829909301</v>
      </c>
    </row>
    <row r="155" spans="1:50" ht="15" customHeight="1" x14ac:dyDescent="0.25">
      <c r="A155" s="2424"/>
      <c r="B155" s="2440"/>
      <c r="C155" s="228" t="s">
        <v>1768</v>
      </c>
      <c r="D155" s="230">
        <v>25</v>
      </c>
      <c r="E155" s="229" t="s">
        <v>773</v>
      </c>
      <c r="F155" s="229">
        <v>25</v>
      </c>
      <c r="G155" s="229"/>
      <c r="H155" s="228"/>
      <c r="I155" s="229" t="str">
        <f t="shared" si="72"/>
        <v>25+25</v>
      </c>
      <c r="J155" s="882">
        <v>4.3600000000000003</v>
      </c>
      <c r="K155" s="1423">
        <v>0.62</v>
      </c>
      <c r="L155" s="1422">
        <v>120</v>
      </c>
      <c r="M155" s="172">
        <f t="shared" si="64"/>
        <v>3.74</v>
      </c>
      <c r="N155" s="172">
        <v>0</v>
      </c>
      <c r="O155" s="880"/>
      <c r="P155" s="880">
        <f t="shared" si="65"/>
        <v>26.25</v>
      </c>
      <c r="Q155" s="172">
        <f t="shared" si="69"/>
        <v>22.509999999999998</v>
      </c>
      <c r="R155" s="2406"/>
      <c r="S155" s="2401"/>
      <c r="T155" s="2052" t="str">
        <f t="shared" si="73"/>
        <v>открыт</v>
      </c>
      <c r="U155" s="2399"/>
      <c r="V155" s="2399"/>
      <c r="W155" s="2399" t="s">
        <v>3034</v>
      </c>
      <c r="X155" s="912"/>
      <c r="Y155" s="2424"/>
      <c r="Z155" s="2456"/>
      <c r="AA155" s="228" t="s">
        <v>1768</v>
      </c>
      <c r="AB155" s="230">
        <f t="shared" si="74"/>
        <v>25</v>
      </c>
      <c r="AC155" s="229" t="str">
        <f t="shared" si="75"/>
        <v>+</v>
      </c>
      <c r="AD155" s="229">
        <f t="shared" si="76"/>
        <v>25</v>
      </c>
      <c r="AE155" s="229"/>
      <c r="AF155" s="228"/>
      <c r="AG155" s="212" t="str">
        <f t="shared" si="77"/>
        <v>25+25</v>
      </c>
      <c r="AH155" s="172">
        <f>SUM(AH101+AH109)</f>
        <v>0</v>
      </c>
      <c r="AI155" s="172">
        <f t="shared" si="70"/>
        <v>4.3600000000000003</v>
      </c>
      <c r="AJ155" s="1973">
        <f t="shared" si="78"/>
        <v>0.62</v>
      </c>
      <c r="AK155" s="212">
        <f t="shared" si="79"/>
        <v>120</v>
      </c>
      <c r="AL155" s="172">
        <f t="shared" si="66"/>
        <v>3.74</v>
      </c>
      <c r="AM155" s="1973">
        <f t="shared" si="80"/>
        <v>0</v>
      </c>
      <c r="AN155" s="880">
        <f t="shared" si="67"/>
        <v>26.25</v>
      </c>
      <c r="AO155" s="172">
        <f t="shared" si="68"/>
        <v>22.509999999999998</v>
      </c>
      <c r="AP155" s="2406"/>
      <c r="AQ155" s="2399" t="str">
        <f t="shared" si="71"/>
        <v>открыт</v>
      </c>
      <c r="AR155" s="2052" t="str">
        <f t="shared" si="81"/>
        <v>открыт</v>
      </c>
      <c r="AS155" s="2453"/>
      <c r="AT155" s="937" t="s">
        <v>744</v>
      </c>
      <c r="AU155" s="1095">
        <v>1959</v>
      </c>
      <c r="AV155" s="1101" t="s">
        <v>3218</v>
      </c>
      <c r="AW155" s="1103">
        <v>57.637373082097099</v>
      </c>
      <c r="AX155" s="1103">
        <v>34.465650829909301</v>
      </c>
    </row>
    <row r="156" spans="1:50" ht="15" customHeight="1" x14ac:dyDescent="0.25">
      <c r="A156" s="2425"/>
      <c r="B156" s="2441"/>
      <c r="C156" s="228" t="s">
        <v>1767</v>
      </c>
      <c r="D156" s="230">
        <v>25</v>
      </c>
      <c r="E156" s="229" t="s">
        <v>773</v>
      </c>
      <c r="F156" s="229">
        <v>25</v>
      </c>
      <c r="G156" s="229"/>
      <c r="H156" s="228"/>
      <c r="I156" s="229" t="str">
        <f t="shared" si="72"/>
        <v>25+25</v>
      </c>
      <c r="J156" s="882">
        <v>0.18</v>
      </c>
      <c r="K156" s="1423">
        <v>0</v>
      </c>
      <c r="L156" s="1422">
        <v>0</v>
      </c>
      <c r="M156" s="172">
        <f t="shared" si="64"/>
        <v>0.18</v>
      </c>
      <c r="N156" s="172">
        <v>0</v>
      </c>
      <c r="O156" s="880"/>
      <c r="P156" s="880">
        <f t="shared" si="65"/>
        <v>26.25</v>
      </c>
      <c r="Q156" s="172">
        <f t="shared" si="69"/>
        <v>26.07</v>
      </c>
      <c r="R156" s="2407"/>
      <c r="S156" s="2402"/>
      <c r="T156" s="2052" t="str">
        <f t="shared" si="73"/>
        <v>открыт</v>
      </c>
      <c r="U156" s="2399"/>
      <c r="V156" s="2399"/>
      <c r="W156" s="2399" t="s">
        <v>3034</v>
      </c>
      <c r="X156" s="912"/>
      <c r="Y156" s="2425"/>
      <c r="Z156" s="2457"/>
      <c r="AA156" s="228" t="s">
        <v>1767</v>
      </c>
      <c r="AB156" s="230">
        <f t="shared" si="74"/>
        <v>25</v>
      </c>
      <c r="AC156" s="229" t="str">
        <f t="shared" si="75"/>
        <v>+</v>
      </c>
      <c r="AD156" s="229">
        <f t="shared" si="76"/>
        <v>25</v>
      </c>
      <c r="AE156" s="229"/>
      <c r="AF156" s="228"/>
      <c r="AG156" s="212" t="str">
        <f t="shared" si="77"/>
        <v>25+25</v>
      </c>
      <c r="AH156" s="244">
        <f>'Зона ВЭс'!L235</f>
        <v>0</v>
      </c>
      <c r="AI156" s="172">
        <f t="shared" si="70"/>
        <v>0.18</v>
      </c>
      <c r="AJ156" s="1973">
        <f t="shared" si="78"/>
        <v>0</v>
      </c>
      <c r="AK156" s="212">
        <f t="shared" si="79"/>
        <v>0</v>
      </c>
      <c r="AL156" s="172">
        <f t="shared" si="66"/>
        <v>0.18</v>
      </c>
      <c r="AM156" s="1973">
        <f t="shared" si="80"/>
        <v>0</v>
      </c>
      <c r="AN156" s="880">
        <f t="shared" si="67"/>
        <v>26.25</v>
      </c>
      <c r="AO156" s="172">
        <f t="shared" si="68"/>
        <v>26.07</v>
      </c>
      <c r="AP156" s="2407"/>
      <c r="AQ156" s="2399" t="str">
        <f t="shared" si="71"/>
        <v>открыт</v>
      </c>
      <c r="AR156" s="2052" t="str">
        <f t="shared" si="81"/>
        <v>открыт</v>
      </c>
      <c r="AS156" s="2454"/>
      <c r="AT156" s="937" t="s">
        <v>744</v>
      </c>
      <c r="AU156" s="1095">
        <v>1959</v>
      </c>
      <c r="AV156" s="1101" t="s">
        <v>3218</v>
      </c>
      <c r="AW156" s="1103">
        <v>57.637373082097099</v>
      </c>
      <c r="AX156" s="1103">
        <v>34.465650829909301</v>
      </c>
    </row>
    <row r="157" spans="1:50" ht="15" customHeight="1" x14ac:dyDescent="0.25">
      <c r="A157" s="84">
        <v>111</v>
      </c>
      <c r="B157" s="84">
        <v>1</v>
      </c>
      <c r="C157" s="84" t="s">
        <v>994</v>
      </c>
      <c r="D157" s="230">
        <v>6.3</v>
      </c>
      <c r="E157" s="229"/>
      <c r="F157" s="229"/>
      <c r="G157" s="229"/>
      <c r="H157" s="228"/>
      <c r="I157" s="229" t="str">
        <f t="shared" si="72"/>
        <v>6,3</v>
      </c>
      <c r="J157" s="882">
        <v>2.62</v>
      </c>
      <c r="K157" s="1428">
        <v>1.2</v>
      </c>
      <c r="L157" s="1427" t="s">
        <v>334</v>
      </c>
      <c r="M157" s="23">
        <f>K157</f>
        <v>1.2</v>
      </c>
      <c r="N157" s="172">
        <v>0</v>
      </c>
      <c r="O157" s="880"/>
      <c r="P157" s="881">
        <f>M157-N157</f>
        <v>1.2</v>
      </c>
      <c r="Q157" s="23">
        <f>P157-J157</f>
        <v>-1.4200000000000002</v>
      </c>
      <c r="R157" s="23">
        <f t="shared" ref="R157:R182" si="83">Q157</f>
        <v>-1.4200000000000002</v>
      </c>
      <c r="S157" s="757" t="str">
        <f t="shared" si="82"/>
        <v>закрыт</v>
      </c>
      <c r="T157" s="2052" t="str">
        <f t="shared" si="73"/>
        <v>закрыт</v>
      </c>
      <c r="U157" s="757">
        <f>(J157*100)/(I157*1.05)</f>
        <v>39.60695389266818</v>
      </c>
      <c r="V157" s="2254" t="s">
        <v>3218</v>
      </c>
      <c r="W157" s="2254" t="s">
        <v>3399</v>
      </c>
      <c r="X157" s="912"/>
      <c r="Y157" s="84">
        <v>111</v>
      </c>
      <c r="Z157" s="255">
        <v>1</v>
      </c>
      <c r="AA157" s="84" t="s">
        <v>994</v>
      </c>
      <c r="AB157" s="230">
        <f t="shared" si="74"/>
        <v>6.3</v>
      </c>
      <c r="AC157" s="229"/>
      <c r="AD157" s="229"/>
      <c r="AE157" s="229"/>
      <c r="AF157" s="228"/>
      <c r="AG157" s="212" t="str">
        <f t="shared" si="77"/>
        <v>6,3</v>
      </c>
      <c r="AH157" s="23">
        <f>'Зона КиЭс  '!L16</f>
        <v>0.34836956521739132</v>
      </c>
      <c r="AI157" s="23">
        <f t="shared" si="70"/>
        <v>2.9683695652173916</v>
      </c>
      <c r="AJ157" s="1973">
        <f t="shared" si="78"/>
        <v>1.2</v>
      </c>
      <c r="AK157" s="212" t="str">
        <f t="shared" si="79"/>
        <v>1 сутки</v>
      </c>
      <c r="AL157" s="172">
        <f>AJ157</f>
        <v>1.2</v>
      </c>
      <c r="AM157" s="1973">
        <f t="shared" si="80"/>
        <v>0</v>
      </c>
      <c r="AN157" s="881">
        <f>AL157-AM157</f>
        <v>1.2</v>
      </c>
      <c r="AO157" s="23">
        <f>AN157-AI157</f>
        <v>-1.7683695652173916</v>
      </c>
      <c r="AP157" s="23">
        <f>AO157</f>
        <v>-1.7683695652173916</v>
      </c>
      <c r="AQ157" s="84" t="str">
        <f t="shared" si="71"/>
        <v>закрыт</v>
      </c>
      <c r="AR157" s="2052" t="str">
        <f t="shared" si="81"/>
        <v>закрыт</v>
      </c>
      <c r="AS157" s="935">
        <f>(AI157*100)/(AG157*1.05)</f>
        <v>44.873311643497985</v>
      </c>
      <c r="AT157" s="937" t="s">
        <v>746</v>
      </c>
      <c r="AU157" s="1095">
        <v>1980</v>
      </c>
      <c r="AV157" s="1101" t="s">
        <v>3218</v>
      </c>
      <c r="AW157" s="1103">
        <v>56.888055490109899</v>
      </c>
      <c r="AX157" s="1103">
        <v>37.371419727633999</v>
      </c>
    </row>
    <row r="158" spans="1:50" ht="15" customHeight="1" x14ac:dyDescent="0.25">
      <c r="A158" s="84">
        <v>112</v>
      </c>
      <c r="B158" s="84">
        <v>2</v>
      </c>
      <c r="C158" s="84" t="s">
        <v>995</v>
      </c>
      <c r="D158" s="230">
        <v>2.5</v>
      </c>
      <c r="E158" s="229" t="s">
        <v>773</v>
      </c>
      <c r="F158" s="229">
        <v>2.5</v>
      </c>
      <c r="G158" s="229"/>
      <c r="H158" s="228"/>
      <c r="I158" s="229" t="str">
        <f t="shared" si="72"/>
        <v>2,5+2,5</v>
      </c>
      <c r="J158" s="882">
        <v>0.8</v>
      </c>
      <c r="K158" s="1428">
        <v>0</v>
      </c>
      <c r="L158" s="90">
        <v>0</v>
      </c>
      <c r="M158" s="23">
        <f t="shared" ref="M158:M189" si="84">J158-K158</f>
        <v>0.8</v>
      </c>
      <c r="N158" s="172">
        <v>0</v>
      </c>
      <c r="O158" s="880"/>
      <c r="P158" s="880">
        <f t="shared" ref="P158:P189" si="85">MIN(D158:F158)*1.05</f>
        <v>2.625</v>
      </c>
      <c r="Q158" s="23">
        <f t="shared" ref="Q158:Q189" si="86">P158-M158-N158</f>
        <v>1.825</v>
      </c>
      <c r="R158" s="23">
        <f t="shared" si="83"/>
        <v>1.825</v>
      </c>
      <c r="S158" s="757" t="str">
        <f t="shared" si="82"/>
        <v>открыт</v>
      </c>
      <c r="T158" s="2052" t="str">
        <f t="shared" si="73"/>
        <v>открыт</v>
      </c>
      <c r="U158" s="757">
        <f t="shared" ref="U158:U183" si="87">(J158*100)/P158</f>
        <v>30.476190476190474</v>
      </c>
      <c r="V158" s="2254">
        <v>0.47</v>
      </c>
      <c r="W158" s="2254" t="s">
        <v>3033</v>
      </c>
      <c r="X158" s="912"/>
      <c r="Y158" s="84">
        <v>112</v>
      </c>
      <c r="Z158" s="255">
        <v>2</v>
      </c>
      <c r="AA158" s="84" t="s">
        <v>995</v>
      </c>
      <c r="AB158" s="230">
        <f t="shared" si="74"/>
        <v>2.5</v>
      </c>
      <c r="AC158" s="229" t="str">
        <f t="shared" si="75"/>
        <v>+</v>
      </c>
      <c r="AD158" s="229">
        <f t="shared" si="76"/>
        <v>2.5</v>
      </c>
      <c r="AE158" s="229"/>
      <c r="AF158" s="228"/>
      <c r="AG158" s="212" t="str">
        <f t="shared" si="77"/>
        <v>2,5+2,5</v>
      </c>
      <c r="AH158" s="23">
        <f>'Зона КиЭс  '!L42</f>
        <v>0.6163043478260869</v>
      </c>
      <c r="AI158" s="23">
        <f t="shared" si="70"/>
        <v>1.4163043478260868</v>
      </c>
      <c r="AJ158" s="1973">
        <f t="shared" si="78"/>
        <v>0</v>
      </c>
      <c r="AK158" s="212">
        <f t="shared" si="79"/>
        <v>0</v>
      </c>
      <c r="AL158" s="172">
        <f t="shared" ref="AL158:AL189" si="88">AI158-AJ158</f>
        <v>1.4163043478260868</v>
      </c>
      <c r="AM158" s="1973">
        <f t="shared" si="80"/>
        <v>0</v>
      </c>
      <c r="AN158" s="880">
        <f t="shared" ref="AN158:AN189" si="89">MIN(AB158:AF158)*1.05</f>
        <v>2.625</v>
      </c>
      <c r="AO158" s="23">
        <f t="shared" ref="AO158:AO189" si="90">AN158-AL158-AM158</f>
        <v>1.2086956521739132</v>
      </c>
      <c r="AP158" s="23">
        <f>AO158</f>
        <v>1.2086956521739132</v>
      </c>
      <c r="AQ158" s="84" t="str">
        <f t="shared" si="71"/>
        <v>открыт</v>
      </c>
      <c r="AR158" s="2052" t="str">
        <f t="shared" si="81"/>
        <v>открыт</v>
      </c>
      <c r="AS158" s="935">
        <f t="shared" ref="AS158:AS183" si="91">(AI158*100)/AN158</f>
        <v>53.954451345755693</v>
      </c>
      <c r="AT158" s="937" t="s">
        <v>746</v>
      </c>
      <c r="AU158" s="1095">
        <v>1977</v>
      </c>
      <c r="AV158" s="1101" t="s">
        <v>3218</v>
      </c>
      <c r="AW158" s="1103">
        <v>57.244514696535497</v>
      </c>
      <c r="AX158" s="1103">
        <v>37.584015705671703</v>
      </c>
    </row>
    <row r="159" spans="1:50" ht="15" customHeight="1" x14ac:dyDescent="0.25">
      <c r="A159" s="84">
        <v>113</v>
      </c>
      <c r="B159" s="84">
        <v>3</v>
      </c>
      <c r="C159" s="84" t="s">
        <v>2646</v>
      </c>
      <c r="D159" s="230">
        <v>5.6</v>
      </c>
      <c r="E159" s="229" t="s">
        <v>773</v>
      </c>
      <c r="F159" s="229">
        <v>6.3</v>
      </c>
      <c r="G159" s="229"/>
      <c r="H159" s="228"/>
      <c r="I159" s="229" t="str">
        <f t="shared" si="72"/>
        <v>5,6+6,3</v>
      </c>
      <c r="J159" s="882">
        <v>3.06</v>
      </c>
      <c r="K159" s="1428">
        <v>0</v>
      </c>
      <c r="L159" s="90">
        <v>0</v>
      </c>
      <c r="M159" s="23">
        <f t="shared" si="84"/>
        <v>3.06</v>
      </c>
      <c r="N159" s="172">
        <v>0</v>
      </c>
      <c r="O159" s="880"/>
      <c r="P159" s="880">
        <f t="shared" si="85"/>
        <v>5.88</v>
      </c>
      <c r="Q159" s="23">
        <f t="shared" si="86"/>
        <v>2.82</v>
      </c>
      <c r="R159" s="23">
        <f t="shared" si="83"/>
        <v>2.82</v>
      </c>
      <c r="S159" s="757" t="str">
        <f t="shared" si="82"/>
        <v>открыт</v>
      </c>
      <c r="T159" s="2052" t="str">
        <f t="shared" si="73"/>
        <v>открыт</v>
      </c>
      <c r="U159" s="757">
        <f t="shared" si="87"/>
        <v>52.04081632653061</v>
      </c>
      <c r="V159" s="2254" t="s">
        <v>3218</v>
      </c>
      <c r="W159" s="2254" t="s">
        <v>3399</v>
      </c>
      <c r="X159" s="912"/>
      <c r="Y159" s="84">
        <v>113</v>
      </c>
      <c r="Z159" s="255">
        <v>3</v>
      </c>
      <c r="AA159" s="84" t="s">
        <v>2646</v>
      </c>
      <c r="AB159" s="230">
        <f t="shared" si="74"/>
        <v>5.6</v>
      </c>
      <c r="AC159" s="229" t="str">
        <f t="shared" si="75"/>
        <v>+</v>
      </c>
      <c r="AD159" s="229">
        <f t="shared" si="76"/>
        <v>6.3</v>
      </c>
      <c r="AE159" s="229"/>
      <c r="AF159" s="228"/>
      <c r="AG159" s="212" t="str">
        <f t="shared" si="77"/>
        <v>5,6+6,3</v>
      </c>
      <c r="AH159" s="23">
        <f>'Зона КиЭс  '!L64</f>
        <v>0.91887096774193544</v>
      </c>
      <c r="AI159" s="23">
        <f t="shared" si="70"/>
        <v>3.9788709677419356</v>
      </c>
      <c r="AJ159" s="1973">
        <f t="shared" si="78"/>
        <v>0</v>
      </c>
      <c r="AK159" s="212">
        <f t="shared" si="79"/>
        <v>0</v>
      </c>
      <c r="AL159" s="172">
        <f t="shared" si="88"/>
        <v>3.9788709677419356</v>
      </c>
      <c r="AM159" s="1973">
        <f t="shared" si="80"/>
        <v>0</v>
      </c>
      <c r="AN159" s="880">
        <f t="shared" si="89"/>
        <v>5.88</v>
      </c>
      <c r="AO159" s="23">
        <f t="shared" si="90"/>
        <v>1.9011290322580643</v>
      </c>
      <c r="AP159" s="23">
        <f t="shared" ref="AP159:AP182" si="92">AO159</f>
        <v>1.9011290322580643</v>
      </c>
      <c r="AQ159" s="84" t="str">
        <f t="shared" si="71"/>
        <v>открыт</v>
      </c>
      <c r="AR159" s="2052" t="str">
        <f t="shared" si="81"/>
        <v>открыт</v>
      </c>
      <c r="AS159" s="935">
        <f t="shared" si="91"/>
        <v>67.66787360105333</v>
      </c>
      <c r="AT159" s="937" t="s">
        <v>746</v>
      </c>
      <c r="AU159" s="1095">
        <v>1963</v>
      </c>
      <c r="AV159" s="1101" t="s">
        <v>3218</v>
      </c>
      <c r="AW159" s="1103">
        <v>56.959902731357602</v>
      </c>
      <c r="AX159" s="1103">
        <v>37.513246034750402</v>
      </c>
    </row>
    <row r="160" spans="1:50" ht="15" customHeight="1" x14ac:dyDescent="0.25">
      <c r="A160" s="84">
        <v>114</v>
      </c>
      <c r="B160" s="84">
        <v>4</v>
      </c>
      <c r="C160" s="84" t="s">
        <v>996</v>
      </c>
      <c r="D160" s="230">
        <v>2.5</v>
      </c>
      <c r="E160" s="229" t="s">
        <v>773</v>
      </c>
      <c r="F160" s="229">
        <v>2.5</v>
      </c>
      <c r="G160" s="229"/>
      <c r="H160" s="228"/>
      <c r="I160" s="229" t="str">
        <f t="shared" si="72"/>
        <v>2,5+2,5</v>
      </c>
      <c r="J160" s="882">
        <v>1.36</v>
      </c>
      <c r="K160" s="1428">
        <v>0</v>
      </c>
      <c r="L160" s="90">
        <v>0</v>
      </c>
      <c r="M160" s="23">
        <f t="shared" si="84"/>
        <v>1.36</v>
      </c>
      <c r="N160" s="172">
        <v>0</v>
      </c>
      <c r="O160" s="880"/>
      <c r="P160" s="880">
        <f t="shared" si="85"/>
        <v>2.625</v>
      </c>
      <c r="Q160" s="23">
        <f t="shared" si="86"/>
        <v>1.2649999999999999</v>
      </c>
      <c r="R160" s="23">
        <f t="shared" si="83"/>
        <v>1.2649999999999999</v>
      </c>
      <c r="S160" s="757" t="str">
        <f t="shared" si="82"/>
        <v>открыт</v>
      </c>
      <c r="T160" s="2052" t="str">
        <f t="shared" si="73"/>
        <v>открыт</v>
      </c>
      <c r="U160" s="757">
        <f t="shared" si="87"/>
        <v>51.80952380952381</v>
      </c>
      <c r="V160" s="2254">
        <v>0.49</v>
      </c>
      <c r="W160" s="2254" t="s">
        <v>3033</v>
      </c>
      <c r="X160" s="912"/>
      <c r="Y160" s="84">
        <v>114</v>
      </c>
      <c r="Z160" s="255">
        <v>4</v>
      </c>
      <c r="AA160" s="84" t="s">
        <v>996</v>
      </c>
      <c r="AB160" s="230">
        <f t="shared" si="74"/>
        <v>2.5</v>
      </c>
      <c r="AC160" s="229" t="str">
        <f t="shared" si="75"/>
        <v>+</v>
      </c>
      <c r="AD160" s="229">
        <f t="shared" si="76"/>
        <v>2.5</v>
      </c>
      <c r="AE160" s="229"/>
      <c r="AF160" s="228"/>
      <c r="AG160" s="212" t="str">
        <f t="shared" si="77"/>
        <v>2,5+2,5</v>
      </c>
      <c r="AH160" s="23">
        <f>'Зона КиЭс  '!L80</f>
        <v>0.59576086956521745</v>
      </c>
      <c r="AI160" s="23">
        <f t="shared" si="70"/>
        <v>1.9557608695652176</v>
      </c>
      <c r="AJ160" s="1973">
        <f t="shared" si="78"/>
        <v>0</v>
      </c>
      <c r="AK160" s="212">
        <f t="shared" si="79"/>
        <v>0</v>
      </c>
      <c r="AL160" s="172">
        <f t="shared" si="88"/>
        <v>1.9557608695652176</v>
      </c>
      <c r="AM160" s="1973">
        <f t="shared" si="80"/>
        <v>0</v>
      </c>
      <c r="AN160" s="880">
        <f t="shared" si="89"/>
        <v>2.625</v>
      </c>
      <c r="AO160" s="23">
        <f t="shared" si="90"/>
        <v>0.66923913043478245</v>
      </c>
      <c r="AP160" s="23">
        <f t="shared" si="92"/>
        <v>0.66923913043478245</v>
      </c>
      <c r="AQ160" s="84" t="str">
        <f t="shared" si="71"/>
        <v>открыт</v>
      </c>
      <c r="AR160" s="2052" t="str">
        <f t="shared" si="81"/>
        <v>открыт</v>
      </c>
      <c r="AS160" s="935">
        <f t="shared" si="91"/>
        <v>74.505175983436857</v>
      </c>
      <c r="AT160" s="937" t="s">
        <v>746</v>
      </c>
      <c r="AU160" s="1095">
        <v>1988</v>
      </c>
      <c r="AV160" s="1101" t="s">
        <v>3218</v>
      </c>
      <c r="AW160" s="1103">
        <v>57.242480311326098</v>
      </c>
      <c r="AX160" s="1103">
        <v>37.884221681446903</v>
      </c>
    </row>
    <row r="161" spans="1:50" ht="15" customHeight="1" x14ac:dyDescent="0.25">
      <c r="A161" s="84">
        <v>115</v>
      </c>
      <c r="B161" s="84">
        <v>5</v>
      </c>
      <c r="C161" s="84" t="s">
        <v>997</v>
      </c>
      <c r="D161" s="230">
        <v>6.3</v>
      </c>
      <c r="E161" s="229" t="s">
        <v>773</v>
      </c>
      <c r="F161" s="229">
        <v>6.3</v>
      </c>
      <c r="G161" s="229"/>
      <c r="H161" s="228"/>
      <c r="I161" s="229" t="str">
        <f t="shared" si="72"/>
        <v>6,3+6,3</v>
      </c>
      <c r="J161" s="882">
        <v>4.5</v>
      </c>
      <c r="K161" s="1428">
        <v>0</v>
      </c>
      <c r="L161" s="90">
        <v>0</v>
      </c>
      <c r="M161" s="23">
        <f t="shared" si="84"/>
        <v>4.5</v>
      </c>
      <c r="N161" s="172">
        <v>0</v>
      </c>
      <c r="O161" s="880"/>
      <c r="P161" s="880">
        <f t="shared" si="85"/>
        <v>6.6150000000000002</v>
      </c>
      <c r="Q161" s="23">
        <f t="shared" si="86"/>
        <v>2.1150000000000002</v>
      </c>
      <c r="R161" s="23">
        <f t="shared" si="83"/>
        <v>2.1150000000000002</v>
      </c>
      <c r="S161" s="757" t="str">
        <f t="shared" si="82"/>
        <v>открыт</v>
      </c>
      <c r="T161" s="2052" t="str">
        <f t="shared" si="73"/>
        <v>открыт</v>
      </c>
      <c r="U161" s="757">
        <f t="shared" si="87"/>
        <v>68.027210884353735</v>
      </c>
      <c r="V161" s="2254">
        <v>0.32</v>
      </c>
      <c r="W161" s="2254" t="s">
        <v>3033</v>
      </c>
      <c r="X161" s="912"/>
      <c r="Y161" s="84">
        <v>115</v>
      </c>
      <c r="Z161" s="255">
        <v>5</v>
      </c>
      <c r="AA161" s="84" t="s">
        <v>997</v>
      </c>
      <c r="AB161" s="230">
        <f t="shared" si="74"/>
        <v>6.3</v>
      </c>
      <c r="AC161" s="229" t="str">
        <f t="shared" si="75"/>
        <v>+</v>
      </c>
      <c r="AD161" s="229">
        <f t="shared" si="76"/>
        <v>6.3</v>
      </c>
      <c r="AE161" s="229"/>
      <c r="AF161" s="228"/>
      <c r="AG161" s="212" t="str">
        <f t="shared" si="77"/>
        <v>6,3+6,3</v>
      </c>
      <c r="AH161" s="23">
        <f>'Зона КиЭс  '!L82</f>
        <v>0</v>
      </c>
      <c r="AI161" s="23">
        <f t="shared" si="70"/>
        <v>4.5</v>
      </c>
      <c r="AJ161" s="1973">
        <f t="shared" si="78"/>
        <v>0</v>
      </c>
      <c r="AK161" s="212">
        <f t="shared" si="79"/>
        <v>0</v>
      </c>
      <c r="AL161" s="172">
        <f t="shared" si="88"/>
        <v>4.5</v>
      </c>
      <c r="AM161" s="1973">
        <f t="shared" si="80"/>
        <v>0</v>
      </c>
      <c r="AN161" s="880">
        <f t="shared" si="89"/>
        <v>6.6150000000000002</v>
      </c>
      <c r="AO161" s="23">
        <f t="shared" si="90"/>
        <v>2.1150000000000002</v>
      </c>
      <c r="AP161" s="23">
        <f t="shared" si="92"/>
        <v>2.1150000000000002</v>
      </c>
      <c r="AQ161" s="84" t="str">
        <f t="shared" si="71"/>
        <v>открыт</v>
      </c>
      <c r="AR161" s="2052" t="str">
        <f t="shared" si="81"/>
        <v>открыт</v>
      </c>
      <c r="AS161" s="935">
        <f t="shared" si="91"/>
        <v>68.027210884353735</v>
      </c>
      <c r="AT161" s="937" t="s">
        <v>746</v>
      </c>
      <c r="AU161" s="1095">
        <v>1992</v>
      </c>
      <c r="AV161" s="1101" t="s">
        <v>3218</v>
      </c>
      <c r="AW161" s="1103">
        <v>56.848672463074998</v>
      </c>
      <c r="AX161" s="1103">
        <v>37.379829413867697</v>
      </c>
    </row>
    <row r="162" spans="1:50" ht="15" customHeight="1" x14ac:dyDescent="0.25">
      <c r="A162" s="84">
        <v>116</v>
      </c>
      <c r="B162" s="84">
        <v>6</v>
      </c>
      <c r="C162" s="84" t="s">
        <v>998</v>
      </c>
      <c r="D162" s="230">
        <v>4</v>
      </c>
      <c r="E162" s="229" t="s">
        <v>773</v>
      </c>
      <c r="F162" s="229">
        <v>2.5</v>
      </c>
      <c r="G162" s="229"/>
      <c r="H162" s="228"/>
      <c r="I162" s="229" t="str">
        <f t="shared" si="72"/>
        <v>4+2,5</v>
      </c>
      <c r="J162" s="882">
        <v>1.21</v>
      </c>
      <c r="K162" s="1428">
        <v>0</v>
      </c>
      <c r="L162" s="90">
        <v>0</v>
      </c>
      <c r="M162" s="23">
        <f t="shared" si="84"/>
        <v>1.21</v>
      </c>
      <c r="N162" s="172">
        <v>0</v>
      </c>
      <c r="O162" s="880"/>
      <c r="P162" s="880">
        <f t="shared" si="85"/>
        <v>2.625</v>
      </c>
      <c r="Q162" s="23">
        <f t="shared" si="86"/>
        <v>1.415</v>
      </c>
      <c r="R162" s="23">
        <f t="shared" si="83"/>
        <v>1.415</v>
      </c>
      <c r="S162" s="757" t="str">
        <f t="shared" si="82"/>
        <v>открыт</v>
      </c>
      <c r="T162" s="2052" t="str">
        <f t="shared" si="73"/>
        <v>открыт</v>
      </c>
      <c r="U162" s="757">
        <f t="shared" si="87"/>
        <v>46.095238095238095</v>
      </c>
      <c r="V162" s="2254">
        <v>0.52</v>
      </c>
      <c r="W162" s="2254" t="s">
        <v>3033</v>
      </c>
      <c r="X162" s="912"/>
      <c r="Y162" s="84">
        <v>116</v>
      </c>
      <c r="Z162" s="255">
        <v>6</v>
      </c>
      <c r="AA162" s="84" t="s">
        <v>998</v>
      </c>
      <c r="AB162" s="230">
        <f t="shared" si="74"/>
        <v>4</v>
      </c>
      <c r="AC162" s="229" t="str">
        <f t="shared" si="75"/>
        <v>+</v>
      </c>
      <c r="AD162" s="229">
        <f t="shared" si="76"/>
        <v>2.5</v>
      </c>
      <c r="AE162" s="229"/>
      <c r="AF162" s="228"/>
      <c r="AG162" s="212" t="str">
        <f t="shared" si="77"/>
        <v>4+2,5</v>
      </c>
      <c r="AH162" s="23">
        <f>'Зона КиЭс  '!L93</f>
        <v>0.4226086956521739</v>
      </c>
      <c r="AI162" s="23">
        <f t="shared" si="70"/>
        <v>1.6326086956521739</v>
      </c>
      <c r="AJ162" s="1973">
        <f t="shared" si="78"/>
        <v>0</v>
      </c>
      <c r="AK162" s="212">
        <f t="shared" si="79"/>
        <v>0</v>
      </c>
      <c r="AL162" s="172">
        <f t="shared" si="88"/>
        <v>1.6326086956521739</v>
      </c>
      <c r="AM162" s="1973">
        <f t="shared" si="80"/>
        <v>0</v>
      </c>
      <c r="AN162" s="880">
        <f t="shared" si="89"/>
        <v>2.625</v>
      </c>
      <c r="AO162" s="23">
        <f t="shared" si="90"/>
        <v>0.99239130434782608</v>
      </c>
      <c r="AP162" s="23">
        <f t="shared" si="92"/>
        <v>0.99239130434782608</v>
      </c>
      <c r="AQ162" s="84" t="str">
        <f t="shared" si="71"/>
        <v>открыт</v>
      </c>
      <c r="AR162" s="2052" t="str">
        <f t="shared" si="81"/>
        <v>открыт</v>
      </c>
      <c r="AS162" s="935">
        <f t="shared" si="91"/>
        <v>62.194616977225678</v>
      </c>
      <c r="AT162" s="937" t="s">
        <v>746</v>
      </c>
      <c r="AU162" s="1095">
        <v>1960</v>
      </c>
      <c r="AV162" s="1101" t="s">
        <v>3218</v>
      </c>
      <c r="AW162" s="1103">
        <v>56.947236572806403</v>
      </c>
      <c r="AX162" s="1103">
        <v>37.166472023563799</v>
      </c>
    </row>
    <row r="163" spans="1:50" ht="15" customHeight="1" x14ac:dyDescent="0.25">
      <c r="A163" s="84">
        <v>117</v>
      </c>
      <c r="B163" s="84">
        <v>7</v>
      </c>
      <c r="C163" s="84" t="s">
        <v>999</v>
      </c>
      <c r="D163" s="230">
        <v>6.3</v>
      </c>
      <c r="E163" s="229" t="s">
        <v>773</v>
      </c>
      <c r="F163" s="229">
        <v>6.3</v>
      </c>
      <c r="G163" s="229"/>
      <c r="H163" s="228"/>
      <c r="I163" s="229" t="str">
        <f t="shared" si="72"/>
        <v>6,3+6,3</v>
      </c>
      <c r="J163" s="882">
        <v>4.6399999999999997</v>
      </c>
      <c r="K163" s="1428">
        <v>0</v>
      </c>
      <c r="L163" s="90">
        <v>0</v>
      </c>
      <c r="M163" s="23">
        <f t="shared" si="84"/>
        <v>4.6399999999999997</v>
      </c>
      <c r="N163" s="172">
        <v>0</v>
      </c>
      <c r="O163" s="880"/>
      <c r="P163" s="880">
        <f t="shared" si="85"/>
        <v>6.6150000000000002</v>
      </c>
      <c r="Q163" s="23">
        <f t="shared" si="86"/>
        <v>1.9750000000000005</v>
      </c>
      <c r="R163" s="23">
        <f t="shared" si="83"/>
        <v>1.9750000000000005</v>
      </c>
      <c r="S163" s="757" t="str">
        <f t="shared" si="82"/>
        <v>открыт</v>
      </c>
      <c r="T163" s="2052" t="str">
        <f t="shared" si="73"/>
        <v>открыт</v>
      </c>
      <c r="U163" s="757">
        <f t="shared" si="87"/>
        <v>70.143613000755849</v>
      </c>
      <c r="V163" s="2254">
        <v>0.28000000000000003</v>
      </c>
      <c r="W163" s="2254" t="s">
        <v>3033</v>
      </c>
      <c r="X163" s="912"/>
      <c r="Y163" s="84">
        <v>117</v>
      </c>
      <c r="Z163" s="255">
        <v>7</v>
      </c>
      <c r="AA163" s="84" t="s">
        <v>999</v>
      </c>
      <c r="AB163" s="230">
        <f t="shared" si="74"/>
        <v>6.3</v>
      </c>
      <c r="AC163" s="229" t="str">
        <f t="shared" si="75"/>
        <v>+</v>
      </c>
      <c r="AD163" s="229">
        <f t="shared" si="76"/>
        <v>6.3</v>
      </c>
      <c r="AE163" s="229"/>
      <c r="AF163" s="228"/>
      <c r="AG163" s="212" t="str">
        <f t="shared" si="77"/>
        <v>6,3+6,3</v>
      </c>
      <c r="AH163" s="23">
        <f>'Зона КиЭс  '!L114</f>
        <v>0.63782608695652165</v>
      </c>
      <c r="AI163" s="23">
        <f t="shared" si="70"/>
        <v>5.2778260869565212</v>
      </c>
      <c r="AJ163" s="1973">
        <f t="shared" si="78"/>
        <v>0</v>
      </c>
      <c r="AK163" s="212">
        <f t="shared" si="79"/>
        <v>0</v>
      </c>
      <c r="AL163" s="172">
        <f t="shared" si="88"/>
        <v>5.2778260869565212</v>
      </c>
      <c r="AM163" s="1973">
        <f t="shared" si="80"/>
        <v>0</v>
      </c>
      <c r="AN163" s="880">
        <f t="shared" si="89"/>
        <v>6.6150000000000002</v>
      </c>
      <c r="AO163" s="23">
        <f t="shared" si="90"/>
        <v>1.337173913043479</v>
      </c>
      <c r="AP163" s="23">
        <f t="shared" si="92"/>
        <v>1.337173913043479</v>
      </c>
      <c r="AQ163" s="221" t="str">
        <f>AR163</f>
        <v>открыт</v>
      </c>
      <c r="AR163" s="2052" t="str">
        <f t="shared" si="81"/>
        <v>открыт</v>
      </c>
      <c r="AS163" s="935">
        <f t="shared" si="91"/>
        <v>79.785730717407731</v>
      </c>
      <c r="AT163" s="937" t="s">
        <v>746</v>
      </c>
      <c r="AU163" s="1095">
        <v>1972</v>
      </c>
      <c r="AV163" s="1101" t="s">
        <v>3218</v>
      </c>
      <c r="AW163" s="1103">
        <v>57.2325275754039</v>
      </c>
      <c r="AX163" s="1103">
        <v>37.856639171112803</v>
      </c>
    </row>
    <row r="164" spans="1:50" ht="15" customHeight="1" x14ac:dyDescent="0.25">
      <c r="A164" s="84">
        <v>118</v>
      </c>
      <c r="B164" s="84">
        <v>8</v>
      </c>
      <c r="C164" s="84" t="s">
        <v>1000</v>
      </c>
      <c r="D164" s="230">
        <v>16</v>
      </c>
      <c r="E164" s="229" t="s">
        <v>773</v>
      </c>
      <c r="F164" s="229">
        <v>16</v>
      </c>
      <c r="G164" s="229"/>
      <c r="H164" s="228"/>
      <c r="I164" s="229" t="str">
        <f t="shared" si="72"/>
        <v>16+16</v>
      </c>
      <c r="J164" s="882">
        <v>7.21</v>
      </c>
      <c r="K164" s="1428">
        <v>0</v>
      </c>
      <c r="L164" s="90">
        <v>0</v>
      </c>
      <c r="M164" s="23">
        <f t="shared" si="84"/>
        <v>7.21</v>
      </c>
      <c r="N164" s="172">
        <v>0</v>
      </c>
      <c r="O164" s="880"/>
      <c r="P164" s="880">
        <f t="shared" si="85"/>
        <v>16.8</v>
      </c>
      <c r="Q164" s="23">
        <f t="shared" si="86"/>
        <v>9.59</v>
      </c>
      <c r="R164" s="23">
        <f t="shared" si="83"/>
        <v>9.59</v>
      </c>
      <c r="S164" s="757" t="str">
        <f t="shared" si="82"/>
        <v>открыт</v>
      </c>
      <c r="T164" s="2052" t="str">
        <f t="shared" si="73"/>
        <v>открыт</v>
      </c>
      <c r="U164" s="757">
        <f t="shared" si="87"/>
        <v>42.916666666666664</v>
      </c>
      <c r="V164" s="2254">
        <v>0.44</v>
      </c>
      <c r="W164" s="2254" t="s">
        <v>3033</v>
      </c>
      <c r="X164" s="912"/>
      <c r="Y164" s="84">
        <v>118</v>
      </c>
      <c r="Z164" s="255">
        <v>8</v>
      </c>
      <c r="AA164" s="84" t="s">
        <v>1000</v>
      </c>
      <c r="AB164" s="230">
        <f t="shared" si="74"/>
        <v>16</v>
      </c>
      <c r="AC164" s="229" t="str">
        <f t="shared" si="75"/>
        <v>+</v>
      </c>
      <c r="AD164" s="229">
        <f t="shared" si="76"/>
        <v>16</v>
      </c>
      <c r="AE164" s="229"/>
      <c r="AF164" s="228"/>
      <c r="AG164" s="212" t="str">
        <f t="shared" si="77"/>
        <v>16+16</v>
      </c>
      <c r="AH164" s="23">
        <f>'Зона КиЭс  '!L116</f>
        <v>0</v>
      </c>
      <c r="AI164" s="23">
        <f t="shared" si="70"/>
        <v>7.21</v>
      </c>
      <c r="AJ164" s="1973">
        <f t="shared" si="78"/>
        <v>0</v>
      </c>
      <c r="AK164" s="212">
        <f t="shared" si="79"/>
        <v>0</v>
      </c>
      <c r="AL164" s="172">
        <f t="shared" si="88"/>
        <v>7.21</v>
      </c>
      <c r="AM164" s="1973">
        <f t="shared" si="80"/>
        <v>0</v>
      </c>
      <c r="AN164" s="880">
        <f t="shared" si="89"/>
        <v>16.8</v>
      </c>
      <c r="AO164" s="23">
        <f t="shared" si="90"/>
        <v>9.59</v>
      </c>
      <c r="AP164" s="23">
        <f t="shared" si="92"/>
        <v>9.59</v>
      </c>
      <c r="AQ164" s="221" t="str">
        <f t="shared" si="71"/>
        <v>открыт</v>
      </c>
      <c r="AR164" s="2052" t="str">
        <f t="shared" si="81"/>
        <v>открыт</v>
      </c>
      <c r="AS164" s="935">
        <f t="shared" si="91"/>
        <v>42.916666666666664</v>
      </c>
      <c r="AT164" s="937" t="s">
        <v>746</v>
      </c>
      <c r="AU164" s="1095">
        <v>1954</v>
      </c>
      <c r="AV164" s="1101" t="s">
        <v>3218</v>
      </c>
      <c r="AW164" s="1103">
        <v>56.851855272636001</v>
      </c>
      <c r="AX164" s="1103">
        <v>37.355667217227797</v>
      </c>
    </row>
    <row r="165" spans="1:50" ht="15" customHeight="1" x14ac:dyDescent="0.25">
      <c r="A165" s="84">
        <v>119</v>
      </c>
      <c r="B165" s="84">
        <v>9</v>
      </c>
      <c r="C165" s="84" t="s">
        <v>1001</v>
      </c>
      <c r="D165" s="230">
        <v>2.5</v>
      </c>
      <c r="E165" s="229" t="s">
        <v>773</v>
      </c>
      <c r="F165" s="229">
        <v>2.5</v>
      </c>
      <c r="G165" s="229"/>
      <c r="H165" s="228"/>
      <c r="I165" s="229" t="str">
        <f t="shared" si="72"/>
        <v>2,5+2,5</v>
      </c>
      <c r="J165" s="882">
        <v>0.56000000000000005</v>
      </c>
      <c r="K165" s="1428">
        <v>0</v>
      </c>
      <c r="L165" s="90">
        <v>0</v>
      </c>
      <c r="M165" s="23">
        <f t="shared" si="84"/>
        <v>0.56000000000000005</v>
      </c>
      <c r="N165" s="172">
        <v>0</v>
      </c>
      <c r="O165" s="880"/>
      <c r="P165" s="880">
        <f t="shared" si="85"/>
        <v>2.625</v>
      </c>
      <c r="Q165" s="23">
        <f t="shared" si="86"/>
        <v>2.0649999999999999</v>
      </c>
      <c r="R165" s="23">
        <f t="shared" si="83"/>
        <v>2.0649999999999999</v>
      </c>
      <c r="S165" s="757" t="str">
        <f t="shared" si="82"/>
        <v>открыт</v>
      </c>
      <c r="T165" s="2052" t="str">
        <f t="shared" si="73"/>
        <v>открыт</v>
      </c>
      <c r="U165" s="757">
        <f t="shared" si="87"/>
        <v>21.333333333333336</v>
      </c>
      <c r="V165" s="2254">
        <v>0.75</v>
      </c>
      <c r="W165" s="2254" t="s">
        <v>3033</v>
      </c>
      <c r="X165" s="912"/>
      <c r="Y165" s="84">
        <v>119</v>
      </c>
      <c r="Z165" s="255">
        <v>9</v>
      </c>
      <c r="AA165" s="84" t="s">
        <v>1001</v>
      </c>
      <c r="AB165" s="230">
        <f t="shared" si="74"/>
        <v>2.5</v>
      </c>
      <c r="AC165" s="229" t="str">
        <f t="shared" si="75"/>
        <v>+</v>
      </c>
      <c r="AD165" s="229">
        <f t="shared" si="76"/>
        <v>2.5</v>
      </c>
      <c r="AE165" s="229"/>
      <c r="AF165" s="228"/>
      <c r="AG165" s="212" t="str">
        <f t="shared" si="77"/>
        <v>2,5+2,5</v>
      </c>
      <c r="AH165" s="23">
        <f>'Зона КиЭс  '!L119</f>
        <v>0</v>
      </c>
      <c r="AI165" s="23">
        <f t="shared" si="70"/>
        <v>0.56000000000000005</v>
      </c>
      <c r="AJ165" s="1973">
        <f t="shared" si="78"/>
        <v>0</v>
      </c>
      <c r="AK165" s="212">
        <f t="shared" si="79"/>
        <v>0</v>
      </c>
      <c r="AL165" s="172">
        <f t="shared" si="88"/>
        <v>0.56000000000000005</v>
      </c>
      <c r="AM165" s="1973">
        <f t="shared" si="80"/>
        <v>0</v>
      </c>
      <c r="AN165" s="880">
        <f t="shared" si="89"/>
        <v>2.625</v>
      </c>
      <c r="AO165" s="23">
        <f t="shared" si="90"/>
        <v>2.0649999999999999</v>
      </c>
      <c r="AP165" s="23">
        <f t="shared" si="92"/>
        <v>2.0649999999999999</v>
      </c>
      <c r="AQ165" s="221" t="str">
        <f t="shared" si="71"/>
        <v>открыт</v>
      </c>
      <c r="AR165" s="2052" t="str">
        <f t="shared" si="81"/>
        <v>открыт</v>
      </c>
      <c r="AS165" s="935">
        <f t="shared" si="91"/>
        <v>21.333333333333336</v>
      </c>
      <c r="AT165" s="937" t="s">
        <v>746</v>
      </c>
      <c r="AU165" s="1095">
        <v>1981</v>
      </c>
      <c r="AV165" s="1101" t="s">
        <v>3218</v>
      </c>
      <c r="AW165" s="1103">
        <v>57.487016724667797</v>
      </c>
      <c r="AX165" s="1103">
        <v>37.667822676991896</v>
      </c>
    </row>
    <row r="166" spans="1:50" ht="15" customHeight="1" x14ac:dyDescent="0.25">
      <c r="A166" s="84">
        <v>120</v>
      </c>
      <c r="B166" s="84">
        <v>10</v>
      </c>
      <c r="C166" s="84" t="s">
        <v>1002</v>
      </c>
      <c r="D166" s="230">
        <v>4</v>
      </c>
      <c r="E166" s="229" t="s">
        <v>773</v>
      </c>
      <c r="F166" s="229">
        <v>4</v>
      </c>
      <c r="G166" s="229"/>
      <c r="H166" s="228"/>
      <c r="I166" s="229" t="str">
        <f t="shared" si="72"/>
        <v>4+4</v>
      </c>
      <c r="J166" s="882">
        <v>2.48</v>
      </c>
      <c r="K166" s="1428">
        <v>0</v>
      </c>
      <c r="L166" s="90">
        <v>0</v>
      </c>
      <c r="M166" s="23">
        <f t="shared" si="84"/>
        <v>2.48</v>
      </c>
      <c r="N166" s="172">
        <v>0</v>
      </c>
      <c r="O166" s="880"/>
      <c r="P166" s="880">
        <f t="shared" si="85"/>
        <v>4.2</v>
      </c>
      <c r="Q166" s="23">
        <f t="shared" si="86"/>
        <v>1.7200000000000002</v>
      </c>
      <c r="R166" s="23">
        <f t="shared" si="83"/>
        <v>1.7200000000000002</v>
      </c>
      <c r="S166" s="757" t="str">
        <f t="shared" si="82"/>
        <v>открыт</v>
      </c>
      <c r="T166" s="2052" t="str">
        <f t="shared" si="73"/>
        <v>открыт</v>
      </c>
      <c r="U166" s="757">
        <f t="shared" si="87"/>
        <v>59.047619047619044</v>
      </c>
      <c r="V166" s="2254">
        <v>0.47</v>
      </c>
      <c r="W166" s="2254" t="s">
        <v>3033</v>
      </c>
      <c r="X166" s="912"/>
      <c r="Y166" s="84">
        <v>120</v>
      </c>
      <c r="Z166" s="255">
        <v>10</v>
      </c>
      <c r="AA166" s="84" t="s">
        <v>1002</v>
      </c>
      <c r="AB166" s="230">
        <f t="shared" si="74"/>
        <v>4</v>
      </c>
      <c r="AC166" s="229" t="str">
        <f t="shared" si="75"/>
        <v>+</v>
      </c>
      <c r="AD166" s="229">
        <f t="shared" si="76"/>
        <v>4</v>
      </c>
      <c r="AE166" s="229"/>
      <c r="AF166" s="228"/>
      <c r="AG166" s="212" t="str">
        <f t="shared" si="77"/>
        <v>4+4</v>
      </c>
      <c r="AH166" s="23">
        <f>'Зона КиЭс  '!L125</f>
        <v>0</v>
      </c>
      <c r="AI166" s="23">
        <f t="shared" si="70"/>
        <v>2.48</v>
      </c>
      <c r="AJ166" s="1973">
        <f t="shared" si="78"/>
        <v>0</v>
      </c>
      <c r="AK166" s="212">
        <f t="shared" si="79"/>
        <v>0</v>
      </c>
      <c r="AL166" s="172">
        <f t="shared" si="88"/>
        <v>2.48</v>
      </c>
      <c r="AM166" s="1973">
        <f t="shared" si="80"/>
        <v>0</v>
      </c>
      <c r="AN166" s="880">
        <f t="shared" si="89"/>
        <v>4.2</v>
      </c>
      <c r="AO166" s="23">
        <f t="shared" si="90"/>
        <v>1.7200000000000002</v>
      </c>
      <c r="AP166" s="23">
        <f t="shared" si="92"/>
        <v>1.7200000000000002</v>
      </c>
      <c r="AQ166" s="221" t="str">
        <f t="shared" si="71"/>
        <v>открыт</v>
      </c>
      <c r="AR166" s="2052" t="str">
        <f t="shared" si="81"/>
        <v>открыт</v>
      </c>
      <c r="AS166" s="935">
        <f t="shared" si="91"/>
        <v>59.047619047619044</v>
      </c>
      <c r="AT166" s="937" t="s">
        <v>746</v>
      </c>
      <c r="AU166" s="1095">
        <v>1987</v>
      </c>
      <c r="AV166" s="1101" t="s">
        <v>3218</v>
      </c>
      <c r="AW166" s="1103">
        <v>57.365484080460902</v>
      </c>
      <c r="AX166" s="1103">
        <v>37.609359391820099</v>
      </c>
    </row>
    <row r="167" spans="1:50" ht="15" customHeight="1" x14ac:dyDescent="0.25">
      <c r="A167" s="84">
        <v>121</v>
      </c>
      <c r="B167" s="84">
        <v>11</v>
      </c>
      <c r="C167" s="84" t="s">
        <v>1003</v>
      </c>
      <c r="D167" s="230">
        <v>6.3</v>
      </c>
      <c r="E167" s="229" t="s">
        <v>773</v>
      </c>
      <c r="F167" s="229">
        <v>6.3</v>
      </c>
      <c r="G167" s="229"/>
      <c r="H167" s="228"/>
      <c r="I167" s="229" t="str">
        <f t="shared" si="72"/>
        <v>6,3+6,3</v>
      </c>
      <c r="J167" s="882">
        <v>5.26</v>
      </c>
      <c r="K167" s="1428">
        <v>0</v>
      </c>
      <c r="L167" s="90">
        <v>0</v>
      </c>
      <c r="M167" s="23">
        <f t="shared" si="84"/>
        <v>5.26</v>
      </c>
      <c r="N167" s="172">
        <v>0</v>
      </c>
      <c r="O167" s="880"/>
      <c r="P167" s="880">
        <f>MIN(D167:F167)*1.05</f>
        <v>6.6150000000000002</v>
      </c>
      <c r="Q167" s="23">
        <f t="shared" si="86"/>
        <v>1.3550000000000004</v>
      </c>
      <c r="R167" s="23">
        <f t="shared" si="83"/>
        <v>1.3550000000000004</v>
      </c>
      <c r="S167" s="757" t="str">
        <f t="shared" si="82"/>
        <v>открыт</v>
      </c>
      <c r="T167" s="2052" t="str">
        <f t="shared" si="73"/>
        <v>открыт</v>
      </c>
      <c r="U167" s="757">
        <f t="shared" si="87"/>
        <v>79.516250944822374</v>
      </c>
      <c r="V167" s="2254">
        <v>0.48</v>
      </c>
      <c r="W167" s="2254" t="s">
        <v>3033</v>
      </c>
      <c r="X167" s="912"/>
      <c r="Y167" s="84">
        <v>121</v>
      </c>
      <c r="Z167" s="255">
        <v>11</v>
      </c>
      <c r="AA167" s="84" t="s">
        <v>1003</v>
      </c>
      <c r="AB167" s="230">
        <f t="shared" si="74"/>
        <v>6.3</v>
      </c>
      <c r="AC167" s="229" t="str">
        <f t="shared" si="75"/>
        <v>+</v>
      </c>
      <c r="AD167" s="229">
        <f t="shared" si="76"/>
        <v>6.3</v>
      </c>
      <c r="AE167" s="229"/>
      <c r="AF167" s="228"/>
      <c r="AG167" s="212" t="str">
        <f t="shared" si="77"/>
        <v>6,3+6,3</v>
      </c>
      <c r="AH167" s="23">
        <f>'Зона КиЭс  '!L130</f>
        <v>0</v>
      </c>
      <c r="AI167" s="23">
        <f t="shared" si="70"/>
        <v>5.26</v>
      </c>
      <c r="AJ167" s="1973">
        <f t="shared" si="78"/>
        <v>0</v>
      </c>
      <c r="AK167" s="212">
        <f t="shared" si="79"/>
        <v>0</v>
      </c>
      <c r="AL167" s="172">
        <f t="shared" si="88"/>
        <v>5.26</v>
      </c>
      <c r="AM167" s="1973">
        <f t="shared" si="80"/>
        <v>0</v>
      </c>
      <c r="AN167" s="880">
        <f t="shared" si="89"/>
        <v>6.6150000000000002</v>
      </c>
      <c r="AO167" s="23">
        <f t="shared" si="90"/>
        <v>1.3550000000000004</v>
      </c>
      <c r="AP167" s="23">
        <f t="shared" si="92"/>
        <v>1.3550000000000004</v>
      </c>
      <c r="AQ167" s="221" t="str">
        <f t="shared" si="71"/>
        <v>открыт</v>
      </c>
      <c r="AR167" s="2052" t="str">
        <f t="shared" si="81"/>
        <v>открыт</v>
      </c>
      <c r="AS167" s="935">
        <f t="shared" si="91"/>
        <v>79.516250944822374</v>
      </c>
      <c r="AT167" s="937" t="s">
        <v>746</v>
      </c>
      <c r="AU167" s="1095">
        <v>1977</v>
      </c>
      <c r="AV167" s="1101" t="s">
        <v>3218</v>
      </c>
      <c r="AW167" s="1103">
        <v>56.885961433885598</v>
      </c>
      <c r="AX167" s="1103">
        <v>37.382196841384498</v>
      </c>
    </row>
    <row r="168" spans="1:50" ht="15" customHeight="1" x14ac:dyDescent="0.25">
      <c r="A168" s="84">
        <v>122</v>
      </c>
      <c r="B168" s="84">
        <v>12</v>
      </c>
      <c r="C168" s="84" t="s">
        <v>1004</v>
      </c>
      <c r="D168" s="230">
        <v>4</v>
      </c>
      <c r="E168" s="229" t="s">
        <v>773</v>
      </c>
      <c r="F168" s="229">
        <v>4</v>
      </c>
      <c r="G168" s="229"/>
      <c r="H168" s="228"/>
      <c r="I168" s="229" t="str">
        <f t="shared" si="72"/>
        <v>4+4</v>
      </c>
      <c r="J168" s="882">
        <v>2.85</v>
      </c>
      <c r="K168" s="1428">
        <v>0</v>
      </c>
      <c r="L168" s="90">
        <v>0</v>
      </c>
      <c r="M168" s="23">
        <f t="shared" si="84"/>
        <v>2.85</v>
      </c>
      <c r="N168" s="172">
        <v>0</v>
      </c>
      <c r="O168" s="880"/>
      <c r="P168" s="880">
        <f t="shared" si="85"/>
        <v>4.2</v>
      </c>
      <c r="Q168" s="23">
        <f t="shared" si="86"/>
        <v>1.35</v>
      </c>
      <c r="R168" s="23">
        <f t="shared" si="83"/>
        <v>1.35</v>
      </c>
      <c r="S168" s="757" t="str">
        <f t="shared" si="82"/>
        <v>открыт</v>
      </c>
      <c r="T168" s="2052" t="str">
        <f t="shared" si="73"/>
        <v>открыт</v>
      </c>
      <c r="U168" s="757">
        <f t="shared" si="87"/>
        <v>67.857142857142861</v>
      </c>
      <c r="V168" s="2254" t="s">
        <v>3398</v>
      </c>
      <c r="W168" s="2254" t="s">
        <v>3399</v>
      </c>
      <c r="X168" s="912"/>
      <c r="Y168" s="84">
        <v>122</v>
      </c>
      <c r="Z168" s="255">
        <v>12</v>
      </c>
      <c r="AA168" s="84" t="s">
        <v>1004</v>
      </c>
      <c r="AB168" s="230">
        <f t="shared" si="74"/>
        <v>4</v>
      </c>
      <c r="AC168" s="229" t="str">
        <f t="shared" si="75"/>
        <v>+</v>
      </c>
      <c r="AD168" s="229">
        <f t="shared" si="76"/>
        <v>4</v>
      </c>
      <c r="AE168" s="229"/>
      <c r="AF168" s="228"/>
      <c r="AG168" s="212" t="str">
        <f t="shared" si="77"/>
        <v>4+4</v>
      </c>
      <c r="AH168" s="23">
        <f>'Зона КиЭс  '!L141</f>
        <v>0.29266304347826089</v>
      </c>
      <c r="AI168" s="23">
        <f t="shared" si="70"/>
        <v>3.1426630434782608</v>
      </c>
      <c r="AJ168" s="1973">
        <f t="shared" si="78"/>
        <v>0</v>
      </c>
      <c r="AK168" s="212">
        <f t="shared" si="79"/>
        <v>0</v>
      </c>
      <c r="AL168" s="172">
        <f t="shared" si="88"/>
        <v>3.1426630434782608</v>
      </c>
      <c r="AM168" s="1973">
        <f t="shared" si="80"/>
        <v>0</v>
      </c>
      <c r="AN168" s="880">
        <f t="shared" si="89"/>
        <v>4.2</v>
      </c>
      <c r="AO168" s="23">
        <f t="shared" si="90"/>
        <v>1.0573369565217394</v>
      </c>
      <c r="AP168" s="23">
        <f t="shared" si="92"/>
        <v>1.0573369565217394</v>
      </c>
      <c r="AQ168" s="221" t="str">
        <f t="shared" si="71"/>
        <v>открыт</v>
      </c>
      <c r="AR168" s="2052" t="str">
        <f t="shared" si="81"/>
        <v>открыт</v>
      </c>
      <c r="AS168" s="935">
        <f t="shared" si="91"/>
        <v>74.825310559006198</v>
      </c>
      <c r="AT168" s="937" t="s">
        <v>746</v>
      </c>
      <c r="AU168" s="1095">
        <v>1980</v>
      </c>
      <c r="AV168" s="1101" t="s">
        <v>3218</v>
      </c>
      <c r="AW168" s="1103">
        <v>56.888055490109899</v>
      </c>
      <c r="AX168" s="1103">
        <v>37.371419727633999</v>
      </c>
    </row>
    <row r="169" spans="1:50" ht="15" customHeight="1" x14ac:dyDescent="0.25">
      <c r="A169" s="84">
        <v>123</v>
      </c>
      <c r="B169" s="84">
        <v>13</v>
      </c>
      <c r="C169" s="84" t="s">
        <v>2647</v>
      </c>
      <c r="D169" s="230">
        <v>2.5</v>
      </c>
      <c r="E169" s="229" t="s">
        <v>773</v>
      </c>
      <c r="F169" s="229">
        <v>1.8</v>
      </c>
      <c r="G169" s="229"/>
      <c r="H169" s="228"/>
      <c r="I169" s="229" t="str">
        <f t="shared" si="72"/>
        <v>2,5+1,8</v>
      </c>
      <c r="J169" s="882">
        <v>0.56999999999999995</v>
      </c>
      <c r="K169" s="1428">
        <v>0</v>
      </c>
      <c r="L169" s="90">
        <v>0</v>
      </c>
      <c r="M169" s="23">
        <f t="shared" si="84"/>
        <v>0.56999999999999995</v>
      </c>
      <c r="N169" s="172">
        <v>0</v>
      </c>
      <c r="O169" s="880"/>
      <c r="P169" s="880">
        <f t="shared" si="85"/>
        <v>1.8900000000000001</v>
      </c>
      <c r="Q169" s="23">
        <f t="shared" si="86"/>
        <v>1.3200000000000003</v>
      </c>
      <c r="R169" s="23">
        <f t="shared" si="83"/>
        <v>1.3200000000000003</v>
      </c>
      <c r="S169" s="757" t="str">
        <f t="shared" si="82"/>
        <v>открыт</v>
      </c>
      <c r="T169" s="2052" t="str">
        <f t="shared" si="73"/>
        <v>открыт</v>
      </c>
      <c r="U169" s="757">
        <f t="shared" si="87"/>
        <v>30.158730158730155</v>
      </c>
      <c r="V169" s="2254">
        <v>0.56000000000000005</v>
      </c>
      <c r="W169" s="2254" t="s">
        <v>3033</v>
      </c>
      <c r="X169" s="912"/>
      <c r="Y169" s="84">
        <v>123</v>
      </c>
      <c r="Z169" s="255">
        <v>13</v>
      </c>
      <c r="AA169" s="84" t="s">
        <v>2647</v>
      </c>
      <c r="AB169" s="230">
        <f t="shared" si="74"/>
        <v>2.5</v>
      </c>
      <c r="AC169" s="229" t="str">
        <f t="shared" si="75"/>
        <v>+</v>
      </c>
      <c r="AD169" s="229">
        <f t="shared" si="76"/>
        <v>1.8</v>
      </c>
      <c r="AE169" s="229"/>
      <c r="AF169" s="228"/>
      <c r="AG169" s="212" t="str">
        <f t="shared" si="77"/>
        <v>2,5+1,8</v>
      </c>
      <c r="AH169" s="23">
        <f>'Зона КиЭс  '!L151</f>
        <v>0.14282608695652171</v>
      </c>
      <c r="AI169" s="23">
        <f t="shared" si="70"/>
        <v>0.71282608695652172</v>
      </c>
      <c r="AJ169" s="1973">
        <f t="shared" si="78"/>
        <v>0</v>
      </c>
      <c r="AK169" s="212">
        <f t="shared" si="79"/>
        <v>0</v>
      </c>
      <c r="AL169" s="172">
        <f t="shared" si="88"/>
        <v>0.71282608695652172</v>
      </c>
      <c r="AM169" s="1973">
        <f t="shared" si="80"/>
        <v>0</v>
      </c>
      <c r="AN169" s="880">
        <f t="shared" si="89"/>
        <v>1.8900000000000001</v>
      </c>
      <c r="AO169" s="23">
        <f t="shared" si="90"/>
        <v>1.1771739130434784</v>
      </c>
      <c r="AP169" s="23">
        <f t="shared" si="92"/>
        <v>1.1771739130434784</v>
      </c>
      <c r="AQ169" s="221" t="str">
        <f t="shared" si="71"/>
        <v>открыт</v>
      </c>
      <c r="AR169" s="2052" t="str">
        <f t="shared" si="81"/>
        <v>открыт</v>
      </c>
      <c r="AS169" s="935">
        <f t="shared" si="91"/>
        <v>37.71566597653554</v>
      </c>
      <c r="AT169" s="937" t="s">
        <v>746</v>
      </c>
      <c r="AU169" s="1095">
        <v>1977</v>
      </c>
      <c r="AV169" s="1101" t="s">
        <v>3218</v>
      </c>
      <c r="AW169" s="1103">
        <v>56.911075359962503</v>
      </c>
      <c r="AX169" s="1103">
        <v>38.091555987739802</v>
      </c>
    </row>
    <row r="170" spans="1:50" ht="15" customHeight="1" x14ac:dyDescent="0.25">
      <c r="A170" s="84">
        <v>124</v>
      </c>
      <c r="B170" s="84">
        <v>14</v>
      </c>
      <c r="C170" s="84" t="s">
        <v>2648</v>
      </c>
      <c r="D170" s="230">
        <v>1.6</v>
      </c>
      <c r="E170" s="229" t="s">
        <v>773</v>
      </c>
      <c r="F170" s="229">
        <v>1.6</v>
      </c>
      <c r="G170" s="229"/>
      <c r="H170" s="228"/>
      <c r="I170" s="229" t="str">
        <f t="shared" si="72"/>
        <v>1,6+1,6</v>
      </c>
      <c r="J170" s="882">
        <v>1.18</v>
      </c>
      <c r="K170" s="1428">
        <v>0</v>
      </c>
      <c r="L170" s="90">
        <v>0</v>
      </c>
      <c r="M170" s="23">
        <f t="shared" si="84"/>
        <v>1.18</v>
      </c>
      <c r="N170" s="172">
        <v>0</v>
      </c>
      <c r="O170" s="880"/>
      <c r="P170" s="880">
        <f t="shared" si="85"/>
        <v>1.6800000000000002</v>
      </c>
      <c r="Q170" s="23">
        <f t="shared" si="86"/>
        <v>0.50000000000000022</v>
      </c>
      <c r="R170" s="23">
        <f t="shared" si="83"/>
        <v>0.50000000000000022</v>
      </c>
      <c r="S170" s="757" t="str">
        <f t="shared" si="82"/>
        <v>открыт</v>
      </c>
      <c r="T170" s="2052" t="str">
        <f t="shared" si="73"/>
        <v>открыт</v>
      </c>
      <c r="U170" s="757">
        <f t="shared" si="87"/>
        <v>70.238095238095227</v>
      </c>
      <c r="V170" s="2254" t="s">
        <v>3398</v>
      </c>
      <c r="W170" s="2254" t="s">
        <v>3399</v>
      </c>
      <c r="X170" s="912"/>
      <c r="Y170" s="84">
        <v>124</v>
      </c>
      <c r="Z170" s="255">
        <v>14</v>
      </c>
      <c r="AA170" s="84" t="s">
        <v>2648</v>
      </c>
      <c r="AB170" s="230">
        <f t="shared" si="74"/>
        <v>1.6</v>
      </c>
      <c r="AC170" s="229" t="str">
        <f t="shared" si="75"/>
        <v>+</v>
      </c>
      <c r="AD170" s="229">
        <f t="shared" si="76"/>
        <v>1.6</v>
      </c>
      <c r="AE170" s="229"/>
      <c r="AF170" s="228"/>
      <c r="AG170" s="212" t="str">
        <f t="shared" si="77"/>
        <v>1,6+1,6</v>
      </c>
      <c r="AH170" s="23">
        <f>'Зона КиЭс  '!L160</f>
        <v>0.49826086956521742</v>
      </c>
      <c r="AI170" s="23">
        <f t="shared" si="70"/>
        <v>1.6782608695652175</v>
      </c>
      <c r="AJ170" s="1973">
        <f t="shared" si="78"/>
        <v>0</v>
      </c>
      <c r="AK170" s="212">
        <f t="shared" si="79"/>
        <v>0</v>
      </c>
      <c r="AL170" s="172">
        <f t="shared" si="88"/>
        <v>1.6782608695652175</v>
      </c>
      <c r="AM170" s="1973">
        <f t="shared" si="80"/>
        <v>0</v>
      </c>
      <c r="AN170" s="880">
        <f t="shared" si="89"/>
        <v>1.6800000000000002</v>
      </c>
      <c r="AO170" s="23">
        <f t="shared" si="90"/>
        <v>1.7391304347826875E-3</v>
      </c>
      <c r="AP170" s="23">
        <f t="shared" si="92"/>
        <v>1.7391304347826875E-3</v>
      </c>
      <c r="AQ170" s="221" t="str">
        <f>AR170</f>
        <v>открыт</v>
      </c>
      <c r="AR170" s="2052" t="str">
        <f t="shared" si="81"/>
        <v>открыт</v>
      </c>
      <c r="AS170" s="935">
        <f t="shared" si="91"/>
        <v>99.896480331262936</v>
      </c>
      <c r="AT170" s="937" t="s">
        <v>746</v>
      </c>
      <c r="AU170" s="1095">
        <v>1962</v>
      </c>
      <c r="AV170" s="1101" t="s">
        <v>3218</v>
      </c>
      <c r="AW170" s="1103">
        <v>57.143513457773402</v>
      </c>
      <c r="AX170" s="1103">
        <v>37.344154651262798</v>
      </c>
    </row>
    <row r="171" spans="1:50" ht="15" customHeight="1" x14ac:dyDescent="0.25">
      <c r="A171" s="84">
        <v>125</v>
      </c>
      <c r="B171" s="84">
        <v>15</v>
      </c>
      <c r="C171" s="84" t="s">
        <v>2649</v>
      </c>
      <c r="D171" s="230">
        <v>4</v>
      </c>
      <c r="E171" s="229" t="s">
        <v>773</v>
      </c>
      <c r="F171" s="229">
        <v>2.5</v>
      </c>
      <c r="G171" s="229"/>
      <c r="H171" s="228"/>
      <c r="I171" s="229" t="str">
        <f t="shared" si="72"/>
        <v>4+2,5</v>
      </c>
      <c r="J171" s="882">
        <v>1.53</v>
      </c>
      <c r="K171" s="1428">
        <v>0</v>
      </c>
      <c r="L171" s="90">
        <v>0</v>
      </c>
      <c r="M171" s="23">
        <f t="shared" si="84"/>
        <v>1.53</v>
      </c>
      <c r="N171" s="172">
        <v>0</v>
      </c>
      <c r="O171" s="880"/>
      <c r="P171" s="880">
        <f t="shared" si="85"/>
        <v>2.625</v>
      </c>
      <c r="Q171" s="23">
        <f t="shared" si="86"/>
        <v>1.095</v>
      </c>
      <c r="R171" s="23">
        <f t="shared" si="83"/>
        <v>1.095</v>
      </c>
      <c r="S171" s="757" t="str">
        <f t="shared" si="82"/>
        <v>открыт</v>
      </c>
      <c r="T171" s="2052" t="str">
        <f t="shared" si="73"/>
        <v>открыт</v>
      </c>
      <c r="U171" s="757">
        <f t="shared" si="87"/>
        <v>58.285714285714285</v>
      </c>
      <c r="V171" s="2254">
        <v>0.5</v>
      </c>
      <c r="W171" s="2254" t="s">
        <v>3033</v>
      </c>
      <c r="X171" s="912"/>
      <c r="Y171" s="84">
        <v>125</v>
      </c>
      <c r="Z171" s="255">
        <v>15</v>
      </c>
      <c r="AA171" s="84" t="s">
        <v>2649</v>
      </c>
      <c r="AB171" s="230">
        <f t="shared" si="74"/>
        <v>4</v>
      </c>
      <c r="AC171" s="229" t="str">
        <f t="shared" si="75"/>
        <v>+</v>
      </c>
      <c r="AD171" s="229">
        <f t="shared" si="76"/>
        <v>2.5</v>
      </c>
      <c r="AE171" s="229"/>
      <c r="AF171" s="228"/>
      <c r="AG171" s="212" t="str">
        <f t="shared" si="77"/>
        <v>4+2,5</v>
      </c>
      <c r="AH171" s="23">
        <f>'Зона КиЭс  '!L172</f>
        <v>0.74331521739130435</v>
      </c>
      <c r="AI171" s="23">
        <f t="shared" si="70"/>
        <v>2.2733152173913043</v>
      </c>
      <c r="AJ171" s="1973">
        <f t="shared" si="78"/>
        <v>0</v>
      </c>
      <c r="AK171" s="212">
        <f t="shared" si="79"/>
        <v>0</v>
      </c>
      <c r="AL171" s="172">
        <f t="shared" si="88"/>
        <v>2.2733152173913043</v>
      </c>
      <c r="AM171" s="1973">
        <f t="shared" si="80"/>
        <v>0</v>
      </c>
      <c r="AN171" s="880">
        <f t="shared" si="89"/>
        <v>2.625</v>
      </c>
      <c r="AO171" s="23">
        <f t="shared" si="90"/>
        <v>0.35168478260869573</v>
      </c>
      <c r="AP171" s="23">
        <f t="shared" si="92"/>
        <v>0.35168478260869573</v>
      </c>
      <c r="AQ171" s="221" t="str">
        <f t="shared" si="71"/>
        <v>открыт</v>
      </c>
      <c r="AR171" s="2052" t="str">
        <f t="shared" si="81"/>
        <v>открыт</v>
      </c>
      <c r="AS171" s="935">
        <f t="shared" si="91"/>
        <v>86.602484472049696</v>
      </c>
      <c r="AT171" s="937" t="s">
        <v>746</v>
      </c>
      <c r="AU171" s="1095">
        <v>1976</v>
      </c>
      <c r="AV171" s="1101" t="s">
        <v>3218</v>
      </c>
      <c r="AW171" s="1103">
        <v>57.040704268934398</v>
      </c>
      <c r="AX171" s="1103">
        <v>37.980212651178803</v>
      </c>
    </row>
    <row r="172" spans="1:50" ht="15" customHeight="1" x14ac:dyDescent="0.25">
      <c r="A172" s="84">
        <v>126</v>
      </c>
      <c r="B172" s="84">
        <v>16</v>
      </c>
      <c r="C172" s="84" t="s">
        <v>1005</v>
      </c>
      <c r="D172" s="230">
        <v>2.5</v>
      </c>
      <c r="E172" s="229" t="s">
        <v>773</v>
      </c>
      <c r="F172" s="229">
        <v>2.5</v>
      </c>
      <c r="G172" s="229"/>
      <c r="H172" s="228"/>
      <c r="I172" s="229" t="str">
        <f t="shared" si="72"/>
        <v>2,5+2,5</v>
      </c>
      <c r="J172" s="882">
        <v>1.7</v>
      </c>
      <c r="K172" s="1428">
        <v>0</v>
      </c>
      <c r="L172" s="90">
        <v>0</v>
      </c>
      <c r="M172" s="23">
        <f t="shared" si="84"/>
        <v>1.7</v>
      </c>
      <c r="N172" s="172">
        <v>0</v>
      </c>
      <c r="O172" s="880"/>
      <c r="P172" s="880">
        <f t="shared" si="85"/>
        <v>2.625</v>
      </c>
      <c r="Q172" s="23">
        <f t="shared" si="86"/>
        <v>0.92500000000000004</v>
      </c>
      <c r="R172" s="23">
        <f t="shared" si="83"/>
        <v>0.92500000000000004</v>
      </c>
      <c r="S172" s="757" t="str">
        <f t="shared" si="82"/>
        <v>открыт</v>
      </c>
      <c r="T172" s="2052" t="str">
        <f t="shared" si="73"/>
        <v>открыт</v>
      </c>
      <c r="U172" s="757">
        <f t="shared" si="87"/>
        <v>64.761904761904759</v>
      </c>
      <c r="V172" s="2254">
        <v>0.38</v>
      </c>
      <c r="W172" s="2254" t="s">
        <v>3033</v>
      </c>
      <c r="X172" s="912"/>
      <c r="Y172" s="84">
        <v>126</v>
      </c>
      <c r="Z172" s="255">
        <v>16</v>
      </c>
      <c r="AA172" s="84" t="s">
        <v>1005</v>
      </c>
      <c r="AB172" s="230">
        <f t="shared" si="74"/>
        <v>2.5</v>
      </c>
      <c r="AC172" s="229" t="str">
        <f t="shared" si="75"/>
        <v>+</v>
      </c>
      <c r="AD172" s="229">
        <f t="shared" si="76"/>
        <v>2.5</v>
      </c>
      <c r="AE172" s="229"/>
      <c r="AF172" s="228"/>
      <c r="AG172" s="212" t="str">
        <f t="shared" si="77"/>
        <v>2,5+2,5</v>
      </c>
      <c r="AH172" s="23">
        <f>'Зона КиЭс  '!L188</f>
        <v>0.65771739130434781</v>
      </c>
      <c r="AI172" s="23">
        <f t="shared" si="70"/>
        <v>2.3577173913043477</v>
      </c>
      <c r="AJ172" s="1973">
        <f t="shared" si="78"/>
        <v>0</v>
      </c>
      <c r="AK172" s="212">
        <f t="shared" si="79"/>
        <v>0</v>
      </c>
      <c r="AL172" s="172">
        <f t="shared" si="88"/>
        <v>2.3577173913043477</v>
      </c>
      <c r="AM172" s="1973">
        <f t="shared" si="80"/>
        <v>0</v>
      </c>
      <c r="AN172" s="880">
        <f t="shared" si="89"/>
        <v>2.625</v>
      </c>
      <c r="AO172" s="23">
        <f t="shared" si="90"/>
        <v>0.26728260869565235</v>
      </c>
      <c r="AP172" s="23">
        <f t="shared" si="92"/>
        <v>0.26728260869565235</v>
      </c>
      <c r="AQ172" s="221" t="str">
        <f t="shared" si="71"/>
        <v>открыт</v>
      </c>
      <c r="AR172" s="2052" t="str">
        <f t="shared" si="81"/>
        <v>открыт</v>
      </c>
      <c r="AS172" s="935">
        <f t="shared" si="91"/>
        <v>89.817805383022758</v>
      </c>
      <c r="AT172" s="937" t="s">
        <v>746</v>
      </c>
      <c r="AU172" s="1095">
        <v>1983</v>
      </c>
      <c r="AV172" s="1101" t="s">
        <v>3218</v>
      </c>
      <c r="AW172" s="1103">
        <v>57.113641995156897</v>
      </c>
      <c r="AX172" s="1103">
        <v>37.869835747962298</v>
      </c>
    </row>
    <row r="173" spans="1:50" ht="15" customHeight="1" x14ac:dyDescent="0.25">
      <c r="A173" s="84">
        <v>127</v>
      </c>
      <c r="B173" s="84">
        <v>17</v>
      </c>
      <c r="C173" s="84" t="s">
        <v>1006</v>
      </c>
      <c r="D173" s="230">
        <v>2.5</v>
      </c>
      <c r="E173" s="229" t="s">
        <v>773</v>
      </c>
      <c r="F173" s="229">
        <v>2.5</v>
      </c>
      <c r="G173" s="229"/>
      <c r="H173" s="228"/>
      <c r="I173" s="229" t="str">
        <f t="shared" si="72"/>
        <v>2,5+2,5</v>
      </c>
      <c r="J173" s="882">
        <v>0.16</v>
      </c>
      <c r="K173" s="1428">
        <v>0</v>
      </c>
      <c r="L173" s="90">
        <v>0</v>
      </c>
      <c r="M173" s="23">
        <f t="shared" si="84"/>
        <v>0.16</v>
      </c>
      <c r="N173" s="172">
        <v>0</v>
      </c>
      <c r="O173" s="880"/>
      <c r="P173" s="880">
        <f t="shared" si="85"/>
        <v>2.625</v>
      </c>
      <c r="Q173" s="23">
        <f t="shared" si="86"/>
        <v>2.4649999999999999</v>
      </c>
      <c r="R173" s="23">
        <f t="shared" si="83"/>
        <v>2.4649999999999999</v>
      </c>
      <c r="S173" s="757" t="str">
        <f t="shared" si="82"/>
        <v>открыт</v>
      </c>
      <c r="T173" s="2052" t="str">
        <f t="shared" si="73"/>
        <v>открыт</v>
      </c>
      <c r="U173" s="757">
        <f t="shared" si="87"/>
        <v>6.0952380952380949</v>
      </c>
      <c r="V173" s="2254" t="s">
        <v>3218</v>
      </c>
      <c r="W173" s="2254" t="s">
        <v>3399</v>
      </c>
      <c r="X173" s="912"/>
      <c r="Y173" s="84">
        <v>127</v>
      </c>
      <c r="Z173" s="255">
        <v>17</v>
      </c>
      <c r="AA173" s="84" t="s">
        <v>1006</v>
      </c>
      <c r="AB173" s="230">
        <f t="shared" si="74"/>
        <v>2.5</v>
      </c>
      <c r="AC173" s="229" t="str">
        <f t="shared" si="75"/>
        <v>+</v>
      </c>
      <c r="AD173" s="229">
        <f t="shared" si="76"/>
        <v>2.5</v>
      </c>
      <c r="AE173" s="229"/>
      <c r="AF173" s="228"/>
      <c r="AG173" s="212" t="str">
        <f t="shared" si="77"/>
        <v>2,5+2,5</v>
      </c>
      <c r="AH173" s="23">
        <f>'Зона КиЭс  '!L191</f>
        <v>5.8695652173913038E-2</v>
      </c>
      <c r="AI173" s="23">
        <f t="shared" si="70"/>
        <v>0.21869565217391304</v>
      </c>
      <c r="AJ173" s="1973">
        <f t="shared" si="78"/>
        <v>0</v>
      </c>
      <c r="AK173" s="212">
        <f t="shared" si="79"/>
        <v>0</v>
      </c>
      <c r="AL173" s="172">
        <f t="shared" si="88"/>
        <v>0.21869565217391304</v>
      </c>
      <c r="AM173" s="1973">
        <f t="shared" si="80"/>
        <v>0</v>
      </c>
      <c r="AN173" s="880">
        <f t="shared" si="89"/>
        <v>2.625</v>
      </c>
      <c r="AO173" s="23">
        <f t="shared" si="90"/>
        <v>2.406304347826087</v>
      </c>
      <c r="AP173" s="23">
        <f t="shared" si="92"/>
        <v>2.406304347826087</v>
      </c>
      <c r="AQ173" s="757" t="str">
        <f t="shared" si="71"/>
        <v>открыт</v>
      </c>
      <c r="AR173" s="2052" t="str">
        <f t="shared" si="81"/>
        <v>открыт</v>
      </c>
      <c r="AS173" s="935">
        <f t="shared" si="91"/>
        <v>8.3312629399585916</v>
      </c>
      <c r="AT173" s="937" t="s">
        <v>746</v>
      </c>
      <c r="AU173" s="1095">
        <v>1976</v>
      </c>
      <c r="AV173" s="1101" t="s">
        <v>3218</v>
      </c>
      <c r="AW173" s="1103">
        <v>57.424677325910203</v>
      </c>
      <c r="AX173" s="1103">
        <v>37.159661361161703</v>
      </c>
    </row>
    <row r="174" spans="1:50" ht="15" customHeight="1" x14ac:dyDescent="0.25">
      <c r="A174" s="84">
        <v>128</v>
      </c>
      <c r="B174" s="84">
        <v>18</v>
      </c>
      <c r="C174" s="84" t="s">
        <v>1007</v>
      </c>
      <c r="D174" s="230">
        <v>1.6</v>
      </c>
      <c r="E174" s="229" t="s">
        <v>773</v>
      </c>
      <c r="F174" s="229">
        <v>2.5</v>
      </c>
      <c r="G174" s="229"/>
      <c r="H174" s="228"/>
      <c r="I174" s="229" t="str">
        <f t="shared" si="72"/>
        <v>1,6+2,5</v>
      </c>
      <c r="J174" s="882">
        <v>0.45</v>
      </c>
      <c r="K174" s="1428">
        <v>0</v>
      </c>
      <c r="L174" s="90">
        <v>0</v>
      </c>
      <c r="M174" s="23">
        <f t="shared" si="84"/>
        <v>0.45</v>
      </c>
      <c r="N174" s="172">
        <v>0</v>
      </c>
      <c r="O174" s="880"/>
      <c r="P174" s="880">
        <f t="shared" si="85"/>
        <v>1.6800000000000002</v>
      </c>
      <c r="Q174" s="23">
        <f t="shared" si="86"/>
        <v>1.2300000000000002</v>
      </c>
      <c r="R174" s="23">
        <f t="shared" si="83"/>
        <v>1.2300000000000002</v>
      </c>
      <c r="S174" s="757" t="str">
        <f t="shared" si="82"/>
        <v>открыт</v>
      </c>
      <c r="T174" s="2052" t="str">
        <f t="shared" si="73"/>
        <v>открыт</v>
      </c>
      <c r="U174" s="757">
        <f t="shared" si="87"/>
        <v>26.785714285714285</v>
      </c>
      <c r="V174" s="2254">
        <v>0.46</v>
      </c>
      <c r="W174" s="2254" t="s">
        <v>3033</v>
      </c>
      <c r="X174" s="912"/>
      <c r="Y174" s="84">
        <v>128</v>
      </c>
      <c r="Z174" s="255">
        <v>18</v>
      </c>
      <c r="AA174" s="84" t="s">
        <v>1007</v>
      </c>
      <c r="AB174" s="230">
        <f t="shared" si="74"/>
        <v>1.6</v>
      </c>
      <c r="AC174" s="229" t="str">
        <f t="shared" si="75"/>
        <v>+</v>
      </c>
      <c r="AD174" s="229">
        <f t="shared" si="76"/>
        <v>2.5</v>
      </c>
      <c r="AE174" s="229"/>
      <c r="AF174" s="228"/>
      <c r="AG174" s="212" t="str">
        <f t="shared" si="77"/>
        <v>1,6+2,5</v>
      </c>
      <c r="AH174" s="23">
        <f>'Зона КиЭс  '!L193</f>
        <v>0</v>
      </c>
      <c r="AI174" s="23">
        <f t="shared" si="70"/>
        <v>0.45</v>
      </c>
      <c r="AJ174" s="1973">
        <f t="shared" si="78"/>
        <v>0</v>
      </c>
      <c r="AK174" s="212">
        <f t="shared" si="79"/>
        <v>0</v>
      </c>
      <c r="AL174" s="172">
        <f t="shared" si="88"/>
        <v>0.45</v>
      </c>
      <c r="AM174" s="1973">
        <f t="shared" si="80"/>
        <v>0</v>
      </c>
      <c r="AN174" s="880">
        <f t="shared" si="89"/>
        <v>1.6800000000000002</v>
      </c>
      <c r="AO174" s="23">
        <f t="shared" si="90"/>
        <v>1.2300000000000002</v>
      </c>
      <c r="AP174" s="23">
        <f t="shared" si="92"/>
        <v>1.2300000000000002</v>
      </c>
      <c r="AQ174" s="757" t="str">
        <f t="shared" si="71"/>
        <v>открыт</v>
      </c>
      <c r="AR174" s="2052" t="str">
        <f t="shared" si="81"/>
        <v>открыт</v>
      </c>
      <c r="AS174" s="935">
        <f t="shared" si="91"/>
        <v>26.785714285714285</v>
      </c>
      <c r="AT174" s="937" t="s">
        <v>746</v>
      </c>
      <c r="AU174" s="1095">
        <v>1976</v>
      </c>
      <c r="AV174" s="1101" t="s">
        <v>3218</v>
      </c>
      <c r="AW174" s="1103">
        <v>57.104954332715103</v>
      </c>
      <c r="AX174" s="1103">
        <v>37.133904858659001</v>
      </c>
    </row>
    <row r="175" spans="1:50" ht="15" customHeight="1" x14ac:dyDescent="0.25">
      <c r="A175" s="84">
        <v>129</v>
      </c>
      <c r="B175" s="84">
        <v>19</v>
      </c>
      <c r="C175" s="84" t="s">
        <v>1008</v>
      </c>
      <c r="D175" s="230">
        <v>2.5</v>
      </c>
      <c r="E175" s="229" t="s">
        <v>773</v>
      </c>
      <c r="F175" s="229">
        <v>2.5</v>
      </c>
      <c r="G175" s="229"/>
      <c r="H175" s="228"/>
      <c r="I175" s="229" t="str">
        <f t="shared" si="72"/>
        <v>2,5+2,5</v>
      </c>
      <c r="J175" s="882">
        <v>0.32</v>
      </c>
      <c r="K175" s="1428">
        <v>0</v>
      </c>
      <c r="L175" s="90">
        <v>0</v>
      </c>
      <c r="M175" s="23">
        <f t="shared" si="84"/>
        <v>0.32</v>
      </c>
      <c r="N175" s="172">
        <v>0</v>
      </c>
      <c r="O175" s="880"/>
      <c r="P175" s="880">
        <f t="shared" si="85"/>
        <v>2.625</v>
      </c>
      <c r="Q175" s="23">
        <f t="shared" si="86"/>
        <v>2.3050000000000002</v>
      </c>
      <c r="R175" s="23">
        <f t="shared" si="83"/>
        <v>2.3050000000000002</v>
      </c>
      <c r="S175" s="757" t="str">
        <f t="shared" si="82"/>
        <v>открыт</v>
      </c>
      <c r="T175" s="2052" t="str">
        <f t="shared" si="73"/>
        <v>открыт</v>
      </c>
      <c r="U175" s="757">
        <f t="shared" si="87"/>
        <v>12.19047619047619</v>
      </c>
      <c r="V175" s="2254">
        <v>0.61</v>
      </c>
      <c r="W175" s="2254" t="s">
        <v>3033</v>
      </c>
      <c r="X175" s="912"/>
      <c r="Y175" s="84">
        <v>129</v>
      </c>
      <c r="Z175" s="255">
        <v>19</v>
      </c>
      <c r="AA175" s="84" t="s">
        <v>1008</v>
      </c>
      <c r="AB175" s="230">
        <f t="shared" si="74"/>
        <v>2.5</v>
      </c>
      <c r="AC175" s="229" t="str">
        <f t="shared" si="75"/>
        <v>+</v>
      </c>
      <c r="AD175" s="229">
        <f t="shared" si="76"/>
        <v>2.5</v>
      </c>
      <c r="AE175" s="229"/>
      <c r="AF175" s="228"/>
      <c r="AG175" s="212" t="str">
        <f t="shared" si="77"/>
        <v>2,5+2,5</v>
      </c>
      <c r="AH175" s="23">
        <f>'Зона КиЭс  '!L195</f>
        <v>0</v>
      </c>
      <c r="AI175" s="23">
        <f t="shared" si="70"/>
        <v>0.32</v>
      </c>
      <c r="AJ175" s="1973">
        <f t="shared" si="78"/>
        <v>0</v>
      </c>
      <c r="AK175" s="212">
        <f t="shared" si="79"/>
        <v>0</v>
      </c>
      <c r="AL175" s="172">
        <f t="shared" si="88"/>
        <v>0.32</v>
      </c>
      <c r="AM175" s="1973">
        <f t="shared" si="80"/>
        <v>0</v>
      </c>
      <c r="AN175" s="880">
        <f t="shared" si="89"/>
        <v>2.625</v>
      </c>
      <c r="AO175" s="23">
        <f t="shared" si="90"/>
        <v>2.3050000000000002</v>
      </c>
      <c r="AP175" s="23">
        <f t="shared" si="92"/>
        <v>2.3050000000000002</v>
      </c>
      <c r="AQ175" s="757" t="str">
        <f t="shared" si="71"/>
        <v>открыт</v>
      </c>
      <c r="AR175" s="2052" t="str">
        <f t="shared" si="81"/>
        <v>открыт</v>
      </c>
      <c r="AS175" s="935">
        <f t="shared" si="91"/>
        <v>12.19047619047619</v>
      </c>
      <c r="AT175" s="937" t="s">
        <v>746</v>
      </c>
      <c r="AU175" s="1095">
        <v>1979</v>
      </c>
      <c r="AV175" s="1101" t="s">
        <v>3218</v>
      </c>
      <c r="AW175" s="1103">
        <v>57.010822911731402</v>
      </c>
      <c r="AX175" s="1103">
        <v>36.838749029188499</v>
      </c>
    </row>
    <row r="176" spans="1:50" ht="15" customHeight="1" x14ac:dyDescent="0.25">
      <c r="A176" s="84">
        <v>130</v>
      </c>
      <c r="B176" s="84">
        <v>20</v>
      </c>
      <c r="C176" s="84" t="s">
        <v>133</v>
      </c>
      <c r="D176" s="230">
        <v>1.6</v>
      </c>
      <c r="E176" s="229" t="s">
        <v>773</v>
      </c>
      <c r="F176" s="229">
        <v>1.6</v>
      </c>
      <c r="G176" s="229"/>
      <c r="H176" s="228"/>
      <c r="I176" s="229" t="str">
        <f t="shared" si="72"/>
        <v>1,6+1,6</v>
      </c>
      <c r="J176" s="882">
        <v>1.35</v>
      </c>
      <c r="K176" s="1428">
        <v>0</v>
      </c>
      <c r="L176" s="90">
        <v>0</v>
      </c>
      <c r="M176" s="23">
        <f t="shared" si="84"/>
        <v>1.35</v>
      </c>
      <c r="N176" s="172">
        <v>0</v>
      </c>
      <c r="O176" s="880"/>
      <c r="P176" s="880">
        <f t="shared" si="85"/>
        <v>1.6800000000000002</v>
      </c>
      <c r="Q176" s="23">
        <f t="shared" si="86"/>
        <v>0.33000000000000007</v>
      </c>
      <c r="R176" s="23">
        <f t="shared" si="83"/>
        <v>0.33000000000000007</v>
      </c>
      <c r="S176" s="757" t="str">
        <f t="shared" si="82"/>
        <v>открыт</v>
      </c>
      <c r="T176" s="2052" t="str">
        <f t="shared" si="73"/>
        <v>открыт</v>
      </c>
      <c r="U176" s="757">
        <f t="shared" si="87"/>
        <v>80.357142857142847</v>
      </c>
      <c r="V176" s="2254">
        <v>0.59</v>
      </c>
      <c r="W176" s="2254" t="s">
        <v>3033</v>
      </c>
      <c r="X176" s="912"/>
      <c r="Y176" s="84">
        <v>130</v>
      </c>
      <c r="Z176" s="255">
        <v>20</v>
      </c>
      <c r="AA176" s="84" t="s">
        <v>133</v>
      </c>
      <c r="AB176" s="230">
        <f t="shared" si="74"/>
        <v>1.6</v>
      </c>
      <c r="AC176" s="229" t="str">
        <f t="shared" si="75"/>
        <v>+</v>
      </c>
      <c r="AD176" s="229">
        <f t="shared" si="76"/>
        <v>1.6</v>
      </c>
      <c r="AE176" s="229"/>
      <c r="AF176" s="228"/>
      <c r="AG176" s="212" t="str">
        <f t="shared" si="77"/>
        <v>1,6+1,6</v>
      </c>
      <c r="AH176" s="23">
        <f>'Зона КиЭс  '!L209</f>
        <v>0.56103260869565219</v>
      </c>
      <c r="AI176" s="23">
        <f t="shared" si="70"/>
        <v>1.9110326086956522</v>
      </c>
      <c r="AJ176" s="1973">
        <f t="shared" si="78"/>
        <v>0</v>
      </c>
      <c r="AK176" s="212">
        <f t="shared" si="79"/>
        <v>0</v>
      </c>
      <c r="AL176" s="172">
        <f t="shared" si="88"/>
        <v>1.9110326086956522</v>
      </c>
      <c r="AM176" s="1973">
        <f t="shared" si="80"/>
        <v>0</v>
      </c>
      <c r="AN176" s="880">
        <f t="shared" si="89"/>
        <v>1.6800000000000002</v>
      </c>
      <c r="AO176" s="23">
        <f t="shared" si="90"/>
        <v>-0.23103260869565201</v>
      </c>
      <c r="AP176" s="23">
        <f t="shared" si="92"/>
        <v>-0.23103260869565201</v>
      </c>
      <c r="AQ176" s="757" t="str">
        <f>AR176</f>
        <v>закрыт</v>
      </c>
      <c r="AR176" s="2052" t="str">
        <f t="shared" si="81"/>
        <v>закрыт</v>
      </c>
      <c r="AS176" s="935">
        <f t="shared" si="91"/>
        <v>113.75194099378881</v>
      </c>
      <c r="AT176" s="937" t="s">
        <v>746</v>
      </c>
      <c r="AU176" s="1095">
        <v>1979</v>
      </c>
      <c r="AV176" s="1101" t="s">
        <v>3218</v>
      </c>
      <c r="AW176" s="1103">
        <v>57.270063332480298</v>
      </c>
      <c r="AX176" s="1103">
        <v>38.043739479595203</v>
      </c>
    </row>
    <row r="177" spans="1:50" ht="15" customHeight="1" x14ac:dyDescent="0.25">
      <c r="A177" s="84">
        <v>131</v>
      </c>
      <c r="B177" s="84">
        <v>21</v>
      </c>
      <c r="C177" s="84" t="s">
        <v>134</v>
      </c>
      <c r="D177" s="230">
        <v>4</v>
      </c>
      <c r="E177" s="229" t="s">
        <v>773</v>
      </c>
      <c r="F177" s="229">
        <v>4</v>
      </c>
      <c r="G177" s="229"/>
      <c r="H177" s="228"/>
      <c r="I177" s="229" t="str">
        <f t="shared" si="72"/>
        <v>4+4</v>
      </c>
      <c r="J177" s="882">
        <v>0.22</v>
      </c>
      <c r="K177" s="1428">
        <v>0</v>
      </c>
      <c r="L177" s="90">
        <v>0</v>
      </c>
      <c r="M177" s="23">
        <f t="shared" si="84"/>
        <v>0.22</v>
      </c>
      <c r="N177" s="172">
        <v>0</v>
      </c>
      <c r="O177" s="880"/>
      <c r="P177" s="880">
        <f t="shared" si="85"/>
        <v>4.2</v>
      </c>
      <c r="Q177" s="23">
        <f t="shared" si="86"/>
        <v>3.98</v>
      </c>
      <c r="R177" s="23">
        <f t="shared" si="83"/>
        <v>3.98</v>
      </c>
      <c r="S177" s="757" t="str">
        <f t="shared" si="82"/>
        <v>открыт</v>
      </c>
      <c r="T177" s="2052" t="str">
        <f t="shared" si="73"/>
        <v>открыт</v>
      </c>
      <c r="U177" s="757">
        <f t="shared" si="87"/>
        <v>5.2380952380952381</v>
      </c>
      <c r="V177" s="2254" t="s">
        <v>3398</v>
      </c>
      <c r="W177" s="2254" t="s">
        <v>3399</v>
      </c>
      <c r="X177" s="912"/>
      <c r="Y177" s="84">
        <v>131</v>
      </c>
      <c r="Z177" s="255">
        <v>21</v>
      </c>
      <c r="AA177" s="84" t="s">
        <v>134</v>
      </c>
      <c r="AB177" s="230">
        <f t="shared" si="74"/>
        <v>4</v>
      </c>
      <c r="AC177" s="229" t="str">
        <f t="shared" si="75"/>
        <v>+</v>
      </c>
      <c r="AD177" s="229">
        <f t="shared" si="76"/>
        <v>4</v>
      </c>
      <c r="AE177" s="229"/>
      <c r="AF177" s="228"/>
      <c r="AG177" s="212" t="str">
        <f t="shared" si="77"/>
        <v>4+4</v>
      </c>
      <c r="AH177" s="23">
        <f>'Зона КиЭс  '!L211</f>
        <v>0</v>
      </c>
      <c r="AI177" s="23">
        <f t="shared" si="70"/>
        <v>0.22</v>
      </c>
      <c r="AJ177" s="1973">
        <f t="shared" si="78"/>
        <v>0</v>
      </c>
      <c r="AK177" s="212">
        <f t="shared" si="79"/>
        <v>0</v>
      </c>
      <c r="AL177" s="172">
        <f t="shared" si="88"/>
        <v>0.22</v>
      </c>
      <c r="AM177" s="1973">
        <f t="shared" si="80"/>
        <v>0</v>
      </c>
      <c r="AN177" s="880">
        <f t="shared" si="89"/>
        <v>4.2</v>
      </c>
      <c r="AO177" s="23">
        <f t="shared" si="90"/>
        <v>3.98</v>
      </c>
      <c r="AP177" s="23">
        <f t="shared" si="92"/>
        <v>3.98</v>
      </c>
      <c r="AQ177" s="757" t="str">
        <f t="shared" si="71"/>
        <v>открыт</v>
      </c>
      <c r="AR177" s="2052" t="str">
        <f t="shared" si="81"/>
        <v>открыт</v>
      </c>
      <c r="AS177" s="935">
        <f t="shared" si="91"/>
        <v>5.2380952380952381</v>
      </c>
      <c r="AT177" s="937" t="s">
        <v>746</v>
      </c>
      <c r="AU177" s="1095">
        <v>1982</v>
      </c>
      <c r="AV177" s="1101" t="s">
        <v>3218</v>
      </c>
      <c r="AW177" s="1103">
        <v>57.462203326509403</v>
      </c>
      <c r="AX177" s="1103">
        <v>37.240774155752497</v>
      </c>
    </row>
    <row r="178" spans="1:50" ht="15" customHeight="1" x14ac:dyDescent="0.25">
      <c r="A178" s="84">
        <v>132</v>
      </c>
      <c r="B178" s="84">
        <v>22</v>
      </c>
      <c r="C178" s="84" t="s">
        <v>135</v>
      </c>
      <c r="D178" s="230">
        <v>2.5</v>
      </c>
      <c r="E178" s="229" t="s">
        <v>773</v>
      </c>
      <c r="F178" s="229">
        <v>2.5</v>
      </c>
      <c r="G178" s="229"/>
      <c r="H178" s="228"/>
      <c r="I178" s="229" t="str">
        <f t="shared" si="72"/>
        <v>2,5+2,5</v>
      </c>
      <c r="J178" s="882">
        <v>0.56000000000000005</v>
      </c>
      <c r="K178" s="1428">
        <v>0</v>
      </c>
      <c r="L178" s="90">
        <v>0</v>
      </c>
      <c r="M178" s="23">
        <f t="shared" si="84"/>
        <v>0.56000000000000005</v>
      </c>
      <c r="N178" s="172">
        <v>0</v>
      </c>
      <c r="O178" s="880"/>
      <c r="P178" s="880">
        <f t="shared" si="85"/>
        <v>2.625</v>
      </c>
      <c r="Q178" s="23">
        <f t="shared" si="86"/>
        <v>2.0649999999999999</v>
      </c>
      <c r="R178" s="23">
        <f t="shared" si="83"/>
        <v>2.0649999999999999</v>
      </c>
      <c r="S178" s="757" t="str">
        <f t="shared" si="82"/>
        <v>открыт</v>
      </c>
      <c r="T178" s="2052" t="str">
        <f t="shared" si="73"/>
        <v>открыт</v>
      </c>
      <c r="U178" s="757">
        <f t="shared" si="87"/>
        <v>21.333333333333336</v>
      </c>
      <c r="V178" s="2254" t="s">
        <v>3218</v>
      </c>
      <c r="W178" s="2254" t="s">
        <v>3399</v>
      </c>
      <c r="X178" s="912"/>
      <c r="Y178" s="84">
        <v>132</v>
      </c>
      <c r="Z178" s="255">
        <v>22</v>
      </c>
      <c r="AA178" s="84" t="s">
        <v>135</v>
      </c>
      <c r="AB178" s="230">
        <f t="shared" si="74"/>
        <v>2.5</v>
      </c>
      <c r="AC178" s="229" t="str">
        <f t="shared" si="75"/>
        <v>+</v>
      </c>
      <c r="AD178" s="229">
        <f t="shared" si="76"/>
        <v>2.5</v>
      </c>
      <c r="AE178" s="229"/>
      <c r="AF178" s="228"/>
      <c r="AG178" s="212" t="str">
        <f t="shared" si="77"/>
        <v>2,5+2,5</v>
      </c>
      <c r="AH178" s="23">
        <f>'Зона КиЭс  '!L213</f>
        <v>0</v>
      </c>
      <c r="AI178" s="23">
        <f t="shared" si="70"/>
        <v>0.56000000000000005</v>
      </c>
      <c r="AJ178" s="1973">
        <f t="shared" si="78"/>
        <v>0</v>
      </c>
      <c r="AK178" s="212">
        <f t="shared" si="79"/>
        <v>0</v>
      </c>
      <c r="AL178" s="172">
        <f t="shared" si="88"/>
        <v>0.56000000000000005</v>
      </c>
      <c r="AM178" s="1973">
        <f t="shared" si="80"/>
        <v>0</v>
      </c>
      <c r="AN178" s="880">
        <f t="shared" si="89"/>
        <v>2.625</v>
      </c>
      <c r="AO178" s="23">
        <f t="shared" si="90"/>
        <v>2.0649999999999999</v>
      </c>
      <c r="AP178" s="23">
        <f t="shared" si="92"/>
        <v>2.0649999999999999</v>
      </c>
      <c r="AQ178" s="757" t="str">
        <f t="shared" si="71"/>
        <v>открыт</v>
      </c>
      <c r="AR178" s="2052" t="str">
        <f t="shared" si="81"/>
        <v>открыт</v>
      </c>
      <c r="AS178" s="935">
        <f t="shared" si="91"/>
        <v>21.333333333333336</v>
      </c>
      <c r="AT178" s="937" t="s">
        <v>746</v>
      </c>
      <c r="AU178" s="1095">
        <v>1977</v>
      </c>
      <c r="AV178" s="1101" t="s">
        <v>3218</v>
      </c>
      <c r="AW178" s="1103">
        <v>57.5999979455177</v>
      </c>
      <c r="AX178" s="1103">
        <v>37.4899907307936</v>
      </c>
    </row>
    <row r="179" spans="1:50" ht="15" customHeight="1" x14ac:dyDescent="0.25">
      <c r="A179" s="84">
        <v>133</v>
      </c>
      <c r="B179" s="84">
        <v>23</v>
      </c>
      <c r="C179" s="84" t="s">
        <v>136</v>
      </c>
      <c r="D179" s="230">
        <v>2.5</v>
      </c>
      <c r="E179" s="229" t="s">
        <v>773</v>
      </c>
      <c r="F179" s="229">
        <v>2.5</v>
      </c>
      <c r="G179" s="229"/>
      <c r="H179" s="228"/>
      <c r="I179" s="229" t="str">
        <f t="shared" si="72"/>
        <v>2,5+2,5</v>
      </c>
      <c r="J179" s="882">
        <v>0.71</v>
      </c>
      <c r="K179" s="1428">
        <v>0</v>
      </c>
      <c r="L179" s="90">
        <v>0</v>
      </c>
      <c r="M179" s="23">
        <f t="shared" si="84"/>
        <v>0.71</v>
      </c>
      <c r="N179" s="172">
        <v>0</v>
      </c>
      <c r="O179" s="880"/>
      <c r="P179" s="880">
        <f t="shared" si="85"/>
        <v>2.625</v>
      </c>
      <c r="Q179" s="23">
        <f t="shared" si="86"/>
        <v>1.915</v>
      </c>
      <c r="R179" s="23">
        <f t="shared" si="83"/>
        <v>1.915</v>
      </c>
      <c r="S179" s="757" t="str">
        <f t="shared" si="82"/>
        <v>открыт</v>
      </c>
      <c r="T179" s="2052" t="str">
        <f t="shared" si="73"/>
        <v>открыт</v>
      </c>
      <c r="U179" s="757">
        <f t="shared" si="87"/>
        <v>27.047619047619047</v>
      </c>
      <c r="V179" s="2254">
        <v>0.54</v>
      </c>
      <c r="W179" s="2254" t="s">
        <v>3033</v>
      </c>
      <c r="X179" s="912"/>
      <c r="Y179" s="84">
        <v>133</v>
      </c>
      <c r="Z179" s="255">
        <v>23</v>
      </c>
      <c r="AA179" s="84" t="s">
        <v>136</v>
      </c>
      <c r="AB179" s="230">
        <f t="shared" si="74"/>
        <v>2.5</v>
      </c>
      <c r="AC179" s="229" t="str">
        <f t="shared" si="75"/>
        <v>+</v>
      </c>
      <c r="AD179" s="229">
        <f t="shared" si="76"/>
        <v>2.5</v>
      </c>
      <c r="AE179" s="229"/>
      <c r="AF179" s="228"/>
      <c r="AG179" s="212" t="str">
        <f t="shared" si="77"/>
        <v>2,5+2,5</v>
      </c>
      <c r="AH179" s="23">
        <f>'Зона КиЭс  '!L223</f>
        <v>0.10086847826086956</v>
      </c>
      <c r="AI179" s="23">
        <f t="shared" si="70"/>
        <v>0.8108684782608695</v>
      </c>
      <c r="AJ179" s="1973">
        <f t="shared" si="78"/>
        <v>0</v>
      </c>
      <c r="AK179" s="212">
        <f t="shared" si="79"/>
        <v>0</v>
      </c>
      <c r="AL179" s="172">
        <f t="shared" si="88"/>
        <v>0.8108684782608695</v>
      </c>
      <c r="AM179" s="1973">
        <f t="shared" si="80"/>
        <v>0</v>
      </c>
      <c r="AN179" s="880">
        <f t="shared" si="89"/>
        <v>2.625</v>
      </c>
      <c r="AO179" s="23">
        <f t="shared" si="90"/>
        <v>1.8141315217391305</v>
      </c>
      <c r="AP179" s="23">
        <f t="shared" si="92"/>
        <v>1.8141315217391305</v>
      </c>
      <c r="AQ179" s="757" t="str">
        <f t="shared" si="71"/>
        <v>открыт</v>
      </c>
      <c r="AR179" s="2052" t="str">
        <f t="shared" si="81"/>
        <v>открыт</v>
      </c>
      <c r="AS179" s="935">
        <f t="shared" si="91"/>
        <v>30.890227743271218</v>
      </c>
      <c r="AT179" s="937" t="s">
        <v>746</v>
      </c>
      <c r="AU179" s="1095">
        <v>1976</v>
      </c>
      <c r="AV179" s="1101" t="s">
        <v>3218</v>
      </c>
      <c r="AW179" s="1103">
        <v>57.317433032703804</v>
      </c>
      <c r="AX179" s="1103">
        <v>37.754084161422298</v>
      </c>
    </row>
    <row r="180" spans="1:50" ht="15" customHeight="1" x14ac:dyDescent="0.25">
      <c r="A180" s="84">
        <v>134</v>
      </c>
      <c r="B180" s="84">
        <v>24</v>
      </c>
      <c r="C180" s="84" t="s">
        <v>137</v>
      </c>
      <c r="D180" s="230">
        <v>10</v>
      </c>
      <c r="E180" s="229" t="s">
        <v>773</v>
      </c>
      <c r="F180" s="229">
        <v>10</v>
      </c>
      <c r="G180" s="229"/>
      <c r="H180" s="228"/>
      <c r="I180" s="229" t="str">
        <f t="shared" si="72"/>
        <v>10+10</v>
      </c>
      <c r="J180" s="882">
        <v>0.11</v>
      </c>
      <c r="K180" s="1428">
        <v>0</v>
      </c>
      <c r="L180" s="90">
        <v>0</v>
      </c>
      <c r="M180" s="23">
        <f t="shared" si="84"/>
        <v>0.11</v>
      </c>
      <c r="N180" s="172">
        <v>0</v>
      </c>
      <c r="O180" s="880"/>
      <c r="P180" s="880">
        <f t="shared" si="85"/>
        <v>10.5</v>
      </c>
      <c r="Q180" s="23">
        <f t="shared" si="86"/>
        <v>10.39</v>
      </c>
      <c r="R180" s="23">
        <f t="shared" si="83"/>
        <v>10.39</v>
      </c>
      <c r="S180" s="757" t="str">
        <f t="shared" si="82"/>
        <v>открыт</v>
      </c>
      <c r="T180" s="2052" t="str">
        <f t="shared" si="73"/>
        <v>открыт</v>
      </c>
      <c r="U180" s="757">
        <f t="shared" si="87"/>
        <v>1.0476190476190477</v>
      </c>
      <c r="V180" s="2254" t="s">
        <v>3398</v>
      </c>
      <c r="W180" s="2254" t="s">
        <v>3399</v>
      </c>
      <c r="X180" s="912"/>
      <c r="Y180" s="84">
        <v>134</v>
      </c>
      <c r="Z180" s="255">
        <v>24</v>
      </c>
      <c r="AA180" s="84" t="s">
        <v>137</v>
      </c>
      <c r="AB180" s="230">
        <f t="shared" si="74"/>
        <v>10</v>
      </c>
      <c r="AC180" s="229" t="str">
        <f t="shared" si="75"/>
        <v>+</v>
      </c>
      <c r="AD180" s="229">
        <f t="shared" si="76"/>
        <v>10</v>
      </c>
      <c r="AE180" s="229"/>
      <c r="AF180" s="228"/>
      <c r="AG180" s="212" t="str">
        <f t="shared" si="77"/>
        <v>10+10</v>
      </c>
      <c r="AH180" s="23">
        <f>'Зона КиЭс  '!L226</f>
        <v>0.24456521739130432</v>
      </c>
      <c r="AI180" s="23">
        <f t="shared" si="70"/>
        <v>0.35456521739130431</v>
      </c>
      <c r="AJ180" s="1973">
        <f t="shared" si="78"/>
        <v>0</v>
      </c>
      <c r="AK180" s="212">
        <f t="shared" si="79"/>
        <v>0</v>
      </c>
      <c r="AL180" s="172">
        <f t="shared" si="88"/>
        <v>0.35456521739130431</v>
      </c>
      <c r="AM180" s="1973">
        <f t="shared" si="80"/>
        <v>0</v>
      </c>
      <c r="AN180" s="880">
        <f t="shared" si="89"/>
        <v>10.5</v>
      </c>
      <c r="AO180" s="23">
        <f t="shared" si="90"/>
        <v>10.145434782608696</v>
      </c>
      <c r="AP180" s="23">
        <f t="shared" si="92"/>
        <v>10.145434782608696</v>
      </c>
      <c r="AQ180" s="757" t="str">
        <f t="shared" si="71"/>
        <v>открыт</v>
      </c>
      <c r="AR180" s="2052" t="str">
        <f t="shared" si="81"/>
        <v>открыт</v>
      </c>
      <c r="AS180" s="935">
        <f t="shared" si="91"/>
        <v>3.376811594202898</v>
      </c>
      <c r="AT180" s="937" t="s">
        <v>746</v>
      </c>
      <c r="AU180" s="1095">
        <v>1994</v>
      </c>
      <c r="AV180" s="1101" t="s">
        <v>3218</v>
      </c>
      <c r="AW180" s="1103">
        <v>56.901222455107998</v>
      </c>
      <c r="AX180" s="1103">
        <v>37.041569596253701</v>
      </c>
    </row>
    <row r="181" spans="1:50" ht="15" customHeight="1" x14ac:dyDescent="0.25">
      <c r="A181" s="84">
        <v>135</v>
      </c>
      <c r="B181" s="84">
        <v>25</v>
      </c>
      <c r="C181" s="84" t="s">
        <v>138</v>
      </c>
      <c r="D181" s="230">
        <v>2.5</v>
      </c>
      <c r="E181" s="229" t="s">
        <v>773</v>
      </c>
      <c r="F181" s="229">
        <v>2.5</v>
      </c>
      <c r="G181" s="229"/>
      <c r="H181" s="228"/>
      <c r="I181" s="229" t="str">
        <f t="shared" si="72"/>
        <v>2,5+2,5</v>
      </c>
      <c r="J181" s="882">
        <v>0.42</v>
      </c>
      <c r="K181" s="1428">
        <v>0</v>
      </c>
      <c r="L181" s="90">
        <v>0</v>
      </c>
      <c r="M181" s="23">
        <f t="shared" si="84"/>
        <v>0.42</v>
      </c>
      <c r="N181" s="172">
        <v>0</v>
      </c>
      <c r="O181" s="880"/>
      <c r="P181" s="880">
        <f t="shared" si="85"/>
        <v>2.625</v>
      </c>
      <c r="Q181" s="23">
        <f t="shared" si="86"/>
        <v>2.2050000000000001</v>
      </c>
      <c r="R181" s="23">
        <f t="shared" si="83"/>
        <v>2.2050000000000001</v>
      </c>
      <c r="S181" s="757" t="str">
        <f t="shared" si="82"/>
        <v>открыт</v>
      </c>
      <c r="T181" s="2052" t="str">
        <f t="shared" si="73"/>
        <v>открыт</v>
      </c>
      <c r="U181" s="757">
        <f t="shared" si="87"/>
        <v>16</v>
      </c>
      <c r="V181" s="2254" t="s">
        <v>3398</v>
      </c>
      <c r="W181" s="2254" t="s">
        <v>3399</v>
      </c>
      <c r="X181" s="912"/>
      <c r="Y181" s="84">
        <v>135</v>
      </c>
      <c r="Z181" s="255">
        <v>25</v>
      </c>
      <c r="AA181" s="84" t="s">
        <v>138</v>
      </c>
      <c r="AB181" s="230">
        <f t="shared" si="74"/>
        <v>2.5</v>
      </c>
      <c r="AC181" s="229" t="str">
        <f t="shared" si="75"/>
        <v>+</v>
      </c>
      <c r="AD181" s="229">
        <f t="shared" si="76"/>
        <v>2.5</v>
      </c>
      <c r="AE181" s="229"/>
      <c r="AF181" s="228"/>
      <c r="AG181" s="212" t="str">
        <f t="shared" si="77"/>
        <v>2,5+2,5</v>
      </c>
      <c r="AH181" s="23">
        <f>'Зона КиЭс  '!L231</f>
        <v>1.4673913043478259E-2</v>
      </c>
      <c r="AI181" s="23">
        <f t="shared" si="70"/>
        <v>0.43467391304347824</v>
      </c>
      <c r="AJ181" s="1973">
        <f t="shared" si="78"/>
        <v>0</v>
      </c>
      <c r="AK181" s="212">
        <f t="shared" si="79"/>
        <v>0</v>
      </c>
      <c r="AL181" s="172">
        <f t="shared" si="88"/>
        <v>0.43467391304347824</v>
      </c>
      <c r="AM181" s="1973">
        <f t="shared" si="80"/>
        <v>0</v>
      </c>
      <c r="AN181" s="880">
        <f t="shared" si="89"/>
        <v>2.625</v>
      </c>
      <c r="AO181" s="23">
        <f t="shared" si="90"/>
        <v>2.1903260869565218</v>
      </c>
      <c r="AP181" s="23">
        <f t="shared" si="92"/>
        <v>2.1903260869565218</v>
      </c>
      <c r="AQ181" s="757" t="str">
        <f t="shared" si="71"/>
        <v>открыт</v>
      </c>
      <c r="AR181" s="2052" t="str">
        <f t="shared" si="81"/>
        <v>открыт</v>
      </c>
      <c r="AS181" s="935">
        <f t="shared" si="91"/>
        <v>16.559006211180126</v>
      </c>
      <c r="AT181" s="937" t="s">
        <v>746</v>
      </c>
      <c r="AU181" s="1095">
        <v>1979</v>
      </c>
      <c r="AV181" s="1101" t="s">
        <v>3218</v>
      </c>
      <c r="AW181" s="1103">
        <v>57.3255850846136</v>
      </c>
      <c r="AX181" s="1103">
        <v>37.373048823625098</v>
      </c>
    </row>
    <row r="182" spans="1:50" ht="15" customHeight="1" x14ac:dyDescent="0.25">
      <c r="A182" s="84">
        <v>136</v>
      </c>
      <c r="B182" s="84">
        <v>26</v>
      </c>
      <c r="C182" s="84" t="s">
        <v>139</v>
      </c>
      <c r="D182" s="230">
        <v>25</v>
      </c>
      <c r="E182" s="229" t="s">
        <v>773</v>
      </c>
      <c r="F182" s="229">
        <v>25</v>
      </c>
      <c r="G182" s="229"/>
      <c r="H182" s="228"/>
      <c r="I182" s="229" t="str">
        <f t="shared" si="72"/>
        <v>25+25</v>
      </c>
      <c r="J182" s="882">
        <v>0.22</v>
      </c>
      <c r="K182" s="1428">
        <v>0</v>
      </c>
      <c r="L182" s="90">
        <v>0</v>
      </c>
      <c r="M182" s="23">
        <f t="shared" si="84"/>
        <v>0.22</v>
      </c>
      <c r="N182" s="172">
        <v>0</v>
      </c>
      <c r="O182" s="880"/>
      <c r="P182" s="880">
        <f t="shared" si="85"/>
        <v>26.25</v>
      </c>
      <c r="Q182" s="23">
        <f t="shared" si="86"/>
        <v>26.03</v>
      </c>
      <c r="R182" s="23">
        <f t="shared" si="83"/>
        <v>26.03</v>
      </c>
      <c r="S182" s="757" t="str">
        <f t="shared" si="82"/>
        <v>открыт</v>
      </c>
      <c r="T182" s="2052" t="str">
        <f t="shared" si="73"/>
        <v>открыт</v>
      </c>
      <c r="U182" s="757">
        <f t="shared" si="87"/>
        <v>0.83809523809523812</v>
      </c>
      <c r="V182" s="2254">
        <v>0.24</v>
      </c>
      <c r="W182" s="2254" t="s">
        <v>3033</v>
      </c>
      <c r="X182" s="912"/>
      <c r="Y182" s="84">
        <v>136</v>
      </c>
      <c r="Z182" s="255">
        <v>26</v>
      </c>
      <c r="AA182" s="84" t="s">
        <v>139</v>
      </c>
      <c r="AB182" s="230">
        <f t="shared" si="74"/>
        <v>25</v>
      </c>
      <c r="AC182" s="229" t="str">
        <f t="shared" si="75"/>
        <v>+</v>
      </c>
      <c r="AD182" s="229">
        <f t="shared" si="76"/>
        <v>25</v>
      </c>
      <c r="AE182" s="229"/>
      <c r="AF182" s="228"/>
      <c r="AG182" s="212" t="str">
        <f t="shared" si="77"/>
        <v>25+25</v>
      </c>
      <c r="AH182" s="23">
        <f>'Зона КиЭс  '!L233</f>
        <v>0</v>
      </c>
      <c r="AI182" s="23">
        <f t="shared" si="70"/>
        <v>0.22</v>
      </c>
      <c r="AJ182" s="1973">
        <f t="shared" si="78"/>
        <v>0</v>
      </c>
      <c r="AK182" s="212">
        <f t="shared" si="79"/>
        <v>0</v>
      </c>
      <c r="AL182" s="172">
        <f t="shared" si="88"/>
        <v>0.22</v>
      </c>
      <c r="AM182" s="1973">
        <f t="shared" si="80"/>
        <v>0</v>
      </c>
      <c r="AN182" s="880">
        <f t="shared" si="89"/>
        <v>26.25</v>
      </c>
      <c r="AO182" s="23">
        <f t="shared" si="90"/>
        <v>26.03</v>
      </c>
      <c r="AP182" s="23">
        <f t="shared" si="92"/>
        <v>26.03</v>
      </c>
      <c r="AQ182" s="757" t="str">
        <f t="shared" si="71"/>
        <v>открыт</v>
      </c>
      <c r="AR182" s="2052" t="str">
        <f t="shared" si="81"/>
        <v>открыт</v>
      </c>
      <c r="AS182" s="935">
        <f t="shared" si="91"/>
        <v>0.83809523809523812</v>
      </c>
      <c r="AT182" s="937" t="s">
        <v>746</v>
      </c>
      <c r="AU182" s="1095">
        <v>1982</v>
      </c>
      <c r="AV182" s="1101" t="s">
        <v>3218</v>
      </c>
      <c r="AW182" s="1103">
        <v>57.594402733937599</v>
      </c>
      <c r="AX182" s="1103">
        <v>37.209907777282098</v>
      </c>
    </row>
    <row r="183" spans="1:50" ht="15" customHeight="1" x14ac:dyDescent="0.25">
      <c r="A183" s="2412">
        <v>137</v>
      </c>
      <c r="B183" s="2412">
        <v>27</v>
      </c>
      <c r="C183" s="84" t="s">
        <v>140</v>
      </c>
      <c r="D183" s="230">
        <v>6.3</v>
      </c>
      <c r="E183" s="229" t="s">
        <v>773</v>
      </c>
      <c r="F183" s="229">
        <v>6.3</v>
      </c>
      <c r="G183" s="229"/>
      <c r="H183" s="228"/>
      <c r="I183" s="229" t="str">
        <f t="shared" si="72"/>
        <v>6,3+6,3</v>
      </c>
      <c r="J183" s="882">
        <v>0.14000000000000001</v>
      </c>
      <c r="K183" s="1428">
        <v>0</v>
      </c>
      <c r="L183" s="90">
        <v>0</v>
      </c>
      <c r="M183" s="23">
        <f t="shared" si="84"/>
        <v>0.14000000000000001</v>
      </c>
      <c r="N183" s="172">
        <v>0</v>
      </c>
      <c r="O183" s="880"/>
      <c r="P183" s="880">
        <f t="shared" si="85"/>
        <v>6.6150000000000002</v>
      </c>
      <c r="Q183" s="23">
        <f t="shared" si="86"/>
        <v>6.4750000000000005</v>
      </c>
      <c r="R183" s="2414">
        <f>MIN(Q183:Q185)</f>
        <v>6.4750000000000005</v>
      </c>
      <c r="S183" s="2400" t="str">
        <f t="shared" si="82"/>
        <v>открыт</v>
      </c>
      <c r="T183" s="2052" t="str">
        <f t="shared" si="73"/>
        <v>открыт</v>
      </c>
      <c r="U183" s="2398">
        <f t="shared" si="87"/>
        <v>2.1164021164021167</v>
      </c>
      <c r="V183" s="2398">
        <v>0.44</v>
      </c>
      <c r="W183" s="2398" t="s">
        <v>3033</v>
      </c>
      <c r="X183" s="912"/>
      <c r="Y183" s="2412">
        <v>137</v>
      </c>
      <c r="Z183" s="2413">
        <v>27</v>
      </c>
      <c r="AA183" s="84" t="s">
        <v>140</v>
      </c>
      <c r="AB183" s="230">
        <f t="shared" si="74"/>
        <v>6.3</v>
      </c>
      <c r="AC183" s="229" t="str">
        <f t="shared" si="75"/>
        <v>+</v>
      </c>
      <c r="AD183" s="229">
        <f t="shared" si="76"/>
        <v>6.3</v>
      </c>
      <c r="AE183" s="229"/>
      <c r="AF183" s="228"/>
      <c r="AG183" s="212" t="str">
        <f t="shared" si="77"/>
        <v>6,3+6,3</v>
      </c>
      <c r="AH183" s="23">
        <f>SUM(AH184:AH185)</f>
        <v>0</v>
      </c>
      <c r="AI183" s="23">
        <f t="shared" si="70"/>
        <v>0.14000000000000001</v>
      </c>
      <c r="AJ183" s="1973">
        <f t="shared" si="78"/>
        <v>0</v>
      </c>
      <c r="AK183" s="212">
        <f t="shared" si="79"/>
        <v>0</v>
      </c>
      <c r="AL183" s="172">
        <f t="shared" si="88"/>
        <v>0.14000000000000001</v>
      </c>
      <c r="AM183" s="1973">
        <f t="shared" si="80"/>
        <v>0</v>
      </c>
      <c r="AN183" s="880">
        <f t="shared" si="89"/>
        <v>6.6150000000000002</v>
      </c>
      <c r="AO183" s="23">
        <f t="shared" si="90"/>
        <v>6.4750000000000005</v>
      </c>
      <c r="AP183" s="2415">
        <f>MIN(AO183:AO185)</f>
        <v>6.4750000000000005</v>
      </c>
      <c r="AQ183" s="2398" t="str">
        <f t="shared" si="71"/>
        <v>открыт</v>
      </c>
      <c r="AR183" s="2052" t="str">
        <f t="shared" si="81"/>
        <v>открыт</v>
      </c>
      <c r="AS183" s="2452">
        <f t="shared" si="91"/>
        <v>2.1164021164021167</v>
      </c>
      <c r="AT183" s="937" t="s">
        <v>746</v>
      </c>
      <c r="AU183" s="1095">
        <v>1983</v>
      </c>
      <c r="AV183" s="1101" t="s">
        <v>3218</v>
      </c>
      <c r="AW183" s="1103">
        <v>56.995250953051503</v>
      </c>
      <c r="AX183" s="1103">
        <v>37.062664254766702</v>
      </c>
    </row>
    <row r="184" spans="1:50" ht="15" customHeight="1" x14ac:dyDescent="0.25">
      <c r="A184" s="2412"/>
      <c r="B184" s="2412"/>
      <c r="C184" s="84" t="s">
        <v>1768</v>
      </c>
      <c r="D184" s="230">
        <v>6.3</v>
      </c>
      <c r="E184" s="229" t="s">
        <v>773</v>
      </c>
      <c r="F184" s="229">
        <v>6.3</v>
      </c>
      <c r="G184" s="229"/>
      <c r="H184" s="228"/>
      <c r="I184" s="229" t="str">
        <f t="shared" si="72"/>
        <v>6,3+6,3</v>
      </c>
      <c r="J184" s="882">
        <v>0</v>
      </c>
      <c r="K184" s="1428">
        <v>0</v>
      </c>
      <c r="L184" s="90">
        <v>0</v>
      </c>
      <c r="M184" s="23">
        <f t="shared" si="84"/>
        <v>0</v>
      </c>
      <c r="N184" s="172">
        <v>0</v>
      </c>
      <c r="O184" s="880"/>
      <c r="P184" s="880">
        <f t="shared" si="85"/>
        <v>6.6150000000000002</v>
      </c>
      <c r="Q184" s="23">
        <f t="shared" si="86"/>
        <v>6.6150000000000002</v>
      </c>
      <c r="R184" s="2414"/>
      <c r="S184" s="2401"/>
      <c r="T184" s="2052" t="str">
        <f t="shared" si="73"/>
        <v>открыт</v>
      </c>
      <c r="U184" s="2399"/>
      <c r="V184" s="2399"/>
      <c r="W184" s="2399"/>
      <c r="X184" s="912"/>
      <c r="Y184" s="2412"/>
      <c r="Z184" s="2413"/>
      <c r="AA184" s="84" t="s">
        <v>1768</v>
      </c>
      <c r="AB184" s="230">
        <f t="shared" si="74"/>
        <v>6.3</v>
      </c>
      <c r="AC184" s="229" t="str">
        <f t="shared" si="75"/>
        <v>+</v>
      </c>
      <c r="AD184" s="229">
        <f t="shared" si="76"/>
        <v>6.3</v>
      </c>
      <c r="AE184" s="229"/>
      <c r="AF184" s="228"/>
      <c r="AG184" s="212" t="str">
        <f t="shared" si="77"/>
        <v>6,3+6,3</v>
      </c>
      <c r="AH184" s="23">
        <v>0</v>
      </c>
      <c r="AI184" s="23">
        <f t="shared" si="70"/>
        <v>0</v>
      </c>
      <c r="AJ184" s="1973">
        <f t="shared" si="78"/>
        <v>0</v>
      </c>
      <c r="AK184" s="212">
        <f t="shared" si="79"/>
        <v>0</v>
      </c>
      <c r="AL184" s="172">
        <f t="shared" si="88"/>
        <v>0</v>
      </c>
      <c r="AM184" s="1973">
        <f t="shared" si="80"/>
        <v>0</v>
      </c>
      <c r="AN184" s="880">
        <f t="shared" si="89"/>
        <v>6.6150000000000002</v>
      </c>
      <c r="AO184" s="23">
        <f t="shared" si="90"/>
        <v>6.6150000000000002</v>
      </c>
      <c r="AP184" s="2416"/>
      <c r="AQ184" s="2399" t="str">
        <f t="shared" si="71"/>
        <v>открыт</v>
      </c>
      <c r="AR184" s="2052" t="str">
        <f t="shared" si="81"/>
        <v>открыт</v>
      </c>
      <c r="AS184" s="2453"/>
      <c r="AT184" s="937" t="s">
        <v>746</v>
      </c>
      <c r="AU184" s="1095">
        <v>1983</v>
      </c>
      <c r="AV184" s="1101" t="s">
        <v>3218</v>
      </c>
      <c r="AW184" s="1103">
        <v>56.995250953051503</v>
      </c>
      <c r="AX184" s="1103">
        <v>37.062664254766702</v>
      </c>
    </row>
    <row r="185" spans="1:50" ht="15" customHeight="1" x14ac:dyDescent="0.25">
      <c r="A185" s="2412"/>
      <c r="B185" s="2412"/>
      <c r="C185" s="84" t="s">
        <v>1767</v>
      </c>
      <c r="D185" s="230">
        <v>6.3</v>
      </c>
      <c r="E185" s="229" t="s">
        <v>773</v>
      </c>
      <c r="F185" s="229">
        <v>6.3</v>
      </c>
      <c r="G185" s="229"/>
      <c r="H185" s="228"/>
      <c r="I185" s="229" t="str">
        <f t="shared" si="72"/>
        <v>6,3+6,3</v>
      </c>
      <c r="J185" s="882">
        <v>0.14000000000000001</v>
      </c>
      <c r="K185" s="1428">
        <v>0</v>
      </c>
      <c r="L185" s="90">
        <v>0</v>
      </c>
      <c r="M185" s="23">
        <f t="shared" si="84"/>
        <v>0.14000000000000001</v>
      </c>
      <c r="N185" s="172">
        <v>0</v>
      </c>
      <c r="O185" s="880"/>
      <c r="P185" s="880">
        <f t="shared" si="85"/>
        <v>6.6150000000000002</v>
      </c>
      <c r="Q185" s="23">
        <f t="shared" si="86"/>
        <v>6.4750000000000005</v>
      </c>
      <c r="R185" s="2414"/>
      <c r="S185" s="2402"/>
      <c r="T185" s="2052" t="str">
        <f t="shared" si="73"/>
        <v>открыт</v>
      </c>
      <c r="U185" s="2399"/>
      <c r="V185" s="2399"/>
      <c r="W185" s="2399"/>
      <c r="X185" s="912"/>
      <c r="Y185" s="2412"/>
      <c r="Z185" s="2413"/>
      <c r="AA185" s="84" t="s">
        <v>1767</v>
      </c>
      <c r="AB185" s="230">
        <f t="shared" si="74"/>
        <v>6.3</v>
      </c>
      <c r="AC185" s="229" t="str">
        <f t="shared" si="75"/>
        <v>+</v>
      </c>
      <c r="AD185" s="229">
        <f t="shared" si="76"/>
        <v>6.3</v>
      </c>
      <c r="AE185" s="229"/>
      <c r="AF185" s="228"/>
      <c r="AG185" s="212" t="str">
        <f t="shared" si="77"/>
        <v>6,3+6,3</v>
      </c>
      <c r="AH185" s="23">
        <f>'Зона КиЭс  '!L235</f>
        <v>0</v>
      </c>
      <c r="AI185" s="23">
        <f t="shared" si="70"/>
        <v>0.14000000000000001</v>
      </c>
      <c r="AJ185" s="1973">
        <f t="shared" si="78"/>
        <v>0</v>
      </c>
      <c r="AK185" s="212">
        <f t="shared" si="79"/>
        <v>0</v>
      </c>
      <c r="AL185" s="172">
        <f t="shared" si="88"/>
        <v>0.14000000000000001</v>
      </c>
      <c r="AM185" s="1973">
        <f t="shared" si="80"/>
        <v>0</v>
      </c>
      <c r="AN185" s="880">
        <f t="shared" si="89"/>
        <v>6.6150000000000002</v>
      </c>
      <c r="AO185" s="23">
        <f t="shared" si="90"/>
        <v>6.4750000000000005</v>
      </c>
      <c r="AP185" s="2417"/>
      <c r="AQ185" s="2399" t="str">
        <f t="shared" si="71"/>
        <v>открыт</v>
      </c>
      <c r="AR185" s="2052" t="str">
        <f t="shared" si="81"/>
        <v>открыт</v>
      </c>
      <c r="AS185" s="2454"/>
      <c r="AT185" s="937" t="s">
        <v>746</v>
      </c>
      <c r="AU185" s="1095">
        <v>1983</v>
      </c>
      <c r="AV185" s="1101" t="s">
        <v>3218</v>
      </c>
      <c r="AW185" s="1103">
        <v>56.995250953051503</v>
      </c>
      <c r="AX185" s="1103">
        <v>37.062664254766702</v>
      </c>
    </row>
    <row r="186" spans="1:50" ht="15" customHeight="1" x14ac:dyDescent="0.25">
      <c r="A186" s="2412">
        <v>138</v>
      </c>
      <c r="B186" s="2412">
        <v>28</v>
      </c>
      <c r="C186" s="84" t="s">
        <v>141</v>
      </c>
      <c r="D186" s="230">
        <v>40</v>
      </c>
      <c r="E186" s="229" t="s">
        <v>773</v>
      </c>
      <c r="F186" s="229">
        <v>25</v>
      </c>
      <c r="G186" s="229"/>
      <c r="H186" s="228"/>
      <c r="I186" s="229" t="str">
        <f t="shared" si="72"/>
        <v>40+25</v>
      </c>
      <c r="J186" s="882">
        <v>18.32</v>
      </c>
      <c r="K186" s="1428">
        <v>0</v>
      </c>
      <c r="L186" s="90">
        <v>0</v>
      </c>
      <c r="M186" s="23">
        <f t="shared" si="84"/>
        <v>18.32</v>
      </c>
      <c r="N186" s="172">
        <v>0</v>
      </c>
      <c r="O186" s="880"/>
      <c r="P186" s="880">
        <f>MIN(D186:F186)*1.05</f>
        <v>26.25</v>
      </c>
      <c r="Q186" s="23">
        <f t="shared" si="86"/>
        <v>7.93</v>
      </c>
      <c r="R186" s="2414">
        <f>MIN(Q186:Q188)</f>
        <v>7.93</v>
      </c>
      <c r="S186" s="2400" t="str">
        <f t="shared" si="82"/>
        <v>открыт</v>
      </c>
      <c r="T186" s="2052" t="str">
        <f t="shared" si="73"/>
        <v>открыт</v>
      </c>
      <c r="U186" s="2398">
        <f>(J186*100)/P186</f>
        <v>69.790476190476184</v>
      </c>
      <c r="V186" s="2398">
        <v>0.4</v>
      </c>
      <c r="W186" s="2398" t="s">
        <v>3033</v>
      </c>
      <c r="X186" s="912"/>
      <c r="Y186" s="2412">
        <v>138</v>
      </c>
      <c r="Z186" s="2413">
        <v>28</v>
      </c>
      <c r="AA186" s="84" t="s">
        <v>141</v>
      </c>
      <c r="AB186" s="230">
        <f t="shared" si="74"/>
        <v>40</v>
      </c>
      <c r="AC186" s="229" t="str">
        <f t="shared" si="75"/>
        <v>+</v>
      </c>
      <c r="AD186" s="229">
        <f t="shared" si="76"/>
        <v>25</v>
      </c>
      <c r="AE186" s="229"/>
      <c r="AF186" s="228"/>
      <c r="AG186" s="212" t="str">
        <f t="shared" si="77"/>
        <v>40+25</v>
      </c>
      <c r="AH186" s="23">
        <f>SUM(AH187:AH188)</f>
        <v>2.7675000000000001</v>
      </c>
      <c r="AI186" s="23">
        <f t="shared" si="70"/>
        <v>21.087499999999999</v>
      </c>
      <c r="AJ186" s="1973">
        <f t="shared" si="78"/>
        <v>0</v>
      </c>
      <c r="AK186" s="212">
        <f t="shared" si="79"/>
        <v>0</v>
      </c>
      <c r="AL186" s="172">
        <f t="shared" si="88"/>
        <v>21.087499999999999</v>
      </c>
      <c r="AM186" s="1973">
        <f t="shared" si="80"/>
        <v>0</v>
      </c>
      <c r="AN186" s="880">
        <f t="shared" si="89"/>
        <v>26.25</v>
      </c>
      <c r="AO186" s="23">
        <f t="shared" si="90"/>
        <v>5.1625000000000014</v>
      </c>
      <c r="AP186" s="2415">
        <f>MIN(AO186:AO188)</f>
        <v>5.1625000000000014</v>
      </c>
      <c r="AQ186" s="2400" t="str">
        <f>AR186</f>
        <v>открыт</v>
      </c>
      <c r="AR186" s="2052" t="str">
        <f t="shared" si="81"/>
        <v>открыт</v>
      </c>
      <c r="AS186" s="2452">
        <f>(AI186*100)/AN186</f>
        <v>80.333333333333329</v>
      </c>
      <c r="AT186" s="937" t="s">
        <v>746</v>
      </c>
      <c r="AU186" s="1095">
        <v>1963</v>
      </c>
      <c r="AV186" s="1101" t="s">
        <v>3218</v>
      </c>
      <c r="AW186" s="1103">
        <v>56.823144738473701</v>
      </c>
      <c r="AX186" s="1103">
        <v>37.3579739629226</v>
      </c>
    </row>
    <row r="187" spans="1:50" ht="15" customHeight="1" x14ac:dyDescent="0.25">
      <c r="A187" s="2412"/>
      <c r="B187" s="2412"/>
      <c r="C187" s="84" t="s">
        <v>1768</v>
      </c>
      <c r="D187" s="230">
        <v>40</v>
      </c>
      <c r="E187" s="229" t="s">
        <v>773</v>
      </c>
      <c r="F187" s="229">
        <v>25</v>
      </c>
      <c r="G187" s="229"/>
      <c r="H187" s="228"/>
      <c r="I187" s="229" t="str">
        <f t="shared" si="72"/>
        <v>40+25</v>
      </c>
      <c r="J187" s="882">
        <v>16.52</v>
      </c>
      <c r="K187" s="1428">
        <v>0</v>
      </c>
      <c r="L187" s="90">
        <v>0</v>
      </c>
      <c r="M187" s="23">
        <f t="shared" si="84"/>
        <v>16.52</v>
      </c>
      <c r="N187" s="172">
        <v>0</v>
      </c>
      <c r="O187" s="880"/>
      <c r="P187" s="880">
        <f t="shared" si="85"/>
        <v>26.25</v>
      </c>
      <c r="Q187" s="23">
        <f t="shared" si="86"/>
        <v>9.73</v>
      </c>
      <c r="R187" s="2414"/>
      <c r="S187" s="2401"/>
      <c r="T187" s="2052" t="str">
        <f t="shared" si="73"/>
        <v>открыт</v>
      </c>
      <c r="U187" s="2399"/>
      <c r="V187" s="2399"/>
      <c r="W187" s="2399"/>
      <c r="X187" s="912"/>
      <c r="Y187" s="2412"/>
      <c r="Z187" s="2413"/>
      <c r="AA187" s="84" t="s">
        <v>1768</v>
      </c>
      <c r="AB187" s="230">
        <f t="shared" si="74"/>
        <v>40</v>
      </c>
      <c r="AC187" s="229" t="str">
        <f t="shared" si="75"/>
        <v>+</v>
      </c>
      <c r="AD187" s="229">
        <f t="shared" si="76"/>
        <v>25</v>
      </c>
      <c r="AE187" s="229"/>
      <c r="AF187" s="228"/>
      <c r="AG187" s="212" t="str">
        <f t="shared" si="77"/>
        <v>40+25</v>
      </c>
      <c r="AH187" s="23">
        <f>SUM(AH159+AH161+AH167)</f>
        <v>0.91887096774193544</v>
      </c>
      <c r="AI187" s="23">
        <f t="shared" si="70"/>
        <v>17.438870967741934</v>
      </c>
      <c r="AJ187" s="1973">
        <f t="shared" si="78"/>
        <v>0</v>
      </c>
      <c r="AK187" s="212">
        <f t="shared" si="79"/>
        <v>0</v>
      </c>
      <c r="AL187" s="172">
        <f t="shared" si="88"/>
        <v>17.438870967741934</v>
      </c>
      <c r="AM187" s="1973">
        <f t="shared" si="80"/>
        <v>0</v>
      </c>
      <c r="AN187" s="880">
        <f t="shared" si="89"/>
        <v>26.25</v>
      </c>
      <c r="AO187" s="23">
        <f t="shared" si="90"/>
        <v>8.8111290322580658</v>
      </c>
      <c r="AP187" s="2416"/>
      <c r="AQ187" s="2401"/>
      <c r="AR187" s="2052" t="str">
        <f t="shared" si="81"/>
        <v>открыт</v>
      </c>
      <c r="AS187" s="2453"/>
      <c r="AT187" s="937" t="s">
        <v>746</v>
      </c>
      <c r="AU187" s="1095">
        <v>1963</v>
      </c>
      <c r="AV187" s="1101" t="s">
        <v>3218</v>
      </c>
      <c r="AW187" s="1103">
        <v>56.823144738473701</v>
      </c>
      <c r="AX187" s="1103">
        <v>37.3579739629226</v>
      </c>
    </row>
    <row r="188" spans="1:50" ht="15" customHeight="1" x14ac:dyDescent="0.25">
      <c r="A188" s="2412"/>
      <c r="B188" s="2412"/>
      <c r="C188" s="84" t="s">
        <v>1767</v>
      </c>
      <c r="D188" s="230">
        <v>40</v>
      </c>
      <c r="E188" s="229" t="s">
        <v>773</v>
      </c>
      <c r="F188" s="229">
        <v>25</v>
      </c>
      <c r="G188" s="229"/>
      <c r="H188" s="228"/>
      <c r="I188" s="229" t="str">
        <f t="shared" si="72"/>
        <v>40+25</v>
      </c>
      <c r="J188" s="882">
        <v>1.8</v>
      </c>
      <c r="K188" s="1428">
        <v>0</v>
      </c>
      <c r="L188" s="90">
        <v>0</v>
      </c>
      <c r="M188" s="23">
        <f t="shared" si="84"/>
        <v>1.8</v>
      </c>
      <c r="N188" s="172">
        <v>0</v>
      </c>
      <c r="O188" s="880"/>
      <c r="P188" s="880">
        <f t="shared" si="85"/>
        <v>26.25</v>
      </c>
      <c r="Q188" s="23">
        <f t="shared" si="86"/>
        <v>24.45</v>
      </c>
      <c r="R188" s="2414"/>
      <c r="S188" s="2402"/>
      <c r="T188" s="2052" t="str">
        <f t="shared" si="73"/>
        <v>открыт</v>
      </c>
      <c r="U188" s="2399"/>
      <c r="V188" s="2399"/>
      <c r="W188" s="2399"/>
      <c r="X188" s="912"/>
      <c r="Y188" s="2412"/>
      <c r="Z188" s="2413"/>
      <c r="AA188" s="84" t="s">
        <v>1767</v>
      </c>
      <c r="AB188" s="230">
        <f t="shared" si="74"/>
        <v>40</v>
      </c>
      <c r="AC188" s="229" t="str">
        <f t="shared" si="75"/>
        <v>+</v>
      </c>
      <c r="AD188" s="229">
        <f t="shared" si="76"/>
        <v>25</v>
      </c>
      <c r="AE188" s="229"/>
      <c r="AF188" s="228"/>
      <c r="AG188" s="212" t="str">
        <f t="shared" si="77"/>
        <v>40+25</v>
      </c>
      <c r="AH188" s="23">
        <f>'Зона КиЭс  '!L250</f>
        <v>1.8486290322580647</v>
      </c>
      <c r="AI188" s="23">
        <f t="shared" si="70"/>
        <v>3.6486290322580648</v>
      </c>
      <c r="AJ188" s="1973">
        <f t="shared" si="78"/>
        <v>0</v>
      </c>
      <c r="AK188" s="212">
        <f t="shared" si="79"/>
        <v>0</v>
      </c>
      <c r="AL188" s="172">
        <f t="shared" si="88"/>
        <v>3.6486290322580648</v>
      </c>
      <c r="AM188" s="1973">
        <f t="shared" si="80"/>
        <v>0</v>
      </c>
      <c r="AN188" s="880">
        <f t="shared" si="89"/>
        <v>26.25</v>
      </c>
      <c r="AO188" s="23">
        <f t="shared" si="90"/>
        <v>22.601370967741936</v>
      </c>
      <c r="AP188" s="2417"/>
      <c r="AQ188" s="2402"/>
      <c r="AR188" s="2052" t="str">
        <f t="shared" si="81"/>
        <v>открыт</v>
      </c>
      <c r="AS188" s="2454"/>
      <c r="AT188" s="937" t="s">
        <v>746</v>
      </c>
      <c r="AU188" s="1095">
        <v>1963</v>
      </c>
      <c r="AV188" s="1101" t="s">
        <v>3218</v>
      </c>
      <c r="AW188" s="1103">
        <v>56.823144738473701</v>
      </c>
      <c r="AX188" s="1103">
        <v>37.3579739629226</v>
      </c>
    </row>
    <row r="189" spans="1:50" ht="15" customHeight="1" x14ac:dyDescent="0.25">
      <c r="A189" s="2412">
        <v>139</v>
      </c>
      <c r="B189" s="2412">
        <v>29</v>
      </c>
      <c r="C189" s="84" t="s">
        <v>142</v>
      </c>
      <c r="D189" s="230">
        <v>6.3</v>
      </c>
      <c r="E189" s="229" t="s">
        <v>773</v>
      </c>
      <c r="F189" s="229">
        <v>6.3</v>
      </c>
      <c r="G189" s="229"/>
      <c r="H189" s="228"/>
      <c r="I189" s="229" t="str">
        <f t="shared" si="72"/>
        <v>6,3+6,3</v>
      </c>
      <c r="J189" s="882">
        <v>3.51</v>
      </c>
      <c r="K189" s="1424">
        <v>1.81</v>
      </c>
      <c r="L189" s="1427" t="s">
        <v>334</v>
      </c>
      <c r="M189" s="23">
        <f t="shared" si="84"/>
        <v>1.6999999999999997</v>
      </c>
      <c r="N189" s="172">
        <v>0</v>
      </c>
      <c r="O189" s="880"/>
      <c r="P189" s="880">
        <f t="shared" si="85"/>
        <v>6.6150000000000002</v>
      </c>
      <c r="Q189" s="23">
        <f t="shared" si="86"/>
        <v>4.9150000000000009</v>
      </c>
      <c r="R189" s="2414">
        <f>MIN(Q189:Q191)</f>
        <v>4.9150000000000009</v>
      </c>
      <c r="S189" s="2400" t="str">
        <f t="shared" si="82"/>
        <v>открыт</v>
      </c>
      <c r="T189" s="2052" t="str">
        <f t="shared" si="73"/>
        <v>открыт</v>
      </c>
      <c r="U189" s="2398">
        <f>(J189*100)/P189</f>
        <v>53.061224489795919</v>
      </c>
      <c r="V189" s="2398">
        <v>0.55000000000000004</v>
      </c>
      <c r="W189" s="2398" t="s">
        <v>3033</v>
      </c>
      <c r="X189" s="912"/>
      <c r="Y189" s="2412">
        <v>139</v>
      </c>
      <c r="Z189" s="2413">
        <v>29</v>
      </c>
      <c r="AA189" s="84" t="s">
        <v>142</v>
      </c>
      <c r="AB189" s="230">
        <f t="shared" si="74"/>
        <v>6.3</v>
      </c>
      <c r="AC189" s="229" t="str">
        <f t="shared" si="75"/>
        <v>+</v>
      </c>
      <c r="AD189" s="229">
        <f t="shared" si="76"/>
        <v>6.3</v>
      </c>
      <c r="AE189" s="229"/>
      <c r="AF189" s="228"/>
      <c r="AG189" s="212" t="str">
        <f t="shared" si="77"/>
        <v>6,3+6,3</v>
      </c>
      <c r="AH189" s="23">
        <f>SUM(AH190:AH191)</f>
        <v>0.66176739130434781</v>
      </c>
      <c r="AI189" s="23">
        <f t="shared" si="70"/>
        <v>4.171767391304348</v>
      </c>
      <c r="AJ189" s="1973">
        <f t="shared" si="78"/>
        <v>1.81</v>
      </c>
      <c r="AK189" s="212" t="str">
        <f t="shared" si="79"/>
        <v>1 сутки</v>
      </c>
      <c r="AL189" s="172">
        <f t="shared" si="88"/>
        <v>2.361767391304348</v>
      </c>
      <c r="AM189" s="1973">
        <f t="shared" si="80"/>
        <v>0</v>
      </c>
      <c r="AN189" s="880">
        <f t="shared" si="89"/>
        <v>6.6150000000000002</v>
      </c>
      <c r="AO189" s="23">
        <f t="shared" si="90"/>
        <v>4.2532326086956527</v>
      </c>
      <c r="AP189" s="2415">
        <f>MIN(AO189:AO191)</f>
        <v>4.2532326086956527</v>
      </c>
      <c r="AQ189" s="2398" t="str">
        <f t="shared" si="71"/>
        <v>открыт</v>
      </c>
      <c r="AR189" s="2052" t="str">
        <f t="shared" si="81"/>
        <v>открыт</v>
      </c>
      <c r="AS189" s="2452">
        <f>(AI189*100)/AN189</f>
        <v>63.065266686384696</v>
      </c>
      <c r="AT189" s="937" t="s">
        <v>746</v>
      </c>
      <c r="AU189" s="1095">
        <v>1960</v>
      </c>
      <c r="AV189" s="1101" t="s">
        <v>3218</v>
      </c>
      <c r="AW189" s="1103">
        <v>57.2552919177947</v>
      </c>
      <c r="AX189" s="1103">
        <v>37.140592446362398</v>
      </c>
    </row>
    <row r="190" spans="1:50" ht="15" customHeight="1" x14ac:dyDescent="0.25">
      <c r="A190" s="2412"/>
      <c r="B190" s="2412"/>
      <c r="C190" s="84" t="s">
        <v>1768</v>
      </c>
      <c r="D190" s="230">
        <v>6.3</v>
      </c>
      <c r="E190" s="229" t="s">
        <v>773</v>
      </c>
      <c r="F190" s="229">
        <v>6.3</v>
      </c>
      <c r="G190" s="229"/>
      <c r="H190" s="228"/>
      <c r="I190" s="229" t="str">
        <f t="shared" si="72"/>
        <v>6,3+6,3</v>
      </c>
      <c r="J190" s="882">
        <v>1.93</v>
      </c>
      <c r="K190" s="1424">
        <v>1.81</v>
      </c>
      <c r="L190" s="1427" t="s">
        <v>334</v>
      </c>
      <c r="M190" s="23">
        <f t="shared" ref="M190:M206" si="93">J190-K190</f>
        <v>0.11999999999999988</v>
      </c>
      <c r="N190" s="172">
        <v>0</v>
      </c>
      <c r="O190" s="880"/>
      <c r="P190" s="880">
        <f t="shared" ref="P190:P206" si="94">MIN(D190:F190)*1.05</f>
        <v>6.6150000000000002</v>
      </c>
      <c r="Q190" s="23">
        <f t="shared" ref="Q190:Q206" si="95">P190-M190-N190</f>
        <v>6.4950000000000001</v>
      </c>
      <c r="R190" s="2414"/>
      <c r="S190" s="2401"/>
      <c r="T190" s="2052" t="str">
        <f t="shared" si="73"/>
        <v>открыт</v>
      </c>
      <c r="U190" s="2399"/>
      <c r="V190" s="2399"/>
      <c r="W190" s="2399"/>
      <c r="X190" s="912"/>
      <c r="Y190" s="2412"/>
      <c r="Z190" s="2413"/>
      <c r="AA190" s="84" t="s">
        <v>1768</v>
      </c>
      <c r="AB190" s="230">
        <f t="shared" si="74"/>
        <v>6.3</v>
      </c>
      <c r="AC190" s="229" t="str">
        <f t="shared" si="75"/>
        <v>+</v>
      </c>
      <c r="AD190" s="229">
        <f t="shared" si="76"/>
        <v>6.3</v>
      </c>
      <c r="AE190" s="229"/>
      <c r="AF190" s="228"/>
      <c r="AG190" s="212" t="str">
        <f t="shared" si="77"/>
        <v>6,3+6,3</v>
      </c>
      <c r="AH190" s="23">
        <f>SUM(AH174+AH170)</f>
        <v>0.49826086956521742</v>
      </c>
      <c r="AI190" s="23">
        <f t="shared" si="70"/>
        <v>2.4282608695652175</v>
      </c>
      <c r="AJ190" s="1973">
        <f t="shared" si="78"/>
        <v>1.81</v>
      </c>
      <c r="AK190" s="212" t="str">
        <f t="shared" si="79"/>
        <v>1 сутки</v>
      </c>
      <c r="AL190" s="172">
        <f t="shared" ref="AL190:AL206" si="96">AI190-AJ190</f>
        <v>0.61826086956521742</v>
      </c>
      <c r="AM190" s="1973">
        <f t="shared" si="80"/>
        <v>0</v>
      </c>
      <c r="AN190" s="880">
        <f t="shared" ref="AN190:AN206" si="97">MIN(AB190:AF190)*1.05</f>
        <v>6.6150000000000002</v>
      </c>
      <c r="AO190" s="23">
        <f t="shared" ref="AO190:AO206" si="98">AN190-AL190-AM190</f>
        <v>5.9967391304347828</v>
      </c>
      <c r="AP190" s="2416"/>
      <c r="AQ190" s="2399" t="str">
        <f t="shared" si="71"/>
        <v>открыт</v>
      </c>
      <c r="AR190" s="2052" t="str">
        <f t="shared" si="81"/>
        <v>открыт</v>
      </c>
      <c r="AS190" s="2453"/>
      <c r="AT190" s="937" t="s">
        <v>746</v>
      </c>
      <c r="AU190" s="1095">
        <v>1960</v>
      </c>
      <c r="AV190" s="1101" t="s">
        <v>3218</v>
      </c>
      <c r="AW190" s="1103">
        <v>57.2552919177947</v>
      </c>
      <c r="AX190" s="1103">
        <v>37.140592446362398</v>
      </c>
    </row>
    <row r="191" spans="1:50" ht="15" customHeight="1" x14ac:dyDescent="0.25">
      <c r="A191" s="2412"/>
      <c r="B191" s="2412"/>
      <c r="C191" s="84" t="s">
        <v>1767</v>
      </c>
      <c r="D191" s="230">
        <v>6.3</v>
      </c>
      <c r="E191" s="229" t="s">
        <v>773</v>
      </c>
      <c r="F191" s="229">
        <v>6.3</v>
      </c>
      <c r="G191" s="229"/>
      <c r="H191" s="228"/>
      <c r="I191" s="229" t="str">
        <f t="shared" si="72"/>
        <v>6,3+6,3</v>
      </c>
      <c r="J191" s="882">
        <v>1.58</v>
      </c>
      <c r="K191" s="1428">
        <v>0</v>
      </c>
      <c r="L191" s="90">
        <v>0</v>
      </c>
      <c r="M191" s="23">
        <f t="shared" si="93"/>
        <v>1.58</v>
      </c>
      <c r="N191" s="172">
        <v>0</v>
      </c>
      <c r="O191" s="880"/>
      <c r="P191" s="880">
        <f t="shared" si="94"/>
        <v>6.6150000000000002</v>
      </c>
      <c r="Q191" s="23">
        <f t="shared" si="95"/>
        <v>5.0350000000000001</v>
      </c>
      <c r="R191" s="2414"/>
      <c r="S191" s="2402"/>
      <c r="T191" s="2052" t="str">
        <f t="shared" si="73"/>
        <v>открыт</v>
      </c>
      <c r="U191" s="2399"/>
      <c r="V191" s="2399"/>
      <c r="W191" s="2399"/>
      <c r="X191" s="912"/>
      <c r="Y191" s="2412"/>
      <c r="Z191" s="2413"/>
      <c r="AA191" s="84" t="s">
        <v>1767</v>
      </c>
      <c r="AB191" s="230">
        <f t="shared" si="74"/>
        <v>6.3</v>
      </c>
      <c r="AC191" s="229" t="str">
        <f t="shared" si="75"/>
        <v>+</v>
      </c>
      <c r="AD191" s="229">
        <f t="shared" si="76"/>
        <v>6.3</v>
      </c>
      <c r="AE191" s="229"/>
      <c r="AF191" s="228"/>
      <c r="AG191" s="212" t="str">
        <f t="shared" si="77"/>
        <v>6,3+6,3</v>
      </c>
      <c r="AH191" s="23">
        <f>'Зона КиЭс  '!L259</f>
        <v>0.16350652173913044</v>
      </c>
      <c r="AI191" s="23">
        <f t="shared" si="70"/>
        <v>1.7435065217391306</v>
      </c>
      <c r="AJ191" s="1973">
        <f t="shared" si="78"/>
        <v>0</v>
      </c>
      <c r="AK191" s="212">
        <f t="shared" si="79"/>
        <v>0</v>
      </c>
      <c r="AL191" s="172">
        <f t="shared" si="96"/>
        <v>1.7435065217391306</v>
      </c>
      <c r="AM191" s="1973">
        <f t="shared" si="80"/>
        <v>0</v>
      </c>
      <c r="AN191" s="880">
        <f t="shared" si="97"/>
        <v>6.6150000000000002</v>
      </c>
      <c r="AO191" s="23">
        <f t="shared" si="98"/>
        <v>4.8714934782608701</v>
      </c>
      <c r="AP191" s="2417"/>
      <c r="AQ191" s="2399" t="str">
        <f t="shared" si="71"/>
        <v>открыт</v>
      </c>
      <c r="AR191" s="2052" t="str">
        <f t="shared" si="81"/>
        <v>открыт</v>
      </c>
      <c r="AS191" s="2454"/>
      <c r="AT191" s="937" t="s">
        <v>746</v>
      </c>
      <c r="AU191" s="1095">
        <v>1960</v>
      </c>
      <c r="AV191" s="1101" t="s">
        <v>3218</v>
      </c>
      <c r="AW191" s="1103">
        <v>57.2552919177947</v>
      </c>
      <c r="AX191" s="1103">
        <v>37.140592446362398</v>
      </c>
    </row>
    <row r="192" spans="1:50" ht="15" customHeight="1" x14ac:dyDescent="0.25">
      <c r="A192" s="2412">
        <v>140</v>
      </c>
      <c r="B192" s="2412">
        <v>30</v>
      </c>
      <c r="C192" s="84" t="s">
        <v>143</v>
      </c>
      <c r="D192" s="230">
        <v>6.3</v>
      </c>
      <c r="E192" s="229" t="s">
        <v>773</v>
      </c>
      <c r="F192" s="229">
        <v>6.3</v>
      </c>
      <c r="G192" s="229"/>
      <c r="H192" s="228"/>
      <c r="I192" s="229" t="str">
        <f t="shared" si="72"/>
        <v>6,3+6,3</v>
      </c>
      <c r="J192" s="882">
        <v>1.6199999999999999</v>
      </c>
      <c r="K192" s="1424">
        <v>0.13</v>
      </c>
      <c r="L192" s="1427" t="s">
        <v>334</v>
      </c>
      <c r="M192" s="23">
        <f t="shared" si="93"/>
        <v>1.4899999999999998</v>
      </c>
      <c r="N192" s="172">
        <v>0</v>
      </c>
      <c r="O192" s="880"/>
      <c r="P192" s="880">
        <f t="shared" si="94"/>
        <v>6.6150000000000002</v>
      </c>
      <c r="Q192" s="23">
        <f t="shared" si="95"/>
        <v>5.125</v>
      </c>
      <c r="R192" s="2414">
        <f>MIN(Q192:Q194)</f>
        <v>5.125</v>
      </c>
      <c r="S192" s="2400" t="str">
        <f t="shared" si="82"/>
        <v>открыт</v>
      </c>
      <c r="T192" s="2052" t="str">
        <f t="shared" si="73"/>
        <v>открыт</v>
      </c>
      <c r="U192" s="2398">
        <f>(J192*100)/P192</f>
        <v>24.489795918367346</v>
      </c>
      <c r="V192" s="2398">
        <v>0.87</v>
      </c>
      <c r="W192" s="2398" t="s">
        <v>3033</v>
      </c>
      <c r="X192" s="912"/>
      <c r="Y192" s="2412">
        <v>140</v>
      </c>
      <c r="Z192" s="2413">
        <v>30</v>
      </c>
      <c r="AA192" s="84" t="s">
        <v>143</v>
      </c>
      <c r="AB192" s="230">
        <f t="shared" si="74"/>
        <v>6.3</v>
      </c>
      <c r="AC192" s="229" t="str">
        <f t="shared" si="75"/>
        <v>+</v>
      </c>
      <c r="AD192" s="229">
        <f t="shared" si="76"/>
        <v>6.3</v>
      </c>
      <c r="AE192" s="229"/>
      <c r="AF192" s="228"/>
      <c r="AG192" s="212" t="str">
        <f t="shared" si="77"/>
        <v>6,3+6,3</v>
      </c>
      <c r="AH192" s="23">
        <f>SUM(AH193:AH194)</f>
        <v>0.1492391304347826</v>
      </c>
      <c r="AI192" s="23">
        <f t="shared" si="70"/>
        <v>1.7692391304347825</v>
      </c>
      <c r="AJ192" s="1973">
        <f t="shared" si="78"/>
        <v>0.13</v>
      </c>
      <c r="AK192" s="212" t="str">
        <f t="shared" si="79"/>
        <v>1 сутки</v>
      </c>
      <c r="AL192" s="172">
        <f t="shared" si="96"/>
        <v>1.6392391304347824</v>
      </c>
      <c r="AM192" s="1973">
        <f t="shared" si="80"/>
        <v>0</v>
      </c>
      <c r="AN192" s="880">
        <f t="shared" si="97"/>
        <v>6.6150000000000002</v>
      </c>
      <c r="AO192" s="23">
        <f t="shared" si="98"/>
        <v>4.9757608695652173</v>
      </c>
      <c r="AP192" s="2415">
        <f>MIN(AO192:AO194)</f>
        <v>4.9757608695652173</v>
      </c>
      <c r="AQ192" s="2398" t="str">
        <f t="shared" si="71"/>
        <v>открыт</v>
      </c>
      <c r="AR192" s="2052" t="str">
        <f t="shared" si="81"/>
        <v>открыт</v>
      </c>
      <c r="AS192" s="2452">
        <f>(AI192*100)/AN192</f>
        <v>26.745867429097242</v>
      </c>
      <c r="AT192" s="937" t="s">
        <v>746</v>
      </c>
      <c r="AU192" s="1095">
        <v>1963</v>
      </c>
      <c r="AV192" s="1101" t="s">
        <v>3218</v>
      </c>
      <c r="AW192" s="1103">
        <v>57.156631058685001</v>
      </c>
      <c r="AX192" s="1103">
        <v>36.744036796905199</v>
      </c>
    </row>
    <row r="193" spans="1:50" ht="15" customHeight="1" x14ac:dyDescent="0.25">
      <c r="A193" s="2412"/>
      <c r="B193" s="2412"/>
      <c r="C193" s="84" t="s">
        <v>1768</v>
      </c>
      <c r="D193" s="230">
        <v>6.3</v>
      </c>
      <c r="E193" s="229" t="s">
        <v>773</v>
      </c>
      <c r="F193" s="229">
        <v>6.3</v>
      </c>
      <c r="G193" s="229"/>
      <c r="H193" s="228"/>
      <c r="I193" s="229" t="str">
        <f t="shared" si="72"/>
        <v>6,3+6,3</v>
      </c>
      <c r="J193" s="882">
        <v>0.19</v>
      </c>
      <c r="K193" s="1424">
        <v>0.13</v>
      </c>
      <c r="L193" s="1427" t="s">
        <v>334</v>
      </c>
      <c r="M193" s="23">
        <f t="shared" si="93"/>
        <v>0.06</v>
      </c>
      <c r="N193" s="172">
        <v>0</v>
      </c>
      <c r="O193" s="880"/>
      <c r="P193" s="880">
        <f t="shared" si="94"/>
        <v>6.6150000000000002</v>
      </c>
      <c r="Q193" s="23">
        <f t="shared" si="95"/>
        <v>6.5550000000000006</v>
      </c>
      <c r="R193" s="2414"/>
      <c r="S193" s="2401"/>
      <c r="T193" s="2052" t="str">
        <f t="shared" si="73"/>
        <v>открыт</v>
      </c>
      <c r="U193" s="2399"/>
      <c r="V193" s="2399"/>
      <c r="W193" s="2399"/>
      <c r="X193" s="912"/>
      <c r="Y193" s="2412"/>
      <c r="Z193" s="2413"/>
      <c r="AA193" s="84" t="s">
        <v>1768</v>
      </c>
      <c r="AB193" s="230">
        <f t="shared" si="74"/>
        <v>6.3</v>
      </c>
      <c r="AC193" s="229" t="str">
        <f t="shared" si="75"/>
        <v>+</v>
      </c>
      <c r="AD193" s="229">
        <f t="shared" si="76"/>
        <v>6.3</v>
      </c>
      <c r="AE193" s="229"/>
      <c r="AF193" s="228"/>
      <c r="AG193" s="212" t="str">
        <f t="shared" si="77"/>
        <v>6,3+6,3</v>
      </c>
      <c r="AH193" s="23">
        <f>SUM(AH175)</f>
        <v>0</v>
      </c>
      <c r="AI193" s="23">
        <f t="shared" si="70"/>
        <v>0.19</v>
      </c>
      <c r="AJ193" s="1973">
        <f t="shared" si="78"/>
        <v>0.13</v>
      </c>
      <c r="AK193" s="212" t="str">
        <f t="shared" si="79"/>
        <v>1 сутки</v>
      </c>
      <c r="AL193" s="172">
        <f t="shared" si="96"/>
        <v>0.06</v>
      </c>
      <c r="AM193" s="1973">
        <f t="shared" si="80"/>
        <v>0</v>
      </c>
      <c r="AN193" s="880">
        <f t="shared" si="97"/>
        <v>6.6150000000000002</v>
      </c>
      <c r="AO193" s="23">
        <f t="shared" si="98"/>
        <v>6.5550000000000006</v>
      </c>
      <c r="AP193" s="2416"/>
      <c r="AQ193" s="2399" t="str">
        <f t="shared" si="71"/>
        <v>открыт</v>
      </c>
      <c r="AR193" s="2052" t="str">
        <f t="shared" si="81"/>
        <v>открыт</v>
      </c>
      <c r="AS193" s="2453"/>
      <c r="AT193" s="937" t="s">
        <v>746</v>
      </c>
      <c r="AU193" s="1095">
        <v>1963</v>
      </c>
      <c r="AV193" s="1101" t="s">
        <v>3218</v>
      </c>
      <c r="AW193" s="1103">
        <v>57.156631058685001</v>
      </c>
      <c r="AX193" s="1103">
        <v>36.744036796905199</v>
      </c>
    </row>
    <row r="194" spans="1:50" ht="15" customHeight="1" x14ac:dyDescent="0.25">
      <c r="A194" s="2412"/>
      <c r="B194" s="2412"/>
      <c r="C194" s="84" t="s">
        <v>1767</v>
      </c>
      <c r="D194" s="230">
        <v>6.3</v>
      </c>
      <c r="E194" s="229" t="s">
        <v>773</v>
      </c>
      <c r="F194" s="229">
        <v>6.3</v>
      </c>
      <c r="G194" s="229"/>
      <c r="H194" s="228"/>
      <c r="I194" s="229" t="str">
        <f t="shared" si="72"/>
        <v>6,3+6,3</v>
      </c>
      <c r="J194" s="882">
        <v>1.43</v>
      </c>
      <c r="K194" s="1428">
        <v>0</v>
      </c>
      <c r="L194" s="90">
        <v>0</v>
      </c>
      <c r="M194" s="23">
        <f t="shared" si="93"/>
        <v>1.43</v>
      </c>
      <c r="N194" s="172">
        <v>0</v>
      </c>
      <c r="O194" s="880"/>
      <c r="P194" s="880">
        <f t="shared" si="94"/>
        <v>6.6150000000000002</v>
      </c>
      <c r="Q194" s="23">
        <f t="shared" si="95"/>
        <v>5.1850000000000005</v>
      </c>
      <c r="R194" s="2414"/>
      <c r="S194" s="2402"/>
      <c r="T194" s="2052" t="str">
        <f t="shared" si="73"/>
        <v>открыт</v>
      </c>
      <c r="U194" s="2399"/>
      <c r="V194" s="2399"/>
      <c r="W194" s="2399"/>
      <c r="X194" s="912"/>
      <c r="Y194" s="2412"/>
      <c r="Z194" s="2413"/>
      <c r="AA194" s="84" t="s">
        <v>1767</v>
      </c>
      <c r="AB194" s="230">
        <f t="shared" si="74"/>
        <v>6.3</v>
      </c>
      <c r="AC194" s="229" t="str">
        <f t="shared" si="75"/>
        <v>+</v>
      </c>
      <c r="AD194" s="229">
        <f t="shared" si="76"/>
        <v>6.3</v>
      </c>
      <c r="AE194" s="229"/>
      <c r="AF194" s="228"/>
      <c r="AG194" s="212" t="str">
        <f t="shared" si="77"/>
        <v>6,3+6,3</v>
      </c>
      <c r="AH194" s="23">
        <f>'Зона КиЭс  '!L265</f>
        <v>0.1492391304347826</v>
      </c>
      <c r="AI194" s="23">
        <f t="shared" si="70"/>
        <v>1.5792391304347826</v>
      </c>
      <c r="AJ194" s="1973">
        <f t="shared" si="78"/>
        <v>0</v>
      </c>
      <c r="AK194" s="212">
        <f t="shared" si="79"/>
        <v>0</v>
      </c>
      <c r="AL194" s="172">
        <f t="shared" si="96"/>
        <v>1.5792391304347826</v>
      </c>
      <c r="AM194" s="1973">
        <f t="shared" si="80"/>
        <v>0</v>
      </c>
      <c r="AN194" s="880">
        <f t="shared" si="97"/>
        <v>6.6150000000000002</v>
      </c>
      <c r="AO194" s="23">
        <f t="shared" si="98"/>
        <v>5.0357608695652178</v>
      </c>
      <c r="AP194" s="2417"/>
      <c r="AQ194" s="2399" t="str">
        <f t="shared" si="71"/>
        <v>открыт</v>
      </c>
      <c r="AR194" s="2052" t="str">
        <f t="shared" si="81"/>
        <v>открыт</v>
      </c>
      <c r="AS194" s="2454"/>
      <c r="AT194" s="937" t="s">
        <v>746</v>
      </c>
      <c r="AU194" s="1095">
        <v>1963</v>
      </c>
      <c r="AV194" s="1101" t="s">
        <v>3218</v>
      </c>
      <c r="AW194" s="1103">
        <v>57.156631058685001</v>
      </c>
      <c r="AX194" s="1103">
        <v>36.744036796905199</v>
      </c>
    </row>
    <row r="195" spans="1:50" ht="15" customHeight="1" x14ac:dyDescent="0.25">
      <c r="A195" s="2412">
        <v>141</v>
      </c>
      <c r="B195" s="2412">
        <v>31</v>
      </c>
      <c r="C195" s="84" t="s">
        <v>144</v>
      </c>
      <c r="D195" s="230">
        <v>16</v>
      </c>
      <c r="E195" s="229" t="s">
        <v>773</v>
      </c>
      <c r="F195" s="229">
        <v>16</v>
      </c>
      <c r="G195" s="229"/>
      <c r="H195" s="228"/>
      <c r="I195" s="229" t="str">
        <f t="shared" si="72"/>
        <v>16+16</v>
      </c>
      <c r="J195" s="882">
        <v>16.810000000000002</v>
      </c>
      <c r="K195" s="1424">
        <v>0</v>
      </c>
      <c r="L195" s="90">
        <v>0</v>
      </c>
      <c r="M195" s="23">
        <f t="shared" si="93"/>
        <v>16.810000000000002</v>
      </c>
      <c r="N195" s="172">
        <v>0</v>
      </c>
      <c r="O195" s="880"/>
      <c r="P195" s="880">
        <f t="shared" si="94"/>
        <v>16.8</v>
      </c>
      <c r="Q195" s="23">
        <f t="shared" si="95"/>
        <v>-1.0000000000001563E-2</v>
      </c>
      <c r="R195" s="2415">
        <f>MIN(Q195:Q197)</f>
        <v>-1.0000000000001563E-2</v>
      </c>
      <c r="S195" s="2400" t="str">
        <f>T195</f>
        <v>закрыт</v>
      </c>
      <c r="T195" s="2052" t="str">
        <f t="shared" si="73"/>
        <v>закрыт</v>
      </c>
      <c r="U195" s="2398">
        <f>(J195*100)/P195</f>
        <v>100.05952380952382</v>
      </c>
      <c r="V195" s="2398">
        <v>0.33</v>
      </c>
      <c r="W195" s="2398" t="s">
        <v>3033</v>
      </c>
      <c r="X195" s="912"/>
      <c r="Y195" s="2412">
        <v>141</v>
      </c>
      <c r="Z195" s="2413">
        <v>31</v>
      </c>
      <c r="AA195" s="84" t="s">
        <v>144</v>
      </c>
      <c r="AB195" s="230">
        <f t="shared" si="74"/>
        <v>16</v>
      </c>
      <c r="AC195" s="229" t="str">
        <f t="shared" si="75"/>
        <v>+</v>
      </c>
      <c r="AD195" s="229">
        <f t="shared" si="76"/>
        <v>16</v>
      </c>
      <c r="AE195" s="229"/>
      <c r="AF195" s="228"/>
      <c r="AG195" s="212" t="str">
        <f t="shared" si="77"/>
        <v>16+16</v>
      </c>
      <c r="AH195" s="23">
        <f>SUM(AH196:AH197)</f>
        <v>2.9532065217391299</v>
      </c>
      <c r="AI195" s="23">
        <f t="shared" si="70"/>
        <v>19.763206521739132</v>
      </c>
      <c r="AJ195" s="1973">
        <f t="shared" si="78"/>
        <v>0</v>
      </c>
      <c r="AK195" s="212">
        <f t="shared" si="79"/>
        <v>0</v>
      </c>
      <c r="AL195" s="172">
        <f t="shared" si="96"/>
        <v>19.763206521739132</v>
      </c>
      <c r="AM195" s="1973">
        <f t="shared" si="80"/>
        <v>0</v>
      </c>
      <c r="AN195" s="880">
        <f t="shared" si="97"/>
        <v>16.8</v>
      </c>
      <c r="AO195" s="23">
        <f t="shared" si="98"/>
        <v>-2.9632065217391315</v>
      </c>
      <c r="AP195" s="2415">
        <f>MIN(AO195:AO197)</f>
        <v>-2.9632065217391315</v>
      </c>
      <c r="AQ195" s="2400" t="str">
        <f>AR195</f>
        <v>закрыт</v>
      </c>
      <c r="AR195" s="2052" t="str">
        <f t="shared" si="81"/>
        <v>закрыт</v>
      </c>
      <c r="AS195" s="2452">
        <f>(AI195*100)/AN195</f>
        <v>117.63813405797102</v>
      </c>
      <c r="AT195" s="937" t="s">
        <v>746</v>
      </c>
      <c r="AU195" s="1095">
        <v>1982</v>
      </c>
      <c r="AV195" s="1101" t="s">
        <v>3218</v>
      </c>
      <c r="AW195" s="1103">
        <v>57.223869448804102</v>
      </c>
      <c r="AX195" s="1103">
        <v>37.802553604275602</v>
      </c>
    </row>
    <row r="196" spans="1:50" ht="15" customHeight="1" x14ac:dyDescent="0.25">
      <c r="A196" s="2412"/>
      <c r="B196" s="2412"/>
      <c r="C196" s="1974" t="s">
        <v>1768</v>
      </c>
      <c r="D196" s="1975">
        <v>16</v>
      </c>
      <c r="E196" s="1976" t="s">
        <v>773</v>
      </c>
      <c r="F196" s="1976">
        <v>16</v>
      </c>
      <c r="G196" s="1976"/>
      <c r="H196" s="1977"/>
      <c r="I196" s="1976" t="str">
        <f t="shared" si="72"/>
        <v>16+16</v>
      </c>
      <c r="J196" s="1978">
        <v>12.3</v>
      </c>
      <c r="K196" s="1979">
        <v>0</v>
      </c>
      <c r="L196" s="1980">
        <v>0</v>
      </c>
      <c r="M196" s="1979">
        <f t="shared" si="93"/>
        <v>12.3</v>
      </c>
      <c r="N196" s="1981">
        <v>0</v>
      </c>
      <c r="O196" s="1982"/>
      <c r="P196" s="1982">
        <f t="shared" si="94"/>
        <v>16.8</v>
      </c>
      <c r="Q196" s="1979">
        <f t="shared" si="95"/>
        <v>4.5</v>
      </c>
      <c r="R196" s="2416"/>
      <c r="S196" s="2401"/>
      <c r="T196" s="2052" t="str">
        <f t="shared" si="73"/>
        <v>открыт</v>
      </c>
      <c r="U196" s="2398"/>
      <c r="V196" s="2398"/>
      <c r="W196" s="2398"/>
      <c r="X196" s="912"/>
      <c r="Y196" s="2412"/>
      <c r="Z196" s="2413"/>
      <c r="AA196" s="1974" t="s">
        <v>1768</v>
      </c>
      <c r="AB196" s="1975">
        <f t="shared" si="74"/>
        <v>16</v>
      </c>
      <c r="AC196" s="1976" t="str">
        <f t="shared" si="75"/>
        <v>+</v>
      </c>
      <c r="AD196" s="1976">
        <f t="shared" si="76"/>
        <v>16</v>
      </c>
      <c r="AE196" s="1976"/>
      <c r="AF196" s="1977"/>
      <c r="AG196" s="1983" t="str">
        <f t="shared" si="77"/>
        <v>16+16</v>
      </c>
      <c r="AH196" s="1979">
        <f>SUM(AH160+AH163+AH169+AH172+AH176)</f>
        <v>2.5951630434782604</v>
      </c>
      <c r="AI196" s="1979">
        <f t="shared" si="70"/>
        <v>14.895163043478261</v>
      </c>
      <c r="AJ196" s="1981">
        <f t="shared" si="78"/>
        <v>0</v>
      </c>
      <c r="AK196" s="1983">
        <f t="shared" si="79"/>
        <v>0</v>
      </c>
      <c r="AL196" s="1981">
        <f t="shared" si="96"/>
        <v>14.895163043478261</v>
      </c>
      <c r="AM196" s="1981">
        <f t="shared" si="80"/>
        <v>0</v>
      </c>
      <c r="AN196" s="1982">
        <f t="shared" si="97"/>
        <v>16.8</v>
      </c>
      <c r="AO196" s="1979">
        <f t="shared" si="98"/>
        <v>1.9048369565217396</v>
      </c>
      <c r="AP196" s="2416"/>
      <c r="AQ196" s="2401"/>
      <c r="AR196" s="2052" t="str">
        <f t="shared" si="81"/>
        <v>открыт</v>
      </c>
      <c r="AS196" s="2453"/>
      <c r="AT196" s="937" t="s">
        <v>746</v>
      </c>
      <c r="AU196" s="1095">
        <v>1982</v>
      </c>
      <c r="AV196" s="1101" t="s">
        <v>3218</v>
      </c>
      <c r="AW196" s="1103">
        <v>57.223869448804102</v>
      </c>
      <c r="AX196" s="1103">
        <v>37.802553604275602</v>
      </c>
    </row>
    <row r="197" spans="1:50" ht="15" customHeight="1" x14ac:dyDescent="0.25">
      <c r="A197" s="2412"/>
      <c r="B197" s="2412"/>
      <c r="C197" s="1974" t="s">
        <v>1767</v>
      </c>
      <c r="D197" s="1975">
        <v>16</v>
      </c>
      <c r="E197" s="1976" t="s">
        <v>773</v>
      </c>
      <c r="F197" s="1976">
        <v>16</v>
      </c>
      <c r="G197" s="1976"/>
      <c r="H197" s="1977"/>
      <c r="I197" s="1976" t="str">
        <f t="shared" si="72"/>
        <v>16+16</v>
      </c>
      <c r="J197" s="1978">
        <v>4.51</v>
      </c>
      <c r="K197" s="1979">
        <v>0</v>
      </c>
      <c r="L197" s="1980">
        <v>0</v>
      </c>
      <c r="M197" s="1979">
        <f t="shared" si="93"/>
        <v>4.51</v>
      </c>
      <c r="N197" s="1981">
        <v>0</v>
      </c>
      <c r="O197" s="1982"/>
      <c r="P197" s="1982">
        <f t="shared" si="94"/>
        <v>16.8</v>
      </c>
      <c r="Q197" s="1979">
        <f t="shared" si="95"/>
        <v>12.290000000000001</v>
      </c>
      <c r="R197" s="2417"/>
      <c r="S197" s="2402"/>
      <c r="T197" s="2052" t="str">
        <f t="shared" si="73"/>
        <v>открыт</v>
      </c>
      <c r="U197" s="2398"/>
      <c r="V197" s="2398"/>
      <c r="W197" s="2398"/>
      <c r="X197" s="912"/>
      <c r="Y197" s="2412"/>
      <c r="Z197" s="2413"/>
      <c r="AA197" s="1974" t="s">
        <v>1767</v>
      </c>
      <c r="AB197" s="1975">
        <f t="shared" si="74"/>
        <v>16</v>
      </c>
      <c r="AC197" s="1976" t="str">
        <f t="shared" si="75"/>
        <v>+</v>
      </c>
      <c r="AD197" s="1976">
        <f t="shared" si="76"/>
        <v>16</v>
      </c>
      <c r="AE197" s="1976"/>
      <c r="AF197" s="1977"/>
      <c r="AG197" s="1983" t="str">
        <f t="shared" si="77"/>
        <v>16+16</v>
      </c>
      <c r="AH197" s="1979">
        <f>'Зона КиЭс  '!L286</f>
        <v>0.35804347826086957</v>
      </c>
      <c r="AI197" s="1979">
        <f t="shared" si="70"/>
        <v>4.8680434782608693</v>
      </c>
      <c r="AJ197" s="1981">
        <f t="shared" si="78"/>
        <v>0</v>
      </c>
      <c r="AK197" s="1983">
        <f t="shared" si="79"/>
        <v>0</v>
      </c>
      <c r="AL197" s="1981">
        <f t="shared" si="96"/>
        <v>4.8680434782608693</v>
      </c>
      <c r="AM197" s="1981">
        <f t="shared" si="80"/>
        <v>0</v>
      </c>
      <c r="AN197" s="1982">
        <f t="shared" si="97"/>
        <v>16.8</v>
      </c>
      <c r="AO197" s="1979">
        <f t="shared" si="98"/>
        <v>11.931956521739131</v>
      </c>
      <c r="AP197" s="2417"/>
      <c r="AQ197" s="2402"/>
      <c r="AR197" s="2052" t="str">
        <f t="shared" si="81"/>
        <v>открыт</v>
      </c>
      <c r="AS197" s="2454"/>
      <c r="AT197" s="937" t="s">
        <v>746</v>
      </c>
      <c r="AU197" s="1095">
        <v>1982</v>
      </c>
      <c r="AV197" s="1101" t="s">
        <v>3218</v>
      </c>
      <c r="AW197" s="1103">
        <v>57.223869448804102</v>
      </c>
      <c r="AX197" s="1103">
        <v>37.802553604275602</v>
      </c>
    </row>
    <row r="198" spans="1:50" ht="15" customHeight="1" x14ac:dyDescent="0.25">
      <c r="A198" s="2412">
        <v>142</v>
      </c>
      <c r="B198" s="2412">
        <v>32</v>
      </c>
      <c r="C198" s="84" t="s">
        <v>145</v>
      </c>
      <c r="D198" s="230">
        <v>25</v>
      </c>
      <c r="E198" s="229" t="s">
        <v>773</v>
      </c>
      <c r="F198" s="229">
        <v>25</v>
      </c>
      <c r="G198" s="229"/>
      <c r="H198" s="228"/>
      <c r="I198" s="229" t="str">
        <f t="shared" si="72"/>
        <v>25+25</v>
      </c>
      <c r="J198" s="882">
        <v>13.19</v>
      </c>
      <c r="K198" s="1424">
        <v>0.33</v>
      </c>
      <c r="L198" s="1427" t="s">
        <v>334</v>
      </c>
      <c r="M198" s="23">
        <f t="shared" si="93"/>
        <v>12.86</v>
      </c>
      <c r="N198" s="172">
        <v>0</v>
      </c>
      <c r="O198" s="880"/>
      <c r="P198" s="880">
        <f t="shared" si="94"/>
        <v>26.25</v>
      </c>
      <c r="Q198" s="23">
        <f t="shared" si="95"/>
        <v>13.39</v>
      </c>
      <c r="R198" s="2414">
        <f>MIN(Q198:Q200)</f>
        <v>13.39</v>
      </c>
      <c r="S198" s="2400" t="str">
        <f t="shared" si="82"/>
        <v>открыт</v>
      </c>
      <c r="T198" s="2052" t="str">
        <f t="shared" si="73"/>
        <v>открыт</v>
      </c>
      <c r="U198" s="2398">
        <f>(J198*100)/P198</f>
        <v>50.247619047619047</v>
      </c>
      <c r="V198" s="2398">
        <v>0.53</v>
      </c>
      <c r="W198" s="2398" t="s">
        <v>3033</v>
      </c>
      <c r="X198" s="912"/>
      <c r="Y198" s="2412">
        <v>142</v>
      </c>
      <c r="Z198" s="2413">
        <v>32</v>
      </c>
      <c r="AA198" s="84" t="s">
        <v>145</v>
      </c>
      <c r="AB198" s="230">
        <f t="shared" si="74"/>
        <v>25</v>
      </c>
      <c r="AC198" s="229" t="str">
        <f t="shared" si="75"/>
        <v>+</v>
      </c>
      <c r="AD198" s="229">
        <f t="shared" si="76"/>
        <v>25</v>
      </c>
      <c r="AE198" s="229"/>
      <c r="AF198" s="228"/>
      <c r="AG198" s="212" t="str">
        <f t="shared" si="77"/>
        <v>25+25</v>
      </c>
      <c r="AH198" s="23">
        <f>SUM(AH199:AH200)</f>
        <v>3.1856510869565211</v>
      </c>
      <c r="AI198" s="23">
        <f t="shared" si="70"/>
        <v>16.37565108695652</v>
      </c>
      <c r="AJ198" s="1973">
        <f t="shared" si="78"/>
        <v>0.33</v>
      </c>
      <c r="AK198" s="212" t="str">
        <f t="shared" si="79"/>
        <v>1 сутки</v>
      </c>
      <c r="AL198" s="172">
        <f t="shared" si="96"/>
        <v>16.045651086956521</v>
      </c>
      <c r="AM198" s="1973">
        <f t="shared" si="80"/>
        <v>0</v>
      </c>
      <c r="AN198" s="880">
        <f t="shared" si="97"/>
        <v>26.25</v>
      </c>
      <c r="AO198" s="23">
        <f t="shared" si="98"/>
        <v>10.204348913043479</v>
      </c>
      <c r="AP198" s="2415">
        <f>MIN(AO198:AO200)</f>
        <v>10.204348913043479</v>
      </c>
      <c r="AQ198" s="2398" t="str">
        <f t="shared" si="71"/>
        <v>открыт</v>
      </c>
      <c r="AR198" s="2052" t="str">
        <f t="shared" si="81"/>
        <v>открыт</v>
      </c>
      <c r="AS198" s="2452">
        <f>(AI198*100)/AN198</f>
        <v>62.383432712215317</v>
      </c>
      <c r="AT198" s="937" t="s">
        <v>746</v>
      </c>
      <c r="AU198" s="1095">
        <v>1963</v>
      </c>
      <c r="AV198" s="213">
        <v>2011</v>
      </c>
      <c r="AW198" s="1103">
        <v>57.351743114366101</v>
      </c>
      <c r="AX198" s="1103">
        <v>37.575931682148699</v>
      </c>
    </row>
    <row r="199" spans="1:50" ht="15" customHeight="1" x14ac:dyDescent="0.25">
      <c r="A199" s="2412"/>
      <c r="B199" s="2412"/>
      <c r="C199" s="84" t="s">
        <v>1768</v>
      </c>
      <c r="D199" s="230">
        <v>25</v>
      </c>
      <c r="E199" s="229" t="s">
        <v>773</v>
      </c>
      <c r="F199" s="229">
        <v>25</v>
      </c>
      <c r="G199" s="229"/>
      <c r="H199" s="228"/>
      <c r="I199" s="229" t="str">
        <f t="shared" si="72"/>
        <v>25+25</v>
      </c>
      <c r="J199" s="882">
        <v>4.93</v>
      </c>
      <c r="K199" s="1428">
        <v>0.33</v>
      </c>
      <c r="L199" s="1427" t="s">
        <v>334</v>
      </c>
      <c r="M199" s="23">
        <f t="shared" si="93"/>
        <v>4.5999999999999996</v>
      </c>
      <c r="N199" s="172">
        <v>0</v>
      </c>
      <c r="O199" s="880"/>
      <c r="P199" s="880">
        <f t="shared" si="94"/>
        <v>26.25</v>
      </c>
      <c r="Q199" s="23">
        <f t="shared" si="95"/>
        <v>21.65</v>
      </c>
      <c r="R199" s="2414"/>
      <c r="S199" s="2401"/>
      <c r="T199" s="2052" t="str">
        <f t="shared" si="73"/>
        <v>открыт</v>
      </c>
      <c r="U199" s="2399"/>
      <c r="V199" s="2399"/>
      <c r="W199" s="2399"/>
      <c r="X199" s="912"/>
      <c r="Y199" s="2412"/>
      <c r="Z199" s="2413"/>
      <c r="AA199" s="84" t="s">
        <v>1768</v>
      </c>
      <c r="AB199" s="230">
        <f t="shared" si="74"/>
        <v>25</v>
      </c>
      <c r="AC199" s="229" t="str">
        <f t="shared" si="75"/>
        <v>+</v>
      </c>
      <c r="AD199" s="229">
        <f t="shared" si="76"/>
        <v>25</v>
      </c>
      <c r="AE199" s="229"/>
      <c r="AF199" s="228"/>
      <c r="AG199" s="212" t="str">
        <f t="shared" si="77"/>
        <v>25+25</v>
      </c>
      <c r="AH199" s="23">
        <f>SUM(AH158+AH165+AH166+AH179)</f>
        <v>0.71717282608695643</v>
      </c>
      <c r="AI199" s="23">
        <f t="shared" si="70"/>
        <v>5.6471728260869565</v>
      </c>
      <c r="AJ199" s="1973">
        <f t="shared" si="78"/>
        <v>0.33</v>
      </c>
      <c r="AK199" s="212" t="str">
        <f t="shared" si="79"/>
        <v>1 сутки</v>
      </c>
      <c r="AL199" s="172">
        <f t="shared" si="96"/>
        <v>5.3171728260869564</v>
      </c>
      <c r="AM199" s="1973">
        <f t="shared" si="80"/>
        <v>0</v>
      </c>
      <c r="AN199" s="880">
        <f t="shared" si="97"/>
        <v>26.25</v>
      </c>
      <c r="AO199" s="23">
        <f t="shared" si="98"/>
        <v>20.932827173913044</v>
      </c>
      <c r="AP199" s="2416"/>
      <c r="AQ199" s="2399" t="str">
        <f t="shared" si="71"/>
        <v>открыт</v>
      </c>
      <c r="AR199" s="2052" t="str">
        <f t="shared" si="81"/>
        <v>открыт</v>
      </c>
      <c r="AS199" s="2453"/>
      <c r="AT199" s="937" t="s">
        <v>746</v>
      </c>
      <c r="AU199" s="1095">
        <v>1963</v>
      </c>
      <c r="AV199" s="213">
        <v>2011</v>
      </c>
      <c r="AW199" s="1103">
        <v>57.351743114366101</v>
      </c>
      <c r="AX199" s="1103">
        <v>37.575931682148699</v>
      </c>
    </row>
    <row r="200" spans="1:50" ht="15" customHeight="1" x14ac:dyDescent="0.25">
      <c r="A200" s="2412"/>
      <c r="B200" s="2412"/>
      <c r="C200" s="84" t="s">
        <v>1767</v>
      </c>
      <c r="D200" s="230">
        <v>25</v>
      </c>
      <c r="E200" s="229" t="s">
        <v>773</v>
      </c>
      <c r="F200" s="229">
        <v>25</v>
      </c>
      <c r="G200" s="229"/>
      <c r="H200" s="228"/>
      <c r="I200" s="229" t="str">
        <f t="shared" si="72"/>
        <v>25+25</v>
      </c>
      <c r="J200" s="882">
        <v>8.26</v>
      </c>
      <c r="K200" s="1428">
        <v>0</v>
      </c>
      <c r="L200" s="90">
        <v>0</v>
      </c>
      <c r="M200" s="23">
        <f t="shared" si="93"/>
        <v>8.26</v>
      </c>
      <c r="N200" s="172">
        <v>0</v>
      </c>
      <c r="O200" s="880"/>
      <c r="P200" s="880">
        <f t="shared" si="94"/>
        <v>26.25</v>
      </c>
      <c r="Q200" s="23">
        <f t="shared" si="95"/>
        <v>17.990000000000002</v>
      </c>
      <c r="R200" s="2414"/>
      <c r="S200" s="2402"/>
      <c r="T200" s="2052" t="str">
        <f t="shared" si="73"/>
        <v>открыт</v>
      </c>
      <c r="U200" s="2399"/>
      <c r="V200" s="2399"/>
      <c r="W200" s="2399"/>
      <c r="X200" s="912"/>
      <c r="Y200" s="2412"/>
      <c r="Z200" s="2413"/>
      <c r="AA200" s="84" t="s">
        <v>1767</v>
      </c>
      <c r="AB200" s="230">
        <f t="shared" si="74"/>
        <v>25</v>
      </c>
      <c r="AC200" s="229" t="str">
        <f t="shared" si="75"/>
        <v>+</v>
      </c>
      <c r="AD200" s="229">
        <f t="shared" si="76"/>
        <v>25</v>
      </c>
      <c r="AE200" s="229"/>
      <c r="AF200" s="228"/>
      <c r="AG200" s="212" t="str">
        <f t="shared" si="77"/>
        <v>25+25</v>
      </c>
      <c r="AH200" s="23">
        <f>'Зона КиЭс  '!L303</f>
        <v>2.4684782608695648</v>
      </c>
      <c r="AI200" s="23">
        <f t="shared" si="70"/>
        <v>10.728478260869565</v>
      </c>
      <c r="AJ200" s="1973">
        <f t="shared" si="78"/>
        <v>0</v>
      </c>
      <c r="AK200" s="212">
        <f t="shared" si="79"/>
        <v>0</v>
      </c>
      <c r="AL200" s="172">
        <f t="shared" si="96"/>
        <v>10.728478260869565</v>
      </c>
      <c r="AM200" s="1973">
        <f t="shared" si="80"/>
        <v>0</v>
      </c>
      <c r="AN200" s="880">
        <f t="shared" si="97"/>
        <v>26.25</v>
      </c>
      <c r="AO200" s="23">
        <f t="shared" si="98"/>
        <v>15.521521739130435</v>
      </c>
      <c r="AP200" s="2417"/>
      <c r="AQ200" s="2399" t="str">
        <f t="shared" si="71"/>
        <v>открыт</v>
      </c>
      <c r="AR200" s="2052" t="str">
        <f t="shared" si="81"/>
        <v>открыт</v>
      </c>
      <c r="AS200" s="2454"/>
      <c r="AT200" s="937" t="s">
        <v>746</v>
      </c>
      <c r="AU200" s="1095">
        <v>1963</v>
      </c>
      <c r="AV200" s="213">
        <v>2011</v>
      </c>
      <c r="AW200" s="1103">
        <v>57.351743114366101</v>
      </c>
      <c r="AX200" s="1103">
        <v>37.575931682148699</v>
      </c>
    </row>
    <row r="201" spans="1:50" ht="15" customHeight="1" x14ac:dyDescent="0.25">
      <c r="A201" s="2412">
        <v>143</v>
      </c>
      <c r="B201" s="2412">
        <v>33</v>
      </c>
      <c r="C201" s="84" t="s">
        <v>146</v>
      </c>
      <c r="D201" s="230">
        <v>40</v>
      </c>
      <c r="E201" s="229" t="s">
        <v>773</v>
      </c>
      <c r="F201" s="229">
        <v>25</v>
      </c>
      <c r="G201" s="229"/>
      <c r="H201" s="228"/>
      <c r="I201" s="229" t="str">
        <f t="shared" si="72"/>
        <v>40+25</v>
      </c>
      <c r="J201" s="882">
        <v>26.68</v>
      </c>
      <c r="K201" s="1424">
        <v>0.09</v>
      </c>
      <c r="L201" s="1427" t="s">
        <v>334</v>
      </c>
      <c r="M201" s="23">
        <f t="shared" si="93"/>
        <v>26.59</v>
      </c>
      <c r="N201" s="172">
        <v>0</v>
      </c>
      <c r="O201" s="880"/>
      <c r="P201" s="880">
        <f>MIN(D201:F201)*1.05</f>
        <v>26.25</v>
      </c>
      <c r="Q201" s="23">
        <f t="shared" si="95"/>
        <v>-0.33999999999999986</v>
      </c>
      <c r="R201" s="2415">
        <f>MIN(Q201:Q203)</f>
        <v>-0.33999999999999986</v>
      </c>
      <c r="S201" s="2400" t="str">
        <f>T201</f>
        <v>закрыт</v>
      </c>
      <c r="T201" s="2052" t="str">
        <f t="shared" si="73"/>
        <v>закрыт</v>
      </c>
      <c r="U201" s="2398">
        <f>(J201*100)/P201</f>
        <v>101.63809523809523</v>
      </c>
      <c r="V201" s="2398">
        <v>0.44</v>
      </c>
      <c r="W201" s="2398" t="s">
        <v>3033</v>
      </c>
      <c r="X201" s="912"/>
      <c r="Y201" s="2412">
        <v>143</v>
      </c>
      <c r="Z201" s="2413">
        <v>33</v>
      </c>
      <c r="AA201" s="84" t="s">
        <v>146</v>
      </c>
      <c r="AB201" s="230">
        <f t="shared" si="74"/>
        <v>40</v>
      </c>
      <c r="AC201" s="229" t="str">
        <f t="shared" si="75"/>
        <v>+</v>
      </c>
      <c r="AD201" s="229">
        <f t="shared" si="76"/>
        <v>25</v>
      </c>
      <c r="AE201" s="229"/>
      <c r="AF201" s="228"/>
      <c r="AG201" s="212" t="str">
        <f t="shared" si="77"/>
        <v>40+25</v>
      </c>
      <c r="AH201" s="23">
        <f>SUM(AH202:AH203)</f>
        <v>3.5639130434782613</v>
      </c>
      <c r="AI201" s="23">
        <f t="shared" ref="AI201:AI226" si="99">AH201+J201</f>
        <v>30.243913043478262</v>
      </c>
      <c r="AJ201" s="1973">
        <f t="shared" si="78"/>
        <v>0.09</v>
      </c>
      <c r="AK201" s="212" t="str">
        <f t="shared" si="79"/>
        <v>1 сутки</v>
      </c>
      <c r="AL201" s="172">
        <f t="shared" si="96"/>
        <v>30.153913043478262</v>
      </c>
      <c r="AM201" s="1973">
        <f t="shared" si="80"/>
        <v>0</v>
      </c>
      <c r="AN201" s="880">
        <f t="shared" si="97"/>
        <v>26.25</v>
      </c>
      <c r="AO201" s="23">
        <f t="shared" si="98"/>
        <v>-3.9039130434782621</v>
      </c>
      <c r="AP201" s="2415">
        <f>MIN(AO201:AO203)</f>
        <v>-3.9039130434782621</v>
      </c>
      <c r="AQ201" s="2400" t="str">
        <f>AR201</f>
        <v>закрыт</v>
      </c>
      <c r="AR201" s="2052" t="str">
        <f t="shared" si="81"/>
        <v>закрыт</v>
      </c>
      <c r="AS201" s="2452">
        <f>(AI201*100)/AN201</f>
        <v>115.21490683229814</v>
      </c>
      <c r="AT201" s="937" t="s">
        <v>746</v>
      </c>
      <c r="AU201" s="1095">
        <v>1980</v>
      </c>
      <c r="AV201" s="1101" t="s">
        <v>3218</v>
      </c>
      <c r="AW201" s="1103">
        <v>56.853632203928001</v>
      </c>
      <c r="AX201" s="1103">
        <v>37.335026857522202</v>
      </c>
    </row>
    <row r="202" spans="1:50" ht="15" customHeight="1" x14ac:dyDescent="0.25">
      <c r="A202" s="2412"/>
      <c r="B202" s="2412"/>
      <c r="C202" s="1974" t="s">
        <v>1768</v>
      </c>
      <c r="D202" s="1975">
        <v>40</v>
      </c>
      <c r="E202" s="1976" t="s">
        <v>773</v>
      </c>
      <c r="F202" s="1976">
        <v>25</v>
      </c>
      <c r="G202" s="1976"/>
      <c r="H202" s="1977"/>
      <c r="I202" s="1976" t="str">
        <f t="shared" ref="I202:I265" si="100">CONCATENATE(D202,E202,F202,G202,H202)</f>
        <v>40+25</v>
      </c>
      <c r="J202" s="1978">
        <v>18.41</v>
      </c>
      <c r="K202" s="1979">
        <v>0.09</v>
      </c>
      <c r="L202" s="1974" t="s">
        <v>334</v>
      </c>
      <c r="M202" s="1979">
        <f t="shared" si="93"/>
        <v>18.32</v>
      </c>
      <c r="N202" s="1981">
        <v>0</v>
      </c>
      <c r="O202" s="1982"/>
      <c r="P202" s="1982">
        <f t="shared" si="94"/>
        <v>26.25</v>
      </c>
      <c r="Q202" s="1979">
        <f t="shared" si="95"/>
        <v>7.93</v>
      </c>
      <c r="R202" s="2416"/>
      <c r="S202" s="2401"/>
      <c r="T202" s="2052" t="str">
        <f t="shared" ref="T202:T265" si="101">IF(AND(F202&lt;&gt;0,R202&lt;0),"закрыт",IF(AND(F202=0,R202&lt;0),"закрыт","открыт"))</f>
        <v>открыт</v>
      </c>
      <c r="U202" s="2398"/>
      <c r="V202" s="2398"/>
      <c r="W202" s="2398"/>
      <c r="X202" s="912"/>
      <c r="Y202" s="2412"/>
      <c r="Z202" s="2413"/>
      <c r="AA202" s="1974" t="s">
        <v>1768</v>
      </c>
      <c r="AB202" s="1975">
        <f t="shared" ref="AB202:AB265" si="102">D202</f>
        <v>40</v>
      </c>
      <c r="AC202" s="1976" t="str">
        <f t="shared" ref="AC202:AC265" si="103">E202</f>
        <v>+</v>
      </c>
      <c r="AD202" s="1976">
        <f t="shared" ref="AD202:AD265" si="104">F202</f>
        <v>25</v>
      </c>
      <c r="AE202" s="1976"/>
      <c r="AF202" s="1977"/>
      <c r="AG202" s="1983" t="str">
        <f t="shared" ref="AG202:AG267" si="105">CONCATENATE(AB202,AC202,AD202,AE202,AF202)</f>
        <v>40+25</v>
      </c>
      <c r="AH202" s="1979">
        <f>SUM(AH164+AH162+AH157)</f>
        <v>0.77097826086956522</v>
      </c>
      <c r="AI202" s="1979">
        <f t="shared" si="99"/>
        <v>19.180978260869566</v>
      </c>
      <c r="AJ202" s="1981">
        <f t="shared" ref="AJ202:AJ265" si="106">K202</f>
        <v>0.09</v>
      </c>
      <c r="AK202" s="1983" t="str">
        <f t="shared" ref="AK202:AK265" si="107">L202</f>
        <v>1 сутки</v>
      </c>
      <c r="AL202" s="1981">
        <f t="shared" si="96"/>
        <v>19.090978260869566</v>
      </c>
      <c r="AM202" s="1981">
        <f t="shared" ref="AM202:AM265" si="108">N202</f>
        <v>0</v>
      </c>
      <c r="AN202" s="1982">
        <f t="shared" si="97"/>
        <v>26.25</v>
      </c>
      <c r="AO202" s="1979">
        <f t="shared" si="98"/>
        <v>7.1590217391304343</v>
      </c>
      <c r="AP202" s="2416"/>
      <c r="AQ202" s="2401"/>
      <c r="AR202" s="2052" t="str">
        <f t="shared" ref="AR202:AR265" si="109">IF(AND(AD202&lt;&gt;0,AP202&lt;0),"закрыт",IF(AND(AD202=0,AP202&lt;0),"закрыт","открыт"))</f>
        <v>открыт</v>
      </c>
      <c r="AS202" s="2453"/>
      <c r="AT202" s="937" t="s">
        <v>746</v>
      </c>
      <c r="AU202" s="1095">
        <v>1980</v>
      </c>
      <c r="AV202" s="1101" t="s">
        <v>3218</v>
      </c>
      <c r="AW202" s="1103">
        <v>56.853632203928001</v>
      </c>
      <c r="AX202" s="1103">
        <v>37.335026857522202</v>
      </c>
    </row>
    <row r="203" spans="1:50" ht="15" customHeight="1" x14ac:dyDescent="0.25">
      <c r="A203" s="2412"/>
      <c r="B203" s="2412"/>
      <c r="C203" s="1974" t="s">
        <v>1767</v>
      </c>
      <c r="D203" s="1975">
        <v>40</v>
      </c>
      <c r="E203" s="1976" t="s">
        <v>773</v>
      </c>
      <c r="F203" s="1976">
        <v>25</v>
      </c>
      <c r="G203" s="1976"/>
      <c r="H203" s="1977"/>
      <c r="I203" s="1976" t="str">
        <f t="shared" si="100"/>
        <v>40+25</v>
      </c>
      <c r="J203" s="1978">
        <v>8.27</v>
      </c>
      <c r="K203" s="1979">
        <v>0</v>
      </c>
      <c r="L203" s="1980">
        <v>0</v>
      </c>
      <c r="M203" s="1979">
        <f t="shared" si="93"/>
        <v>8.27</v>
      </c>
      <c r="N203" s="1981">
        <v>0</v>
      </c>
      <c r="O203" s="1982"/>
      <c r="P203" s="1982">
        <f t="shared" si="94"/>
        <v>26.25</v>
      </c>
      <c r="Q203" s="1979">
        <f t="shared" si="95"/>
        <v>17.98</v>
      </c>
      <c r="R203" s="2417"/>
      <c r="S203" s="2402"/>
      <c r="T203" s="2052" t="str">
        <f t="shared" si="101"/>
        <v>открыт</v>
      </c>
      <c r="U203" s="2398"/>
      <c r="V203" s="2398"/>
      <c r="W203" s="2398"/>
      <c r="X203" s="912"/>
      <c r="Y203" s="2412"/>
      <c r="Z203" s="2413"/>
      <c r="AA203" s="1974" t="s">
        <v>1767</v>
      </c>
      <c r="AB203" s="1975">
        <f t="shared" si="102"/>
        <v>40</v>
      </c>
      <c r="AC203" s="1976" t="str">
        <f t="shared" si="103"/>
        <v>+</v>
      </c>
      <c r="AD203" s="1976">
        <f t="shared" si="104"/>
        <v>25</v>
      </c>
      <c r="AE203" s="1976"/>
      <c r="AF203" s="1977"/>
      <c r="AG203" s="1983" t="str">
        <f t="shared" si="105"/>
        <v>40+25</v>
      </c>
      <c r="AH203" s="1979">
        <f>'Зона КиЭс  '!L326</f>
        <v>2.7929347826086959</v>
      </c>
      <c r="AI203" s="1979">
        <f t="shared" si="99"/>
        <v>11.062934782608696</v>
      </c>
      <c r="AJ203" s="1981">
        <f t="shared" si="106"/>
        <v>0</v>
      </c>
      <c r="AK203" s="1983">
        <f t="shared" si="107"/>
        <v>0</v>
      </c>
      <c r="AL203" s="1981">
        <f t="shared" si="96"/>
        <v>11.062934782608696</v>
      </c>
      <c r="AM203" s="1981">
        <f t="shared" si="108"/>
        <v>0</v>
      </c>
      <c r="AN203" s="1982">
        <f t="shared" si="97"/>
        <v>26.25</v>
      </c>
      <c r="AO203" s="1979">
        <f t="shared" si="98"/>
        <v>15.187065217391304</v>
      </c>
      <c r="AP203" s="2417"/>
      <c r="AQ203" s="2402"/>
      <c r="AR203" s="2052" t="str">
        <f t="shared" si="109"/>
        <v>открыт</v>
      </c>
      <c r="AS203" s="2454"/>
      <c r="AT203" s="937" t="s">
        <v>746</v>
      </c>
      <c r="AU203" s="1095">
        <v>1980</v>
      </c>
      <c r="AV203" s="1101" t="s">
        <v>3218</v>
      </c>
      <c r="AW203" s="1103">
        <v>56.853632203928001</v>
      </c>
      <c r="AX203" s="1103">
        <v>37.335026857522202</v>
      </c>
    </row>
    <row r="204" spans="1:50" ht="15" customHeight="1" x14ac:dyDescent="0.25">
      <c r="A204" s="2412">
        <v>144</v>
      </c>
      <c r="B204" s="2412">
        <v>34</v>
      </c>
      <c r="C204" s="84" t="s">
        <v>147</v>
      </c>
      <c r="D204" s="230">
        <v>10</v>
      </c>
      <c r="E204" s="229" t="s">
        <v>773</v>
      </c>
      <c r="F204" s="229">
        <v>10</v>
      </c>
      <c r="G204" s="229"/>
      <c r="H204" s="228"/>
      <c r="I204" s="229" t="str">
        <f t="shared" si="100"/>
        <v>10+10</v>
      </c>
      <c r="J204" s="882">
        <v>4.12</v>
      </c>
      <c r="K204" s="1424">
        <v>0</v>
      </c>
      <c r="L204" s="1427" t="s">
        <v>334</v>
      </c>
      <c r="M204" s="23">
        <f t="shared" si="93"/>
        <v>4.12</v>
      </c>
      <c r="N204" s="172">
        <v>0</v>
      </c>
      <c r="O204" s="880"/>
      <c r="P204" s="880">
        <f t="shared" si="94"/>
        <v>10.5</v>
      </c>
      <c r="Q204" s="23">
        <f t="shared" si="95"/>
        <v>6.38</v>
      </c>
      <c r="R204" s="2414">
        <f>MIN(Q204:Q206)</f>
        <v>6.38</v>
      </c>
      <c r="S204" s="2400" t="str">
        <f t="shared" ref="S204:S267" si="110">T204</f>
        <v>открыт</v>
      </c>
      <c r="T204" s="2052" t="str">
        <f t="shared" si="101"/>
        <v>открыт</v>
      </c>
      <c r="U204" s="2398">
        <f>(J204*100)/P204</f>
        <v>39.238095238095241</v>
      </c>
      <c r="V204" s="2398">
        <v>0.68</v>
      </c>
      <c r="W204" s="2398" t="s">
        <v>3033</v>
      </c>
      <c r="X204" s="912"/>
      <c r="Y204" s="2412">
        <v>144</v>
      </c>
      <c r="Z204" s="2413">
        <v>34</v>
      </c>
      <c r="AA204" s="84" t="s">
        <v>147</v>
      </c>
      <c r="AB204" s="230">
        <f t="shared" si="102"/>
        <v>10</v>
      </c>
      <c r="AC204" s="229" t="str">
        <f t="shared" si="103"/>
        <v>+</v>
      </c>
      <c r="AD204" s="229">
        <f t="shared" si="104"/>
        <v>10</v>
      </c>
      <c r="AE204" s="229"/>
      <c r="AF204" s="228"/>
      <c r="AG204" s="212" t="str">
        <f t="shared" si="105"/>
        <v>10+10</v>
      </c>
      <c r="AH204" s="23">
        <f>SUM(AH205:AH206)</f>
        <v>4.0760869565217399E-2</v>
      </c>
      <c r="AI204" s="23">
        <f t="shared" si="99"/>
        <v>4.1607608695652178</v>
      </c>
      <c r="AJ204" s="1973">
        <f t="shared" si="106"/>
        <v>0</v>
      </c>
      <c r="AK204" s="212" t="str">
        <f t="shared" si="107"/>
        <v>1 сутки</v>
      </c>
      <c r="AL204" s="172">
        <f t="shared" si="96"/>
        <v>4.1607608695652178</v>
      </c>
      <c r="AM204" s="1973">
        <f t="shared" si="108"/>
        <v>0</v>
      </c>
      <c r="AN204" s="880">
        <f t="shared" si="97"/>
        <v>10.5</v>
      </c>
      <c r="AO204" s="23">
        <f t="shared" si="98"/>
        <v>6.3392391304347822</v>
      </c>
      <c r="AP204" s="2415">
        <f>MIN(AO204:AO206)</f>
        <v>6.3392391304347822</v>
      </c>
      <c r="AQ204" s="2398" t="str">
        <f t="shared" ref="AQ204:AQ267" si="111">AR204</f>
        <v>открыт</v>
      </c>
      <c r="AR204" s="2052" t="str">
        <f t="shared" si="109"/>
        <v>открыт</v>
      </c>
      <c r="AS204" s="2452">
        <f>(AI204*100)/AN204</f>
        <v>39.626293995859221</v>
      </c>
      <c r="AT204" s="937" t="s">
        <v>746</v>
      </c>
      <c r="AU204" s="1095">
        <v>1988</v>
      </c>
      <c r="AV204" s="1101" t="s">
        <v>3218</v>
      </c>
      <c r="AW204" s="1103">
        <v>57.595969576016401</v>
      </c>
      <c r="AX204" s="1103">
        <v>37.280950339091802</v>
      </c>
    </row>
    <row r="205" spans="1:50" ht="15" customHeight="1" x14ac:dyDescent="0.25">
      <c r="A205" s="2412"/>
      <c r="B205" s="2412"/>
      <c r="C205" s="84" t="s">
        <v>1768</v>
      </c>
      <c r="D205" s="230">
        <v>10</v>
      </c>
      <c r="E205" s="229" t="s">
        <v>773</v>
      </c>
      <c r="F205" s="229">
        <v>10</v>
      </c>
      <c r="G205" s="229"/>
      <c r="H205" s="228"/>
      <c r="I205" s="229" t="str">
        <f t="shared" si="100"/>
        <v>10+10</v>
      </c>
      <c r="J205" s="882">
        <v>1.0900000000000001</v>
      </c>
      <c r="K205" s="1428">
        <v>0.14000000000000001</v>
      </c>
      <c r="L205" s="1427" t="s">
        <v>334</v>
      </c>
      <c r="M205" s="23">
        <f t="shared" si="93"/>
        <v>0.95000000000000007</v>
      </c>
      <c r="N205" s="172">
        <v>0</v>
      </c>
      <c r="O205" s="880"/>
      <c r="P205" s="880">
        <f t="shared" si="94"/>
        <v>10.5</v>
      </c>
      <c r="Q205" s="23">
        <f t="shared" si="95"/>
        <v>9.5500000000000007</v>
      </c>
      <c r="R205" s="2414"/>
      <c r="S205" s="2401"/>
      <c r="T205" s="2052" t="str">
        <f t="shared" si="101"/>
        <v>открыт</v>
      </c>
      <c r="U205" s="2399"/>
      <c r="V205" s="2399"/>
      <c r="W205" s="2399"/>
      <c r="X205" s="912"/>
      <c r="Y205" s="2412"/>
      <c r="Z205" s="2413"/>
      <c r="AA205" s="84" t="s">
        <v>1768</v>
      </c>
      <c r="AB205" s="230">
        <f t="shared" si="102"/>
        <v>10</v>
      </c>
      <c r="AC205" s="229" t="str">
        <f t="shared" si="103"/>
        <v>+</v>
      </c>
      <c r="AD205" s="229">
        <f t="shared" si="104"/>
        <v>10</v>
      </c>
      <c r="AE205" s="229"/>
      <c r="AF205" s="228"/>
      <c r="AG205" s="212" t="str">
        <f t="shared" si="105"/>
        <v>10+10</v>
      </c>
      <c r="AH205" s="23">
        <f>SUM(AH178+AH177)</f>
        <v>0</v>
      </c>
      <c r="AI205" s="23">
        <f t="shared" si="99"/>
        <v>1.0900000000000001</v>
      </c>
      <c r="AJ205" s="1973">
        <f t="shared" si="106"/>
        <v>0.14000000000000001</v>
      </c>
      <c r="AK205" s="212" t="str">
        <f t="shared" si="107"/>
        <v>1 сутки</v>
      </c>
      <c r="AL205" s="172">
        <f t="shared" si="96"/>
        <v>0.95000000000000007</v>
      </c>
      <c r="AM205" s="1973">
        <f t="shared" si="108"/>
        <v>0</v>
      </c>
      <c r="AN205" s="880">
        <f t="shared" si="97"/>
        <v>10.5</v>
      </c>
      <c r="AO205" s="23">
        <f t="shared" si="98"/>
        <v>9.5500000000000007</v>
      </c>
      <c r="AP205" s="2416"/>
      <c r="AQ205" s="2399" t="str">
        <f t="shared" si="111"/>
        <v>открыт</v>
      </c>
      <c r="AR205" s="2052" t="str">
        <f t="shared" si="109"/>
        <v>открыт</v>
      </c>
      <c r="AS205" s="2453"/>
      <c r="AT205" s="937" t="s">
        <v>746</v>
      </c>
      <c r="AU205" s="1095">
        <v>1988</v>
      </c>
      <c r="AV205" s="1101" t="s">
        <v>3218</v>
      </c>
      <c r="AW205" s="1103">
        <v>57.595969576016401</v>
      </c>
      <c r="AX205" s="1103">
        <v>37.280950339091802</v>
      </c>
    </row>
    <row r="206" spans="1:50" ht="15" customHeight="1" x14ac:dyDescent="0.25">
      <c r="A206" s="2412"/>
      <c r="B206" s="2412"/>
      <c r="C206" s="84" t="s">
        <v>1767</v>
      </c>
      <c r="D206" s="230">
        <v>10</v>
      </c>
      <c r="E206" s="229" t="s">
        <v>773</v>
      </c>
      <c r="F206" s="229">
        <v>10</v>
      </c>
      <c r="G206" s="229"/>
      <c r="H206" s="228"/>
      <c r="I206" s="229" t="str">
        <f t="shared" si="100"/>
        <v>10+10</v>
      </c>
      <c r="J206" s="882">
        <v>3.03</v>
      </c>
      <c r="K206" s="1428">
        <v>0</v>
      </c>
      <c r="L206" s="90">
        <v>0</v>
      </c>
      <c r="M206" s="23">
        <f t="shared" si="93"/>
        <v>3.03</v>
      </c>
      <c r="N206" s="172">
        <v>0</v>
      </c>
      <c r="O206" s="880"/>
      <c r="P206" s="880">
        <f t="shared" si="94"/>
        <v>10.5</v>
      </c>
      <c r="Q206" s="23">
        <f t="shared" si="95"/>
        <v>7.4700000000000006</v>
      </c>
      <c r="R206" s="2414"/>
      <c r="S206" s="2402"/>
      <c r="T206" s="2052" t="str">
        <f t="shared" si="101"/>
        <v>открыт</v>
      </c>
      <c r="U206" s="2399"/>
      <c r="V206" s="2399"/>
      <c r="W206" s="2399"/>
      <c r="X206" s="912"/>
      <c r="Y206" s="2412"/>
      <c r="Z206" s="2413"/>
      <c r="AA206" s="84" t="s">
        <v>1767</v>
      </c>
      <c r="AB206" s="230">
        <f t="shared" si="102"/>
        <v>10</v>
      </c>
      <c r="AC206" s="229" t="str">
        <f t="shared" si="103"/>
        <v>+</v>
      </c>
      <c r="AD206" s="229">
        <f t="shared" si="104"/>
        <v>10</v>
      </c>
      <c r="AE206" s="229"/>
      <c r="AF206" s="228"/>
      <c r="AG206" s="212" t="str">
        <f t="shared" si="105"/>
        <v>10+10</v>
      </c>
      <c r="AH206" s="23">
        <f>'Зона КиЭс  '!L339</f>
        <v>4.0760869565217399E-2</v>
      </c>
      <c r="AI206" s="23">
        <f t="shared" si="99"/>
        <v>3.0707608695652171</v>
      </c>
      <c r="AJ206" s="1973">
        <f t="shared" si="106"/>
        <v>0</v>
      </c>
      <c r="AK206" s="212">
        <f t="shared" si="107"/>
        <v>0</v>
      </c>
      <c r="AL206" s="172">
        <f t="shared" si="96"/>
        <v>3.0707608695652171</v>
      </c>
      <c r="AM206" s="1973">
        <f t="shared" si="108"/>
        <v>0</v>
      </c>
      <c r="AN206" s="880">
        <f t="shared" si="97"/>
        <v>10.5</v>
      </c>
      <c r="AO206" s="23">
        <f t="shared" si="98"/>
        <v>7.4292391304347829</v>
      </c>
      <c r="AP206" s="2417"/>
      <c r="AQ206" s="2399" t="str">
        <f t="shared" si="111"/>
        <v>открыт</v>
      </c>
      <c r="AR206" s="2052" t="str">
        <f t="shared" si="109"/>
        <v>открыт</v>
      </c>
      <c r="AS206" s="2454"/>
      <c r="AT206" s="937" t="s">
        <v>746</v>
      </c>
      <c r="AU206" s="1095">
        <v>1988</v>
      </c>
      <c r="AV206" s="1101" t="s">
        <v>3218</v>
      </c>
      <c r="AW206" s="1103">
        <v>57.595969576016401</v>
      </c>
      <c r="AX206" s="1103">
        <v>37.280950339091802</v>
      </c>
    </row>
    <row r="207" spans="1:50" ht="15" customHeight="1" x14ac:dyDescent="0.25">
      <c r="A207" s="212">
        <v>145</v>
      </c>
      <c r="B207" s="212">
        <v>1</v>
      </c>
      <c r="C207" s="212" t="s">
        <v>1779</v>
      </c>
      <c r="D207" s="230">
        <v>2.5</v>
      </c>
      <c r="E207" s="229"/>
      <c r="F207" s="229"/>
      <c r="G207" s="229"/>
      <c r="H207" s="228"/>
      <c r="I207" s="229" t="str">
        <f t="shared" si="100"/>
        <v>2,5</v>
      </c>
      <c r="J207" s="882">
        <v>0.18</v>
      </c>
      <c r="K207" s="1423">
        <v>1.26</v>
      </c>
      <c r="L207" s="1422" t="s">
        <v>1780</v>
      </c>
      <c r="M207" s="172">
        <f>K207</f>
        <v>1.26</v>
      </c>
      <c r="N207" s="172">
        <v>0</v>
      </c>
      <c r="O207" s="880"/>
      <c r="P207" s="880">
        <f t="shared" ref="P207:P222" si="112">M207-N207</f>
        <v>1.26</v>
      </c>
      <c r="Q207" s="172">
        <f t="shared" ref="Q207:Q222" si="113">P207-J207</f>
        <v>1.08</v>
      </c>
      <c r="R207" s="172">
        <f t="shared" ref="R207:R231" si="114">Q207</f>
        <v>1.08</v>
      </c>
      <c r="S207" s="757" t="str">
        <f t="shared" si="110"/>
        <v>открыт</v>
      </c>
      <c r="T207" s="2052" t="str">
        <f t="shared" si="101"/>
        <v>открыт</v>
      </c>
      <c r="U207" s="757">
        <f t="shared" ref="U207:U222" si="115">(J207*100)/(I207*1.05)</f>
        <v>6.8571428571428568</v>
      </c>
      <c r="V207" s="2254"/>
      <c r="W207" s="2254" t="s">
        <v>3032</v>
      </c>
      <c r="X207" s="912"/>
      <c r="Y207" s="212">
        <v>145</v>
      </c>
      <c r="Z207" s="228">
        <v>1</v>
      </c>
      <c r="AA207" s="212" t="s">
        <v>1779</v>
      </c>
      <c r="AB207" s="230">
        <f t="shared" si="102"/>
        <v>2.5</v>
      </c>
      <c r="AC207" s="229"/>
      <c r="AD207" s="229"/>
      <c r="AE207" s="229"/>
      <c r="AF207" s="228"/>
      <c r="AG207" s="212" t="str">
        <f t="shared" si="105"/>
        <v>2,5</v>
      </c>
      <c r="AH207" s="172">
        <f>'Зона НЭс'!L9</f>
        <v>0</v>
      </c>
      <c r="AI207" s="172">
        <f t="shared" si="99"/>
        <v>0.18</v>
      </c>
      <c r="AJ207" s="1973">
        <f t="shared" si="106"/>
        <v>1.26</v>
      </c>
      <c r="AK207" s="212" t="str">
        <f t="shared" si="107"/>
        <v>1сутки</v>
      </c>
      <c r="AL207" s="172">
        <f t="shared" ref="AL207:AL222" si="116">AJ207</f>
        <v>1.26</v>
      </c>
      <c r="AM207" s="1973">
        <f t="shared" si="108"/>
        <v>0</v>
      </c>
      <c r="AN207" s="880">
        <f t="shared" ref="AN207:AN222" si="117">AL207-AM207</f>
        <v>1.26</v>
      </c>
      <c r="AO207" s="172">
        <f t="shared" ref="AO207:AO222" si="118">AN207-AI207</f>
        <v>1.08</v>
      </c>
      <c r="AP207" s="172">
        <f>AO207</f>
        <v>1.08</v>
      </c>
      <c r="AQ207" s="757" t="str">
        <f t="shared" si="111"/>
        <v>открыт</v>
      </c>
      <c r="AR207" s="2052" t="str">
        <f t="shared" si="109"/>
        <v>открыт</v>
      </c>
      <c r="AS207" s="935">
        <f>(AI207*100)/(AG207*1.05)</f>
        <v>6.8571428571428568</v>
      </c>
      <c r="AT207" s="937" t="s">
        <v>95</v>
      </c>
      <c r="AU207" s="1095">
        <v>1979</v>
      </c>
      <c r="AV207" s="1101" t="s">
        <v>3218</v>
      </c>
      <c r="AW207" s="1103">
        <v>56.389174849860403</v>
      </c>
      <c r="AX207" s="1103">
        <v>32.317610468557497</v>
      </c>
    </row>
    <row r="208" spans="1:50" ht="15" customHeight="1" x14ac:dyDescent="0.25">
      <c r="A208" s="212">
        <v>146</v>
      </c>
      <c r="B208" s="212">
        <v>2</v>
      </c>
      <c r="C208" s="212" t="s">
        <v>1781</v>
      </c>
      <c r="D208" s="230">
        <v>1.6</v>
      </c>
      <c r="E208" s="229"/>
      <c r="F208" s="229"/>
      <c r="G208" s="229"/>
      <c r="H208" s="228"/>
      <c r="I208" s="229" t="str">
        <f t="shared" si="100"/>
        <v>1,6</v>
      </c>
      <c r="J208" s="882">
        <v>0.31</v>
      </c>
      <c r="K208" s="1423">
        <v>1.34</v>
      </c>
      <c r="L208" s="1422" t="s">
        <v>1780</v>
      </c>
      <c r="M208" s="172">
        <f t="shared" ref="M208:M222" si="119">K208</f>
        <v>1.34</v>
      </c>
      <c r="N208" s="172">
        <v>0</v>
      </c>
      <c r="O208" s="880"/>
      <c r="P208" s="880">
        <f t="shared" si="112"/>
        <v>1.34</v>
      </c>
      <c r="Q208" s="172">
        <f t="shared" si="113"/>
        <v>1.03</v>
      </c>
      <c r="R208" s="172">
        <f t="shared" si="114"/>
        <v>1.03</v>
      </c>
      <c r="S208" s="757" t="str">
        <f t="shared" si="110"/>
        <v>открыт</v>
      </c>
      <c r="T208" s="2052" t="str">
        <f t="shared" si="101"/>
        <v>открыт</v>
      </c>
      <c r="U208" s="757">
        <f t="shared" si="115"/>
        <v>18.452380952380949</v>
      </c>
      <c r="V208" s="2254"/>
      <c r="W208" s="2254" t="s">
        <v>3032</v>
      </c>
      <c r="X208" s="912"/>
      <c r="Y208" s="212">
        <v>146</v>
      </c>
      <c r="Z208" s="228">
        <v>2</v>
      </c>
      <c r="AA208" s="212" t="s">
        <v>1781</v>
      </c>
      <c r="AB208" s="230">
        <f t="shared" si="102"/>
        <v>1.6</v>
      </c>
      <c r="AC208" s="229"/>
      <c r="AD208" s="229"/>
      <c r="AE208" s="229"/>
      <c r="AF208" s="228"/>
      <c r="AG208" s="212" t="str">
        <f t="shared" si="105"/>
        <v>1,6</v>
      </c>
      <c r="AH208" s="172">
        <f>'Зона НЭс'!L11</f>
        <v>0</v>
      </c>
      <c r="AI208" s="172">
        <f t="shared" si="99"/>
        <v>0.31</v>
      </c>
      <c r="AJ208" s="1973">
        <f t="shared" si="106"/>
        <v>1.34</v>
      </c>
      <c r="AK208" s="212" t="str">
        <f t="shared" si="107"/>
        <v>1сутки</v>
      </c>
      <c r="AL208" s="172">
        <f t="shared" si="116"/>
        <v>1.34</v>
      </c>
      <c r="AM208" s="1973">
        <f t="shared" si="108"/>
        <v>0</v>
      </c>
      <c r="AN208" s="880">
        <f t="shared" si="117"/>
        <v>1.34</v>
      </c>
      <c r="AO208" s="172">
        <f t="shared" si="118"/>
        <v>1.03</v>
      </c>
      <c r="AP208" s="172">
        <f t="shared" ref="AP208:AP222" si="120">AO208</f>
        <v>1.03</v>
      </c>
      <c r="AQ208" s="757" t="str">
        <f t="shared" si="111"/>
        <v>открыт</v>
      </c>
      <c r="AR208" s="2052" t="str">
        <f t="shared" si="109"/>
        <v>открыт</v>
      </c>
      <c r="AS208" s="935">
        <f t="shared" ref="AS208:AS222" si="121">(AI208*100)/(AG208*1.05)</f>
        <v>18.452380952380949</v>
      </c>
      <c r="AT208" s="937" t="s">
        <v>95</v>
      </c>
      <c r="AU208" s="1095">
        <v>1969</v>
      </c>
      <c r="AV208" s="1101" t="s">
        <v>3218</v>
      </c>
      <c r="AW208" s="1103">
        <v>56.4557735737027</v>
      </c>
      <c r="AX208" s="1103">
        <v>31.380672378859799</v>
      </c>
    </row>
    <row r="209" spans="1:50" ht="15" customHeight="1" x14ac:dyDescent="0.25">
      <c r="A209" s="212">
        <v>147</v>
      </c>
      <c r="B209" s="212">
        <v>3</v>
      </c>
      <c r="C209" s="212" t="s">
        <v>1782</v>
      </c>
      <c r="D209" s="230">
        <v>2.5</v>
      </c>
      <c r="E209" s="229"/>
      <c r="F209" s="229"/>
      <c r="G209" s="229"/>
      <c r="H209" s="228"/>
      <c r="I209" s="229" t="str">
        <f t="shared" si="100"/>
        <v>2,5</v>
      </c>
      <c r="J209" s="882">
        <v>0.28000000000000003</v>
      </c>
      <c r="K209" s="1423">
        <v>1.28</v>
      </c>
      <c r="L209" s="1422" t="s">
        <v>1780</v>
      </c>
      <c r="M209" s="172">
        <f t="shared" si="119"/>
        <v>1.28</v>
      </c>
      <c r="N209" s="172">
        <v>0</v>
      </c>
      <c r="O209" s="880"/>
      <c r="P209" s="880">
        <f t="shared" si="112"/>
        <v>1.28</v>
      </c>
      <c r="Q209" s="172">
        <f t="shared" si="113"/>
        <v>1</v>
      </c>
      <c r="R209" s="172">
        <f t="shared" si="114"/>
        <v>1</v>
      </c>
      <c r="S209" s="757" t="str">
        <f t="shared" si="110"/>
        <v>открыт</v>
      </c>
      <c r="T209" s="2052" t="str">
        <f t="shared" si="101"/>
        <v>открыт</v>
      </c>
      <c r="U209" s="757">
        <f t="shared" si="115"/>
        <v>10.666666666666668</v>
      </c>
      <c r="V209" s="2254">
        <v>1.6</v>
      </c>
      <c r="W209" s="2254" t="s">
        <v>3397</v>
      </c>
      <c r="X209" s="912"/>
      <c r="Y209" s="212">
        <v>147</v>
      </c>
      <c r="Z209" s="228">
        <v>3</v>
      </c>
      <c r="AA209" s="212" t="s">
        <v>1782</v>
      </c>
      <c r="AB209" s="230">
        <f t="shared" si="102"/>
        <v>2.5</v>
      </c>
      <c r="AC209" s="229"/>
      <c r="AD209" s="229"/>
      <c r="AE209" s="229"/>
      <c r="AF209" s="228"/>
      <c r="AG209" s="212" t="str">
        <f t="shared" si="105"/>
        <v>2,5</v>
      </c>
      <c r="AH209" s="172">
        <f>'Зона НЭс'!L13</f>
        <v>0</v>
      </c>
      <c r="AI209" s="172">
        <f t="shared" si="99"/>
        <v>0.28000000000000003</v>
      </c>
      <c r="AJ209" s="1973">
        <f t="shared" si="106"/>
        <v>1.28</v>
      </c>
      <c r="AK209" s="212" t="str">
        <f t="shared" si="107"/>
        <v>1сутки</v>
      </c>
      <c r="AL209" s="172">
        <f t="shared" si="116"/>
        <v>1.28</v>
      </c>
      <c r="AM209" s="1973">
        <f t="shared" si="108"/>
        <v>0</v>
      </c>
      <c r="AN209" s="880">
        <f t="shared" si="117"/>
        <v>1.28</v>
      </c>
      <c r="AO209" s="172">
        <f t="shared" si="118"/>
        <v>1</v>
      </c>
      <c r="AP209" s="172">
        <f t="shared" si="120"/>
        <v>1</v>
      </c>
      <c r="AQ209" s="757" t="str">
        <f t="shared" si="111"/>
        <v>открыт</v>
      </c>
      <c r="AR209" s="2052" t="str">
        <f t="shared" si="109"/>
        <v>открыт</v>
      </c>
      <c r="AS209" s="935">
        <f t="shared" si="121"/>
        <v>10.666666666666668</v>
      </c>
      <c r="AT209" s="937" t="s">
        <v>95</v>
      </c>
      <c r="AU209" s="1095">
        <v>1992</v>
      </c>
      <c r="AV209" s="1101" t="s">
        <v>3218</v>
      </c>
      <c r="AW209" s="1103">
        <v>56.366589376127301</v>
      </c>
      <c r="AX209" s="1103">
        <v>31.382266363149299</v>
      </c>
    </row>
    <row r="210" spans="1:50" ht="15" customHeight="1" x14ac:dyDescent="0.25">
      <c r="A210" s="212">
        <v>148</v>
      </c>
      <c r="B210" s="212">
        <v>4</v>
      </c>
      <c r="C210" s="212" t="s">
        <v>1783</v>
      </c>
      <c r="D210" s="230">
        <v>2.5</v>
      </c>
      <c r="E210" s="229"/>
      <c r="F210" s="229"/>
      <c r="G210" s="229"/>
      <c r="H210" s="228"/>
      <c r="I210" s="229" t="str">
        <f t="shared" si="100"/>
        <v>2,5</v>
      </c>
      <c r="J210" s="882">
        <v>0.05</v>
      </c>
      <c r="K210" s="1423">
        <v>0</v>
      </c>
      <c r="L210" s="1422">
        <v>0</v>
      </c>
      <c r="M210" s="172">
        <f t="shared" si="119"/>
        <v>0</v>
      </c>
      <c r="N210" s="172">
        <v>0</v>
      </c>
      <c r="O210" s="880"/>
      <c r="P210" s="880">
        <f t="shared" si="112"/>
        <v>0</v>
      </c>
      <c r="Q210" s="172">
        <f t="shared" si="113"/>
        <v>-0.05</v>
      </c>
      <c r="R210" s="172">
        <f t="shared" si="114"/>
        <v>-0.05</v>
      </c>
      <c r="S210" s="212" t="str">
        <f t="shared" si="110"/>
        <v>закрыт</v>
      </c>
      <c r="T210" s="2052" t="str">
        <f t="shared" si="101"/>
        <v>закрыт</v>
      </c>
      <c r="U210" s="757">
        <f t="shared" si="115"/>
        <v>1.9047619047619047</v>
      </c>
      <c r="V210" s="2254">
        <v>1.2</v>
      </c>
      <c r="W210" s="2254" t="s">
        <v>3397</v>
      </c>
      <c r="X210" s="912"/>
      <c r="Y210" s="212">
        <v>148</v>
      </c>
      <c r="Z210" s="228">
        <v>4</v>
      </c>
      <c r="AA210" s="212" t="s">
        <v>1783</v>
      </c>
      <c r="AB210" s="230">
        <f t="shared" si="102"/>
        <v>2.5</v>
      </c>
      <c r="AC210" s="229"/>
      <c r="AD210" s="229"/>
      <c r="AE210" s="229"/>
      <c r="AF210" s="228"/>
      <c r="AG210" s="212" t="str">
        <f t="shared" si="105"/>
        <v>2,5</v>
      </c>
      <c r="AH210" s="172">
        <f>'Зона НЭс'!L15</f>
        <v>0</v>
      </c>
      <c r="AI210" s="172">
        <f t="shared" si="99"/>
        <v>0.05</v>
      </c>
      <c r="AJ210" s="1973">
        <f t="shared" si="106"/>
        <v>0</v>
      </c>
      <c r="AK210" s="212">
        <f t="shared" si="107"/>
        <v>0</v>
      </c>
      <c r="AL210" s="172">
        <f t="shared" si="116"/>
        <v>0</v>
      </c>
      <c r="AM210" s="1973">
        <f t="shared" si="108"/>
        <v>0</v>
      </c>
      <c r="AN210" s="880">
        <f t="shared" si="117"/>
        <v>0</v>
      </c>
      <c r="AO210" s="172">
        <f t="shared" si="118"/>
        <v>-0.05</v>
      </c>
      <c r="AP210" s="172">
        <f t="shared" si="120"/>
        <v>-0.05</v>
      </c>
      <c r="AQ210" s="220" t="str">
        <f>AR210</f>
        <v>закрыт</v>
      </c>
      <c r="AR210" s="2052" t="str">
        <f t="shared" si="109"/>
        <v>закрыт</v>
      </c>
      <c r="AS210" s="935">
        <f t="shared" si="121"/>
        <v>1.9047619047619047</v>
      </c>
      <c r="AT210" s="937" t="s">
        <v>95</v>
      </c>
      <c r="AU210" s="1095">
        <v>1985</v>
      </c>
      <c r="AV210" s="1101" t="s">
        <v>3218</v>
      </c>
      <c r="AW210" s="1103">
        <v>55.815755702065999</v>
      </c>
      <c r="AX210" s="1103">
        <v>31.4666890538183</v>
      </c>
    </row>
    <row r="211" spans="1:50" ht="15" customHeight="1" x14ac:dyDescent="0.25">
      <c r="A211" s="212">
        <v>149</v>
      </c>
      <c r="B211" s="212">
        <v>5</v>
      </c>
      <c r="C211" s="212" t="s">
        <v>1784</v>
      </c>
      <c r="D211" s="230">
        <v>2.5</v>
      </c>
      <c r="E211" s="229"/>
      <c r="F211" s="229"/>
      <c r="G211" s="229"/>
      <c r="H211" s="228"/>
      <c r="I211" s="229" t="str">
        <f t="shared" si="100"/>
        <v>2,5</v>
      </c>
      <c r="J211" s="882">
        <v>1.86</v>
      </c>
      <c r="K211" s="1423">
        <v>0</v>
      </c>
      <c r="L211" s="1422">
        <v>0</v>
      </c>
      <c r="M211" s="172">
        <f t="shared" si="119"/>
        <v>0</v>
      </c>
      <c r="N211" s="172">
        <v>0</v>
      </c>
      <c r="O211" s="880"/>
      <c r="P211" s="880">
        <f t="shared" si="112"/>
        <v>0</v>
      </c>
      <c r="Q211" s="172">
        <f t="shared" si="113"/>
        <v>-1.86</v>
      </c>
      <c r="R211" s="172">
        <f t="shared" si="114"/>
        <v>-1.86</v>
      </c>
      <c r="S211" s="212" t="str">
        <f t="shared" si="110"/>
        <v>закрыт</v>
      </c>
      <c r="T211" s="2052" t="str">
        <f t="shared" si="101"/>
        <v>закрыт</v>
      </c>
      <c r="U211" s="757">
        <f t="shared" si="115"/>
        <v>70.857142857142861</v>
      </c>
      <c r="V211" s="2254">
        <v>0.5</v>
      </c>
      <c r="W211" s="2254" t="s">
        <v>3397</v>
      </c>
      <c r="X211" s="912"/>
      <c r="Y211" s="212">
        <v>149</v>
      </c>
      <c r="Z211" s="228">
        <v>5</v>
      </c>
      <c r="AA211" s="212" t="s">
        <v>1784</v>
      </c>
      <c r="AB211" s="230">
        <f t="shared" si="102"/>
        <v>2.5</v>
      </c>
      <c r="AC211" s="229"/>
      <c r="AD211" s="229"/>
      <c r="AE211" s="229"/>
      <c r="AF211" s="228"/>
      <c r="AG211" s="212" t="str">
        <f t="shared" si="105"/>
        <v>2,5</v>
      </c>
      <c r="AH211" s="172">
        <f>'Зона НЭс'!L22</f>
        <v>0.1108695652173913</v>
      </c>
      <c r="AI211" s="172">
        <f t="shared" si="99"/>
        <v>1.9708695652173913</v>
      </c>
      <c r="AJ211" s="1973">
        <f t="shared" si="106"/>
        <v>0</v>
      </c>
      <c r="AK211" s="212">
        <f t="shared" si="107"/>
        <v>0</v>
      </c>
      <c r="AL211" s="172">
        <f t="shared" si="116"/>
        <v>0</v>
      </c>
      <c r="AM211" s="1973">
        <f t="shared" si="108"/>
        <v>0</v>
      </c>
      <c r="AN211" s="880">
        <f t="shared" si="117"/>
        <v>0</v>
      </c>
      <c r="AO211" s="172">
        <f t="shared" si="118"/>
        <v>-1.9708695652173913</v>
      </c>
      <c r="AP211" s="172">
        <f t="shared" si="120"/>
        <v>-1.9708695652173913</v>
      </c>
      <c r="AQ211" s="220" t="str">
        <f>AR211</f>
        <v>закрыт</v>
      </c>
      <c r="AR211" s="2052" t="str">
        <f t="shared" si="109"/>
        <v>закрыт</v>
      </c>
      <c r="AS211" s="935">
        <f t="shared" si="121"/>
        <v>75.0807453416149</v>
      </c>
      <c r="AT211" s="937" t="s">
        <v>95</v>
      </c>
      <c r="AU211" s="1095">
        <v>1968</v>
      </c>
      <c r="AV211" s="1101" t="s">
        <v>3218</v>
      </c>
      <c r="AW211" s="1103">
        <v>55.863897874483001</v>
      </c>
      <c r="AX211" s="1103">
        <v>32.2785135593817</v>
      </c>
    </row>
    <row r="212" spans="1:50" ht="15" customHeight="1" x14ac:dyDescent="0.25">
      <c r="A212" s="212">
        <v>150</v>
      </c>
      <c r="B212" s="212">
        <v>6</v>
      </c>
      <c r="C212" s="212" t="s">
        <v>1785</v>
      </c>
      <c r="D212" s="230">
        <v>2.5</v>
      </c>
      <c r="E212" s="229"/>
      <c r="F212" s="229"/>
      <c r="G212" s="229"/>
      <c r="H212" s="228"/>
      <c r="I212" s="229" t="str">
        <f t="shared" si="100"/>
        <v>2,5</v>
      </c>
      <c r="J212" s="882">
        <v>0.38</v>
      </c>
      <c r="K212" s="1423">
        <v>2.73</v>
      </c>
      <c r="L212" s="1422" t="s">
        <v>1780</v>
      </c>
      <c r="M212" s="172">
        <f>K212</f>
        <v>2.73</v>
      </c>
      <c r="N212" s="172">
        <v>0</v>
      </c>
      <c r="O212" s="880"/>
      <c r="P212" s="880">
        <f t="shared" si="112"/>
        <v>2.73</v>
      </c>
      <c r="Q212" s="172">
        <f t="shared" si="113"/>
        <v>2.35</v>
      </c>
      <c r="R212" s="172">
        <f t="shared" si="114"/>
        <v>2.35</v>
      </c>
      <c r="S212" s="212" t="str">
        <f t="shared" si="110"/>
        <v>открыт</v>
      </c>
      <c r="T212" s="2052" t="str">
        <f t="shared" si="101"/>
        <v>открыт</v>
      </c>
      <c r="U212" s="757">
        <f t="shared" si="115"/>
        <v>14.476190476190476</v>
      </c>
      <c r="V212" s="2254">
        <v>0.6</v>
      </c>
      <c r="W212" s="2254" t="s">
        <v>3397</v>
      </c>
      <c r="X212" s="912"/>
      <c r="Y212" s="212">
        <v>150</v>
      </c>
      <c r="Z212" s="228">
        <v>6</v>
      </c>
      <c r="AA212" s="212" t="s">
        <v>1785</v>
      </c>
      <c r="AB212" s="230">
        <f t="shared" si="102"/>
        <v>2.5</v>
      </c>
      <c r="AC212" s="229"/>
      <c r="AD212" s="229"/>
      <c r="AE212" s="229"/>
      <c r="AF212" s="228"/>
      <c r="AG212" s="212" t="str">
        <f t="shared" si="105"/>
        <v>2,5</v>
      </c>
      <c r="AH212" s="172">
        <f>'Зона НЭс'!L25</f>
        <v>0</v>
      </c>
      <c r="AI212" s="172">
        <f t="shared" si="99"/>
        <v>0.38</v>
      </c>
      <c r="AJ212" s="1973">
        <f t="shared" si="106"/>
        <v>2.73</v>
      </c>
      <c r="AK212" s="212" t="str">
        <f t="shared" si="107"/>
        <v>1сутки</v>
      </c>
      <c r="AL212" s="172">
        <f t="shared" si="116"/>
        <v>2.73</v>
      </c>
      <c r="AM212" s="1973">
        <f t="shared" si="108"/>
        <v>0</v>
      </c>
      <c r="AN212" s="880">
        <f t="shared" si="117"/>
        <v>2.73</v>
      </c>
      <c r="AO212" s="172">
        <f t="shared" si="118"/>
        <v>2.35</v>
      </c>
      <c r="AP212" s="172">
        <f t="shared" si="120"/>
        <v>2.35</v>
      </c>
      <c r="AQ212" s="220" t="str">
        <f>AR212</f>
        <v>открыт</v>
      </c>
      <c r="AR212" s="2052" t="str">
        <f t="shared" si="109"/>
        <v>открыт</v>
      </c>
      <c r="AS212" s="935">
        <f t="shared" si="121"/>
        <v>14.476190476190476</v>
      </c>
      <c r="AT212" s="937" t="s">
        <v>95</v>
      </c>
      <c r="AU212" s="1095">
        <v>1969</v>
      </c>
      <c r="AV212" s="1101" t="s">
        <v>3218</v>
      </c>
      <c r="AW212" s="1103">
        <v>56.258005847280003</v>
      </c>
      <c r="AX212" s="1103">
        <v>32.358977418513398</v>
      </c>
    </row>
    <row r="213" spans="1:50" ht="15" customHeight="1" x14ac:dyDescent="0.25">
      <c r="A213" s="212">
        <v>151</v>
      </c>
      <c r="B213" s="212">
        <v>7</v>
      </c>
      <c r="C213" s="212" t="s">
        <v>1786</v>
      </c>
      <c r="D213" s="230">
        <v>2.5</v>
      </c>
      <c r="E213" s="229"/>
      <c r="F213" s="229"/>
      <c r="G213" s="229"/>
      <c r="H213" s="228"/>
      <c r="I213" s="229" t="str">
        <f t="shared" si="100"/>
        <v>2,5</v>
      </c>
      <c r="J213" s="882">
        <v>0.21</v>
      </c>
      <c r="K213" s="1423">
        <v>0.91</v>
      </c>
      <c r="L213" s="1422" t="s">
        <v>1780</v>
      </c>
      <c r="M213" s="172">
        <f>K213</f>
        <v>0.91</v>
      </c>
      <c r="N213" s="172">
        <v>0</v>
      </c>
      <c r="O213" s="880"/>
      <c r="P213" s="880">
        <f t="shared" si="112"/>
        <v>0.91</v>
      </c>
      <c r="Q213" s="172">
        <f t="shared" si="113"/>
        <v>0.70000000000000007</v>
      </c>
      <c r="R213" s="172">
        <f t="shared" si="114"/>
        <v>0.70000000000000007</v>
      </c>
      <c r="S213" s="212" t="str">
        <f t="shared" si="110"/>
        <v>открыт</v>
      </c>
      <c r="T213" s="2052" t="str">
        <f t="shared" si="101"/>
        <v>открыт</v>
      </c>
      <c r="U213" s="757">
        <f t="shared" si="115"/>
        <v>8</v>
      </c>
      <c r="V213" s="2254"/>
      <c r="W213" s="2254" t="s">
        <v>3032</v>
      </c>
      <c r="X213" s="912"/>
      <c r="Y213" s="212">
        <v>151</v>
      </c>
      <c r="Z213" s="228">
        <v>7</v>
      </c>
      <c r="AA213" s="212" t="s">
        <v>1786</v>
      </c>
      <c r="AB213" s="230">
        <f t="shared" si="102"/>
        <v>2.5</v>
      </c>
      <c r="AC213" s="229"/>
      <c r="AD213" s="229"/>
      <c r="AE213" s="229"/>
      <c r="AF213" s="228"/>
      <c r="AG213" s="212" t="str">
        <f t="shared" si="105"/>
        <v>2,5</v>
      </c>
      <c r="AH213" s="172">
        <f>'Зона НЭс'!L27</f>
        <v>0</v>
      </c>
      <c r="AI213" s="172">
        <f t="shared" si="99"/>
        <v>0.21</v>
      </c>
      <c r="AJ213" s="1973">
        <f t="shared" si="106"/>
        <v>0.91</v>
      </c>
      <c r="AK213" s="212" t="str">
        <f t="shared" si="107"/>
        <v>1сутки</v>
      </c>
      <c r="AL213" s="172">
        <f t="shared" si="116"/>
        <v>0.91</v>
      </c>
      <c r="AM213" s="1973">
        <f t="shared" si="108"/>
        <v>0</v>
      </c>
      <c r="AN213" s="880">
        <f t="shared" si="117"/>
        <v>0.91</v>
      </c>
      <c r="AO213" s="172">
        <f t="shared" si="118"/>
        <v>0.70000000000000007</v>
      </c>
      <c r="AP213" s="172">
        <f t="shared" si="120"/>
        <v>0.70000000000000007</v>
      </c>
      <c r="AQ213" s="220" t="str">
        <f t="shared" si="111"/>
        <v>открыт</v>
      </c>
      <c r="AR213" s="2052" t="str">
        <f t="shared" si="109"/>
        <v>открыт</v>
      </c>
      <c r="AS213" s="935">
        <f t="shared" si="121"/>
        <v>8</v>
      </c>
      <c r="AT213" s="937" t="s">
        <v>95</v>
      </c>
      <c r="AU213" s="1095">
        <v>1982</v>
      </c>
      <c r="AV213" s="1101" t="s">
        <v>3218</v>
      </c>
      <c r="AW213" s="1103">
        <v>56.396138368713501</v>
      </c>
      <c r="AX213" s="1103">
        <v>32.790010688667003</v>
      </c>
    </row>
    <row r="214" spans="1:50" ht="15" customHeight="1" x14ac:dyDescent="0.25">
      <c r="A214" s="212">
        <v>152</v>
      </c>
      <c r="B214" s="212">
        <v>8</v>
      </c>
      <c r="C214" s="212" t="s">
        <v>1787</v>
      </c>
      <c r="D214" s="230">
        <v>1.6</v>
      </c>
      <c r="E214" s="229"/>
      <c r="F214" s="229"/>
      <c r="G214" s="229"/>
      <c r="H214" s="228"/>
      <c r="I214" s="229" t="str">
        <f t="shared" si="100"/>
        <v>1,6</v>
      </c>
      <c r="J214" s="882">
        <v>0.25</v>
      </c>
      <c r="K214" s="1423">
        <v>0.92</v>
      </c>
      <c r="L214" s="1422" t="s">
        <v>1780</v>
      </c>
      <c r="M214" s="172">
        <f>K214</f>
        <v>0.92</v>
      </c>
      <c r="N214" s="172">
        <v>0</v>
      </c>
      <c r="O214" s="880"/>
      <c r="P214" s="880">
        <f t="shared" si="112"/>
        <v>0.92</v>
      </c>
      <c r="Q214" s="172">
        <f t="shared" si="113"/>
        <v>0.67</v>
      </c>
      <c r="R214" s="172">
        <f t="shared" si="114"/>
        <v>0.67</v>
      </c>
      <c r="S214" s="212" t="str">
        <f t="shared" si="110"/>
        <v>открыт</v>
      </c>
      <c r="T214" s="2052" t="str">
        <f t="shared" si="101"/>
        <v>открыт</v>
      </c>
      <c r="U214" s="757">
        <f t="shared" si="115"/>
        <v>14.88095238095238</v>
      </c>
      <c r="V214" s="2254"/>
      <c r="W214" s="2254" t="s">
        <v>3032</v>
      </c>
      <c r="X214" s="912"/>
      <c r="Y214" s="212">
        <v>152</v>
      </c>
      <c r="Z214" s="228">
        <v>8</v>
      </c>
      <c r="AA214" s="212" t="s">
        <v>1787</v>
      </c>
      <c r="AB214" s="230">
        <f t="shared" si="102"/>
        <v>1.6</v>
      </c>
      <c r="AC214" s="229"/>
      <c r="AD214" s="229"/>
      <c r="AE214" s="229"/>
      <c r="AF214" s="228"/>
      <c r="AG214" s="212" t="str">
        <f t="shared" si="105"/>
        <v>1,6</v>
      </c>
      <c r="AH214" s="172">
        <f>'Зона НЭс'!L29</f>
        <v>0</v>
      </c>
      <c r="AI214" s="172">
        <f t="shared" si="99"/>
        <v>0.25</v>
      </c>
      <c r="AJ214" s="1973">
        <f t="shared" si="106"/>
        <v>0.92</v>
      </c>
      <c r="AK214" s="212" t="str">
        <f t="shared" si="107"/>
        <v>1сутки</v>
      </c>
      <c r="AL214" s="172">
        <f t="shared" si="116"/>
        <v>0.92</v>
      </c>
      <c r="AM214" s="1973">
        <f t="shared" si="108"/>
        <v>0</v>
      </c>
      <c r="AN214" s="880">
        <f t="shared" si="117"/>
        <v>0.92</v>
      </c>
      <c r="AO214" s="172">
        <f t="shared" si="118"/>
        <v>0.67</v>
      </c>
      <c r="AP214" s="172">
        <f t="shared" si="120"/>
        <v>0.67</v>
      </c>
      <c r="AQ214" s="220" t="str">
        <f t="shared" si="111"/>
        <v>открыт</v>
      </c>
      <c r="AR214" s="2052" t="str">
        <f t="shared" si="109"/>
        <v>открыт</v>
      </c>
      <c r="AS214" s="935">
        <f t="shared" si="121"/>
        <v>14.88095238095238</v>
      </c>
      <c r="AT214" s="937" t="s">
        <v>95</v>
      </c>
      <c r="AU214" s="1095">
        <v>1977</v>
      </c>
      <c r="AV214" s="1101" t="s">
        <v>3218</v>
      </c>
      <c r="AW214" s="1103">
        <v>56.085486214999698</v>
      </c>
      <c r="AX214" s="1103">
        <v>31.859428192368</v>
      </c>
    </row>
    <row r="215" spans="1:50" ht="15" customHeight="1" x14ac:dyDescent="0.25">
      <c r="A215" s="212">
        <v>153</v>
      </c>
      <c r="B215" s="212">
        <v>9</v>
      </c>
      <c r="C215" s="212" t="s">
        <v>1788</v>
      </c>
      <c r="D215" s="230">
        <v>6.3</v>
      </c>
      <c r="E215" s="229"/>
      <c r="F215" s="229"/>
      <c r="G215" s="229"/>
      <c r="H215" s="228"/>
      <c r="I215" s="229" t="str">
        <f t="shared" si="100"/>
        <v>6,3</v>
      </c>
      <c r="J215" s="882">
        <v>0.97</v>
      </c>
      <c r="K215" s="1423">
        <v>1.88</v>
      </c>
      <c r="L215" s="1422" t="s">
        <v>1780</v>
      </c>
      <c r="M215" s="172">
        <f t="shared" si="119"/>
        <v>1.88</v>
      </c>
      <c r="N215" s="172">
        <v>0</v>
      </c>
      <c r="O215" s="880"/>
      <c r="P215" s="880">
        <f t="shared" si="112"/>
        <v>1.88</v>
      </c>
      <c r="Q215" s="172">
        <f t="shared" si="113"/>
        <v>0.90999999999999992</v>
      </c>
      <c r="R215" s="172">
        <f t="shared" si="114"/>
        <v>0.90999999999999992</v>
      </c>
      <c r="S215" s="212" t="str">
        <f t="shared" si="110"/>
        <v>открыт</v>
      </c>
      <c r="T215" s="2052" t="str">
        <f t="shared" si="101"/>
        <v>открыт</v>
      </c>
      <c r="U215" s="757">
        <f t="shared" si="115"/>
        <v>14.663643235071806</v>
      </c>
      <c r="V215" s="2254">
        <v>0.5</v>
      </c>
      <c r="W215" s="2254" t="s">
        <v>3397</v>
      </c>
      <c r="X215" s="912"/>
      <c r="Y215" s="212">
        <v>153</v>
      </c>
      <c r="Z215" s="228">
        <v>9</v>
      </c>
      <c r="AA215" s="212" t="s">
        <v>1788</v>
      </c>
      <c r="AB215" s="230">
        <f t="shared" si="102"/>
        <v>6.3</v>
      </c>
      <c r="AC215" s="229"/>
      <c r="AD215" s="229"/>
      <c r="AE215" s="229"/>
      <c r="AF215" s="228"/>
      <c r="AG215" s="212" t="str">
        <f t="shared" si="105"/>
        <v>6,3</v>
      </c>
      <c r="AH215" s="172">
        <f>'Зона НЭс'!L33</f>
        <v>0</v>
      </c>
      <c r="AI215" s="172">
        <f t="shared" si="99"/>
        <v>0.97</v>
      </c>
      <c r="AJ215" s="1973">
        <f t="shared" si="106"/>
        <v>1.88</v>
      </c>
      <c r="AK215" s="212" t="str">
        <f t="shared" si="107"/>
        <v>1сутки</v>
      </c>
      <c r="AL215" s="172">
        <f t="shared" si="116"/>
        <v>1.88</v>
      </c>
      <c r="AM215" s="1973">
        <f t="shared" si="108"/>
        <v>0</v>
      </c>
      <c r="AN215" s="880">
        <f t="shared" si="117"/>
        <v>1.88</v>
      </c>
      <c r="AO215" s="172">
        <f t="shared" si="118"/>
        <v>0.90999999999999992</v>
      </c>
      <c r="AP215" s="172">
        <f t="shared" si="120"/>
        <v>0.90999999999999992</v>
      </c>
      <c r="AQ215" s="220" t="str">
        <f t="shared" si="111"/>
        <v>открыт</v>
      </c>
      <c r="AR215" s="2052" t="str">
        <f t="shared" si="109"/>
        <v>открыт</v>
      </c>
      <c r="AS215" s="935">
        <f t="shared" si="121"/>
        <v>14.663643235071806</v>
      </c>
      <c r="AT215" s="937" t="s">
        <v>95</v>
      </c>
      <c r="AU215" s="1095">
        <v>1969</v>
      </c>
      <c r="AV215" s="1101" t="s">
        <v>3218</v>
      </c>
      <c r="AW215" s="1103">
        <v>56.067237629597599</v>
      </c>
      <c r="AX215" s="1103">
        <v>32.8443175433923</v>
      </c>
    </row>
    <row r="216" spans="1:50" ht="15" customHeight="1" x14ac:dyDescent="0.25">
      <c r="A216" s="212">
        <v>154</v>
      </c>
      <c r="B216" s="212">
        <v>10</v>
      </c>
      <c r="C216" s="212" t="s">
        <v>1789</v>
      </c>
      <c r="D216" s="230">
        <v>1</v>
      </c>
      <c r="E216" s="229"/>
      <c r="F216" s="229"/>
      <c r="G216" s="229"/>
      <c r="H216" s="228"/>
      <c r="I216" s="229" t="str">
        <f t="shared" si="100"/>
        <v>1</v>
      </c>
      <c r="J216" s="882">
        <v>0.18</v>
      </c>
      <c r="K216" s="1423">
        <v>0.87</v>
      </c>
      <c r="L216" s="1422" t="s">
        <v>1780</v>
      </c>
      <c r="M216" s="172">
        <f t="shared" si="119"/>
        <v>0.87</v>
      </c>
      <c r="N216" s="172">
        <v>0</v>
      </c>
      <c r="O216" s="880"/>
      <c r="P216" s="880">
        <f t="shared" si="112"/>
        <v>0.87</v>
      </c>
      <c r="Q216" s="172">
        <f t="shared" si="113"/>
        <v>0.69</v>
      </c>
      <c r="R216" s="172">
        <f t="shared" si="114"/>
        <v>0.69</v>
      </c>
      <c r="S216" s="212" t="str">
        <f t="shared" si="110"/>
        <v>открыт</v>
      </c>
      <c r="T216" s="2052" t="str">
        <f t="shared" si="101"/>
        <v>открыт</v>
      </c>
      <c r="U216" s="757">
        <f t="shared" si="115"/>
        <v>17.142857142857142</v>
      </c>
      <c r="V216" s="2254"/>
      <c r="W216" s="2254" t="s">
        <v>3032</v>
      </c>
      <c r="X216" s="912"/>
      <c r="Y216" s="212">
        <v>154</v>
      </c>
      <c r="Z216" s="228">
        <v>10</v>
      </c>
      <c r="AA216" s="212" t="s">
        <v>1789</v>
      </c>
      <c r="AB216" s="230">
        <f t="shared" si="102"/>
        <v>1</v>
      </c>
      <c r="AC216" s="229"/>
      <c r="AD216" s="229"/>
      <c r="AE216" s="229"/>
      <c r="AF216" s="228"/>
      <c r="AG216" s="212" t="str">
        <f t="shared" si="105"/>
        <v>1</v>
      </c>
      <c r="AH216" s="172">
        <f>'Зона НЭс'!L35</f>
        <v>0</v>
      </c>
      <c r="AI216" s="172">
        <f t="shared" si="99"/>
        <v>0.18</v>
      </c>
      <c r="AJ216" s="1973">
        <f t="shared" si="106"/>
        <v>0.87</v>
      </c>
      <c r="AK216" s="212" t="str">
        <f t="shared" si="107"/>
        <v>1сутки</v>
      </c>
      <c r="AL216" s="172">
        <f t="shared" si="116"/>
        <v>0.87</v>
      </c>
      <c r="AM216" s="1973">
        <f t="shared" si="108"/>
        <v>0</v>
      </c>
      <c r="AN216" s="880">
        <f t="shared" si="117"/>
        <v>0.87</v>
      </c>
      <c r="AO216" s="172">
        <f t="shared" si="118"/>
        <v>0.69</v>
      </c>
      <c r="AP216" s="172">
        <f t="shared" si="120"/>
        <v>0.69</v>
      </c>
      <c r="AQ216" s="220" t="str">
        <f t="shared" si="111"/>
        <v>открыт</v>
      </c>
      <c r="AR216" s="2052" t="str">
        <f t="shared" si="109"/>
        <v>открыт</v>
      </c>
      <c r="AS216" s="935">
        <f t="shared" si="121"/>
        <v>17.142857142857142</v>
      </c>
      <c r="AT216" s="937" t="s">
        <v>95</v>
      </c>
      <c r="AU216" s="1095">
        <v>1987</v>
      </c>
      <c r="AV216" s="213">
        <v>2011</v>
      </c>
      <c r="AW216" s="1103">
        <v>56.511311336791501</v>
      </c>
      <c r="AX216" s="1103">
        <v>31.116721048774298</v>
      </c>
    </row>
    <row r="217" spans="1:50" ht="15" customHeight="1" x14ac:dyDescent="0.25">
      <c r="A217" s="212">
        <v>155</v>
      </c>
      <c r="B217" s="212">
        <v>11</v>
      </c>
      <c r="C217" s="212" t="s">
        <v>1790</v>
      </c>
      <c r="D217" s="230">
        <v>1.6</v>
      </c>
      <c r="E217" s="229"/>
      <c r="F217" s="229"/>
      <c r="G217" s="229"/>
      <c r="H217" s="228"/>
      <c r="I217" s="229" t="str">
        <f t="shared" si="100"/>
        <v>1,6</v>
      </c>
      <c r="J217" s="882">
        <v>0.23</v>
      </c>
      <c r="K217" s="1423">
        <v>0.9</v>
      </c>
      <c r="L217" s="1422" t="s">
        <v>1780</v>
      </c>
      <c r="M217" s="172">
        <f t="shared" si="119"/>
        <v>0.9</v>
      </c>
      <c r="N217" s="172">
        <v>0</v>
      </c>
      <c r="O217" s="880"/>
      <c r="P217" s="880">
        <f t="shared" si="112"/>
        <v>0.9</v>
      </c>
      <c r="Q217" s="172">
        <f t="shared" si="113"/>
        <v>0.67</v>
      </c>
      <c r="R217" s="172">
        <f t="shared" si="114"/>
        <v>0.67</v>
      </c>
      <c r="S217" s="212" t="str">
        <f t="shared" si="110"/>
        <v>открыт</v>
      </c>
      <c r="T217" s="2052" t="str">
        <f t="shared" si="101"/>
        <v>открыт</v>
      </c>
      <c r="U217" s="757">
        <f t="shared" si="115"/>
        <v>13.69047619047619</v>
      </c>
      <c r="V217" s="2254">
        <v>0.7</v>
      </c>
      <c r="W217" s="2254" t="s">
        <v>3397</v>
      </c>
      <c r="X217" s="912"/>
      <c r="Y217" s="212">
        <v>155</v>
      </c>
      <c r="Z217" s="228">
        <v>11</v>
      </c>
      <c r="AA217" s="212" t="s">
        <v>1790</v>
      </c>
      <c r="AB217" s="230">
        <f t="shared" si="102"/>
        <v>1.6</v>
      </c>
      <c r="AC217" s="229"/>
      <c r="AD217" s="229"/>
      <c r="AE217" s="229"/>
      <c r="AF217" s="228"/>
      <c r="AG217" s="212" t="str">
        <f t="shared" si="105"/>
        <v>1,6</v>
      </c>
      <c r="AH217" s="172">
        <f>'Зона НЭс'!L37</f>
        <v>0</v>
      </c>
      <c r="AI217" s="172">
        <f t="shared" si="99"/>
        <v>0.23</v>
      </c>
      <c r="AJ217" s="1973">
        <f t="shared" si="106"/>
        <v>0.9</v>
      </c>
      <c r="AK217" s="212" t="str">
        <f t="shared" si="107"/>
        <v>1сутки</v>
      </c>
      <c r="AL217" s="172">
        <f t="shared" si="116"/>
        <v>0.9</v>
      </c>
      <c r="AM217" s="1973">
        <f t="shared" si="108"/>
        <v>0</v>
      </c>
      <c r="AN217" s="880">
        <f t="shared" si="117"/>
        <v>0.9</v>
      </c>
      <c r="AO217" s="172">
        <f t="shared" si="118"/>
        <v>0.67</v>
      </c>
      <c r="AP217" s="172">
        <f t="shared" si="120"/>
        <v>0.67</v>
      </c>
      <c r="AQ217" s="220" t="str">
        <f t="shared" si="111"/>
        <v>открыт</v>
      </c>
      <c r="AR217" s="2052" t="str">
        <f t="shared" si="109"/>
        <v>открыт</v>
      </c>
      <c r="AS217" s="935">
        <f t="shared" si="121"/>
        <v>13.69047619047619</v>
      </c>
      <c r="AT217" s="937" t="s">
        <v>95</v>
      </c>
      <c r="AU217" s="1095">
        <v>1981</v>
      </c>
      <c r="AV217" s="1101" t="s">
        <v>3218</v>
      </c>
      <c r="AW217" s="1103">
        <v>56.656234881491301</v>
      </c>
      <c r="AX217" s="1103">
        <v>31.40388826337</v>
      </c>
    </row>
    <row r="218" spans="1:50" ht="15" customHeight="1" x14ac:dyDescent="0.25">
      <c r="A218" s="212">
        <v>156</v>
      </c>
      <c r="B218" s="212">
        <v>12</v>
      </c>
      <c r="C218" s="212" t="s">
        <v>1791</v>
      </c>
      <c r="D218" s="230">
        <v>1.6</v>
      </c>
      <c r="E218" s="229"/>
      <c r="F218" s="229"/>
      <c r="G218" s="229"/>
      <c r="H218" s="228"/>
      <c r="I218" s="229" t="str">
        <f t="shared" si="100"/>
        <v>1,6</v>
      </c>
      <c r="J218" s="882">
        <v>0.54</v>
      </c>
      <c r="K218" s="1423">
        <v>1.24</v>
      </c>
      <c r="L218" s="1422" t="s">
        <v>1780</v>
      </c>
      <c r="M218" s="172">
        <f t="shared" si="119"/>
        <v>1.24</v>
      </c>
      <c r="N218" s="172">
        <v>0</v>
      </c>
      <c r="O218" s="880"/>
      <c r="P218" s="880">
        <f t="shared" si="112"/>
        <v>1.24</v>
      </c>
      <c r="Q218" s="172">
        <f t="shared" si="113"/>
        <v>0.7</v>
      </c>
      <c r="R218" s="172">
        <f t="shared" si="114"/>
        <v>0.7</v>
      </c>
      <c r="S218" s="212" t="str">
        <f t="shared" si="110"/>
        <v>открыт</v>
      </c>
      <c r="T218" s="2052" t="str">
        <f t="shared" si="101"/>
        <v>открыт</v>
      </c>
      <c r="U218" s="757">
        <f t="shared" si="115"/>
        <v>32.142857142857139</v>
      </c>
      <c r="V218" s="2254"/>
      <c r="W218" s="2254" t="s">
        <v>3032</v>
      </c>
      <c r="X218" s="912"/>
      <c r="Y218" s="212">
        <v>156</v>
      </c>
      <c r="Z218" s="228">
        <v>12</v>
      </c>
      <c r="AA218" s="212" t="s">
        <v>1791</v>
      </c>
      <c r="AB218" s="230">
        <f t="shared" si="102"/>
        <v>1.6</v>
      </c>
      <c r="AC218" s="229"/>
      <c r="AD218" s="229"/>
      <c r="AE218" s="229"/>
      <c r="AF218" s="228"/>
      <c r="AG218" s="212" t="str">
        <f t="shared" si="105"/>
        <v>1,6</v>
      </c>
      <c r="AH218" s="172">
        <f>'Зона НЭс'!L39</f>
        <v>0</v>
      </c>
      <c r="AI218" s="172">
        <f t="shared" si="99"/>
        <v>0.54</v>
      </c>
      <c r="AJ218" s="1973">
        <f t="shared" si="106"/>
        <v>1.24</v>
      </c>
      <c r="AK218" s="212" t="str">
        <f t="shared" si="107"/>
        <v>1сутки</v>
      </c>
      <c r="AL218" s="172">
        <f t="shared" si="116"/>
        <v>1.24</v>
      </c>
      <c r="AM218" s="1973">
        <f t="shared" si="108"/>
        <v>0</v>
      </c>
      <c r="AN218" s="880">
        <f t="shared" si="117"/>
        <v>1.24</v>
      </c>
      <c r="AO218" s="172">
        <f t="shared" si="118"/>
        <v>0.7</v>
      </c>
      <c r="AP218" s="172">
        <f t="shared" si="120"/>
        <v>0.7</v>
      </c>
      <c r="AQ218" s="220" t="str">
        <f t="shared" si="111"/>
        <v>открыт</v>
      </c>
      <c r="AR218" s="2052" t="str">
        <f t="shared" si="109"/>
        <v>открыт</v>
      </c>
      <c r="AS218" s="935">
        <f t="shared" si="121"/>
        <v>32.142857142857139</v>
      </c>
      <c r="AT218" s="937" t="s">
        <v>95</v>
      </c>
      <c r="AU218" s="1095">
        <v>1960</v>
      </c>
      <c r="AV218" s="1101" t="s">
        <v>3218</v>
      </c>
      <c r="AW218" s="1103">
        <v>56.221509931686597</v>
      </c>
      <c r="AX218" s="1103">
        <v>32.748808156639399</v>
      </c>
    </row>
    <row r="219" spans="1:50" ht="15" customHeight="1" x14ac:dyDescent="0.25">
      <c r="A219" s="212">
        <v>157</v>
      </c>
      <c r="B219" s="212">
        <v>13</v>
      </c>
      <c r="C219" s="212" t="s">
        <v>1792</v>
      </c>
      <c r="D219" s="230">
        <v>2.5</v>
      </c>
      <c r="E219" s="229"/>
      <c r="F219" s="229"/>
      <c r="G219" s="229"/>
      <c r="H219" s="228"/>
      <c r="I219" s="229" t="str">
        <f t="shared" si="100"/>
        <v>2,5</v>
      </c>
      <c r="J219" s="882">
        <v>0.38</v>
      </c>
      <c r="K219" s="1423">
        <v>2.4500000000000002</v>
      </c>
      <c r="L219" s="1422" t="s">
        <v>1780</v>
      </c>
      <c r="M219" s="172">
        <f t="shared" si="119"/>
        <v>2.4500000000000002</v>
      </c>
      <c r="N219" s="172">
        <v>0</v>
      </c>
      <c r="O219" s="880"/>
      <c r="P219" s="880">
        <f t="shared" si="112"/>
        <v>2.4500000000000002</v>
      </c>
      <c r="Q219" s="172">
        <f t="shared" si="113"/>
        <v>2.0700000000000003</v>
      </c>
      <c r="R219" s="172">
        <f t="shared" si="114"/>
        <v>2.0700000000000003</v>
      </c>
      <c r="S219" s="212" t="str">
        <f t="shared" si="110"/>
        <v>открыт</v>
      </c>
      <c r="T219" s="2052" t="str">
        <f t="shared" si="101"/>
        <v>открыт</v>
      </c>
      <c r="U219" s="757">
        <f t="shared" si="115"/>
        <v>14.476190476190476</v>
      </c>
      <c r="V219" s="2254">
        <v>0.8</v>
      </c>
      <c r="W219" s="2254" t="s">
        <v>3397</v>
      </c>
      <c r="X219" s="912"/>
      <c r="Y219" s="212">
        <v>157</v>
      </c>
      <c r="Z219" s="228">
        <v>13</v>
      </c>
      <c r="AA219" s="212" t="s">
        <v>1792</v>
      </c>
      <c r="AB219" s="230">
        <f t="shared" si="102"/>
        <v>2.5</v>
      </c>
      <c r="AC219" s="229"/>
      <c r="AD219" s="229"/>
      <c r="AE219" s="229"/>
      <c r="AF219" s="228"/>
      <c r="AG219" s="212" t="str">
        <f t="shared" si="105"/>
        <v>2,5</v>
      </c>
      <c r="AH219" s="172">
        <f>'Зона НЭс'!L41</f>
        <v>0</v>
      </c>
      <c r="AI219" s="172">
        <f t="shared" si="99"/>
        <v>0.38</v>
      </c>
      <c r="AJ219" s="1973">
        <f t="shared" si="106"/>
        <v>2.4500000000000002</v>
      </c>
      <c r="AK219" s="212" t="str">
        <f t="shared" si="107"/>
        <v>1сутки</v>
      </c>
      <c r="AL219" s="172">
        <f t="shared" si="116"/>
        <v>2.4500000000000002</v>
      </c>
      <c r="AM219" s="1973">
        <f t="shared" si="108"/>
        <v>0</v>
      </c>
      <c r="AN219" s="880">
        <f t="shared" si="117"/>
        <v>2.4500000000000002</v>
      </c>
      <c r="AO219" s="172">
        <f t="shared" si="118"/>
        <v>2.0700000000000003</v>
      </c>
      <c r="AP219" s="172">
        <f t="shared" si="120"/>
        <v>2.0700000000000003</v>
      </c>
      <c r="AQ219" s="220" t="str">
        <f t="shared" si="111"/>
        <v>открыт</v>
      </c>
      <c r="AR219" s="2052" t="str">
        <f t="shared" si="109"/>
        <v>открыт</v>
      </c>
      <c r="AS219" s="935">
        <f t="shared" si="121"/>
        <v>14.476190476190476</v>
      </c>
      <c r="AT219" s="937" t="s">
        <v>95</v>
      </c>
      <c r="AU219" s="1095">
        <v>1987</v>
      </c>
      <c r="AV219" s="1101" t="s">
        <v>3218</v>
      </c>
      <c r="AW219" s="1103">
        <v>56.489109448289803</v>
      </c>
      <c r="AX219" s="1103">
        <v>31.843254812482002</v>
      </c>
    </row>
    <row r="220" spans="1:50" ht="15" customHeight="1" x14ac:dyDescent="0.25">
      <c r="A220" s="212">
        <v>158</v>
      </c>
      <c r="B220" s="212">
        <v>14</v>
      </c>
      <c r="C220" s="212" t="s">
        <v>1793</v>
      </c>
      <c r="D220" s="230">
        <v>1</v>
      </c>
      <c r="E220" s="229"/>
      <c r="F220" s="229"/>
      <c r="G220" s="229"/>
      <c r="H220" s="228"/>
      <c r="I220" s="229" t="str">
        <f t="shared" si="100"/>
        <v>1</v>
      </c>
      <c r="J220" s="882">
        <v>0.35</v>
      </c>
      <c r="K220" s="1423">
        <v>0.45</v>
      </c>
      <c r="L220" s="1422" t="s">
        <v>1780</v>
      </c>
      <c r="M220" s="172">
        <f t="shared" si="119"/>
        <v>0.45</v>
      </c>
      <c r="N220" s="172">
        <v>0</v>
      </c>
      <c r="O220" s="880"/>
      <c r="P220" s="880">
        <f t="shared" si="112"/>
        <v>0.45</v>
      </c>
      <c r="Q220" s="172">
        <f t="shared" si="113"/>
        <v>0.10000000000000003</v>
      </c>
      <c r="R220" s="172">
        <f t="shared" si="114"/>
        <v>0.10000000000000003</v>
      </c>
      <c r="S220" s="212" t="str">
        <f t="shared" si="110"/>
        <v>открыт</v>
      </c>
      <c r="T220" s="2052" t="str">
        <f t="shared" si="101"/>
        <v>открыт</v>
      </c>
      <c r="U220" s="757">
        <f t="shared" si="115"/>
        <v>33.333333333333329</v>
      </c>
      <c r="V220" s="2254"/>
      <c r="W220" s="2254" t="s">
        <v>3032</v>
      </c>
      <c r="X220" s="912"/>
      <c r="Y220" s="212">
        <v>158</v>
      </c>
      <c r="Z220" s="228">
        <v>14</v>
      </c>
      <c r="AA220" s="212" t="s">
        <v>1793</v>
      </c>
      <c r="AB220" s="230">
        <f t="shared" si="102"/>
        <v>1</v>
      </c>
      <c r="AC220" s="229"/>
      <c r="AD220" s="229"/>
      <c r="AE220" s="229"/>
      <c r="AF220" s="228"/>
      <c r="AG220" s="212" t="str">
        <f t="shared" si="105"/>
        <v>1</v>
      </c>
      <c r="AH220" s="172">
        <f>'Зона НЭс'!L46</f>
        <v>5.8695652173913038E-2</v>
      </c>
      <c r="AI220" s="172">
        <f t="shared" si="99"/>
        <v>0.40869565217391302</v>
      </c>
      <c r="AJ220" s="1973">
        <f t="shared" si="106"/>
        <v>0.45</v>
      </c>
      <c r="AK220" s="212" t="str">
        <f t="shared" si="107"/>
        <v>1сутки</v>
      </c>
      <c r="AL220" s="172">
        <f t="shared" si="116"/>
        <v>0.45</v>
      </c>
      <c r="AM220" s="1973">
        <f t="shared" si="108"/>
        <v>0</v>
      </c>
      <c r="AN220" s="880">
        <f t="shared" si="117"/>
        <v>0.45</v>
      </c>
      <c r="AO220" s="172">
        <f t="shared" si="118"/>
        <v>4.1304347826086996E-2</v>
      </c>
      <c r="AP220" s="172">
        <f t="shared" si="120"/>
        <v>4.1304347826086996E-2</v>
      </c>
      <c r="AQ220" s="220" t="str">
        <f t="shared" si="111"/>
        <v>открыт</v>
      </c>
      <c r="AR220" s="2052" t="str">
        <f t="shared" si="109"/>
        <v>открыт</v>
      </c>
      <c r="AS220" s="935">
        <f t="shared" si="121"/>
        <v>38.923395445134574</v>
      </c>
      <c r="AT220" s="937" t="s">
        <v>95</v>
      </c>
      <c r="AU220" s="1095">
        <v>1968</v>
      </c>
      <c r="AV220" s="1101" t="s">
        <v>3218</v>
      </c>
      <c r="AW220" s="1103">
        <v>56.898108803443201</v>
      </c>
      <c r="AX220" s="1103">
        <v>32.077245840508198</v>
      </c>
    </row>
    <row r="221" spans="1:50" ht="15" customHeight="1" x14ac:dyDescent="0.25">
      <c r="A221" s="212">
        <v>159</v>
      </c>
      <c r="B221" s="212">
        <v>15</v>
      </c>
      <c r="C221" s="212" t="s">
        <v>1794</v>
      </c>
      <c r="D221" s="230">
        <v>1.6</v>
      </c>
      <c r="E221" s="229"/>
      <c r="F221" s="229"/>
      <c r="G221" s="229"/>
      <c r="H221" s="228"/>
      <c r="I221" s="229" t="str">
        <f t="shared" si="100"/>
        <v>1,6</v>
      </c>
      <c r="J221" s="882">
        <v>0.34</v>
      </c>
      <c r="K221" s="1423">
        <v>0</v>
      </c>
      <c r="L221" s="1422">
        <v>0</v>
      </c>
      <c r="M221" s="172">
        <f t="shared" si="119"/>
        <v>0</v>
      </c>
      <c r="N221" s="172">
        <v>0</v>
      </c>
      <c r="O221" s="880"/>
      <c r="P221" s="880">
        <f t="shared" si="112"/>
        <v>0</v>
      </c>
      <c r="Q221" s="172">
        <f t="shared" si="113"/>
        <v>-0.34</v>
      </c>
      <c r="R221" s="172">
        <f t="shared" si="114"/>
        <v>-0.34</v>
      </c>
      <c r="S221" s="212" t="str">
        <f>T221</f>
        <v>закрыт</v>
      </c>
      <c r="T221" s="2052" t="str">
        <f t="shared" si="101"/>
        <v>закрыт</v>
      </c>
      <c r="U221" s="757">
        <f t="shared" si="115"/>
        <v>20.238095238095237</v>
      </c>
      <c r="V221" s="2254"/>
      <c r="W221" s="2254" t="s">
        <v>3032</v>
      </c>
      <c r="X221" s="912"/>
      <c r="Y221" s="212">
        <v>159</v>
      </c>
      <c r="Z221" s="228">
        <v>15</v>
      </c>
      <c r="AA221" s="212" t="s">
        <v>1794</v>
      </c>
      <c r="AB221" s="230">
        <f t="shared" si="102"/>
        <v>1.6</v>
      </c>
      <c r="AC221" s="229"/>
      <c r="AD221" s="229"/>
      <c r="AE221" s="229"/>
      <c r="AF221" s="228"/>
      <c r="AG221" s="212" t="str">
        <f t="shared" si="105"/>
        <v>1,6</v>
      </c>
      <c r="AH221" s="172">
        <f>'Зона НЭс'!L49</f>
        <v>0</v>
      </c>
      <c r="AI221" s="172">
        <f t="shared" si="99"/>
        <v>0.34</v>
      </c>
      <c r="AJ221" s="1973">
        <f t="shared" si="106"/>
        <v>0</v>
      </c>
      <c r="AK221" s="212">
        <f t="shared" si="107"/>
        <v>0</v>
      </c>
      <c r="AL221" s="172">
        <f t="shared" si="116"/>
        <v>0</v>
      </c>
      <c r="AM221" s="1973">
        <f t="shared" si="108"/>
        <v>0</v>
      </c>
      <c r="AN221" s="880">
        <f t="shared" si="117"/>
        <v>0</v>
      </c>
      <c r="AO221" s="172">
        <f t="shared" si="118"/>
        <v>-0.34</v>
      </c>
      <c r="AP221" s="172">
        <f t="shared" si="120"/>
        <v>-0.34</v>
      </c>
      <c r="AQ221" s="220" t="str">
        <f t="shared" si="111"/>
        <v>закрыт</v>
      </c>
      <c r="AR221" s="2052" t="str">
        <f t="shared" si="109"/>
        <v>закрыт</v>
      </c>
      <c r="AS221" s="935">
        <f t="shared" si="121"/>
        <v>20.238095238095237</v>
      </c>
      <c r="AT221" s="937" t="s">
        <v>95</v>
      </c>
      <c r="AU221" s="1095">
        <v>1980</v>
      </c>
      <c r="AV221" s="1101" t="s">
        <v>3218</v>
      </c>
      <c r="AW221" s="1103">
        <v>56.275572606468899</v>
      </c>
      <c r="AX221" s="1103">
        <v>31.9360874224983</v>
      </c>
    </row>
    <row r="222" spans="1:50" ht="15" customHeight="1" x14ac:dyDescent="0.25">
      <c r="A222" s="212">
        <v>160</v>
      </c>
      <c r="B222" s="212">
        <v>16</v>
      </c>
      <c r="C222" s="212" t="s">
        <v>1808</v>
      </c>
      <c r="D222" s="230">
        <v>2.5</v>
      </c>
      <c r="E222" s="229"/>
      <c r="F222" s="229"/>
      <c r="G222" s="229"/>
      <c r="H222" s="228"/>
      <c r="I222" s="229" t="str">
        <f t="shared" si="100"/>
        <v>2,5</v>
      </c>
      <c r="J222" s="882">
        <v>0.13</v>
      </c>
      <c r="K222" s="1423">
        <v>1.82</v>
      </c>
      <c r="L222" s="1422" t="s">
        <v>1780</v>
      </c>
      <c r="M222" s="172">
        <f t="shared" si="119"/>
        <v>1.82</v>
      </c>
      <c r="N222" s="172">
        <v>0</v>
      </c>
      <c r="O222" s="880"/>
      <c r="P222" s="880">
        <f t="shared" si="112"/>
        <v>1.82</v>
      </c>
      <c r="Q222" s="172">
        <f t="shared" si="113"/>
        <v>1.69</v>
      </c>
      <c r="R222" s="172">
        <f t="shared" si="114"/>
        <v>1.69</v>
      </c>
      <c r="S222" s="757" t="str">
        <f t="shared" si="110"/>
        <v>открыт</v>
      </c>
      <c r="T222" s="2052" t="str">
        <f t="shared" si="101"/>
        <v>открыт</v>
      </c>
      <c r="U222" s="757">
        <f t="shared" si="115"/>
        <v>4.9523809523809526</v>
      </c>
      <c r="V222" s="2254">
        <v>0.8</v>
      </c>
      <c r="W222" s="2254" t="s">
        <v>3397</v>
      </c>
      <c r="X222" s="912"/>
      <c r="Y222" s="212">
        <v>160</v>
      </c>
      <c r="Z222" s="228">
        <v>16</v>
      </c>
      <c r="AA222" s="212" t="s">
        <v>1808</v>
      </c>
      <c r="AB222" s="230">
        <f t="shared" si="102"/>
        <v>2.5</v>
      </c>
      <c r="AC222" s="229"/>
      <c r="AD222" s="229"/>
      <c r="AE222" s="229"/>
      <c r="AF222" s="228"/>
      <c r="AG222" s="212" t="str">
        <f t="shared" si="105"/>
        <v>2,5</v>
      </c>
      <c r="AH222" s="172">
        <f>'Зона НЭс'!L51</f>
        <v>0</v>
      </c>
      <c r="AI222" s="172">
        <f t="shared" si="99"/>
        <v>0.13</v>
      </c>
      <c r="AJ222" s="1973">
        <f t="shared" si="106"/>
        <v>1.82</v>
      </c>
      <c r="AK222" s="212" t="str">
        <f t="shared" si="107"/>
        <v>1сутки</v>
      </c>
      <c r="AL222" s="172">
        <f t="shared" si="116"/>
        <v>1.82</v>
      </c>
      <c r="AM222" s="1973">
        <f t="shared" si="108"/>
        <v>0</v>
      </c>
      <c r="AN222" s="880">
        <f t="shared" si="117"/>
        <v>1.82</v>
      </c>
      <c r="AO222" s="172">
        <f t="shared" si="118"/>
        <v>1.69</v>
      </c>
      <c r="AP222" s="172">
        <f t="shared" si="120"/>
        <v>1.69</v>
      </c>
      <c r="AQ222" s="757" t="str">
        <f t="shared" si="111"/>
        <v>открыт</v>
      </c>
      <c r="AR222" s="2052" t="str">
        <f t="shared" si="109"/>
        <v>открыт</v>
      </c>
      <c r="AS222" s="935">
        <f t="shared" si="121"/>
        <v>4.9523809523809526</v>
      </c>
      <c r="AT222" s="937" t="s">
        <v>95</v>
      </c>
      <c r="AU222" s="1095">
        <v>1979</v>
      </c>
      <c r="AV222" s="1101" t="s">
        <v>3218</v>
      </c>
      <c r="AW222" s="1103">
        <v>55.801832313897698</v>
      </c>
      <c r="AX222" s="1103">
        <v>33.105341542915497</v>
      </c>
    </row>
    <row r="223" spans="1:50" ht="15" customHeight="1" x14ac:dyDescent="0.25">
      <c r="A223" s="212">
        <v>161</v>
      </c>
      <c r="B223" s="212">
        <v>17</v>
      </c>
      <c r="C223" s="212" t="s">
        <v>1795</v>
      </c>
      <c r="D223" s="230">
        <v>1.6</v>
      </c>
      <c r="E223" s="229" t="s">
        <v>773</v>
      </c>
      <c r="F223" s="229">
        <v>2.5</v>
      </c>
      <c r="G223" s="229"/>
      <c r="H223" s="228"/>
      <c r="I223" s="229" t="str">
        <f t="shared" si="100"/>
        <v>1,6+2,5</v>
      </c>
      <c r="J223" s="882">
        <v>0.56999999999999995</v>
      </c>
      <c r="K223" s="1423">
        <v>0.28000000000000003</v>
      </c>
      <c r="L223" s="1422" t="s">
        <v>1780</v>
      </c>
      <c r="M223" s="172">
        <f t="shared" ref="M223:M243" si="122">J223-K223</f>
        <v>0.28999999999999992</v>
      </c>
      <c r="N223" s="172">
        <v>0</v>
      </c>
      <c r="O223" s="880"/>
      <c r="P223" s="880">
        <f t="shared" ref="P223:P243" si="123">MIN(D223:F223)*1.05</f>
        <v>1.6800000000000002</v>
      </c>
      <c r="Q223" s="172">
        <f t="shared" ref="Q223:Q243" si="124">P223-M223-N223</f>
        <v>1.3900000000000001</v>
      </c>
      <c r="R223" s="172">
        <f t="shared" si="114"/>
        <v>1.3900000000000001</v>
      </c>
      <c r="S223" s="757" t="str">
        <f t="shared" si="110"/>
        <v>открыт</v>
      </c>
      <c r="T223" s="2052" t="str">
        <f t="shared" si="101"/>
        <v>открыт</v>
      </c>
      <c r="U223" s="757">
        <f t="shared" ref="U223:U232" si="125">(J223*100)/P223</f>
        <v>33.928571428571423</v>
      </c>
      <c r="V223" s="2254"/>
      <c r="W223" s="2254" t="s">
        <v>3032</v>
      </c>
      <c r="X223" s="912"/>
      <c r="Y223" s="212">
        <v>161</v>
      </c>
      <c r="Z223" s="228">
        <v>17</v>
      </c>
      <c r="AA223" s="212" t="s">
        <v>1795</v>
      </c>
      <c r="AB223" s="230">
        <f t="shared" si="102"/>
        <v>1.6</v>
      </c>
      <c r="AC223" s="229" t="str">
        <f t="shared" si="103"/>
        <v>+</v>
      </c>
      <c r="AD223" s="229">
        <f t="shared" si="104"/>
        <v>2.5</v>
      </c>
      <c r="AE223" s="229"/>
      <c r="AF223" s="228"/>
      <c r="AG223" s="212" t="str">
        <f t="shared" si="105"/>
        <v>1,6+2,5</v>
      </c>
      <c r="AH223" s="172">
        <f>'Зона НЭс'!L57</f>
        <v>0</v>
      </c>
      <c r="AI223" s="172">
        <f t="shared" si="99"/>
        <v>0.56999999999999995</v>
      </c>
      <c r="AJ223" s="1973">
        <f t="shared" si="106"/>
        <v>0.28000000000000003</v>
      </c>
      <c r="AK223" s="212" t="str">
        <f t="shared" si="107"/>
        <v>1сутки</v>
      </c>
      <c r="AL223" s="172">
        <f t="shared" ref="AL223:AL243" si="126">AI223-AJ223</f>
        <v>0.28999999999999992</v>
      </c>
      <c r="AM223" s="1973">
        <f t="shared" si="108"/>
        <v>0</v>
      </c>
      <c r="AN223" s="880">
        <f t="shared" ref="AN223:AN243" si="127">MIN(AB223:AF223)*1.05</f>
        <v>1.6800000000000002</v>
      </c>
      <c r="AO223" s="172">
        <f t="shared" ref="AO223:AO243" si="128">AN223-AL223-AM223</f>
        <v>1.3900000000000001</v>
      </c>
      <c r="AP223" s="172">
        <f>AO223</f>
        <v>1.3900000000000001</v>
      </c>
      <c r="AQ223" s="757" t="str">
        <f t="shared" si="111"/>
        <v>открыт</v>
      </c>
      <c r="AR223" s="2052" t="str">
        <f t="shared" si="109"/>
        <v>открыт</v>
      </c>
      <c r="AS223" s="935">
        <f t="shared" ref="AS223:AS232" si="129">(AI223*100)/AN223</f>
        <v>33.928571428571423</v>
      </c>
      <c r="AT223" s="937" t="s">
        <v>95</v>
      </c>
      <c r="AU223" s="1095">
        <v>1969</v>
      </c>
      <c r="AV223" s="1101" t="s">
        <v>3218</v>
      </c>
      <c r="AW223" s="1103">
        <v>56.888937668135398</v>
      </c>
      <c r="AX223" s="1103">
        <v>31.711828797538999</v>
      </c>
    </row>
    <row r="224" spans="1:50" ht="15" customHeight="1" x14ac:dyDescent="0.25">
      <c r="A224" s="212">
        <v>162</v>
      </c>
      <c r="B224" s="212">
        <v>18</v>
      </c>
      <c r="C224" s="212" t="s">
        <v>1796</v>
      </c>
      <c r="D224" s="230">
        <v>1</v>
      </c>
      <c r="E224" s="229" t="s">
        <v>773</v>
      </c>
      <c r="F224" s="229">
        <v>2.5</v>
      </c>
      <c r="G224" s="229"/>
      <c r="H224" s="228"/>
      <c r="I224" s="229" t="str">
        <f t="shared" si="100"/>
        <v>1+2,5</v>
      </c>
      <c r="J224" s="882">
        <v>0.34</v>
      </c>
      <c r="K224" s="1423">
        <v>0.11</v>
      </c>
      <c r="L224" s="1422">
        <v>120</v>
      </c>
      <c r="M224" s="172">
        <f t="shared" si="122"/>
        <v>0.23000000000000004</v>
      </c>
      <c r="N224" s="172">
        <v>0</v>
      </c>
      <c r="O224" s="880"/>
      <c r="P224" s="880">
        <f t="shared" si="123"/>
        <v>1.05</v>
      </c>
      <c r="Q224" s="172">
        <f t="shared" si="124"/>
        <v>0.82000000000000006</v>
      </c>
      <c r="R224" s="172">
        <f t="shared" si="114"/>
        <v>0.82000000000000006</v>
      </c>
      <c r="S224" s="757" t="str">
        <f t="shared" si="110"/>
        <v>открыт</v>
      </c>
      <c r="T224" s="2052" t="str">
        <f t="shared" si="101"/>
        <v>открыт</v>
      </c>
      <c r="U224" s="757">
        <f t="shared" si="125"/>
        <v>32.38095238095238</v>
      </c>
      <c r="V224" s="2254">
        <v>0.8</v>
      </c>
      <c r="W224" s="2254" t="s">
        <v>3397</v>
      </c>
      <c r="X224" s="912"/>
      <c r="Y224" s="212">
        <v>162</v>
      </c>
      <c r="Z224" s="228">
        <v>18</v>
      </c>
      <c r="AA224" s="212" t="s">
        <v>1796</v>
      </c>
      <c r="AB224" s="230">
        <f t="shared" si="102"/>
        <v>1</v>
      </c>
      <c r="AC224" s="229" t="str">
        <f t="shared" si="103"/>
        <v>+</v>
      </c>
      <c r="AD224" s="229">
        <f t="shared" si="104"/>
        <v>2.5</v>
      </c>
      <c r="AE224" s="229"/>
      <c r="AF224" s="228"/>
      <c r="AG224" s="212" t="str">
        <f t="shared" si="105"/>
        <v>1+2,5</v>
      </c>
      <c r="AH224" s="172">
        <f>'Зона НЭс'!L59</f>
        <v>0</v>
      </c>
      <c r="AI224" s="172">
        <f t="shared" si="99"/>
        <v>0.34</v>
      </c>
      <c r="AJ224" s="1973">
        <f t="shared" si="106"/>
        <v>0.11</v>
      </c>
      <c r="AK224" s="212">
        <f t="shared" si="107"/>
        <v>120</v>
      </c>
      <c r="AL224" s="172">
        <f t="shared" si="126"/>
        <v>0.23000000000000004</v>
      </c>
      <c r="AM224" s="1973">
        <f t="shared" si="108"/>
        <v>0</v>
      </c>
      <c r="AN224" s="880">
        <f t="shared" si="127"/>
        <v>1.05</v>
      </c>
      <c r="AO224" s="172">
        <f t="shared" si="128"/>
        <v>0.82000000000000006</v>
      </c>
      <c r="AP224" s="172">
        <f t="shared" ref="AP224:AP231" si="130">AO224</f>
        <v>0.82000000000000006</v>
      </c>
      <c r="AQ224" s="757" t="str">
        <f t="shared" si="111"/>
        <v>открыт</v>
      </c>
      <c r="AR224" s="2052" t="str">
        <f t="shared" si="109"/>
        <v>открыт</v>
      </c>
      <c r="AS224" s="935">
        <f t="shared" si="129"/>
        <v>32.38095238095238</v>
      </c>
      <c r="AT224" s="937" t="s">
        <v>95</v>
      </c>
      <c r="AU224" s="1095">
        <v>1967</v>
      </c>
      <c r="AV224" s="1101" t="s">
        <v>3218</v>
      </c>
      <c r="AW224" s="1103">
        <v>55.901399261597497</v>
      </c>
      <c r="AX224" s="1103">
        <v>33.376600993077801</v>
      </c>
    </row>
    <row r="225" spans="1:50" ht="15" customHeight="1" x14ac:dyDescent="0.25">
      <c r="A225" s="212">
        <v>163</v>
      </c>
      <c r="B225" s="212">
        <v>19</v>
      </c>
      <c r="C225" s="212" t="s">
        <v>1797</v>
      </c>
      <c r="D225" s="230">
        <v>1.6</v>
      </c>
      <c r="E225" s="229" t="s">
        <v>773</v>
      </c>
      <c r="F225" s="229">
        <v>1.6</v>
      </c>
      <c r="G225" s="229"/>
      <c r="H225" s="228"/>
      <c r="I225" s="229" t="str">
        <f t="shared" si="100"/>
        <v>1,6+1,6</v>
      </c>
      <c r="J225" s="882">
        <v>0.46</v>
      </c>
      <c r="K225" s="1423">
        <v>0.22</v>
      </c>
      <c r="L225" s="1422">
        <v>120</v>
      </c>
      <c r="M225" s="172">
        <f t="shared" si="122"/>
        <v>0.24000000000000002</v>
      </c>
      <c r="N225" s="172">
        <v>0</v>
      </c>
      <c r="O225" s="880"/>
      <c r="P225" s="880">
        <f t="shared" si="123"/>
        <v>1.6800000000000002</v>
      </c>
      <c r="Q225" s="172">
        <f t="shared" si="124"/>
        <v>1.4400000000000002</v>
      </c>
      <c r="R225" s="172">
        <f t="shared" si="114"/>
        <v>1.4400000000000002</v>
      </c>
      <c r="S225" s="757" t="str">
        <f t="shared" si="110"/>
        <v>открыт</v>
      </c>
      <c r="T225" s="2052" t="str">
        <f t="shared" si="101"/>
        <v>открыт</v>
      </c>
      <c r="U225" s="757">
        <f t="shared" si="125"/>
        <v>27.38095238095238</v>
      </c>
      <c r="V225" s="2254"/>
      <c r="W225" s="2254" t="s">
        <v>3032</v>
      </c>
      <c r="X225" s="912"/>
      <c r="Y225" s="212">
        <v>163</v>
      </c>
      <c r="Z225" s="228">
        <v>19</v>
      </c>
      <c r="AA225" s="212" t="s">
        <v>1797</v>
      </c>
      <c r="AB225" s="230">
        <f t="shared" si="102"/>
        <v>1.6</v>
      </c>
      <c r="AC225" s="229" t="str">
        <f t="shared" si="103"/>
        <v>+</v>
      </c>
      <c r="AD225" s="229">
        <f t="shared" si="104"/>
        <v>1.6</v>
      </c>
      <c r="AE225" s="229"/>
      <c r="AF225" s="228"/>
      <c r="AG225" s="212" t="str">
        <f t="shared" si="105"/>
        <v>1,6+1,6</v>
      </c>
      <c r="AH225" s="172">
        <f>'Зона НЭс'!L61</f>
        <v>0</v>
      </c>
      <c r="AI225" s="172">
        <f t="shared" si="99"/>
        <v>0.46</v>
      </c>
      <c r="AJ225" s="1973">
        <f t="shared" si="106"/>
        <v>0.22</v>
      </c>
      <c r="AK225" s="212">
        <f t="shared" si="107"/>
        <v>120</v>
      </c>
      <c r="AL225" s="172">
        <f t="shared" si="126"/>
        <v>0.24000000000000002</v>
      </c>
      <c r="AM225" s="1973">
        <f t="shared" si="108"/>
        <v>0</v>
      </c>
      <c r="AN225" s="880">
        <f t="shared" si="127"/>
        <v>1.6800000000000002</v>
      </c>
      <c r="AO225" s="172">
        <f t="shared" si="128"/>
        <v>1.4400000000000002</v>
      </c>
      <c r="AP225" s="172">
        <f t="shared" si="130"/>
        <v>1.4400000000000002</v>
      </c>
      <c r="AQ225" s="757" t="str">
        <f t="shared" si="111"/>
        <v>открыт</v>
      </c>
      <c r="AR225" s="2052" t="str">
        <f t="shared" si="109"/>
        <v>открыт</v>
      </c>
      <c r="AS225" s="935">
        <f t="shared" si="129"/>
        <v>27.38095238095238</v>
      </c>
      <c r="AT225" s="937" t="s">
        <v>95</v>
      </c>
      <c r="AU225" s="1095">
        <v>1963</v>
      </c>
      <c r="AV225" s="1101" t="s">
        <v>3218</v>
      </c>
      <c r="AW225" s="1103">
        <v>56.645553124979401</v>
      </c>
      <c r="AX225" s="1103">
        <v>31.7581185050953</v>
      </c>
    </row>
    <row r="226" spans="1:50" ht="15" customHeight="1" x14ac:dyDescent="0.25">
      <c r="A226" s="212">
        <v>164</v>
      </c>
      <c r="B226" s="212">
        <v>20</v>
      </c>
      <c r="C226" s="212" t="s">
        <v>1798</v>
      </c>
      <c r="D226" s="230">
        <v>4</v>
      </c>
      <c r="E226" s="229" t="s">
        <v>773</v>
      </c>
      <c r="F226" s="229">
        <v>4</v>
      </c>
      <c r="G226" s="229"/>
      <c r="H226" s="228"/>
      <c r="I226" s="229" t="str">
        <f t="shared" si="100"/>
        <v>4+4</v>
      </c>
      <c r="J226" s="882">
        <v>1.54</v>
      </c>
      <c r="K226" s="1423">
        <v>0.86</v>
      </c>
      <c r="L226" s="1422">
        <v>120</v>
      </c>
      <c r="M226" s="172">
        <f t="shared" si="122"/>
        <v>0.68</v>
      </c>
      <c r="N226" s="172">
        <v>0</v>
      </c>
      <c r="O226" s="880"/>
      <c r="P226" s="880">
        <f>MIN(D226:F226)*1.05</f>
        <v>4.2</v>
      </c>
      <c r="Q226" s="172">
        <f t="shared" si="124"/>
        <v>3.52</v>
      </c>
      <c r="R226" s="172">
        <f>Q226</f>
        <v>3.52</v>
      </c>
      <c r="S226" s="757" t="str">
        <f t="shared" si="110"/>
        <v>открыт</v>
      </c>
      <c r="T226" s="2052" t="str">
        <f t="shared" si="101"/>
        <v>открыт</v>
      </c>
      <c r="U226" s="757">
        <f t="shared" si="125"/>
        <v>36.666666666666664</v>
      </c>
      <c r="V226" s="2254">
        <v>0.8</v>
      </c>
      <c r="W226" s="2254" t="s">
        <v>3397</v>
      </c>
      <c r="X226" s="912"/>
      <c r="Y226" s="212">
        <v>164</v>
      </c>
      <c r="Z226" s="228">
        <v>20</v>
      </c>
      <c r="AA226" s="212" t="s">
        <v>1798</v>
      </c>
      <c r="AB226" s="230">
        <f t="shared" si="102"/>
        <v>4</v>
      </c>
      <c r="AC226" s="229" t="str">
        <f t="shared" si="103"/>
        <v>+</v>
      </c>
      <c r="AD226" s="229">
        <f t="shared" si="104"/>
        <v>4</v>
      </c>
      <c r="AE226" s="229"/>
      <c r="AF226" s="228"/>
      <c r="AG226" s="212" t="str">
        <f t="shared" si="105"/>
        <v>4+4</v>
      </c>
      <c r="AH226" s="172">
        <f>'Зона НЭс'!L63</f>
        <v>0</v>
      </c>
      <c r="AI226" s="172">
        <f t="shared" si="99"/>
        <v>1.54</v>
      </c>
      <c r="AJ226" s="1973">
        <f t="shared" si="106"/>
        <v>0.86</v>
      </c>
      <c r="AK226" s="212">
        <f t="shared" si="107"/>
        <v>120</v>
      </c>
      <c r="AL226" s="172">
        <f t="shared" si="126"/>
        <v>0.68</v>
      </c>
      <c r="AM226" s="1973">
        <f t="shared" si="108"/>
        <v>0</v>
      </c>
      <c r="AN226" s="880">
        <f t="shared" si="127"/>
        <v>4.2</v>
      </c>
      <c r="AO226" s="172">
        <f>AN226-AL226-AM226</f>
        <v>3.52</v>
      </c>
      <c r="AP226" s="172">
        <f t="shared" si="130"/>
        <v>3.52</v>
      </c>
      <c r="AQ226" s="757" t="str">
        <f t="shared" si="111"/>
        <v>открыт</v>
      </c>
      <c r="AR226" s="2052" t="str">
        <f t="shared" si="109"/>
        <v>открыт</v>
      </c>
      <c r="AS226" s="935">
        <f t="shared" si="129"/>
        <v>36.666666666666664</v>
      </c>
      <c r="AT226" s="937" t="s">
        <v>95</v>
      </c>
      <c r="AU226" s="1095">
        <v>1988</v>
      </c>
      <c r="AV226" s="1101">
        <v>2013</v>
      </c>
      <c r="AW226" s="1103">
        <v>56.536975825665102</v>
      </c>
      <c r="AX226" s="1103">
        <v>31.6038603641646</v>
      </c>
    </row>
    <row r="227" spans="1:50" ht="15" customHeight="1" x14ac:dyDescent="0.25">
      <c r="A227" s="212">
        <v>165</v>
      </c>
      <c r="B227" s="212"/>
      <c r="C227" s="212" t="s">
        <v>2748</v>
      </c>
      <c r="D227" s="230">
        <v>25</v>
      </c>
      <c r="E227" s="229" t="s">
        <v>773</v>
      </c>
      <c r="F227" s="229">
        <v>25</v>
      </c>
      <c r="G227" s="229"/>
      <c r="H227" s="228"/>
      <c r="I227" s="229" t="str">
        <f>CONCATENATE(D227,E227,F227,G227,H227)</f>
        <v>25+25</v>
      </c>
      <c r="J227" s="882">
        <v>2.73</v>
      </c>
      <c r="K227" s="1423">
        <v>0</v>
      </c>
      <c r="L227" s="1422">
        <v>0</v>
      </c>
      <c r="M227" s="869">
        <f>J227-K227</f>
        <v>2.73</v>
      </c>
      <c r="N227" s="172">
        <v>0</v>
      </c>
      <c r="O227" s="880"/>
      <c r="P227" s="880">
        <f>MIN(D227:F227)*1.05</f>
        <v>26.25</v>
      </c>
      <c r="Q227" s="172">
        <f>P227-M227-N227</f>
        <v>23.52</v>
      </c>
      <c r="R227" s="172">
        <f>Q227</f>
        <v>23.52</v>
      </c>
      <c r="S227" s="757" t="str">
        <f>T227</f>
        <v>открыт</v>
      </c>
      <c r="T227" s="2052" t="str">
        <f t="shared" si="101"/>
        <v>открыт</v>
      </c>
      <c r="U227" s="757">
        <f>(J227*100)/P227</f>
        <v>10.4</v>
      </c>
      <c r="V227" s="2254"/>
      <c r="W227" s="2254" t="s">
        <v>3032</v>
      </c>
      <c r="X227" s="912"/>
      <c r="Y227" s="212">
        <v>165</v>
      </c>
      <c r="Z227" s="228"/>
      <c r="AA227" s="212" t="s">
        <v>2748</v>
      </c>
      <c r="AB227" s="230">
        <f t="shared" si="102"/>
        <v>25</v>
      </c>
      <c r="AC227" s="229" t="str">
        <f t="shared" si="103"/>
        <v>+</v>
      </c>
      <c r="AD227" s="229">
        <f t="shared" si="104"/>
        <v>25</v>
      </c>
      <c r="AE227" s="229"/>
      <c r="AF227" s="228"/>
      <c r="AG227" s="212" t="str">
        <f t="shared" si="105"/>
        <v>25+25</v>
      </c>
      <c r="AH227" s="172">
        <f>'Зона НЭс'!L65</f>
        <v>0</v>
      </c>
      <c r="AI227" s="172">
        <v>0</v>
      </c>
      <c r="AJ227" s="1973">
        <f t="shared" si="106"/>
        <v>0</v>
      </c>
      <c r="AK227" s="212">
        <f t="shared" si="107"/>
        <v>0</v>
      </c>
      <c r="AL227" s="172">
        <f t="shared" si="126"/>
        <v>0</v>
      </c>
      <c r="AM227" s="1973">
        <f t="shared" si="108"/>
        <v>0</v>
      </c>
      <c r="AN227" s="880">
        <f>MIN(AB227:AF227)*1.05</f>
        <v>26.25</v>
      </c>
      <c r="AO227" s="172">
        <f>AN227-AL227-AM227</f>
        <v>26.25</v>
      </c>
      <c r="AP227" s="172">
        <f>AO227</f>
        <v>26.25</v>
      </c>
      <c r="AQ227" s="757" t="str">
        <f>AR227</f>
        <v>открыт</v>
      </c>
      <c r="AR227" s="2052" t="str">
        <f t="shared" si="109"/>
        <v>открыт</v>
      </c>
      <c r="AS227" s="935">
        <f t="shared" si="129"/>
        <v>0</v>
      </c>
      <c r="AT227" s="937" t="s">
        <v>95</v>
      </c>
      <c r="AU227" s="1095">
        <v>1980</v>
      </c>
      <c r="AV227" s="1101" t="s">
        <v>3218</v>
      </c>
      <c r="AW227" s="1103">
        <v>56.530764656413403</v>
      </c>
      <c r="AX227" s="1103">
        <v>32.178893279207301</v>
      </c>
    </row>
    <row r="228" spans="1:50" ht="15" customHeight="1" x14ac:dyDescent="0.25">
      <c r="A228" s="212">
        <v>166</v>
      </c>
      <c r="B228" s="212">
        <v>21</v>
      </c>
      <c r="C228" s="212" t="s">
        <v>1799</v>
      </c>
      <c r="D228" s="230">
        <v>1.6</v>
      </c>
      <c r="E228" s="229" t="s">
        <v>773</v>
      </c>
      <c r="F228" s="229">
        <v>2.5</v>
      </c>
      <c r="G228" s="229"/>
      <c r="H228" s="228"/>
      <c r="I228" s="229" t="str">
        <f t="shared" si="100"/>
        <v>1,6+2,5</v>
      </c>
      <c r="J228" s="882">
        <v>0.7</v>
      </c>
      <c r="K228" s="1423">
        <v>0.38</v>
      </c>
      <c r="L228" s="1422">
        <v>120</v>
      </c>
      <c r="M228" s="172">
        <f t="shared" si="122"/>
        <v>0.31999999999999995</v>
      </c>
      <c r="N228" s="172">
        <v>0</v>
      </c>
      <c r="O228" s="880"/>
      <c r="P228" s="880">
        <f t="shared" si="123"/>
        <v>1.6800000000000002</v>
      </c>
      <c r="Q228" s="172">
        <f t="shared" si="124"/>
        <v>1.3600000000000003</v>
      </c>
      <c r="R228" s="172">
        <f t="shared" si="114"/>
        <v>1.3600000000000003</v>
      </c>
      <c r="S228" s="757" t="str">
        <f t="shared" si="110"/>
        <v>открыт</v>
      </c>
      <c r="T228" s="2052" t="str">
        <f t="shared" si="101"/>
        <v>открыт</v>
      </c>
      <c r="U228" s="757">
        <f t="shared" si="125"/>
        <v>41.666666666666664</v>
      </c>
      <c r="V228" s="2254">
        <v>1</v>
      </c>
      <c r="W228" s="2254" t="s">
        <v>3397</v>
      </c>
      <c r="X228" s="912"/>
      <c r="Y228" s="212">
        <v>166</v>
      </c>
      <c r="Z228" s="228">
        <v>21</v>
      </c>
      <c r="AA228" s="212" t="s">
        <v>1799</v>
      </c>
      <c r="AB228" s="230">
        <f t="shared" si="102"/>
        <v>1.6</v>
      </c>
      <c r="AC228" s="229" t="str">
        <f t="shared" si="103"/>
        <v>+</v>
      </c>
      <c r="AD228" s="229">
        <f t="shared" si="104"/>
        <v>2.5</v>
      </c>
      <c r="AE228" s="229"/>
      <c r="AF228" s="228"/>
      <c r="AG228" s="212" t="str">
        <f t="shared" si="105"/>
        <v>1,6+2,5</v>
      </c>
      <c r="AH228" s="172">
        <f>'Зона НЭс'!L67</f>
        <v>0</v>
      </c>
      <c r="AI228" s="172">
        <f t="shared" ref="AI228:AI259" si="131">AH228+J228</f>
        <v>0.7</v>
      </c>
      <c r="AJ228" s="1973">
        <f t="shared" si="106"/>
        <v>0.38</v>
      </c>
      <c r="AK228" s="212">
        <f t="shared" si="107"/>
        <v>120</v>
      </c>
      <c r="AL228" s="172">
        <f t="shared" si="126"/>
        <v>0.31999999999999995</v>
      </c>
      <c r="AM228" s="1973">
        <f t="shared" si="108"/>
        <v>0</v>
      </c>
      <c r="AN228" s="880">
        <f t="shared" si="127"/>
        <v>1.6800000000000002</v>
      </c>
      <c r="AO228" s="172">
        <f t="shared" si="128"/>
        <v>1.3600000000000003</v>
      </c>
      <c r="AP228" s="172">
        <f t="shared" si="130"/>
        <v>1.3600000000000003</v>
      </c>
      <c r="AQ228" s="757" t="str">
        <f t="shared" si="111"/>
        <v>открыт</v>
      </c>
      <c r="AR228" s="2052" t="str">
        <f t="shared" si="109"/>
        <v>открыт</v>
      </c>
      <c r="AS228" s="935">
        <f t="shared" si="129"/>
        <v>41.666666666666664</v>
      </c>
      <c r="AT228" s="937" t="s">
        <v>95</v>
      </c>
      <c r="AU228" s="1095">
        <v>1967</v>
      </c>
      <c r="AV228" s="1101" t="s">
        <v>3218</v>
      </c>
      <c r="AW228" s="1103">
        <v>55.947945073946201</v>
      </c>
      <c r="AX228" s="1103">
        <v>31.685826846532901</v>
      </c>
    </row>
    <row r="229" spans="1:50" ht="15" customHeight="1" x14ac:dyDescent="0.25">
      <c r="A229" s="212">
        <v>167</v>
      </c>
      <c r="B229" s="212">
        <v>22</v>
      </c>
      <c r="C229" s="212" t="s">
        <v>1800</v>
      </c>
      <c r="D229" s="230">
        <v>3.2</v>
      </c>
      <c r="E229" s="229" t="s">
        <v>773</v>
      </c>
      <c r="F229" s="229">
        <v>4</v>
      </c>
      <c r="G229" s="229"/>
      <c r="H229" s="228"/>
      <c r="I229" s="229" t="str">
        <f t="shared" si="100"/>
        <v>3,2+4</v>
      </c>
      <c r="J229" s="882">
        <v>0.8</v>
      </c>
      <c r="K229" s="1423">
        <v>0.56000000000000005</v>
      </c>
      <c r="L229" s="1422">
        <v>120</v>
      </c>
      <c r="M229" s="172">
        <f t="shared" si="122"/>
        <v>0.24</v>
      </c>
      <c r="N229" s="172">
        <v>0</v>
      </c>
      <c r="O229" s="880"/>
      <c r="P229" s="880">
        <f t="shared" si="123"/>
        <v>3.3600000000000003</v>
      </c>
      <c r="Q229" s="172">
        <f t="shared" si="124"/>
        <v>3.12</v>
      </c>
      <c r="R229" s="172">
        <f t="shared" si="114"/>
        <v>3.12</v>
      </c>
      <c r="S229" s="757" t="str">
        <f t="shared" si="110"/>
        <v>открыт</v>
      </c>
      <c r="T229" s="2052" t="str">
        <f t="shared" si="101"/>
        <v>открыт</v>
      </c>
      <c r="U229" s="757">
        <f t="shared" si="125"/>
        <v>23.809523809523807</v>
      </c>
      <c r="V229" s="2254"/>
      <c r="W229" s="2254" t="s">
        <v>3032</v>
      </c>
      <c r="X229" s="912"/>
      <c r="Y229" s="212">
        <v>167</v>
      </c>
      <c r="Z229" s="228">
        <v>22</v>
      </c>
      <c r="AA229" s="212" t="s">
        <v>1800</v>
      </c>
      <c r="AB229" s="230">
        <f t="shared" si="102"/>
        <v>3.2</v>
      </c>
      <c r="AC229" s="229" t="str">
        <f t="shared" si="103"/>
        <v>+</v>
      </c>
      <c r="AD229" s="229">
        <f t="shared" si="104"/>
        <v>4</v>
      </c>
      <c r="AE229" s="229"/>
      <c r="AF229" s="228"/>
      <c r="AG229" s="212" t="str">
        <f t="shared" si="105"/>
        <v>3,2+4</v>
      </c>
      <c r="AH229" s="172">
        <f>'Зона НЭс'!L71</f>
        <v>0</v>
      </c>
      <c r="AI229" s="172">
        <f t="shared" si="131"/>
        <v>0.8</v>
      </c>
      <c r="AJ229" s="1973">
        <f t="shared" si="106"/>
        <v>0.56000000000000005</v>
      </c>
      <c r="AK229" s="212">
        <f t="shared" si="107"/>
        <v>120</v>
      </c>
      <c r="AL229" s="172">
        <f t="shared" si="126"/>
        <v>0.24</v>
      </c>
      <c r="AM229" s="1973">
        <f t="shared" si="108"/>
        <v>0</v>
      </c>
      <c r="AN229" s="880">
        <f t="shared" si="127"/>
        <v>3.3600000000000003</v>
      </c>
      <c r="AO229" s="172">
        <f t="shared" si="128"/>
        <v>3.12</v>
      </c>
      <c r="AP229" s="172">
        <f t="shared" si="130"/>
        <v>3.12</v>
      </c>
      <c r="AQ229" s="757" t="str">
        <f t="shared" si="111"/>
        <v>открыт</v>
      </c>
      <c r="AR229" s="2052" t="str">
        <f t="shared" si="109"/>
        <v>открыт</v>
      </c>
      <c r="AS229" s="935">
        <f t="shared" si="129"/>
        <v>23.809523809523807</v>
      </c>
      <c r="AT229" s="937" t="s">
        <v>95</v>
      </c>
      <c r="AU229" s="1095">
        <v>1965</v>
      </c>
      <c r="AV229" s="1101">
        <v>2011</v>
      </c>
      <c r="AW229" s="1103">
        <v>56.786929104754201</v>
      </c>
      <c r="AX229" s="1103">
        <v>31.259684304533</v>
      </c>
    </row>
    <row r="230" spans="1:50" ht="15" customHeight="1" x14ac:dyDescent="0.25">
      <c r="A230" s="212">
        <v>168</v>
      </c>
      <c r="B230" s="212">
        <v>23</v>
      </c>
      <c r="C230" s="212" t="s">
        <v>1801</v>
      </c>
      <c r="D230" s="230">
        <v>5.6</v>
      </c>
      <c r="E230" s="229" t="s">
        <v>773</v>
      </c>
      <c r="F230" s="229">
        <v>5.6</v>
      </c>
      <c r="G230" s="229"/>
      <c r="H230" s="228"/>
      <c r="I230" s="229" t="str">
        <f t="shared" si="100"/>
        <v>5,6+5,6</v>
      </c>
      <c r="J230" s="882">
        <v>4.09</v>
      </c>
      <c r="K230" s="1423">
        <v>0</v>
      </c>
      <c r="L230" s="1422">
        <v>120</v>
      </c>
      <c r="M230" s="172">
        <f t="shared" si="122"/>
        <v>4.09</v>
      </c>
      <c r="N230" s="172">
        <v>0</v>
      </c>
      <c r="O230" s="880"/>
      <c r="P230" s="880">
        <f t="shared" si="123"/>
        <v>5.88</v>
      </c>
      <c r="Q230" s="172">
        <f t="shared" si="124"/>
        <v>1.79</v>
      </c>
      <c r="R230" s="172">
        <f t="shared" si="114"/>
        <v>1.79</v>
      </c>
      <c r="S230" s="757" t="str">
        <f t="shared" si="110"/>
        <v>открыт</v>
      </c>
      <c r="T230" s="2052" t="str">
        <f t="shared" si="101"/>
        <v>открыт</v>
      </c>
      <c r="U230" s="757">
        <f t="shared" si="125"/>
        <v>69.557823129251702</v>
      </c>
      <c r="V230" s="2254">
        <v>0.6</v>
      </c>
      <c r="W230" s="2254" t="s">
        <v>3397</v>
      </c>
      <c r="X230" s="912"/>
      <c r="Y230" s="212">
        <v>168</v>
      </c>
      <c r="Z230" s="228">
        <v>23</v>
      </c>
      <c r="AA230" s="212" t="s">
        <v>1801</v>
      </c>
      <c r="AB230" s="230">
        <f t="shared" si="102"/>
        <v>5.6</v>
      </c>
      <c r="AC230" s="229" t="str">
        <f t="shared" si="103"/>
        <v>+</v>
      </c>
      <c r="AD230" s="229">
        <f t="shared" si="104"/>
        <v>5.6</v>
      </c>
      <c r="AE230" s="229"/>
      <c r="AF230" s="228"/>
      <c r="AG230" s="212" t="str">
        <f t="shared" si="105"/>
        <v>5,6+5,6</v>
      </c>
      <c r="AH230" s="172">
        <f>'Зона НЭс'!L75</f>
        <v>0.12309782608695653</v>
      </c>
      <c r="AI230" s="172">
        <f t="shared" si="131"/>
        <v>4.2130978260869565</v>
      </c>
      <c r="AJ230" s="1973">
        <f t="shared" si="106"/>
        <v>0</v>
      </c>
      <c r="AK230" s="212">
        <f t="shared" si="107"/>
        <v>120</v>
      </c>
      <c r="AL230" s="172">
        <f t="shared" si="126"/>
        <v>4.2130978260869565</v>
      </c>
      <c r="AM230" s="1973">
        <f t="shared" si="108"/>
        <v>0</v>
      </c>
      <c r="AN230" s="880">
        <f t="shared" si="127"/>
        <v>5.88</v>
      </c>
      <c r="AO230" s="172">
        <f t="shared" si="128"/>
        <v>1.6669021739130434</v>
      </c>
      <c r="AP230" s="172">
        <f t="shared" si="130"/>
        <v>1.6669021739130434</v>
      </c>
      <c r="AQ230" s="757" t="str">
        <f t="shared" si="111"/>
        <v>открыт</v>
      </c>
      <c r="AR230" s="2052" t="str">
        <f t="shared" si="109"/>
        <v>открыт</v>
      </c>
      <c r="AS230" s="935">
        <f t="shared" si="129"/>
        <v>71.651323572907415</v>
      </c>
      <c r="AT230" s="937" t="s">
        <v>95</v>
      </c>
      <c r="AU230" s="1095">
        <v>1960</v>
      </c>
      <c r="AV230" s="1101" t="s">
        <v>3218</v>
      </c>
      <c r="AW230" s="1103">
        <v>56.221509931686597</v>
      </c>
      <c r="AX230" s="1103">
        <v>32.748808156639399</v>
      </c>
    </row>
    <row r="231" spans="1:50" ht="15" customHeight="1" x14ac:dyDescent="0.25">
      <c r="A231" s="212">
        <v>169</v>
      </c>
      <c r="B231" s="212">
        <v>24</v>
      </c>
      <c r="C231" s="212" t="s">
        <v>1802</v>
      </c>
      <c r="D231" s="230">
        <v>4</v>
      </c>
      <c r="E231" s="229" t="s">
        <v>773</v>
      </c>
      <c r="F231" s="229">
        <v>4</v>
      </c>
      <c r="G231" s="229"/>
      <c r="H231" s="228"/>
      <c r="I231" s="229" t="str">
        <f t="shared" si="100"/>
        <v>4+4</v>
      </c>
      <c r="J231" s="882">
        <v>1.89</v>
      </c>
      <c r="K231" s="1423">
        <v>0</v>
      </c>
      <c r="L231" s="1422">
        <v>0</v>
      </c>
      <c r="M231" s="172">
        <f t="shared" si="122"/>
        <v>1.89</v>
      </c>
      <c r="N231" s="172">
        <v>0</v>
      </c>
      <c r="O231" s="880"/>
      <c r="P231" s="880">
        <f t="shared" si="123"/>
        <v>4.2</v>
      </c>
      <c r="Q231" s="172">
        <f t="shared" si="124"/>
        <v>2.3100000000000005</v>
      </c>
      <c r="R231" s="172">
        <f t="shared" si="114"/>
        <v>2.3100000000000005</v>
      </c>
      <c r="S231" s="757" t="str">
        <f t="shared" si="110"/>
        <v>открыт</v>
      </c>
      <c r="T231" s="2052" t="str">
        <f t="shared" si="101"/>
        <v>открыт</v>
      </c>
      <c r="U231" s="757">
        <f t="shared" si="125"/>
        <v>45</v>
      </c>
      <c r="V231" s="2254"/>
      <c r="W231" s="2254" t="s">
        <v>3032</v>
      </c>
      <c r="X231" s="912"/>
      <c r="Y231" s="212">
        <v>169</v>
      </c>
      <c r="Z231" s="228">
        <v>24</v>
      </c>
      <c r="AA231" s="212" t="s">
        <v>1802</v>
      </c>
      <c r="AB231" s="230">
        <f t="shared" si="102"/>
        <v>4</v>
      </c>
      <c r="AC231" s="229" t="str">
        <f t="shared" si="103"/>
        <v>+</v>
      </c>
      <c r="AD231" s="229">
        <f t="shared" si="104"/>
        <v>4</v>
      </c>
      <c r="AE231" s="229"/>
      <c r="AF231" s="228"/>
      <c r="AG231" s="212" t="str">
        <f t="shared" si="105"/>
        <v>4+4</v>
      </c>
      <c r="AH231" s="172">
        <f>'Зона НЭс'!L80</f>
        <v>0.78532608695652162</v>
      </c>
      <c r="AI231" s="172">
        <f t="shared" si="131"/>
        <v>2.6753260869565216</v>
      </c>
      <c r="AJ231" s="1973">
        <f t="shared" si="106"/>
        <v>0</v>
      </c>
      <c r="AK231" s="212">
        <f t="shared" si="107"/>
        <v>0</v>
      </c>
      <c r="AL231" s="172">
        <f t="shared" si="126"/>
        <v>2.6753260869565216</v>
      </c>
      <c r="AM231" s="1973">
        <f t="shared" si="108"/>
        <v>0</v>
      </c>
      <c r="AN231" s="880">
        <f t="shared" si="127"/>
        <v>4.2</v>
      </c>
      <c r="AO231" s="172">
        <f t="shared" si="128"/>
        <v>1.5246739130434785</v>
      </c>
      <c r="AP231" s="172">
        <f t="shared" si="130"/>
        <v>1.5246739130434785</v>
      </c>
      <c r="AQ231" s="757" t="str">
        <f t="shared" si="111"/>
        <v>открыт</v>
      </c>
      <c r="AR231" s="2052" t="str">
        <f t="shared" si="109"/>
        <v>открыт</v>
      </c>
      <c r="AS231" s="935">
        <f t="shared" si="129"/>
        <v>63.698240165631468</v>
      </c>
      <c r="AT231" s="937" t="s">
        <v>95</v>
      </c>
      <c r="AU231" s="1095">
        <v>1964</v>
      </c>
      <c r="AV231" s="1101" t="s">
        <v>3218</v>
      </c>
      <c r="AW231" s="1103">
        <v>56.2802978042156</v>
      </c>
      <c r="AX231" s="1103">
        <v>31.6780277611938</v>
      </c>
    </row>
    <row r="232" spans="1:50" ht="15" customHeight="1" x14ac:dyDescent="0.25">
      <c r="A232" s="2419">
        <v>170</v>
      </c>
      <c r="B232" s="2419">
        <v>25</v>
      </c>
      <c r="C232" s="212" t="s">
        <v>1803</v>
      </c>
      <c r="D232" s="230">
        <v>10</v>
      </c>
      <c r="E232" s="229" t="s">
        <v>773</v>
      </c>
      <c r="F232" s="229">
        <v>10</v>
      </c>
      <c r="G232" s="229"/>
      <c r="H232" s="228"/>
      <c r="I232" s="229" t="str">
        <f t="shared" si="100"/>
        <v>10+10</v>
      </c>
      <c r="J232" s="882">
        <v>7.9599999999999991</v>
      </c>
      <c r="K232" s="1423">
        <v>0.64</v>
      </c>
      <c r="L232" s="1422">
        <v>120</v>
      </c>
      <c r="M232" s="888">
        <f t="shared" si="122"/>
        <v>7.3199999999999994</v>
      </c>
      <c r="N232" s="172">
        <v>0</v>
      </c>
      <c r="O232" s="880"/>
      <c r="P232" s="880">
        <f t="shared" si="123"/>
        <v>10.5</v>
      </c>
      <c r="Q232" s="172">
        <f t="shared" si="124"/>
        <v>3.1800000000000006</v>
      </c>
      <c r="R232" s="2420">
        <f>MIN(Q232:Q234)</f>
        <v>3.1800000000000006</v>
      </c>
      <c r="S232" s="2400" t="str">
        <f t="shared" si="110"/>
        <v>открыт</v>
      </c>
      <c r="T232" s="2052" t="str">
        <f t="shared" si="101"/>
        <v>открыт</v>
      </c>
      <c r="U232" s="2398">
        <f t="shared" si="125"/>
        <v>75.809523809523796</v>
      </c>
      <c r="V232" s="2398">
        <v>0.6</v>
      </c>
      <c r="W232" s="2398" t="s">
        <v>3397</v>
      </c>
      <c r="X232" s="912"/>
      <c r="Y232" s="2419">
        <v>170</v>
      </c>
      <c r="Z232" s="2411">
        <v>25</v>
      </c>
      <c r="AA232" s="212" t="s">
        <v>1803</v>
      </c>
      <c r="AB232" s="230">
        <f t="shared" si="102"/>
        <v>10</v>
      </c>
      <c r="AC232" s="229" t="str">
        <f t="shared" si="103"/>
        <v>+</v>
      </c>
      <c r="AD232" s="229">
        <f t="shared" si="104"/>
        <v>10</v>
      </c>
      <c r="AE232" s="229"/>
      <c r="AF232" s="228"/>
      <c r="AG232" s="212" t="str">
        <f t="shared" si="105"/>
        <v>10+10</v>
      </c>
      <c r="AH232" s="172">
        <f>SUM(AH233:AH234)</f>
        <v>7.3369565217391297E-2</v>
      </c>
      <c r="AI232" s="172">
        <f t="shared" si="131"/>
        <v>8.0333695652173898</v>
      </c>
      <c r="AJ232" s="1973">
        <f t="shared" si="106"/>
        <v>0.64</v>
      </c>
      <c r="AK232" s="212">
        <f t="shared" si="107"/>
        <v>120</v>
      </c>
      <c r="AL232" s="172">
        <f t="shared" si="126"/>
        <v>7.3933695652173901</v>
      </c>
      <c r="AM232" s="1973">
        <f t="shared" si="108"/>
        <v>0</v>
      </c>
      <c r="AN232" s="880">
        <f t="shared" si="127"/>
        <v>10.5</v>
      </c>
      <c r="AO232" s="172">
        <f t="shared" si="128"/>
        <v>3.1066304347826099</v>
      </c>
      <c r="AP232" s="2405">
        <f>MIN(AO232:AO234)</f>
        <v>3.1066304347826099</v>
      </c>
      <c r="AQ232" s="2398" t="str">
        <f>AR232</f>
        <v>открыт</v>
      </c>
      <c r="AR232" s="2052" t="str">
        <f t="shared" si="109"/>
        <v>открыт</v>
      </c>
      <c r="AS232" s="2452">
        <f t="shared" si="129"/>
        <v>76.508281573498948</v>
      </c>
      <c r="AT232" s="937" t="s">
        <v>95</v>
      </c>
      <c r="AU232" s="1095">
        <v>1966</v>
      </c>
      <c r="AV232" s="1101" t="s">
        <v>3218</v>
      </c>
      <c r="AW232" s="1103">
        <v>56.664000059644898</v>
      </c>
      <c r="AX232" s="1103">
        <v>32.2818454985253</v>
      </c>
    </row>
    <row r="233" spans="1:50" ht="15" customHeight="1" x14ac:dyDescent="0.25">
      <c r="A233" s="2419"/>
      <c r="B233" s="2419"/>
      <c r="C233" s="7" t="s">
        <v>1768</v>
      </c>
      <c r="D233" s="230">
        <v>10</v>
      </c>
      <c r="E233" s="229" t="s">
        <v>773</v>
      </c>
      <c r="F233" s="229">
        <v>10</v>
      </c>
      <c r="G233" s="229"/>
      <c r="H233" s="228"/>
      <c r="I233" s="229" t="str">
        <f t="shared" si="100"/>
        <v>10+10</v>
      </c>
      <c r="J233" s="882">
        <v>3.03</v>
      </c>
      <c r="K233" s="1424">
        <v>0</v>
      </c>
      <c r="L233" s="7">
        <v>0</v>
      </c>
      <c r="M233" s="888">
        <f t="shared" si="122"/>
        <v>3.03</v>
      </c>
      <c r="N233" s="172">
        <v>0</v>
      </c>
      <c r="O233" s="880"/>
      <c r="P233" s="880">
        <f t="shared" si="123"/>
        <v>10.5</v>
      </c>
      <c r="Q233" s="172">
        <f t="shared" si="124"/>
        <v>7.4700000000000006</v>
      </c>
      <c r="R233" s="2420"/>
      <c r="S233" s="2401"/>
      <c r="T233" s="2052" t="str">
        <f t="shared" si="101"/>
        <v>открыт</v>
      </c>
      <c r="U233" s="2399"/>
      <c r="V233" s="2399"/>
      <c r="W233" s="2399"/>
      <c r="X233" s="912"/>
      <c r="Y233" s="2419"/>
      <c r="Z233" s="2411"/>
      <c r="AA233" s="7" t="s">
        <v>1768</v>
      </c>
      <c r="AB233" s="230">
        <f t="shared" si="102"/>
        <v>10</v>
      </c>
      <c r="AC233" s="229" t="str">
        <f t="shared" si="103"/>
        <v>+</v>
      </c>
      <c r="AD233" s="229">
        <f t="shared" si="104"/>
        <v>10</v>
      </c>
      <c r="AE233" s="229"/>
      <c r="AF233" s="228"/>
      <c r="AG233" s="212" t="str">
        <f t="shared" si="105"/>
        <v>10+10</v>
      </c>
      <c r="AH233" s="172">
        <f>SUM(AH220+AH223)+SUM(AH398+AH399+AH397)</f>
        <v>7.3369565217391297E-2</v>
      </c>
      <c r="AI233" s="172">
        <f t="shared" si="131"/>
        <v>3.1033695652173909</v>
      </c>
      <c r="AJ233" s="1973">
        <f t="shared" si="106"/>
        <v>0</v>
      </c>
      <c r="AK233" s="212">
        <f t="shared" si="107"/>
        <v>0</v>
      </c>
      <c r="AL233" s="172">
        <f t="shared" si="126"/>
        <v>3.1033695652173909</v>
      </c>
      <c r="AM233" s="1973">
        <f t="shared" si="108"/>
        <v>0</v>
      </c>
      <c r="AN233" s="880">
        <f t="shared" si="127"/>
        <v>10.5</v>
      </c>
      <c r="AO233" s="172">
        <f t="shared" si="128"/>
        <v>7.3966304347826091</v>
      </c>
      <c r="AP233" s="2406"/>
      <c r="AQ233" s="2399"/>
      <c r="AR233" s="2052" t="str">
        <f t="shared" si="109"/>
        <v>открыт</v>
      </c>
      <c r="AS233" s="2453"/>
      <c r="AT233" s="937" t="s">
        <v>95</v>
      </c>
      <c r="AU233" s="1095">
        <v>1966</v>
      </c>
      <c r="AV233" s="1101" t="s">
        <v>3218</v>
      </c>
      <c r="AW233" s="1103">
        <v>56.664000059644898</v>
      </c>
      <c r="AX233" s="1103">
        <v>32.2818454985253</v>
      </c>
    </row>
    <row r="234" spans="1:50" ht="15" customHeight="1" x14ac:dyDescent="0.25">
      <c r="A234" s="2419"/>
      <c r="B234" s="2419"/>
      <c r="C234" s="7" t="s">
        <v>1767</v>
      </c>
      <c r="D234" s="230">
        <v>10</v>
      </c>
      <c r="E234" s="229" t="s">
        <v>773</v>
      </c>
      <c r="F234" s="229">
        <v>10</v>
      </c>
      <c r="G234" s="229"/>
      <c r="H234" s="228"/>
      <c r="I234" s="229" t="str">
        <f t="shared" si="100"/>
        <v>10+10</v>
      </c>
      <c r="J234" s="882">
        <v>4.93</v>
      </c>
      <c r="K234" s="1424">
        <v>0.64</v>
      </c>
      <c r="L234" s="1422">
        <v>120</v>
      </c>
      <c r="M234" s="888">
        <f t="shared" si="122"/>
        <v>4.29</v>
      </c>
      <c r="N234" s="172">
        <v>0</v>
      </c>
      <c r="O234" s="880"/>
      <c r="P234" s="880">
        <f t="shared" si="123"/>
        <v>10.5</v>
      </c>
      <c r="Q234" s="172">
        <f t="shared" si="124"/>
        <v>6.21</v>
      </c>
      <c r="R234" s="2420"/>
      <c r="S234" s="2402"/>
      <c r="T234" s="2052" t="str">
        <f t="shared" si="101"/>
        <v>открыт</v>
      </c>
      <c r="U234" s="2399"/>
      <c r="V234" s="2399"/>
      <c r="W234" s="2399"/>
      <c r="X234" s="912"/>
      <c r="Y234" s="2419"/>
      <c r="Z234" s="2411"/>
      <c r="AA234" s="7" t="s">
        <v>1767</v>
      </c>
      <c r="AB234" s="230">
        <f t="shared" si="102"/>
        <v>10</v>
      </c>
      <c r="AC234" s="229" t="str">
        <f t="shared" si="103"/>
        <v>+</v>
      </c>
      <c r="AD234" s="229">
        <f t="shared" si="104"/>
        <v>10</v>
      </c>
      <c r="AE234" s="229"/>
      <c r="AF234" s="228"/>
      <c r="AG234" s="212" t="str">
        <f t="shared" si="105"/>
        <v>10+10</v>
      </c>
      <c r="AH234" s="172">
        <f>'Зона НЭс'!L90</f>
        <v>0</v>
      </c>
      <c r="AI234" s="172">
        <f t="shared" si="131"/>
        <v>4.93</v>
      </c>
      <c r="AJ234" s="1973">
        <f t="shared" si="106"/>
        <v>0.64</v>
      </c>
      <c r="AK234" s="212">
        <f t="shared" si="107"/>
        <v>120</v>
      </c>
      <c r="AL234" s="172">
        <f t="shared" si="126"/>
        <v>4.29</v>
      </c>
      <c r="AM234" s="1973">
        <f t="shared" si="108"/>
        <v>0</v>
      </c>
      <c r="AN234" s="880">
        <f t="shared" si="127"/>
        <v>10.5</v>
      </c>
      <c r="AO234" s="172">
        <f t="shared" si="128"/>
        <v>6.21</v>
      </c>
      <c r="AP234" s="2407"/>
      <c r="AQ234" s="2399"/>
      <c r="AR234" s="2052" t="str">
        <f t="shared" si="109"/>
        <v>открыт</v>
      </c>
      <c r="AS234" s="2454"/>
      <c r="AT234" s="937" t="s">
        <v>95</v>
      </c>
      <c r="AU234" s="1095">
        <v>1966</v>
      </c>
      <c r="AV234" s="1101" t="s">
        <v>3218</v>
      </c>
      <c r="AW234" s="1103">
        <v>56.664000059644898</v>
      </c>
      <c r="AX234" s="1103">
        <v>32.2818454985253</v>
      </c>
    </row>
    <row r="235" spans="1:50" ht="15" customHeight="1" x14ac:dyDescent="0.25">
      <c r="A235" s="2419">
        <v>171</v>
      </c>
      <c r="B235" s="2419">
        <v>26</v>
      </c>
      <c r="C235" s="212" t="s">
        <v>1804</v>
      </c>
      <c r="D235" s="230">
        <v>16</v>
      </c>
      <c r="E235" s="229" t="s">
        <v>773</v>
      </c>
      <c r="F235" s="229">
        <v>10</v>
      </c>
      <c r="G235" s="229"/>
      <c r="H235" s="228"/>
      <c r="I235" s="229" t="str">
        <f t="shared" si="100"/>
        <v>16+10</v>
      </c>
      <c r="J235" s="882">
        <v>5.71</v>
      </c>
      <c r="K235" s="1423">
        <v>1.4</v>
      </c>
      <c r="L235" s="1422">
        <v>120</v>
      </c>
      <c r="M235" s="888">
        <f t="shared" si="122"/>
        <v>4.3100000000000005</v>
      </c>
      <c r="N235" s="172">
        <v>0</v>
      </c>
      <c r="O235" s="880"/>
      <c r="P235" s="880">
        <f t="shared" si="123"/>
        <v>10.5</v>
      </c>
      <c r="Q235" s="172">
        <f t="shared" si="124"/>
        <v>6.1899999999999995</v>
      </c>
      <c r="R235" s="2420">
        <f>MIN(Q235:Q237)</f>
        <v>6.1899999999999995</v>
      </c>
      <c r="S235" s="2400" t="str">
        <f t="shared" si="110"/>
        <v>открыт</v>
      </c>
      <c r="T235" s="2052" t="str">
        <f t="shared" si="101"/>
        <v>открыт</v>
      </c>
      <c r="U235" s="2398">
        <f>(J235*100)/P235</f>
        <v>54.38095238095238</v>
      </c>
      <c r="V235" s="2398">
        <v>0.5</v>
      </c>
      <c r="W235" s="2398" t="s">
        <v>3397</v>
      </c>
      <c r="X235" s="912"/>
      <c r="Y235" s="2419">
        <v>171</v>
      </c>
      <c r="Z235" s="2411">
        <v>26</v>
      </c>
      <c r="AA235" s="212" t="s">
        <v>1804</v>
      </c>
      <c r="AB235" s="230">
        <f t="shared" si="102"/>
        <v>16</v>
      </c>
      <c r="AC235" s="229" t="str">
        <f t="shared" si="103"/>
        <v>+</v>
      </c>
      <c r="AD235" s="229">
        <f t="shared" si="104"/>
        <v>10</v>
      </c>
      <c r="AE235" s="229"/>
      <c r="AF235" s="228"/>
      <c r="AG235" s="212" t="str">
        <f t="shared" si="105"/>
        <v>16+10</v>
      </c>
      <c r="AH235" s="172">
        <f>SUM(AH236:AH237)</f>
        <v>0.15669565217391304</v>
      </c>
      <c r="AI235" s="172">
        <f t="shared" si="131"/>
        <v>5.8666956521739131</v>
      </c>
      <c r="AJ235" s="1973">
        <f t="shared" si="106"/>
        <v>1.4</v>
      </c>
      <c r="AK235" s="212">
        <f t="shared" si="107"/>
        <v>120</v>
      </c>
      <c r="AL235" s="172">
        <f t="shared" si="126"/>
        <v>4.4666956521739127</v>
      </c>
      <c r="AM235" s="1973">
        <f t="shared" si="108"/>
        <v>0</v>
      </c>
      <c r="AN235" s="880">
        <f t="shared" si="127"/>
        <v>10.5</v>
      </c>
      <c r="AO235" s="172">
        <f t="shared" si="128"/>
        <v>6.0333043478260873</v>
      </c>
      <c r="AP235" s="2405">
        <f>MIN(AO235:AO237)</f>
        <v>6.0333043478260873</v>
      </c>
      <c r="AQ235" s="2398" t="str">
        <f t="shared" si="111"/>
        <v>открыт</v>
      </c>
      <c r="AR235" s="2052" t="str">
        <f t="shared" si="109"/>
        <v>открыт</v>
      </c>
      <c r="AS235" s="2452">
        <f>(AI235*100)/AN235</f>
        <v>55.873291925465843</v>
      </c>
      <c r="AT235" s="937" t="s">
        <v>95</v>
      </c>
      <c r="AU235" s="1095">
        <v>1990</v>
      </c>
      <c r="AV235" s="1101" t="s">
        <v>3218</v>
      </c>
      <c r="AW235" s="1103">
        <v>55.866963548747997</v>
      </c>
      <c r="AX235" s="1103">
        <v>32.951118740095502</v>
      </c>
    </row>
    <row r="236" spans="1:50" ht="15" customHeight="1" x14ac:dyDescent="0.25">
      <c r="A236" s="2419"/>
      <c r="B236" s="2419"/>
      <c r="C236" s="7" t="s">
        <v>1768</v>
      </c>
      <c r="D236" s="230">
        <v>16</v>
      </c>
      <c r="E236" s="229" t="s">
        <v>773</v>
      </c>
      <c r="F236" s="229">
        <v>10</v>
      </c>
      <c r="G236" s="229"/>
      <c r="H236" s="228"/>
      <c r="I236" s="229" t="str">
        <f t="shared" si="100"/>
        <v>16+10</v>
      </c>
      <c r="J236" s="882">
        <v>2.29</v>
      </c>
      <c r="K236" s="1424">
        <v>0</v>
      </c>
      <c r="L236" s="7">
        <v>0</v>
      </c>
      <c r="M236" s="888">
        <f t="shared" si="122"/>
        <v>2.29</v>
      </c>
      <c r="N236" s="172">
        <v>0</v>
      </c>
      <c r="O236" s="880"/>
      <c r="P236" s="880">
        <f t="shared" si="123"/>
        <v>10.5</v>
      </c>
      <c r="Q236" s="172">
        <f t="shared" si="124"/>
        <v>8.2100000000000009</v>
      </c>
      <c r="R236" s="2420"/>
      <c r="S236" s="2401"/>
      <c r="T236" s="2052" t="str">
        <f t="shared" si="101"/>
        <v>открыт</v>
      </c>
      <c r="U236" s="2399"/>
      <c r="V236" s="2399"/>
      <c r="W236" s="2399" t="s">
        <v>3397</v>
      </c>
      <c r="X236" s="912"/>
      <c r="Y236" s="2419"/>
      <c r="Z236" s="2411"/>
      <c r="AA236" s="7" t="s">
        <v>1768</v>
      </c>
      <c r="AB236" s="230">
        <f t="shared" si="102"/>
        <v>16</v>
      </c>
      <c r="AC236" s="229" t="str">
        <f t="shared" si="103"/>
        <v>+</v>
      </c>
      <c r="AD236" s="229">
        <f t="shared" si="104"/>
        <v>10</v>
      </c>
      <c r="AE236" s="229"/>
      <c r="AF236" s="228"/>
      <c r="AG236" s="212" t="str">
        <f t="shared" si="105"/>
        <v>16+10</v>
      </c>
      <c r="AH236" s="172">
        <f>SUM(AH211+AH224)</f>
        <v>0.1108695652173913</v>
      </c>
      <c r="AI236" s="172">
        <f t="shared" si="131"/>
        <v>2.4008695652173913</v>
      </c>
      <c r="AJ236" s="1973">
        <f t="shared" si="106"/>
        <v>0</v>
      </c>
      <c r="AK236" s="212">
        <f t="shared" si="107"/>
        <v>0</v>
      </c>
      <c r="AL236" s="172">
        <f t="shared" si="126"/>
        <v>2.4008695652173913</v>
      </c>
      <c r="AM236" s="1973">
        <f t="shared" si="108"/>
        <v>0</v>
      </c>
      <c r="AN236" s="880">
        <f t="shared" si="127"/>
        <v>10.5</v>
      </c>
      <c r="AO236" s="172">
        <f t="shared" si="128"/>
        <v>8.0991304347826087</v>
      </c>
      <c r="AP236" s="2406"/>
      <c r="AQ236" s="2399" t="str">
        <f t="shared" si="111"/>
        <v>открыт</v>
      </c>
      <c r="AR236" s="2052" t="str">
        <f t="shared" si="109"/>
        <v>открыт</v>
      </c>
      <c r="AS236" s="2453"/>
      <c r="AT236" s="937" t="s">
        <v>95</v>
      </c>
      <c r="AU236" s="1095">
        <v>1990</v>
      </c>
      <c r="AV236" s="1101" t="s">
        <v>3218</v>
      </c>
      <c r="AW236" s="1103">
        <v>55.866963548747997</v>
      </c>
      <c r="AX236" s="1103">
        <v>32.951118740095502</v>
      </c>
    </row>
    <row r="237" spans="1:50" ht="15" customHeight="1" x14ac:dyDescent="0.25">
      <c r="A237" s="2419"/>
      <c r="B237" s="2419"/>
      <c r="C237" s="7" t="s">
        <v>1767</v>
      </c>
      <c r="D237" s="230">
        <v>16</v>
      </c>
      <c r="E237" s="229" t="s">
        <v>773</v>
      </c>
      <c r="F237" s="229">
        <v>10</v>
      </c>
      <c r="G237" s="229"/>
      <c r="H237" s="228"/>
      <c r="I237" s="229" t="str">
        <f t="shared" si="100"/>
        <v>16+10</v>
      </c>
      <c r="J237" s="882">
        <v>3.42</v>
      </c>
      <c r="K237" s="1424">
        <v>1.4</v>
      </c>
      <c r="L237" s="1422">
        <v>120</v>
      </c>
      <c r="M237" s="888">
        <f t="shared" si="122"/>
        <v>2.02</v>
      </c>
      <c r="N237" s="172">
        <v>0</v>
      </c>
      <c r="O237" s="880"/>
      <c r="P237" s="880">
        <f t="shared" si="123"/>
        <v>10.5</v>
      </c>
      <c r="Q237" s="172">
        <f t="shared" si="124"/>
        <v>8.48</v>
      </c>
      <c r="R237" s="2420"/>
      <c r="S237" s="2402"/>
      <c r="T237" s="2052" t="str">
        <f t="shared" si="101"/>
        <v>открыт</v>
      </c>
      <c r="U237" s="2399"/>
      <c r="V237" s="2399"/>
      <c r="W237" s="2399"/>
      <c r="X237" s="912"/>
      <c r="Y237" s="2419"/>
      <c r="Z237" s="2411"/>
      <c r="AA237" s="7" t="s">
        <v>1767</v>
      </c>
      <c r="AB237" s="230">
        <f t="shared" si="102"/>
        <v>16</v>
      </c>
      <c r="AC237" s="229" t="str">
        <f t="shared" si="103"/>
        <v>+</v>
      </c>
      <c r="AD237" s="229">
        <f t="shared" si="104"/>
        <v>10</v>
      </c>
      <c r="AE237" s="229"/>
      <c r="AF237" s="228"/>
      <c r="AG237" s="212" t="str">
        <f t="shared" si="105"/>
        <v>16+10</v>
      </c>
      <c r="AH237" s="172">
        <f>'Зона НЭс'!L102</f>
        <v>4.5826086956521739E-2</v>
      </c>
      <c r="AI237" s="172">
        <f t="shared" si="131"/>
        <v>3.4658260869565218</v>
      </c>
      <c r="AJ237" s="1973">
        <f t="shared" si="106"/>
        <v>1.4</v>
      </c>
      <c r="AK237" s="212">
        <f t="shared" si="107"/>
        <v>120</v>
      </c>
      <c r="AL237" s="172">
        <f t="shared" si="126"/>
        <v>2.0658260869565219</v>
      </c>
      <c r="AM237" s="1973">
        <f t="shared" si="108"/>
        <v>0</v>
      </c>
      <c r="AN237" s="880">
        <f t="shared" si="127"/>
        <v>10.5</v>
      </c>
      <c r="AO237" s="172">
        <f t="shared" si="128"/>
        <v>8.4341739130434785</v>
      </c>
      <c r="AP237" s="2407"/>
      <c r="AQ237" s="2399" t="str">
        <f t="shared" si="111"/>
        <v>открыт</v>
      </c>
      <c r="AR237" s="2052" t="str">
        <f t="shared" si="109"/>
        <v>открыт</v>
      </c>
      <c r="AS237" s="2454"/>
      <c r="AT237" s="937" t="s">
        <v>95</v>
      </c>
      <c r="AU237" s="1095">
        <v>1990</v>
      </c>
      <c r="AV237" s="1101" t="s">
        <v>3218</v>
      </c>
      <c r="AW237" s="1103">
        <v>55.866963548747997</v>
      </c>
      <c r="AX237" s="1103">
        <v>32.951118740095502</v>
      </c>
    </row>
    <row r="238" spans="1:50" ht="15" customHeight="1" x14ac:dyDescent="0.25">
      <c r="A238" s="2419">
        <v>172</v>
      </c>
      <c r="B238" s="2419">
        <v>27</v>
      </c>
      <c r="C238" s="212" t="s">
        <v>1805</v>
      </c>
      <c r="D238" s="230">
        <v>10</v>
      </c>
      <c r="E238" s="229" t="s">
        <v>773</v>
      </c>
      <c r="F238" s="229">
        <v>10</v>
      </c>
      <c r="G238" s="229"/>
      <c r="H238" s="228"/>
      <c r="I238" s="229" t="str">
        <f t="shared" si="100"/>
        <v>10+10</v>
      </c>
      <c r="J238" s="882">
        <v>8.629999999999999</v>
      </c>
      <c r="K238" s="1423">
        <v>1.23</v>
      </c>
      <c r="L238" s="1422">
        <v>120</v>
      </c>
      <c r="M238" s="888">
        <f t="shared" si="122"/>
        <v>7.3999999999999986</v>
      </c>
      <c r="N238" s="172">
        <v>0</v>
      </c>
      <c r="O238" s="880"/>
      <c r="P238" s="880">
        <f t="shared" si="123"/>
        <v>10.5</v>
      </c>
      <c r="Q238" s="172">
        <f t="shared" si="124"/>
        <v>3.1000000000000014</v>
      </c>
      <c r="R238" s="2420">
        <f>MIN(Q238:Q240)</f>
        <v>3.1000000000000014</v>
      </c>
      <c r="S238" s="2400" t="str">
        <f t="shared" si="110"/>
        <v>открыт</v>
      </c>
      <c r="T238" s="2052" t="str">
        <f t="shared" si="101"/>
        <v>открыт</v>
      </c>
      <c r="U238" s="2398">
        <f>(J238*100)/P238</f>
        <v>82.190476190476176</v>
      </c>
      <c r="V238" s="2398">
        <v>0.5</v>
      </c>
      <c r="W238" s="2398" t="s">
        <v>3397</v>
      </c>
      <c r="X238" s="912"/>
      <c r="Y238" s="2419">
        <v>172</v>
      </c>
      <c r="Z238" s="2411">
        <v>27</v>
      </c>
      <c r="AA238" s="212" t="s">
        <v>1805</v>
      </c>
      <c r="AB238" s="230">
        <f t="shared" si="102"/>
        <v>10</v>
      </c>
      <c r="AC238" s="229" t="str">
        <f t="shared" si="103"/>
        <v>+</v>
      </c>
      <c r="AD238" s="229">
        <f t="shared" si="104"/>
        <v>10</v>
      </c>
      <c r="AE238" s="229"/>
      <c r="AF238" s="228"/>
      <c r="AG238" s="212" t="str">
        <f t="shared" si="105"/>
        <v>10+10</v>
      </c>
      <c r="AH238" s="172">
        <f>SUM(AH239:AH240)</f>
        <v>0.78532608695652162</v>
      </c>
      <c r="AI238" s="172">
        <f t="shared" si="131"/>
        <v>9.4153260869565205</v>
      </c>
      <c r="AJ238" s="1973">
        <f t="shared" si="106"/>
        <v>1.23</v>
      </c>
      <c r="AK238" s="212">
        <f t="shared" si="107"/>
        <v>120</v>
      </c>
      <c r="AL238" s="172">
        <f t="shared" si="126"/>
        <v>8.1853260869565201</v>
      </c>
      <c r="AM238" s="1973">
        <f t="shared" si="108"/>
        <v>0</v>
      </c>
      <c r="AN238" s="880">
        <f t="shared" si="127"/>
        <v>10.5</v>
      </c>
      <c r="AO238" s="172">
        <f t="shared" si="128"/>
        <v>2.3146739130434799</v>
      </c>
      <c r="AP238" s="2405">
        <f>MIN(AO238:AO240)</f>
        <v>2.3146739130434799</v>
      </c>
      <c r="AQ238" s="2398" t="str">
        <f t="shared" si="111"/>
        <v>открыт</v>
      </c>
      <c r="AR238" s="2052" t="str">
        <f t="shared" si="109"/>
        <v>открыт</v>
      </c>
      <c r="AS238" s="2452">
        <f>(AI238*100)/AN238</f>
        <v>89.669772256728763</v>
      </c>
      <c r="AT238" s="937" t="s">
        <v>95</v>
      </c>
      <c r="AU238" s="1095">
        <v>1962</v>
      </c>
      <c r="AV238" s="1101" t="s">
        <v>3218</v>
      </c>
      <c r="AW238" s="1103">
        <v>56.251399351168097</v>
      </c>
      <c r="AX238" s="1103">
        <v>32.0903693373739</v>
      </c>
    </row>
    <row r="239" spans="1:50" ht="15" customHeight="1" x14ac:dyDescent="0.25">
      <c r="A239" s="2419"/>
      <c r="B239" s="2419"/>
      <c r="C239" s="7" t="s">
        <v>1768</v>
      </c>
      <c r="D239" s="230">
        <v>10</v>
      </c>
      <c r="E239" s="229" t="s">
        <v>773</v>
      </c>
      <c r="F239" s="229">
        <v>10</v>
      </c>
      <c r="G239" s="229"/>
      <c r="H239" s="228"/>
      <c r="I239" s="229" t="str">
        <f t="shared" si="100"/>
        <v>10+10</v>
      </c>
      <c r="J239" s="882">
        <v>2.04</v>
      </c>
      <c r="K239" s="1424">
        <v>0.5</v>
      </c>
      <c r="L239" s="7">
        <v>120</v>
      </c>
      <c r="M239" s="888">
        <f t="shared" si="122"/>
        <v>1.54</v>
      </c>
      <c r="N239" s="172">
        <v>0</v>
      </c>
      <c r="O239" s="880"/>
      <c r="P239" s="880">
        <f t="shared" si="123"/>
        <v>10.5</v>
      </c>
      <c r="Q239" s="172">
        <f t="shared" si="124"/>
        <v>8.9600000000000009</v>
      </c>
      <c r="R239" s="2420"/>
      <c r="S239" s="2401"/>
      <c r="T239" s="2052" t="str">
        <f t="shared" si="101"/>
        <v>открыт</v>
      </c>
      <c r="U239" s="2399"/>
      <c r="V239" s="2399"/>
      <c r="W239" s="2399" t="s">
        <v>3397</v>
      </c>
      <c r="X239" s="912"/>
      <c r="Y239" s="2419"/>
      <c r="Z239" s="2411"/>
      <c r="AA239" s="7" t="s">
        <v>1768</v>
      </c>
      <c r="AB239" s="230">
        <f t="shared" si="102"/>
        <v>10</v>
      </c>
      <c r="AC239" s="229" t="str">
        <f t="shared" si="103"/>
        <v>+</v>
      </c>
      <c r="AD239" s="229">
        <f t="shared" si="104"/>
        <v>10</v>
      </c>
      <c r="AE239" s="229"/>
      <c r="AF239" s="228"/>
      <c r="AG239" s="212" t="str">
        <f t="shared" si="105"/>
        <v>10+10</v>
      </c>
      <c r="AH239" s="172">
        <f>SUM(AH231+AH221+AH214+AH210+AH212+AH228)</f>
        <v>0.78532608695652162</v>
      </c>
      <c r="AI239" s="172">
        <f t="shared" si="131"/>
        <v>2.8253260869565215</v>
      </c>
      <c r="AJ239" s="1973">
        <f t="shared" si="106"/>
        <v>0.5</v>
      </c>
      <c r="AK239" s="212">
        <f t="shared" si="107"/>
        <v>120</v>
      </c>
      <c r="AL239" s="172">
        <f t="shared" si="126"/>
        <v>2.3253260869565215</v>
      </c>
      <c r="AM239" s="1973">
        <f t="shared" si="108"/>
        <v>0</v>
      </c>
      <c r="AN239" s="880">
        <f t="shared" si="127"/>
        <v>10.5</v>
      </c>
      <c r="AO239" s="172">
        <f t="shared" si="128"/>
        <v>8.1746739130434776</v>
      </c>
      <c r="AP239" s="2406"/>
      <c r="AQ239" s="2399" t="str">
        <f t="shared" si="111"/>
        <v>открыт</v>
      </c>
      <c r="AR239" s="2052" t="str">
        <f t="shared" si="109"/>
        <v>открыт</v>
      </c>
      <c r="AS239" s="2453"/>
      <c r="AT239" s="937" t="s">
        <v>95</v>
      </c>
      <c r="AU239" s="1095">
        <v>1962</v>
      </c>
      <c r="AV239" s="1101" t="s">
        <v>3218</v>
      </c>
      <c r="AW239" s="1103">
        <v>56.251399351168097</v>
      </c>
      <c r="AX239" s="1103">
        <v>32.0903693373739</v>
      </c>
    </row>
    <row r="240" spans="1:50" ht="15" customHeight="1" x14ac:dyDescent="0.25">
      <c r="A240" s="2419"/>
      <c r="B240" s="2419"/>
      <c r="C240" s="7" t="s">
        <v>1767</v>
      </c>
      <c r="D240" s="230">
        <v>10</v>
      </c>
      <c r="E240" s="229" t="s">
        <v>773</v>
      </c>
      <c r="F240" s="229">
        <v>10</v>
      </c>
      <c r="G240" s="229"/>
      <c r="H240" s="228"/>
      <c r="I240" s="229" t="str">
        <f t="shared" si="100"/>
        <v>10+10</v>
      </c>
      <c r="J240" s="882">
        <v>6.59</v>
      </c>
      <c r="K240" s="1424">
        <v>0.73</v>
      </c>
      <c r="L240" s="1422">
        <v>0</v>
      </c>
      <c r="M240" s="888">
        <f t="shared" si="122"/>
        <v>5.8599999999999994</v>
      </c>
      <c r="N240" s="172">
        <v>0</v>
      </c>
      <c r="O240" s="880"/>
      <c r="P240" s="880">
        <f t="shared" si="123"/>
        <v>10.5</v>
      </c>
      <c r="Q240" s="172">
        <f t="shared" si="124"/>
        <v>4.6400000000000006</v>
      </c>
      <c r="R240" s="2420"/>
      <c r="S240" s="2402"/>
      <c r="T240" s="2052" t="str">
        <f t="shared" si="101"/>
        <v>открыт</v>
      </c>
      <c r="U240" s="2399"/>
      <c r="V240" s="2399"/>
      <c r="W240" s="2399"/>
      <c r="X240" s="912"/>
      <c r="Y240" s="2419"/>
      <c r="Z240" s="2411"/>
      <c r="AA240" s="7" t="s">
        <v>1767</v>
      </c>
      <c r="AB240" s="230">
        <f t="shared" si="102"/>
        <v>10</v>
      </c>
      <c r="AC240" s="229" t="str">
        <f t="shared" si="103"/>
        <v>+</v>
      </c>
      <c r="AD240" s="229">
        <f t="shared" si="104"/>
        <v>10</v>
      </c>
      <c r="AE240" s="229"/>
      <c r="AF240" s="228"/>
      <c r="AG240" s="212" t="str">
        <f t="shared" si="105"/>
        <v>10+10</v>
      </c>
      <c r="AH240" s="172">
        <f>'Зона НЭс'!L114</f>
        <v>0</v>
      </c>
      <c r="AI240" s="172">
        <f t="shared" si="131"/>
        <v>6.59</v>
      </c>
      <c r="AJ240" s="1973">
        <f t="shared" si="106"/>
        <v>0.73</v>
      </c>
      <c r="AK240" s="212">
        <f t="shared" si="107"/>
        <v>0</v>
      </c>
      <c r="AL240" s="172">
        <f t="shared" si="126"/>
        <v>5.8599999999999994</v>
      </c>
      <c r="AM240" s="1973">
        <f t="shared" si="108"/>
        <v>0</v>
      </c>
      <c r="AN240" s="880">
        <f t="shared" si="127"/>
        <v>10.5</v>
      </c>
      <c r="AO240" s="172">
        <f t="shared" si="128"/>
        <v>4.6400000000000006</v>
      </c>
      <c r="AP240" s="2407"/>
      <c r="AQ240" s="2399" t="str">
        <f t="shared" si="111"/>
        <v>открыт</v>
      </c>
      <c r="AR240" s="2052" t="str">
        <f t="shared" si="109"/>
        <v>открыт</v>
      </c>
      <c r="AS240" s="2454"/>
      <c r="AT240" s="937" t="s">
        <v>95</v>
      </c>
      <c r="AU240" s="1095">
        <v>1962</v>
      </c>
      <c r="AV240" s="1101" t="s">
        <v>3218</v>
      </c>
      <c r="AW240" s="1103">
        <v>56.251399351168097</v>
      </c>
      <c r="AX240" s="1103">
        <v>32.0903693373739</v>
      </c>
    </row>
    <row r="241" spans="1:50" ht="15" customHeight="1" x14ac:dyDescent="0.25">
      <c r="A241" s="2419">
        <v>173</v>
      </c>
      <c r="B241" s="2419">
        <v>28</v>
      </c>
      <c r="C241" s="212" t="s">
        <v>1806</v>
      </c>
      <c r="D241" s="230">
        <v>25</v>
      </c>
      <c r="E241" s="229" t="s">
        <v>773</v>
      </c>
      <c r="F241" s="229">
        <v>25</v>
      </c>
      <c r="G241" s="229"/>
      <c r="H241" s="228"/>
      <c r="I241" s="229" t="str">
        <f t="shared" si="100"/>
        <v>25+25</v>
      </c>
      <c r="J241" s="882">
        <v>16.47</v>
      </c>
      <c r="K241" s="1423">
        <v>1.34</v>
      </c>
      <c r="L241" s="1422">
        <v>120</v>
      </c>
      <c r="M241" s="888">
        <f t="shared" si="122"/>
        <v>15.129999999999999</v>
      </c>
      <c r="N241" s="172">
        <v>0</v>
      </c>
      <c r="O241" s="880"/>
      <c r="P241" s="880">
        <f t="shared" si="123"/>
        <v>26.25</v>
      </c>
      <c r="Q241" s="172">
        <f t="shared" si="124"/>
        <v>11.120000000000001</v>
      </c>
      <c r="R241" s="2405">
        <f>MIN(Q241:Q243)</f>
        <v>11.120000000000001</v>
      </c>
      <c r="S241" s="2398" t="str">
        <f>T241</f>
        <v>открыт</v>
      </c>
      <c r="T241" s="2052" t="str">
        <f t="shared" si="101"/>
        <v>открыт</v>
      </c>
      <c r="U241" s="2398">
        <f>(J241*100)/P241</f>
        <v>62.74285714285714</v>
      </c>
      <c r="V241" s="2398">
        <v>0.4</v>
      </c>
      <c r="W241" s="2398" t="s">
        <v>3397</v>
      </c>
      <c r="X241" s="912"/>
      <c r="Y241" s="2419">
        <v>173</v>
      </c>
      <c r="Z241" s="2411">
        <v>28</v>
      </c>
      <c r="AA241" s="212" t="s">
        <v>1806</v>
      </c>
      <c r="AB241" s="230">
        <f t="shared" si="102"/>
        <v>25</v>
      </c>
      <c r="AC241" s="229" t="str">
        <f t="shared" si="103"/>
        <v>+</v>
      </c>
      <c r="AD241" s="229">
        <f t="shared" si="104"/>
        <v>25</v>
      </c>
      <c r="AE241" s="229"/>
      <c r="AF241" s="228"/>
      <c r="AG241" s="212" t="str">
        <f t="shared" si="105"/>
        <v>25+25</v>
      </c>
      <c r="AH241" s="172">
        <f>SUM(AH242:AH243)</f>
        <v>0.69978260869565212</v>
      </c>
      <c r="AI241" s="172">
        <f t="shared" si="131"/>
        <v>17.169782608695652</v>
      </c>
      <c r="AJ241" s="1973">
        <f t="shared" si="106"/>
        <v>1.34</v>
      </c>
      <c r="AK241" s="212">
        <f t="shared" si="107"/>
        <v>120</v>
      </c>
      <c r="AL241" s="172">
        <f t="shared" si="126"/>
        <v>15.829782608695652</v>
      </c>
      <c r="AM241" s="1973">
        <f t="shared" si="108"/>
        <v>0</v>
      </c>
      <c r="AN241" s="880">
        <f t="shared" si="127"/>
        <v>26.25</v>
      </c>
      <c r="AO241" s="172">
        <f t="shared" si="128"/>
        <v>10.420217391304348</v>
      </c>
      <c r="AP241" s="2405">
        <f>MIN(AO241:AO243)</f>
        <v>10.420217391304348</v>
      </c>
      <c r="AQ241" s="2398" t="str">
        <f>AR241</f>
        <v>открыт</v>
      </c>
      <c r="AR241" s="2052" t="str">
        <f t="shared" si="109"/>
        <v>открыт</v>
      </c>
      <c r="AS241" s="2452">
        <f>(AI241*100)/AN241</f>
        <v>65.408695652173918</v>
      </c>
      <c r="AT241" s="937" t="s">
        <v>95</v>
      </c>
      <c r="AU241" s="1095">
        <v>1989</v>
      </c>
      <c r="AV241" s="213">
        <v>2011</v>
      </c>
      <c r="AW241" s="1103">
        <v>56.493515565355203</v>
      </c>
      <c r="AX241" s="1103">
        <v>31.640055859206502</v>
      </c>
    </row>
    <row r="242" spans="1:50" ht="15" customHeight="1" x14ac:dyDescent="0.25">
      <c r="A242" s="2419"/>
      <c r="B242" s="2419"/>
      <c r="C242" s="7" t="s">
        <v>1768</v>
      </c>
      <c r="D242" s="230">
        <v>25</v>
      </c>
      <c r="E242" s="229" t="s">
        <v>773</v>
      </c>
      <c r="F242" s="229">
        <v>25</v>
      </c>
      <c r="G242" s="229"/>
      <c r="H242" s="228"/>
      <c r="I242" s="229" t="str">
        <f t="shared" si="100"/>
        <v>25+25</v>
      </c>
      <c r="J242" s="882">
        <v>4.2</v>
      </c>
      <c r="K242" s="1424">
        <v>0.6</v>
      </c>
      <c r="L242" s="7">
        <v>120</v>
      </c>
      <c r="M242" s="888">
        <f t="shared" si="122"/>
        <v>3.6</v>
      </c>
      <c r="N242" s="172">
        <v>0</v>
      </c>
      <c r="O242" s="880"/>
      <c r="P242" s="880">
        <f t="shared" si="123"/>
        <v>26.25</v>
      </c>
      <c r="Q242" s="172">
        <f t="shared" si="124"/>
        <v>22.65</v>
      </c>
      <c r="R242" s="2406"/>
      <c r="S242" s="2398"/>
      <c r="T242" s="2052" t="str">
        <f t="shared" si="101"/>
        <v>открыт</v>
      </c>
      <c r="U242" s="2398"/>
      <c r="V242" s="2398"/>
      <c r="W242" s="2398" t="s">
        <v>3397</v>
      </c>
      <c r="X242" s="912"/>
      <c r="Y242" s="2419"/>
      <c r="Z242" s="2411"/>
      <c r="AA242" s="7" t="s">
        <v>1768</v>
      </c>
      <c r="AB242" s="230">
        <f t="shared" si="102"/>
        <v>25</v>
      </c>
      <c r="AC242" s="229" t="str">
        <f t="shared" si="103"/>
        <v>+</v>
      </c>
      <c r="AD242" s="229">
        <f t="shared" si="104"/>
        <v>25</v>
      </c>
      <c r="AE242" s="229"/>
      <c r="AF242" s="228"/>
      <c r="AG242" s="212" t="str">
        <f t="shared" si="105"/>
        <v>25+25</v>
      </c>
      <c r="AH242" s="172">
        <f>SUM(AH208+AH216+AH217+AH229+AH226+AH225)</f>
        <v>0</v>
      </c>
      <c r="AI242" s="172">
        <f t="shared" si="131"/>
        <v>4.2</v>
      </c>
      <c r="AJ242" s="1973">
        <f t="shared" si="106"/>
        <v>0.6</v>
      </c>
      <c r="AK242" s="212">
        <f t="shared" si="107"/>
        <v>120</v>
      </c>
      <c r="AL242" s="172">
        <f t="shared" si="126"/>
        <v>3.6</v>
      </c>
      <c r="AM242" s="1973">
        <f t="shared" si="108"/>
        <v>0</v>
      </c>
      <c r="AN242" s="880">
        <f t="shared" si="127"/>
        <v>26.25</v>
      </c>
      <c r="AO242" s="172">
        <f t="shared" si="128"/>
        <v>22.65</v>
      </c>
      <c r="AP242" s="2406"/>
      <c r="AQ242" s="2398"/>
      <c r="AR242" s="2052" t="str">
        <f t="shared" si="109"/>
        <v>открыт</v>
      </c>
      <c r="AS242" s="2453"/>
      <c r="AT242" s="937" t="s">
        <v>95</v>
      </c>
      <c r="AU242" s="1095">
        <v>1989</v>
      </c>
      <c r="AV242" s="213">
        <v>2011</v>
      </c>
      <c r="AW242" s="1103">
        <v>56.493515565355203</v>
      </c>
      <c r="AX242" s="1103">
        <v>31.640055859206502</v>
      </c>
    </row>
    <row r="243" spans="1:50" ht="15" customHeight="1" x14ac:dyDescent="0.25">
      <c r="A243" s="2419"/>
      <c r="B243" s="2419"/>
      <c r="C243" s="7" t="s">
        <v>1767</v>
      </c>
      <c r="D243" s="230">
        <v>25</v>
      </c>
      <c r="E243" s="229" t="s">
        <v>773</v>
      </c>
      <c r="F243" s="229">
        <v>25</v>
      </c>
      <c r="G243" s="229"/>
      <c r="H243" s="228"/>
      <c r="I243" s="229" t="str">
        <f t="shared" si="100"/>
        <v>25+25</v>
      </c>
      <c r="J243" s="882">
        <v>12.27</v>
      </c>
      <c r="K243" s="1424">
        <v>0.74</v>
      </c>
      <c r="L243" s="1422">
        <v>120</v>
      </c>
      <c r="M243" s="888">
        <f t="shared" si="122"/>
        <v>11.53</v>
      </c>
      <c r="N243" s="172">
        <v>0</v>
      </c>
      <c r="O243" s="880"/>
      <c r="P243" s="880">
        <f t="shared" si="123"/>
        <v>26.25</v>
      </c>
      <c r="Q243" s="172">
        <f t="shared" si="124"/>
        <v>14.72</v>
      </c>
      <c r="R243" s="2407"/>
      <c r="S243" s="2398"/>
      <c r="T243" s="2052" t="str">
        <f t="shared" si="101"/>
        <v>открыт</v>
      </c>
      <c r="U243" s="2398"/>
      <c r="V243" s="2398"/>
      <c r="W243" s="2398"/>
      <c r="X243" s="912"/>
      <c r="Y243" s="2419"/>
      <c r="Z243" s="2411"/>
      <c r="AA243" s="7" t="s">
        <v>1767</v>
      </c>
      <c r="AB243" s="230">
        <f t="shared" si="102"/>
        <v>25</v>
      </c>
      <c r="AC243" s="229" t="str">
        <f t="shared" si="103"/>
        <v>+</v>
      </c>
      <c r="AD243" s="229">
        <f t="shared" si="104"/>
        <v>25</v>
      </c>
      <c r="AE243" s="229"/>
      <c r="AF243" s="228"/>
      <c r="AG243" s="212" t="str">
        <f t="shared" si="105"/>
        <v>25+25</v>
      </c>
      <c r="AH243" s="244">
        <f>'Зона НЭс'!L130</f>
        <v>0.69978260869565212</v>
      </c>
      <c r="AI243" s="172">
        <f t="shared" si="131"/>
        <v>12.969782608695652</v>
      </c>
      <c r="AJ243" s="1973">
        <f t="shared" si="106"/>
        <v>0.74</v>
      </c>
      <c r="AK243" s="212">
        <f t="shared" si="107"/>
        <v>120</v>
      </c>
      <c r="AL243" s="172">
        <f t="shared" si="126"/>
        <v>12.229782608695652</v>
      </c>
      <c r="AM243" s="1973">
        <f t="shared" si="108"/>
        <v>0</v>
      </c>
      <c r="AN243" s="880">
        <f t="shared" si="127"/>
        <v>26.25</v>
      </c>
      <c r="AO243" s="172">
        <f t="shared" si="128"/>
        <v>14.020217391304348</v>
      </c>
      <c r="AP243" s="2407"/>
      <c r="AQ243" s="2398"/>
      <c r="AR243" s="2052" t="str">
        <f t="shared" si="109"/>
        <v>открыт</v>
      </c>
      <c r="AS243" s="2454"/>
      <c r="AT243" s="937" t="s">
        <v>95</v>
      </c>
      <c r="AU243" s="1095">
        <v>1989</v>
      </c>
      <c r="AV243" s="213">
        <v>2011</v>
      </c>
      <c r="AW243" s="1103">
        <v>56.493515565355203</v>
      </c>
      <c r="AX243" s="1103">
        <v>31.640055859206502</v>
      </c>
    </row>
    <row r="244" spans="1:50" ht="15" customHeight="1" x14ac:dyDescent="0.25">
      <c r="A244" s="212">
        <v>174</v>
      </c>
      <c r="B244" s="212">
        <v>1</v>
      </c>
      <c r="C244" s="212" t="s">
        <v>149</v>
      </c>
      <c r="D244" s="230">
        <v>2.5</v>
      </c>
      <c r="E244" s="229"/>
      <c r="F244" s="229"/>
      <c r="G244" s="229"/>
      <c r="H244" s="228"/>
      <c r="I244" s="229" t="str">
        <f t="shared" si="100"/>
        <v>2,5</v>
      </c>
      <c r="J244" s="882">
        <v>0.34</v>
      </c>
      <c r="K244" s="1423">
        <v>0.2688420000000018</v>
      </c>
      <c r="L244" s="1422">
        <v>120</v>
      </c>
      <c r="M244" s="172">
        <f t="shared" ref="M244:M254" si="132">K244</f>
        <v>0.2688420000000018</v>
      </c>
      <c r="N244" s="172">
        <v>0</v>
      </c>
      <c r="O244" s="880"/>
      <c r="P244" s="880">
        <f t="shared" ref="P244:P254" si="133">M244-N244</f>
        <v>0.2688420000000018</v>
      </c>
      <c r="Q244" s="172">
        <f t="shared" ref="Q244:Q254" si="134">P244-J244</f>
        <v>-7.1157999999998223E-2</v>
      </c>
      <c r="R244" s="172">
        <f t="shared" ref="R244:R267" si="135">Q244</f>
        <v>-7.1157999999998223E-2</v>
      </c>
      <c r="S244" s="757" t="str">
        <f t="shared" si="110"/>
        <v>закрыт</v>
      </c>
      <c r="T244" s="2052" t="str">
        <f t="shared" si="101"/>
        <v>закрыт</v>
      </c>
      <c r="U244" s="757">
        <f t="shared" ref="U244:U254" si="136">(J244*100)/(I244*1.05)</f>
        <v>12.952380952380953</v>
      </c>
      <c r="V244" s="2254"/>
      <c r="W244" s="2254" t="s">
        <v>3032</v>
      </c>
      <c r="X244" s="912"/>
      <c r="Y244" s="212">
        <v>174</v>
      </c>
      <c r="Z244" s="228">
        <v>1</v>
      </c>
      <c r="AA244" s="212" t="s">
        <v>149</v>
      </c>
      <c r="AB244" s="230">
        <f t="shared" si="102"/>
        <v>2.5</v>
      </c>
      <c r="AC244" s="229"/>
      <c r="AD244" s="229"/>
      <c r="AE244" s="229"/>
      <c r="AF244" s="228"/>
      <c r="AG244" s="212" t="str">
        <f t="shared" si="105"/>
        <v>2,5</v>
      </c>
      <c r="AH244" s="172">
        <f>'Зона РжЭс'!L11</f>
        <v>0</v>
      </c>
      <c r="AI244" s="172">
        <f t="shared" si="131"/>
        <v>0.34</v>
      </c>
      <c r="AJ244" s="1973">
        <f t="shared" si="106"/>
        <v>0.2688420000000018</v>
      </c>
      <c r="AK244" s="212">
        <f t="shared" si="107"/>
        <v>120</v>
      </c>
      <c r="AL244" s="172">
        <f t="shared" ref="AL244:AL254" si="137">AJ244</f>
        <v>0.2688420000000018</v>
      </c>
      <c r="AM244" s="1973">
        <f t="shared" si="108"/>
        <v>0</v>
      </c>
      <c r="AN244" s="880">
        <f t="shared" ref="AN244:AN254" si="138">AL244-AM244</f>
        <v>0.2688420000000018</v>
      </c>
      <c r="AO244" s="172">
        <f t="shared" ref="AO244:AO254" si="139">AN244-AI244</f>
        <v>-7.1157999999998223E-2</v>
      </c>
      <c r="AP244" s="172">
        <f t="shared" ref="AP244:AP267" si="140">AO244</f>
        <v>-7.1157999999998223E-2</v>
      </c>
      <c r="AQ244" s="220" t="str">
        <f t="shared" si="111"/>
        <v>закрыт</v>
      </c>
      <c r="AR244" s="2052" t="str">
        <f t="shared" si="109"/>
        <v>закрыт</v>
      </c>
      <c r="AS244" s="935">
        <f>(AI244*100)/(AG244*1.05)</f>
        <v>12.952380952380953</v>
      </c>
      <c r="AT244" s="937" t="s">
        <v>747</v>
      </c>
      <c r="AU244" s="1095">
        <v>1983</v>
      </c>
      <c r="AV244" s="1101" t="s">
        <v>3218</v>
      </c>
      <c r="AW244" s="1103">
        <v>56.373681951001402</v>
      </c>
      <c r="AX244" s="1103">
        <v>34.036245105198198</v>
      </c>
    </row>
    <row r="245" spans="1:50" ht="15" customHeight="1" x14ac:dyDescent="0.25">
      <c r="A245" s="212">
        <v>175</v>
      </c>
      <c r="B245" s="212">
        <v>2</v>
      </c>
      <c r="C245" s="212" t="s">
        <v>150</v>
      </c>
      <c r="D245" s="230">
        <v>2.5</v>
      </c>
      <c r="E245" s="229"/>
      <c r="F245" s="229"/>
      <c r="G245" s="229"/>
      <c r="H245" s="228"/>
      <c r="I245" s="229" t="str">
        <f t="shared" si="100"/>
        <v>2,5</v>
      </c>
      <c r="J245" s="882">
        <v>0.27</v>
      </c>
      <c r="K245" s="1423">
        <v>0.21175200000047342</v>
      </c>
      <c r="L245" s="1422">
        <v>240</v>
      </c>
      <c r="M245" s="172">
        <f t="shared" si="132"/>
        <v>0.21175200000047342</v>
      </c>
      <c r="N245" s="172">
        <v>0</v>
      </c>
      <c r="O245" s="880"/>
      <c r="P245" s="880">
        <f t="shared" si="133"/>
        <v>0.21175200000047342</v>
      </c>
      <c r="Q245" s="172">
        <f t="shared" si="134"/>
        <v>-5.8247999999526595E-2</v>
      </c>
      <c r="R245" s="172">
        <f t="shared" si="135"/>
        <v>-5.8247999999526595E-2</v>
      </c>
      <c r="S245" s="757" t="str">
        <f t="shared" si="110"/>
        <v>закрыт</v>
      </c>
      <c r="T245" s="2052" t="str">
        <f t="shared" si="101"/>
        <v>закрыт</v>
      </c>
      <c r="U245" s="757">
        <f t="shared" si="136"/>
        <v>10.285714285714286</v>
      </c>
      <c r="V245" s="2254">
        <v>0.4</v>
      </c>
      <c r="W245" s="2254" t="s">
        <v>3033</v>
      </c>
      <c r="X245" s="912"/>
      <c r="Y245" s="212">
        <v>175</v>
      </c>
      <c r="Z245" s="228">
        <v>2</v>
      </c>
      <c r="AA245" s="212" t="s">
        <v>150</v>
      </c>
      <c r="AB245" s="230">
        <f t="shared" si="102"/>
        <v>2.5</v>
      </c>
      <c r="AC245" s="229"/>
      <c r="AD245" s="229"/>
      <c r="AE245" s="229"/>
      <c r="AF245" s="228"/>
      <c r="AG245" s="212" t="str">
        <f t="shared" si="105"/>
        <v>2,5</v>
      </c>
      <c r="AH245" s="172">
        <f>'Зона РжЭс'!L13</f>
        <v>0</v>
      </c>
      <c r="AI245" s="172">
        <f t="shared" si="131"/>
        <v>0.27</v>
      </c>
      <c r="AJ245" s="1973">
        <f t="shared" si="106"/>
        <v>0.21175200000047342</v>
      </c>
      <c r="AK245" s="212">
        <f t="shared" si="107"/>
        <v>240</v>
      </c>
      <c r="AL245" s="172">
        <f t="shared" si="137"/>
        <v>0.21175200000047342</v>
      </c>
      <c r="AM245" s="1973">
        <f t="shared" si="108"/>
        <v>0</v>
      </c>
      <c r="AN245" s="880">
        <f t="shared" si="138"/>
        <v>0.21175200000047342</v>
      </c>
      <c r="AO245" s="172">
        <f t="shared" si="139"/>
        <v>-5.8247999999526595E-2</v>
      </c>
      <c r="AP245" s="172">
        <f t="shared" si="140"/>
        <v>-5.8247999999526595E-2</v>
      </c>
      <c r="AQ245" s="220" t="str">
        <f t="shared" si="111"/>
        <v>закрыт</v>
      </c>
      <c r="AR245" s="2052" t="str">
        <f t="shared" si="109"/>
        <v>закрыт</v>
      </c>
      <c r="AS245" s="935">
        <f t="shared" ref="AS245:AS254" si="141">(AI245*100)/(AG245*1.05)</f>
        <v>10.285714285714286</v>
      </c>
      <c r="AT245" s="937" t="s">
        <v>747</v>
      </c>
      <c r="AU245" s="1095">
        <v>1981</v>
      </c>
      <c r="AV245" s="1101" t="s">
        <v>3218</v>
      </c>
      <c r="AW245" s="1103">
        <v>56.0863419334366</v>
      </c>
      <c r="AX245" s="1103">
        <v>34.033279301544297</v>
      </c>
    </row>
    <row r="246" spans="1:50" ht="15" customHeight="1" x14ac:dyDescent="0.25">
      <c r="A246" s="212">
        <v>176</v>
      </c>
      <c r="B246" s="212">
        <v>3</v>
      </c>
      <c r="C246" s="212" t="s">
        <v>148</v>
      </c>
      <c r="D246" s="230">
        <v>1.6</v>
      </c>
      <c r="E246" s="229"/>
      <c r="F246" s="229"/>
      <c r="G246" s="229"/>
      <c r="H246" s="228"/>
      <c r="I246" s="229" t="str">
        <f t="shared" si="100"/>
        <v>1,6</v>
      </c>
      <c r="J246" s="882">
        <v>0.51</v>
      </c>
      <c r="K246" s="1423">
        <v>0</v>
      </c>
      <c r="L246" s="1422"/>
      <c r="M246" s="172">
        <f t="shared" si="132"/>
        <v>0</v>
      </c>
      <c r="N246" s="172">
        <v>0</v>
      </c>
      <c r="O246" s="880"/>
      <c r="P246" s="880">
        <f t="shared" si="133"/>
        <v>0</v>
      </c>
      <c r="Q246" s="172">
        <f t="shared" si="134"/>
        <v>-0.51</v>
      </c>
      <c r="R246" s="172">
        <f>Q246</f>
        <v>-0.51</v>
      </c>
      <c r="S246" s="757" t="str">
        <f>T246</f>
        <v>закрыт</v>
      </c>
      <c r="T246" s="2052" t="str">
        <f t="shared" si="101"/>
        <v>закрыт</v>
      </c>
      <c r="U246" s="757">
        <f t="shared" si="136"/>
        <v>30.357142857142854</v>
      </c>
      <c r="V246" s="2254"/>
      <c r="W246" s="2254" t="s">
        <v>3032</v>
      </c>
      <c r="X246" s="912"/>
      <c r="Y246" s="212">
        <v>176</v>
      </c>
      <c r="Z246" s="228">
        <v>3</v>
      </c>
      <c r="AA246" s="212" t="s">
        <v>148</v>
      </c>
      <c r="AB246" s="230">
        <f t="shared" si="102"/>
        <v>1.6</v>
      </c>
      <c r="AC246" s="229"/>
      <c r="AD246" s="229"/>
      <c r="AE246" s="229"/>
      <c r="AF246" s="228"/>
      <c r="AG246" s="212" t="str">
        <f t="shared" si="105"/>
        <v>1,6</v>
      </c>
      <c r="AH246" s="172">
        <f>'Зона РжЭс'!L18</f>
        <v>0</v>
      </c>
      <c r="AI246" s="172">
        <f t="shared" si="131"/>
        <v>0.51</v>
      </c>
      <c r="AJ246" s="1973">
        <f t="shared" si="106"/>
        <v>0</v>
      </c>
      <c r="AK246" s="212">
        <f t="shared" si="107"/>
        <v>0</v>
      </c>
      <c r="AL246" s="172">
        <f t="shared" si="137"/>
        <v>0</v>
      </c>
      <c r="AM246" s="1973">
        <f t="shared" si="108"/>
        <v>0</v>
      </c>
      <c r="AN246" s="880">
        <f t="shared" si="138"/>
        <v>0</v>
      </c>
      <c r="AO246" s="172">
        <f t="shared" si="139"/>
        <v>-0.51</v>
      </c>
      <c r="AP246" s="172">
        <f t="shared" si="140"/>
        <v>-0.51</v>
      </c>
      <c r="AQ246" s="220" t="str">
        <f>AR246</f>
        <v>закрыт</v>
      </c>
      <c r="AR246" s="2052" t="str">
        <f t="shared" si="109"/>
        <v>закрыт</v>
      </c>
      <c r="AS246" s="935">
        <f t="shared" si="141"/>
        <v>30.357142857142854</v>
      </c>
      <c r="AT246" s="937" t="s">
        <v>747</v>
      </c>
      <c r="AU246" s="1095">
        <v>1983</v>
      </c>
      <c r="AV246" s="1101" t="s">
        <v>3218</v>
      </c>
      <c r="AW246" s="1103">
        <v>56.012565407189101</v>
      </c>
      <c r="AX246" s="1103">
        <v>34.547977153853402</v>
      </c>
    </row>
    <row r="247" spans="1:50" ht="15" customHeight="1" x14ac:dyDescent="0.25">
      <c r="A247" s="212">
        <v>177</v>
      </c>
      <c r="B247" s="212">
        <v>4</v>
      </c>
      <c r="C247" s="212" t="s">
        <v>152</v>
      </c>
      <c r="D247" s="230">
        <v>2.5</v>
      </c>
      <c r="E247" s="229"/>
      <c r="F247" s="229"/>
      <c r="G247" s="229"/>
      <c r="H247" s="228"/>
      <c r="I247" s="229" t="str">
        <f t="shared" si="100"/>
        <v>2,5</v>
      </c>
      <c r="J247" s="882">
        <v>1.58</v>
      </c>
      <c r="K247" s="1423">
        <v>0</v>
      </c>
      <c r="L247" s="1422"/>
      <c r="M247" s="172">
        <f>K247</f>
        <v>0</v>
      </c>
      <c r="N247" s="172">
        <v>0</v>
      </c>
      <c r="O247" s="880"/>
      <c r="P247" s="880">
        <f t="shared" si="133"/>
        <v>0</v>
      </c>
      <c r="Q247" s="172">
        <f t="shared" si="134"/>
        <v>-1.58</v>
      </c>
      <c r="R247" s="172">
        <f>Q247</f>
        <v>-1.58</v>
      </c>
      <c r="S247" s="757" t="str">
        <f>T247</f>
        <v>закрыт</v>
      </c>
      <c r="T247" s="2052" t="str">
        <f t="shared" si="101"/>
        <v>закрыт</v>
      </c>
      <c r="U247" s="757">
        <f t="shared" si="136"/>
        <v>60.19047619047619</v>
      </c>
      <c r="V247" s="2254"/>
      <c r="W247" s="2254" t="s">
        <v>3032</v>
      </c>
      <c r="X247" s="912"/>
      <c r="Y247" s="212">
        <v>177</v>
      </c>
      <c r="Z247" s="228">
        <v>4</v>
      </c>
      <c r="AA247" s="212" t="s">
        <v>152</v>
      </c>
      <c r="AB247" s="230">
        <f t="shared" si="102"/>
        <v>2.5</v>
      </c>
      <c r="AC247" s="229"/>
      <c r="AD247" s="229"/>
      <c r="AE247" s="229"/>
      <c r="AF247" s="228"/>
      <c r="AG247" s="212" t="str">
        <f t="shared" si="105"/>
        <v>2,5</v>
      </c>
      <c r="AH247" s="172">
        <f>'Зона РжЭс'!L36</f>
        <v>0.84189130434782611</v>
      </c>
      <c r="AI247" s="172">
        <f t="shared" si="131"/>
        <v>2.4218913043478261</v>
      </c>
      <c r="AJ247" s="1973">
        <f t="shared" si="106"/>
        <v>0</v>
      </c>
      <c r="AK247" s="212">
        <f t="shared" si="107"/>
        <v>0</v>
      </c>
      <c r="AL247" s="172">
        <f t="shared" si="137"/>
        <v>0</v>
      </c>
      <c r="AM247" s="1973">
        <f t="shared" si="108"/>
        <v>0</v>
      </c>
      <c r="AN247" s="880">
        <f t="shared" si="138"/>
        <v>0</v>
      </c>
      <c r="AO247" s="172">
        <f t="shared" si="139"/>
        <v>-2.4218913043478261</v>
      </c>
      <c r="AP247" s="172">
        <f t="shared" si="140"/>
        <v>-2.4218913043478261</v>
      </c>
      <c r="AQ247" s="220" t="str">
        <f>AR247</f>
        <v>закрыт</v>
      </c>
      <c r="AR247" s="2052" t="str">
        <f t="shared" si="109"/>
        <v>закрыт</v>
      </c>
      <c r="AS247" s="935">
        <f t="shared" si="141"/>
        <v>92.262525879917192</v>
      </c>
      <c r="AT247" s="937" t="s">
        <v>747</v>
      </c>
      <c r="AU247" s="1095">
        <v>1975</v>
      </c>
      <c r="AV247" s="1101" t="s">
        <v>3218</v>
      </c>
      <c r="AW247" s="1103">
        <v>56.092405546294501</v>
      </c>
      <c r="AX247" s="1103">
        <v>35.237888736973503</v>
      </c>
    </row>
    <row r="248" spans="1:50" ht="15" customHeight="1" x14ac:dyDescent="0.25">
      <c r="A248" s="212">
        <v>178</v>
      </c>
      <c r="B248" s="212">
        <v>5</v>
      </c>
      <c r="C248" s="212" t="s">
        <v>151</v>
      </c>
      <c r="D248" s="230">
        <v>2.5</v>
      </c>
      <c r="E248" s="229"/>
      <c r="F248" s="229"/>
      <c r="G248" s="229"/>
      <c r="H248" s="228"/>
      <c r="I248" s="229" t="str">
        <f t="shared" si="100"/>
        <v>2,5</v>
      </c>
      <c r="J248" s="882">
        <v>0.8</v>
      </c>
      <c r="K248" s="1423">
        <v>0</v>
      </c>
      <c r="L248" s="1422"/>
      <c r="M248" s="172">
        <f t="shared" si="132"/>
        <v>0</v>
      </c>
      <c r="N248" s="172">
        <v>0</v>
      </c>
      <c r="O248" s="880"/>
      <c r="P248" s="880">
        <f t="shared" si="133"/>
        <v>0</v>
      </c>
      <c r="Q248" s="172">
        <f t="shared" si="134"/>
        <v>-0.8</v>
      </c>
      <c r="R248" s="172">
        <f>Q248</f>
        <v>-0.8</v>
      </c>
      <c r="S248" s="757" t="str">
        <f>T248</f>
        <v>закрыт</v>
      </c>
      <c r="T248" s="2052" t="str">
        <f t="shared" si="101"/>
        <v>закрыт</v>
      </c>
      <c r="U248" s="757">
        <f t="shared" si="136"/>
        <v>30.476190476190474</v>
      </c>
      <c r="V248" s="2254">
        <v>0.51</v>
      </c>
      <c r="W248" s="2254" t="s">
        <v>3033</v>
      </c>
      <c r="X248" s="912"/>
      <c r="Y248" s="212">
        <v>178</v>
      </c>
      <c r="Z248" s="228">
        <v>5</v>
      </c>
      <c r="AA248" s="212" t="s">
        <v>151</v>
      </c>
      <c r="AB248" s="230">
        <f t="shared" si="102"/>
        <v>2.5</v>
      </c>
      <c r="AC248" s="229"/>
      <c r="AD248" s="229"/>
      <c r="AE248" s="229"/>
      <c r="AF248" s="228"/>
      <c r="AG248" s="212" t="str">
        <f t="shared" si="105"/>
        <v>2,5</v>
      </c>
      <c r="AH248" s="172">
        <f>'Зона РжЭс'!L41</f>
        <v>7.3369565217391311E-2</v>
      </c>
      <c r="AI248" s="172">
        <f t="shared" si="131"/>
        <v>0.8733695652173914</v>
      </c>
      <c r="AJ248" s="1973">
        <f t="shared" si="106"/>
        <v>0</v>
      </c>
      <c r="AK248" s="212">
        <f t="shared" si="107"/>
        <v>0</v>
      </c>
      <c r="AL248" s="172">
        <f t="shared" si="137"/>
        <v>0</v>
      </c>
      <c r="AM248" s="1973">
        <f t="shared" si="108"/>
        <v>0</v>
      </c>
      <c r="AN248" s="880">
        <f t="shared" si="138"/>
        <v>0</v>
      </c>
      <c r="AO248" s="172">
        <f t="shared" si="139"/>
        <v>-0.8733695652173914</v>
      </c>
      <c r="AP248" s="172">
        <f t="shared" si="140"/>
        <v>-0.8733695652173914</v>
      </c>
      <c r="AQ248" s="220" t="str">
        <f>AR248</f>
        <v>закрыт</v>
      </c>
      <c r="AR248" s="2052" t="str">
        <f t="shared" si="109"/>
        <v>закрыт</v>
      </c>
      <c r="AS248" s="935">
        <f t="shared" si="141"/>
        <v>33.271221532091104</v>
      </c>
      <c r="AT248" s="937" t="s">
        <v>747</v>
      </c>
      <c r="AU248" s="1095">
        <v>1979</v>
      </c>
      <c r="AV248" s="1101" t="s">
        <v>3218</v>
      </c>
      <c r="AW248" s="1103">
        <v>56.280328609213797</v>
      </c>
      <c r="AX248" s="1103">
        <v>35.081330928058399</v>
      </c>
    </row>
    <row r="249" spans="1:50" ht="15" customHeight="1" x14ac:dyDescent="0.25">
      <c r="A249" s="212">
        <v>179</v>
      </c>
      <c r="B249" s="212">
        <v>6</v>
      </c>
      <c r="C249" s="212" t="s">
        <v>153</v>
      </c>
      <c r="D249" s="230">
        <v>2.5</v>
      </c>
      <c r="E249" s="229"/>
      <c r="F249" s="229"/>
      <c r="G249" s="229"/>
      <c r="H249" s="228"/>
      <c r="I249" s="229" t="str">
        <f t="shared" si="100"/>
        <v>2,5</v>
      </c>
      <c r="J249" s="882">
        <v>0.13</v>
      </c>
      <c r="K249" s="1423">
        <v>0.10561650000084721</v>
      </c>
      <c r="L249" s="1422">
        <v>120</v>
      </c>
      <c r="M249" s="172">
        <f t="shared" si="132"/>
        <v>0.10561650000084721</v>
      </c>
      <c r="N249" s="172">
        <v>0</v>
      </c>
      <c r="O249" s="880"/>
      <c r="P249" s="880">
        <f t="shared" si="133"/>
        <v>0.10561650000084721</v>
      </c>
      <c r="Q249" s="172">
        <f t="shared" si="134"/>
        <v>-2.4383499999152791E-2</v>
      </c>
      <c r="R249" s="172">
        <f t="shared" si="135"/>
        <v>-2.4383499999152791E-2</v>
      </c>
      <c r="S249" s="757" t="str">
        <f t="shared" si="110"/>
        <v>закрыт</v>
      </c>
      <c r="T249" s="2052" t="str">
        <f t="shared" si="101"/>
        <v>закрыт</v>
      </c>
      <c r="U249" s="757">
        <f t="shared" si="136"/>
        <v>4.9523809523809526</v>
      </c>
      <c r="V249" s="2254"/>
      <c r="W249" s="2254" t="s">
        <v>3032</v>
      </c>
      <c r="X249" s="912"/>
      <c r="Y249" s="212">
        <v>179</v>
      </c>
      <c r="Z249" s="228">
        <v>6</v>
      </c>
      <c r="AA249" s="212" t="s">
        <v>153</v>
      </c>
      <c r="AB249" s="230">
        <f t="shared" si="102"/>
        <v>2.5</v>
      </c>
      <c r="AC249" s="229"/>
      <c r="AD249" s="229"/>
      <c r="AE249" s="229"/>
      <c r="AF249" s="228"/>
      <c r="AG249" s="212" t="str">
        <f t="shared" si="105"/>
        <v>2,5</v>
      </c>
      <c r="AH249" s="172">
        <f>'Зона РжЭс'!L43</f>
        <v>0</v>
      </c>
      <c r="AI249" s="172">
        <f t="shared" si="131"/>
        <v>0.13</v>
      </c>
      <c r="AJ249" s="1973">
        <f t="shared" si="106"/>
        <v>0.10561650000084721</v>
      </c>
      <c r="AK249" s="212">
        <f t="shared" si="107"/>
        <v>120</v>
      </c>
      <c r="AL249" s="172">
        <f t="shared" si="137"/>
        <v>0.10561650000084721</v>
      </c>
      <c r="AM249" s="1973">
        <f t="shared" si="108"/>
        <v>0</v>
      </c>
      <c r="AN249" s="880">
        <f t="shared" si="138"/>
        <v>0.10561650000084721</v>
      </c>
      <c r="AO249" s="172">
        <f t="shared" si="139"/>
        <v>-2.4383499999152791E-2</v>
      </c>
      <c r="AP249" s="172">
        <f t="shared" si="140"/>
        <v>-2.4383499999152791E-2</v>
      </c>
      <c r="AQ249" s="220" t="str">
        <f t="shared" si="111"/>
        <v>закрыт</v>
      </c>
      <c r="AR249" s="2052" t="str">
        <f t="shared" si="109"/>
        <v>закрыт</v>
      </c>
      <c r="AS249" s="935">
        <f t="shared" si="141"/>
        <v>4.9523809523809526</v>
      </c>
      <c r="AT249" s="937" t="s">
        <v>747</v>
      </c>
      <c r="AU249" s="1095">
        <v>1980</v>
      </c>
      <c r="AV249" s="1101" t="s">
        <v>3218</v>
      </c>
      <c r="AW249" s="1103">
        <v>56.100005884001497</v>
      </c>
      <c r="AX249" s="1103">
        <v>33.338437811307998</v>
      </c>
    </row>
    <row r="250" spans="1:50" ht="15" customHeight="1" x14ac:dyDescent="0.25">
      <c r="A250" s="212">
        <v>180</v>
      </c>
      <c r="B250" s="212">
        <v>7</v>
      </c>
      <c r="C250" s="212" t="s">
        <v>154</v>
      </c>
      <c r="D250" s="230">
        <v>2.5</v>
      </c>
      <c r="E250" s="229"/>
      <c r="F250" s="229"/>
      <c r="G250" s="229"/>
      <c r="H250" s="228"/>
      <c r="I250" s="229" t="str">
        <f t="shared" si="100"/>
        <v>2,5</v>
      </c>
      <c r="J250" s="882">
        <v>0.56000000000000005</v>
      </c>
      <c r="K250" s="1423">
        <v>0.39201799999967807</v>
      </c>
      <c r="L250" s="1422">
        <v>120</v>
      </c>
      <c r="M250" s="172">
        <f t="shared" si="132"/>
        <v>0.39201799999967807</v>
      </c>
      <c r="N250" s="172">
        <v>0</v>
      </c>
      <c r="O250" s="880"/>
      <c r="P250" s="880">
        <f t="shared" si="133"/>
        <v>0.39201799999967807</v>
      </c>
      <c r="Q250" s="172">
        <f t="shared" si="134"/>
        <v>-0.16798200000032198</v>
      </c>
      <c r="R250" s="172">
        <f t="shared" si="135"/>
        <v>-0.16798200000032198</v>
      </c>
      <c r="S250" s="757" t="str">
        <f t="shared" si="110"/>
        <v>закрыт</v>
      </c>
      <c r="T250" s="2052" t="str">
        <f t="shared" si="101"/>
        <v>закрыт</v>
      </c>
      <c r="U250" s="757">
        <f t="shared" si="136"/>
        <v>21.333333333333336</v>
      </c>
      <c r="V250" s="2254">
        <v>0.52</v>
      </c>
      <c r="W250" s="2254" t="s">
        <v>3033</v>
      </c>
      <c r="X250" s="912"/>
      <c r="Y250" s="212">
        <v>180</v>
      </c>
      <c r="Z250" s="228">
        <v>7</v>
      </c>
      <c r="AA250" s="212" t="s">
        <v>154</v>
      </c>
      <c r="AB250" s="230">
        <f t="shared" si="102"/>
        <v>2.5</v>
      </c>
      <c r="AC250" s="229"/>
      <c r="AD250" s="229"/>
      <c r="AE250" s="229"/>
      <c r="AF250" s="228"/>
      <c r="AG250" s="212" t="str">
        <f t="shared" si="105"/>
        <v>2,5</v>
      </c>
      <c r="AH250" s="172">
        <f>'Зона РжЭс'!L45</f>
        <v>0</v>
      </c>
      <c r="AI250" s="172">
        <f t="shared" si="131"/>
        <v>0.56000000000000005</v>
      </c>
      <c r="AJ250" s="1973">
        <f t="shared" si="106"/>
        <v>0.39201799999967807</v>
      </c>
      <c r="AK250" s="212">
        <f t="shared" si="107"/>
        <v>120</v>
      </c>
      <c r="AL250" s="172">
        <f t="shared" si="137"/>
        <v>0.39201799999967807</v>
      </c>
      <c r="AM250" s="1973">
        <f t="shared" si="108"/>
        <v>0</v>
      </c>
      <c r="AN250" s="880">
        <f t="shared" si="138"/>
        <v>0.39201799999967807</v>
      </c>
      <c r="AO250" s="172">
        <f t="shared" si="139"/>
        <v>-0.16798200000032198</v>
      </c>
      <c r="AP250" s="172">
        <f>AO250</f>
        <v>-0.16798200000032198</v>
      </c>
      <c r="AQ250" s="220" t="str">
        <f t="shared" si="111"/>
        <v>закрыт</v>
      </c>
      <c r="AR250" s="2052" t="str">
        <f t="shared" si="109"/>
        <v>закрыт</v>
      </c>
      <c r="AS250" s="935">
        <f t="shared" si="141"/>
        <v>21.333333333333336</v>
      </c>
      <c r="AT250" s="937" t="s">
        <v>747</v>
      </c>
      <c r="AU250" s="1095">
        <v>1964</v>
      </c>
      <c r="AV250" s="1101" t="s">
        <v>3218</v>
      </c>
      <c r="AW250" s="1103">
        <v>56.406923791126303</v>
      </c>
      <c r="AX250" s="1103">
        <v>33.605148246052103</v>
      </c>
    </row>
    <row r="251" spans="1:50" ht="15" customHeight="1" x14ac:dyDescent="0.25">
      <c r="A251" s="212">
        <v>181</v>
      </c>
      <c r="B251" s="212">
        <v>8</v>
      </c>
      <c r="C251" s="212" t="s">
        <v>155</v>
      </c>
      <c r="D251" s="230">
        <v>2.5</v>
      </c>
      <c r="E251" s="229"/>
      <c r="F251" s="229"/>
      <c r="G251" s="229"/>
      <c r="H251" s="228"/>
      <c r="I251" s="229" t="str">
        <f t="shared" si="100"/>
        <v>2,5</v>
      </c>
      <c r="J251" s="882">
        <v>0.2</v>
      </c>
      <c r="K251" s="1423">
        <v>0.18459100000010911</v>
      </c>
      <c r="L251" s="1422">
        <v>120</v>
      </c>
      <c r="M251" s="172">
        <f t="shared" si="132"/>
        <v>0.18459100000010911</v>
      </c>
      <c r="N251" s="172">
        <v>0</v>
      </c>
      <c r="O251" s="880"/>
      <c r="P251" s="880">
        <f t="shared" si="133"/>
        <v>0.18459100000010911</v>
      </c>
      <c r="Q251" s="172">
        <f t="shared" si="134"/>
        <v>-1.5408999999890899E-2</v>
      </c>
      <c r="R251" s="172">
        <f t="shared" si="135"/>
        <v>-1.5408999999890899E-2</v>
      </c>
      <c r="S251" s="757" t="str">
        <f t="shared" si="110"/>
        <v>закрыт</v>
      </c>
      <c r="T251" s="2052" t="str">
        <f t="shared" si="101"/>
        <v>закрыт</v>
      </c>
      <c r="U251" s="757">
        <f t="shared" si="136"/>
        <v>7.6190476190476186</v>
      </c>
      <c r="V251" s="2254"/>
      <c r="W251" s="2254" t="s">
        <v>3032</v>
      </c>
      <c r="X251" s="912"/>
      <c r="Y251" s="212">
        <v>181</v>
      </c>
      <c r="Z251" s="228">
        <v>8</v>
      </c>
      <c r="AA251" s="212" t="s">
        <v>155</v>
      </c>
      <c r="AB251" s="230">
        <f t="shared" si="102"/>
        <v>2.5</v>
      </c>
      <c r="AC251" s="229"/>
      <c r="AD251" s="229"/>
      <c r="AE251" s="229"/>
      <c r="AF251" s="228"/>
      <c r="AG251" s="212" t="str">
        <f t="shared" si="105"/>
        <v>2,5</v>
      </c>
      <c r="AH251" s="172">
        <f>'Зона РжЭс'!L47</f>
        <v>0</v>
      </c>
      <c r="AI251" s="172">
        <f t="shared" si="131"/>
        <v>0.2</v>
      </c>
      <c r="AJ251" s="1973">
        <f t="shared" si="106"/>
        <v>0.18459100000010911</v>
      </c>
      <c r="AK251" s="212">
        <f t="shared" si="107"/>
        <v>120</v>
      </c>
      <c r="AL251" s="172">
        <f t="shared" si="137"/>
        <v>0.18459100000010911</v>
      </c>
      <c r="AM251" s="1973">
        <f t="shared" si="108"/>
        <v>0</v>
      </c>
      <c r="AN251" s="880">
        <f t="shared" si="138"/>
        <v>0.18459100000010911</v>
      </c>
      <c r="AO251" s="172">
        <f t="shared" si="139"/>
        <v>-1.5408999999890899E-2</v>
      </c>
      <c r="AP251" s="172">
        <f t="shared" si="140"/>
        <v>-1.5408999999890899E-2</v>
      </c>
      <c r="AQ251" s="220" t="str">
        <f t="shared" si="111"/>
        <v>закрыт</v>
      </c>
      <c r="AR251" s="2052" t="str">
        <f t="shared" si="109"/>
        <v>закрыт</v>
      </c>
      <c r="AS251" s="935">
        <f t="shared" si="141"/>
        <v>7.6190476190476186</v>
      </c>
      <c r="AT251" s="937" t="s">
        <v>747</v>
      </c>
      <c r="AU251" s="1095">
        <v>1982</v>
      </c>
      <c r="AV251" s="1101" t="s">
        <v>3218</v>
      </c>
      <c r="AW251" s="1103">
        <v>56.341619562858902</v>
      </c>
      <c r="AX251" s="1103">
        <v>33.490870341268398</v>
      </c>
    </row>
    <row r="252" spans="1:50" ht="15" customHeight="1" x14ac:dyDescent="0.25">
      <c r="A252" s="212">
        <v>182</v>
      </c>
      <c r="B252" s="212">
        <v>9</v>
      </c>
      <c r="C252" s="212" t="s">
        <v>156</v>
      </c>
      <c r="D252" s="230">
        <v>1</v>
      </c>
      <c r="E252" s="229"/>
      <c r="F252" s="229"/>
      <c r="G252" s="229"/>
      <c r="H252" s="228"/>
      <c r="I252" s="229" t="str">
        <f t="shared" si="100"/>
        <v>1</v>
      </c>
      <c r="J252" s="882">
        <v>0.24</v>
      </c>
      <c r="K252" s="1423">
        <v>9.627450000021795E-2</v>
      </c>
      <c r="L252" s="1422">
        <v>120</v>
      </c>
      <c r="M252" s="172">
        <f t="shared" si="132"/>
        <v>9.627450000021795E-2</v>
      </c>
      <c r="N252" s="172">
        <v>0</v>
      </c>
      <c r="O252" s="880"/>
      <c r="P252" s="880">
        <f t="shared" si="133"/>
        <v>9.627450000021795E-2</v>
      </c>
      <c r="Q252" s="172">
        <f t="shared" si="134"/>
        <v>-0.14372549999978204</v>
      </c>
      <c r="R252" s="172">
        <f t="shared" si="135"/>
        <v>-0.14372549999978204</v>
      </c>
      <c r="S252" s="757" t="str">
        <f t="shared" si="110"/>
        <v>закрыт</v>
      </c>
      <c r="T252" s="2052" t="str">
        <f t="shared" si="101"/>
        <v>закрыт</v>
      </c>
      <c r="U252" s="757">
        <f t="shared" si="136"/>
        <v>22.857142857142858</v>
      </c>
      <c r="V252" s="2254">
        <v>0.8</v>
      </c>
      <c r="W252" s="2254" t="s">
        <v>3033</v>
      </c>
      <c r="X252" s="912"/>
      <c r="Y252" s="212">
        <v>182</v>
      </c>
      <c r="Z252" s="228">
        <v>9</v>
      </c>
      <c r="AA252" s="212" t="s">
        <v>156</v>
      </c>
      <c r="AB252" s="230">
        <f t="shared" si="102"/>
        <v>1</v>
      </c>
      <c r="AC252" s="229"/>
      <c r="AD252" s="229"/>
      <c r="AE252" s="229"/>
      <c r="AF252" s="228"/>
      <c r="AG252" s="212" t="str">
        <f t="shared" si="105"/>
        <v>1</v>
      </c>
      <c r="AH252" s="172">
        <f>'Зона РжЭс'!L49</f>
        <v>0</v>
      </c>
      <c r="AI252" s="172">
        <f t="shared" si="131"/>
        <v>0.24</v>
      </c>
      <c r="AJ252" s="1973">
        <f t="shared" si="106"/>
        <v>9.627450000021795E-2</v>
      </c>
      <c r="AK252" s="212">
        <f t="shared" si="107"/>
        <v>120</v>
      </c>
      <c r="AL252" s="172">
        <f t="shared" si="137"/>
        <v>9.627450000021795E-2</v>
      </c>
      <c r="AM252" s="1973">
        <f t="shared" si="108"/>
        <v>0</v>
      </c>
      <c r="AN252" s="880">
        <f t="shared" si="138"/>
        <v>9.627450000021795E-2</v>
      </c>
      <c r="AO252" s="172">
        <f t="shared" si="139"/>
        <v>-0.14372549999978204</v>
      </c>
      <c r="AP252" s="172">
        <f t="shared" si="140"/>
        <v>-0.14372549999978204</v>
      </c>
      <c r="AQ252" s="220" t="str">
        <f t="shared" si="111"/>
        <v>закрыт</v>
      </c>
      <c r="AR252" s="2052" t="str">
        <f t="shared" si="109"/>
        <v>закрыт</v>
      </c>
      <c r="AS252" s="935">
        <f t="shared" si="141"/>
        <v>22.857142857142858</v>
      </c>
      <c r="AT252" s="937" t="s">
        <v>747</v>
      </c>
      <c r="AU252" s="1095">
        <v>1988</v>
      </c>
      <c r="AV252" s="1101" t="s">
        <v>3218</v>
      </c>
      <c r="AW252" s="1103">
        <v>56.413413259235703</v>
      </c>
      <c r="AX252" s="1103">
        <v>33.307302681525599</v>
      </c>
    </row>
    <row r="253" spans="1:50" ht="15" customHeight="1" x14ac:dyDescent="0.25">
      <c r="A253" s="212">
        <v>183</v>
      </c>
      <c r="B253" s="212">
        <v>10</v>
      </c>
      <c r="C253" s="212" t="s">
        <v>157</v>
      </c>
      <c r="D253" s="230">
        <v>2.5</v>
      </c>
      <c r="E253" s="229"/>
      <c r="F253" s="229"/>
      <c r="G253" s="229"/>
      <c r="H253" s="228"/>
      <c r="I253" s="229" t="str">
        <f t="shared" si="100"/>
        <v>2,5</v>
      </c>
      <c r="J253" s="882">
        <v>0.56000000000000005</v>
      </c>
      <c r="K253" s="1423">
        <v>0.4318080000004787</v>
      </c>
      <c r="L253" s="1422">
        <v>120</v>
      </c>
      <c r="M253" s="172">
        <f t="shared" si="132"/>
        <v>0.4318080000004787</v>
      </c>
      <c r="N253" s="172">
        <v>0</v>
      </c>
      <c r="O253" s="880"/>
      <c r="P253" s="880">
        <f t="shared" si="133"/>
        <v>0.4318080000004787</v>
      </c>
      <c r="Q253" s="172">
        <f t="shared" si="134"/>
        <v>-0.12819199999952136</v>
      </c>
      <c r="R253" s="172">
        <f t="shared" si="135"/>
        <v>-0.12819199999952136</v>
      </c>
      <c r="S253" s="757" t="str">
        <f t="shared" si="110"/>
        <v>закрыт</v>
      </c>
      <c r="T253" s="2052" t="str">
        <f t="shared" si="101"/>
        <v>закрыт</v>
      </c>
      <c r="U253" s="757">
        <f t="shared" si="136"/>
        <v>21.333333333333336</v>
      </c>
      <c r="V253" s="2254"/>
      <c r="W253" s="2254" t="s">
        <v>3032</v>
      </c>
      <c r="X253" s="912"/>
      <c r="Y253" s="212">
        <v>183</v>
      </c>
      <c r="Z253" s="228">
        <v>10</v>
      </c>
      <c r="AA253" s="212" t="s">
        <v>157</v>
      </c>
      <c r="AB253" s="230">
        <f t="shared" si="102"/>
        <v>2.5</v>
      </c>
      <c r="AC253" s="229"/>
      <c r="AD253" s="229"/>
      <c r="AE253" s="229"/>
      <c r="AF253" s="228"/>
      <c r="AG253" s="212" t="str">
        <f t="shared" si="105"/>
        <v>2,5</v>
      </c>
      <c r="AH253" s="172">
        <f>'Зона РжЭс'!L56</f>
        <v>0.22500000000000001</v>
      </c>
      <c r="AI253" s="172">
        <f t="shared" si="131"/>
        <v>0.78500000000000003</v>
      </c>
      <c r="AJ253" s="1973">
        <f t="shared" si="106"/>
        <v>0.4318080000004787</v>
      </c>
      <c r="AK253" s="212">
        <f t="shared" si="107"/>
        <v>120</v>
      </c>
      <c r="AL253" s="172">
        <f t="shared" si="137"/>
        <v>0.4318080000004787</v>
      </c>
      <c r="AM253" s="1973">
        <f t="shared" si="108"/>
        <v>0</v>
      </c>
      <c r="AN253" s="880">
        <f t="shared" si="138"/>
        <v>0.4318080000004787</v>
      </c>
      <c r="AO253" s="172">
        <f t="shared" si="139"/>
        <v>-0.35319199999952133</v>
      </c>
      <c r="AP253" s="172">
        <f t="shared" si="140"/>
        <v>-0.35319199999952133</v>
      </c>
      <c r="AQ253" s="220" t="str">
        <f>AR253</f>
        <v>закрыт</v>
      </c>
      <c r="AR253" s="2052" t="str">
        <f t="shared" si="109"/>
        <v>закрыт</v>
      </c>
      <c r="AS253" s="935">
        <f t="shared" si="141"/>
        <v>29.904761904761905</v>
      </c>
      <c r="AT253" s="937" t="s">
        <v>747</v>
      </c>
      <c r="AU253" s="1095">
        <v>1981</v>
      </c>
      <c r="AV253" s="1101" t="s">
        <v>3218</v>
      </c>
      <c r="AW253" s="1103">
        <v>56.383859066518198</v>
      </c>
      <c r="AX253" s="1103">
        <v>34.902575835611401</v>
      </c>
    </row>
    <row r="254" spans="1:50" ht="15" customHeight="1" x14ac:dyDescent="0.25">
      <c r="A254" s="212">
        <v>184</v>
      </c>
      <c r="B254" s="212">
        <v>11</v>
      </c>
      <c r="C254" s="212" t="s">
        <v>158</v>
      </c>
      <c r="D254" s="230">
        <v>1.6</v>
      </c>
      <c r="E254" s="229"/>
      <c r="F254" s="229"/>
      <c r="G254" s="229"/>
      <c r="H254" s="228"/>
      <c r="I254" s="229" t="str">
        <f t="shared" si="100"/>
        <v>1,6</v>
      </c>
      <c r="J254" s="882">
        <v>0.51</v>
      </c>
      <c r="K254" s="1423">
        <v>0.40353980000042422</v>
      </c>
      <c r="L254" s="1422">
        <v>120</v>
      </c>
      <c r="M254" s="172">
        <f t="shared" si="132"/>
        <v>0.40353980000042422</v>
      </c>
      <c r="N254" s="172">
        <v>0</v>
      </c>
      <c r="O254" s="880"/>
      <c r="P254" s="880">
        <f t="shared" si="133"/>
        <v>0.40353980000042422</v>
      </c>
      <c r="Q254" s="172">
        <f t="shared" si="134"/>
        <v>-0.10646019999957579</v>
      </c>
      <c r="R254" s="172">
        <f>Q254</f>
        <v>-0.10646019999957579</v>
      </c>
      <c r="S254" s="757" t="str">
        <f>T254</f>
        <v>закрыт</v>
      </c>
      <c r="T254" s="2052" t="str">
        <f t="shared" si="101"/>
        <v>закрыт</v>
      </c>
      <c r="U254" s="757">
        <f t="shared" si="136"/>
        <v>30.357142857142854</v>
      </c>
      <c r="V254" s="2254"/>
      <c r="W254" s="2254" t="s">
        <v>3032</v>
      </c>
      <c r="X254" s="912"/>
      <c r="Y254" s="212">
        <v>184</v>
      </c>
      <c r="Z254" s="228">
        <v>11</v>
      </c>
      <c r="AA254" s="212" t="s">
        <v>158</v>
      </c>
      <c r="AB254" s="230">
        <f t="shared" si="102"/>
        <v>1.6</v>
      </c>
      <c r="AC254" s="229"/>
      <c r="AD254" s="229"/>
      <c r="AE254" s="229"/>
      <c r="AF254" s="228"/>
      <c r="AG254" s="212" t="str">
        <f t="shared" si="105"/>
        <v>1,6</v>
      </c>
      <c r="AH254" s="172">
        <f>'Зона РжЭс'!L58</f>
        <v>0</v>
      </c>
      <c r="AI254" s="172">
        <f t="shared" si="131"/>
        <v>0.51</v>
      </c>
      <c r="AJ254" s="1973">
        <f t="shared" si="106"/>
        <v>0.40353980000042422</v>
      </c>
      <c r="AK254" s="212">
        <f t="shared" si="107"/>
        <v>120</v>
      </c>
      <c r="AL254" s="172">
        <f t="shared" si="137"/>
        <v>0.40353980000042422</v>
      </c>
      <c r="AM254" s="1973">
        <f t="shared" si="108"/>
        <v>0</v>
      </c>
      <c r="AN254" s="880">
        <f t="shared" si="138"/>
        <v>0.40353980000042422</v>
      </c>
      <c r="AO254" s="172">
        <f t="shared" si="139"/>
        <v>-0.10646019999957579</v>
      </c>
      <c r="AP254" s="172">
        <f t="shared" si="140"/>
        <v>-0.10646019999957579</v>
      </c>
      <c r="AQ254" s="220" t="str">
        <f>AR254</f>
        <v>закрыт</v>
      </c>
      <c r="AR254" s="2052" t="str">
        <f t="shared" si="109"/>
        <v>закрыт</v>
      </c>
      <c r="AS254" s="935">
        <f t="shared" si="141"/>
        <v>30.357142857142854</v>
      </c>
      <c r="AT254" s="937" t="s">
        <v>747</v>
      </c>
      <c r="AU254" s="1095">
        <v>1979</v>
      </c>
      <c r="AV254" s="1101" t="s">
        <v>3218</v>
      </c>
      <c r="AW254" s="1103">
        <v>56.674827484590097</v>
      </c>
      <c r="AX254" s="1103">
        <v>34.713152769420098</v>
      </c>
    </row>
    <row r="255" spans="1:50" ht="15" customHeight="1" x14ac:dyDescent="0.25">
      <c r="A255" s="212">
        <v>185</v>
      </c>
      <c r="B255" s="212">
        <v>12</v>
      </c>
      <c r="C255" s="212" t="s">
        <v>159</v>
      </c>
      <c r="D255" s="230">
        <v>10</v>
      </c>
      <c r="E255" s="229" t="s">
        <v>773</v>
      </c>
      <c r="F255" s="229">
        <v>10</v>
      </c>
      <c r="G255" s="229"/>
      <c r="H255" s="228"/>
      <c r="I255" s="229" t="str">
        <f t="shared" si="100"/>
        <v>10+10</v>
      </c>
      <c r="J255" s="882">
        <v>10.17</v>
      </c>
      <c r="K255" s="1423">
        <v>1.8281463600013921</v>
      </c>
      <c r="L255" s="1422">
        <v>240</v>
      </c>
      <c r="M255" s="172">
        <f t="shared" ref="M255:M282" si="142">J255-K255</f>
        <v>8.3418536399986074</v>
      </c>
      <c r="N255" s="172">
        <v>0</v>
      </c>
      <c r="O255" s="880"/>
      <c r="P255" s="880">
        <f t="shared" ref="P255:P282" si="143">MIN(D255:F255)*1.05</f>
        <v>10.5</v>
      </c>
      <c r="Q255" s="172">
        <f>P255-N255-M255</f>
        <v>2.1581463600013926</v>
      </c>
      <c r="R255" s="172">
        <f t="shared" si="135"/>
        <v>2.1581463600013926</v>
      </c>
      <c r="S255" s="757" t="str">
        <f t="shared" si="110"/>
        <v>открыт</v>
      </c>
      <c r="T255" s="2052" t="str">
        <f t="shared" si="101"/>
        <v>открыт</v>
      </c>
      <c r="U255" s="757">
        <f>(J255*100)/P255</f>
        <v>96.857142857142861</v>
      </c>
      <c r="V255" s="2254">
        <v>0.4</v>
      </c>
      <c r="W255" s="2254" t="s">
        <v>3033</v>
      </c>
      <c r="X255" s="912"/>
      <c r="Y255" s="212">
        <v>185</v>
      </c>
      <c r="Z255" s="228">
        <v>12</v>
      </c>
      <c r="AA255" s="212" t="s">
        <v>159</v>
      </c>
      <c r="AB255" s="230">
        <f t="shared" si="102"/>
        <v>10</v>
      </c>
      <c r="AC255" s="229" t="str">
        <f t="shared" si="103"/>
        <v>+</v>
      </c>
      <c r="AD255" s="229">
        <f t="shared" si="104"/>
        <v>10</v>
      </c>
      <c r="AE255" s="229"/>
      <c r="AF255" s="228"/>
      <c r="AG255" s="212" t="str">
        <f t="shared" si="105"/>
        <v>10+10</v>
      </c>
      <c r="AH255" s="172">
        <f>'Зона РжЭс'!L68</f>
        <v>0.53413043478260858</v>
      </c>
      <c r="AI255" s="172">
        <f t="shared" si="131"/>
        <v>10.704130434782609</v>
      </c>
      <c r="AJ255" s="1973">
        <f t="shared" si="106"/>
        <v>1.8281463600013921</v>
      </c>
      <c r="AK255" s="212">
        <f t="shared" si="107"/>
        <v>240</v>
      </c>
      <c r="AL255" s="172">
        <f t="shared" ref="AL255:AL282" si="144">AI255-AJ255</f>
        <v>8.8759840747812166</v>
      </c>
      <c r="AM255" s="1973">
        <f t="shared" si="108"/>
        <v>0</v>
      </c>
      <c r="AN255" s="880">
        <f t="shared" ref="AN255:AN282" si="145">MIN(AB255:AF255)*1.05</f>
        <v>10.5</v>
      </c>
      <c r="AO255" s="172">
        <f>AN255-AM255-AL255</f>
        <v>1.6240159252187834</v>
      </c>
      <c r="AP255" s="172">
        <f t="shared" si="140"/>
        <v>1.6240159252187834</v>
      </c>
      <c r="AQ255" s="220" t="str">
        <f t="shared" si="111"/>
        <v>открыт</v>
      </c>
      <c r="AR255" s="2052" t="str">
        <f t="shared" si="109"/>
        <v>открыт</v>
      </c>
      <c r="AS255" s="935">
        <f>(AI255*100)/AN255</f>
        <v>101.944099378882</v>
      </c>
      <c r="AT255" s="937" t="s">
        <v>747</v>
      </c>
      <c r="AU255" s="1095">
        <v>1976</v>
      </c>
      <c r="AV255" s="1101" t="s">
        <v>3218</v>
      </c>
      <c r="AW255" s="1103">
        <v>56.266524758189703</v>
      </c>
      <c r="AX255" s="1103">
        <v>34.270968538802499</v>
      </c>
    </row>
    <row r="256" spans="1:50" ht="15" customHeight="1" x14ac:dyDescent="0.25">
      <c r="A256" s="212">
        <v>186</v>
      </c>
      <c r="B256" s="212">
        <v>13</v>
      </c>
      <c r="C256" s="212" t="s">
        <v>160</v>
      </c>
      <c r="D256" s="230">
        <v>2.5</v>
      </c>
      <c r="E256" s="229" t="s">
        <v>773</v>
      </c>
      <c r="F256" s="229">
        <v>2.5</v>
      </c>
      <c r="G256" s="229"/>
      <c r="H256" s="228"/>
      <c r="I256" s="229" t="str">
        <f t="shared" si="100"/>
        <v>2,5+2,5</v>
      </c>
      <c r="J256" s="882">
        <v>0.36</v>
      </c>
      <c r="K256" s="1423">
        <v>0</v>
      </c>
      <c r="L256" s="1422"/>
      <c r="M256" s="172">
        <f t="shared" si="142"/>
        <v>0.36</v>
      </c>
      <c r="N256" s="172">
        <v>0</v>
      </c>
      <c r="O256" s="880"/>
      <c r="P256" s="880">
        <f t="shared" si="143"/>
        <v>2.625</v>
      </c>
      <c r="Q256" s="172">
        <f>P256-N256-M256</f>
        <v>2.2650000000000001</v>
      </c>
      <c r="R256" s="172">
        <f t="shared" si="135"/>
        <v>2.2650000000000001</v>
      </c>
      <c r="S256" s="757" t="str">
        <f t="shared" si="110"/>
        <v>открыт</v>
      </c>
      <c r="T256" s="2052" t="str">
        <f t="shared" si="101"/>
        <v>открыт</v>
      </c>
      <c r="U256" s="757">
        <f>(J256*100)/P256</f>
        <v>13.714285714285714</v>
      </c>
      <c r="V256" s="2254"/>
      <c r="W256" s="2254" t="s">
        <v>3032</v>
      </c>
      <c r="X256" s="912"/>
      <c r="Y256" s="212">
        <v>186</v>
      </c>
      <c r="Z256" s="228">
        <v>13</v>
      </c>
      <c r="AA256" s="212" t="s">
        <v>160</v>
      </c>
      <c r="AB256" s="230">
        <f t="shared" si="102"/>
        <v>2.5</v>
      </c>
      <c r="AC256" s="229" t="str">
        <f t="shared" si="103"/>
        <v>+</v>
      </c>
      <c r="AD256" s="229">
        <f t="shared" si="104"/>
        <v>2.5</v>
      </c>
      <c r="AE256" s="229"/>
      <c r="AF256" s="228"/>
      <c r="AG256" s="212" t="str">
        <f t="shared" si="105"/>
        <v>2,5+2,5</v>
      </c>
      <c r="AH256" s="172">
        <f>'Зона РжЭс'!L70</f>
        <v>0</v>
      </c>
      <c r="AI256" s="172">
        <f t="shared" si="131"/>
        <v>0.36</v>
      </c>
      <c r="AJ256" s="1973">
        <f t="shared" si="106"/>
        <v>0</v>
      </c>
      <c r="AK256" s="212">
        <f t="shared" si="107"/>
        <v>0</v>
      </c>
      <c r="AL256" s="172">
        <f t="shared" si="144"/>
        <v>0.36</v>
      </c>
      <c r="AM256" s="1973">
        <f t="shared" si="108"/>
        <v>0</v>
      </c>
      <c r="AN256" s="880">
        <f t="shared" si="145"/>
        <v>2.625</v>
      </c>
      <c r="AO256" s="172">
        <f>AN256-AM256-AL256</f>
        <v>2.2650000000000001</v>
      </c>
      <c r="AP256" s="172">
        <f t="shared" si="140"/>
        <v>2.2650000000000001</v>
      </c>
      <c r="AQ256" s="220" t="str">
        <f t="shared" si="111"/>
        <v>открыт</v>
      </c>
      <c r="AR256" s="2052" t="str">
        <f t="shared" si="109"/>
        <v>открыт</v>
      </c>
      <c r="AS256" s="935">
        <f>(AI256*100)/AN256</f>
        <v>13.714285714285714</v>
      </c>
      <c r="AT256" s="937" t="s">
        <v>747</v>
      </c>
      <c r="AU256" s="1095">
        <v>1972</v>
      </c>
      <c r="AV256" s="1101" t="s">
        <v>3218</v>
      </c>
      <c r="AW256" s="1103">
        <v>56.0238544268759</v>
      </c>
      <c r="AX256" s="1103">
        <v>34.311537677285699</v>
      </c>
    </row>
    <row r="257" spans="1:50" ht="15" customHeight="1" x14ac:dyDescent="0.25">
      <c r="A257" s="212">
        <v>187</v>
      </c>
      <c r="B257" s="212">
        <v>14</v>
      </c>
      <c r="C257" s="212" t="s">
        <v>161</v>
      </c>
      <c r="D257" s="230">
        <v>2.5</v>
      </c>
      <c r="E257" s="229" t="s">
        <v>773</v>
      </c>
      <c r="F257" s="229">
        <v>3.2</v>
      </c>
      <c r="G257" s="229"/>
      <c r="H257" s="228"/>
      <c r="I257" s="229" t="str">
        <f t="shared" si="100"/>
        <v>2,5+3,2</v>
      </c>
      <c r="J257" s="882">
        <v>1.2</v>
      </c>
      <c r="K257" s="1423">
        <v>0</v>
      </c>
      <c r="L257" s="1422"/>
      <c r="M257" s="172">
        <f t="shared" si="142"/>
        <v>1.2</v>
      </c>
      <c r="N257" s="172">
        <v>0</v>
      </c>
      <c r="O257" s="880"/>
      <c r="P257" s="880">
        <f t="shared" si="143"/>
        <v>2.625</v>
      </c>
      <c r="Q257" s="172">
        <f>P257-N257-M257</f>
        <v>1.425</v>
      </c>
      <c r="R257" s="172">
        <f t="shared" si="135"/>
        <v>1.425</v>
      </c>
      <c r="S257" s="757" t="str">
        <f t="shared" si="110"/>
        <v>открыт</v>
      </c>
      <c r="T257" s="2052" t="str">
        <f t="shared" si="101"/>
        <v>открыт</v>
      </c>
      <c r="U257" s="757">
        <f>(J257*100)/P257</f>
        <v>45.714285714285715</v>
      </c>
      <c r="V257" s="2254"/>
      <c r="W257" s="2254" t="s">
        <v>3032</v>
      </c>
      <c r="X257" s="912"/>
      <c r="Y257" s="212">
        <v>187</v>
      </c>
      <c r="Z257" s="228">
        <v>14</v>
      </c>
      <c r="AA257" s="212" t="s">
        <v>161</v>
      </c>
      <c r="AB257" s="230">
        <f t="shared" si="102"/>
        <v>2.5</v>
      </c>
      <c r="AC257" s="229" t="str">
        <f t="shared" si="103"/>
        <v>+</v>
      </c>
      <c r="AD257" s="229">
        <f t="shared" si="104"/>
        <v>3.2</v>
      </c>
      <c r="AE257" s="229"/>
      <c r="AF257" s="228"/>
      <c r="AG257" s="212" t="str">
        <f t="shared" si="105"/>
        <v>2,5+3,2</v>
      </c>
      <c r="AH257" s="172">
        <f>'Зона РжЭс'!L82</f>
        <v>0.81358695652173918</v>
      </c>
      <c r="AI257" s="172">
        <f t="shared" si="131"/>
        <v>2.0135869565217392</v>
      </c>
      <c r="AJ257" s="1973">
        <f t="shared" si="106"/>
        <v>0</v>
      </c>
      <c r="AK257" s="212">
        <f t="shared" si="107"/>
        <v>0</v>
      </c>
      <c r="AL257" s="172">
        <f t="shared" si="144"/>
        <v>2.0135869565217392</v>
      </c>
      <c r="AM257" s="1973">
        <f t="shared" si="108"/>
        <v>0</v>
      </c>
      <c r="AN257" s="880">
        <f t="shared" si="145"/>
        <v>2.625</v>
      </c>
      <c r="AO257" s="172">
        <f>AN257-AM257-AL257</f>
        <v>0.61141304347826075</v>
      </c>
      <c r="AP257" s="172">
        <f t="shared" si="140"/>
        <v>0.61141304347826075</v>
      </c>
      <c r="AQ257" s="220" t="str">
        <f>AR257</f>
        <v>открыт</v>
      </c>
      <c r="AR257" s="2052" t="str">
        <f t="shared" si="109"/>
        <v>открыт</v>
      </c>
      <c r="AS257" s="935">
        <f>(AI257*100)/AN257</f>
        <v>76.708074534161497</v>
      </c>
      <c r="AT257" s="937" t="s">
        <v>747</v>
      </c>
      <c r="AU257" s="1095">
        <v>1960</v>
      </c>
      <c r="AV257" s="1101" t="s">
        <v>3218</v>
      </c>
      <c r="AW257" s="1103">
        <v>56.465882846709498</v>
      </c>
      <c r="AX257" s="1103">
        <v>34.035018695647601</v>
      </c>
    </row>
    <row r="258" spans="1:50" ht="15" customHeight="1" x14ac:dyDescent="0.25">
      <c r="A258" s="212">
        <v>188</v>
      </c>
      <c r="B258" s="212">
        <v>15</v>
      </c>
      <c r="C258" s="212" t="s">
        <v>162</v>
      </c>
      <c r="D258" s="230">
        <v>4</v>
      </c>
      <c r="E258" s="229" t="s">
        <v>773</v>
      </c>
      <c r="F258" s="229">
        <v>4</v>
      </c>
      <c r="G258" s="229"/>
      <c r="H258" s="228"/>
      <c r="I258" s="229" t="str">
        <f t="shared" si="100"/>
        <v>4+4</v>
      </c>
      <c r="J258" s="882">
        <v>1.1599999999999999</v>
      </c>
      <c r="K258" s="1423">
        <v>1.1399999999999999</v>
      </c>
      <c r="L258" s="1422">
        <v>180</v>
      </c>
      <c r="M258" s="172">
        <f t="shared" si="142"/>
        <v>2.0000000000000018E-2</v>
      </c>
      <c r="N258" s="172">
        <v>0</v>
      </c>
      <c r="O258" s="880"/>
      <c r="P258" s="880">
        <f t="shared" si="143"/>
        <v>4.2</v>
      </c>
      <c r="Q258" s="172">
        <f>P258-N258-M258</f>
        <v>4.18</v>
      </c>
      <c r="R258" s="172">
        <f t="shared" si="135"/>
        <v>4.18</v>
      </c>
      <c r="S258" s="757" t="str">
        <f t="shared" si="110"/>
        <v>открыт</v>
      </c>
      <c r="T258" s="2052" t="str">
        <f t="shared" si="101"/>
        <v>открыт</v>
      </c>
      <c r="U258" s="757">
        <f>(J258*100)/P258</f>
        <v>27.619047619047613</v>
      </c>
      <c r="V258" s="2254"/>
      <c r="W258" s="2254" t="s">
        <v>3032</v>
      </c>
      <c r="X258" s="912"/>
      <c r="Y258" s="212">
        <v>188</v>
      </c>
      <c r="Z258" s="228">
        <v>15</v>
      </c>
      <c r="AA258" s="212" t="s">
        <v>162</v>
      </c>
      <c r="AB258" s="230">
        <f t="shared" si="102"/>
        <v>4</v>
      </c>
      <c r="AC258" s="229" t="str">
        <f t="shared" si="103"/>
        <v>+</v>
      </c>
      <c r="AD258" s="229">
        <f t="shared" si="104"/>
        <v>4</v>
      </c>
      <c r="AE258" s="229"/>
      <c r="AF258" s="228"/>
      <c r="AG258" s="212" t="str">
        <f t="shared" si="105"/>
        <v>4+4</v>
      </c>
      <c r="AH258" s="172">
        <f>'Зона РжЭс'!L92</f>
        <v>0</v>
      </c>
      <c r="AI258" s="172">
        <f t="shared" si="131"/>
        <v>1.1599999999999999</v>
      </c>
      <c r="AJ258" s="1973">
        <f t="shared" si="106"/>
        <v>1.1399999999999999</v>
      </c>
      <c r="AK258" s="212">
        <f t="shared" si="107"/>
        <v>180</v>
      </c>
      <c r="AL258" s="172">
        <f t="shared" si="144"/>
        <v>2.0000000000000018E-2</v>
      </c>
      <c r="AM258" s="1973">
        <f t="shared" si="108"/>
        <v>0</v>
      </c>
      <c r="AN258" s="880">
        <f t="shared" si="145"/>
        <v>4.2</v>
      </c>
      <c r="AO258" s="172">
        <f>AN258-AM258-AL258</f>
        <v>4.18</v>
      </c>
      <c r="AP258" s="172">
        <f t="shared" si="140"/>
        <v>4.18</v>
      </c>
      <c r="AQ258" s="220" t="str">
        <f t="shared" si="111"/>
        <v>открыт</v>
      </c>
      <c r="AR258" s="2052" t="str">
        <f t="shared" si="109"/>
        <v>открыт</v>
      </c>
      <c r="AS258" s="935">
        <f>(AI258*100)/AN258</f>
        <v>27.619047619047613</v>
      </c>
      <c r="AT258" s="937" t="s">
        <v>747</v>
      </c>
      <c r="AU258" s="1095">
        <v>1973</v>
      </c>
      <c r="AV258" s="1101" t="s">
        <v>3218</v>
      </c>
      <c r="AW258" s="1103">
        <v>56.265401748841903</v>
      </c>
      <c r="AX258" s="1103">
        <v>34.4570924679253</v>
      </c>
    </row>
    <row r="259" spans="1:50" ht="15" customHeight="1" x14ac:dyDescent="0.25">
      <c r="A259" s="2419">
        <v>189</v>
      </c>
      <c r="B259" s="2419">
        <v>16</v>
      </c>
      <c r="C259" s="212" t="s">
        <v>3025</v>
      </c>
      <c r="D259" s="230">
        <v>25</v>
      </c>
      <c r="E259" s="229" t="s">
        <v>773</v>
      </c>
      <c r="F259" s="229">
        <v>25</v>
      </c>
      <c r="G259" s="229"/>
      <c r="H259" s="228"/>
      <c r="I259" s="229" t="str">
        <f t="shared" si="100"/>
        <v>25+25</v>
      </c>
      <c r="J259" s="882">
        <v>14.030000000000001</v>
      </c>
      <c r="K259" s="889">
        <v>3.2692045000000198</v>
      </c>
      <c r="L259" s="124">
        <v>240</v>
      </c>
      <c r="M259" s="172">
        <f t="shared" si="142"/>
        <v>10.760795499999981</v>
      </c>
      <c r="N259" s="172">
        <v>0</v>
      </c>
      <c r="O259" s="880"/>
      <c r="P259" s="880">
        <f>MIN(D259:F259)*1.05</f>
        <v>26.25</v>
      </c>
      <c r="Q259" s="172">
        <f>P259-N259-M259</f>
        <v>15.489204500000019</v>
      </c>
      <c r="R259" s="2405">
        <f>MIN(Q259:Q261)</f>
        <v>0</v>
      </c>
      <c r="S259" s="2405" t="str">
        <f>T259</f>
        <v>открыт</v>
      </c>
      <c r="T259" s="2052" t="str">
        <f t="shared" si="101"/>
        <v>открыт</v>
      </c>
      <c r="U259" s="2398">
        <f>(J259*100)/P259</f>
        <v>53.44761904761905</v>
      </c>
      <c r="V259" s="2398">
        <v>0.3</v>
      </c>
      <c r="W259" s="2398" t="s">
        <v>3033</v>
      </c>
      <c r="X259" s="912"/>
      <c r="Y259" s="2419">
        <v>189</v>
      </c>
      <c r="Z259" s="2411">
        <v>16</v>
      </c>
      <c r="AA259" s="212" t="s">
        <v>3025</v>
      </c>
      <c r="AB259" s="230">
        <f t="shared" si="102"/>
        <v>25</v>
      </c>
      <c r="AC259" s="229" t="str">
        <f t="shared" si="103"/>
        <v>+</v>
      </c>
      <c r="AD259" s="229">
        <f t="shared" si="104"/>
        <v>25</v>
      </c>
      <c r="AE259" s="229"/>
      <c r="AF259" s="228"/>
      <c r="AG259" s="212" t="str">
        <f t="shared" si="105"/>
        <v>25+25</v>
      </c>
      <c r="AH259" s="172">
        <f>SUM(AH260:AH261)</f>
        <v>2.4767741935483873</v>
      </c>
      <c r="AI259" s="172">
        <f t="shared" si="131"/>
        <v>16.506774193548388</v>
      </c>
      <c r="AJ259" s="1973">
        <f t="shared" si="106"/>
        <v>3.2692045000000198</v>
      </c>
      <c r="AK259" s="212">
        <f t="shared" si="107"/>
        <v>240</v>
      </c>
      <c r="AL259" s="172">
        <f t="shared" si="144"/>
        <v>13.237569693548368</v>
      </c>
      <c r="AM259" s="1973">
        <f t="shared" si="108"/>
        <v>0</v>
      </c>
      <c r="AN259" s="880">
        <f>MIN(AB259:AF259)*1.05</f>
        <v>26.25</v>
      </c>
      <c r="AO259" s="172">
        <f>AN259-AM259-AL259</f>
        <v>13.012430306451632</v>
      </c>
      <c r="AP259" s="2405">
        <f t="shared" si="140"/>
        <v>13.012430306451632</v>
      </c>
      <c r="AQ259" s="2405" t="str">
        <f>AR259</f>
        <v>открыт</v>
      </c>
      <c r="AR259" s="2052" t="str">
        <f t="shared" si="109"/>
        <v>открыт</v>
      </c>
      <c r="AS259" s="935">
        <f>(AI259*100)/AN259</f>
        <v>62.882949308755762</v>
      </c>
      <c r="AT259" s="937" t="s">
        <v>747</v>
      </c>
      <c r="AU259" s="1095">
        <v>1975</v>
      </c>
      <c r="AV259" s="1101" t="s">
        <v>3218</v>
      </c>
      <c r="AW259" s="1103">
        <v>56.172469954641201</v>
      </c>
      <c r="AX259" s="1103">
        <v>34.5756604961677</v>
      </c>
    </row>
    <row r="260" spans="1:50" ht="15" customHeight="1" x14ac:dyDescent="0.25">
      <c r="A260" s="2419"/>
      <c r="B260" s="2419"/>
      <c r="C260" s="7" t="s">
        <v>1807</v>
      </c>
      <c r="D260" s="230">
        <v>25</v>
      </c>
      <c r="E260" s="229" t="s">
        <v>773</v>
      </c>
      <c r="F260" s="229">
        <v>25</v>
      </c>
      <c r="G260" s="229"/>
      <c r="H260" s="228"/>
      <c r="I260" s="229" t="str">
        <f t="shared" si="100"/>
        <v>25+25</v>
      </c>
      <c r="J260" s="882">
        <v>5.46</v>
      </c>
      <c r="K260" s="889">
        <v>2.41</v>
      </c>
      <c r="L260" s="124">
        <v>240</v>
      </c>
      <c r="M260" s="172">
        <f t="shared" si="142"/>
        <v>3.05</v>
      </c>
      <c r="N260" s="172">
        <v>0</v>
      </c>
      <c r="O260" s="880"/>
      <c r="P260" s="880">
        <f>MIN(D260:F260)*1.05</f>
        <v>26.25</v>
      </c>
      <c r="Q260" s="172">
        <v>0</v>
      </c>
      <c r="R260" s="2406"/>
      <c r="S260" s="2406"/>
      <c r="T260" s="2052" t="str">
        <f t="shared" si="101"/>
        <v>открыт</v>
      </c>
      <c r="U260" s="2398"/>
      <c r="V260" s="2398"/>
      <c r="W260" s="2398" t="s">
        <v>3033</v>
      </c>
      <c r="X260" s="912"/>
      <c r="Y260" s="2419"/>
      <c r="Z260" s="2411"/>
      <c r="AA260" s="7" t="s">
        <v>1807</v>
      </c>
      <c r="AB260" s="230">
        <f t="shared" si="102"/>
        <v>25</v>
      </c>
      <c r="AC260" s="229" t="str">
        <f t="shared" si="103"/>
        <v>+</v>
      </c>
      <c r="AD260" s="229">
        <f t="shared" si="104"/>
        <v>25</v>
      </c>
      <c r="AE260" s="229"/>
      <c r="AF260" s="228"/>
      <c r="AG260" s="212" t="str">
        <f t="shared" si="105"/>
        <v>25+25</v>
      </c>
      <c r="AH260" s="172">
        <f>SUM(AH261)</f>
        <v>1.2383870967741937</v>
      </c>
      <c r="AI260" s="213">
        <v>0</v>
      </c>
      <c r="AJ260" s="1973">
        <f t="shared" si="106"/>
        <v>2.41</v>
      </c>
      <c r="AK260" s="212">
        <f t="shared" si="107"/>
        <v>240</v>
      </c>
      <c r="AL260" s="172">
        <f t="shared" si="144"/>
        <v>-2.41</v>
      </c>
      <c r="AM260" s="1973">
        <f t="shared" si="108"/>
        <v>0</v>
      </c>
      <c r="AN260" s="880">
        <f>MIN(AB260:AF260)*1.05</f>
        <v>26.25</v>
      </c>
      <c r="AO260" s="172">
        <v>0</v>
      </c>
      <c r="AP260" s="2406"/>
      <c r="AQ260" s="2406"/>
      <c r="AR260" s="2052" t="str">
        <f t="shared" si="109"/>
        <v>открыт</v>
      </c>
      <c r="AS260" s="935"/>
      <c r="AT260" s="937" t="s">
        <v>747</v>
      </c>
      <c r="AU260" s="1095">
        <v>1975</v>
      </c>
      <c r="AV260" s="1101" t="s">
        <v>3218</v>
      </c>
      <c r="AW260" s="1103">
        <v>56.172469954641201</v>
      </c>
      <c r="AX260" s="1103">
        <v>34.5756604961677</v>
      </c>
    </row>
    <row r="261" spans="1:50" ht="15" customHeight="1" x14ac:dyDescent="0.25">
      <c r="A261" s="2419"/>
      <c r="B261" s="2419"/>
      <c r="C261" s="7" t="s">
        <v>1767</v>
      </c>
      <c r="D261" s="230">
        <v>25</v>
      </c>
      <c r="E261" s="229" t="s">
        <v>773</v>
      </c>
      <c r="F261" s="229">
        <v>25</v>
      </c>
      <c r="G261" s="229"/>
      <c r="H261" s="228"/>
      <c r="I261" s="229" t="str">
        <f t="shared" si="100"/>
        <v>25+25</v>
      </c>
      <c r="J261" s="882">
        <v>8.57</v>
      </c>
      <c r="K261" s="889">
        <v>0.8592045000000198</v>
      </c>
      <c r="L261" s="124">
        <v>120</v>
      </c>
      <c r="M261" s="172">
        <f t="shared" si="142"/>
        <v>7.7107954999999802</v>
      </c>
      <c r="N261" s="172">
        <v>0</v>
      </c>
      <c r="O261" s="880"/>
      <c r="P261" s="880">
        <f>MIN(D261:F261)*1.05</f>
        <v>26.25</v>
      </c>
      <c r="Q261" s="172">
        <v>0</v>
      </c>
      <c r="R261" s="2407"/>
      <c r="S261" s="2407"/>
      <c r="T261" s="2052" t="str">
        <f t="shared" si="101"/>
        <v>открыт</v>
      </c>
      <c r="U261" s="2398"/>
      <c r="V261" s="2398"/>
      <c r="W261" s="2398" t="s">
        <v>3033</v>
      </c>
      <c r="X261" s="912"/>
      <c r="Y261" s="2419"/>
      <c r="Z261" s="2411"/>
      <c r="AA261" s="7" t="s">
        <v>1767</v>
      </c>
      <c r="AB261" s="230">
        <f t="shared" si="102"/>
        <v>25</v>
      </c>
      <c r="AC261" s="229" t="str">
        <f t="shared" si="103"/>
        <v>+</v>
      </c>
      <c r="AD261" s="229">
        <f t="shared" si="104"/>
        <v>25</v>
      </c>
      <c r="AE261" s="229"/>
      <c r="AF261" s="228"/>
      <c r="AG261" s="212" t="str">
        <f t="shared" si="105"/>
        <v>25+25</v>
      </c>
      <c r="AH261" s="172">
        <f>'Зона РжЭс'!L120</f>
        <v>1.2383870967741937</v>
      </c>
      <c r="AI261" s="882">
        <f>J261+AH261</f>
        <v>9.8083870967741937</v>
      </c>
      <c r="AJ261" s="1973">
        <f t="shared" si="106"/>
        <v>0.8592045000000198</v>
      </c>
      <c r="AK261" s="212">
        <f t="shared" si="107"/>
        <v>120</v>
      </c>
      <c r="AL261" s="172">
        <f t="shared" si="144"/>
        <v>8.9491825967741736</v>
      </c>
      <c r="AM261" s="1973">
        <f t="shared" si="108"/>
        <v>0</v>
      </c>
      <c r="AN261" s="880">
        <f>MIN(AB261:AF261)*1.05</f>
        <v>26.25</v>
      </c>
      <c r="AO261" s="172">
        <f t="shared" ref="AO261:AO267" si="146">AN261-AM261-AL261</f>
        <v>17.300817403225828</v>
      </c>
      <c r="AP261" s="2407"/>
      <c r="AQ261" s="2407"/>
      <c r="AR261" s="2052" t="str">
        <f t="shared" si="109"/>
        <v>открыт</v>
      </c>
      <c r="AS261" s="935"/>
      <c r="AT261" s="937" t="s">
        <v>747</v>
      </c>
      <c r="AU261" s="1095">
        <v>1975</v>
      </c>
      <c r="AV261" s="1101" t="s">
        <v>3218</v>
      </c>
      <c r="AW261" s="1103">
        <v>56.172469954641201</v>
      </c>
      <c r="AX261" s="1103">
        <v>34.5756604961677</v>
      </c>
    </row>
    <row r="262" spans="1:50" ht="15" customHeight="1" x14ac:dyDescent="0.25">
      <c r="A262" s="212">
        <v>190</v>
      </c>
      <c r="B262" s="212">
        <v>17</v>
      </c>
      <c r="C262" s="212" t="s">
        <v>163</v>
      </c>
      <c r="D262" s="230">
        <v>5.6</v>
      </c>
      <c r="E262" s="229" t="s">
        <v>773</v>
      </c>
      <c r="F262" s="229">
        <v>5.6</v>
      </c>
      <c r="G262" s="229"/>
      <c r="H262" s="228"/>
      <c r="I262" s="229" t="str">
        <f t="shared" si="100"/>
        <v>5,6+5,6</v>
      </c>
      <c r="J262" s="882">
        <v>3.58</v>
      </c>
      <c r="K262" s="1423">
        <v>0.43056239999947998</v>
      </c>
      <c r="L262" s="1422">
        <v>240</v>
      </c>
      <c r="M262" s="172">
        <f t="shared" si="142"/>
        <v>3.1494376000005202</v>
      </c>
      <c r="N262" s="172">
        <v>0</v>
      </c>
      <c r="O262" s="880"/>
      <c r="P262" s="880">
        <f t="shared" si="143"/>
        <v>5.88</v>
      </c>
      <c r="Q262" s="172">
        <f t="shared" ref="Q262:Q267" si="147">P262-N262-M262</f>
        <v>2.7305623999994797</v>
      </c>
      <c r="R262" s="172">
        <f t="shared" si="135"/>
        <v>2.7305623999994797</v>
      </c>
      <c r="S262" s="757" t="str">
        <f t="shared" si="110"/>
        <v>открыт</v>
      </c>
      <c r="T262" s="2052" t="str">
        <f t="shared" si="101"/>
        <v>открыт</v>
      </c>
      <c r="U262" s="757">
        <f t="shared" ref="U262:U268" si="148">(J262*100)/P262</f>
        <v>60.884353741496597</v>
      </c>
      <c r="V262" s="2254"/>
      <c r="W262" s="2254" t="s">
        <v>3032</v>
      </c>
      <c r="X262" s="912"/>
      <c r="Y262" s="212">
        <v>190</v>
      </c>
      <c r="Z262" s="228">
        <v>17</v>
      </c>
      <c r="AA262" s="212" t="s">
        <v>163</v>
      </c>
      <c r="AB262" s="230">
        <f t="shared" si="102"/>
        <v>5.6</v>
      </c>
      <c r="AC262" s="229" t="str">
        <f t="shared" si="103"/>
        <v>+</v>
      </c>
      <c r="AD262" s="229">
        <f t="shared" si="104"/>
        <v>5.6</v>
      </c>
      <c r="AE262" s="229"/>
      <c r="AF262" s="228"/>
      <c r="AG262" s="212" t="str">
        <f t="shared" si="105"/>
        <v>5,6+5,6</v>
      </c>
      <c r="AH262" s="172">
        <f>'Зона РжЭс'!L137</f>
        <v>0.69413043478260872</v>
      </c>
      <c r="AI262" s="172">
        <f t="shared" ref="AI262:AI293" si="149">AH262+J262</f>
        <v>4.2741304347826086</v>
      </c>
      <c r="AJ262" s="1973">
        <f t="shared" si="106"/>
        <v>0.43056239999947998</v>
      </c>
      <c r="AK262" s="212">
        <f t="shared" si="107"/>
        <v>240</v>
      </c>
      <c r="AL262" s="172">
        <f t="shared" si="144"/>
        <v>3.8435680347831287</v>
      </c>
      <c r="AM262" s="1973">
        <f t="shared" si="108"/>
        <v>0</v>
      </c>
      <c r="AN262" s="880">
        <f t="shared" si="145"/>
        <v>5.88</v>
      </c>
      <c r="AO262" s="172">
        <f t="shared" si="146"/>
        <v>2.0364319652168712</v>
      </c>
      <c r="AP262" s="172">
        <f t="shared" si="140"/>
        <v>2.0364319652168712</v>
      </c>
      <c r="AQ262" s="172" t="str">
        <f t="shared" si="111"/>
        <v>открыт</v>
      </c>
      <c r="AR262" s="2052" t="str">
        <f t="shared" si="109"/>
        <v>открыт</v>
      </c>
      <c r="AS262" s="935">
        <f t="shared" ref="AS262:AS268" si="150">(AI262*100)/AN262</f>
        <v>72.689293108547773</v>
      </c>
      <c r="AT262" s="937" t="s">
        <v>747</v>
      </c>
      <c r="AU262" s="1095">
        <v>1975</v>
      </c>
      <c r="AV262" s="1101" t="s">
        <v>3218</v>
      </c>
      <c r="AW262" s="1103">
        <v>56.132142444197598</v>
      </c>
      <c r="AX262" s="1103">
        <v>34.898052747883298</v>
      </c>
    </row>
    <row r="263" spans="1:50" ht="15" customHeight="1" x14ac:dyDescent="0.25">
      <c r="A263" s="212">
        <v>191</v>
      </c>
      <c r="B263" s="212">
        <v>18</v>
      </c>
      <c r="C263" s="212" t="s">
        <v>164</v>
      </c>
      <c r="D263" s="230">
        <v>4</v>
      </c>
      <c r="E263" s="229" t="s">
        <v>773</v>
      </c>
      <c r="F263" s="229">
        <v>4</v>
      </c>
      <c r="G263" s="229"/>
      <c r="H263" s="228"/>
      <c r="I263" s="229" t="str">
        <f t="shared" si="100"/>
        <v>4+4</v>
      </c>
      <c r="J263" s="882">
        <v>1.1100000000000001</v>
      </c>
      <c r="K263" s="1423">
        <v>0</v>
      </c>
      <c r="L263" s="1422"/>
      <c r="M263" s="172">
        <f t="shared" si="142"/>
        <v>1.1100000000000001</v>
      </c>
      <c r="N263" s="172">
        <v>0</v>
      </c>
      <c r="O263" s="880"/>
      <c r="P263" s="880">
        <f t="shared" si="143"/>
        <v>4.2</v>
      </c>
      <c r="Q263" s="172">
        <f t="shared" si="147"/>
        <v>3.09</v>
      </c>
      <c r="R263" s="172">
        <f t="shared" si="135"/>
        <v>3.09</v>
      </c>
      <c r="S263" s="757" t="str">
        <f t="shared" si="110"/>
        <v>открыт</v>
      </c>
      <c r="T263" s="2052" t="str">
        <f t="shared" si="101"/>
        <v>открыт</v>
      </c>
      <c r="U263" s="757">
        <f t="shared" si="148"/>
        <v>26.428571428571431</v>
      </c>
      <c r="V263" s="2254">
        <v>0.72</v>
      </c>
      <c r="W263" s="2254" t="s">
        <v>3033</v>
      </c>
      <c r="X263" s="912"/>
      <c r="Y263" s="212">
        <v>191</v>
      </c>
      <c r="Z263" s="228">
        <v>18</v>
      </c>
      <c r="AA263" s="212" t="s">
        <v>164</v>
      </c>
      <c r="AB263" s="230">
        <f t="shared" si="102"/>
        <v>4</v>
      </c>
      <c r="AC263" s="229" t="str">
        <f t="shared" si="103"/>
        <v>+</v>
      </c>
      <c r="AD263" s="229">
        <f t="shared" si="104"/>
        <v>4</v>
      </c>
      <c r="AE263" s="229"/>
      <c r="AF263" s="228"/>
      <c r="AG263" s="212" t="str">
        <f t="shared" si="105"/>
        <v>4+4</v>
      </c>
      <c r="AH263" s="172">
        <f>'Зона РжЭс'!L142</f>
        <v>0.12146739130434783</v>
      </c>
      <c r="AI263" s="172">
        <f t="shared" si="149"/>
        <v>1.2314673913043479</v>
      </c>
      <c r="AJ263" s="1973">
        <f t="shared" si="106"/>
        <v>0</v>
      </c>
      <c r="AK263" s="212">
        <f t="shared" si="107"/>
        <v>0</v>
      </c>
      <c r="AL263" s="172">
        <f t="shared" si="144"/>
        <v>1.2314673913043479</v>
      </c>
      <c r="AM263" s="1973">
        <f t="shared" si="108"/>
        <v>0</v>
      </c>
      <c r="AN263" s="880">
        <f t="shared" si="145"/>
        <v>4.2</v>
      </c>
      <c r="AO263" s="172">
        <f t="shared" si="146"/>
        <v>2.9685326086956523</v>
      </c>
      <c r="AP263" s="172">
        <f t="shared" si="140"/>
        <v>2.9685326086956523</v>
      </c>
      <c r="AQ263" s="172" t="str">
        <f t="shared" si="111"/>
        <v>открыт</v>
      </c>
      <c r="AR263" s="2052" t="str">
        <f t="shared" si="109"/>
        <v>открыт</v>
      </c>
      <c r="AS263" s="935">
        <f t="shared" si="150"/>
        <v>29.320652173913047</v>
      </c>
      <c r="AT263" s="937" t="s">
        <v>747</v>
      </c>
      <c r="AU263" s="1095">
        <v>1963</v>
      </c>
      <c r="AV263" s="1101" t="s">
        <v>3218</v>
      </c>
      <c r="AW263" s="1103">
        <v>56.394427552252402</v>
      </c>
      <c r="AX263" s="1103">
        <v>35.251126767343401</v>
      </c>
    </row>
    <row r="264" spans="1:50" ht="15" customHeight="1" x14ac:dyDescent="0.25">
      <c r="A264" s="212">
        <v>192</v>
      </c>
      <c r="B264" s="212">
        <v>19</v>
      </c>
      <c r="C264" s="212" t="s">
        <v>165</v>
      </c>
      <c r="D264" s="230">
        <v>2.5</v>
      </c>
      <c r="E264" s="229" t="s">
        <v>773</v>
      </c>
      <c r="F264" s="229">
        <v>2.5</v>
      </c>
      <c r="G264" s="229"/>
      <c r="H264" s="228"/>
      <c r="I264" s="229" t="str">
        <f t="shared" si="100"/>
        <v>2,5+2,5</v>
      </c>
      <c r="J264" s="882">
        <v>0.31</v>
      </c>
      <c r="K264" s="1423">
        <v>0.3</v>
      </c>
      <c r="L264" s="1422">
        <v>240</v>
      </c>
      <c r="M264" s="172">
        <f t="shared" si="142"/>
        <v>1.0000000000000009E-2</v>
      </c>
      <c r="N264" s="172">
        <v>0</v>
      </c>
      <c r="O264" s="880"/>
      <c r="P264" s="880">
        <f t="shared" si="143"/>
        <v>2.625</v>
      </c>
      <c r="Q264" s="172">
        <f t="shared" si="147"/>
        <v>2.6150000000000002</v>
      </c>
      <c r="R264" s="172">
        <f t="shared" si="135"/>
        <v>2.6150000000000002</v>
      </c>
      <c r="S264" s="757" t="str">
        <f t="shared" si="110"/>
        <v>открыт</v>
      </c>
      <c r="T264" s="2052" t="str">
        <f t="shared" si="101"/>
        <v>открыт</v>
      </c>
      <c r="U264" s="757">
        <f t="shared" si="148"/>
        <v>11.80952380952381</v>
      </c>
      <c r="V264" s="2254">
        <v>0.68</v>
      </c>
      <c r="W264" s="2254" t="s">
        <v>3033</v>
      </c>
      <c r="X264" s="912"/>
      <c r="Y264" s="212">
        <v>192</v>
      </c>
      <c r="Z264" s="228">
        <v>19</v>
      </c>
      <c r="AA264" s="212" t="s">
        <v>165</v>
      </c>
      <c r="AB264" s="230">
        <f t="shared" si="102"/>
        <v>2.5</v>
      </c>
      <c r="AC264" s="229" t="str">
        <f t="shared" si="103"/>
        <v>+</v>
      </c>
      <c r="AD264" s="229">
        <f t="shared" si="104"/>
        <v>2.5</v>
      </c>
      <c r="AE264" s="229"/>
      <c r="AF264" s="228"/>
      <c r="AG264" s="212" t="str">
        <f t="shared" si="105"/>
        <v>2,5+2,5</v>
      </c>
      <c r="AH264" s="172">
        <f>'Зона РжЭс'!L144</f>
        <v>0</v>
      </c>
      <c r="AI264" s="172">
        <f t="shared" si="149"/>
        <v>0.31</v>
      </c>
      <c r="AJ264" s="1973">
        <f t="shared" si="106"/>
        <v>0.3</v>
      </c>
      <c r="AK264" s="212">
        <f t="shared" si="107"/>
        <v>240</v>
      </c>
      <c r="AL264" s="172">
        <f t="shared" si="144"/>
        <v>1.0000000000000009E-2</v>
      </c>
      <c r="AM264" s="1973">
        <f t="shared" si="108"/>
        <v>0</v>
      </c>
      <c r="AN264" s="880">
        <f t="shared" si="145"/>
        <v>2.625</v>
      </c>
      <c r="AO264" s="172">
        <f t="shared" si="146"/>
        <v>2.6150000000000002</v>
      </c>
      <c r="AP264" s="172">
        <f t="shared" si="140"/>
        <v>2.6150000000000002</v>
      </c>
      <c r="AQ264" s="172" t="str">
        <f t="shared" si="111"/>
        <v>открыт</v>
      </c>
      <c r="AR264" s="2052" t="str">
        <f t="shared" si="109"/>
        <v>открыт</v>
      </c>
      <c r="AS264" s="935">
        <f t="shared" si="150"/>
        <v>11.80952380952381</v>
      </c>
      <c r="AT264" s="937" t="s">
        <v>747</v>
      </c>
      <c r="AU264" s="1095">
        <v>1979</v>
      </c>
      <c r="AV264" s="1101" t="s">
        <v>3218</v>
      </c>
      <c r="AW264" s="1103">
        <v>56.591538770162003</v>
      </c>
      <c r="AX264" s="1103">
        <v>34.628120493828902</v>
      </c>
    </row>
    <row r="265" spans="1:50" ht="15" customHeight="1" x14ac:dyDescent="0.25">
      <c r="A265" s="212">
        <v>193</v>
      </c>
      <c r="B265" s="212">
        <v>20</v>
      </c>
      <c r="C265" s="212" t="s">
        <v>166</v>
      </c>
      <c r="D265" s="230">
        <v>4</v>
      </c>
      <c r="E265" s="229" t="s">
        <v>773</v>
      </c>
      <c r="F265" s="229">
        <v>2.5</v>
      </c>
      <c r="G265" s="229"/>
      <c r="H265" s="228"/>
      <c r="I265" s="229" t="str">
        <f t="shared" si="100"/>
        <v>4+2,5</v>
      </c>
      <c r="J265" s="882">
        <v>1.02</v>
      </c>
      <c r="K265" s="1423">
        <v>0</v>
      </c>
      <c r="L265" s="1422"/>
      <c r="M265" s="172">
        <f t="shared" si="142"/>
        <v>1.02</v>
      </c>
      <c r="N265" s="172">
        <v>0</v>
      </c>
      <c r="O265" s="880"/>
      <c r="P265" s="880">
        <f t="shared" si="143"/>
        <v>2.625</v>
      </c>
      <c r="Q265" s="172">
        <f t="shared" si="147"/>
        <v>1.605</v>
      </c>
      <c r="R265" s="172">
        <f t="shared" si="135"/>
        <v>1.605</v>
      </c>
      <c r="S265" s="757" t="str">
        <f t="shared" si="110"/>
        <v>открыт</v>
      </c>
      <c r="T265" s="2052" t="str">
        <f t="shared" si="101"/>
        <v>открыт</v>
      </c>
      <c r="U265" s="757">
        <f t="shared" si="148"/>
        <v>38.857142857142854</v>
      </c>
      <c r="V265" s="2254"/>
      <c r="W265" s="2254" t="s">
        <v>3032</v>
      </c>
      <c r="X265" s="912"/>
      <c r="Y265" s="212">
        <v>193</v>
      </c>
      <c r="Z265" s="228">
        <v>20</v>
      </c>
      <c r="AA265" s="212" t="s">
        <v>166</v>
      </c>
      <c r="AB265" s="230">
        <f t="shared" si="102"/>
        <v>4</v>
      </c>
      <c r="AC265" s="229" t="str">
        <f t="shared" si="103"/>
        <v>+</v>
      </c>
      <c r="AD265" s="229">
        <f t="shared" si="104"/>
        <v>2.5</v>
      </c>
      <c r="AE265" s="229"/>
      <c r="AF265" s="228"/>
      <c r="AG265" s="212" t="str">
        <f t="shared" si="105"/>
        <v>4+2,5</v>
      </c>
      <c r="AH265" s="172">
        <f>'Зона РжЭс'!L147</f>
        <v>0.20380434782608695</v>
      </c>
      <c r="AI265" s="172">
        <f t="shared" si="149"/>
        <v>1.2238043478260869</v>
      </c>
      <c r="AJ265" s="1973">
        <f t="shared" si="106"/>
        <v>0</v>
      </c>
      <c r="AK265" s="212">
        <f t="shared" si="107"/>
        <v>0</v>
      </c>
      <c r="AL265" s="172">
        <f t="shared" si="144"/>
        <v>1.2238043478260869</v>
      </c>
      <c r="AM265" s="1973">
        <f t="shared" si="108"/>
        <v>0</v>
      </c>
      <c r="AN265" s="880">
        <f t="shared" si="145"/>
        <v>2.625</v>
      </c>
      <c r="AO265" s="172">
        <f t="shared" si="146"/>
        <v>1.4011956521739131</v>
      </c>
      <c r="AP265" s="172">
        <f t="shared" si="140"/>
        <v>1.4011956521739131</v>
      </c>
      <c r="AQ265" s="172" t="str">
        <f t="shared" si="111"/>
        <v>открыт</v>
      </c>
      <c r="AR265" s="2052" t="str">
        <f t="shared" si="109"/>
        <v>открыт</v>
      </c>
      <c r="AS265" s="935">
        <f t="shared" si="150"/>
        <v>46.621118012422357</v>
      </c>
      <c r="AT265" s="937" t="s">
        <v>747</v>
      </c>
      <c r="AU265" s="1095">
        <v>1971</v>
      </c>
      <c r="AV265" s="1101" t="s">
        <v>3218</v>
      </c>
      <c r="AW265" s="1103">
        <v>56.652683647502002</v>
      </c>
      <c r="AX265" s="1103">
        <v>34.374451510960498</v>
      </c>
    </row>
    <row r="266" spans="1:50" ht="15" customHeight="1" x14ac:dyDescent="0.25">
      <c r="A266" s="212">
        <v>194</v>
      </c>
      <c r="B266" s="212">
        <v>21</v>
      </c>
      <c r="C266" s="212" t="s">
        <v>167</v>
      </c>
      <c r="D266" s="230">
        <v>6.3</v>
      </c>
      <c r="E266" s="229" t="s">
        <v>773</v>
      </c>
      <c r="F266" s="229">
        <v>6.3</v>
      </c>
      <c r="G266" s="229"/>
      <c r="H266" s="228"/>
      <c r="I266" s="229" t="str">
        <f t="shared" ref="I266:I330" si="151">CONCATENATE(D266,E266,F266,G266,H266)</f>
        <v>6,3+6,3</v>
      </c>
      <c r="J266" s="882">
        <v>1.85</v>
      </c>
      <c r="K266" s="1423">
        <v>0.61657200000000001</v>
      </c>
      <c r="L266" s="1422">
        <v>120</v>
      </c>
      <c r="M266" s="172">
        <f t="shared" si="142"/>
        <v>1.233428</v>
      </c>
      <c r="N266" s="172">
        <v>0</v>
      </c>
      <c r="O266" s="880"/>
      <c r="P266" s="880">
        <f t="shared" si="143"/>
        <v>6.6150000000000002</v>
      </c>
      <c r="Q266" s="172">
        <f t="shared" si="147"/>
        <v>5.3815720000000002</v>
      </c>
      <c r="R266" s="172">
        <f t="shared" si="135"/>
        <v>5.3815720000000002</v>
      </c>
      <c r="S266" s="757" t="str">
        <f t="shared" si="110"/>
        <v>открыт</v>
      </c>
      <c r="T266" s="2052" t="str">
        <f t="shared" ref="T266:T330" si="152">IF(AND(F266&lt;&gt;0,R266&lt;0),"закрыт",IF(AND(F266=0,R266&lt;0),"закрыт","открыт"))</f>
        <v>открыт</v>
      </c>
      <c r="U266" s="757">
        <f t="shared" si="148"/>
        <v>27.966742252456537</v>
      </c>
      <c r="V266" s="2254">
        <v>0.78</v>
      </c>
      <c r="W266" s="2254" t="s">
        <v>3033</v>
      </c>
      <c r="X266" s="912"/>
      <c r="Y266" s="212">
        <v>194</v>
      </c>
      <c r="Z266" s="228">
        <v>21</v>
      </c>
      <c r="AA266" s="212" t="s">
        <v>167</v>
      </c>
      <c r="AB266" s="230">
        <f t="shared" ref="AB266:AB330" si="153">D266</f>
        <v>6.3</v>
      </c>
      <c r="AC266" s="229" t="str">
        <f t="shared" ref="AC266:AC330" si="154">E266</f>
        <v>+</v>
      </c>
      <c r="AD266" s="229">
        <f t="shared" ref="AD266:AD330" si="155">F266</f>
        <v>6.3</v>
      </c>
      <c r="AE266" s="229"/>
      <c r="AF266" s="228"/>
      <c r="AG266" s="212" t="str">
        <f t="shared" si="105"/>
        <v>6,3+6,3</v>
      </c>
      <c r="AH266" s="172">
        <f>'Зона РжЭс'!L152</f>
        <v>0</v>
      </c>
      <c r="AI266" s="172">
        <f t="shared" si="149"/>
        <v>1.85</v>
      </c>
      <c r="AJ266" s="1973">
        <f t="shared" ref="AJ266:AJ330" si="156">K266</f>
        <v>0.61657200000000001</v>
      </c>
      <c r="AK266" s="212">
        <f t="shared" ref="AK266:AK330" si="157">L266</f>
        <v>120</v>
      </c>
      <c r="AL266" s="172">
        <f t="shared" si="144"/>
        <v>1.233428</v>
      </c>
      <c r="AM266" s="1973">
        <f t="shared" ref="AM266:AM330" si="158">N266</f>
        <v>0</v>
      </c>
      <c r="AN266" s="880">
        <f t="shared" si="145"/>
        <v>6.6150000000000002</v>
      </c>
      <c r="AO266" s="172">
        <f t="shared" si="146"/>
        <v>5.3815720000000002</v>
      </c>
      <c r="AP266" s="172">
        <f t="shared" si="140"/>
        <v>5.3815720000000002</v>
      </c>
      <c r="AQ266" s="172" t="str">
        <f t="shared" si="111"/>
        <v>открыт</v>
      </c>
      <c r="AR266" s="2052" t="str">
        <f t="shared" ref="AR266:AR330" si="159">IF(AND(AD266&lt;&gt;0,AP266&lt;0),"закрыт",IF(AND(AD266=0,AP266&lt;0),"закрыт","открыт"))</f>
        <v>открыт</v>
      </c>
      <c r="AS266" s="935">
        <f t="shared" si="150"/>
        <v>27.966742252456537</v>
      </c>
      <c r="AT266" s="937" t="s">
        <v>747</v>
      </c>
      <c r="AU266" s="1095">
        <v>1978</v>
      </c>
      <c r="AV266" s="1101" t="s">
        <v>3218</v>
      </c>
      <c r="AW266" s="1103">
        <v>56.206704218121203</v>
      </c>
      <c r="AX266" s="1103">
        <v>34.214144919244497</v>
      </c>
    </row>
    <row r="267" spans="1:50" ht="15" customHeight="1" x14ac:dyDescent="0.25">
      <c r="A267" s="212">
        <v>195</v>
      </c>
      <c r="B267" s="212">
        <v>22</v>
      </c>
      <c r="C267" s="212" t="s">
        <v>168</v>
      </c>
      <c r="D267" s="230">
        <v>6.3</v>
      </c>
      <c r="E267" s="229" t="s">
        <v>773</v>
      </c>
      <c r="F267" s="229">
        <v>6.3</v>
      </c>
      <c r="G267" s="229"/>
      <c r="H267" s="228"/>
      <c r="I267" s="229" t="str">
        <f t="shared" si="151"/>
        <v>6,3+6,3</v>
      </c>
      <c r="J267" s="882">
        <v>1.2</v>
      </c>
      <c r="K267" s="1423">
        <v>0.31665919999986747</v>
      </c>
      <c r="L267" s="1422">
        <v>240</v>
      </c>
      <c r="M267" s="172">
        <f t="shared" si="142"/>
        <v>0.88334080000013249</v>
      </c>
      <c r="N267" s="172">
        <v>0</v>
      </c>
      <c r="O267" s="880"/>
      <c r="P267" s="880">
        <f t="shared" si="143"/>
        <v>6.6150000000000002</v>
      </c>
      <c r="Q267" s="172">
        <f t="shared" si="147"/>
        <v>5.7316591999998678</v>
      </c>
      <c r="R267" s="172">
        <f t="shared" si="135"/>
        <v>5.7316591999998678</v>
      </c>
      <c r="S267" s="757" t="str">
        <f t="shared" si="110"/>
        <v>открыт</v>
      </c>
      <c r="T267" s="2052" t="str">
        <f t="shared" si="152"/>
        <v>открыт</v>
      </c>
      <c r="U267" s="757">
        <f t="shared" si="148"/>
        <v>18.140589569160998</v>
      </c>
      <c r="V267" s="2254">
        <v>0.57999999999999996</v>
      </c>
      <c r="W267" s="2254" t="s">
        <v>3033</v>
      </c>
      <c r="X267" s="912"/>
      <c r="Y267" s="212">
        <v>195</v>
      </c>
      <c r="Z267" s="228">
        <v>22</v>
      </c>
      <c r="AA267" s="212" t="s">
        <v>168</v>
      </c>
      <c r="AB267" s="230">
        <f t="shared" si="153"/>
        <v>6.3</v>
      </c>
      <c r="AC267" s="229" t="str">
        <f t="shared" si="154"/>
        <v>+</v>
      </c>
      <c r="AD267" s="229">
        <f t="shared" si="155"/>
        <v>6.3</v>
      </c>
      <c r="AE267" s="229"/>
      <c r="AF267" s="228"/>
      <c r="AG267" s="212" t="str">
        <f t="shared" si="105"/>
        <v>6,3+6,3</v>
      </c>
      <c r="AH267" s="172">
        <f>'Зона РжЭс'!L159</f>
        <v>0</v>
      </c>
      <c r="AI267" s="172">
        <f t="shared" si="149"/>
        <v>1.2</v>
      </c>
      <c r="AJ267" s="1973">
        <f t="shared" si="156"/>
        <v>0.31665919999986747</v>
      </c>
      <c r="AK267" s="212">
        <f t="shared" si="157"/>
        <v>240</v>
      </c>
      <c r="AL267" s="172">
        <f t="shared" si="144"/>
        <v>0.88334080000013249</v>
      </c>
      <c r="AM267" s="1973">
        <f t="shared" si="158"/>
        <v>0</v>
      </c>
      <c r="AN267" s="880">
        <f t="shared" si="145"/>
        <v>6.6150000000000002</v>
      </c>
      <c r="AO267" s="172">
        <f t="shared" si="146"/>
        <v>5.7316591999998678</v>
      </c>
      <c r="AP267" s="172">
        <f t="shared" si="140"/>
        <v>5.7316591999998678</v>
      </c>
      <c r="AQ267" s="172" t="str">
        <f t="shared" si="111"/>
        <v>открыт</v>
      </c>
      <c r="AR267" s="2052" t="str">
        <f t="shared" si="159"/>
        <v>открыт</v>
      </c>
      <c r="AS267" s="935">
        <f t="shared" si="150"/>
        <v>18.140589569160998</v>
      </c>
      <c r="AT267" s="937" t="s">
        <v>747</v>
      </c>
      <c r="AU267" s="1095">
        <v>1962</v>
      </c>
      <c r="AV267" s="1101" t="s">
        <v>3218</v>
      </c>
      <c r="AW267" s="1103">
        <v>56.240181355065701</v>
      </c>
      <c r="AX267" s="1103">
        <v>33.158507404212401</v>
      </c>
    </row>
    <row r="268" spans="1:50" ht="15" customHeight="1" x14ac:dyDescent="0.25">
      <c r="A268" s="2419">
        <v>196</v>
      </c>
      <c r="B268" s="2419">
        <v>23</v>
      </c>
      <c r="C268" s="212" t="s">
        <v>169</v>
      </c>
      <c r="D268" s="230">
        <v>40.5</v>
      </c>
      <c r="E268" s="229" t="s">
        <v>773</v>
      </c>
      <c r="F268" s="229">
        <v>40</v>
      </c>
      <c r="G268" s="229"/>
      <c r="H268" s="228"/>
      <c r="I268" s="229" t="str">
        <f t="shared" si="151"/>
        <v>40,5+40</v>
      </c>
      <c r="J268" s="882">
        <v>31.020000000000003</v>
      </c>
      <c r="K268" s="1423">
        <v>3.4398607759998212</v>
      </c>
      <c r="L268" s="1422">
        <v>120</v>
      </c>
      <c r="M268" s="888">
        <f t="shared" si="142"/>
        <v>27.580139224000181</v>
      </c>
      <c r="N268" s="172">
        <v>0</v>
      </c>
      <c r="O268" s="880"/>
      <c r="P268" s="880">
        <f>MIN(D268:F268)*1.05</f>
        <v>42</v>
      </c>
      <c r="Q268" s="172">
        <f t="shared" ref="Q268:Q282" si="160">P268-M268-N268</f>
        <v>14.419860775999819</v>
      </c>
      <c r="R268" s="2405">
        <f>MIN(Q268:Q270)</f>
        <v>14.419860775999819</v>
      </c>
      <c r="S268" s="2398" t="str">
        <f>T268</f>
        <v>открыт</v>
      </c>
      <c r="T268" s="2052" t="str">
        <f t="shared" si="152"/>
        <v>открыт</v>
      </c>
      <c r="U268" s="2398">
        <f t="shared" si="148"/>
        <v>73.857142857142861</v>
      </c>
      <c r="V268" s="2398">
        <v>0.36</v>
      </c>
      <c r="W268" s="2398" t="s">
        <v>3033</v>
      </c>
      <c r="X268" s="912"/>
      <c r="Y268" s="2419">
        <v>196</v>
      </c>
      <c r="Z268" s="2411">
        <v>23</v>
      </c>
      <c r="AA268" s="212" t="s">
        <v>169</v>
      </c>
      <c r="AB268" s="230">
        <f t="shared" si="153"/>
        <v>40.5</v>
      </c>
      <c r="AC268" s="229" t="str">
        <f t="shared" si="154"/>
        <v>+</v>
      </c>
      <c r="AD268" s="229">
        <f t="shared" si="155"/>
        <v>40</v>
      </c>
      <c r="AE268" s="229"/>
      <c r="AF268" s="228"/>
      <c r="AG268" s="212" t="str">
        <f t="shared" ref="AG268:AG332" si="161">CONCATENATE(AB268,AC268,AD268,AE268,AF268)</f>
        <v>40,5+40</v>
      </c>
      <c r="AH268" s="172">
        <f>SUM(AH269:AH270)</f>
        <v>2.9951521739130436</v>
      </c>
      <c r="AI268" s="172">
        <f t="shared" si="149"/>
        <v>34.015152173913044</v>
      </c>
      <c r="AJ268" s="1973">
        <f t="shared" si="156"/>
        <v>3.4398607759998212</v>
      </c>
      <c r="AK268" s="212">
        <f t="shared" si="157"/>
        <v>120</v>
      </c>
      <c r="AL268" s="172">
        <f t="shared" si="144"/>
        <v>30.575291397913222</v>
      </c>
      <c r="AM268" s="1973">
        <f t="shared" si="158"/>
        <v>0</v>
      </c>
      <c r="AN268" s="880">
        <f t="shared" si="145"/>
        <v>42</v>
      </c>
      <c r="AO268" s="172">
        <f t="shared" ref="AO268:AO282" si="162">AN268-AL268-AM268</f>
        <v>11.424708602086778</v>
      </c>
      <c r="AP268" s="2405">
        <f>MIN(AO268:AO270)</f>
        <v>11.424708602086778</v>
      </c>
      <c r="AQ268" s="2405" t="str">
        <f>AR268</f>
        <v>открыт</v>
      </c>
      <c r="AR268" s="2052" t="str">
        <f t="shared" si="159"/>
        <v>открыт</v>
      </c>
      <c r="AS268" s="2452">
        <f t="shared" si="150"/>
        <v>80.988457556935813</v>
      </c>
      <c r="AT268" s="937" t="s">
        <v>747</v>
      </c>
      <c r="AU268" s="1095">
        <v>1960</v>
      </c>
      <c r="AV268" s="1101" t="s">
        <v>3218</v>
      </c>
      <c r="AW268" s="1103">
        <v>56.2411116350114</v>
      </c>
      <c r="AX268" s="1103">
        <v>34.312113844013503</v>
      </c>
    </row>
    <row r="269" spans="1:50" ht="15" customHeight="1" x14ac:dyDescent="0.25">
      <c r="A269" s="2419"/>
      <c r="B269" s="2419"/>
      <c r="C269" s="7" t="s">
        <v>1807</v>
      </c>
      <c r="D269" s="230">
        <v>40.5</v>
      </c>
      <c r="E269" s="229" t="s">
        <v>773</v>
      </c>
      <c r="F269" s="229">
        <v>40</v>
      </c>
      <c r="G269" s="229"/>
      <c r="H269" s="228"/>
      <c r="I269" s="229" t="str">
        <f t="shared" si="151"/>
        <v>40,5+40</v>
      </c>
      <c r="J269" s="882">
        <v>21.3</v>
      </c>
      <c r="K269" s="1423">
        <v>1.4813810599999999</v>
      </c>
      <c r="L269" s="1422">
        <v>120</v>
      </c>
      <c r="M269" s="888">
        <f t="shared" si="142"/>
        <v>19.81861894</v>
      </c>
      <c r="N269" s="172">
        <v>0</v>
      </c>
      <c r="O269" s="880"/>
      <c r="P269" s="880">
        <f>MIN(D269:F269)*1.05</f>
        <v>42</v>
      </c>
      <c r="Q269" s="172">
        <f t="shared" si="160"/>
        <v>22.18138106</v>
      </c>
      <c r="R269" s="2406"/>
      <c r="S269" s="2398"/>
      <c r="T269" s="2052" t="str">
        <f t="shared" si="152"/>
        <v>открыт</v>
      </c>
      <c r="U269" s="2398"/>
      <c r="V269" s="2398"/>
      <c r="W269" s="2398" t="s">
        <v>3033</v>
      </c>
      <c r="X269" s="912"/>
      <c r="Y269" s="2419"/>
      <c r="Z269" s="2411"/>
      <c r="AA269" s="7" t="s">
        <v>1807</v>
      </c>
      <c r="AB269" s="230">
        <f t="shared" si="153"/>
        <v>40.5</v>
      </c>
      <c r="AC269" s="229" t="str">
        <f t="shared" si="154"/>
        <v>+</v>
      </c>
      <c r="AD269" s="229">
        <f t="shared" si="155"/>
        <v>40</v>
      </c>
      <c r="AE269" s="229"/>
      <c r="AF269" s="228"/>
      <c r="AG269" s="212" t="str">
        <f t="shared" si="161"/>
        <v>40,5+40</v>
      </c>
      <c r="AH269" s="172">
        <f>SUM(AH244+AH255+AH256+AH257+AH258+AH246+AH247+AH248+AH262)</f>
        <v>2.9571086956521739</v>
      </c>
      <c r="AI269" s="172">
        <f t="shared" si="149"/>
        <v>24.257108695652175</v>
      </c>
      <c r="AJ269" s="1973">
        <f t="shared" si="156"/>
        <v>1.4813810599999999</v>
      </c>
      <c r="AK269" s="212">
        <f t="shared" si="157"/>
        <v>120</v>
      </c>
      <c r="AL269" s="172">
        <f t="shared" si="144"/>
        <v>22.775727635652174</v>
      </c>
      <c r="AM269" s="1973">
        <f t="shared" si="158"/>
        <v>0</v>
      </c>
      <c r="AN269" s="880">
        <f t="shared" si="145"/>
        <v>42</v>
      </c>
      <c r="AO269" s="172">
        <f t="shared" si="162"/>
        <v>19.224272364347826</v>
      </c>
      <c r="AP269" s="2406"/>
      <c r="AQ269" s="2406"/>
      <c r="AR269" s="2052" t="str">
        <f t="shared" si="159"/>
        <v>открыт</v>
      </c>
      <c r="AS269" s="2453"/>
      <c r="AT269" s="937" t="s">
        <v>747</v>
      </c>
      <c r="AU269" s="1095">
        <v>1960</v>
      </c>
      <c r="AV269" s="1101" t="s">
        <v>3218</v>
      </c>
      <c r="AW269" s="1103">
        <v>56.2411116350114</v>
      </c>
      <c r="AX269" s="1103">
        <v>34.312113844013503</v>
      </c>
    </row>
    <row r="270" spans="1:50" ht="15" customHeight="1" x14ac:dyDescent="0.25">
      <c r="A270" s="2419"/>
      <c r="B270" s="2419"/>
      <c r="C270" s="7" t="s">
        <v>1767</v>
      </c>
      <c r="D270" s="230">
        <v>40.5</v>
      </c>
      <c r="E270" s="229" t="s">
        <v>773</v>
      </c>
      <c r="F270" s="229">
        <v>40</v>
      </c>
      <c r="G270" s="229"/>
      <c r="H270" s="228"/>
      <c r="I270" s="229" t="str">
        <f t="shared" si="151"/>
        <v>40,5+40</v>
      </c>
      <c r="J270" s="882">
        <v>9.7200000000000006</v>
      </c>
      <c r="K270" s="1423">
        <v>1.9584797159998213</v>
      </c>
      <c r="L270" s="1422">
        <v>120</v>
      </c>
      <c r="M270" s="888">
        <f t="shared" si="142"/>
        <v>7.7615202840001789</v>
      </c>
      <c r="N270" s="172">
        <v>0</v>
      </c>
      <c r="O270" s="880"/>
      <c r="P270" s="880">
        <f>MIN(D270:F270)*1.05</f>
        <v>42</v>
      </c>
      <c r="Q270" s="172">
        <f t="shared" si="160"/>
        <v>34.238479715999823</v>
      </c>
      <c r="R270" s="2407"/>
      <c r="S270" s="2398"/>
      <c r="T270" s="2052" t="str">
        <f t="shared" si="152"/>
        <v>открыт</v>
      </c>
      <c r="U270" s="2398"/>
      <c r="V270" s="2398"/>
      <c r="W270" s="2398" t="s">
        <v>3033</v>
      </c>
      <c r="X270" s="912"/>
      <c r="Y270" s="2419"/>
      <c r="Z270" s="2411"/>
      <c r="AA270" s="7" t="s">
        <v>1767</v>
      </c>
      <c r="AB270" s="230">
        <f t="shared" si="153"/>
        <v>40.5</v>
      </c>
      <c r="AC270" s="229" t="str">
        <f t="shared" si="154"/>
        <v>+</v>
      </c>
      <c r="AD270" s="229">
        <f t="shared" si="155"/>
        <v>40</v>
      </c>
      <c r="AE270" s="229"/>
      <c r="AF270" s="228"/>
      <c r="AG270" s="212" t="str">
        <f t="shared" si="161"/>
        <v>40,5+40</v>
      </c>
      <c r="AH270" s="172">
        <f>'Зона РжЭс'!L170</f>
        <v>3.8043478260869568E-2</v>
      </c>
      <c r="AI270" s="172">
        <f t="shared" si="149"/>
        <v>9.7580434782608698</v>
      </c>
      <c r="AJ270" s="1973">
        <f t="shared" si="156"/>
        <v>1.9584797159998213</v>
      </c>
      <c r="AK270" s="212">
        <f t="shared" si="157"/>
        <v>120</v>
      </c>
      <c r="AL270" s="172">
        <f t="shared" si="144"/>
        <v>7.7995637622610481</v>
      </c>
      <c r="AM270" s="1973">
        <f t="shared" si="158"/>
        <v>0</v>
      </c>
      <c r="AN270" s="880">
        <f t="shared" si="145"/>
        <v>42</v>
      </c>
      <c r="AO270" s="172">
        <f t="shared" si="162"/>
        <v>34.200436237738955</v>
      </c>
      <c r="AP270" s="2407"/>
      <c r="AQ270" s="2407"/>
      <c r="AR270" s="2052" t="str">
        <f t="shared" si="159"/>
        <v>открыт</v>
      </c>
      <c r="AS270" s="2454"/>
      <c r="AT270" s="937" t="s">
        <v>747</v>
      </c>
      <c r="AU270" s="1095">
        <v>1960</v>
      </c>
      <c r="AV270" s="1101" t="s">
        <v>3218</v>
      </c>
      <c r="AW270" s="1103">
        <v>56.2411116350114</v>
      </c>
      <c r="AX270" s="1103">
        <v>34.312113844013503</v>
      </c>
    </row>
    <row r="271" spans="1:50" ht="15" customHeight="1" x14ac:dyDescent="0.25">
      <c r="A271" s="2419">
        <v>197</v>
      </c>
      <c r="B271" s="2419">
        <v>24</v>
      </c>
      <c r="C271" s="212" t="s">
        <v>2645</v>
      </c>
      <c r="D271" s="230">
        <v>5.6</v>
      </c>
      <c r="E271" s="229" t="s">
        <v>773</v>
      </c>
      <c r="F271" s="229">
        <v>6.3</v>
      </c>
      <c r="G271" s="229"/>
      <c r="H271" s="228"/>
      <c r="I271" s="229" t="str">
        <f t="shared" si="151"/>
        <v>5,6+6,3</v>
      </c>
      <c r="J271" s="882">
        <v>1.6099999999999999</v>
      </c>
      <c r="K271" s="1423">
        <v>0.59655840000177784</v>
      </c>
      <c r="L271" s="1422">
        <v>240</v>
      </c>
      <c r="M271" s="888">
        <f t="shared" si="142"/>
        <v>1.013441599998222</v>
      </c>
      <c r="N271" s="172">
        <v>0</v>
      </c>
      <c r="O271" s="880"/>
      <c r="P271" s="880">
        <f t="shared" si="143"/>
        <v>5.88</v>
      </c>
      <c r="Q271" s="172">
        <f t="shared" si="160"/>
        <v>4.8665584000017779</v>
      </c>
      <c r="R271" s="2420">
        <f>MIN(Q271:Q273)</f>
        <v>4.8665584000017779</v>
      </c>
      <c r="S271" s="2398" t="str">
        <f>T271</f>
        <v>открыт</v>
      </c>
      <c r="T271" s="2052" t="str">
        <f t="shared" si="152"/>
        <v>открыт</v>
      </c>
      <c r="U271" s="2398">
        <f>(J271*100)/P271</f>
        <v>27.380952380952383</v>
      </c>
      <c r="V271" s="2398">
        <v>0.54</v>
      </c>
      <c r="W271" s="2398" t="s">
        <v>3033</v>
      </c>
      <c r="X271" s="912"/>
      <c r="Y271" s="2419">
        <v>197</v>
      </c>
      <c r="Z271" s="2411">
        <v>24</v>
      </c>
      <c r="AA271" s="212" t="s">
        <v>2645</v>
      </c>
      <c r="AB271" s="230">
        <f t="shared" si="153"/>
        <v>5.6</v>
      </c>
      <c r="AC271" s="229" t="str">
        <f t="shared" si="154"/>
        <v>+</v>
      </c>
      <c r="AD271" s="229">
        <f t="shared" si="155"/>
        <v>6.3</v>
      </c>
      <c r="AE271" s="229"/>
      <c r="AF271" s="228"/>
      <c r="AG271" s="212" t="str">
        <f t="shared" si="161"/>
        <v>5,6+6,3</v>
      </c>
      <c r="AH271" s="172">
        <f>SUM(AH272:AH273)</f>
        <v>0</v>
      </c>
      <c r="AI271" s="172">
        <f t="shared" si="149"/>
        <v>1.6099999999999999</v>
      </c>
      <c r="AJ271" s="1973">
        <f t="shared" si="156"/>
        <v>0.59655840000177784</v>
      </c>
      <c r="AK271" s="212">
        <f t="shared" si="157"/>
        <v>240</v>
      </c>
      <c r="AL271" s="172">
        <f t="shared" si="144"/>
        <v>1.013441599998222</v>
      </c>
      <c r="AM271" s="1973">
        <f t="shared" si="158"/>
        <v>0</v>
      </c>
      <c r="AN271" s="880">
        <f t="shared" si="145"/>
        <v>5.88</v>
      </c>
      <c r="AO271" s="172">
        <f t="shared" si="162"/>
        <v>4.8665584000017779</v>
      </c>
      <c r="AP271" s="2405">
        <f>MIN(AO271:AO273)</f>
        <v>4.8665584000017779</v>
      </c>
      <c r="AQ271" s="2405" t="str">
        <f t="shared" ref="AQ271:AQ332" si="163">AR271</f>
        <v>открыт</v>
      </c>
      <c r="AR271" s="2052" t="str">
        <f t="shared" si="159"/>
        <v>открыт</v>
      </c>
      <c r="AS271" s="2452">
        <f>(AI271*100)/AN271</f>
        <v>27.380952380952383</v>
      </c>
      <c r="AT271" s="937" t="s">
        <v>747</v>
      </c>
      <c r="AU271" s="1095">
        <v>1978</v>
      </c>
      <c r="AV271" s="1101" t="s">
        <v>3218</v>
      </c>
      <c r="AW271" s="1103">
        <v>56.206891388101397</v>
      </c>
      <c r="AX271" s="1103">
        <v>33.892258534506098</v>
      </c>
    </row>
    <row r="272" spans="1:50" ht="15" customHeight="1" x14ac:dyDescent="0.25">
      <c r="A272" s="2419"/>
      <c r="B272" s="2419"/>
      <c r="C272" s="7" t="s">
        <v>1807</v>
      </c>
      <c r="D272" s="230">
        <v>5.6</v>
      </c>
      <c r="E272" s="229" t="s">
        <v>773</v>
      </c>
      <c r="F272" s="229">
        <v>6.3</v>
      </c>
      <c r="G272" s="229"/>
      <c r="H272" s="228"/>
      <c r="I272" s="229" t="str">
        <f t="shared" si="151"/>
        <v>5,6+6,3</v>
      </c>
      <c r="J272" s="882">
        <v>0.41</v>
      </c>
      <c r="K272" s="1423">
        <v>0.33</v>
      </c>
      <c r="L272" s="1422">
        <v>120</v>
      </c>
      <c r="M272" s="888">
        <f t="shared" si="142"/>
        <v>7.999999999999996E-2</v>
      </c>
      <c r="N272" s="172">
        <v>0</v>
      </c>
      <c r="O272" s="880"/>
      <c r="P272" s="880">
        <f t="shared" si="143"/>
        <v>5.88</v>
      </c>
      <c r="Q272" s="172">
        <f t="shared" si="160"/>
        <v>5.8</v>
      </c>
      <c r="R272" s="2420"/>
      <c r="S272" s="2399" t="str">
        <f t="shared" ref="S272:S332" si="164">T272</f>
        <v>открыт</v>
      </c>
      <c r="T272" s="2052" t="str">
        <f t="shared" si="152"/>
        <v>открыт</v>
      </c>
      <c r="U272" s="2399"/>
      <c r="V272" s="2399"/>
      <c r="W272" s="2399" t="s">
        <v>3033</v>
      </c>
      <c r="X272" s="912"/>
      <c r="Y272" s="2419"/>
      <c r="Z272" s="2411"/>
      <c r="AA272" s="7" t="s">
        <v>1807</v>
      </c>
      <c r="AB272" s="230">
        <f t="shared" si="153"/>
        <v>5.6</v>
      </c>
      <c r="AC272" s="229" t="str">
        <f t="shared" si="154"/>
        <v>+</v>
      </c>
      <c r="AD272" s="229">
        <f t="shared" si="155"/>
        <v>6.3</v>
      </c>
      <c r="AE272" s="229"/>
      <c r="AF272" s="228"/>
      <c r="AG272" s="212" t="str">
        <f t="shared" si="161"/>
        <v>5,6+6,3</v>
      </c>
      <c r="AH272" s="172">
        <f>SUM(AH245)</f>
        <v>0</v>
      </c>
      <c r="AI272" s="172">
        <f t="shared" si="149"/>
        <v>0.41</v>
      </c>
      <c r="AJ272" s="1973">
        <f t="shared" si="156"/>
        <v>0.33</v>
      </c>
      <c r="AK272" s="212">
        <f t="shared" si="157"/>
        <v>120</v>
      </c>
      <c r="AL272" s="172">
        <f t="shared" si="144"/>
        <v>7.999999999999996E-2</v>
      </c>
      <c r="AM272" s="1973">
        <f t="shared" si="158"/>
        <v>0</v>
      </c>
      <c r="AN272" s="880">
        <f t="shared" si="145"/>
        <v>5.88</v>
      </c>
      <c r="AO272" s="172">
        <f t="shared" si="162"/>
        <v>5.8</v>
      </c>
      <c r="AP272" s="2406"/>
      <c r="AQ272" s="2406" t="str">
        <f t="shared" si="163"/>
        <v>открыт</v>
      </c>
      <c r="AR272" s="2052" t="str">
        <f t="shared" si="159"/>
        <v>открыт</v>
      </c>
      <c r="AS272" s="2453"/>
      <c r="AT272" s="937" t="s">
        <v>747</v>
      </c>
      <c r="AU272" s="1095">
        <v>1978</v>
      </c>
      <c r="AV272" s="1101" t="s">
        <v>3218</v>
      </c>
      <c r="AW272" s="1103">
        <v>56.206891388101397</v>
      </c>
      <c r="AX272" s="1103">
        <v>33.892258534506098</v>
      </c>
    </row>
    <row r="273" spans="1:50" ht="15" customHeight="1" x14ac:dyDescent="0.25">
      <c r="A273" s="2419"/>
      <c r="B273" s="2419"/>
      <c r="C273" s="7" t="s">
        <v>1767</v>
      </c>
      <c r="D273" s="230">
        <v>5.6</v>
      </c>
      <c r="E273" s="229" t="s">
        <v>773</v>
      </c>
      <c r="F273" s="229">
        <v>6.3</v>
      </c>
      <c r="G273" s="229"/>
      <c r="H273" s="228"/>
      <c r="I273" s="229" t="str">
        <f t="shared" si="151"/>
        <v>5,6+6,3</v>
      </c>
      <c r="J273" s="882">
        <v>1.2</v>
      </c>
      <c r="K273" s="1423">
        <v>0.26655840000177783</v>
      </c>
      <c r="L273" s="1422">
        <v>240</v>
      </c>
      <c r="M273" s="888">
        <f t="shared" si="142"/>
        <v>0.93344159999822218</v>
      </c>
      <c r="N273" s="172">
        <v>0</v>
      </c>
      <c r="O273" s="880"/>
      <c r="P273" s="880">
        <f t="shared" si="143"/>
        <v>5.88</v>
      </c>
      <c r="Q273" s="172">
        <f t="shared" si="160"/>
        <v>4.9465584000017779</v>
      </c>
      <c r="R273" s="2420"/>
      <c r="S273" s="2399" t="str">
        <f t="shared" si="164"/>
        <v>открыт</v>
      </c>
      <c r="T273" s="2052" t="str">
        <f t="shared" si="152"/>
        <v>открыт</v>
      </c>
      <c r="U273" s="2399"/>
      <c r="V273" s="2399"/>
      <c r="W273" s="2399" t="s">
        <v>3033</v>
      </c>
      <c r="X273" s="912"/>
      <c r="Y273" s="2419"/>
      <c r="Z273" s="2411"/>
      <c r="AA273" s="7" t="s">
        <v>1767</v>
      </c>
      <c r="AB273" s="230">
        <f t="shared" si="153"/>
        <v>5.6</v>
      </c>
      <c r="AC273" s="229" t="str">
        <f t="shared" si="154"/>
        <v>+</v>
      </c>
      <c r="AD273" s="229">
        <f t="shared" si="155"/>
        <v>6.3</v>
      </c>
      <c r="AE273" s="229"/>
      <c r="AF273" s="228"/>
      <c r="AG273" s="212" t="str">
        <f t="shared" si="161"/>
        <v>5,6+6,3</v>
      </c>
      <c r="AH273" s="172">
        <f>'Зона РжЭс'!L177</f>
        <v>0</v>
      </c>
      <c r="AI273" s="172">
        <f t="shared" si="149"/>
        <v>1.2</v>
      </c>
      <c r="AJ273" s="1973">
        <f t="shared" si="156"/>
        <v>0.26655840000177783</v>
      </c>
      <c r="AK273" s="212">
        <f t="shared" si="157"/>
        <v>240</v>
      </c>
      <c r="AL273" s="172">
        <f t="shared" si="144"/>
        <v>0.93344159999822218</v>
      </c>
      <c r="AM273" s="1973">
        <f t="shared" si="158"/>
        <v>0</v>
      </c>
      <c r="AN273" s="880">
        <f t="shared" si="145"/>
        <v>5.88</v>
      </c>
      <c r="AO273" s="172">
        <f t="shared" si="162"/>
        <v>4.9465584000017779</v>
      </c>
      <c r="AP273" s="2407"/>
      <c r="AQ273" s="2407" t="str">
        <f t="shared" si="163"/>
        <v>открыт</v>
      </c>
      <c r="AR273" s="2052" t="str">
        <f t="shared" si="159"/>
        <v>открыт</v>
      </c>
      <c r="AS273" s="2454"/>
      <c r="AT273" s="937" t="s">
        <v>747</v>
      </c>
      <c r="AU273" s="1095">
        <v>1978</v>
      </c>
      <c r="AV273" s="1101" t="s">
        <v>3218</v>
      </c>
      <c r="AW273" s="1103">
        <v>56.206891388101397</v>
      </c>
      <c r="AX273" s="1103">
        <v>33.892258534506098</v>
      </c>
    </row>
    <row r="274" spans="1:50" ht="15" customHeight="1" x14ac:dyDescent="0.25">
      <c r="A274" s="2419">
        <v>198</v>
      </c>
      <c r="B274" s="2419">
        <v>25</v>
      </c>
      <c r="C274" s="212" t="s">
        <v>170</v>
      </c>
      <c r="D274" s="230">
        <v>16</v>
      </c>
      <c r="E274" s="229" t="s">
        <v>773</v>
      </c>
      <c r="F274" s="229">
        <v>10</v>
      </c>
      <c r="G274" s="229"/>
      <c r="H274" s="228"/>
      <c r="I274" s="229" t="str">
        <f t="shared" si="151"/>
        <v>16+10</v>
      </c>
      <c r="J274" s="882">
        <v>5.35</v>
      </c>
      <c r="K274" s="1423">
        <v>0.28086550000032706</v>
      </c>
      <c r="L274" s="1422">
        <v>240</v>
      </c>
      <c r="M274" s="888">
        <f t="shared" si="142"/>
        <v>5.0691344999996728</v>
      </c>
      <c r="N274" s="172">
        <v>0</v>
      </c>
      <c r="O274" s="880"/>
      <c r="P274" s="880">
        <f t="shared" si="143"/>
        <v>10.5</v>
      </c>
      <c r="Q274" s="172">
        <f t="shared" si="160"/>
        <v>5.4308655000003272</v>
      </c>
      <c r="R274" s="2420">
        <f>MIN(Q274:Q276)</f>
        <v>5.4308655000003272</v>
      </c>
      <c r="S274" s="2398" t="str">
        <f t="shared" si="164"/>
        <v>открыт</v>
      </c>
      <c r="T274" s="2052" t="str">
        <f t="shared" si="152"/>
        <v>открыт</v>
      </c>
      <c r="U274" s="2398">
        <f>(J274*100)/P274</f>
        <v>50.952380952380949</v>
      </c>
      <c r="V274" s="2398">
        <v>0.32</v>
      </c>
      <c r="W274" s="2398" t="s">
        <v>3033</v>
      </c>
      <c r="X274" s="912"/>
      <c r="Y274" s="2419">
        <v>198</v>
      </c>
      <c r="Z274" s="2411">
        <v>25</v>
      </c>
      <c r="AA274" s="212" t="s">
        <v>170</v>
      </c>
      <c r="AB274" s="230">
        <f t="shared" si="153"/>
        <v>16</v>
      </c>
      <c r="AC274" s="229" t="str">
        <f t="shared" si="154"/>
        <v>+</v>
      </c>
      <c r="AD274" s="229">
        <f t="shared" si="155"/>
        <v>10</v>
      </c>
      <c r="AE274" s="229"/>
      <c r="AF274" s="228"/>
      <c r="AG274" s="212" t="str">
        <f t="shared" si="161"/>
        <v>16+10</v>
      </c>
      <c r="AH274" s="172">
        <f>SUM(AH275:AH276)</f>
        <v>0.33543478260869564</v>
      </c>
      <c r="AI274" s="172">
        <f t="shared" si="149"/>
        <v>5.6854347826086951</v>
      </c>
      <c r="AJ274" s="1973">
        <f t="shared" si="156"/>
        <v>0.28086550000032706</v>
      </c>
      <c r="AK274" s="212">
        <f t="shared" si="157"/>
        <v>240</v>
      </c>
      <c r="AL274" s="172">
        <f t="shared" si="144"/>
        <v>5.4045692826083682</v>
      </c>
      <c r="AM274" s="1973">
        <f t="shared" si="158"/>
        <v>0</v>
      </c>
      <c r="AN274" s="880">
        <f t="shared" si="145"/>
        <v>10.5</v>
      </c>
      <c r="AO274" s="172">
        <f t="shared" si="162"/>
        <v>5.0954307173916318</v>
      </c>
      <c r="AP274" s="2405">
        <f>MIN(AO274:AO276)</f>
        <v>5.0954307173916318</v>
      </c>
      <c r="AQ274" s="2405" t="str">
        <f t="shared" si="163"/>
        <v>открыт</v>
      </c>
      <c r="AR274" s="2052" t="str">
        <f t="shared" si="159"/>
        <v>открыт</v>
      </c>
      <c r="AS274" s="2452">
        <f>(AI274*100)/AN274</f>
        <v>54.14699792960662</v>
      </c>
      <c r="AT274" s="937" t="s">
        <v>747</v>
      </c>
      <c r="AU274" s="1095">
        <v>1964</v>
      </c>
      <c r="AV274" s="1101" t="s">
        <v>3218</v>
      </c>
      <c r="AW274" s="1103">
        <v>56.222590712521701</v>
      </c>
      <c r="AX274" s="1103">
        <v>33.502481446068401</v>
      </c>
    </row>
    <row r="275" spans="1:50" ht="15" customHeight="1" x14ac:dyDescent="0.25">
      <c r="A275" s="2419"/>
      <c r="B275" s="2419"/>
      <c r="C275" s="7" t="s">
        <v>1807</v>
      </c>
      <c r="D275" s="230">
        <v>16</v>
      </c>
      <c r="E275" s="229" t="s">
        <v>773</v>
      </c>
      <c r="F275" s="229">
        <v>10</v>
      </c>
      <c r="G275" s="229"/>
      <c r="H275" s="228"/>
      <c r="I275" s="229" t="str">
        <f t="shared" si="151"/>
        <v>16+10</v>
      </c>
      <c r="J275" s="882">
        <v>1.0900000000000001</v>
      </c>
      <c r="K275" s="1423">
        <v>0.28086550000032706</v>
      </c>
      <c r="L275" s="1422">
        <v>240</v>
      </c>
      <c r="M275" s="888">
        <f t="shared" si="142"/>
        <v>0.80913449999967302</v>
      </c>
      <c r="N275" s="172">
        <v>0</v>
      </c>
      <c r="O275" s="880"/>
      <c r="P275" s="880">
        <f t="shared" si="143"/>
        <v>10.5</v>
      </c>
      <c r="Q275" s="172">
        <f t="shared" si="160"/>
        <v>9.6908655000003279</v>
      </c>
      <c r="R275" s="2420"/>
      <c r="S275" s="2399" t="str">
        <f t="shared" si="164"/>
        <v>открыт</v>
      </c>
      <c r="T275" s="2052" t="str">
        <f t="shared" si="152"/>
        <v>открыт</v>
      </c>
      <c r="U275" s="2399"/>
      <c r="V275" s="2399"/>
      <c r="W275" s="2399" t="s">
        <v>3033</v>
      </c>
      <c r="X275" s="912"/>
      <c r="Y275" s="2419"/>
      <c r="Z275" s="2411"/>
      <c r="AA275" s="7" t="s">
        <v>1807</v>
      </c>
      <c r="AB275" s="230">
        <f t="shared" si="153"/>
        <v>16</v>
      </c>
      <c r="AC275" s="229" t="str">
        <f t="shared" si="154"/>
        <v>+</v>
      </c>
      <c r="AD275" s="229">
        <f t="shared" si="155"/>
        <v>10</v>
      </c>
      <c r="AE275" s="229"/>
      <c r="AF275" s="228"/>
      <c r="AG275" s="212" t="str">
        <f t="shared" si="161"/>
        <v>16+10</v>
      </c>
      <c r="AH275" s="172">
        <f>SUM(AH249+AH250+AH251+AH252)</f>
        <v>0</v>
      </c>
      <c r="AI275" s="172">
        <f t="shared" si="149"/>
        <v>1.0900000000000001</v>
      </c>
      <c r="AJ275" s="1973">
        <f t="shared" si="156"/>
        <v>0.28086550000032706</v>
      </c>
      <c r="AK275" s="212">
        <f t="shared" si="157"/>
        <v>240</v>
      </c>
      <c r="AL275" s="172">
        <f t="shared" si="144"/>
        <v>0.80913449999967302</v>
      </c>
      <c r="AM275" s="1973">
        <f t="shared" si="158"/>
        <v>0</v>
      </c>
      <c r="AN275" s="880">
        <f t="shared" si="145"/>
        <v>10.5</v>
      </c>
      <c r="AO275" s="172">
        <f t="shared" si="162"/>
        <v>9.6908655000003279</v>
      </c>
      <c r="AP275" s="2406"/>
      <c r="AQ275" s="2406" t="str">
        <f t="shared" si="163"/>
        <v>открыт</v>
      </c>
      <c r="AR275" s="2052" t="str">
        <f t="shared" si="159"/>
        <v>открыт</v>
      </c>
      <c r="AS275" s="2453"/>
      <c r="AT275" s="937" t="s">
        <v>747</v>
      </c>
      <c r="AU275" s="1095">
        <v>1964</v>
      </c>
      <c r="AV275" s="1101" t="s">
        <v>3218</v>
      </c>
      <c r="AW275" s="1103">
        <v>56.222590712521701</v>
      </c>
      <c r="AX275" s="1103">
        <v>33.502481446068401</v>
      </c>
    </row>
    <row r="276" spans="1:50" ht="15" customHeight="1" x14ac:dyDescent="0.25">
      <c r="A276" s="2419"/>
      <c r="B276" s="2419"/>
      <c r="C276" s="7" t="s">
        <v>1767</v>
      </c>
      <c r="D276" s="230">
        <v>16</v>
      </c>
      <c r="E276" s="229" t="s">
        <v>773</v>
      </c>
      <c r="F276" s="229">
        <v>10</v>
      </c>
      <c r="G276" s="229"/>
      <c r="H276" s="228"/>
      <c r="I276" s="229" t="str">
        <f t="shared" si="151"/>
        <v>16+10</v>
      </c>
      <c r="J276" s="882">
        <v>4.26</v>
      </c>
      <c r="K276" s="1423"/>
      <c r="L276" s="1422"/>
      <c r="M276" s="888">
        <f t="shared" si="142"/>
        <v>4.26</v>
      </c>
      <c r="N276" s="172">
        <v>0</v>
      </c>
      <c r="O276" s="880"/>
      <c r="P276" s="880">
        <f t="shared" si="143"/>
        <v>10.5</v>
      </c>
      <c r="Q276" s="172">
        <f t="shared" si="160"/>
        <v>6.24</v>
      </c>
      <c r="R276" s="2420"/>
      <c r="S276" s="2399" t="str">
        <f t="shared" si="164"/>
        <v>открыт</v>
      </c>
      <c r="T276" s="2052" t="str">
        <f t="shared" si="152"/>
        <v>открыт</v>
      </c>
      <c r="U276" s="2399"/>
      <c r="V276" s="2399"/>
      <c r="W276" s="2399" t="s">
        <v>3033</v>
      </c>
      <c r="X276" s="912"/>
      <c r="Y276" s="2419"/>
      <c r="Z276" s="2411"/>
      <c r="AA276" s="7" t="s">
        <v>1767</v>
      </c>
      <c r="AB276" s="230">
        <f t="shared" si="153"/>
        <v>16</v>
      </c>
      <c r="AC276" s="229" t="str">
        <f t="shared" si="154"/>
        <v>+</v>
      </c>
      <c r="AD276" s="229">
        <f t="shared" si="155"/>
        <v>10</v>
      </c>
      <c r="AE276" s="229"/>
      <c r="AF276" s="228"/>
      <c r="AG276" s="212" t="str">
        <f t="shared" si="161"/>
        <v>16+10</v>
      </c>
      <c r="AH276" s="172">
        <f>'Зона РжЭс'!L189</f>
        <v>0.33543478260869564</v>
      </c>
      <c r="AI276" s="172">
        <f t="shared" si="149"/>
        <v>4.5954347826086952</v>
      </c>
      <c r="AJ276" s="1973">
        <f t="shared" si="156"/>
        <v>0</v>
      </c>
      <c r="AK276" s="212">
        <f t="shared" si="157"/>
        <v>0</v>
      </c>
      <c r="AL276" s="172">
        <f t="shared" si="144"/>
        <v>4.5954347826086952</v>
      </c>
      <c r="AM276" s="1973">
        <f t="shared" si="158"/>
        <v>0</v>
      </c>
      <c r="AN276" s="880">
        <f t="shared" si="145"/>
        <v>10.5</v>
      </c>
      <c r="AO276" s="172">
        <f t="shared" si="162"/>
        <v>5.9045652173913048</v>
      </c>
      <c r="AP276" s="2407"/>
      <c r="AQ276" s="2407" t="str">
        <f t="shared" si="163"/>
        <v>открыт</v>
      </c>
      <c r="AR276" s="2052" t="str">
        <f t="shared" si="159"/>
        <v>открыт</v>
      </c>
      <c r="AS276" s="2454"/>
      <c r="AT276" s="937" t="s">
        <v>747</v>
      </c>
      <c r="AU276" s="1095">
        <v>1964</v>
      </c>
      <c r="AV276" s="1101" t="s">
        <v>3218</v>
      </c>
      <c r="AW276" s="1103">
        <v>56.222590712521701</v>
      </c>
      <c r="AX276" s="1103">
        <v>33.502481446068401</v>
      </c>
    </row>
    <row r="277" spans="1:50" ht="15" customHeight="1" x14ac:dyDescent="0.25">
      <c r="A277" s="2419">
        <v>199</v>
      </c>
      <c r="B277" s="2419">
        <v>26</v>
      </c>
      <c r="C277" s="212" t="s">
        <v>171</v>
      </c>
      <c r="D277" s="230">
        <v>16</v>
      </c>
      <c r="E277" s="229" t="s">
        <v>773</v>
      </c>
      <c r="F277" s="229">
        <v>16</v>
      </c>
      <c r="G277" s="229"/>
      <c r="H277" s="228"/>
      <c r="I277" s="229" t="str">
        <f t="shared" si="151"/>
        <v>16+16</v>
      </c>
      <c r="J277" s="882">
        <v>11</v>
      </c>
      <c r="K277" s="1423">
        <v>2.9677077399977172</v>
      </c>
      <c r="L277" s="1422">
        <v>480</v>
      </c>
      <c r="M277" s="888">
        <f t="shared" si="142"/>
        <v>8.0322922600022828</v>
      </c>
      <c r="N277" s="172">
        <v>0</v>
      </c>
      <c r="O277" s="880"/>
      <c r="P277" s="880">
        <f t="shared" si="143"/>
        <v>16.8</v>
      </c>
      <c r="Q277" s="172">
        <f t="shared" si="160"/>
        <v>8.7677077399977179</v>
      </c>
      <c r="R277" s="2420">
        <f>MIN(Q277:Q279)</f>
        <v>8.7677077399977179</v>
      </c>
      <c r="S277" s="2398" t="str">
        <f t="shared" si="164"/>
        <v>открыт</v>
      </c>
      <c r="T277" s="2052" t="str">
        <f t="shared" si="152"/>
        <v>открыт</v>
      </c>
      <c r="U277" s="2398">
        <f>(J277*100)/P277</f>
        <v>65.476190476190467</v>
      </c>
      <c r="V277" s="2398">
        <v>0.53</v>
      </c>
      <c r="W277" s="2398" t="s">
        <v>3033</v>
      </c>
      <c r="X277" s="912"/>
      <c r="Y277" s="2419">
        <v>199</v>
      </c>
      <c r="Z277" s="2411">
        <v>26</v>
      </c>
      <c r="AA277" s="212" t="s">
        <v>171</v>
      </c>
      <c r="AB277" s="230">
        <f t="shared" si="153"/>
        <v>16</v>
      </c>
      <c r="AC277" s="229" t="str">
        <f t="shared" si="154"/>
        <v>+</v>
      </c>
      <c r="AD277" s="229">
        <f t="shared" si="155"/>
        <v>16</v>
      </c>
      <c r="AE277" s="229"/>
      <c r="AF277" s="228"/>
      <c r="AG277" s="212" t="str">
        <f t="shared" si="161"/>
        <v>16+16</v>
      </c>
      <c r="AH277" s="172">
        <f>SUM(AH278:AH279)</f>
        <v>2.1984782608695652</v>
      </c>
      <c r="AI277" s="172">
        <f t="shared" si="149"/>
        <v>13.198478260869566</v>
      </c>
      <c r="AJ277" s="1973">
        <f t="shared" si="156"/>
        <v>2.9677077399977172</v>
      </c>
      <c r="AK277" s="212">
        <f t="shared" si="157"/>
        <v>480</v>
      </c>
      <c r="AL277" s="172">
        <f t="shared" si="144"/>
        <v>10.230770520871848</v>
      </c>
      <c r="AM277" s="1973">
        <f t="shared" si="158"/>
        <v>0</v>
      </c>
      <c r="AN277" s="880">
        <f t="shared" si="145"/>
        <v>16.8</v>
      </c>
      <c r="AO277" s="172">
        <f t="shared" si="162"/>
        <v>6.5692294791281522</v>
      </c>
      <c r="AP277" s="2405">
        <f>MIN(AO277:AO279)</f>
        <v>6.5692294791281522</v>
      </c>
      <c r="AQ277" s="2405" t="str">
        <f>AR277</f>
        <v>открыт</v>
      </c>
      <c r="AR277" s="2052" t="str">
        <f t="shared" si="159"/>
        <v>открыт</v>
      </c>
      <c r="AS277" s="2452">
        <f>(AI277*100)/AN277</f>
        <v>78.56237060041407</v>
      </c>
      <c r="AT277" s="937" t="s">
        <v>747</v>
      </c>
      <c r="AU277" s="1095">
        <v>1961</v>
      </c>
      <c r="AV277" s="1101" t="s">
        <v>3218</v>
      </c>
      <c r="AW277" s="1103">
        <v>56.498230498297197</v>
      </c>
      <c r="AX277" s="1103">
        <v>34.925430104473897</v>
      </c>
    </row>
    <row r="278" spans="1:50" ht="15" customHeight="1" x14ac:dyDescent="0.25">
      <c r="A278" s="2419"/>
      <c r="B278" s="2419"/>
      <c r="C278" s="7" t="s">
        <v>1807</v>
      </c>
      <c r="D278" s="230">
        <v>16</v>
      </c>
      <c r="E278" s="229" t="s">
        <v>773</v>
      </c>
      <c r="F278" s="229">
        <v>16</v>
      </c>
      <c r="G278" s="229"/>
      <c r="H278" s="228"/>
      <c r="I278" s="229" t="str">
        <f t="shared" si="151"/>
        <v>16+16</v>
      </c>
      <c r="J278" s="882">
        <v>3.55</v>
      </c>
      <c r="K278" s="1423">
        <v>2.4984763799969003</v>
      </c>
      <c r="L278" s="1422">
        <v>480</v>
      </c>
      <c r="M278" s="888">
        <f t="shared" si="142"/>
        <v>1.0515236200030995</v>
      </c>
      <c r="N278" s="172">
        <v>0</v>
      </c>
      <c r="O278" s="880"/>
      <c r="P278" s="880">
        <f t="shared" si="143"/>
        <v>16.8</v>
      </c>
      <c r="Q278" s="172">
        <f t="shared" si="160"/>
        <v>15.748476379996902</v>
      </c>
      <c r="R278" s="2420"/>
      <c r="S278" s="2399" t="str">
        <f t="shared" si="164"/>
        <v>открыт</v>
      </c>
      <c r="T278" s="2052" t="str">
        <f t="shared" si="152"/>
        <v>открыт</v>
      </c>
      <c r="U278" s="2399"/>
      <c r="V278" s="2399"/>
      <c r="W278" s="2399" t="s">
        <v>3033</v>
      </c>
      <c r="X278" s="912"/>
      <c r="Y278" s="2419"/>
      <c r="Z278" s="2411"/>
      <c r="AA278" s="7" t="s">
        <v>1807</v>
      </c>
      <c r="AB278" s="230">
        <f t="shared" si="153"/>
        <v>16</v>
      </c>
      <c r="AC278" s="229" t="str">
        <f t="shared" si="154"/>
        <v>+</v>
      </c>
      <c r="AD278" s="229">
        <f t="shared" si="155"/>
        <v>16</v>
      </c>
      <c r="AE278" s="229"/>
      <c r="AF278" s="228"/>
      <c r="AG278" s="212" t="str">
        <f t="shared" si="161"/>
        <v>16+16</v>
      </c>
      <c r="AH278" s="172">
        <f>SUM(AH253+AH254+AH263+AH264+AH265)</f>
        <v>0.55027173913043481</v>
      </c>
      <c r="AI278" s="172">
        <f t="shared" si="149"/>
        <v>4.1002717391304344</v>
      </c>
      <c r="AJ278" s="1973">
        <f t="shared" si="156"/>
        <v>2.4984763799969003</v>
      </c>
      <c r="AK278" s="212">
        <f t="shared" si="157"/>
        <v>480</v>
      </c>
      <c r="AL278" s="172">
        <f t="shared" si="144"/>
        <v>1.6017953591335341</v>
      </c>
      <c r="AM278" s="1973">
        <f t="shared" si="158"/>
        <v>0</v>
      </c>
      <c r="AN278" s="880">
        <f t="shared" si="145"/>
        <v>16.8</v>
      </c>
      <c r="AO278" s="172">
        <f t="shared" si="162"/>
        <v>15.198204640866466</v>
      </c>
      <c r="AP278" s="2406"/>
      <c r="AQ278" s="2406"/>
      <c r="AR278" s="2052" t="str">
        <f t="shared" si="159"/>
        <v>открыт</v>
      </c>
      <c r="AS278" s="2453"/>
      <c r="AT278" s="937" t="s">
        <v>747</v>
      </c>
      <c r="AU278" s="1095">
        <v>1961</v>
      </c>
      <c r="AV278" s="1101" t="s">
        <v>3218</v>
      </c>
      <c r="AW278" s="1103">
        <v>56.498230498297197</v>
      </c>
      <c r="AX278" s="1103">
        <v>34.925430104473897</v>
      </c>
    </row>
    <row r="279" spans="1:50" ht="15" customHeight="1" x14ac:dyDescent="0.25">
      <c r="A279" s="2419"/>
      <c r="B279" s="2419"/>
      <c r="C279" s="7" t="s">
        <v>1767</v>
      </c>
      <c r="D279" s="230">
        <v>16</v>
      </c>
      <c r="E279" s="229" t="s">
        <v>773</v>
      </c>
      <c r="F279" s="229">
        <v>16</v>
      </c>
      <c r="G279" s="229"/>
      <c r="H279" s="228"/>
      <c r="I279" s="229" t="str">
        <f t="shared" si="151"/>
        <v>16+16</v>
      </c>
      <c r="J279" s="882">
        <v>7.45</v>
      </c>
      <c r="K279" s="1423">
        <v>0.46923136000081683</v>
      </c>
      <c r="L279" s="1422">
        <v>240</v>
      </c>
      <c r="M279" s="888">
        <f t="shared" si="142"/>
        <v>6.9807686399991837</v>
      </c>
      <c r="N279" s="172">
        <v>0</v>
      </c>
      <c r="O279" s="880"/>
      <c r="P279" s="880">
        <f t="shared" si="143"/>
        <v>16.8</v>
      </c>
      <c r="Q279" s="172">
        <f t="shared" si="160"/>
        <v>9.819231360000817</v>
      </c>
      <c r="R279" s="2420"/>
      <c r="S279" s="2399" t="str">
        <f t="shared" si="164"/>
        <v>открыт</v>
      </c>
      <c r="T279" s="2052" t="str">
        <f t="shared" si="152"/>
        <v>открыт</v>
      </c>
      <c r="U279" s="2399"/>
      <c r="V279" s="2399"/>
      <c r="W279" s="2399" t="s">
        <v>3033</v>
      </c>
      <c r="X279" s="912"/>
      <c r="Y279" s="2419"/>
      <c r="Z279" s="2411"/>
      <c r="AA279" s="7" t="s">
        <v>1767</v>
      </c>
      <c r="AB279" s="230">
        <f t="shared" si="153"/>
        <v>16</v>
      </c>
      <c r="AC279" s="229" t="str">
        <f t="shared" si="154"/>
        <v>+</v>
      </c>
      <c r="AD279" s="229">
        <f t="shared" si="155"/>
        <v>16</v>
      </c>
      <c r="AE279" s="229"/>
      <c r="AF279" s="228"/>
      <c r="AG279" s="212" t="str">
        <f t="shared" si="161"/>
        <v>16+16</v>
      </c>
      <c r="AH279" s="172">
        <f>'Зона РжЭс'!L217</f>
        <v>1.6482065217391304</v>
      </c>
      <c r="AI279" s="172">
        <f t="shared" si="149"/>
        <v>9.0982065217391312</v>
      </c>
      <c r="AJ279" s="1973">
        <f t="shared" si="156"/>
        <v>0.46923136000081683</v>
      </c>
      <c r="AK279" s="212">
        <f t="shared" si="157"/>
        <v>240</v>
      </c>
      <c r="AL279" s="172">
        <f t="shared" si="144"/>
        <v>8.6289751617383139</v>
      </c>
      <c r="AM279" s="1973">
        <f t="shared" si="158"/>
        <v>0</v>
      </c>
      <c r="AN279" s="880">
        <f t="shared" si="145"/>
        <v>16.8</v>
      </c>
      <c r="AO279" s="172">
        <f t="shared" si="162"/>
        <v>8.1710248382616868</v>
      </c>
      <c r="AP279" s="2407"/>
      <c r="AQ279" s="2407"/>
      <c r="AR279" s="2052" t="str">
        <f t="shared" si="159"/>
        <v>открыт</v>
      </c>
      <c r="AS279" s="2454"/>
      <c r="AT279" s="937" t="s">
        <v>747</v>
      </c>
      <c r="AU279" s="1095">
        <v>1961</v>
      </c>
      <c r="AV279" s="1101" t="s">
        <v>3218</v>
      </c>
      <c r="AW279" s="1103">
        <v>56.498230498297197</v>
      </c>
      <c r="AX279" s="1103">
        <v>34.925430104473897</v>
      </c>
    </row>
    <row r="280" spans="1:50" ht="15" customHeight="1" x14ac:dyDescent="0.25">
      <c r="A280" s="2419">
        <v>200</v>
      </c>
      <c r="B280" s="2419">
        <v>27</v>
      </c>
      <c r="C280" s="2103" t="s">
        <v>172</v>
      </c>
      <c r="D280" s="230">
        <v>6.3</v>
      </c>
      <c r="E280" s="229" t="s">
        <v>773</v>
      </c>
      <c r="F280" s="229">
        <v>6.3</v>
      </c>
      <c r="G280" s="229"/>
      <c r="H280" s="228"/>
      <c r="I280" s="229" t="str">
        <f t="shared" si="151"/>
        <v>6,3+6,3</v>
      </c>
      <c r="J280" s="882">
        <v>3.7</v>
      </c>
      <c r="K280" s="1423">
        <v>0.11</v>
      </c>
      <c r="L280" s="1422"/>
      <c r="M280" s="888">
        <f t="shared" si="142"/>
        <v>3.5900000000000003</v>
      </c>
      <c r="N280" s="172">
        <v>0</v>
      </c>
      <c r="O280" s="880"/>
      <c r="P280" s="880">
        <f t="shared" si="143"/>
        <v>6.6150000000000002</v>
      </c>
      <c r="Q280" s="172">
        <f t="shared" si="160"/>
        <v>3.0249999999999999</v>
      </c>
      <c r="R280" s="2420">
        <f>MIN(Q280:Q282)</f>
        <v>3.0249999999999999</v>
      </c>
      <c r="S280" s="2398" t="str">
        <f t="shared" si="164"/>
        <v>открыт</v>
      </c>
      <c r="T280" s="2052" t="str">
        <f t="shared" si="152"/>
        <v>открыт</v>
      </c>
      <c r="U280" s="2398">
        <f>(J280*100)/P280</f>
        <v>55.933484504913075</v>
      </c>
      <c r="V280" s="2398">
        <v>0.53</v>
      </c>
      <c r="W280" s="2398" t="s">
        <v>3033</v>
      </c>
      <c r="X280" s="912"/>
      <c r="Y280" s="2419">
        <v>200</v>
      </c>
      <c r="Z280" s="2411">
        <v>27</v>
      </c>
      <c r="AA280" s="212" t="s">
        <v>172</v>
      </c>
      <c r="AB280" s="230">
        <f t="shared" si="153"/>
        <v>6.3</v>
      </c>
      <c r="AC280" s="229" t="str">
        <f t="shared" si="154"/>
        <v>+</v>
      </c>
      <c r="AD280" s="229">
        <f t="shared" si="155"/>
        <v>6.3</v>
      </c>
      <c r="AE280" s="229"/>
      <c r="AF280" s="228"/>
      <c r="AG280" s="212" t="str">
        <f t="shared" si="161"/>
        <v>6,3+6,3</v>
      </c>
      <c r="AH280" s="172">
        <f>SUM(AH281:AH282)</f>
        <v>0.7630434782608696</v>
      </c>
      <c r="AI280" s="172">
        <f t="shared" si="149"/>
        <v>4.4630434782608699</v>
      </c>
      <c r="AJ280" s="1973">
        <f t="shared" si="156"/>
        <v>0.11</v>
      </c>
      <c r="AK280" s="212">
        <f t="shared" si="157"/>
        <v>0</v>
      </c>
      <c r="AL280" s="172">
        <f t="shared" si="144"/>
        <v>4.3530434782608696</v>
      </c>
      <c r="AM280" s="1973">
        <f t="shared" si="158"/>
        <v>0</v>
      </c>
      <c r="AN280" s="880">
        <f t="shared" si="145"/>
        <v>6.6150000000000002</v>
      </c>
      <c r="AO280" s="172">
        <f t="shared" si="162"/>
        <v>2.2619565217391306</v>
      </c>
      <c r="AP280" s="2405">
        <f>MIN(AO280:AO282)</f>
        <v>2.2619565217391306</v>
      </c>
      <c r="AQ280" s="2405" t="str">
        <f t="shared" si="163"/>
        <v>открыт</v>
      </c>
      <c r="AR280" s="2052" t="str">
        <f t="shared" si="159"/>
        <v>открыт</v>
      </c>
      <c r="AS280" s="2452">
        <f>(AI280*100)/AN280</f>
        <v>67.468533307042634</v>
      </c>
      <c r="AT280" s="937" t="s">
        <v>747</v>
      </c>
      <c r="AU280" s="1095">
        <v>1975</v>
      </c>
      <c r="AV280" s="1101" t="s">
        <v>3218</v>
      </c>
      <c r="AW280" s="1103">
        <v>56.593616507818602</v>
      </c>
      <c r="AX280" s="1103">
        <v>35.225638740526897</v>
      </c>
    </row>
    <row r="281" spans="1:50" ht="15" customHeight="1" x14ac:dyDescent="0.25">
      <c r="A281" s="2419"/>
      <c r="B281" s="2419"/>
      <c r="C281" s="7" t="s">
        <v>1807</v>
      </c>
      <c r="D281" s="230">
        <v>6.3</v>
      </c>
      <c r="E281" s="229" t="s">
        <v>773</v>
      </c>
      <c r="F281" s="229">
        <v>6.3</v>
      </c>
      <c r="G281" s="229"/>
      <c r="H281" s="228"/>
      <c r="I281" s="229" t="str">
        <f t="shared" si="151"/>
        <v>6,3+6,3</v>
      </c>
      <c r="J281" s="882">
        <v>0.14000000000000001</v>
      </c>
      <c r="K281" s="1423">
        <v>0.11</v>
      </c>
      <c r="L281" s="1422">
        <v>240</v>
      </c>
      <c r="M281" s="888">
        <f t="shared" si="142"/>
        <v>3.0000000000000013E-2</v>
      </c>
      <c r="N281" s="172">
        <v>0</v>
      </c>
      <c r="O281" s="880"/>
      <c r="P281" s="880">
        <f t="shared" si="143"/>
        <v>6.6150000000000002</v>
      </c>
      <c r="Q281" s="172">
        <f t="shared" si="160"/>
        <v>6.585</v>
      </c>
      <c r="R281" s="2420"/>
      <c r="S281" s="2399" t="str">
        <f t="shared" si="164"/>
        <v>открыт</v>
      </c>
      <c r="T281" s="2052" t="str">
        <f t="shared" si="152"/>
        <v>открыт</v>
      </c>
      <c r="U281" s="2399"/>
      <c r="V281" s="2399"/>
      <c r="W281" s="2399" t="s">
        <v>3033</v>
      </c>
      <c r="X281" s="912"/>
      <c r="Y281" s="2419"/>
      <c r="Z281" s="2411"/>
      <c r="AA281" s="7" t="s">
        <v>1807</v>
      </c>
      <c r="AB281" s="230">
        <f t="shared" si="153"/>
        <v>6.3</v>
      </c>
      <c r="AC281" s="229" t="str">
        <f t="shared" si="154"/>
        <v>+</v>
      </c>
      <c r="AD281" s="229">
        <f t="shared" si="155"/>
        <v>6.3</v>
      </c>
      <c r="AE281" s="229"/>
      <c r="AF281" s="228"/>
      <c r="AG281" s="212" t="str">
        <f t="shared" si="161"/>
        <v>6,3+6,3</v>
      </c>
      <c r="AH281" s="172">
        <v>0</v>
      </c>
      <c r="AI281" s="172">
        <f t="shared" si="149"/>
        <v>0.14000000000000001</v>
      </c>
      <c r="AJ281" s="1973">
        <f t="shared" si="156"/>
        <v>0.11</v>
      </c>
      <c r="AK281" s="212">
        <f t="shared" si="157"/>
        <v>240</v>
      </c>
      <c r="AL281" s="172">
        <f t="shared" si="144"/>
        <v>3.0000000000000013E-2</v>
      </c>
      <c r="AM281" s="1973">
        <f t="shared" si="158"/>
        <v>0</v>
      </c>
      <c r="AN281" s="880">
        <f t="shared" si="145"/>
        <v>6.6150000000000002</v>
      </c>
      <c r="AO281" s="172">
        <f t="shared" si="162"/>
        <v>6.585</v>
      </c>
      <c r="AP281" s="2406"/>
      <c r="AQ281" s="2406" t="str">
        <f t="shared" si="163"/>
        <v>открыт</v>
      </c>
      <c r="AR281" s="2052" t="str">
        <f t="shared" si="159"/>
        <v>открыт</v>
      </c>
      <c r="AS281" s="2453"/>
      <c r="AT281" s="937" t="s">
        <v>747</v>
      </c>
      <c r="AU281" s="1095">
        <v>1975</v>
      </c>
      <c r="AV281" s="1101" t="s">
        <v>3218</v>
      </c>
      <c r="AW281" s="1103">
        <v>56.593616507818602</v>
      </c>
      <c r="AX281" s="1103">
        <v>35.225638740526897</v>
      </c>
    </row>
    <row r="282" spans="1:50" ht="15" customHeight="1" x14ac:dyDescent="0.25">
      <c r="A282" s="2419"/>
      <c r="B282" s="2419"/>
      <c r="C282" s="7" t="s">
        <v>1767</v>
      </c>
      <c r="D282" s="230">
        <v>6.3</v>
      </c>
      <c r="E282" s="229" t="s">
        <v>773</v>
      </c>
      <c r="F282" s="229">
        <v>6.3</v>
      </c>
      <c r="G282" s="229"/>
      <c r="H282" s="228"/>
      <c r="I282" s="229" t="str">
        <f t="shared" si="151"/>
        <v>6,3+6,3</v>
      </c>
      <c r="J282" s="882">
        <v>3.56</v>
      </c>
      <c r="K282" s="1423"/>
      <c r="L282" s="1422"/>
      <c r="M282" s="888">
        <f t="shared" si="142"/>
        <v>3.56</v>
      </c>
      <c r="N282" s="172">
        <v>0</v>
      </c>
      <c r="O282" s="880"/>
      <c r="P282" s="880">
        <f t="shared" si="143"/>
        <v>6.6150000000000002</v>
      </c>
      <c r="Q282" s="172">
        <f t="shared" si="160"/>
        <v>3.0550000000000002</v>
      </c>
      <c r="R282" s="2420"/>
      <c r="S282" s="2399" t="str">
        <f t="shared" si="164"/>
        <v>открыт</v>
      </c>
      <c r="T282" s="2052" t="str">
        <f t="shared" si="152"/>
        <v>открыт</v>
      </c>
      <c r="U282" s="2399"/>
      <c r="V282" s="2399"/>
      <c r="W282" s="2399" t="s">
        <v>3033</v>
      </c>
      <c r="X282" s="912"/>
      <c r="Y282" s="2419"/>
      <c r="Z282" s="2411"/>
      <c r="AA282" s="7" t="s">
        <v>1767</v>
      </c>
      <c r="AB282" s="230">
        <f t="shared" si="153"/>
        <v>6.3</v>
      </c>
      <c r="AC282" s="229" t="str">
        <f t="shared" si="154"/>
        <v>+</v>
      </c>
      <c r="AD282" s="229">
        <f t="shared" si="155"/>
        <v>6.3</v>
      </c>
      <c r="AE282" s="229"/>
      <c r="AF282" s="228"/>
      <c r="AG282" s="212" t="str">
        <f t="shared" si="161"/>
        <v>6,3+6,3</v>
      </c>
      <c r="AH282" s="244">
        <f>'Зона РжЭс'!L234</f>
        <v>0.7630434782608696</v>
      </c>
      <c r="AI282" s="172">
        <f t="shared" si="149"/>
        <v>4.3230434782608693</v>
      </c>
      <c r="AJ282" s="1973">
        <f t="shared" si="156"/>
        <v>0</v>
      </c>
      <c r="AK282" s="212">
        <f t="shared" si="157"/>
        <v>0</v>
      </c>
      <c r="AL282" s="172">
        <f t="shared" si="144"/>
        <v>4.3230434782608693</v>
      </c>
      <c r="AM282" s="1973">
        <f t="shared" si="158"/>
        <v>0</v>
      </c>
      <c r="AN282" s="880">
        <f t="shared" si="145"/>
        <v>6.6150000000000002</v>
      </c>
      <c r="AO282" s="172">
        <f t="shared" si="162"/>
        <v>2.2919565217391309</v>
      </c>
      <c r="AP282" s="2407"/>
      <c r="AQ282" s="2407" t="str">
        <f t="shared" si="163"/>
        <v>открыт</v>
      </c>
      <c r="AR282" s="2052" t="str">
        <f t="shared" si="159"/>
        <v>открыт</v>
      </c>
      <c r="AS282" s="2454"/>
      <c r="AT282" s="937" t="s">
        <v>747</v>
      </c>
      <c r="AU282" s="1095">
        <v>1975</v>
      </c>
      <c r="AV282" s="1101" t="s">
        <v>3218</v>
      </c>
      <c r="AW282" s="1103">
        <v>56.593616507818602</v>
      </c>
      <c r="AX282" s="1103">
        <v>35.225638740526897</v>
      </c>
    </row>
    <row r="283" spans="1:50" ht="15" customHeight="1" x14ac:dyDescent="0.25">
      <c r="A283" s="212">
        <v>201</v>
      </c>
      <c r="B283" s="212">
        <v>1</v>
      </c>
      <c r="C283" s="212" t="s">
        <v>173</v>
      </c>
      <c r="D283" s="230">
        <v>2.5</v>
      </c>
      <c r="E283" s="229"/>
      <c r="F283" s="229"/>
      <c r="G283" s="229"/>
      <c r="H283" s="228"/>
      <c r="I283" s="229" t="str">
        <f t="shared" si="151"/>
        <v>2,5</v>
      </c>
      <c r="J283" s="882">
        <v>1.24</v>
      </c>
      <c r="K283" s="889">
        <v>1.1000000000000001</v>
      </c>
      <c r="L283" s="124" t="s">
        <v>1780</v>
      </c>
      <c r="M283" s="172">
        <f>K283</f>
        <v>1.1000000000000001</v>
      </c>
      <c r="N283" s="172">
        <v>0</v>
      </c>
      <c r="O283" s="880"/>
      <c r="P283" s="880">
        <f t="shared" ref="P283:P300" si="165">M283-N283</f>
        <v>1.1000000000000001</v>
      </c>
      <c r="Q283" s="172">
        <f t="shared" ref="Q283:Q300" si="166">P283-J283</f>
        <v>-0.1399999999999999</v>
      </c>
      <c r="R283" s="172">
        <f>Q283</f>
        <v>-0.1399999999999999</v>
      </c>
      <c r="S283" s="757" t="str">
        <f t="shared" si="164"/>
        <v>закрыт</v>
      </c>
      <c r="T283" s="2052" t="str">
        <f t="shared" si="152"/>
        <v>закрыт</v>
      </c>
      <c r="U283" s="757">
        <f t="shared" ref="U283:U300" si="167">(J283*100)/(I283*1.05)</f>
        <v>47.238095238095241</v>
      </c>
      <c r="V283" s="2254"/>
      <c r="W283" s="2254" t="s">
        <v>3032</v>
      </c>
      <c r="X283" s="912"/>
      <c r="Y283" s="212">
        <v>201</v>
      </c>
      <c r="Z283" s="228">
        <v>1</v>
      </c>
      <c r="AA283" s="212" t="s">
        <v>173</v>
      </c>
      <c r="AB283" s="230">
        <f t="shared" si="153"/>
        <v>2.5</v>
      </c>
      <c r="AC283" s="229"/>
      <c r="AD283" s="229"/>
      <c r="AE283" s="229"/>
      <c r="AF283" s="228"/>
      <c r="AG283" s="212" t="str">
        <f t="shared" si="161"/>
        <v>2,5</v>
      </c>
      <c r="AH283" s="172">
        <f>'Зона ТвЭС'!L15</f>
        <v>0</v>
      </c>
      <c r="AI283" s="172">
        <f t="shared" si="149"/>
        <v>1.24</v>
      </c>
      <c r="AJ283" s="1973">
        <f t="shared" si="156"/>
        <v>1.1000000000000001</v>
      </c>
      <c r="AK283" s="212" t="str">
        <f t="shared" si="157"/>
        <v>1сутки</v>
      </c>
      <c r="AL283" s="172">
        <f t="shared" ref="AL283:AL300" si="168">AJ283</f>
        <v>1.1000000000000001</v>
      </c>
      <c r="AM283" s="1973">
        <f t="shared" si="158"/>
        <v>0</v>
      </c>
      <c r="AN283" s="880">
        <f t="shared" ref="AN283:AN300" si="169">AL283-AM283</f>
        <v>1.1000000000000001</v>
      </c>
      <c r="AO283" s="172">
        <f t="shared" ref="AO283:AO300" si="170">AN283-AI283</f>
        <v>-0.1399999999999999</v>
      </c>
      <c r="AP283" s="172">
        <f>AO283</f>
        <v>-0.1399999999999999</v>
      </c>
      <c r="AQ283" s="220" t="str">
        <f t="shared" si="163"/>
        <v>закрыт</v>
      </c>
      <c r="AR283" s="2052" t="str">
        <f t="shared" si="159"/>
        <v>закрыт</v>
      </c>
      <c r="AS283" s="935">
        <f>(AI283*100)/(AG283*1.05)</f>
        <v>47.238095238095241</v>
      </c>
      <c r="AT283" s="937" t="s">
        <v>97</v>
      </c>
      <c r="AU283" s="1095">
        <v>1989</v>
      </c>
      <c r="AV283" s="1101" t="s">
        <v>3218</v>
      </c>
      <c r="AW283" s="1103">
        <v>56.818146640964599</v>
      </c>
      <c r="AX283" s="1103">
        <v>35.940324736067303</v>
      </c>
    </row>
    <row r="284" spans="1:50" ht="15" customHeight="1" x14ac:dyDescent="0.25">
      <c r="A284" s="212">
        <v>202</v>
      </c>
      <c r="B284" s="212">
        <v>2</v>
      </c>
      <c r="C284" s="212" t="s">
        <v>174</v>
      </c>
      <c r="D284" s="230">
        <v>1.6</v>
      </c>
      <c r="E284" s="229"/>
      <c r="F284" s="229"/>
      <c r="G284" s="229"/>
      <c r="H284" s="228"/>
      <c r="I284" s="229" t="str">
        <f t="shared" si="151"/>
        <v>1,6</v>
      </c>
      <c r="J284" s="882">
        <v>1.41</v>
      </c>
      <c r="K284" s="889">
        <v>0</v>
      </c>
      <c r="L284" s="124">
        <v>0</v>
      </c>
      <c r="M284" s="172">
        <f>K284</f>
        <v>0</v>
      </c>
      <c r="N284" s="172">
        <v>0</v>
      </c>
      <c r="O284" s="880"/>
      <c r="P284" s="880">
        <f t="shared" si="165"/>
        <v>0</v>
      </c>
      <c r="Q284" s="172">
        <f t="shared" si="166"/>
        <v>-1.41</v>
      </c>
      <c r="R284" s="172">
        <f>Q284</f>
        <v>-1.41</v>
      </c>
      <c r="S284" s="172" t="str">
        <f>T284</f>
        <v>закрыт</v>
      </c>
      <c r="T284" s="2052" t="str">
        <f t="shared" si="152"/>
        <v>закрыт</v>
      </c>
      <c r="U284" s="757">
        <f t="shared" si="167"/>
        <v>83.928571428571416</v>
      </c>
      <c r="V284" s="2254">
        <v>0.3</v>
      </c>
      <c r="W284" s="2254" t="s">
        <v>3033</v>
      </c>
      <c r="X284" s="912"/>
      <c r="Y284" s="212">
        <v>202</v>
      </c>
      <c r="Z284" s="228">
        <v>2</v>
      </c>
      <c r="AA284" s="212" t="s">
        <v>174</v>
      </c>
      <c r="AB284" s="230">
        <f t="shared" si="153"/>
        <v>1.6</v>
      </c>
      <c r="AC284" s="229"/>
      <c r="AD284" s="229"/>
      <c r="AE284" s="229"/>
      <c r="AF284" s="228"/>
      <c r="AG284" s="212" t="str">
        <f t="shared" si="161"/>
        <v>1,6</v>
      </c>
      <c r="AH284" s="172">
        <f>'Зона ТвЭС'!L25</f>
        <v>1.2081521739130434</v>
      </c>
      <c r="AI284" s="172">
        <f t="shared" si="149"/>
        <v>2.6181521739130433</v>
      </c>
      <c r="AJ284" s="1973">
        <f t="shared" si="156"/>
        <v>0</v>
      </c>
      <c r="AK284" s="212">
        <f t="shared" si="157"/>
        <v>0</v>
      </c>
      <c r="AL284" s="172">
        <f t="shared" si="168"/>
        <v>0</v>
      </c>
      <c r="AM284" s="1973">
        <f t="shared" si="158"/>
        <v>0</v>
      </c>
      <c r="AN284" s="880">
        <f t="shared" si="169"/>
        <v>0</v>
      </c>
      <c r="AO284" s="172">
        <f t="shared" si="170"/>
        <v>-2.6181521739130433</v>
      </c>
      <c r="AP284" s="172">
        <f t="shared" ref="AP284:AP300" si="171">AO284</f>
        <v>-2.6181521739130433</v>
      </c>
      <c r="AQ284" s="220" t="str">
        <f>AR284</f>
        <v>закрыт</v>
      </c>
      <c r="AR284" s="2052" t="str">
        <f t="shared" si="159"/>
        <v>закрыт</v>
      </c>
      <c r="AS284" s="935">
        <f>(AI284*100)/(AG284*1.05)</f>
        <v>155.84239130434779</v>
      </c>
      <c r="AT284" s="937" t="s">
        <v>97</v>
      </c>
      <c r="AU284" s="1095">
        <v>1959</v>
      </c>
      <c r="AV284" s="1101" t="s">
        <v>3218</v>
      </c>
      <c r="AW284" s="1103">
        <v>56.713710650261802</v>
      </c>
      <c r="AX284" s="1103">
        <v>35.606964689512203</v>
      </c>
    </row>
    <row r="285" spans="1:50" ht="15" customHeight="1" x14ac:dyDescent="0.25">
      <c r="A285" s="212">
        <v>203</v>
      </c>
      <c r="B285" s="212">
        <v>3</v>
      </c>
      <c r="C285" s="212" t="s">
        <v>175</v>
      </c>
      <c r="D285" s="230">
        <v>2.5</v>
      </c>
      <c r="E285" s="229"/>
      <c r="F285" s="229"/>
      <c r="G285" s="229"/>
      <c r="H285" s="228"/>
      <c r="I285" s="229" t="str">
        <f t="shared" si="151"/>
        <v>2,5</v>
      </c>
      <c r="J285" s="882">
        <v>0.98</v>
      </c>
      <c r="K285" s="889">
        <v>0</v>
      </c>
      <c r="L285" s="124">
        <v>0</v>
      </c>
      <c r="M285" s="172">
        <f t="shared" ref="M285:M300" si="172">K285</f>
        <v>0</v>
      </c>
      <c r="N285" s="172">
        <v>0</v>
      </c>
      <c r="O285" s="880"/>
      <c r="P285" s="880">
        <f t="shared" si="165"/>
        <v>0</v>
      </c>
      <c r="Q285" s="172">
        <f t="shared" si="166"/>
        <v>-0.98</v>
      </c>
      <c r="R285" s="172">
        <f>Q285</f>
        <v>-0.98</v>
      </c>
      <c r="S285" s="172" t="str">
        <f t="shared" si="164"/>
        <v>закрыт</v>
      </c>
      <c r="T285" s="2052" t="str">
        <f t="shared" si="152"/>
        <v>закрыт</v>
      </c>
      <c r="U285" s="757">
        <f t="shared" si="167"/>
        <v>37.333333333333336</v>
      </c>
      <c r="V285" s="2254"/>
      <c r="W285" s="2254" t="s">
        <v>3032</v>
      </c>
      <c r="X285" s="912"/>
      <c r="Y285" s="212">
        <v>203</v>
      </c>
      <c r="Z285" s="228">
        <v>3</v>
      </c>
      <c r="AA285" s="212" t="s">
        <v>175</v>
      </c>
      <c r="AB285" s="230">
        <f t="shared" si="153"/>
        <v>2.5</v>
      </c>
      <c r="AC285" s="229"/>
      <c r="AD285" s="229"/>
      <c r="AE285" s="229"/>
      <c r="AF285" s="228"/>
      <c r="AG285" s="212" t="str">
        <f t="shared" si="161"/>
        <v>2,5</v>
      </c>
      <c r="AH285" s="172">
        <f>'Зона ТвЭС'!L36</f>
        <v>0.13989130434782607</v>
      </c>
      <c r="AI285" s="172">
        <f t="shared" si="149"/>
        <v>1.119891304347826</v>
      </c>
      <c r="AJ285" s="1973">
        <f t="shared" si="156"/>
        <v>0</v>
      </c>
      <c r="AK285" s="212">
        <f t="shared" si="157"/>
        <v>0</v>
      </c>
      <c r="AL285" s="172">
        <f t="shared" si="168"/>
        <v>0</v>
      </c>
      <c r="AM285" s="1973">
        <f t="shared" si="158"/>
        <v>0</v>
      </c>
      <c r="AN285" s="880">
        <f t="shared" si="169"/>
        <v>0</v>
      </c>
      <c r="AO285" s="172">
        <f t="shared" si="170"/>
        <v>-1.119891304347826</v>
      </c>
      <c r="AP285" s="172">
        <f t="shared" si="171"/>
        <v>-1.119891304347826</v>
      </c>
      <c r="AQ285" s="220" t="str">
        <f t="shared" si="163"/>
        <v>закрыт</v>
      </c>
      <c r="AR285" s="2052" t="str">
        <f t="shared" si="159"/>
        <v>закрыт</v>
      </c>
      <c r="AS285" s="935">
        <f>(AI285*100)/(AG285*1.05)</f>
        <v>42.662525879917176</v>
      </c>
      <c r="AT285" s="937" t="s">
        <v>97</v>
      </c>
      <c r="AU285" s="1095">
        <v>1970</v>
      </c>
      <c r="AV285" s="1101" t="s">
        <v>3218</v>
      </c>
      <c r="AW285" s="1103">
        <v>56.776487935509401</v>
      </c>
      <c r="AX285" s="1103">
        <v>36.343396986997</v>
      </c>
    </row>
    <row r="286" spans="1:50" ht="15" customHeight="1" x14ac:dyDescent="0.25">
      <c r="A286" s="212">
        <v>204</v>
      </c>
      <c r="B286" s="212">
        <v>4</v>
      </c>
      <c r="C286" s="212" t="s">
        <v>2946</v>
      </c>
      <c r="D286" s="230">
        <v>1</v>
      </c>
      <c r="E286" s="229"/>
      <c r="F286" s="229"/>
      <c r="G286" s="229"/>
      <c r="H286" s="228"/>
      <c r="I286" s="229" t="str">
        <f t="shared" si="151"/>
        <v>1</v>
      </c>
      <c r="J286" s="882">
        <v>0.15</v>
      </c>
      <c r="K286" s="889">
        <v>0</v>
      </c>
      <c r="L286" s="124">
        <v>0</v>
      </c>
      <c r="M286" s="172">
        <f t="shared" si="172"/>
        <v>0</v>
      </c>
      <c r="N286" s="172">
        <v>0</v>
      </c>
      <c r="O286" s="880"/>
      <c r="P286" s="880">
        <f t="shared" si="165"/>
        <v>0</v>
      </c>
      <c r="Q286" s="172">
        <f t="shared" si="166"/>
        <v>-0.15</v>
      </c>
      <c r="R286" s="172">
        <f>Q286</f>
        <v>-0.15</v>
      </c>
      <c r="S286" s="172" t="str">
        <f t="shared" si="164"/>
        <v>закрыт</v>
      </c>
      <c r="T286" s="2052" t="str">
        <f t="shared" si="152"/>
        <v>закрыт</v>
      </c>
      <c r="U286" s="757">
        <f t="shared" si="167"/>
        <v>14.285714285714285</v>
      </c>
      <c r="V286" s="2254">
        <v>0.4</v>
      </c>
      <c r="W286" s="2254" t="s">
        <v>3033</v>
      </c>
      <c r="X286" s="912"/>
      <c r="Y286" s="212">
        <v>204</v>
      </c>
      <c r="Z286" s="228">
        <v>4</v>
      </c>
      <c r="AA286" s="212" t="s">
        <v>2946</v>
      </c>
      <c r="AB286" s="230">
        <f t="shared" si="153"/>
        <v>1</v>
      </c>
      <c r="AC286" s="229"/>
      <c r="AD286" s="229"/>
      <c r="AE286" s="229"/>
      <c r="AF286" s="228"/>
      <c r="AG286" s="212" t="str">
        <f t="shared" si="161"/>
        <v>1</v>
      </c>
      <c r="AH286" s="172">
        <f>'Зона ТвЭС'!L38</f>
        <v>0</v>
      </c>
      <c r="AI286" s="172">
        <f t="shared" si="149"/>
        <v>0.15</v>
      </c>
      <c r="AJ286" s="1973">
        <f t="shared" si="156"/>
        <v>0</v>
      </c>
      <c r="AK286" s="212">
        <f t="shared" si="157"/>
        <v>0</v>
      </c>
      <c r="AL286" s="172">
        <f t="shared" si="168"/>
        <v>0</v>
      </c>
      <c r="AM286" s="1973">
        <f t="shared" si="158"/>
        <v>0</v>
      </c>
      <c r="AN286" s="880">
        <f t="shared" si="169"/>
        <v>0</v>
      </c>
      <c r="AO286" s="172">
        <f t="shared" si="170"/>
        <v>-0.15</v>
      </c>
      <c r="AP286" s="172">
        <f t="shared" si="171"/>
        <v>-0.15</v>
      </c>
      <c r="AQ286" s="220" t="str">
        <f t="shared" si="163"/>
        <v>закрыт</v>
      </c>
      <c r="AR286" s="2052" t="str">
        <f t="shared" si="159"/>
        <v>закрыт</v>
      </c>
      <c r="AS286" s="935">
        <f>(AI286*100)/(AG286*1.05)</f>
        <v>14.285714285714285</v>
      </c>
      <c r="AT286" s="937" t="s">
        <v>97</v>
      </c>
      <c r="AU286" s="1095">
        <v>1949</v>
      </c>
      <c r="AV286" s="1101" t="s">
        <v>3218</v>
      </c>
      <c r="AW286" s="1103">
        <v>57.012558196179903</v>
      </c>
      <c r="AX286" s="1103">
        <v>36.154382827292402</v>
      </c>
    </row>
    <row r="287" spans="1:50" ht="15" customHeight="1" x14ac:dyDescent="0.25">
      <c r="A287" s="212">
        <v>205</v>
      </c>
      <c r="B287" s="212">
        <v>5</v>
      </c>
      <c r="C287" s="212" t="s">
        <v>176</v>
      </c>
      <c r="D287" s="230">
        <v>1</v>
      </c>
      <c r="E287" s="229"/>
      <c r="F287" s="229"/>
      <c r="G287" s="229"/>
      <c r="H287" s="228"/>
      <c r="I287" s="229" t="str">
        <f t="shared" si="151"/>
        <v>1</v>
      </c>
      <c r="J287" s="882">
        <v>0.61</v>
      </c>
      <c r="K287" s="889">
        <v>0</v>
      </c>
      <c r="L287" s="124">
        <v>0</v>
      </c>
      <c r="M287" s="172">
        <f t="shared" si="172"/>
        <v>0</v>
      </c>
      <c r="N287" s="172">
        <v>0</v>
      </c>
      <c r="O287" s="880"/>
      <c r="P287" s="880">
        <f t="shared" si="165"/>
        <v>0</v>
      </c>
      <c r="Q287" s="172">
        <f t="shared" si="166"/>
        <v>-0.61</v>
      </c>
      <c r="R287" s="172">
        <f t="shared" ref="R287:R348" si="173">Q287</f>
        <v>-0.61</v>
      </c>
      <c r="S287" s="172" t="str">
        <f t="shared" si="164"/>
        <v>закрыт</v>
      </c>
      <c r="T287" s="2052" t="str">
        <f t="shared" si="152"/>
        <v>закрыт</v>
      </c>
      <c r="U287" s="757">
        <f t="shared" si="167"/>
        <v>58.095238095238095</v>
      </c>
      <c r="V287" s="2254">
        <v>0.5</v>
      </c>
      <c r="W287" s="2254" t="s">
        <v>3033</v>
      </c>
      <c r="X287" s="912"/>
      <c r="Y287" s="212">
        <v>205</v>
      </c>
      <c r="Z287" s="228">
        <v>5</v>
      </c>
      <c r="AA287" s="212" t="s">
        <v>176</v>
      </c>
      <c r="AB287" s="230">
        <f t="shared" si="153"/>
        <v>1</v>
      </c>
      <c r="AC287" s="229"/>
      <c r="AD287" s="229"/>
      <c r="AE287" s="229"/>
      <c r="AF287" s="228"/>
      <c r="AG287" s="212" t="str">
        <f t="shared" si="161"/>
        <v>1</v>
      </c>
      <c r="AH287" s="172">
        <f>'Зона ТвЭС'!L44</f>
        <v>0.47934782608695653</v>
      </c>
      <c r="AI287" s="172">
        <f>AH287+J287</f>
        <v>1.0893478260869565</v>
      </c>
      <c r="AJ287" s="1973">
        <f t="shared" si="156"/>
        <v>0</v>
      </c>
      <c r="AK287" s="212">
        <f t="shared" si="157"/>
        <v>0</v>
      </c>
      <c r="AL287" s="172">
        <f t="shared" si="168"/>
        <v>0</v>
      </c>
      <c r="AM287" s="1973">
        <f t="shared" si="158"/>
        <v>0</v>
      </c>
      <c r="AN287" s="880">
        <f t="shared" si="169"/>
        <v>0</v>
      </c>
      <c r="AO287" s="172">
        <f t="shared" si="170"/>
        <v>-1.0893478260869565</v>
      </c>
      <c r="AP287" s="172">
        <f t="shared" si="171"/>
        <v>-1.0893478260869565</v>
      </c>
      <c r="AQ287" s="220" t="str">
        <f t="shared" si="163"/>
        <v>закрыт</v>
      </c>
      <c r="AR287" s="2052" t="str">
        <f t="shared" si="159"/>
        <v>закрыт</v>
      </c>
      <c r="AS287" s="935">
        <f>(AI287*100)/(AG287*1.05)</f>
        <v>103.74741200828156</v>
      </c>
      <c r="AT287" s="937" t="s">
        <v>97</v>
      </c>
      <c r="AU287" s="1095">
        <v>1939</v>
      </c>
      <c r="AV287" s="1101" t="s">
        <v>3218</v>
      </c>
      <c r="AW287" s="1103">
        <v>56.951338158261699</v>
      </c>
      <c r="AX287" s="1103">
        <v>35.883388459522102</v>
      </c>
    </row>
    <row r="288" spans="1:50" ht="15" customHeight="1" x14ac:dyDescent="0.25">
      <c r="A288" s="212">
        <v>206</v>
      </c>
      <c r="B288" s="212">
        <v>6</v>
      </c>
      <c r="C288" s="212" t="s">
        <v>177</v>
      </c>
      <c r="D288" s="230">
        <v>4</v>
      </c>
      <c r="E288" s="229"/>
      <c r="F288" s="229"/>
      <c r="G288" s="229"/>
      <c r="H288" s="228"/>
      <c r="I288" s="229" t="str">
        <f t="shared" si="151"/>
        <v>4</v>
      </c>
      <c r="J288" s="882">
        <v>2.12</v>
      </c>
      <c r="K288" s="889">
        <v>0</v>
      </c>
      <c r="L288" s="124">
        <v>0</v>
      </c>
      <c r="M288" s="172">
        <f t="shared" si="172"/>
        <v>0</v>
      </c>
      <c r="N288" s="172">
        <v>0</v>
      </c>
      <c r="O288" s="880"/>
      <c r="P288" s="880">
        <f t="shared" si="165"/>
        <v>0</v>
      </c>
      <c r="Q288" s="172">
        <f t="shared" si="166"/>
        <v>-2.12</v>
      </c>
      <c r="R288" s="172">
        <f t="shared" si="173"/>
        <v>-2.12</v>
      </c>
      <c r="S288" s="172" t="str">
        <f t="shared" si="164"/>
        <v>закрыт</v>
      </c>
      <c r="T288" s="2052" t="str">
        <f t="shared" si="152"/>
        <v>закрыт</v>
      </c>
      <c r="U288" s="757">
        <f t="shared" si="167"/>
        <v>50.476190476190474</v>
      </c>
      <c r="V288" s="2254">
        <v>0.5</v>
      </c>
      <c r="W288" s="2254" t="s">
        <v>3033</v>
      </c>
      <c r="X288" s="912"/>
      <c r="Y288" s="212">
        <v>206</v>
      </c>
      <c r="Z288" s="228">
        <v>6</v>
      </c>
      <c r="AA288" s="212" t="s">
        <v>177</v>
      </c>
      <c r="AB288" s="230">
        <f t="shared" si="153"/>
        <v>4</v>
      </c>
      <c r="AC288" s="229"/>
      <c r="AD288" s="229"/>
      <c r="AE288" s="229"/>
      <c r="AF288" s="228"/>
      <c r="AG288" s="212" t="str">
        <f t="shared" si="161"/>
        <v>4</v>
      </c>
      <c r="AH288" s="172">
        <f>'Зона ТвЭС'!L62</f>
        <v>2.1531521739130435</v>
      </c>
      <c r="AI288" s="172">
        <f t="shared" si="149"/>
        <v>4.2731521739130436</v>
      </c>
      <c r="AJ288" s="1973">
        <f t="shared" si="156"/>
        <v>0</v>
      </c>
      <c r="AK288" s="212">
        <f t="shared" si="157"/>
        <v>0</v>
      </c>
      <c r="AL288" s="172">
        <f t="shared" si="168"/>
        <v>0</v>
      </c>
      <c r="AM288" s="1973">
        <f t="shared" si="158"/>
        <v>0</v>
      </c>
      <c r="AN288" s="880">
        <f t="shared" si="169"/>
        <v>0</v>
      </c>
      <c r="AO288" s="172">
        <f t="shared" si="170"/>
        <v>-4.2731521739130436</v>
      </c>
      <c r="AP288" s="172">
        <f t="shared" si="171"/>
        <v>-4.2731521739130436</v>
      </c>
      <c r="AQ288" s="220" t="str">
        <f t="shared" si="163"/>
        <v>закрыт</v>
      </c>
      <c r="AR288" s="2052" t="str">
        <f t="shared" si="159"/>
        <v>закрыт</v>
      </c>
      <c r="AS288" s="935">
        <f t="shared" ref="AS288:AS300" si="174">(AI288*100)/(AG288*1.05)</f>
        <v>101.74171842650104</v>
      </c>
      <c r="AT288" s="937" t="s">
        <v>97</v>
      </c>
      <c r="AU288" s="1095">
        <v>1939</v>
      </c>
      <c r="AV288" s="1101" t="s">
        <v>3218</v>
      </c>
      <c r="AW288" s="1103">
        <v>56.951338158261699</v>
      </c>
      <c r="AX288" s="1103">
        <v>35.883388459522102</v>
      </c>
    </row>
    <row r="289" spans="1:50" ht="15" customHeight="1" x14ac:dyDescent="0.25">
      <c r="A289" s="212">
        <v>207</v>
      </c>
      <c r="B289" s="212">
        <v>7</v>
      </c>
      <c r="C289" s="212" t="s">
        <v>178</v>
      </c>
      <c r="D289" s="230">
        <v>1</v>
      </c>
      <c r="E289" s="229"/>
      <c r="F289" s="229"/>
      <c r="G289" s="229"/>
      <c r="H289" s="228"/>
      <c r="I289" s="229" t="str">
        <f t="shared" si="151"/>
        <v>1</v>
      </c>
      <c r="J289" s="882">
        <v>0.21</v>
      </c>
      <c r="K289" s="889">
        <v>0</v>
      </c>
      <c r="L289" s="124">
        <v>0</v>
      </c>
      <c r="M289" s="172">
        <f t="shared" si="172"/>
        <v>0</v>
      </c>
      <c r="N289" s="172">
        <v>0</v>
      </c>
      <c r="O289" s="880"/>
      <c r="P289" s="880">
        <f t="shared" si="165"/>
        <v>0</v>
      </c>
      <c r="Q289" s="172">
        <f t="shared" si="166"/>
        <v>-0.21</v>
      </c>
      <c r="R289" s="172">
        <f t="shared" si="173"/>
        <v>-0.21</v>
      </c>
      <c r="S289" s="172" t="str">
        <f t="shared" si="164"/>
        <v>закрыт</v>
      </c>
      <c r="T289" s="2052" t="str">
        <f t="shared" si="152"/>
        <v>закрыт</v>
      </c>
      <c r="U289" s="757">
        <f t="shared" si="167"/>
        <v>20</v>
      </c>
      <c r="V289" s="2254">
        <v>0.4</v>
      </c>
      <c r="W289" s="2254" t="s">
        <v>3033</v>
      </c>
      <c r="X289" s="912"/>
      <c r="Y289" s="212">
        <v>207</v>
      </c>
      <c r="Z289" s="228">
        <v>7</v>
      </c>
      <c r="AA289" s="212" t="s">
        <v>178</v>
      </c>
      <c r="AB289" s="230">
        <f t="shared" si="153"/>
        <v>1</v>
      </c>
      <c r="AC289" s="229"/>
      <c r="AD289" s="229"/>
      <c r="AE289" s="229"/>
      <c r="AF289" s="228"/>
      <c r="AG289" s="212" t="str">
        <f t="shared" si="161"/>
        <v>1</v>
      </c>
      <c r="AH289" s="172">
        <f>'Зона ТвЭС'!L67</f>
        <v>0.12717391304347828</v>
      </c>
      <c r="AI289" s="172">
        <f t="shared" si="149"/>
        <v>0.33717391304347827</v>
      </c>
      <c r="AJ289" s="1973">
        <f t="shared" si="156"/>
        <v>0</v>
      </c>
      <c r="AK289" s="212">
        <f t="shared" si="157"/>
        <v>0</v>
      </c>
      <c r="AL289" s="172">
        <f t="shared" si="168"/>
        <v>0</v>
      </c>
      <c r="AM289" s="1973">
        <f t="shared" si="158"/>
        <v>0</v>
      </c>
      <c r="AN289" s="880">
        <f t="shared" si="169"/>
        <v>0</v>
      </c>
      <c r="AO289" s="172">
        <f t="shared" si="170"/>
        <v>-0.33717391304347827</v>
      </c>
      <c r="AP289" s="172">
        <f t="shared" si="171"/>
        <v>-0.33717391304347827</v>
      </c>
      <c r="AQ289" s="220" t="str">
        <f t="shared" si="163"/>
        <v>закрыт</v>
      </c>
      <c r="AR289" s="2052" t="str">
        <f t="shared" si="159"/>
        <v>закрыт</v>
      </c>
      <c r="AS289" s="935">
        <f>(AI289*100)/(AG289*1.05)</f>
        <v>32.111801242236027</v>
      </c>
      <c r="AT289" s="937" t="s">
        <v>97</v>
      </c>
      <c r="AU289" s="1095">
        <v>1955</v>
      </c>
      <c r="AV289" s="1101" t="s">
        <v>3218</v>
      </c>
      <c r="AW289" s="1103">
        <v>56.623882070000903</v>
      </c>
      <c r="AX289" s="1103">
        <v>35.571417481976802</v>
      </c>
    </row>
    <row r="290" spans="1:50" ht="15" customHeight="1" x14ac:dyDescent="0.25">
      <c r="A290" s="212">
        <v>208</v>
      </c>
      <c r="B290" s="212">
        <v>8</v>
      </c>
      <c r="C290" s="212" t="s">
        <v>179</v>
      </c>
      <c r="D290" s="230">
        <v>2.5</v>
      </c>
      <c r="E290" s="229"/>
      <c r="F290" s="229"/>
      <c r="G290" s="229"/>
      <c r="H290" s="228"/>
      <c r="I290" s="229" t="str">
        <f t="shared" si="151"/>
        <v>2,5</v>
      </c>
      <c r="J290" s="882">
        <v>1.4</v>
      </c>
      <c r="K290" s="889">
        <v>0</v>
      </c>
      <c r="L290" s="124">
        <v>0</v>
      </c>
      <c r="M290" s="172">
        <f t="shared" si="172"/>
        <v>0</v>
      </c>
      <c r="N290" s="172">
        <v>0</v>
      </c>
      <c r="O290" s="880"/>
      <c r="P290" s="880">
        <f t="shared" si="165"/>
        <v>0</v>
      </c>
      <c r="Q290" s="172">
        <f t="shared" si="166"/>
        <v>-1.4</v>
      </c>
      <c r="R290" s="172">
        <f t="shared" si="173"/>
        <v>-1.4</v>
      </c>
      <c r="S290" s="172" t="str">
        <f t="shared" si="164"/>
        <v>закрыт</v>
      </c>
      <c r="T290" s="2052" t="str">
        <f t="shared" si="152"/>
        <v>закрыт</v>
      </c>
      <c r="U290" s="757">
        <f t="shared" si="167"/>
        <v>53.333333333333336</v>
      </c>
      <c r="V290" s="2254">
        <v>0.4</v>
      </c>
      <c r="W290" s="2254" t="s">
        <v>3033</v>
      </c>
      <c r="X290" s="912"/>
      <c r="Y290" s="212">
        <v>208</v>
      </c>
      <c r="Z290" s="228">
        <v>8</v>
      </c>
      <c r="AA290" s="212" t="s">
        <v>179</v>
      </c>
      <c r="AB290" s="230">
        <f t="shared" si="153"/>
        <v>2.5</v>
      </c>
      <c r="AC290" s="229"/>
      <c r="AD290" s="229"/>
      <c r="AE290" s="229"/>
      <c r="AF290" s="228"/>
      <c r="AG290" s="212" t="str">
        <f t="shared" si="161"/>
        <v>2,5</v>
      </c>
      <c r="AH290" s="172">
        <f>'Зона ТвЭС'!L72</f>
        <v>5.434782608695652E-2</v>
      </c>
      <c r="AI290" s="172">
        <f t="shared" si="149"/>
        <v>1.4543478260869565</v>
      </c>
      <c r="AJ290" s="1973">
        <f t="shared" si="156"/>
        <v>0</v>
      </c>
      <c r="AK290" s="212">
        <f t="shared" si="157"/>
        <v>0</v>
      </c>
      <c r="AL290" s="172">
        <f t="shared" si="168"/>
        <v>0</v>
      </c>
      <c r="AM290" s="1973">
        <f t="shared" si="158"/>
        <v>0</v>
      </c>
      <c r="AN290" s="880">
        <f t="shared" si="169"/>
        <v>0</v>
      </c>
      <c r="AO290" s="172">
        <f t="shared" si="170"/>
        <v>-1.4543478260869565</v>
      </c>
      <c r="AP290" s="172">
        <f t="shared" si="171"/>
        <v>-1.4543478260869565</v>
      </c>
      <c r="AQ290" s="220" t="str">
        <f t="shared" si="163"/>
        <v>закрыт</v>
      </c>
      <c r="AR290" s="2052" t="str">
        <f t="shared" si="159"/>
        <v>закрыт</v>
      </c>
      <c r="AS290" s="935">
        <f t="shared" si="174"/>
        <v>55.403726708074537</v>
      </c>
      <c r="AT290" s="937" t="s">
        <v>97</v>
      </c>
      <c r="AU290" s="1095">
        <v>1955</v>
      </c>
      <c r="AV290" s="1101" t="s">
        <v>3218</v>
      </c>
      <c r="AW290" s="1103">
        <v>56.623882070000903</v>
      </c>
      <c r="AX290" s="1103">
        <v>35.571417481976802</v>
      </c>
    </row>
    <row r="291" spans="1:50" ht="15" customHeight="1" x14ac:dyDescent="0.25">
      <c r="A291" s="212">
        <v>209</v>
      </c>
      <c r="B291" s="212">
        <v>9</v>
      </c>
      <c r="C291" s="212" t="s">
        <v>180</v>
      </c>
      <c r="D291" s="230">
        <v>2.5</v>
      </c>
      <c r="E291" s="229"/>
      <c r="F291" s="229"/>
      <c r="G291" s="229"/>
      <c r="H291" s="228"/>
      <c r="I291" s="229" t="str">
        <f t="shared" si="151"/>
        <v>2,5</v>
      </c>
      <c r="J291" s="882">
        <v>0.87</v>
      </c>
      <c r="K291" s="889">
        <v>0.6</v>
      </c>
      <c r="L291" s="124" t="s">
        <v>1780</v>
      </c>
      <c r="M291" s="172">
        <f t="shared" si="172"/>
        <v>0.6</v>
      </c>
      <c r="N291" s="172">
        <v>0</v>
      </c>
      <c r="O291" s="880"/>
      <c r="P291" s="880">
        <f t="shared" si="165"/>
        <v>0.6</v>
      </c>
      <c r="Q291" s="172">
        <f t="shared" si="166"/>
        <v>-0.27</v>
      </c>
      <c r="R291" s="172">
        <f t="shared" si="173"/>
        <v>-0.27</v>
      </c>
      <c r="S291" s="172" t="str">
        <f t="shared" si="164"/>
        <v>закрыт</v>
      </c>
      <c r="T291" s="2052" t="str">
        <f t="shared" si="152"/>
        <v>закрыт</v>
      </c>
      <c r="U291" s="757">
        <f t="shared" si="167"/>
        <v>33.142857142857146</v>
      </c>
      <c r="V291" s="2254"/>
      <c r="W291" s="2254" t="s">
        <v>3032</v>
      </c>
      <c r="X291" s="912"/>
      <c r="Y291" s="212">
        <v>209</v>
      </c>
      <c r="Z291" s="228">
        <v>9</v>
      </c>
      <c r="AA291" s="212" t="s">
        <v>180</v>
      </c>
      <c r="AB291" s="230">
        <f t="shared" si="153"/>
        <v>2.5</v>
      </c>
      <c r="AC291" s="229"/>
      <c r="AD291" s="229"/>
      <c r="AE291" s="229"/>
      <c r="AF291" s="228"/>
      <c r="AG291" s="212" t="str">
        <f t="shared" si="161"/>
        <v>2,5</v>
      </c>
      <c r="AH291" s="172">
        <f>'Зона ТвЭС'!L75</f>
        <v>6.8478260869565225E-2</v>
      </c>
      <c r="AI291" s="172">
        <f t="shared" si="149"/>
        <v>0.93847826086956521</v>
      </c>
      <c r="AJ291" s="1973">
        <f t="shared" si="156"/>
        <v>0.6</v>
      </c>
      <c r="AK291" s="212" t="str">
        <f t="shared" si="157"/>
        <v>1сутки</v>
      </c>
      <c r="AL291" s="172">
        <f t="shared" si="168"/>
        <v>0.6</v>
      </c>
      <c r="AM291" s="1973">
        <f t="shared" si="158"/>
        <v>0</v>
      </c>
      <c r="AN291" s="880">
        <f t="shared" si="169"/>
        <v>0.6</v>
      </c>
      <c r="AO291" s="172">
        <f t="shared" si="170"/>
        <v>-0.33847826086956523</v>
      </c>
      <c r="AP291" s="172">
        <f t="shared" si="171"/>
        <v>-0.33847826086956523</v>
      </c>
      <c r="AQ291" s="220" t="str">
        <f t="shared" si="163"/>
        <v>закрыт</v>
      </c>
      <c r="AR291" s="2052" t="str">
        <f t="shared" si="159"/>
        <v>закрыт</v>
      </c>
      <c r="AS291" s="935">
        <f t="shared" si="174"/>
        <v>35.751552795031053</v>
      </c>
      <c r="AT291" s="937" t="s">
        <v>97</v>
      </c>
      <c r="AU291" s="1095">
        <v>1979</v>
      </c>
      <c r="AV291" s="1101" t="s">
        <v>3218</v>
      </c>
      <c r="AW291" s="1103">
        <v>57.230938044061901</v>
      </c>
      <c r="AX291" s="1103">
        <v>35.6042475573933</v>
      </c>
    </row>
    <row r="292" spans="1:50" ht="15" customHeight="1" x14ac:dyDescent="0.25">
      <c r="A292" s="212">
        <v>210</v>
      </c>
      <c r="B292" s="212">
        <v>10</v>
      </c>
      <c r="C292" s="212" t="s">
        <v>181</v>
      </c>
      <c r="D292" s="230">
        <v>2.5</v>
      </c>
      <c r="E292" s="229"/>
      <c r="F292" s="229"/>
      <c r="G292" s="229"/>
      <c r="H292" s="228"/>
      <c r="I292" s="229" t="str">
        <f t="shared" si="151"/>
        <v>2,5</v>
      </c>
      <c r="J292" s="882">
        <v>0.33</v>
      </c>
      <c r="K292" s="889">
        <v>0.17</v>
      </c>
      <c r="L292" s="124" t="s">
        <v>1780</v>
      </c>
      <c r="M292" s="172">
        <f t="shared" si="172"/>
        <v>0.17</v>
      </c>
      <c r="N292" s="172">
        <v>0</v>
      </c>
      <c r="O292" s="880"/>
      <c r="P292" s="880">
        <f t="shared" si="165"/>
        <v>0.17</v>
      </c>
      <c r="Q292" s="172">
        <f t="shared" si="166"/>
        <v>-0.16</v>
      </c>
      <c r="R292" s="172">
        <f t="shared" si="173"/>
        <v>-0.16</v>
      </c>
      <c r="S292" s="172" t="str">
        <f t="shared" si="164"/>
        <v>закрыт</v>
      </c>
      <c r="T292" s="2052" t="str">
        <f t="shared" si="152"/>
        <v>закрыт</v>
      </c>
      <c r="U292" s="757">
        <f t="shared" si="167"/>
        <v>12.571428571428571</v>
      </c>
      <c r="V292" s="2254"/>
      <c r="W292" s="2254" t="s">
        <v>3032</v>
      </c>
      <c r="X292" s="912"/>
      <c r="Y292" s="212">
        <v>210</v>
      </c>
      <c r="Z292" s="228">
        <v>10</v>
      </c>
      <c r="AA292" s="212" t="s">
        <v>181</v>
      </c>
      <c r="AB292" s="230">
        <f t="shared" si="153"/>
        <v>2.5</v>
      </c>
      <c r="AC292" s="229"/>
      <c r="AD292" s="229"/>
      <c r="AE292" s="229"/>
      <c r="AF292" s="228"/>
      <c r="AG292" s="212" t="str">
        <f t="shared" si="161"/>
        <v>2,5</v>
      </c>
      <c r="AH292" s="172">
        <f>'Зона ТвЭС'!L77</f>
        <v>0</v>
      </c>
      <c r="AI292" s="172">
        <f t="shared" si="149"/>
        <v>0.33</v>
      </c>
      <c r="AJ292" s="1973">
        <f t="shared" si="156"/>
        <v>0.17</v>
      </c>
      <c r="AK292" s="212" t="str">
        <f t="shared" si="157"/>
        <v>1сутки</v>
      </c>
      <c r="AL292" s="172">
        <f t="shared" si="168"/>
        <v>0.17</v>
      </c>
      <c r="AM292" s="1973">
        <f t="shared" si="158"/>
        <v>0</v>
      </c>
      <c r="AN292" s="880">
        <f t="shared" si="169"/>
        <v>0.17</v>
      </c>
      <c r="AO292" s="172">
        <f t="shared" si="170"/>
        <v>-0.16</v>
      </c>
      <c r="AP292" s="172">
        <f t="shared" si="171"/>
        <v>-0.16</v>
      </c>
      <c r="AQ292" s="220" t="str">
        <f t="shared" si="163"/>
        <v>закрыт</v>
      </c>
      <c r="AR292" s="2052" t="str">
        <f t="shared" si="159"/>
        <v>закрыт</v>
      </c>
      <c r="AS292" s="935">
        <f t="shared" si="174"/>
        <v>12.571428571428571</v>
      </c>
      <c r="AT292" s="937" t="s">
        <v>97</v>
      </c>
      <c r="AU292" s="1095">
        <v>1984</v>
      </c>
      <c r="AV292" s="1101" t="s">
        <v>3218</v>
      </c>
      <c r="AW292" s="1103">
        <v>57.385620055900503</v>
      </c>
      <c r="AX292" s="1103">
        <v>35.437352096305403</v>
      </c>
    </row>
    <row r="293" spans="1:50" ht="15" customHeight="1" x14ac:dyDescent="0.25">
      <c r="A293" s="212">
        <v>211</v>
      </c>
      <c r="B293" s="212">
        <v>11</v>
      </c>
      <c r="C293" s="212" t="s">
        <v>182</v>
      </c>
      <c r="D293" s="230">
        <v>2.5</v>
      </c>
      <c r="E293" s="229"/>
      <c r="F293" s="229"/>
      <c r="G293" s="229"/>
      <c r="H293" s="228"/>
      <c r="I293" s="229" t="str">
        <f t="shared" si="151"/>
        <v>2,5</v>
      </c>
      <c r="J293" s="882">
        <v>0.73</v>
      </c>
      <c r="K293" s="889">
        <v>0.38</v>
      </c>
      <c r="L293" s="124" t="s">
        <v>1780</v>
      </c>
      <c r="M293" s="172">
        <f t="shared" si="172"/>
        <v>0.38</v>
      </c>
      <c r="N293" s="172">
        <v>0</v>
      </c>
      <c r="O293" s="880"/>
      <c r="P293" s="880">
        <f t="shared" si="165"/>
        <v>0.38</v>
      </c>
      <c r="Q293" s="172">
        <f t="shared" si="166"/>
        <v>-0.35</v>
      </c>
      <c r="R293" s="172">
        <f t="shared" si="173"/>
        <v>-0.35</v>
      </c>
      <c r="S293" s="172" t="str">
        <f t="shared" si="164"/>
        <v>закрыт</v>
      </c>
      <c r="T293" s="2052" t="str">
        <f t="shared" si="152"/>
        <v>закрыт</v>
      </c>
      <c r="U293" s="757">
        <f t="shared" si="167"/>
        <v>27.80952380952381</v>
      </c>
      <c r="V293" s="2254"/>
      <c r="W293" s="2254" t="s">
        <v>3032</v>
      </c>
      <c r="X293" s="912"/>
      <c r="Y293" s="212">
        <v>211</v>
      </c>
      <c r="Z293" s="228">
        <v>11</v>
      </c>
      <c r="AA293" s="212" t="s">
        <v>182</v>
      </c>
      <c r="AB293" s="230">
        <f t="shared" si="153"/>
        <v>2.5</v>
      </c>
      <c r="AC293" s="229"/>
      <c r="AD293" s="229"/>
      <c r="AE293" s="229"/>
      <c r="AF293" s="228"/>
      <c r="AG293" s="212" t="str">
        <f t="shared" si="161"/>
        <v>2,5</v>
      </c>
      <c r="AH293" s="172">
        <f>'Зона ТвЭС'!L82</f>
        <v>0</v>
      </c>
      <c r="AI293" s="172">
        <f t="shared" si="149"/>
        <v>0.73</v>
      </c>
      <c r="AJ293" s="1973">
        <f t="shared" si="156"/>
        <v>0.38</v>
      </c>
      <c r="AK293" s="212" t="str">
        <f t="shared" si="157"/>
        <v>1сутки</v>
      </c>
      <c r="AL293" s="172">
        <f t="shared" si="168"/>
        <v>0.38</v>
      </c>
      <c r="AM293" s="1973">
        <f t="shared" si="158"/>
        <v>0</v>
      </c>
      <c r="AN293" s="880">
        <f t="shared" si="169"/>
        <v>0.38</v>
      </c>
      <c r="AO293" s="172">
        <f t="shared" si="170"/>
        <v>-0.35</v>
      </c>
      <c r="AP293" s="172">
        <f t="shared" si="171"/>
        <v>-0.35</v>
      </c>
      <c r="AQ293" s="220" t="str">
        <f t="shared" si="163"/>
        <v>закрыт</v>
      </c>
      <c r="AR293" s="2052" t="str">
        <f t="shared" si="159"/>
        <v>закрыт</v>
      </c>
      <c r="AS293" s="935">
        <f t="shared" si="174"/>
        <v>27.80952380952381</v>
      </c>
      <c r="AT293" s="937" t="s">
        <v>97</v>
      </c>
      <c r="AU293" s="1095">
        <v>1979</v>
      </c>
      <c r="AV293" s="1101" t="s">
        <v>3218</v>
      </c>
      <c r="AW293" s="1103">
        <v>56.956849369037897</v>
      </c>
      <c r="AX293" s="1103">
        <v>35.519790738799003</v>
      </c>
    </row>
    <row r="294" spans="1:50" ht="15" customHeight="1" x14ac:dyDescent="0.25">
      <c r="A294" s="212">
        <v>212</v>
      </c>
      <c r="B294" s="212">
        <v>12</v>
      </c>
      <c r="C294" s="212" t="s">
        <v>183</v>
      </c>
      <c r="D294" s="230">
        <v>1.6</v>
      </c>
      <c r="E294" s="229"/>
      <c r="F294" s="229"/>
      <c r="G294" s="229"/>
      <c r="H294" s="228"/>
      <c r="I294" s="229" t="str">
        <f t="shared" si="151"/>
        <v>1,6</v>
      </c>
      <c r="J294" s="882">
        <v>0.32</v>
      </c>
      <c r="K294" s="889">
        <v>0</v>
      </c>
      <c r="L294" s="124">
        <v>0</v>
      </c>
      <c r="M294" s="172">
        <f t="shared" si="172"/>
        <v>0</v>
      </c>
      <c r="N294" s="172">
        <v>0</v>
      </c>
      <c r="O294" s="880"/>
      <c r="P294" s="880">
        <f t="shared" si="165"/>
        <v>0</v>
      </c>
      <c r="Q294" s="172">
        <f t="shared" si="166"/>
        <v>-0.32</v>
      </c>
      <c r="R294" s="172">
        <f t="shared" si="173"/>
        <v>-0.32</v>
      </c>
      <c r="S294" s="172" t="str">
        <f t="shared" si="164"/>
        <v>закрыт</v>
      </c>
      <c r="T294" s="2052" t="str">
        <f t="shared" si="152"/>
        <v>закрыт</v>
      </c>
      <c r="U294" s="757">
        <f t="shared" si="167"/>
        <v>19.047619047619047</v>
      </c>
      <c r="V294" s="2254">
        <v>0.4</v>
      </c>
      <c r="W294" s="2254" t="s">
        <v>3033</v>
      </c>
      <c r="X294" s="912"/>
      <c r="Y294" s="212">
        <v>212</v>
      </c>
      <c r="Z294" s="228">
        <v>12</v>
      </c>
      <c r="AA294" s="212" t="s">
        <v>183</v>
      </c>
      <c r="AB294" s="230">
        <f t="shared" si="153"/>
        <v>1.6</v>
      </c>
      <c r="AC294" s="229"/>
      <c r="AD294" s="229"/>
      <c r="AE294" s="229"/>
      <c r="AF294" s="228"/>
      <c r="AG294" s="212" t="str">
        <f t="shared" si="161"/>
        <v>1,6</v>
      </c>
      <c r="AH294" s="172">
        <f>'Зона ТвЭС'!L85</f>
        <v>0</v>
      </c>
      <c r="AI294" s="172">
        <f t="shared" ref="AI294:AI326" si="175">AH294+J294</f>
        <v>0.32</v>
      </c>
      <c r="AJ294" s="1973">
        <f t="shared" si="156"/>
        <v>0</v>
      </c>
      <c r="AK294" s="212">
        <f t="shared" si="157"/>
        <v>0</v>
      </c>
      <c r="AL294" s="172">
        <f t="shared" si="168"/>
        <v>0</v>
      </c>
      <c r="AM294" s="1973">
        <f t="shared" si="158"/>
        <v>0</v>
      </c>
      <c r="AN294" s="880">
        <f t="shared" si="169"/>
        <v>0</v>
      </c>
      <c r="AO294" s="172">
        <f t="shared" si="170"/>
        <v>-0.32</v>
      </c>
      <c r="AP294" s="172">
        <f t="shared" si="171"/>
        <v>-0.32</v>
      </c>
      <c r="AQ294" s="220" t="str">
        <f t="shared" si="163"/>
        <v>закрыт</v>
      </c>
      <c r="AR294" s="2052" t="str">
        <f t="shared" si="159"/>
        <v>закрыт</v>
      </c>
      <c r="AS294" s="935">
        <f t="shared" si="174"/>
        <v>19.047619047619047</v>
      </c>
      <c r="AT294" s="937" t="s">
        <v>97</v>
      </c>
      <c r="AU294" s="1095">
        <v>1988</v>
      </c>
      <c r="AV294" s="1101" t="s">
        <v>3218</v>
      </c>
      <c r="AW294" s="1103">
        <v>57.125073809915101</v>
      </c>
      <c r="AX294" s="1103">
        <v>35.672753228089903</v>
      </c>
    </row>
    <row r="295" spans="1:50" ht="15" customHeight="1" x14ac:dyDescent="0.25">
      <c r="A295" s="212">
        <v>213</v>
      </c>
      <c r="B295" s="212">
        <v>13</v>
      </c>
      <c r="C295" s="212" t="s">
        <v>184</v>
      </c>
      <c r="D295" s="230">
        <v>2.5</v>
      </c>
      <c r="E295" s="229"/>
      <c r="F295" s="229"/>
      <c r="G295" s="229"/>
      <c r="H295" s="228"/>
      <c r="I295" s="229" t="str">
        <f t="shared" si="151"/>
        <v>2,5</v>
      </c>
      <c r="J295" s="882">
        <v>0.65</v>
      </c>
      <c r="K295" s="889">
        <v>0</v>
      </c>
      <c r="L295" s="124">
        <v>0</v>
      </c>
      <c r="M295" s="172">
        <f t="shared" si="172"/>
        <v>0</v>
      </c>
      <c r="N295" s="172">
        <v>0</v>
      </c>
      <c r="O295" s="880"/>
      <c r="P295" s="880">
        <f t="shared" si="165"/>
        <v>0</v>
      </c>
      <c r="Q295" s="172">
        <f t="shared" si="166"/>
        <v>-0.65</v>
      </c>
      <c r="R295" s="172">
        <f t="shared" si="173"/>
        <v>-0.65</v>
      </c>
      <c r="S295" s="172" t="str">
        <f t="shared" si="164"/>
        <v>закрыт</v>
      </c>
      <c r="T295" s="2052" t="str">
        <f t="shared" si="152"/>
        <v>закрыт</v>
      </c>
      <c r="U295" s="757">
        <f t="shared" si="167"/>
        <v>24.761904761904763</v>
      </c>
      <c r="V295" s="2254">
        <v>0.4</v>
      </c>
      <c r="W295" s="2254" t="s">
        <v>3033</v>
      </c>
      <c r="X295" s="912"/>
      <c r="Y295" s="212">
        <v>213</v>
      </c>
      <c r="Z295" s="228">
        <v>13</v>
      </c>
      <c r="AA295" s="212" t="s">
        <v>184</v>
      </c>
      <c r="AB295" s="230">
        <f t="shared" si="153"/>
        <v>2.5</v>
      </c>
      <c r="AC295" s="229"/>
      <c r="AD295" s="229"/>
      <c r="AE295" s="229"/>
      <c r="AF295" s="228"/>
      <c r="AG295" s="212" t="str">
        <f t="shared" si="161"/>
        <v>2,5</v>
      </c>
      <c r="AH295" s="172">
        <f>'Зона ТвЭС'!L88</f>
        <v>0</v>
      </c>
      <c r="AI295" s="172">
        <f t="shared" si="175"/>
        <v>0.65</v>
      </c>
      <c r="AJ295" s="1973">
        <f t="shared" si="156"/>
        <v>0</v>
      </c>
      <c r="AK295" s="212">
        <f t="shared" si="157"/>
        <v>0</v>
      </c>
      <c r="AL295" s="172">
        <f t="shared" si="168"/>
        <v>0</v>
      </c>
      <c r="AM295" s="1973">
        <f t="shared" si="158"/>
        <v>0</v>
      </c>
      <c r="AN295" s="880">
        <f t="shared" si="169"/>
        <v>0</v>
      </c>
      <c r="AO295" s="172">
        <f t="shared" si="170"/>
        <v>-0.65</v>
      </c>
      <c r="AP295" s="172">
        <f t="shared" si="171"/>
        <v>-0.65</v>
      </c>
      <c r="AQ295" s="220" t="str">
        <f t="shared" si="163"/>
        <v>закрыт</v>
      </c>
      <c r="AR295" s="2052" t="str">
        <f t="shared" si="159"/>
        <v>закрыт</v>
      </c>
      <c r="AS295" s="935">
        <f t="shared" si="174"/>
        <v>24.761904761904763</v>
      </c>
      <c r="AT295" s="937" t="s">
        <v>97</v>
      </c>
      <c r="AU295" s="1095">
        <v>1966</v>
      </c>
      <c r="AV295" s="1101" t="s">
        <v>3218</v>
      </c>
      <c r="AW295" s="1103">
        <v>56.662698208776298</v>
      </c>
      <c r="AX295" s="1103">
        <v>36.6972146769468</v>
      </c>
    </row>
    <row r="296" spans="1:50" ht="15" customHeight="1" x14ac:dyDescent="0.25">
      <c r="A296" s="212">
        <v>214</v>
      </c>
      <c r="B296" s="212">
        <v>14</v>
      </c>
      <c r="C296" s="212" t="s">
        <v>185</v>
      </c>
      <c r="D296" s="230">
        <v>2.5</v>
      </c>
      <c r="E296" s="229"/>
      <c r="F296" s="229"/>
      <c r="G296" s="229"/>
      <c r="H296" s="228"/>
      <c r="I296" s="229" t="str">
        <f t="shared" si="151"/>
        <v>2,5</v>
      </c>
      <c r="J296" s="882">
        <v>1.47</v>
      </c>
      <c r="K296" s="889">
        <v>0</v>
      </c>
      <c r="L296" s="124">
        <v>0</v>
      </c>
      <c r="M296" s="172">
        <f t="shared" si="172"/>
        <v>0</v>
      </c>
      <c r="N296" s="172">
        <v>0</v>
      </c>
      <c r="O296" s="880"/>
      <c r="P296" s="880">
        <f t="shared" si="165"/>
        <v>0</v>
      </c>
      <c r="Q296" s="172">
        <f t="shared" si="166"/>
        <v>-1.47</v>
      </c>
      <c r="R296" s="172">
        <f t="shared" si="173"/>
        <v>-1.47</v>
      </c>
      <c r="S296" s="172" t="str">
        <f t="shared" si="164"/>
        <v>закрыт</v>
      </c>
      <c r="T296" s="2052" t="str">
        <f t="shared" si="152"/>
        <v>закрыт</v>
      </c>
      <c r="U296" s="757">
        <f t="shared" si="167"/>
        <v>56</v>
      </c>
      <c r="V296" s="2254">
        <v>0.4</v>
      </c>
      <c r="W296" s="2254" t="s">
        <v>3033</v>
      </c>
      <c r="X296" s="912"/>
      <c r="Y296" s="212">
        <v>214</v>
      </c>
      <c r="Z296" s="228">
        <v>14</v>
      </c>
      <c r="AA296" s="212" t="s">
        <v>185</v>
      </c>
      <c r="AB296" s="230">
        <f t="shared" si="153"/>
        <v>2.5</v>
      </c>
      <c r="AC296" s="229"/>
      <c r="AD296" s="229"/>
      <c r="AE296" s="229"/>
      <c r="AF296" s="228"/>
      <c r="AG296" s="212" t="str">
        <f t="shared" si="161"/>
        <v>2,5</v>
      </c>
      <c r="AH296" s="172">
        <f>'Зона ТвЭС'!L100</f>
        <v>3.4239130434782612E-2</v>
      </c>
      <c r="AI296" s="172">
        <f t="shared" si="175"/>
        <v>1.5042391304347826</v>
      </c>
      <c r="AJ296" s="1973">
        <f t="shared" si="156"/>
        <v>0</v>
      </c>
      <c r="AK296" s="212">
        <f t="shared" si="157"/>
        <v>0</v>
      </c>
      <c r="AL296" s="172">
        <f t="shared" si="168"/>
        <v>0</v>
      </c>
      <c r="AM296" s="1973">
        <f t="shared" si="158"/>
        <v>0</v>
      </c>
      <c r="AN296" s="880">
        <f t="shared" si="169"/>
        <v>0</v>
      </c>
      <c r="AO296" s="172">
        <f t="shared" si="170"/>
        <v>-1.5042391304347826</v>
      </c>
      <c r="AP296" s="172">
        <f t="shared" si="171"/>
        <v>-1.5042391304347826</v>
      </c>
      <c r="AQ296" s="220" t="str">
        <f t="shared" si="163"/>
        <v>закрыт</v>
      </c>
      <c r="AR296" s="2052" t="str">
        <f t="shared" si="159"/>
        <v>закрыт</v>
      </c>
      <c r="AS296" s="935">
        <f t="shared" si="174"/>
        <v>57.304347826086953</v>
      </c>
      <c r="AT296" s="937" t="s">
        <v>97</v>
      </c>
      <c r="AU296" s="1095">
        <v>1995</v>
      </c>
      <c r="AV296" s="1101" t="s">
        <v>3218</v>
      </c>
      <c r="AW296" s="1103">
        <v>56.768694136898397</v>
      </c>
      <c r="AX296" s="1103">
        <v>36.275502863553797</v>
      </c>
    </row>
    <row r="297" spans="1:50" ht="15" customHeight="1" x14ac:dyDescent="0.25">
      <c r="A297" s="212">
        <v>215</v>
      </c>
      <c r="B297" s="212">
        <v>15</v>
      </c>
      <c r="C297" s="212" t="s">
        <v>186</v>
      </c>
      <c r="D297" s="230">
        <v>2.5</v>
      </c>
      <c r="E297" s="229"/>
      <c r="F297" s="229"/>
      <c r="G297" s="229"/>
      <c r="H297" s="228"/>
      <c r="I297" s="229" t="str">
        <f t="shared" si="151"/>
        <v>2,5</v>
      </c>
      <c r="J297" s="882">
        <v>0.76</v>
      </c>
      <c r="K297" s="889">
        <v>0</v>
      </c>
      <c r="L297" s="124">
        <v>0</v>
      </c>
      <c r="M297" s="172">
        <f t="shared" si="172"/>
        <v>0</v>
      </c>
      <c r="N297" s="172">
        <v>0</v>
      </c>
      <c r="O297" s="880"/>
      <c r="P297" s="880">
        <f t="shared" si="165"/>
        <v>0</v>
      </c>
      <c r="Q297" s="172">
        <f t="shared" si="166"/>
        <v>-0.76</v>
      </c>
      <c r="R297" s="172">
        <f t="shared" si="173"/>
        <v>-0.76</v>
      </c>
      <c r="S297" s="172" t="str">
        <f t="shared" si="164"/>
        <v>закрыт</v>
      </c>
      <c r="T297" s="2052" t="str">
        <f t="shared" si="152"/>
        <v>закрыт</v>
      </c>
      <c r="U297" s="757">
        <f t="shared" si="167"/>
        <v>28.952380952380953</v>
      </c>
      <c r="V297" s="2254">
        <v>0.38</v>
      </c>
      <c r="W297" s="2254" t="s">
        <v>3032</v>
      </c>
      <c r="X297" s="912"/>
      <c r="Y297" s="212">
        <v>215</v>
      </c>
      <c r="Z297" s="228">
        <v>15</v>
      </c>
      <c r="AA297" s="212" t="s">
        <v>186</v>
      </c>
      <c r="AB297" s="230">
        <f t="shared" si="153"/>
        <v>2.5</v>
      </c>
      <c r="AC297" s="229"/>
      <c r="AD297" s="229"/>
      <c r="AE297" s="229"/>
      <c r="AF297" s="228"/>
      <c r="AG297" s="212" t="str">
        <f t="shared" si="161"/>
        <v>2,5</v>
      </c>
      <c r="AH297" s="172">
        <f>'Зона ТвЭС'!L111</f>
        <v>2.1576086956521738</v>
      </c>
      <c r="AI297" s="172">
        <f t="shared" si="175"/>
        <v>2.9176086956521736</v>
      </c>
      <c r="AJ297" s="1973">
        <f t="shared" si="156"/>
        <v>0</v>
      </c>
      <c r="AK297" s="212">
        <f t="shared" si="157"/>
        <v>0</v>
      </c>
      <c r="AL297" s="172">
        <f t="shared" si="168"/>
        <v>0</v>
      </c>
      <c r="AM297" s="1973">
        <f t="shared" si="158"/>
        <v>0</v>
      </c>
      <c r="AN297" s="880">
        <f t="shared" si="169"/>
        <v>0</v>
      </c>
      <c r="AO297" s="172">
        <f t="shared" si="170"/>
        <v>-2.9176086956521736</v>
      </c>
      <c r="AP297" s="172">
        <f t="shared" si="171"/>
        <v>-2.9176086956521736</v>
      </c>
      <c r="AQ297" s="220" t="str">
        <f t="shared" si="163"/>
        <v>закрыт</v>
      </c>
      <c r="AR297" s="2052" t="str">
        <f t="shared" si="159"/>
        <v>закрыт</v>
      </c>
      <c r="AS297" s="935">
        <f t="shared" si="174"/>
        <v>111.14699792960661</v>
      </c>
      <c r="AT297" s="937" t="s">
        <v>97</v>
      </c>
      <c r="AU297" s="1095">
        <v>1981</v>
      </c>
      <c r="AV297" s="1101" t="s">
        <v>3218</v>
      </c>
      <c r="AW297" s="1103">
        <v>56.587896602222003</v>
      </c>
      <c r="AX297" s="1103">
        <v>36.4910108207308</v>
      </c>
    </row>
    <row r="298" spans="1:50" ht="15" customHeight="1" x14ac:dyDescent="0.25">
      <c r="A298" s="212">
        <v>216</v>
      </c>
      <c r="B298" s="212">
        <v>16</v>
      </c>
      <c r="C298" s="212" t="s">
        <v>187</v>
      </c>
      <c r="D298" s="230">
        <v>2.5</v>
      </c>
      <c r="E298" s="229"/>
      <c r="F298" s="229"/>
      <c r="G298" s="229"/>
      <c r="H298" s="228"/>
      <c r="I298" s="229" t="str">
        <f t="shared" si="151"/>
        <v>2,5</v>
      </c>
      <c r="J298" s="882">
        <v>0.42</v>
      </c>
      <c r="K298" s="889">
        <v>0.32</v>
      </c>
      <c r="L298" s="124" t="s">
        <v>1780</v>
      </c>
      <c r="M298" s="172">
        <f t="shared" si="172"/>
        <v>0.32</v>
      </c>
      <c r="N298" s="172">
        <v>0</v>
      </c>
      <c r="O298" s="880"/>
      <c r="P298" s="880">
        <f t="shared" si="165"/>
        <v>0.32</v>
      </c>
      <c r="Q298" s="172">
        <f t="shared" si="166"/>
        <v>-9.9999999999999978E-2</v>
      </c>
      <c r="R298" s="172">
        <f t="shared" si="173"/>
        <v>-9.9999999999999978E-2</v>
      </c>
      <c r="S298" s="172" t="str">
        <f t="shared" si="164"/>
        <v>закрыт</v>
      </c>
      <c r="T298" s="2052" t="str">
        <f t="shared" si="152"/>
        <v>закрыт</v>
      </c>
      <c r="U298" s="757">
        <f t="shared" si="167"/>
        <v>16</v>
      </c>
      <c r="V298" s="2254"/>
      <c r="W298" s="2254" t="s">
        <v>3032</v>
      </c>
      <c r="X298" s="912"/>
      <c r="Y298" s="212">
        <v>216</v>
      </c>
      <c r="Z298" s="228">
        <v>16</v>
      </c>
      <c r="AA298" s="212" t="s">
        <v>187</v>
      </c>
      <c r="AB298" s="230">
        <f t="shared" si="153"/>
        <v>2.5</v>
      </c>
      <c r="AC298" s="229"/>
      <c r="AD298" s="229"/>
      <c r="AE298" s="229"/>
      <c r="AF298" s="228"/>
      <c r="AG298" s="212" t="str">
        <f t="shared" si="161"/>
        <v>2,5</v>
      </c>
      <c r="AH298" s="172">
        <f>'Зона ТвЭС'!L120</f>
        <v>4.0760869565217399E-2</v>
      </c>
      <c r="AI298" s="172">
        <f t="shared" si="175"/>
        <v>0.46076086956521739</v>
      </c>
      <c r="AJ298" s="1973">
        <f t="shared" si="156"/>
        <v>0.32</v>
      </c>
      <c r="AK298" s="212" t="str">
        <f t="shared" si="157"/>
        <v>1сутки</v>
      </c>
      <c r="AL298" s="172">
        <f t="shared" si="168"/>
        <v>0.32</v>
      </c>
      <c r="AM298" s="1973">
        <f t="shared" si="158"/>
        <v>0</v>
      </c>
      <c r="AN298" s="880">
        <f t="shared" si="169"/>
        <v>0.32</v>
      </c>
      <c r="AO298" s="172">
        <f t="shared" si="170"/>
        <v>-0.14076086956521738</v>
      </c>
      <c r="AP298" s="172">
        <f t="shared" si="171"/>
        <v>-0.14076086956521738</v>
      </c>
      <c r="AQ298" s="220" t="str">
        <f t="shared" si="163"/>
        <v>закрыт</v>
      </c>
      <c r="AR298" s="2052" t="str">
        <f t="shared" si="159"/>
        <v>закрыт</v>
      </c>
      <c r="AS298" s="935">
        <f t="shared" si="174"/>
        <v>17.552795031055901</v>
      </c>
      <c r="AT298" s="937" t="s">
        <v>97</v>
      </c>
      <c r="AU298" s="1095">
        <v>1979</v>
      </c>
      <c r="AV298" s="1101" t="s">
        <v>3218</v>
      </c>
      <c r="AW298" s="1103">
        <v>57.205603589896803</v>
      </c>
      <c r="AX298" s="1103">
        <v>36.369147383304998</v>
      </c>
    </row>
    <row r="299" spans="1:50" ht="15" customHeight="1" x14ac:dyDescent="0.25">
      <c r="A299" s="212">
        <v>217</v>
      </c>
      <c r="B299" s="212">
        <v>17</v>
      </c>
      <c r="C299" s="212" t="s">
        <v>2910</v>
      </c>
      <c r="D299" s="230">
        <v>2.5</v>
      </c>
      <c r="E299" s="229"/>
      <c r="F299" s="229"/>
      <c r="G299" s="229"/>
      <c r="H299" s="228"/>
      <c r="I299" s="229" t="str">
        <f t="shared" si="151"/>
        <v>2,5</v>
      </c>
      <c r="J299" s="882">
        <v>0.45</v>
      </c>
      <c r="K299" s="889">
        <v>0</v>
      </c>
      <c r="L299" s="124">
        <v>0</v>
      </c>
      <c r="M299" s="172">
        <f t="shared" si="172"/>
        <v>0</v>
      </c>
      <c r="N299" s="172">
        <v>0</v>
      </c>
      <c r="O299" s="880"/>
      <c r="P299" s="880">
        <f t="shared" si="165"/>
        <v>0</v>
      </c>
      <c r="Q299" s="172">
        <f t="shared" si="166"/>
        <v>-0.45</v>
      </c>
      <c r="R299" s="172">
        <f t="shared" si="173"/>
        <v>-0.45</v>
      </c>
      <c r="S299" s="172" t="str">
        <f t="shared" si="164"/>
        <v>закрыт</v>
      </c>
      <c r="T299" s="2052" t="str">
        <f t="shared" si="152"/>
        <v>закрыт</v>
      </c>
      <c r="U299" s="757">
        <f t="shared" si="167"/>
        <v>17.142857142857142</v>
      </c>
      <c r="V299" s="2254">
        <v>0.4</v>
      </c>
      <c r="W299" s="2254" t="s">
        <v>3033</v>
      </c>
      <c r="X299" s="912"/>
      <c r="Y299" s="212">
        <v>217</v>
      </c>
      <c r="Z299" s="228">
        <v>17</v>
      </c>
      <c r="AA299" s="212" t="s">
        <v>2910</v>
      </c>
      <c r="AB299" s="230">
        <f t="shared" si="153"/>
        <v>2.5</v>
      </c>
      <c r="AC299" s="229"/>
      <c r="AD299" s="229"/>
      <c r="AE299" s="229"/>
      <c r="AF299" s="228"/>
      <c r="AG299" s="212" t="str">
        <f t="shared" si="161"/>
        <v>2,5</v>
      </c>
      <c r="AH299" s="172">
        <f>'Зона ТвЭС'!L122</f>
        <v>0</v>
      </c>
      <c r="AI299" s="172">
        <f t="shared" si="175"/>
        <v>0.45</v>
      </c>
      <c r="AJ299" s="1973">
        <f t="shared" si="156"/>
        <v>0</v>
      </c>
      <c r="AK299" s="212">
        <f t="shared" si="157"/>
        <v>0</v>
      </c>
      <c r="AL299" s="172">
        <f t="shared" si="168"/>
        <v>0</v>
      </c>
      <c r="AM299" s="1973">
        <f t="shared" si="158"/>
        <v>0</v>
      </c>
      <c r="AN299" s="880">
        <f t="shared" si="169"/>
        <v>0</v>
      </c>
      <c r="AO299" s="172">
        <f t="shared" si="170"/>
        <v>-0.45</v>
      </c>
      <c r="AP299" s="172">
        <f t="shared" si="171"/>
        <v>-0.45</v>
      </c>
      <c r="AQ299" s="220" t="str">
        <f t="shared" si="163"/>
        <v>закрыт</v>
      </c>
      <c r="AR299" s="2052" t="str">
        <f t="shared" si="159"/>
        <v>закрыт</v>
      </c>
      <c r="AS299" s="935">
        <f t="shared" si="174"/>
        <v>17.142857142857142</v>
      </c>
      <c r="AT299" s="937" t="s">
        <v>97</v>
      </c>
      <c r="AU299" s="1095">
        <v>1964</v>
      </c>
      <c r="AV299" s="1101" t="s">
        <v>3218</v>
      </c>
      <c r="AW299" s="1103">
        <v>57.363755430550597</v>
      </c>
      <c r="AX299" s="1103">
        <v>36.599152638130299</v>
      </c>
    </row>
    <row r="300" spans="1:50" ht="15" customHeight="1" x14ac:dyDescent="0.25">
      <c r="A300" s="212">
        <v>218</v>
      </c>
      <c r="B300" s="212">
        <v>18</v>
      </c>
      <c r="C300" s="212" t="s">
        <v>188</v>
      </c>
      <c r="D300" s="230">
        <v>2.5</v>
      </c>
      <c r="E300" s="229"/>
      <c r="F300" s="229"/>
      <c r="G300" s="229"/>
      <c r="H300" s="228"/>
      <c r="I300" s="229" t="str">
        <f t="shared" si="151"/>
        <v>2,5</v>
      </c>
      <c r="J300" s="882">
        <v>0.11</v>
      </c>
      <c r="K300" s="889">
        <v>0.11</v>
      </c>
      <c r="L300" s="124" t="s">
        <v>1780</v>
      </c>
      <c r="M300" s="172">
        <f t="shared" si="172"/>
        <v>0.11</v>
      </c>
      <c r="N300" s="172">
        <v>0</v>
      </c>
      <c r="O300" s="880"/>
      <c r="P300" s="880">
        <f t="shared" si="165"/>
        <v>0.11</v>
      </c>
      <c r="Q300" s="172">
        <f t="shared" si="166"/>
        <v>0</v>
      </c>
      <c r="R300" s="172">
        <f>Q300</f>
        <v>0</v>
      </c>
      <c r="S300" s="172" t="str">
        <f t="shared" si="164"/>
        <v>открыт</v>
      </c>
      <c r="T300" s="2052" t="str">
        <f t="shared" si="152"/>
        <v>открыт</v>
      </c>
      <c r="U300" s="757">
        <f t="shared" si="167"/>
        <v>4.1904761904761907</v>
      </c>
      <c r="V300" s="2254">
        <v>0.85</v>
      </c>
      <c r="W300" s="2254" t="s">
        <v>3033</v>
      </c>
      <c r="X300" s="912"/>
      <c r="Y300" s="212">
        <v>218</v>
      </c>
      <c r="Z300" s="228">
        <v>18</v>
      </c>
      <c r="AA300" s="212" t="s">
        <v>188</v>
      </c>
      <c r="AB300" s="230">
        <f t="shared" si="153"/>
        <v>2.5</v>
      </c>
      <c r="AC300" s="229"/>
      <c r="AD300" s="229"/>
      <c r="AE300" s="229"/>
      <c r="AF300" s="228"/>
      <c r="AG300" s="212" t="str">
        <f t="shared" si="161"/>
        <v>2,5</v>
      </c>
      <c r="AH300" s="172">
        <f>'Зона ТвЭС'!L124</f>
        <v>0</v>
      </c>
      <c r="AI300" s="172">
        <f t="shared" si="175"/>
        <v>0.11</v>
      </c>
      <c r="AJ300" s="1973">
        <f t="shared" si="156"/>
        <v>0.11</v>
      </c>
      <c r="AK300" s="212" t="str">
        <f t="shared" si="157"/>
        <v>1сутки</v>
      </c>
      <c r="AL300" s="172">
        <f t="shared" si="168"/>
        <v>0.11</v>
      </c>
      <c r="AM300" s="1973">
        <f t="shared" si="158"/>
        <v>0</v>
      </c>
      <c r="AN300" s="880">
        <f t="shared" si="169"/>
        <v>0.11</v>
      </c>
      <c r="AO300" s="172">
        <f t="shared" si="170"/>
        <v>0</v>
      </c>
      <c r="AP300" s="172">
        <f t="shared" si="171"/>
        <v>0</v>
      </c>
      <c r="AQ300" s="220" t="str">
        <f t="shared" si="163"/>
        <v>открыт</v>
      </c>
      <c r="AR300" s="2052" t="str">
        <f t="shared" si="159"/>
        <v>открыт</v>
      </c>
      <c r="AS300" s="935">
        <f t="shared" si="174"/>
        <v>4.1904761904761907</v>
      </c>
      <c r="AT300" s="937" t="s">
        <v>97</v>
      </c>
      <c r="AU300" s="1095">
        <v>1982</v>
      </c>
      <c r="AV300" s="1101" t="s">
        <v>3218</v>
      </c>
      <c r="AW300" s="1103">
        <v>57.391124969442103</v>
      </c>
      <c r="AX300" s="1103">
        <v>36.379972885451103</v>
      </c>
    </row>
    <row r="301" spans="1:50" ht="15" customHeight="1" x14ac:dyDescent="0.25">
      <c r="A301" s="212">
        <v>219</v>
      </c>
      <c r="B301" s="212">
        <v>19</v>
      </c>
      <c r="C301" s="212" t="s">
        <v>189</v>
      </c>
      <c r="D301" s="230">
        <v>4</v>
      </c>
      <c r="E301" s="229" t="s">
        <v>773</v>
      </c>
      <c r="F301" s="229">
        <v>4</v>
      </c>
      <c r="G301" s="229"/>
      <c r="H301" s="228"/>
      <c r="I301" s="229" t="str">
        <f t="shared" si="151"/>
        <v>4+4</v>
      </c>
      <c r="J301" s="882">
        <v>0.75</v>
      </c>
      <c r="K301" s="889">
        <v>0</v>
      </c>
      <c r="L301" s="124">
        <v>0</v>
      </c>
      <c r="M301" s="172">
        <f t="shared" ref="M301:M333" si="176">J301-K301</f>
        <v>0.75</v>
      </c>
      <c r="N301" s="172">
        <v>0</v>
      </c>
      <c r="O301" s="880"/>
      <c r="P301" s="880">
        <f t="shared" ref="P301:P322" si="177">MIN(D301:F301)*1.05</f>
        <v>4.2</v>
      </c>
      <c r="Q301" s="172">
        <f t="shared" ref="Q301:Q333" si="178">P301-M301-N301</f>
        <v>3.45</v>
      </c>
      <c r="R301" s="172">
        <f>Q301</f>
        <v>3.45</v>
      </c>
      <c r="S301" s="172" t="str">
        <f t="shared" si="164"/>
        <v>открыт</v>
      </c>
      <c r="T301" s="2052" t="str">
        <f t="shared" si="152"/>
        <v>открыт</v>
      </c>
      <c r="U301" s="757">
        <f t="shared" ref="U301:U333" si="179">(J301*100)/P301</f>
        <v>17.857142857142858</v>
      </c>
      <c r="V301" s="2254"/>
      <c r="W301" s="2254" t="s">
        <v>3032</v>
      </c>
      <c r="X301" s="912"/>
      <c r="Y301" s="212">
        <v>219</v>
      </c>
      <c r="Z301" s="228">
        <v>19</v>
      </c>
      <c r="AA301" s="212" t="s">
        <v>189</v>
      </c>
      <c r="AB301" s="230">
        <f t="shared" si="153"/>
        <v>4</v>
      </c>
      <c r="AC301" s="229" t="str">
        <f t="shared" si="154"/>
        <v>+</v>
      </c>
      <c r="AD301" s="229">
        <f t="shared" si="155"/>
        <v>4</v>
      </c>
      <c r="AE301" s="229"/>
      <c r="AF301" s="228"/>
      <c r="AG301" s="212" t="str">
        <f t="shared" si="161"/>
        <v>4+4</v>
      </c>
      <c r="AH301" s="172">
        <f>'Зона ТвЭС'!L129</f>
        <v>0.29347826086956524</v>
      </c>
      <c r="AI301" s="172">
        <f t="shared" si="175"/>
        <v>1.0434782608695652</v>
      </c>
      <c r="AJ301" s="1973">
        <f t="shared" si="156"/>
        <v>0</v>
      </c>
      <c r="AK301" s="212">
        <f t="shared" si="157"/>
        <v>0</v>
      </c>
      <c r="AL301" s="172">
        <f t="shared" ref="AL301:AL333" si="180">AI301-AJ301</f>
        <v>1.0434782608695652</v>
      </c>
      <c r="AM301" s="1973">
        <f t="shared" si="158"/>
        <v>0</v>
      </c>
      <c r="AN301" s="880">
        <f t="shared" ref="AN301:AN321" si="181">MIN(AB301:AF301)*1.05</f>
        <v>4.2</v>
      </c>
      <c r="AO301" s="172">
        <f t="shared" ref="AO301:AO333" si="182">AN301-AL301-AM301</f>
        <v>3.1565217391304348</v>
      </c>
      <c r="AP301" s="172">
        <f>AO301</f>
        <v>3.1565217391304348</v>
      </c>
      <c r="AQ301" s="220" t="str">
        <f t="shared" si="163"/>
        <v>открыт</v>
      </c>
      <c r="AR301" s="2052" t="str">
        <f t="shared" si="159"/>
        <v>открыт</v>
      </c>
      <c r="AS301" s="935">
        <f t="shared" ref="AS301:AS333" si="183">(AI301*100)/AN301</f>
        <v>24.844720496894407</v>
      </c>
      <c r="AT301" s="937" t="s">
        <v>97</v>
      </c>
      <c r="AU301" s="1095">
        <v>1985</v>
      </c>
      <c r="AV301" s="1101" t="s">
        <v>3218</v>
      </c>
      <c r="AW301" s="1103">
        <v>56.912094781366399</v>
      </c>
      <c r="AX301" s="1103">
        <v>36.230996697867603</v>
      </c>
    </row>
    <row r="302" spans="1:50" ht="15" customHeight="1" x14ac:dyDescent="0.25">
      <c r="A302" s="212">
        <v>220</v>
      </c>
      <c r="B302" s="212">
        <v>20</v>
      </c>
      <c r="C302" s="1228" t="s">
        <v>3365</v>
      </c>
      <c r="D302" s="230">
        <v>2.5</v>
      </c>
      <c r="E302" s="229" t="s">
        <v>773</v>
      </c>
      <c r="F302" s="229">
        <v>6.3</v>
      </c>
      <c r="G302" s="229"/>
      <c r="H302" s="228"/>
      <c r="I302" s="229" t="str">
        <f t="shared" si="151"/>
        <v>2,5+6,3</v>
      </c>
      <c r="J302" s="882">
        <v>1.18</v>
      </c>
      <c r="K302" s="889">
        <v>0</v>
      </c>
      <c r="L302" s="124">
        <v>0</v>
      </c>
      <c r="M302" s="172">
        <f t="shared" si="176"/>
        <v>1.18</v>
      </c>
      <c r="N302" s="172">
        <v>0</v>
      </c>
      <c r="O302" s="880"/>
      <c r="P302" s="880">
        <f t="shared" si="177"/>
        <v>2.625</v>
      </c>
      <c r="Q302" s="172">
        <f t="shared" si="178"/>
        <v>1.4450000000000001</v>
      </c>
      <c r="R302" s="172">
        <f>Q302</f>
        <v>1.4450000000000001</v>
      </c>
      <c r="S302" s="172" t="str">
        <f t="shared" si="164"/>
        <v>открыт</v>
      </c>
      <c r="T302" s="2052" t="str">
        <f t="shared" si="152"/>
        <v>открыт</v>
      </c>
      <c r="U302" s="757">
        <f t="shared" si="179"/>
        <v>44.952380952380949</v>
      </c>
      <c r="V302" s="2254">
        <v>0.4</v>
      </c>
      <c r="W302" s="2254" t="s">
        <v>3033</v>
      </c>
      <c r="X302" s="912"/>
      <c r="Y302" s="212">
        <v>220</v>
      </c>
      <c r="Z302" s="228">
        <v>20</v>
      </c>
      <c r="AA302" s="1228" t="s">
        <v>3365</v>
      </c>
      <c r="AB302" s="230">
        <f t="shared" si="153"/>
        <v>2.5</v>
      </c>
      <c r="AC302" s="229" t="str">
        <f t="shared" si="154"/>
        <v>+</v>
      </c>
      <c r="AD302" s="229">
        <f t="shared" si="155"/>
        <v>6.3</v>
      </c>
      <c r="AE302" s="229"/>
      <c r="AF302" s="228"/>
      <c r="AG302" s="212" t="str">
        <f t="shared" si="161"/>
        <v>2,5+6,3</v>
      </c>
      <c r="AH302" s="172">
        <f>'Зона ТвЭС'!L157</f>
        <v>3.8644347826086953</v>
      </c>
      <c r="AI302" s="172">
        <f t="shared" si="175"/>
        <v>5.044434782608695</v>
      </c>
      <c r="AJ302" s="1973">
        <f t="shared" si="156"/>
        <v>0</v>
      </c>
      <c r="AK302" s="212">
        <f t="shared" si="157"/>
        <v>0</v>
      </c>
      <c r="AL302" s="172">
        <f t="shared" si="180"/>
        <v>5.044434782608695</v>
      </c>
      <c r="AM302" s="1973">
        <f t="shared" si="158"/>
        <v>0</v>
      </c>
      <c r="AN302" s="880">
        <f t="shared" si="181"/>
        <v>2.625</v>
      </c>
      <c r="AO302" s="172">
        <f t="shared" si="182"/>
        <v>-2.419434782608695</v>
      </c>
      <c r="AP302" s="172">
        <f>AO302</f>
        <v>-2.419434782608695</v>
      </c>
      <c r="AQ302" s="220" t="str">
        <f t="shared" si="163"/>
        <v>закрыт</v>
      </c>
      <c r="AR302" s="2052" t="str">
        <f t="shared" si="159"/>
        <v>закрыт</v>
      </c>
      <c r="AS302" s="935">
        <f t="shared" si="183"/>
        <v>192.16894409937885</v>
      </c>
      <c r="AT302" s="937" t="s">
        <v>97</v>
      </c>
      <c r="AU302" s="1095">
        <v>1990</v>
      </c>
      <c r="AV302" s="1101" t="s">
        <v>3218</v>
      </c>
      <c r="AW302" s="1103">
        <v>56.791632844852899</v>
      </c>
      <c r="AX302" s="1103">
        <v>35.7139339625055</v>
      </c>
    </row>
    <row r="303" spans="1:50" ht="15" customHeight="1" x14ac:dyDescent="0.25">
      <c r="A303" s="212">
        <v>221</v>
      </c>
      <c r="B303" s="212">
        <v>21</v>
      </c>
      <c r="C303" s="212" t="s">
        <v>190</v>
      </c>
      <c r="D303" s="230">
        <v>2.5</v>
      </c>
      <c r="E303" s="229" t="s">
        <v>773</v>
      </c>
      <c r="F303" s="229">
        <v>2.5</v>
      </c>
      <c r="G303" s="229"/>
      <c r="H303" s="228"/>
      <c r="I303" s="229" t="str">
        <f t="shared" si="151"/>
        <v>2,5+2,5</v>
      </c>
      <c r="J303" s="882">
        <v>1.48</v>
      </c>
      <c r="K303" s="889">
        <v>0</v>
      </c>
      <c r="L303" s="124">
        <v>0</v>
      </c>
      <c r="M303" s="172">
        <f t="shared" si="176"/>
        <v>1.48</v>
      </c>
      <c r="N303" s="172">
        <v>0</v>
      </c>
      <c r="O303" s="880"/>
      <c r="P303" s="880">
        <f t="shared" si="177"/>
        <v>2.625</v>
      </c>
      <c r="Q303" s="172">
        <f t="shared" si="178"/>
        <v>1.145</v>
      </c>
      <c r="R303" s="172">
        <f>Q303</f>
        <v>1.145</v>
      </c>
      <c r="S303" s="172" t="str">
        <f t="shared" si="164"/>
        <v>открыт</v>
      </c>
      <c r="T303" s="2052" t="str">
        <f t="shared" si="152"/>
        <v>открыт</v>
      </c>
      <c r="U303" s="757">
        <f t="shared" si="179"/>
        <v>56.38095238095238</v>
      </c>
      <c r="V303" s="2254"/>
      <c r="W303" s="2254" t="s">
        <v>3032</v>
      </c>
      <c r="X303" s="912"/>
      <c r="Y303" s="212">
        <v>221</v>
      </c>
      <c r="Z303" s="228">
        <v>21</v>
      </c>
      <c r="AA303" s="212" t="s">
        <v>190</v>
      </c>
      <c r="AB303" s="230">
        <f t="shared" si="153"/>
        <v>2.5</v>
      </c>
      <c r="AC303" s="229" t="str">
        <f t="shared" si="154"/>
        <v>+</v>
      </c>
      <c r="AD303" s="229">
        <f t="shared" si="155"/>
        <v>2.5</v>
      </c>
      <c r="AE303" s="229"/>
      <c r="AF303" s="228"/>
      <c r="AG303" s="212" t="str">
        <f t="shared" si="161"/>
        <v>2,5+2,5</v>
      </c>
      <c r="AH303" s="172">
        <f>'Зона ТвЭС'!L170</f>
        <v>0.92342934782608699</v>
      </c>
      <c r="AI303" s="172">
        <f t="shared" si="175"/>
        <v>2.4034293478260871</v>
      </c>
      <c r="AJ303" s="1973">
        <f t="shared" si="156"/>
        <v>0</v>
      </c>
      <c r="AK303" s="212">
        <f t="shared" si="157"/>
        <v>0</v>
      </c>
      <c r="AL303" s="172">
        <f t="shared" si="180"/>
        <v>2.4034293478260871</v>
      </c>
      <c r="AM303" s="1973">
        <f t="shared" si="158"/>
        <v>0</v>
      </c>
      <c r="AN303" s="880">
        <f t="shared" si="181"/>
        <v>2.625</v>
      </c>
      <c r="AO303" s="172">
        <f t="shared" si="182"/>
        <v>0.22157065217391292</v>
      </c>
      <c r="AP303" s="172">
        <f>AO303</f>
        <v>0.22157065217391292</v>
      </c>
      <c r="AQ303" s="220" t="str">
        <f t="shared" si="163"/>
        <v>открыт</v>
      </c>
      <c r="AR303" s="2052" t="str">
        <f t="shared" si="159"/>
        <v>открыт</v>
      </c>
      <c r="AS303" s="935">
        <f t="shared" si="183"/>
        <v>91.559213250517615</v>
      </c>
      <c r="AT303" s="937" t="s">
        <v>97</v>
      </c>
      <c r="AU303" s="1095">
        <v>1963</v>
      </c>
      <c r="AV303" s="1101" t="s">
        <v>3218</v>
      </c>
      <c r="AW303" s="1103">
        <v>57.130553877386397</v>
      </c>
      <c r="AX303" s="1103">
        <v>36.075326147215897</v>
      </c>
    </row>
    <row r="304" spans="1:50" ht="15" customHeight="1" x14ac:dyDescent="0.25">
      <c r="A304" s="212">
        <v>222</v>
      </c>
      <c r="B304" s="212">
        <v>22</v>
      </c>
      <c r="C304" s="212" t="s">
        <v>191</v>
      </c>
      <c r="D304" s="230">
        <v>5.6</v>
      </c>
      <c r="E304" s="229" t="s">
        <v>773</v>
      </c>
      <c r="F304" s="229">
        <v>5.6</v>
      </c>
      <c r="G304" s="229"/>
      <c r="H304" s="228"/>
      <c r="I304" s="229" t="str">
        <f t="shared" si="151"/>
        <v>5,6+5,6</v>
      </c>
      <c r="J304" s="882">
        <v>1.94</v>
      </c>
      <c r="K304" s="889">
        <v>0</v>
      </c>
      <c r="L304" s="124">
        <v>0</v>
      </c>
      <c r="M304" s="172">
        <f t="shared" si="176"/>
        <v>1.94</v>
      </c>
      <c r="N304" s="172">
        <v>0</v>
      </c>
      <c r="O304" s="880"/>
      <c r="P304" s="880">
        <f t="shared" si="177"/>
        <v>5.88</v>
      </c>
      <c r="Q304" s="172">
        <f t="shared" si="178"/>
        <v>3.94</v>
      </c>
      <c r="R304" s="172">
        <f t="shared" si="173"/>
        <v>3.94</v>
      </c>
      <c r="S304" s="172" t="str">
        <f t="shared" si="164"/>
        <v>открыт</v>
      </c>
      <c r="T304" s="2052" t="str">
        <f t="shared" si="152"/>
        <v>открыт</v>
      </c>
      <c r="U304" s="757">
        <f t="shared" si="179"/>
        <v>32.993197278911566</v>
      </c>
      <c r="V304" s="2254">
        <v>0.6</v>
      </c>
      <c r="W304" s="2254" t="s">
        <v>3033</v>
      </c>
      <c r="X304" s="912"/>
      <c r="Y304" s="212">
        <v>222</v>
      </c>
      <c r="Z304" s="228">
        <v>22</v>
      </c>
      <c r="AA304" s="212" t="s">
        <v>191</v>
      </c>
      <c r="AB304" s="230">
        <f t="shared" si="153"/>
        <v>5.6</v>
      </c>
      <c r="AC304" s="229" t="str">
        <f t="shared" si="154"/>
        <v>+</v>
      </c>
      <c r="AD304" s="229">
        <f t="shared" si="155"/>
        <v>5.6</v>
      </c>
      <c r="AE304" s="229"/>
      <c r="AF304" s="228"/>
      <c r="AG304" s="212" t="str">
        <f t="shared" si="161"/>
        <v>5,6+5,6</v>
      </c>
      <c r="AH304" s="172">
        <f>'Зона ТвЭС'!L179</f>
        <v>0.70141304347826083</v>
      </c>
      <c r="AI304" s="172">
        <f t="shared" si="175"/>
        <v>2.641413043478261</v>
      </c>
      <c r="AJ304" s="1973">
        <f t="shared" si="156"/>
        <v>0</v>
      </c>
      <c r="AK304" s="212">
        <f t="shared" si="157"/>
        <v>0</v>
      </c>
      <c r="AL304" s="172">
        <f t="shared" si="180"/>
        <v>2.641413043478261</v>
      </c>
      <c r="AM304" s="1973">
        <f t="shared" si="158"/>
        <v>0</v>
      </c>
      <c r="AN304" s="880">
        <f t="shared" si="181"/>
        <v>5.88</v>
      </c>
      <c r="AO304" s="172">
        <f t="shared" si="182"/>
        <v>3.2385869565217389</v>
      </c>
      <c r="AP304" s="172">
        <f t="shared" ref="AP304:AP348" si="184">AO304</f>
        <v>3.2385869565217389</v>
      </c>
      <c r="AQ304" s="220" t="str">
        <f t="shared" si="163"/>
        <v>открыт</v>
      </c>
      <c r="AR304" s="2052" t="str">
        <f t="shared" si="159"/>
        <v>открыт</v>
      </c>
      <c r="AS304" s="935">
        <f t="shared" si="183"/>
        <v>44.921990535344577</v>
      </c>
      <c r="AT304" s="937" t="s">
        <v>97</v>
      </c>
      <c r="AU304" s="1095">
        <v>1961</v>
      </c>
      <c r="AV304" s="1101" t="s">
        <v>3218</v>
      </c>
      <c r="AW304" s="1103">
        <v>56.798377183551999</v>
      </c>
      <c r="AX304" s="1103">
        <v>36.042172374705899</v>
      </c>
    </row>
    <row r="305" spans="1:50" ht="15" customHeight="1" x14ac:dyDescent="0.25">
      <c r="A305" s="212">
        <v>223</v>
      </c>
      <c r="B305" s="212">
        <v>23</v>
      </c>
      <c r="C305" s="212" t="s">
        <v>192</v>
      </c>
      <c r="D305" s="230">
        <v>3.2</v>
      </c>
      <c r="E305" s="229" t="s">
        <v>773</v>
      </c>
      <c r="F305" s="229">
        <v>3.2</v>
      </c>
      <c r="G305" s="229"/>
      <c r="H305" s="228"/>
      <c r="I305" s="229" t="str">
        <f t="shared" si="151"/>
        <v>3,2+3,2</v>
      </c>
      <c r="J305" s="882">
        <v>1.32</v>
      </c>
      <c r="K305" s="889">
        <v>0</v>
      </c>
      <c r="L305" s="124">
        <v>0</v>
      </c>
      <c r="M305" s="172">
        <f t="shared" si="176"/>
        <v>1.32</v>
      </c>
      <c r="N305" s="172">
        <v>0</v>
      </c>
      <c r="O305" s="880"/>
      <c r="P305" s="880">
        <f t="shared" si="177"/>
        <v>3.3600000000000003</v>
      </c>
      <c r="Q305" s="172">
        <f t="shared" si="178"/>
        <v>2.04</v>
      </c>
      <c r="R305" s="172">
        <f t="shared" si="173"/>
        <v>2.04</v>
      </c>
      <c r="S305" s="172" t="str">
        <f t="shared" si="164"/>
        <v>открыт</v>
      </c>
      <c r="T305" s="2052" t="str">
        <f t="shared" si="152"/>
        <v>открыт</v>
      </c>
      <c r="U305" s="757">
        <f t="shared" si="179"/>
        <v>39.285714285714285</v>
      </c>
      <c r="V305" s="2254">
        <v>0.56000000000000005</v>
      </c>
      <c r="W305" s="2254" t="s">
        <v>3033</v>
      </c>
      <c r="X305" s="912"/>
      <c r="Y305" s="212">
        <v>223</v>
      </c>
      <c r="Z305" s="228">
        <v>23</v>
      </c>
      <c r="AA305" s="212" t="s">
        <v>192</v>
      </c>
      <c r="AB305" s="230">
        <f t="shared" si="153"/>
        <v>3.2</v>
      </c>
      <c r="AC305" s="229" t="str">
        <f t="shared" si="154"/>
        <v>+</v>
      </c>
      <c r="AD305" s="229">
        <f t="shared" si="155"/>
        <v>3.2</v>
      </c>
      <c r="AE305" s="229"/>
      <c r="AF305" s="228"/>
      <c r="AG305" s="212" t="str">
        <f t="shared" si="161"/>
        <v>3,2+3,2</v>
      </c>
      <c r="AH305" s="172">
        <f>'Зона ТвЭС'!L184</f>
        <v>0</v>
      </c>
      <c r="AI305" s="172">
        <f t="shared" si="175"/>
        <v>1.32</v>
      </c>
      <c r="AJ305" s="1973">
        <f t="shared" si="156"/>
        <v>0</v>
      </c>
      <c r="AK305" s="212">
        <f t="shared" si="157"/>
        <v>0</v>
      </c>
      <c r="AL305" s="172">
        <f t="shared" si="180"/>
        <v>1.32</v>
      </c>
      <c r="AM305" s="1973">
        <f t="shared" si="158"/>
        <v>0</v>
      </c>
      <c r="AN305" s="880">
        <f t="shared" si="181"/>
        <v>3.3600000000000003</v>
      </c>
      <c r="AO305" s="172">
        <f t="shared" si="182"/>
        <v>2.04</v>
      </c>
      <c r="AP305" s="172">
        <f t="shared" si="184"/>
        <v>2.04</v>
      </c>
      <c r="AQ305" s="220" t="str">
        <f t="shared" si="163"/>
        <v>открыт</v>
      </c>
      <c r="AR305" s="2052" t="str">
        <f t="shared" si="159"/>
        <v>открыт</v>
      </c>
      <c r="AS305" s="935">
        <f t="shared" si="183"/>
        <v>39.285714285714285</v>
      </c>
      <c r="AT305" s="937" t="s">
        <v>97</v>
      </c>
      <c r="AU305" s="1095">
        <v>1947</v>
      </c>
      <c r="AV305" s="1101" t="s">
        <v>3218</v>
      </c>
      <c r="AW305" s="1103">
        <v>56.812938241620103</v>
      </c>
      <c r="AX305" s="1103">
        <v>35.997714520066801</v>
      </c>
    </row>
    <row r="306" spans="1:50" ht="15" customHeight="1" x14ac:dyDescent="0.25">
      <c r="A306" s="212">
        <v>224</v>
      </c>
      <c r="B306" s="212">
        <v>24</v>
      </c>
      <c r="C306" s="212" t="s">
        <v>193</v>
      </c>
      <c r="D306" s="230">
        <v>10</v>
      </c>
      <c r="E306" s="229" t="s">
        <v>773</v>
      </c>
      <c r="F306" s="229">
        <v>10</v>
      </c>
      <c r="G306" s="229"/>
      <c r="H306" s="228"/>
      <c r="I306" s="229" t="str">
        <f t="shared" si="151"/>
        <v>10+10</v>
      </c>
      <c r="J306" s="882">
        <v>12.2</v>
      </c>
      <c r="K306" s="889">
        <v>0</v>
      </c>
      <c r="L306" s="124">
        <v>0</v>
      </c>
      <c r="M306" s="172">
        <f t="shared" si="176"/>
        <v>12.2</v>
      </c>
      <c r="N306" s="172">
        <v>0</v>
      </c>
      <c r="O306" s="880"/>
      <c r="P306" s="880">
        <f t="shared" si="177"/>
        <v>10.5</v>
      </c>
      <c r="Q306" s="172">
        <f t="shared" si="178"/>
        <v>-1.6999999999999993</v>
      </c>
      <c r="R306" s="172">
        <f t="shared" si="173"/>
        <v>-1.6999999999999993</v>
      </c>
      <c r="S306" s="172" t="str">
        <f t="shared" si="164"/>
        <v>закрыт</v>
      </c>
      <c r="T306" s="2052" t="str">
        <f t="shared" si="152"/>
        <v>закрыт</v>
      </c>
      <c r="U306" s="757">
        <f t="shared" si="179"/>
        <v>116.19047619047619</v>
      </c>
      <c r="V306" s="2254">
        <v>0.35</v>
      </c>
      <c r="W306" s="2254" t="s">
        <v>3033</v>
      </c>
      <c r="X306" s="912"/>
      <c r="Y306" s="212">
        <v>224</v>
      </c>
      <c r="Z306" s="228">
        <v>24</v>
      </c>
      <c r="AA306" s="212" t="s">
        <v>193</v>
      </c>
      <c r="AB306" s="230">
        <f t="shared" si="153"/>
        <v>10</v>
      </c>
      <c r="AC306" s="229" t="str">
        <f t="shared" si="154"/>
        <v>+</v>
      </c>
      <c r="AD306" s="229">
        <f t="shared" si="155"/>
        <v>10</v>
      </c>
      <c r="AE306" s="229"/>
      <c r="AF306" s="228"/>
      <c r="AG306" s="212" t="str">
        <f t="shared" si="161"/>
        <v>10+10</v>
      </c>
      <c r="AH306" s="172">
        <f>'Зона ТвЭС'!L191</f>
        <v>0</v>
      </c>
      <c r="AI306" s="172">
        <f t="shared" si="175"/>
        <v>12.2</v>
      </c>
      <c r="AJ306" s="1973">
        <f t="shared" si="156"/>
        <v>0</v>
      </c>
      <c r="AK306" s="212">
        <f t="shared" si="157"/>
        <v>0</v>
      </c>
      <c r="AL306" s="172">
        <f t="shared" si="180"/>
        <v>12.2</v>
      </c>
      <c r="AM306" s="1973">
        <f t="shared" si="158"/>
        <v>0</v>
      </c>
      <c r="AN306" s="880">
        <f t="shared" si="181"/>
        <v>10.5</v>
      </c>
      <c r="AO306" s="172">
        <f t="shared" si="182"/>
        <v>-1.6999999999999993</v>
      </c>
      <c r="AP306" s="172">
        <f t="shared" si="184"/>
        <v>-1.6999999999999993</v>
      </c>
      <c r="AQ306" s="220" t="str">
        <f>AR306</f>
        <v>закрыт</v>
      </c>
      <c r="AR306" s="2052" t="str">
        <f t="shared" si="159"/>
        <v>закрыт</v>
      </c>
      <c r="AS306" s="935">
        <f t="shared" si="183"/>
        <v>116.19047619047619</v>
      </c>
      <c r="AT306" s="937" t="s">
        <v>97</v>
      </c>
      <c r="AU306" s="1095">
        <v>1964</v>
      </c>
      <c r="AV306" s="1101" t="s">
        <v>3218</v>
      </c>
      <c r="AW306" s="1103">
        <v>56.840788825628401</v>
      </c>
      <c r="AX306" s="1103">
        <v>35.936698991917602</v>
      </c>
    </row>
    <row r="307" spans="1:50" ht="15" customHeight="1" x14ac:dyDescent="0.25">
      <c r="A307" s="212">
        <v>225</v>
      </c>
      <c r="B307" s="212">
        <v>25</v>
      </c>
      <c r="C307" s="212" t="s">
        <v>194</v>
      </c>
      <c r="D307" s="230">
        <v>16</v>
      </c>
      <c r="E307" s="229" t="s">
        <v>773</v>
      </c>
      <c r="F307" s="229">
        <v>16</v>
      </c>
      <c r="G307" s="229"/>
      <c r="H307" s="228"/>
      <c r="I307" s="229" t="str">
        <f t="shared" si="151"/>
        <v>16+16</v>
      </c>
      <c r="J307" s="882">
        <v>17.2</v>
      </c>
      <c r="K307" s="889">
        <v>0</v>
      </c>
      <c r="L307" s="124">
        <v>0</v>
      </c>
      <c r="M307" s="172">
        <f t="shared" si="176"/>
        <v>17.2</v>
      </c>
      <c r="N307" s="172">
        <v>0</v>
      </c>
      <c r="O307" s="880"/>
      <c r="P307" s="880">
        <f t="shared" si="177"/>
        <v>16.8</v>
      </c>
      <c r="Q307" s="172">
        <f t="shared" si="178"/>
        <v>-0.39999999999999858</v>
      </c>
      <c r="R307" s="172">
        <f t="shared" si="173"/>
        <v>-0.39999999999999858</v>
      </c>
      <c r="S307" s="172" t="str">
        <f t="shared" si="164"/>
        <v>закрыт</v>
      </c>
      <c r="T307" s="2052" t="str">
        <f t="shared" si="152"/>
        <v>закрыт</v>
      </c>
      <c r="U307" s="757">
        <f t="shared" si="179"/>
        <v>102.38095238095238</v>
      </c>
      <c r="V307" s="2254">
        <v>0.4</v>
      </c>
      <c r="W307" s="2254" t="s">
        <v>15270</v>
      </c>
      <c r="X307" s="912"/>
      <c r="Y307" s="212">
        <v>225</v>
      </c>
      <c r="Z307" s="228">
        <v>25</v>
      </c>
      <c r="AA307" s="212" t="s">
        <v>194</v>
      </c>
      <c r="AB307" s="230">
        <f t="shared" si="153"/>
        <v>16</v>
      </c>
      <c r="AC307" s="229" t="str">
        <f t="shared" si="154"/>
        <v>+</v>
      </c>
      <c r="AD307" s="229">
        <f t="shared" si="155"/>
        <v>16</v>
      </c>
      <c r="AE307" s="229"/>
      <c r="AF307" s="228"/>
      <c r="AG307" s="212" t="str">
        <f t="shared" si="161"/>
        <v>16+16</v>
      </c>
      <c r="AH307" s="172">
        <f>'Зона ТвЭС'!L212</f>
        <v>0</v>
      </c>
      <c r="AI307" s="172">
        <f t="shared" si="175"/>
        <v>17.2</v>
      </c>
      <c r="AJ307" s="1973">
        <f t="shared" si="156"/>
        <v>0</v>
      </c>
      <c r="AK307" s="212">
        <f t="shared" si="157"/>
        <v>0</v>
      </c>
      <c r="AL307" s="172">
        <f t="shared" si="180"/>
        <v>17.2</v>
      </c>
      <c r="AM307" s="1973">
        <f t="shared" si="158"/>
        <v>0</v>
      </c>
      <c r="AN307" s="880">
        <f t="shared" si="181"/>
        <v>16.8</v>
      </c>
      <c r="AO307" s="172">
        <f t="shared" si="182"/>
        <v>-0.39999999999999858</v>
      </c>
      <c r="AP307" s="172">
        <f t="shared" si="184"/>
        <v>-0.39999999999999858</v>
      </c>
      <c r="AQ307" s="220" t="str">
        <f>AR307</f>
        <v>закрыт</v>
      </c>
      <c r="AR307" s="2052" t="str">
        <f t="shared" si="159"/>
        <v>закрыт</v>
      </c>
      <c r="AS307" s="935">
        <f t="shared" si="183"/>
        <v>102.38095238095238</v>
      </c>
      <c r="AT307" s="937" t="s">
        <v>97</v>
      </c>
      <c r="AU307" s="1095">
        <v>1954</v>
      </c>
      <c r="AV307" s="1101" t="s">
        <v>3218</v>
      </c>
      <c r="AW307" s="1103">
        <v>56.846172344953601</v>
      </c>
      <c r="AX307" s="1103">
        <v>35.883674610695302</v>
      </c>
    </row>
    <row r="308" spans="1:50" ht="15" customHeight="1" x14ac:dyDescent="0.25">
      <c r="A308" s="212">
        <v>226</v>
      </c>
      <c r="B308" s="212">
        <v>26</v>
      </c>
      <c r="C308" s="212" t="s">
        <v>195</v>
      </c>
      <c r="D308" s="230">
        <v>10</v>
      </c>
      <c r="E308" s="229" t="s">
        <v>773</v>
      </c>
      <c r="F308" s="229">
        <v>10</v>
      </c>
      <c r="G308" s="229"/>
      <c r="H308" s="228"/>
      <c r="I308" s="229" t="str">
        <f t="shared" si="151"/>
        <v>10+10</v>
      </c>
      <c r="J308" s="882">
        <v>5.44</v>
      </c>
      <c r="K308" s="889">
        <v>0</v>
      </c>
      <c r="L308" s="124">
        <v>0</v>
      </c>
      <c r="M308" s="172">
        <f t="shared" si="176"/>
        <v>5.44</v>
      </c>
      <c r="N308" s="172">
        <v>0</v>
      </c>
      <c r="O308" s="880"/>
      <c r="P308" s="880">
        <f t="shared" si="177"/>
        <v>10.5</v>
      </c>
      <c r="Q308" s="172">
        <f t="shared" si="178"/>
        <v>5.0599999999999996</v>
      </c>
      <c r="R308" s="172">
        <f t="shared" si="173"/>
        <v>5.0599999999999996</v>
      </c>
      <c r="S308" s="172" t="str">
        <f t="shared" si="164"/>
        <v>открыт</v>
      </c>
      <c r="T308" s="2052" t="str">
        <f t="shared" si="152"/>
        <v>открыт</v>
      </c>
      <c r="U308" s="757">
        <f t="shared" si="179"/>
        <v>51.80952380952381</v>
      </c>
      <c r="V308" s="2254"/>
      <c r="W308" s="2254" t="s">
        <v>3032</v>
      </c>
      <c r="X308" s="912"/>
      <c r="Y308" s="212">
        <v>226</v>
      </c>
      <c r="Z308" s="228">
        <v>26</v>
      </c>
      <c r="AA308" s="212" t="s">
        <v>195</v>
      </c>
      <c r="AB308" s="230">
        <f t="shared" si="153"/>
        <v>10</v>
      </c>
      <c r="AC308" s="229" t="str">
        <f t="shared" si="154"/>
        <v>+</v>
      </c>
      <c r="AD308" s="229">
        <f t="shared" si="155"/>
        <v>10</v>
      </c>
      <c r="AE308" s="229"/>
      <c r="AF308" s="228"/>
      <c r="AG308" s="212" t="str">
        <f t="shared" si="161"/>
        <v>10+10</v>
      </c>
      <c r="AH308" s="172">
        <f>'Зона ТвЭС'!L217</f>
        <v>0</v>
      </c>
      <c r="AI308" s="172">
        <f t="shared" si="175"/>
        <v>5.44</v>
      </c>
      <c r="AJ308" s="1973">
        <f t="shared" si="156"/>
        <v>0</v>
      </c>
      <c r="AK308" s="212">
        <f t="shared" si="157"/>
        <v>0</v>
      </c>
      <c r="AL308" s="172">
        <f t="shared" si="180"/>
        <v>5.44</v>
      </c>
      <c r="AM308" s="1973">
        <f t="shared" si="158"/>
        <v>0</v>
      </c>
      <c r="AN308" s="880">
        <f t="shared" si="181"/>
        <v>10.5</v>
      </c>
      <c r="AO308" s="172">
        <f t="shared" si="182"/>
        <v>5.0599999999999996</v>
      </c>
      <c r="AP308" s="172">
        <f t="shared" si="184"/>
        <v>5.0599999999999996</v>
      </c>
      <c r="AQ308" s="220" t="str">
        <f t="shared" si="163"/>
        <v>открыт</v>
      </c>
      <c r="AR308" s="2052" t="str">
        <f t="shared" si="159"/>
        <v>открыт</v>
      </c>
      <c r="AS308" s="935">
        <f t="shared" si="183"/>
        <v>51.80952380952381</v>
      </c>
      <c r="AT308" s="937" t="s">
        <v>97</v>
      </c>
      <c r="AU308" s="1095">
        <v>1966</v>
      </c>
      <c r="AV308" s="1101" t="s">
        <v>3218</v>
      </c>
      <c r="AW308" s="1103">
        <v>56.851808784363598</v>
      </c>
      <c r="AX308" s="1103">
        <v>35.871821031209599</v>
      </c>
    </row>
    <row r="309" spans="1:50" ht="15" customHeight="1" x14ac:dyDescent="0.25">
      <c r="A309" s="212">
        <v>227</v>
      </c>
      <c r="B309" s="212">
        <v>27</v>
      </c>
      <c r="C309" s="212" t="s">
        <v>196</v>
      </c>
      <c r="D309" s="230">
        <v>10</v>
      </c>
      <c r="E309" s="229" t="s">
        <v>773</v>
      </c>
      <c r="F309" s="229">
        <v>10</v>
      </c>
      <c r="G309" s="229"/>
      <c r="H309" s="228"/>
      <c r="I309" s="229" t="str">
        <f t="shared" si="151"/>
        <v>10+10</v>
      </c>
      <c r="J309" s="882">
        <v>5.98</v>
      </c>
      <c r="K309" s="889">
        <v>0</v>
      </c>
      <c r="L309" s="124">
        <v>0</v>
      </c>
      <c r="M309" s="172">
        <f t="shared" si="176"/>
        <v>5.98</v>
      </c>
      <c r="N309" s="172">
        <v>0</v>
      </c>
      <c r="O309" s="880"/>
      <c r="P309" s="880">
        <f t="shared" si="177"/>
        <v>10.5</v>
      </c>
      <c r="Q309" s="172">
        <f t="shared" si="178"/>
        <v>4.5199999999999996</v>
      </c>
      <c r="R309" s="172">
        <f t="shared" si="173"/>
        <v>4.5199999999999996</v>
      </c>
      <c r="S309" s="172" t="str">
        <f t="shared" si="164"/>
        <v>открыт</v>
      </c>
      <c r="T309" s="2052" t="str">
        <f t="shared" si="152"/>
        <v>открыт</v>
      </c>
      <c r="U309" s="757">
        <f t="shared" si="179"/>
        <v>56.952380952380949</v>
      </c>
      <c r="V309" s="2254"/>
      <c r="W309" s="2254" t="s">
        <v>3032</v>
      </c>
      <c r="X309" s="912"/>
      <c r="Y309" s="212">
        <v>227</v>
      </c>
      <c r="Z309" s="228">
        <v>27</v>
      </c>
      <c r="AA309" s="212" t="s">
        <v>196</v>
      </c>
      <c r="AB309" s="230">
        <f t="shared" si="153"/>
        <v>10</v>
      </c>
      <c r="AC309" s="229" t="str">
        <f t="shared" si="154"/>
        <v>+</v>
      </c>
      <c r="AD309" s="229">
        <f t="shared" si="155"/>
        <v>10</v>
      </c>
      <c r="AE309" s="229"/>
      <c r="AF309" s="228"/>
      <c r="AG309" s="212" t="str">
        <f t="shared" si="161"/>
        <v>10+10</v>
      </c>
      <c r="AH309" s="172">
        <f>'Зона ТвЭС'!L242</f>
        <v>2.3351086956521736</v>
      </c>
      <c r="AI309" s="172">
        <f t="shared" si="175"/>
        <v>8.3151086956521745</v>
      </c>
      <c r="AJ309" s="1973">
        <f t="shared" si="156"/>
        <v>0</v>
      </c>
      <c r="AK309" s="212">
        <f t="shared" si="157"/>
        <v>0</v>
      </c>
      <c r="AL309" s="172">
        <f t="shared" si="180"/>
        <v>8.3151086956521745</v>
      </c>
      <c r="AM309" s="1973">
        <f t="shared" si="158"/>
        <v>0</v>
      </c>
      <c r="AN309" s="880">
        <f t="shared" si="181"/>
        <v>10.5</v>
      </c>
      <c r="AO309" s="172">
        <f t="shared" si="182"/>
        <v>2.1848913043478255</v>
      </c>
      <c r="AP309" s="172">
        <f t="shared" si="184"/>
        <v>2.1848913043478255</v>
      </c>
      <c r="AQ309" s="220" t="str">
        <f t="shared" si="163"/>
        <v>открыт</v>
      </c>
      <c r="AR309" s="2052" t="str">
        <f t="shared" si="159"/>
        <v>открыт</v>
      </c>
      <c r="AS309" s="935">
        <f t="shared" si="183"/>
        <v>79.191511387163573</v>
      </c>
      <c r="AT309" s="937" t="s">
        <v>97</v>
      </c>
      <c r="AU309" s="1095">
        <v>1966</v>
      </c>
      <c r="AV309" s="1101" t="s">
        <v>3218</v>
      </c>
      <c r="AW309" s="1103">
        <v>56.895222670848298</v>
      </c>
      <c r="AX309" s="1103">
        <v>35.8232762968806</v>
      </c>
    </row>
    <row r="310" spans="1:50" ht="15" customHeight="1" x14ac:dyDescent="0.25">
      <c r="A310" s="212">
        <v>228</v>
      </c>
      <c r="B310" s="212">
        <v>28</v>
      </c>
      <c r="C310" s="212" t="s">
        <v>197</v>
      </c>
      <c r="D310" s="230">
        <v>16</v>
      </c>
      <c r="E310" s="229" t="s">
        <v>773</v>
      </c>
      <c r="F310" s="229">
        <v>16</v>
      </c>
      <c r="G310" s="229"/>
      <c r="H310" s="228"/>
      <c r="I310" s="229" t="str">
        <f t="shared" si="151"/>
        <v>16+16</v>
      </c>
      <c r="J310" s="882">
        <v>13.5</v>
      </c>
      <c r="K310" s="889">
        <v>0</v>
      </c>
      <c r="L310" s="124">
        <v>0</v>
      </c>
      <c r="M310" s="172">
        <f t="shared" si="176"/>
        <v>13.5</v>
      </c>
      <c r="N310" s="172">
        <v>0</v>
      </c>
      <c r="O310" s="880"/>
      <c r="P310" s="880">
        <f t="shared" si="177"/>
        <v>16.8</v>
      </c>
      <c r="Q310" s="172">
        <f t="shared" si="178"/>
        <v>3.3000000000000007</v>
      </c>
      <c r="R310" s="172">
        <f t="shared" si="173"/>
        <v>3.3000000000000007</v>
      </c>
      <c r="S310" s="172" t="str">
        <f t="shared" si="164"/>
        <v>открыт</v>
      </c>
      <c r="T310" s="2052" t="str">
        <f t="shared" si="152"/>
        <v>открыт</v>
      </c>
      <c r="U310" s="757">
        <f t="shared" si="179"/>
        <v>80.357142857142847</v>
      </c>
      <c r="V310" s="2254"/>
      <c r="W310" s="2254" t="s">
        <v>3032</v>
      </c>
      <c r="X310" s="912"/>
      <c r="Y310" s="212">
        <v>228</v>
      </c>
      <c r="Z310" s="228">
        <v>28</v>
      </c>
      <c r="AA310" s="212" t="s">
        <v>197</v>
      </c>
      <c r="AB310" s="230">
        <f t="shared" si="153"/>
        <v>16</v>
      </c>
      <c r="AC310" s="229" t="str">
        <f t="shared" si="154"/>
        <v>+</v>
      </c>
      <c r="AD310" s="229">
        <f t="shared" si="155"/>
        <v>16</v>
      </c>
      <c r="AE310" s="229"/>
      <c r="AF310" s="228"/>
      <c r="AG310" s="212" t="str">
        <f t="shared" si="161"/>
        <v>16+16</v>
      </c>
      <c r="AH310" s="172">
        <f>'Зона ТвЭС'!L254</f>
        <v>0.63586956521739124</v>
      </c>
      <c r="AI310" s="172">
        <f t="shared" si="175"/>
        <v>14.135869565217391</v>
      </c>
      <c r="AJ310" s="1973">
        <f t="shared" si="156"/>
        <v>0</v>
      </c>
      <c r="AK310" s="212">
        <f t="shared" si="157"/>
        <v>0</v>
      </c>
      <c r="AL310" s="172">
        <f t="shared" si="180"/>
        <v>14.135869565217391</v>
      </c>
      <c r="AM310" s="1973">
        <f t="shared" si="158"/>
        <v>0</v>
      </c>
      <c r="AN310" s="880">
        <f t="shared" si="181"/>
        <v>16.8</v>
      </c>
      <c r="AO310" s="172">
        <f t="shared" si="182"/>
        <v>2.66413043478261</v>
      </c>
      <c r="AP310" s="172">
        <f t="shared" si="184"/>
        <v>2.66413043478261</v>
      </c>
      <c r="AQ310" s="220" t="str">
        <f t="shared" si="163"/>
        <v>открыт</v>
      </c>
      <c r="AR310" s="2052" t="str">
        <f t="shared" si="159"/>
        <v>открыт</v>
      </c>
      <c r="AS310" s="935">
        <f t="shared" si="183"/>
        <v>84.142080745341602</v>
      </c>
      <c r="AT310" s="937" t="s">
        <v>97</v>
      </c>
      <c r="AU310" s="1095">
        <v>1974</v>
      </c>
      <c r="AV310" s="1101" t="s">
        <v>3218</v>
      </c>
      <c r="AW310" s="1103">
        <v>56.888644078821699</v>
      </c>
      <c r="AX310" s="1103">
        <v>35.898403986443597</v>
      </c>
    </row>
    <row r="311" spans="1:50" ht="15" customHeight="1" x14ac:dyDescent="0.25">
      <c r="A311" s="212">
        <v>229</v>
      </c>
      <c r="B311" s="212">
        <v>29</v>
      </c>
      <c r="C311" s="212" t="s">
        <v>198</v>
      </c>
      <c r="D311" s="230">
        <v>7.5</v>
      </c>
      <c r="E311" s="229" t="s">
        <v>773</v>
      </c>
      <c r="F311" s="229">
        <v>10</v>
      </c>
      <c r="G311" s="229"/>
      <c r="H311" s="228"/>
      <c r="I311" s="229" t="str">
        <f t="shared" si="151"/>
        <v>7,5+10</v>
      </c>
      <c r="J311" s="882">
        <v>5.98</v>
      </c>
      <c r="K311" s="889">
        <v>0</v>
      </c>
      <c r="L311" s="124">
        <v>0</v>
      </c>
      <c r="M311" s="172">
        <f t="shared" si="176"/>
        <v>5.98</v>
      </c>
      <c r="N311" s="172">
        <v>0</v>
      </c>
      <c r="O311" s="880"/>
      <c r="P311" s="880">
        <f t="shared" si="177"/>
        <v>7.875</v>
      </c>
      <c r="Q311" s="172">
        <f t="shared" si="178"/>
        <v>1.8949999999999996</v>
      </c>
      <c r="R311" s="172">
        <f t="shared" si="173"/>
        <v>1.8949999999999996</v>
      </c>
      <c r="S311" s="172" t="str">
        <f t="shared" si="164"/>
        <v>открыт</v>
      </c>
      <c r="T311" s="2052" t="str">
        <f t="shared" si="152"/>
        <v>открыт</v>
      </c>
      <c r="U311" s="757">
        <f t="shared" si="179"/>
        <v>75.936507936507937</v>
      </c>
      <c r="V311" s="2254">
        <v>0.4</v>
      </c>
      <c r="W311" s="2254" t="s">
        <v>15270</v>
      </c>
      <c r="X311" s="912"/>
      <c r="Y311" s="212">
        <v>229</v>
      </c>
      <c r="Z311" s="228">
        <v>29</v>
      </c>
      <c r="AA311" s="212" t="s">
        <v>198</v>
      </c>
      <c r="AB311" s="230">
        <f t="shared" si="153"/>
        <v>7.5</v>
      </c>
      <c r="AC311" s="229" t="str">
        <f t="shared" si="154"/>
        <v>+</v>
      </c>
      <c r="AD311" s="229">
        <f t="shared" si="155"/>
        <v>10</v>
      </c>
      <c r="AE311" s="229"/>
      <c r="AF311" s="228"/>
      <c r="AG311" s="212" t="str">
        <f t="shared" si="161"/>
        <v>7,5+10</v>
      </c>
      <c r="AH311" s="172">
        <f>'Зона ТвЭС'!L258</f>
        <v>7.3369565217391311E-2</v>
      </c>
      <c r="AI311" s="172">
        <f t="shared" si="175"/>
        <v>6.053369565217392</v>
      </c>
      <c r="AJ311" s="1973">
        <f t="shared" si="156"/>
        <v>0</v>
      </c>
      <c r="AK311" s="212">
        <f t="shared" si="157"/>
        <v>0</v>
      </c>
      <c r="AL311" s="172">
        <f t="shared" si="180"/>
        <v>6.053369565217392</v>
      </c>
      <c r="AM311" s="1973">
        <f t="shared" si="158"/>
        <v>0</v>
      </c>
      <c r="AN311" s="880">
        <f t="shared" si="181"/>
        <v>7.875</v>
      </c>
      <c r="AO311" s="172">
        <f t="shared" si="182"/>
        <v>1.821630434782608</v>
      </c>
      <c r="AP311" s="172">
        <f t="shared" si="184"/>
        <v>1.821630434782608</v>
      </c>
      <c r="AQ311" s="220" t="str">
        <f t="shared" si="163"/>
        <v>открыт</v>
      </c>
      <c r="AR311" s="2052" t="str">
        <f t="shared" si="159"/>
        <v>открыт</v>
      </c>
      <c r="AS311" s="935">
        <f t="shared" si="183"/>
        <v>76.868184955141487</v>
      </c>
      <c r="AT311" s="937" t="s">
        <v>97</v>
      </c>
      <c r="AU311" s="1095">
        <v>1956</v>
      </c>
      <c r="AV311" s="1101" t="s">
        <v>3218</v>
      </c>
      <c r="AW311" s="1103">
        <v>56.862014870576601</v>
      </c>
      <c r="AX311" s="1103">
        <v>35.8548721485312</v>
      </c>
    </row>
    <row r="312" spans="1:50" ht="15" customHeight="1" x14ac:dyDescent="0.25">
      <c r="A312" s="212">
        <v>230</v>
      </c>
      <c r="B312" s="212">
        <v>30</v>
      </c>
      <c r="C312" s="212" t="s">
        <v>199</v>
      </c>
      <c r="D312" s="230">
        <v>10</v>
      </c>
      <c r="E312" s="229" t="s">
        <v>773</v>
      </c>
      <c r="F312" s="229">
        <v>10</v>
      </c>
      <c r="G312" s="229"/>
      <c r="H312" s="228"/>
      <c r="I312" s="229" t="str">
        <f t="shared" si="151"/>
        <v>10+10</v>
      </c>
      <c r="J312" s="882">
        <v>9.91</v>
      </c>
      <c r="K312" s="889">
        <v>0</v>
      </c>
      <c r="L312" s="124">
        <v>0</v>
      </c>
      <c r="M312" s="172">
        <f t="shared" si="176"/>
        <v>9.91</v>
      </c>
      <c r="N312" s="172">
        <v>0</v>
      </c>
      <c r="O312" s="880"/>
      <c r="P312" s="880">
        <f t="shared" si="177"/>
        <v>10.5</v>
      </c>
      <c r="Q312" s="172">
        <f t="shared" si="178"/>
        <v>0.58999999999999986</v>
      </c>
      <c r="R312" s="172">
        <f t="shared" si="173"/>
        <v>0.58999999999999986</v>
      </c>
      <c r="S312" s="172" t="str">
        <f t="shared" si="164"/>
        <v>открыт</v>
      </c>
      <c r="T312" s="2052" t="str">
        <f t="shared" si="152"/>
        <v>открыт</v>
      </c>
      <c r="U312" s="757">
        <f t="shared" si="179"/>
        <v>94.38095238095238</v>
      </c>
      <c r="V312" s="2254">
        <v>0.7</v>
      </c>
      <c r="W312" s="2254" t="s">
        <v>3033</v>
      </c>
      <c r="X312" s="912"/>
      <c r="Y312" s="212">
        <v>230</v>
      </c>
      <c r="Z312" s="228">
        <v>30</v>
      </c>
      <c r="AA312" s="212" t="s">
        <v>199</v>
      </c>
      <c r="AB312" s="230">
        <f t="shared" si="153"/>
        <v>10</v>
      </c>
      <c r="AC312" s="229" t="str">
        <f t="shared" si="154"/>
        <v>+</v>
      </c>
      <c r="AD312" s="229">
        <f t="shared" si="155"/>
        <v>10</v>
      </c>
      <c r="AE312" s="229"/>
      <c r="AF312" s="228"/>
      <c r="AG312" s="212" t="str">
        <f t="shared" si="161"/>
        <v>10+10</v>
      </c>
      <c r="AH312" s="172">
        <f>'Зона ТвЭС'!L274</f>
        <v>0.21032608695652177</v>
      </c>
      <c r="AI312" s="172">
        <f t="shared" si="175"/>
        <v>10.120326086956522</v>
      </c>
      <c r="AJ312" s="1973">
        <f t="shared" si="156"/>
        <v>0</v>
      </c>
      <c r="AK312" s="212">
        <f t="shared" si="157"/>
        <v>0</v>
      </c>
      <c r="AL312" s="172">
        <f t="shared" si="180"/>
        <v>10.120326086956522</v>
      </c>
      <c r="AM312" s="1973">
        <f t="shared" si="158"/>
        <v>0</v>
      </c>
      <c r="AN312" s="880">
        <f t="shared" si="181"/>
        <v>10.5</v>
      </c>
      <c r="AO312" s="172">
        <f t="shared" si="182"/>
        <v>0.37967391304347764</v>
      </c>
      <c r="AP312" s="172">
        <f t="shared" si="184"/>
        <v>0.37967391304347764</v>
      </c>
      <c r="AQ312" s="220" t="str">
        <f t="shared" si="163"/>
        <v>открыт</v>
      </c>
      <c r="AR312" s="2052" t="str">
        <f t="shared" si="159"/>
        <v>открыт</v>
      </c>
      <c r="AS312" s="935">
        <f t="shared" si="183"/>
        <v>96.384057971014499</v>
      </c>
      <c r="AT312" s="937" t="s">
        <v>97</v>
      </c>
      <c r="AU312" s="1095">
        <v>1986</v>
      </c>
      <c r="AV312" s="1101" t="s">
        <v>3218</v>
      </c>
      <c r="AW312" s="1103">
        <v>56.845537273625297</v>
      </c>
      <c r="AX312" s="1103">
        <v>35.908624623833397</v>
      </c>
    </row>
    <row r="313" spans="1:50" ht="15" customHeight="1" x14ac:dyDescent="0.25">
      <c r="A313" s="2103">
        <v>231</v>
      </c>
      <c r="B313" s="2103">
        <v>31</v>
      </c>
      <c r="C313" s="2103" t="s">
        <v>19948</v>
      </c>
      <c r="D313" s="230">
        <v>25</v>
      </c>
      <c r="E313" s="2105" t="s">
        <v>773</v>
      </c>
      <c r="F313" s="2105">
        <v>25</v>
      </c>
      <c r="G313" s="2105"/>
      <c r="H313" s="2102"/>
      <c r="I313" s="2105" t="str">
        <f t="shared" si="151"/>
        <v>25+25</v>
      </c>
      <c r="J313" s="882">
        <v>0.39</v>
      </c>
      <c r="K313" s="889">
        <v>0</v>
      </c>
      <c r="L313" s="124">
        <v>0</v>
      </c>
      <c r="M313" s="2104">
        <f>J313-K313</f>
        <v>0.39</v>
      </c>
      <c r="N313" s="2104">
        <v>0</v>
      </c>
      <c r="O313" s="880"/>
      <c r="P313" s="880">
        <f t="shared" si="177"/>
        <v>26.25</v>
      </c>
      <c r="Q313" s="2104">
        <f t="shared" si="178"/>
        <v>25.86</v>
      </c>
      <c r="R313" s="2104">
        <f t="shared" si="173"/>
        <v>25.86</v>
      </c>
      <c r="S313" s="2104" t="str">
        <f t="shared" si="164"/>
        <v>открыт</v>
      </c>
      <c r="T313" s="2101" t="str">
        <f t="shared" si="152"/>
        <v>открыт</v>
      </c>
      <c r="U313" s="2100">
        <f t="shared" si="179"/>
        <v>1.4857142857142858</v>
      </c>
      <c r="V313" s="2254">
        <v>0</v>
      </c>
      <c r="W313" s="2254" t="s">
        <v>3033</v>
      </c>
      <c r="X313" s="912"/>
      <c r="Y313" s="2103">
        <v>231</v>
      </c>
      <c r="Z313" s="2102">
        <v>31</v>
      </c>
      <c r="AA313" s="2103" t="str">
        <f>C313</f>
        <v>ПС 110/10 кВ Лебедево</v>
      </c>
      <c r="AB313" s="230">
        <f t="shared" si="153"/>
        <v>25</v>
      </c>
      <c r="AC313" s="2105"/>
      <c r="AD313" s="2105">
        <f t="shared" si="155"/>
        <v>25</v>
      </c>
      <c r="AE313" s="2105"/>
      <c r="AF313" s="2102"/>
      <c r="AG313" s="2103"/>
      <c r="AH313" s="2104">
        <f>'Зона ТвЭС'!L284</f>
        <v>10.054347826086955</v>
      </c>
      <c r="AI313" s="2104">
        <f>AH313+J313</f>
        <v>10.444347826086956</v>
      </c>
      <c r="AJ313" s="2104">
        <f>K313</f>
        <v>0</v>
      </c>
      <c r="AK313" s="2103">
        <f>L313</f>
        <v>0</v>
      </c>
      <c r="AL313" s="2104">
        <f>AI313-AJ313</f>
        <v>10.444347826086956</v>
      </c>
      <c r="AM313" s="2104">
        <f>N313</f>
        <v>0</v>
      </c>
      <c r="AN313" s="880">
        <f>MIN(AB313:AF313)*1.05</f>
        <v>26.25</v>
      </c>
      <c r="AO313" s="2104">
        <f t="shared" ref="AO313" si="185">AN313-AL313-AM313</f>
        <v>15.805652173913044</v>
      </c>
      <c r="AP313" s="2104">
        <f t="shared" ref="AP313" si="186">AO313</f>
        <v>15.805652173913044</v>
      </c>
      <c r="AQ313" s="2106" t="str">
        <f>AR313</f>
        <v>открыт</v>
      </c>
      <c r="AR313" s="2101" t="str">
        <f t="shared" ref="AR313" si="187">IF(AND(AD313&lt;&gt;0,AP313&lt;0),"закрыт",IF(AND(AD313=0,AP313&lt;0),"закрыт","открыт"))</f>
        <v>открыт</v>
      </c>
      <c r="AS313" s="935">
        <f t="shared" ref="AS313" si="188">(AI313*100)/AN313</f>
        <v>39.787991718426497</v>
      </c>
      <c r="AT313" s="937" t="s">
        <v>97</v>
      </c>
      <c r="AU313" s="1095">
        <v>2014</v>
      </c>
      <c r="AV313" s="2107" t="s">
        <v>3218</v>
      </c>
      <c r="AW313" s="1103">
        <v>56.784230999999998</v>
      </c>
      <c r="AX313" s="1103">
        <v>35.865099000000001</v>
      </c>
    </row>
    <row r="314" spans="1:50" ht="15" customHeight="1" x14ac:dyDescent="0.25">
      <c r="A314" s="2103">
        <v>232</v>
      </c>
      <c r="B314" s="2103">
        <v>32</v>
      </c>
      <c r="C314" s="212" t="s">
        <v>200</v>
      </c>
      <c r="D314" s="230">
        <v>6.3</v>
      </c>
      <c r="E314" s="229" t="s">
        <v>773</v>
      </c>
      <c r="F314" s="229">
        <v>6.3</v>
      </c>
      <c r="G314" s="229"/>
      <c r="H314" s="228"/>
      <c r="I314" s="229" t="str">
        <f t="shared" si="151"/>
        <v>6,3+6,3</v>
      </c>
      <c r="J314" s="882">
        <v>3.71</v>
      </c>
      <c r="K314" s="889">
        <v>0</v>
      </c>
      <c r="L314" s="124">
        <v>0</v>
      </c>
      <c r="M314" s="172">
        <f t="shared" si="176"/>
        <v>3.71</v>
      </c>
      <c r="N314" s="172">
        <v>0</v>
      </c>
      <c r="O314" s="880"/>
      <c r="P314" s="880">
        <f t="shared" si="177"/>
        <v>6.6150000000000002</v>
      </c>
      <c r="Q314" s="172">
        <f t="shared" si="178"/>
        <v>2.9050000000000002</v>
      </c>
      <c r="R314" s="172">
        <f t="shared" si="173"/>
        <v>2.9050000000000002</v>
      </c>
      <c r="S314" s="172" t="str">
        <f t="shared" si="164"/>
        <v>открыт</v>
      </c>
      <c r="T314" s="2052" t="str">
        <f t="shared" si="152"/>
        <v>открыт</v>
      </c>
      <c r="U314" s="757">
        <f t="shared" si="179"/>
        <v>56.084656084656082</v>
      </c>
      <c r="V314" s="2254">
        <v>0.2</v>
      </c>
      <c r="W314" s="2254" t="s">
        <v>3033</v>
      </c>
      <c r="X314" s="912"/>
      <c r="Y314" s="2103">
        <v>232</v>
      </c>
      <c r="Z314" s="2102">
        <v>32</v>
      </c>
      <c r="AA314" s="212" t="s">
        <v>200</v>
      </c>
      <c r="AB314" s="230">
        <f t="shared" si="153"/>
        <v>6.3</v>
      </c>
      <c r="AC314" s="229" t="str">
        <f t="shared" si="154"/>
        <v>+</v>
      </c>
      <c r="AD314" s="229">
        <f t="shared" si="155"/>
        <v>6.3</v>
      </c>
      <c r="AE314" s="229"/>
      <c r="AF314" s="228"/>
      <c r="AG314" s="212" t="str">
        <f t="shared" si="161"/>
        <v>6,3+6,3</v>
      </c>
      <c r="AH314" s="172">
        <f>'Зона ТвЭС'!L346</f>
        <v>6.3527119565217403</v>
      </c>
      <c r="AI314" s="172">
        <f>AH314+J314</f>
        <v>10.06271195652174</v>
      </c>
      <c r="AJ314" s="1973">
        <f t="shared" si="156"/>
        <v>0</v>
      </c>
      <c r="AK314" s="212">
        <f t="shared" si="157"/>
        <v>0</v>
      </c>
      <c r="AL314" s="172">
        <f t="shared" si="180"/>
        <v>10.06271195652174</v>
      </c>
      <c r="AM314" s="1973">
        <f t="shared" si="158"/>
        <v>0</v>
      </c>
      <c r="AN314" s="880">
        <f t="shared" si="181"/>
        <v>6.6150000000000002</v>
      </c>
      <c r="AO314" s="172">
        <f t="shared" si="182"/>
        <v>-3.44771195652174</v>
      </c>
      <c r="AP314" s="172">
        <f t="shared" si="184"/>
        <v>-3.44771195652174</v>
      </c>
      <c r="AQ314" s="220" t="str">
        <f>AR314</f>
        <v>закрыт</v>
      </c>
      <c r="AR314" s="2052" t="str">
        <f t="shared" si="159"/>
        <v>закрыт</v>
      </c>
      <c r="AS314" s="935">
        <f t="shared" si="183"/>
        <v>152.11960629662494</v>
      </c>
      <c r="AT314" s="937" t="s">
        <v>97</v>
      </c>
      <c r="AU314" s="1095">
        <v>1994</v>
      </c>
      <c r="AV314" s="1101" t="s">
        <v>3218</v>
      </c>
      <c r="AW314" s="1103">
        <v>56.834636330887697</v>
      </c>
      <c r="AX314" s="1103">
        <v>35.835950487538099</v>
      </c>
    </row>
    <row r="315" spans="1:50" ht="15" customHeight="1" x14ac:dyDescent="0.25">
      <c r="A315" s="2103">
        <v>233</v>
      </c>
      <c r="B315" s="2103">
        <v>33</v>
      </c>
      <c r="C315" s="212" t="s">
        <v>201</v>
      </c>
      <c r="D315" s="230">
        <v>6.3</v>
      </c>
      <c r="E315" s="229" t="s">
        <v>773</v>
      </c>
      <c r="F315" s="229">
        <v>6.3</v>
      </c>
      <c r="G315" s="229"/>
      <c r="H315" s="228"/>
      <c r="I315" s="229" t="str">
        <f t="shared" si="151"/>
        <v>6,3+6,3</v>
      </c>
      <c r="J315" s="882">
        <v>3.76</v>
      </c>
      <c r="K315" s="889">
        <v>0</v>
      </c>
      <c r="L315" s="124">
        <v>0</v>
      </c>
      <c r="M315" s="172">
        <f t="shared" si="176"/>
        <v>3.76</v>
      </c>
      <c r="N315" s="172">
        <v>0</v>
      </c>
      <c r="O315" s="880"/>
      <c r="P315" s="880">
        <f t="shared" si="177"/>
        <v>6.6150000000000002</v>
      </c>
      <c r="Q315" s="172">
        <f t="shared" si="178"/>
        <v>2.8550000000000004</v>
      </c>
      <c r="R315" s="172">
        <f t="shared" si="173"/>
        <v>2.8550000000000004</v>
      </c>
      <c r="S315" s="172" t="str">
        <f t="shared" si="164"/>
        <v>открыт</v>
      </c>
      <c r="T315" s="2052" t="str">
        <f t="shared" si="152"/>
        <v>открыт</v>
      </c>
      <c r="U315" s="757">
        <f t="shared" si="179"/>
        <v>56.840513983371125</v>
      </c>
      <c r="V315" s="2254"/>
      <c r="W315" s="2254" t="s">
        <v>3032</v>
      </c>
      <c r="X315" s="912"/>
      <c r="Y315" s="2103">
        <v>233</v>
      </c>
      <c r="Z315" s="2102">
        <v>33</v>
      </c>
      <c r="AA315" s="212" t="s">
        <v>201</v>
      </c>
      <c r="AB315" s="230">
        <f t="shared" si="153"/>
        <v>6.3</v>
      </c>
      <c r="AC315" s="229" t="str">
        <f t="shared" si="154"/>
        <v>+</v>
      </c>
      <c r="AD315" s="229">
        <f t="shared" si="155"/>
        <v>6.3</v>
      </c>
      <c r="AE315" s="229"/>
      <c r="AF315" s="228"/>
      <c r="AG315" s="212" t="str">
        <f t="shared" si="161"/>
        <v>6,3+6,3</v>
      </c>
      <c r="AH315" s="172">
        <f>'Зона ТвЭС'!L361</f>
        <v>1.2084782608695652</v>
      </c>
      <c r="AI315" s="172">
        <f t="shared" si="175"/>
        <v>4.9684782608695652</v>
      </c>
      <c r="AJ315" s="1973">
        <f t="shared" si="156"/>
        <v>0</v>
      </c>
      <c r="AK315" s="212">
        <f t="shared" si="157"/>
        <v>0</v>
      </c>
      <c r="AL315" s="172">
        <f t="shared" si="180"/>
        <v>4.9684782608695652</v>
      </c>
      <c r="AM315" s="1973">
        <f t="shared" si="158"/>
        <v>0</v>
      </c>
      <c r="AN315" s="880">
        <f t="shared" si="181"/>
        <v>6.6150000000000002</v>
      </c>
      <c r="AO315" s="172">
        <f t="shared" si="182"/>
        <v>1.646521739130435</v>
      </c>
      <c r="AP315" s="172">
        <f t="shared" si="184"/>
        <v>1.646521739130435</v>
      </c>
      <c r="AQ315" s="220" t="str">
        <f t="shared" si="163"/>
        <v>открыт</v>
      </c>
      <c r="AR315" s="2052" t="str">
        <f t="shared" si="159"/>
        <v>открыт</v>
      </c>
      <c r="AS315" s="935">
        <f t="shared" si="183"/>
        <v>75.109270761444662</v>
      </c>
      <c r="AT315" s="937" t="s">
        <v>97</v>
      </c>
      <c r="AU315" s="1095">
        <v>1984</v>
      </c>
      <c r="AV315" s="1101" t="s">
        <v>3218</v>
      </c>
      <c r="AW315" s="1103">
        <v>56.897833852421002</v>
      </c>
      <c r="AX315" s="1103">
        <v>35.936355035922602</v>
      </c>
    </row>
    <row r="316" spans="1:50" ht="15" customHeight="1" x14ac:dyDescent="0.25">
      <c r="A316" s="2103">
        <v>234</v>
      </c>
      <c r="B316" s="2103">
        <v>34</v>
      </c>
      <c r="C316" s="212" t="s">
        <v>202</v>
      </c>
      <c r="D316" s="230">
        <v>16</v>
      </c>
      <c r="E316" s="229" t="s">
        <v>773</v>
      </c>
      <c r="F316" s="229">
        <v>16</v>
      </c>
      <c r="G316" s="229"/>
      <c r="H316" s="228"/>
      <c r="I316" s="229" t="str">
        <f t="shared" si="151"/>
        <v>16+16</v>
      </c>
      <c r="J316" s="882">
        <v>7.35</v>
      </c>
      <c r="K316" s="889">
        <v>0</v>
      </c>
      <c r="L316" s="124">
        <v>0</v>
      </c>
      <c r="M316" s="172">
        <f t="shared" si="176"/>
        <v>7.35</v>
      </c>
      <c r="N316" s="172">
        <v>0</v>
      </c>
      <c r="O316" s="880"/>
      <c r="P316" s="880">
        <f t="shared" si="177"/>
        <v>16.8</v>
      </c>
      <c r="Q316" s="172">
        <f t="shared" si="178"/>
        <v>9.4500000000000011</v>
      </c>
      <c r="R316" s="172">
        <f t="shared" si="173"/>
        <v>9.4500000000000011</v>
      </c>
      <c r="S316" s="172" t="str">
        <f t="shared" si="164"/>
        <v>открыт</v>
      </c>
      <c r="T316" s="2052" t="str">
        <f t="shared" si="152"/>
        <v>открыт</v>
      </c>
      <c r="U316" s="757">
        <f t="shared" si="179"/>
        <v>43.75</v>
      </c>
      <c r="V316" s="2254"/>
      <c r="W316" s="2254" t="s">
        <v>3032</v>
      </c>
      <c r="X316" s="912"/>
      <c r="Y316" s="2103">
        <v>234</v>
      </c>
      <c r="Z316" s="2102">
        <v>34</v>
      </c>
      <c r="AA316" s="212" t="s">
        <v>202</v>
      </c>
      <c r="AB316" s="230">
        <f t="shared" si="153"/>
        <v>16</v>
      </c>
      <c r="AC316" s="229" t="str">
        <f t="shared" si="154"/>
        <v>+</v>
      </c>
      <c r="AD316" s="229">
        <f t="shared" si="155"/>
        <v>16</v>
      </c>
      <c r="AE316" s="229"/>
      <c r="AF316" s="228"/>
      <c r="AG316" s="212" t="str">
        <f t="shared" si="161"/>
        <v>16+16</v>
      </c>
      <c r="AH316" s="172">
        <f>'Зона ТвЭС'!L373</f>
        <v>6.0319565217391302</v>
      </c>
      <c r="AI316" s="172">
        <f t="shared" si="175"/>
        <v>13.381956521739131</v>
      </c>
      <c r="AJ316" s="1973">
        <f t="shared" si="156"/>
        <v>0</v>
      </c>
      <c r="AK316" s="212">
        <f t="shared" si="157"/>
        <v>0</v>
      </c>
      <c r="AL316" s="172">
        <f t="shared" si="180"/>
        <v>13.381956521739131</v>
      </c>
      <c r="AM316" s="1973">
        <f t="shared" si="158"/>
        <v>0</v>
      </c>
      <c r="AN316" s="880">
        <f t="shared" si="181"/>
        <v>16.8</v>
      </c>
      <c r="AO316" s="172">
        <f t="shared" si="182"/>
        <v>3.41804347826087</v>
      </c>
      <c r="AP316" s="172">
        <f t="shared" si="184"/>
        <v>3.41804347826087</v>
      </c>
      <c r="AQ316" s="220" t="str">
        <f t="shared" si="163"/>
        <v>открыт</v>
      </c>
      <c r="AR316" s="2052" t="str">
        <f t="shared" si="159"/>
        <v>открыт</v>
      </c>
      <c r="AS316" s="935">
        <f t="shared" si="183"/>
        <v>79.654503105590052</v>
      </c>
      <c r="AT316" s="937" t="s">
        <v>97</v>
      </c>
      <c r="AU316" s="1095">
        <v>1978</v>
      </c>
      <c r="AV316" s="1101" t="s">
        <v>3218</v>
      </c>
      <c r="AW316" s="1103">
        <v>56.857060398247299</v>
      </c>
      <c r="AX316" s="1103">
        <v>35.856128545548501</v>
      </c>
    </row>
    <row r="317" spans="1:50" ht="15" customHeight="1" x14ac:dyDescent="0.25">
      <c r="A317" s="2103">
        <v>235</v>
      </c>
      <c r="B317" s="2103">
        <v>35</v>
      </c>
      <c r="C317" s="212" t="s">
        <v>203</v>
      </c>
      <c r="D317" s="230">
        <v>6.3</v>
      </c>
      <c r="E317" s="229" t="s">
        <v>773</v>
      </c>
      <c r="F317" s="229">
        <v>6.3</v>
      </c>
      <c r="G317" s="229"/>
      <c r="H317" s="228"/>
      <c r="I317" s="229" t="str">
        <f t="shared" si="151"/>
        <v>6,3+6,3</v>
      </c>
      <c r="J317" s="882">
        <v>4.5999999999999996</v>
      </c>
      <c r="K317" s="889">
        <v>0</v>
      </c>
      <c r="L317" s="124">
        <v>0</v>
      </c>
      <c r="M317" s="172">
        <f t="shared" si="176"/>
        <v>4.5999999999999996</v>
      </c>
      <c r="N317" s="172">
        <v>0</v>
      </c>
      <c r="O317" s="880"/>
      <c r="P317" s="880">
        <f t="shared" si="177"/>
        <v>6.6150000000000002</v>
      </c>
      <c r="Q317" s="172">
        <f t="shared" si="178"/>
        <v>2.0150000000000006</v>
      </c>
      <c r="R317" s="172">
        <f t="shared" si="173"/>
        <v>2.0150000000000006</v>
      </c>
      <c r="S317" s="172" t="str">
        <f t="shared" si="164"/>
        <v>открыт</v>
      </c>
      <c r="T317" s="2052" t="str">
        <f t="shared" si="152"/>
        <v>открыт</v>
      </c>
      <c r="U317" s="757">
        <f t="shared" si="179"/>
        <v>69.538926681783821</v>
      </c>
      <c r="V317" s="2254">
        <v>0.4</v>
      </c>
      <c r="W317" s="2254" t="s">
        <v>3033</v>
      </c>
      <c r="X317" s="912"/>
      <c r="Y317" s="2103">
        <v>235</v>
      </c>
      <c r="Z317" s="2102">
        <v>35</v>
      </c>
      <c r="AA317" s="212" t="s">
        <v>203</v>
      </c>
      <c r="AB317" s="230">
        <f t="shared" si="153"/>
        <v>6.3</v>
      </c>
      <c r="AC317" s="229" t="str">
        <f t="shared" si="154"/>
        <v>+</v>
      </c>
      <c r="AD317" s="229">
        <f t="shared" si="155"/>
        <v>6.3</v>
      </c>
      <c r="AE317" s="229"/>
      <c r="AF317" s="228"/>
      <c r="AG317" s="212" t="str">
        <f t="shared" si="161"/>
        <v>6,3+6,3</v>
      </c>
      <c r="AH317" s="172">
        <f>'Зона ТвЭС'!L392</f>
        <v>1.1938043478260869</v>
      </c>
      <c r="AI317" s="172">
        <f t="shared" si="175"/>
        <v>5.7938043478260868</v>
      </c>
      <c r="AJ317" s="1973">
        <f t="shared" si="156"/>
        <v>0</v>
      </c>
      <c r="AK317" s="212">
        <f t="shared" si="157"/>
        <v>0</v>
      </c>
      <c r="AL317" s="172">
        <f t="shared" si="180"/>
        <v>5.7938043478260868</v>
      </c>
      <c r="AM317" s="1973">
        <f t="shared" si="158"/>
        <v>0</v>
      </c>
      <c r="AN317" s="880">
        <f t="shared" si="181"/>
        <v>6.6150000000000002</v>
      </c>
      <c r="AO317" s="172">
        <f t="shared" si="182"/>
        <v>0.82119565217391344</v>
      </c>
      <c r="AP317" s="172">
        <f t="shared" si="184"/>
        <v>0.82119565217391344</v>
      </c>
      <c r="AQ317" s="220" t="str">
        <f t="shared" si="163"/>
        <v>открыт</v>
      </c>
      <c r="AR317" s="2052" t="str">
        <f t="shared" si="159"/>
        <v>открыт</v>
      </c>
      <c r="AS317" s="935">
        <f t="shared" si="183"/>
        <v>87.585855598277945</v>
      </c>
      <c r="AT317" s="937" t="s">
        <v>97</v>
      </c>
      <c r="AU317" s="1095">
        <v>1964</v>
      </c>
      <c r="AV317" s="1101" t="s">
        <v>3218</v>
      </c>
      <c r="AW317" s="1103">
        <v>56.522345874913398</v>
      </c>
      <c r="AX317" s="1103">
        <v>35.965727164471801</v>
      </c>
    </row>
    <row r="318" spans="1:50" ht="15" customHeight="1" x14ac:dyDescent="0.25">
      <c r="A318" s="2103">
        <v>236</v>
      </c>
      <c r="B318" s="2103">
        <v>36</v>
      </c>
      <c r="C318" s="212" t="s">
        <v>204</v>
      </c>
      <c r="D318" s="230">
        <v>4</v>
      </c>
      <c r="E318" s="229" t="s">
        <v>773</v>
      </c>
      <c r="F318" s="229">
        <v>4</v>
      </c>
      <c r="G318" s="229"/>
      <c r="H318" s="228"/>
      <c r="I318" s="229" t="str">
        <f t="shared" si="151"/>
        <v>4+4</v>
      </c>
      <c r="J318" s="882">
        <v>2.92</v>
      </c>
      <c r="K318" s="889">
        <v>0</v>
      </c>
      <c r="L318" s="124">
        <v>0</v>
      </c>
      <c r="M318" s="172">
        <f t="shared" si="176"/>
        <v>2.92</v>
      </c>
      <c r="N318" s="172">
        <v>0</v>
      </c>
      <c r="O318" s="880"/>
      <c r="P318" s="880">
        <f t="shared" si="177"/>
        <v>4.2</v>
      </c>
      <c r="Q318" s="172">
        <f t="shared" si="178"/>
        <v>1.2800000000000002</v>
      </c>
      <c r="R318" s="172">
        <f t="shared" si="173"/>
        <v>1.2800000000000002</v>
      </c>
      <c r="S318" s="172" t="str">
        <f t="shared" si="164"/>
        <v>открыт</v>
      </c>
      <c r="T318" s="2052" t="str">
        <f t="shared" si="152"/>
        <v>открыт</v>
      </c>
      <c r="U318" s="757">
        <f t="shared" si="179"/>
        <v>69.523809523809518</v>
      </c>
      <c r="V318" s="2254">
        <v>0.5</v>
      </c>
      <c r="W318" s="2254" t="s">
        <v>3033</v>
      </c>
      <c r="X318" s="912"/>
      <c r="Y318" s="2103">
        <v>236</v>
      </c>
      <c r="Z318" s="2102">
        <v>36</v>
      </c>
      <c r="AA318" s="212" t="s">
        <v>204</v>
      </c>
      <c r="AB318" s="230">
        <f t="shared" si="153"/>
        <v>4</v>
      </c>
      <c r="AC318" s="229" t="str">
        <f t="shared" si="154"/>
        <v>+</v>
      </c>
      <c r="AD318" s="229">
        <f t="shared" si="155"/>
        <v>4</v>
      </c>
      <c r="AE318" s="229"/>
      <c r="AF318" s="228"/>
      <c r="AG318" s="212" t="str">
        <f t="shared" si="161"/>
        <v>4+4</v>
      </c>
      <c r="AH318" s="172">
        <f>'Зона ТвЭС'!L410</f>
        <v>0.27293478260869564</v>
      </c>
      <c r="AI318" s="172">
        <f t="shared" si="175"/>
        <v>3.1929347826086953</v>
      </c>
      <c r="AJ318" s="1973">
        <f t="shared" si="156"/>
        <v>0</v>
      </c>
      <c r="AK318" s="212">
        <f t="shared" si="157"/>
        <v>0</v>
      </c>
      <c r="AL318" s="172">
        <f t="shared" si="180"/>
        <v>3.1929347826086953</v>
      </c>
      <c r="AM318" s="1973">
        <f t="shared" si="158"/>
        <v>0</v>
      </c>
      <c r="AN318" s="880">
        <f t="shared" si="181"/>
        <v>4.2</v>
      </c>
      <c r="AO318" s="172">
        <f t="shared" si="182"/>
        <v>1.0070652173913048</v>
      </c>
      <c r="AP318" s="172">
        <f t="shared" si="184"/>
        <v>1.0070652173913048</v>
      </c>
      <c r="AQ318" s="220" t="str">
        <f t="shared" si="163"/>
        <v>открыт</v>
      </c>
      <c r="AR318" s="2052" t="str">
        <f t="shared" si="159"/>
        <v>открыт</v>
      </c>
      <c r="AS318" s="935">
        <f t="shared" si="183"/>
        <v>76.022256728778444</v>
      </c>
      <c r="AT318" s="937" t="s">
        <v>97</v>
      </c>
      <c r="AU318" s="1095">
        <v>1964</v>
      </c>
      <c r="AV318" s="213">
        <v>2011</v>
      </c>
      <c r="AW318" s="1103">
        <v>56.903621345815402</v>
      </c>
      <c r="AX318" s="1103">
        <v>36.050582131677899</v>
      </c>
    </row>
    <row r="319" spans="1:50" ht="15" customHeight="1" x14ac:dyDescent="0.25">
      <c r="A319" s="2103">
        <v>237</v>
      </c>
      <c r="B319" s="2103">
        <v>37</v>
      </c>
      <c r="C319" s="212" t="s">
        <v>205</v>
      </c>
      <c r="D319" s="230">
        <v>2.5</v>
      </c>
      <c r="E319" s="229" t="s">
        <v>773</v>
      </c>
      <c r="F319" s="229">
        <v>2.5</v>
      </c>
      <c r="G319" s="229"/>
      <c r="H319" s="228"/>
      <c r="I319" s="229" t="str">
        <f t="shared" si="151"/>
        <v>2,5+2,5</v>
      </c>
      <c r="J319" s="882">
        <v>1.22</v>
      </c>
      <c r="K319" s="889">
        <v>0</v>
      </c>
      <c r="L319" s="124">
        <v>0</v>
      </c>
      <c r="M319" s="172">
        <f t="shared" si="176"/>
        <v>1.22</v>
      </c>
      <c r="N319" s="172">
        <v>0.32</v>
      </c>
      <c r="O319" s="880" t="s">
        <v>20185</v>
      </c>
      <c r="P319" s="880">
        <f t="shared" si="177"/>
        <v>2.625</v>
      </c>
      <c r="Q319" s="172">
        <f t="shared" si="178"/>
        <v>1.085</v>
      </c>
      <c r="R319" s="172">
        <f t="shared" si="173"/>
        <v>1.085</v>
      </c>
      <c r="S319" s="172" t="str">
        <f t="shared" si="164"/>
        <v>открыт</v>
      </c>
      <c r="T319" s="2052" t="str">
        <f t="shared" si="152"/>
        <v>открыт</v>
      </c>
      <c r="U319" s="757">
        <f t="shared" si="179"/>
        <v>46.476190476190474</v>
      </c>
      <c r="V319" s="2254">
        <v>0.4</v>
      </c>
      <c r="W319" s="2254" t="s">
        <v>3033</v>
      </c>
      <c r="X319" s="912"/>
      <c r="Y319" s="2103">
        <v>237</v>
      </c>
      <c r="Z319" s="2102">
        <v>37</v>
      </c>
      <c r="AA319" s="212" t="s">
        <v>205</v>
      </c>
      <c r="AB319" s="230">
        <f t="shared" si="153"/>
        <v>2.5</v>
      </c>
      <c r="AC319" s="229" t="str">
        <f t="shared" si="154"/>
        <v>+</v>
      </c>
      <c r="AD319" s="229">
        <f t="shared" si="155"/>
        <v>2.5</v>
      </c>
      <c r="AE319" s="229"/>
      <c r="AF319" s="228"/>
      <c r="AG319" s="212" t="str">
        <f t="shared" si="161"/>
        <v>2,5+2,5</v>
      </c>
      <c r="AH319" s="172">
        <f>'Зона ТвЭС'!L423</f>
        <v>0.20478260869565218</v>
      </c>
      <c r="AI319" s="172">
        <f t="shared" si="175"/>
        <v>1.4247826086956521</v>
      </c>
      <c r="AJ319" s="1973">
        <f t="shared" si="156"/>
        <v>0</v>
      </c>
      <c r="AK319" s="212">
        <f t="shared" si="157"/>
        <v>0</v>
      </c>
      <c r="AL319" s="172">
        <f t="shared" si="180"/>
        <v>1.4247826086956521</v>
      </c>
      <c r="AM319" s="1973">
        <f t="shared" si="158"/>
        <v>0.32</v>
      </c>
      <c r="AN319" s="880">
        <f t="shared" si="181"/>
        <v>2.625</v>
      </c>
      <c r="AO319" s="172">
        <f t="shared" si="182"/>
        <v>0.88021739130434784</v>
      </c>
      <c r="AP319" s="172">
        <f t="shared" si="184"/>
        <v>0.88021739130434784</v>
      </c>
      <c r="AQ319" s="220" t="str">
        <f t="shared" si="163"/>
        <v>открыт</v>
      </c>
      <c r="AR319" s="2052" t="str">
        <f t="shared" si="159"/>
        <v>открыт</v>
      </c>
      <c r="AS319" s="935">
        <f t="shared" si="183"/>
        <v>54.277432712215322</v>
      </c>
      <c r="AT319" s="937" t="s">
        <v>97</v>
      </c>
      <c r="AU319" s="1095">
        <v>1965</v>
      </c>
      <c r="AV319" s="1101" t="s">
        <v>3218</v>
      </c>
      <c r="AW319" s="1103">
        <v>56.847192621276001</v>
      </c>
      <c r="AX319" s="1103">
        <v>36.591664194611702</v>
      </c>
    </row>
    <row r="320" spans="1:50" ht="15" customHeight="1" x14ac:dyDescent="0.25">
      <c r="A320" s="2103">
        <v>238</v>
      </c>
      <c r="B320" s="2103">
        <v>38</v>
      </c>
      <c r="C320" s="212" t="s">
        <v>2168</v>
      </c>
      <c r="D320" s="230">
        <v>10</v>
      </c>
      <c r="E320" s="229" t="s">
        <v>773</v>
      </c>
      <c r="F320" s="229">
        <v>3.2</v>
      </c>
      <c r="G320" s="229"/>
      <c r="H320" s="228"/>
      <c r="I320" s="229" t="str">
        <f t="shared" si="151"/>
        <v>10+3,2</v>
      </c>
      <c r="J320" s="882">
        <v>3.02</v>
      </c>
      <c r="K320" s="889">
        <v>0</v>
      </c>
      <c r="L320" s="124">
        <v>0</v>
      </c>
      <c r="M320" s="172">
        <f t="shared" si="176"/>
        <v>3.02</v>
      </c>
      <c r="N320" s="172">
        <v>0</v>
      </c>
      <c r="O320" s="880"/>
      <c r="P320" s="880">
        <f t="shared" si="177"/>
        <v>3.3600000000000003</v>
      </c>
      <c r="Q320" s="172">
        <f t="shared" si="178"/>
        <v>0.3400000000000003</v>
      </c>
      <c r="R320" s="172">
        <f t="shared" si="173"/>
        <v>0.3400000000000003</v>
      </c>
      <c r="S320" s="172" t="str">
        <f t="shared" si="164"/>
        <v>открыт</v>
      </c>
      <c r="T320" s="2052" t="str">
        <f t="shared" si="152"/>
        <v>открыт</v>
      </c>
      <c r="U320" s="757">
        <f t="shared" si="179"/>
        <v>89.880952380952365</v>
      </c>
      <c r="V320" s="2254">
        <v>0.4</v>
      </c>
      <c r="W320" s="2254" t="s">
        <v>3033</v>
      </c>
      <c r="X320" s="912"/>
      <c r="Y320" s="2103">
        <v>238</v>
      </c>
      <c r="Z320" s="2102">
        <v>38</v>
      </c>
      <c r="AA320" s="212" t="s">
        <v>2168</v>
      </c>
      <c r="AB320" s="230">
        <f t="shared" si="153"/>
        <v>10</v>
      </c>
      <c r="AC320" s="229" t="str">
        <f t="shared" si="154"/>
        <v>+</v>
      </c>
      <c r="AD320" s="229">
        <f t="shared" si="155"/>
        <v>3.2</v>
      </c>
      <c r="AE320" s="229"/>
      <c r="AF320" s="228"/>
      <c r="AG320" s="212" t="str">
        <f t="shared" si="161"/>
        <v>10+3,2</v>
      </c>
      <c r="AH320" s="172">
        <f>'Зона ТвЭС'!L438</f>
        <v>0.48684782608695648</v>
      </c>
      <c r="AI320" s="172">
        <f t="shared" si="175"/>
        <v>3.5068478260869567</v>
      </c>
      <c r="AJ320" s="1973">
        <f t="shared" si="156"/>
        <v>0</v>
      </c>
      <c r="AK320" s="212">
        <f t="shared" si="157"/>
        <v>0</v>
      </c>
      <c r="AL320" s="172">
        <f t="shared" si="180"/>
        <v>3.5068478260869567</v>
      </c>
      <c r="AM320" s="1973">
        <f t="shared" si="158"/>
        <v>0</v>
      </c>
      <c r="AN320" s="880">
        <f t="shared" si="181"/>
        <v>3.3600000000000003</v>
      </c>
      <c r="AO320" s="172">
        <f t="shared" si="182"/>
        <v>-0.14684782608695635</v>
      </c>
      <c r="AP320" s="172">
        <f t="shared" si="184"/>
        <v>-0.14684782608695635</v>
      </c>
      <c r="AQ320" s="220" t="str">
        <f t="shared" si="163"/>
        <v>закрыт</v>
      </c>
      <c r="AR320" s="2052" t="str">
        <f t="shared" si="159"/>
        <v>закрыт</v>
      </c>
      <c r="AS320" s="935">
        <f t="shared" si="183"/>
        <v>104.37047101449275</v>
      </c>
      <c r="AT320" s="937" t="s">
        <v>97</v>
      </c>
      <c r="AU320" s="1095">
        <v>1966</v>
      </c>
      <c r="AV320" s="1101" t="s">
        <v>3218</v>
      </c>
      <c r="AW320" s="1103">
        <v>56.901288048079202</v>
      </c>
      <c r="AX320" s="1103">
        <v>35.767399663626499</v>
      </c>
    </row>
    <row r="321" spans="1:50" ht="15" customHeight="1" x14ac:dyDescent="0.25">
      <c r="A321" s="2103">
        <v>239</v>
      </c>
      <c r="B321" s="2103">
        <v>39</v>
      </c>
      <c r="C321" s="212" t="s">
        <v>206</v>
      </c>
      <c r="D321" s="230">
        <v>4</v>
      </c>
      <c r="E321" s="229" t="s">
        <v>773</v>
      </c>
      <c r="F321" s="229">
        <v>4</v>
      </c>
      <c r="G321" s="229"/>
      <c r="H321" s="228"/>
      <c r="I321" s="229" t="str">
        <f t="shared" si="151"/>
        <v>4+4</v>
      </c>
      <c r="J321" s="882">
        <v>0.86</v>
      </c>
      <c r="K321" s="889">
        <v>0</v>
      </c>
      <c r="L321" s="124">
        <v>0</v>
      </c>
      <c r="M321" s="172">
        <f t="shared" si="176"/>
        <v>0.86</v>
      </c>
      <c r="N321" s="172">
        <v>0</v>
      </c>
      <c r="O321" s="880"/>
      <c r="P321" s="880">
        <f t="shared" si="177"/>
        <v>4.2</v>
      </c>
      <c r="Q321" s="172">
        <f t="shared" si="178"/>
        <v>3.3400000000000003</v>
      </c>
      <c r="R321" s="172">
        <f t="shared" si="173"/>
        <v>3.3400000000000003</v>
      </c>
      <c r="S321" s="172" t="str">
        <f t="shared" si="164"/>
        <v>открыт</v>
      </c>
      <c r="T321" s="2052" t="str">
        <f t="shared" si="152"/>
        <v>открыт</v>
      </c>
      <c r="U321" s="757">
        <f t="shared" si="179"/>
        <v>20.476190476190474</v>
      </c>
      <c r="V321" s="2254"/>
      <c r="W321" s="2254" t="s">
        <v>3032</v>
      </c>
      <c r="X321" s="912"/>
      <c r="Y321" s="2103">
        <v>239</v>
      </c>
      <c r="Z321" s="2102">
        <v>39</v>
      </c>
      <c r="AA321" s="212" t="s">
        <v>206</v>
      </c>
      <c r="AB321" s="230">
        <f t="shared" si="153"/>
        <v>4</v>
      </c>
      <c r="AC321" s="229" t="str">
        <f t="shared" si="154"/>
        <v>+</v>
      </c>
      <c r="AD321" s="229">
        <f t="shared" si="155"/>
        <v>4</v>
      </c>
      <c r="AE321" s="229"/>
      <c r="AF321" s="228"/>
      <c r="AG321" s="212" t="str">
        <f t="shared" si="161"/>
        <v>4+4</v>
      </c>
      <c r="AH321" s="172">
        <f>'Зона ТвЭС'!L450</f>
        <v>0.52679347826086953</v>
      </c>
      <c r="AI321" s="172">
        <f t="shared" si="175"/>
        <v>1.3867934782608695</v>
      </c>
      <c r="AJ321" s="1973">
        <f t="shared" si="156"/>
        <v>0</v>
      </c>
      <c r="AK321" s="212">
        <f t="shared" si="157"/>
        <v>0</v>
      </c>
      <c r="AL321" s="172">
        <f t="shared" si="180"/>
        <v>1.3867934782608695</v>
      </c>
      <c r="AM321" s="1973">
        <f t="shared" si="158"/>
        <v>0</v>
      </c>
      <c r="AN321" s="880">
        <f t="shared" si="181"/>
        <v>4.2</v>
      </c>
      <c r="AO321" s="172">
        <f t="shared" si="182"/>
        <v>2.8132065217391307</v>
      </c>
      <c r="AP321" s="172">
        <f t="shared" si="184"/>
        <v>2.8132065217391307</v>
      </c>
      <c r="AQ321" s="220" t="str">
        <f t="shared" si="163"/>
        <v>открыт</v>
      </c>
      <c r="AR321" s="2052" t="str">
        <f t="shared" si="159"/>
        <v>открыт</v>
      </c>
      <c r="AS321" s="935">
        <f t="shared" si="183"/>
        <v>33.018892339544507</v>
      </c>
      <c r="AT321" s="937" t="s">
        <v>97</v>
      </c>
      <c r="AU321" s="1095">
        <v>1966</v>
      </c>
      <c r="AV321" s="1101" t="s">
        <v>3218</v>
      </c>
      <c r="AW321" s="1103">
        <v>56.703857298303703</v>
      </c>
      <c r="AX321" s="1103">
        <v>35.841024516208599</v>
      </c>
    </row>
    <row r="322" spans="1:50" ht="15" customHeight="1" x14ac:dyDescent="0.25">
      <c r="A322" s="2103">
        <v>240</v>
      </c>
      <c r="B322" s="2103">
        <v>40</v>
      </c>
      <c r="C322" s="212" t="s">
        <v>207</v>
      </c>
      <c r="D322" s="230">
        <v>6.3</v>
      </c>
      <c r="E322" s="229" t="s">
        <v>773</v>
      </c>
      <c r="F322" s="229">
        <v>6.3</v>
      </c>
      <c r="G322" s="229"/>
      <c r="H322" s="228"/>
      <c r="I322" s="229" t="str">
        <f t="shared" si="151"/>
        <v>6,3+6,3</v>
      </c>
      <c r="J322" s="882">
        <v>3.67</v>
      </c>
      <c r="K322" s="889">
        <v>0</v>
      </c>
      <c r="L322" s="124">
        <v>0</v>
      </c>
      <c r="M322" s="172">
        <f t="shared" si="176"/>
        <v>3.67</v>
      </c>
      <c r="N322" s="172">
        <v>2.82</v>
      </c>
      <c r="O322" s="880" t="s">
        <v>20186</v>
      </c>
      <c r="P322" s="880">
        <f t="shared" si="177"/>
        <v>6.6150000000000002</v>
      </c>
      <c r="Q322" s="172">
        <f t="shared" si="178"/>
        <v>0.12500000000000044</v>
      </c>
      <c r="R322" s="172">
        <f t="shared" si="173"/>
        <v>0.12500000000000044</v>
      </c>
      <c r="S322" s="172" t="str">
        <f t="shared" si="164"/>
        <v>открыт</v>
      </c>
      <c r="T322" s="2052" t="str">
        <f t="shared" si="152"/>
        <v>открыт</v>
      </c>
      <c r="U322" s="757">
        <f t="shared" si="179"/>
        <v>55.479969765684046</v>
      </c>
      <c r="V322" s="2254"/>
      <c r="W322" s="2254" t="s">
        <v>3032</v>
      </c>
      <c r="X322" s="912"/>
      <c r="Y322" s="2103">
        <v>240</v>
      </c>
      <c r="Z322" s="2102">
        <v>40</v>
      </c>
      <c r="AA322" s="212" t="s">
        <v>207</v>
      </c>
      <c r="AB322" s="230">
        <f t="shared" si="153"/>
        <v>6.3</v>
      </c>
      <c r="AC322" s="229" t="str">
        <f t="shared" si="154"/>
        <v>+</v>
      </c>
      <c r="AD322" s="229">
        <f t="shared" si="155"/>
        <v>6.3</v>
      </c>
      <c r="AE322" s="229"/>
      <c r="AF322" s="228"/>
      <c r="AG322" s="212" t="str">
        <f>CONCATENATE(AB322,AC322,AD322,AE322,AF322)</f>
        <v>6,3+6,3</v>
      </c>
      <c r="AH322" s="172">
        <f>'Зона ТвЭС'!L469</f>
        <v>0.68135869565217388</v>
      </c>
      <c r="AI322" s="172">
        <f t="shared" si="175"/>
        <v>4.3513586956521735</v>
      </c>
      <c r="AJ322" s="1973">
        <f t="shared" si="156"/>
        <v>0</v>
      </c>
      <c r="AK322" s="212">
        <f t="shared" si="157"/>
        <v>0</v>
      </c>
      <c r="AL322" s="172">
        <f t="shared" si="180"/>
        <v>4.3513586956521735</v>
      </c>
      <c r="AM322" s="1973">
        <f t="shared" si="158"/>
        <v>2.82</v>
      </c>
      <c r="AN322" s="880">
        <f>MIN(AB322:AF322)*1.05</f>
        <v>6.6150000000000002</v>
      </c>
      <c r="AO322" s="172">
        <f t="shared" si="182"/>
        <v>-0.55635869565217311</v>
      </c>
      <c r="AP322" s="172">
        <f t="shared" si="184"/>
        <v>-0.55635869565217311</v>
      </c>
      <c r="AQ322" s="220" t="str">
        <f t="shared" si="163"/>
        <v>закрыт</v>
      </c>
      <c r="AR322" s="2052" t="str">
        <f t="shared" si="159"/>
        <v>закрыт</v>
      </c>
      <c r="AS322" s="935">
        <f t="shared" si="183"/>
        <v>65.780176805021526</v>
      </c>
      <c r="AT322" s="937" t="s">
        <v>97</v>
      </c>
      <c r="AU322" s="1095">
        <v>1970</v>
      </c>
      <c r="AV322" s="213">
        <v>2012</v>
      </c>
      <c r="AW322" s="1103">
        <v>56.875332433910998</v>
      </c>
      <c r="AX322" s="1103">
        <v>35.684471769877199</v>
      </c>
    </row>
    <row r="323" spans="1:50" ht="15" customHeight="1" x14ac:dyDescent="0.25">
      <c r="A323" s="2103">
        <v>241</v>
      </c>
      <c r="B323" s="2103">
        <v>41</v>
      </c>
      <c r="C323" s="212" t="s">
        <v>208</v>
      </c>
      <c r="D323" s="230">
        <v>4</v>
      </c>
      <c r="E323" s="229" t="s">
        <v>773</v>
      </c>
      <c r="F323" s="229">
        <v>4</v>
      </c>
      <c r="G323" s="229"/>
      <c r="H323" s="228"/>
      <c r="I323" s="229" t="str">
        <f t="shared" si="151"/>
        <v>4+4</v>
      </c>
      <c r="J323" s="882">
        <v>2.75</v>
      </c>
      <c r="K323" s="889">
        <v>0</v>
      </c>
      <c r="L323" s="124">
        <v>0</v>
      </c>
      <c r="M323" s="172">
        <f t="shared" si="176"/>
        <v>2.75</v>
      </c>
      <c r="N323" s="172">
        <v>0.93</v>
      </c>
      <c r="O323" s="880" t="s">
        <v>20185</v>
      </c>
      <c r="P323" s="880">
        <v>4.2</v>
      </c>
      <c r="Q323" s="172">
        <f t="shared" si="178"/>
        <v>0.52000000000000013</v>
      </c>
      <c r="R323" s="172">
        <f t="shared" si="173"/>
        <v>0.52000000000000013</v>
      </c>
      <c r="S323" s="172" t="str">
        <f t="shared" si="164"/>
        <v>открыт</v>
      </c>
      <c r="T323" s="2052" t="str">
        <f t="shared" si="152"/>
        <v>открыт</v>
      </c>
      <c r="U323" s="757">
        <f t="shared" si="179"/>
        <v>65.476190476190467</v>
      </c>
      <c r="V323" s="2254"/>
      <c r="W323" s="2254" t="s">
        <v>3032</v>
      </c>
      <c r="X323" s="912"/>
      <c r="Y323" s="2103">
        <v>241</v>
      </c>
      <c r="Z323" s="2102">
        <v>41</v>
      </c>
      <c r="AA323" s="212" t="s">
        <v>208</v>
      </c>
      <c r="AB323" s="230">
        <f t="shared" si="153"/>
        <v>4</v>
      </c>
      <c r="AC323" s="229" t="str">
        <f t="shared" si="154"/>
        <v>+</v>
      </c>
      <c r="AD323" s="229">
        <f t="shared" si="155"/>
        <v>4</v>
      </c>
      <c r="AE323" s="229"/>
      <c r="AF323" s="228"/>
      <c r="AG323" s="212" t="str">
        <f t="shared" si="161"/>
        <v>4+4</v>
      </c>
      <c r="AH323" s="172">
        <f>'Зона ТвЭС'!L476</f>
        <v>0.28858695652173905</v>
      </c>
      <c r="AI323" s="172">
        <f t="shared" si="175"/>
        <v>3.0385869565217392</v>
      </c>
      <c r="AJ323" s="1973">
        <f t="shared" si="156"/>
        <v>0</v>
      </c>
      <c r="AK323" s="212">
        <f t="shared" si="157"/>
        <v>0</v>
      </c>
      <c r="AL323" s="172">
        <f t="shared" si="180"/>
        <v>3.0385869565217392</v>
      </c>
      <c r="AM323" s="1973">
        <f t="shared" si="158"/>
        <v>0.93</v>
      </c>
      <c r="AN323" s="880">
        <v>4.2</v>
      </c>
      <c r="AO323" s="172">
        <f t="shared" si="182"/>
        <v>0.23141304347826097</v>
      </c>
      <c r="AP323" s="172">
        <f t="shared" si="184"/>
        <v>0.23141304347826097</v>
      </c>
      <c r="AQ323" s="220" t="str">
        <f t="shared" si="163"/>
        <v>открыт</v>
      </c>
      <c r="AR323" s="2052" t="str">
        <f t="shared" si="159"/>
        <v>открыт</v>
      </c>
      <c r="AS323" s="935">
        <f t="shared" si="183"/>
        <v>72.347308488612839</v>
      </c>
      <c r="AT323" s="937" t="s">
        <v>97</v>
      </c>
      <c r="AU323" s="1095">
        <v>1975</v>
      </c>
      <c r="AV323" s="1101" t="s">
        <v>3218</v>
      </c>
      <c r="AW323" s="1103">
        <v>56.711210032713197</v>
      </c>
      <c r="AX323" s="1103">
        <v>35.789848585825297</v>
      </c>
    </row>
    <row r="324" spans="1:50" ht="15" customHeight="1" x14ac:dyDescent="0.25">
      <c r="A324" s="2103">
        <v>242</v>
      </c>
      <c r="B324" s="2103">
        <v>42</v>
      </c>
      <c r="C324" s="212" t="s">
        <v>209</v>
      </c>
      <c r="D324" s="230">
        <v>1.6</v>
      </c>
      <c r="E324" s="229" t="s">
        <v>773</v>
      </c>
      <c r="F324" s="229">
        <v>2.5</v>
      </c>
      <c r="G324" s="229"/>
      <c r="H324" s="228"/>
      <c r="I324" s="229" t="str">
        <f t="shared" si="151"/>
        <v>1,6+2,5</v>
      </c>
      <c r="J324" s="882">
        <v>1.18</v>
      </c>
      <c r="K324" s="889">
        <v>0</v>
      </c>
      <c r="L324" s="124">
        <v>0</v>
      </c>
      <c r="M324" s="172">
        <f t="shared" si="176"/>
        <v>1.18</v>
      </c>
      <c r="N324" s="172">
        <v>0</v>
      </c>
      <c r="O324" s="880"/>
      <c r="P324" s="880">
        <f t="shared" ref="P324:P348" si="189">MIN(D324:F324)*1.05</f>
        <v>1.6800000000000002</v>
      </c>
      <c r="Q324" s="172">
        <f t="shared" si="178"/>
        <v>0.50000000000000022</v>
      </c>
      <c r="R324" s="172">
        <f t="shared" si="173"/>
        <v>0.50000000000000022</v>
      </c>
      <c r="S324" s="172" t="str">
        <f t="shared" si="164"/>
        <v>открыт</v>
      </c>
      <c r="T324" s="2052" t="str">
        <f t="shared" si="152"/>
        <v>открыт</v>
      </c>
      <c r="U324" s="757">
        <f t="shared" si="179"/>
        <v>70.238095238095227</v>
      </c>
      <c r="V324" s="2254"/>
      <c r="W324" s="2254" t="s">
        <v>3032</v>
      </c>
      <c r="X324" s="912"/>
      <c r="Y324" s="2103">
        <v>242</v>
      </c>
      <c r="Z324" s="2102">
        <v>42</v>
      </c>
      <c r="AA324" s="212" t="s">
        <v>209</v>
      </c>
      <c r="AB324" s="230">
        <f t="shared" si="153"/>
        <v>1.6</v>
      </c>
      <c r="AC324" s="229" t="str">
        <f t="shared" si="154"/>
        <v>+</v>
      </c>
      <c r="AD324" s="229">
        <f t="shared" si="155"/>
        <v>2.5</v>
      </c>
      <c r="AE324" s="229"/>
      <c r="AF324" s="228"/>
      <c r="AG324" s="212" t="str">
        <f t="shared" si="161"/>
        <v>1,6+2,5</v>
      </c>
      <c r="AH324" s="172">
        <f>'Зона ТвЭС'!L486</f>
        <v>1.6043478260869564</v>
      </c>
      <c r="AI324" s="172">
        <f t="shared" si="175"/>
        <v>2.7843478260869565</v>
      </c>
      <c r="AJ324" s="1973">
        <f t="shared" si="156"/>
        <v>0</v>
      </c>
      <c r="AK324" s="212">
        <f t="shared" si="157"/>
        <v>0</v>
      </c>
      <c r="AL324" s="172">
        <f t="shared" si="180"/>
        <v>2.7843478260869565</v>
      </c>
      <c r="AM324" s="1973">
        <f t="shared" si="158"/>
        <v>0</v>
      </c>
      <c r="AN324" s="880">
        <f t="shared" ref="AN324:AN348" si="190">MIN(AB324:AF324)*1.05</f>
        <v>1.6800000000000002</v>
      </c>
      <c r="AO324" s="172">
        <f t="shared" si="182"/>
        <v>-1.1043478260869564</v>
      </c>
      <c r="AP324" s="172">
        <f t="shared" si="184"/>
        <v>-1.1043478260869564</v>
      </c>
      <c r="AQ324" s="220" t="str">
        <f t="shared" si="163"/>
        <v>закрыт</v>
      </c>
      <c r="AR324" s="2052" t="str">
        <f t="shared" si="159"/>
        <v>закрыт</v>
      </c>
      <c r="AS324" s="935">
        <f t="shared" si="183"/>
        <v>165.73498964803309</v>
      </c>
      <c r="AT324" s="937" t="s">
        <v>97</v>
      </c>
      <c r="AU324" s="1095">
        <v>1969</v>
      </c>
      <c r="AV324" s="1101" t="s">
        <v>3218</v>
      </c>
      <c r="AW324" s="1103">
        <v>56.841370892934599</v>
      </c>
      <c r="AX324" s="1103">
        <v>36.103829043620003</v>
      </c>
    </row>
    <row r="325" spans="1:50" ht="15" customHeight="1" x14ac:dyDescent="0.25">
      <c r="A325" s="2103">
        <v>243</v>
      </c>
      <c r="B325" s="2103">
        <v>43</v>
      </c>
      <c r="C325" s="212" t="s">
        <v>210</v>
      </c>
      <c r="D325" s="230">
        <v>1.6</v>
      </c>
      <c r="E325" s="229" t="s">
        <v>773</v>
      </c>
      <c r="F325" s="229">
        <v>2.5</v>
      </c>
      <c r="G325" s="229"/>
      <c r="H325" s="228"/>
      <c r="I325" s="229" t="str">
        <f t="shared" si="151"/>
        <v>1,6+2,5</v>
      </c>
      <c r="J325" s="882">
        <v>0.82</v>
      </c>
      <c r="K325" s="889">
        <v>0</v>
      </c>
      <c r="L325" s="124">
        <v>0</v>
      </c>
      <c r="M325" s="172">
        <f t="shared" si="176"/>
        <v>0.82</v>
      </c>
      <c r="N325" s="172">
        <v>0</v>
      </c>
      <c r="O325" s="880"/>
      <c r="P325" s="880">
        <f t="shared" si="189"/>
        <v>1.6800000000000002</v>
      </c>
      <c r="Q325" s="172">
        <f t="shared" si="178"/>
        <v>0.86000000000000021</v>
      </c>
      <c r="R325" s="172">
        <f t="shared" si="173"/>
        <v>0.86000000000000021</v>
      </c>
      <c r="S325" s="172" t="str">
        <f t="shared" si="164"/>
        <v>открыт</v>
      </c>
      <c r="T325" s="2052" t="str">
        <f t="shared" si="152"/>
        <v>открыт</v>
      </c>
      <c r="U325" s="757">
        <f t="shared" si="179"/>
        <v>48.809523809523803</v>
      </c>
      <c r="V325" s="2254"/>
      <c r="W325" s="2254" t="s">
        <v>3032</v>
      </c>
      <c r="X325" s="912"/>
      <c r="Y325" s="2103">
        <v>243</v>
      </c>
      <c r="Z325" s="2102">
        <v>43</v>
      </c>
      <c r="AA325" s="212" t="s">
        <v>210</v>
      </c>
      <c r="AB325" s="230">
        <f t="shared" si="153"/>
        <v>1.6</v>
      </c>
      <c r="AC325" s="229" t="str">
        <f t="shared" si="154"/>
        <v>+</v>
      </c>
      <c r="AD325" s="229">
        <f t="shared" si="155"/>
        <v>2.5</v>
      </c>
      <c r="AE325" s="229"/>
      <c r="AF325" s="228"/>
      <c r="AG325" s="212" t="str">
        <f t="shared" si="161"/>
        <v>1,6+2,5</v>
      </c>
      <c r="AH325" s="172">
        <f>'Зона ТвЭС'!L493</f>
        <v>0.31451612903225806</v>
      </c>
      <c r="AI325" s="172">
        <f t="shared" si="175"/>
        <v>1.1345161290322581</v>
      </c>
      <c r="AJ325" s="1973">
        <f t="shared" si="156"/>
        <v>0</v>
      </c>
      <c r="AK325" s="212">
        <f t="shared" si="157"/>
        <v>0</v>
      </c>
      <c r="AL325" s="172">
        <f t="shared" si="180"/>
        <v>1.1345161290322581</v>
      </c>
      <c r="AM325" s="1973">
        <f t="shared" si="158"/>
        <v>0</v>
      </c>
      <c r="AN325" s="880">
        <f t="shared" si="190"/>
        <v>1.6800000000000002</v>
      </c>
      <c r="AO325" s="172">
        <f t="shared" si="182"/>
        <v>0.54548387096774209</v>
      </c>
      <c r="AP325" s="172">
        <f t="shared" si="184"/>
        <v>0.54548387096774209</v>
      </c>
      <c r="AQ325" s="220" t="str">
        <f t="shared" si="163"/>
        <v>открыт</v>
      </c>
      <c r="AR325" s="2052" t="str">
        <f t="shared" si="159"/>
        <v>открыт</v>
      </c>
      <c r="AS325" s="935">
        <f t="shared" si="183"/>
        <v>67.530721966205832</v>
      </c>
      <c r="AT325" s="937" t="s">
        <v>97</v>
      </c>
      <c r="AU325" s="1095">
        <v>1978</v>
      </c>
      <c r="AV325" s="1101" t="s">
        <v>3218</v>
      </c>
      <c r="AW325" s="1103">
        <v>56.936792691974098</v>
      </c>
      <c r="AX325" s="1103">
        <v>36.140630189038099</v>
      </c>
    </row>
    <row r="326" spans="1:50" ht="15" customHeight="1" x14ac:dyDescent="0.25">
      <c r="A326" s="2103">
        <v>244</v>
      </c>
      <c r="B326" s="2103">
        <v>44</v>
      </c>
      <c r="C326" s="212" t="s">
        <v>211</v>
      </c>
      <c r="D326" s="230">
        <v>2.5</v>
      </c>
      <c r="E326" s="229" t="s">
        <v>773</v>
      </c>
      <c r="F326" s="229">
        <v>2.5</v>
      </c>
      <c r="G326" s="229"/>
      <c r="H326" s="228"/>
      <c r="I326" s="229" t="str">
        <f t="shared" si="151"/>
        <v>2,5+2,5</v>
      </c>
      <c r="J326" s="882">
        <v>0.28999999999999998</v>
      </c>
      <c r="K326" s="889">
        <v>0</v>
      </c>
      <c r="L326" s="124">
        <v>0</v>
      </c>
      <c r="M326" s="172">
        <f t="shared" si="176"/>
        <v>0.28999999999999998</v>
      </c>
      <c r="N326" s="172">
        <v>0.34599999999999997</v>
      </c>
      <c r="O326" s="880" t="s">
        <v>20185</v>
      </c>
      <c r="P326" s="880">
        <f t="shared" si="189"/>
        <v>2.625</v>
      </c>
      <c r="Q326" s="172">
        <f t="shared" si="178"/>
        <v>1.9889999999999999</v>
      </c>
      <c r="R326" s="172">
        <f t="shared" si="173"/>
        <v>1.9889999999999999</v>
      </c>
      <c r="S326" s="172" t="str">
        <f t="shared" si="164"/>
        <v>открыт</v>
      </c>
      <c r="T326" s="2052" t="str">
        <f t="shared" si="152"/>
        <v>открыт</v>
      </c>
      <c r="U326" s="757">
        <f t="shared" si="179"/>
        <v>11.047619047619046</v>
      </c>
      <c r="V326" s="2254"/>
      <c r="W326" s="2254" t="s">
        <v>3032</v>
      </c>
      <c r="X326" s="912"/>
      <c r="Y326" s="2103">
        <v>244</v>
      </c>
      <c r="Z326" s="2102">
        <v>44</v>
      </c>
      <c r="AA326" s="212" t="s">
        <v>211</v>
      </c>
      <c r="AB326" s="230">
        <f t="shared" si="153"/>
        <v>2.5</v>
      </c>
      <c r="AC326" s="229" t="str">
        <f t="shared" si="154"/>
        <v>+</v>
      </c>
      <c r="AD326" s="229">
        <f t="shared" si="155"/>
        <v>2.5</v>
      </c>
      <c r="AE326" s="229"/>
      <c r="AF326" s="228"/>
      <c r="AG326" s="212" t="str">
        <f t="shared" si="161"/>
        <v>2,5+2,5</v>
      </c>
      <c r="AH326" s="172">
        <f>'Зона ТвЭС'!L496</f>
        <v>6.8478260869565225E-2</v>
      </c>
      <c r="AI326" s="172">
        <f t="shared" si="175"/>
        <v>0.35847826086956519</v>
      </c>
      <c r="AJ326" s="1973">
        <f t="shared" si="156"/>
        <v>0</v>
      </c>
      <c r="AK326" s="212">
        <f t="shared" si="157"/>
        <v>0</v>
      </c>
      <c r="AL326" s="172">
        <f t="shared" si="180"/>
        <v>0.35847826086956519</v>
      </c>
      <c r="AM326" s="1973">
        <f t="shared" si="158"/>
        <v>0.34599999999999997</v>
      </c>
      <c r="AN326" s="880">
        <f t="shared" si="190"/>
        <v>2.625</v>
      </c>
      <c r="AO326" s="172">
        <f t="shared" si="182"/>
        <v>1.9205217391304346</v>
      </c>
      <c r="AP326" s="172">
        <f t="shared" si="184"/>
        <v>1.9205217391304346</v>
      </c>
      <c r="AQ326" s="220" t="str">
        <f t="shared" si="163"/>
        <v>открыт</v>
      </c>
      <c r="AR326" s="2052" t="str">
        <f t="shared" si="159"/>
        <v>открыт</v>
      </c>
      <c r="AS326" s="935">
        <f t="shared" si="183"/>
        <v>13.656314699792958</v>
      </c>
      <c r="AT326" s="937" t="s">
        <v>97</v>
      </c>
      <c r="AU326" s="1095">
        <v>1989</v>
      </c>
      <c r="AV326" s="1101" t="s">
        <v>3218</v>
      </c>
      <c r="AW326" s="1103">
        <v>56.847220438271997</v>
      </c>
      <c r="AX326" s="1103">
        <v>36.683607523094999</v>
      </c>
    </row>
    <row r="327" spans="1:50" ht="15" customHeight="1" x14ac:dyDescent="0.25">
      <c r="A327" s="2103">
        <v>245</v>
      </c>
      <c r="B327" s="2103">
        <v>45</v>
      </c>
      <c r="C327" s="212" t="s">
        <v>212</v>
      </c>
      <c r="D327" s="230">
        <v>6.3</v>
      </c>
      <c r="E327" s="229" t="s">
        <v>773</v>
      </c>
      <c r="F327" s="229">
        <v>6.3</v>
      </c>
      <c r="G327" s="229"/>
      <c r="H327" s="228"/>
      <c r="I327" s="229" t="str">
        <f t="shared" si="151"/>
        <v>6,3+6,3</v>
      </c>
      <c r="J327" s="882">
        <v>7.18</v>
      </c>
      <c r="K327" s="889">
        <v>0</v>
      </c>
      <c r="L327" s="124">
        <v>0</v>
      </c>
      <c r="M327" s="172">
        <f t="shared" si="176"/>
        <v>7.18</v>
      </c>
      <c r="N327" s="172">
        <v>0</v>
      </c>
      <c r="O327" s="880"/>
      <c r="P327" s="880">
        <f t="shared" si="189"/>
        <v>6.6150000000000002</v>
      </c>
      <c r="Q327" s="172">
        <f t="shared" si="178"/>
        <v>-0.5649999999999995</v>
      </c>
      <c r="R327" s="172">
        <f t="shared" si="173"/>
        <v>-0.5649999999999995</v>
      </c>
      <c r="S327" s="172" t="str">
        <f t="shared" si="164"/>
        <v>закрыт</v>
      </c>
      <c r="T327" s="2052" t="str">
        <f t="shared" si="152"/>
        <v>закрыт</v>
      </c>
      <c r="U327" s="757">
        <f t="shared" si="179"/>
        <v>108.54119425547997</v>
      </c>
      <c r="V327" s="2254">
        <v>0.3</v>
      </c>
      <c r="W327" s="2254" t="s">
        <v>3033</v>
      </c>
      <c r="X327" s="912"/>
      <c r="Y327" s="2103">
        <v>245</v>
      </c>
      <c r="Z327" s="2102">
        <v>45</v>
      </c>
      <c r="AA327" s="212" t="s">
        <v>212</v>
      </c>
      <c r="AB327" s="230">
        <f t="shared" si="153"/>
        <v>6.3</v>
      </c>
      <c r="AC327" s="229" t="str">
        <f t="shared" si="154"/>
        <v>+</v>
      </c>
      <c r="AD327" s="229">
        <f t="shared" si="155"/>
        <v>6.3</v>
      </c>
      <c r="AE327" s="229"/>
      <c r="AF327" s="228"/>
      <c r="AG327" s="212" t="str">
        <f t="shared" si="161"/>
        <v>6,3+6,3</v>
      </c>
      <c r="AH327" s="172">
        <f>'Зона ТвЭС'!L542</f>
        <v>7.7762499999999992</v>
      </c>
      <c r="AI327" s="172">
        <f t="shared" ref="AI327:AI358" si="191">AH327+J327</f>
        <v>14.956249999999999</v>
      </c>
      <c r="AJ327" s="1973">
        <f t="shared" si="156"/>
        <v>0</v>
      </c>
      <c r="AK327" s="212">
        <f t="shared" si="157"/>
        <v>0</v>
      </c>
      <c r="AL327" s="172">
        <f t="shared" si="180"/>
        <v>14.956249999999999</v>
      </c>
      <c r="AM327" s="1973">
        <f t="shared" si="158"/>
        <v>0</v>
      </c>
      <c r="AN327" s="880">
        <f t="shared" si="190"/>
        <v>6.6150000000000002</v>
      </c>
      <c r="AO327" s="172">
        <f t="shared" si="182"/>
        <v>-8.3412499999999987</v>
      </c>
      <c r="AP327" s="172">
        <f t="shared" si="184"/>
        <v>-8.3412499999999987</v>
      </c>
      <c r="AQ327" s="220" t="str">
        <f>AR327</f>
        <v>закрыт</v>
      </c>
      <c r="AR327" s="2052" t="str">
        <f t="shared" si="159"/>
        <v>закрыт</v>
      </c>
      <c r="AS327" s="935">
        <f t="shared" si="183"/>
        <v>226.0959939531368</v>
      </c>
      <c r="AT327" s="937" t="s">
        <v>97</v>
      </c>
      <c r="AU327" s="1095">
        <v>1975</v>
      </c>
      <c r="AV327" s="213">
        <v>2011</v>
      </c>
      <c r="AW327" s="1103">
        <v>56.7419028169504</v>
      </c>
      <c r="AX327" s="1103">
        <v>35.909505065937502</v>
      </c>
    </row>
    <row r="328" spans="1:50" ht="15" customHeight="1" x14ac:dyDescent="0.25">
      <c r="A328" s="2103">
        <v>246</v>
      </c>
      <c r="B328" s="2103">
        <v>46</v>
      </c>
      <c r="C328" s="212" t="s">
        <v>213</v>
      </c>
      <c r="D328" s="230">
        <v>1</v>
      </c>
      <c r="E328" s="229" t="s">
        <v>773</v>
      </c>
      <c r="F328" s="229">
        <v>1</v>
      </c>
      <c r="G328" s="229"/>
      <c r="H328" s="228"/>
      <c r="I328" s="229" t="str">
        <f t="shared" si="151"/>
        <v>1+1</v>
      </c>
      <c r="J328" s="882">
        <v>0.75</v>
      </c>
      <c r="K328" s="889">
        <v>0</v>
      </c>
      <c r="L328" s="124">
        <v>0</v>
      </c>
      <c r="M328" s="172">
        <f t="shared" si="176"/>
        <v>0.75</v>
      </c>
      <c r="N328" s="172">
        <v>0</v>
      </c>
      <c r="O328" s="880"/>
      <c r="P328" s="880">
        <f t="shared" si="189"/>
        <v>1.05</v>
      </c>
      <c r="Q328" s="172">
        <f t="shared" si="178"/>
        <v>0.30000000000000004</v>
      </c>
      <c r="R328" s="172">
        <f t="shared" si="173"/>
        <v>0.30000000000000004</v>
      </c>
      <c r="S328" s="172" t="str">
        <f t="shared" si="164"/>
        <v>открыт</v>
      </c>
      <c r="T328" s="2052" t="str">
        <f t="shared" si="152"/>
        <v>открыт</v>
      </c>
      <c r="U328" s="757">
        <f t="shared" si="179"/>
        <v>71.428571428571431</v>
      </c>
      <c r="V328" s="2254"/>
      <c r="W328" s="2254" t="s">
        <v>3032</v>
      </c>
      <c r="X328" s="912"/>
      <c r="Y328" s="2103">
        <v>246</v>
      </c>
      <c r="Z328" s="2102">
        <v>46</v>
      </c>
      <c r="AA328" s="212" t="s">
        <v>213</v>
      </c>
      <c r="AB328" s="230">
        <f t="shared" si="153"/>
        <v>1</v>
      </c>
      <c r="AC328" s="229" t="str">
        <f t="shared" si="154"/>
        <v>+</v>
      </c>
      <c r="AD328" s="229">
        <f t="shared" si="155"/>
        <v>1</v>
      </c>
      <c r="AE328" s="229"/>
      <c r="AF328" s="228"/>
      <c r="AG328" s="212" t="str">
        <f t="shared" si="161"/>
        <v>1+1</v>
      </c>
      <c r="AH328" s="172">
        <f>'Зона ТвЭС'!L544</f>
        <v>0</v>
      </c>
      <c r="AI328" s="172">
        <f t="shared" si="191"/>
        <v>0.75</v>
      </c>
      <c r="AJ328" s="1973">
        <f t="shared" si="156"/>
        <v>0</v>
      </c>
      <c r="AK328" s="212">
        <f t="shared" si="157"/>
        <v>0</v>
      </c>
      <c r="AL328" s="172">
        <f t="shared" si="180"/>
        <v>0.75</v>
      </c>
      <c r="AM328" s="1973">
        <f t="shared" si="158"/>
        <v>0</v>
      </c>
      <c r="AN328" s="880">
        <f t="shared" si="190"/>
        <v>1.05</v>
      </c>
      <c r="AO328" s="172">
        <f t="shared" si="182"/>
        <v>0.30000000000000004</v>
      </c>
      <c r="AP328" s="172">
        <f t="shared" si="184"/>
        <v>0.30000000000000004</v>
      </c>
      <c r="AQ328" s="220" t="str">
        <f t="shared" si="163"/>
        <v>открыт</v>
      </c>
      <c r="AR328" s="2052" t="str">
        <f t="shared" si="159"/>
        <v>открыт</v>
      </c>
      <c r="AS328" s="935">
        <f t="shared" si="183"/>
        <v>71.428571428571431</v>
      </c>
      <c r="AT328" s="937" t="s">
        <v>97</v>
      </c>
      <c r="AU328" s="1095">
        <v>1939</v>
      </c>
      <c r="AV328" s="1101" t="s">
        <v>3218</v>
      </c>
      <c r="AW328" s="1103">
        <v>57.011190305104897</v>
      </c>
      <c r="AX328" s="1103">
        <v>35.931930719504798</v>
      </c>
    </row>
    <row r="329" spans="1:50" ht="15" customHeight="1" x14ac:dyDescent="0.25">
      <c r="A329" s="2103">
        <v>247</v>
      </c>
      <c r="B329" s="2103">
        <v>47</v>
      </c>
      <c r="C329" s="212" t="s">
        <v>214</v>
      </c>
      <c r="D329" s="230">
        <v>4</v>
      </c>
      <c r="E329" s="229" t="s">
        <v>773</v>
      </c>
      <c r="F329" s="229">
        <v>6.3</v>
      </c>
      <c r="G329" s="229"/>
      <c r="H329" s="228"/>
      <c r="I329" s="229" t="str">
        <f t="shared" si="151"/>
        <v>4+6,3</v>
      </c>
      <c r="J329" s="882">
        <v>2.57</v>
      </c>
      <c r="K329" s="889">
        <v>0</v>
      </c>
      <c r="L329" s="124">
        <v>0</v>
      </c>
      <c r="M329" s="172">
        <f t="shared" si="176"/>
        <v>2.57</v>
      </c>
      <c r="N329" s="172">
        <v>0</v>
      </c>
      <c r="O329" s="880"/>
      <c r="P329" s="880">
        <f t="shared" si="189"/>
        <v>4.2</v>
      </c>
      <c r="Q329" s="172">
        <f t="shared" si="178"/>
        <v>1.6300000000000003</v>
      </c>
      <c r="R329" s="172">
        <f t="shared" si="173"/>
        <v>1.6300000000000003</v>
      </c>
      <c r="S329" s="172" t="str">
        <f t="shared" si="164"/>
        <v>открыт</v>
      </c>
      <c r="T329" s="2052" t="str">
        <f t="shared" si="152"/>
        <v>открыт</v>
      </c>
      <c r="U329" s="757">
        <f t="shared" si="179"/>
        <v>61.19047619047619</v>
      </c>
      <c r="V329" s="2254">
        <v>0.4</v>
      </c>
      <c r="W329" s="2254" t="s">
        <v>3033</v>
      </c>
      <c r="X329" s="912"/>
      <c r="Y329" s="2103">
        <v>247</v>
      </c>
      <c r="Z329" s="2102">
        <v>47</v>
      </c>
      <c r="AA329" s="212" t="s">
        <v>214</v>
      </c>
      <c r="AB329" s="230">
        <f t="shared" si="153"/>
        <v>4</v>
      </c>
      <c r="AC329" s="229" t="str">
        <f t="shared" si="154"/>
        <v>+</v>
      </c>
      <c r="AD329" s="229">
        <f t="shared" si="155"/>
        <v>6.3</v>
      </c>
      <c r="AE329" s="229"/>
      <c r="AF329" s="228"/>
      <c r="AG329" s="212" t="str">
        <f t="shared" si="161"/>
        <v>4+6,3</v>
      </c>
      <c r="AH329" s="172">
        <f>'Зона ТвЭС'!L554</f>
        <v>0.13548387096774195</v>
      </c>
      <c r="AI329" s="172">
        <f t="shared" si="191"/>
        <v>2.7054838709677416</v>
      </c>
      <c r="AJ329" s="1973">
        <f t="shared" si="156"/>
        <v>0</v>
      </c>
      <c r="AK329" s="212">
        <f t="shared" si="157"/>
        <v>0</v>
      </c>
      <c r="AL329" s="172">
        <f t="shared" si="180"/>
        <v>2.7054838709677416</v>
      </c>
      <c r="AM329" s="1973">
        <f t="shared" si="158"/>
        <v>0</v>
      </c>
      <c r="AN329" s="880">
        <f t="shared" si="190"/>
        <v>4.2</v>
      </c>
      <c r="AO329" s="172">
        <f t="shared" si="182"/>
        <v>1.4945161290322586</v>
      </c>
      <c r="AP329" s="172">
        <f t="shared" si="184"/>
        <v>1.4945161290322586</v>
      </c>
      <c r="AQ329" s="220" t="str">
        <f t="shared" si="163"/>
        <v>открыт</v>
      </c>
      <c r="AR329" s="2052" t="str">
        <f t="shared" si="159"/>
        <v>открыт</v>
      </c>
      <c r="AS329" s="935">
        <f t="shared" si="183"/>
        <v>64.416282642089087</v>
      </c>
      <c r="AT329" s="937" t="s">
        <v>97</v>
      </c>
      <c r="AU329" s="1095">
        <v>1979</v>
      </c>
      <c r="AV329" s="1101">
        <v>2012</v>
      </c>
      <c r="AW329" s="1103">
        <v>56.970566408483101</v>
      </c>
      <c r="AX329" s="1103">
        <v>35.918041082431003</v>
      </c>
    </row>
    <row r="330" spans="1:50" ht="15" customHeight="1" x14ac:dyDescent="0.25">
      <c r="A330" s="2103">
        <v>248</v>
      </c>
      <c r="B330" s="2103">
        <v>48</v>
      </c>
      <c r="C330" s="212" t="s">
        <v>215</v>
      </c>
      <c r="D330" s="230">
        <v>6.3</v>
      </c>
      <c r="E330" s="229" t="s">
        <v>773</v>
      </c>
      <c r="F330" s="229">
        <v>6.3</v>
      </c>
      <c r="G330" s="229"/>
      <c r="H330" s="228"/>
      <c r="I330" s="229" t="str">
        <f t="shared" si="151"/>
        <v>6,3+6,3</v>
      </c>
      <c r="J330" s="882">
        <v>3.71</v>
      </c>
      <c r="K330" s="889">
        <v>0</v>
      </c>
      <c r="L330" s="124">
        <v>0</v>
      </c>
      <c r="M330" s="172">
        <f t="shared" si="176"/>
        <v>3.71</v>
      </c>
      <c r="N330" s="172">
        <v>0.91</v>
      </c>
      <c r="O330" s="880" t="s">
        <v>20187</v>
      </c>
      <c r="P330" s="880">
        <f t="shared" si="189"/>
        <v>6.6150000000000002</v>
      </c>
      <c r="Q330" s="172">
        <f t="shared" si="178"/>
        <v>1.9950000000000001</v>
      </c>
      <c r="R330" s="172">
        <f t="shared" si="173"/>
        <v>1.9950000000000001</v>
      </c>
      <c r="S330" s="172" t="str">
        <f t="shared" si="164"/>
        <v>открыт</v>
      </c>
      <c r="T330" s="2052" t="str">
        <f t="shared" si="152"/>
        <v>открыт</v>
      </c>
      <c r="U330" s="757">
        <f t="shared" si="179"/>
        <v>56.084656084656082</v>
      </c>
      <c r="V330" s="2254"/>
      <c r="W330" s="2254" t="s">
        <v>3032</v>
      </c>
      <c r="X330" s="912"/>
      <c r="Y330" s="2103">
        <v>248</v>
      </c>
      <c r="Z330" s="2102">
        <v>48</v>
      </c>
      <c r="AA330" s="212" t="s">
        <v>215</v>
      </c>
      <c r="AB330" s="230">
        <f t="shared" si="153"/>
        <v>6.3</v>
      </c>
      <c r="AC330" s="229" t="str">
        <f t="shared" si="154"/>
        <v>+</v>
      </c>
      <c r="AD330" s="229">
        <f t="shared" si="155"/>
        <v>6.3</v>
      </c>
      <c r="AE330" s="229"/>
      <c r="AF330" s="228"/>
      <c r="AG330" s="212" t="str">
        <f t="shared" si="161"/>
        <v>6,3+6,3</v>
      </c>
      <c r="AH330" s="172">
        <f>'Зона ТвЭС'!L574</f>
        <v>1.1722826086956522</v>
      </c>
      <c r="AI330" s="172">
        <f t="shared" si="191"/>
        <v>4.8822826086956521</v>
      </c>
      <c r="AJ330" s="1973">
        <f t="shared" si="156"/>
        <v>0</v>
      </c>
      <c r="AK330" s="212">
        <f t="shared" si="157"/>
        <v>0</v>
      </c>
      <c r="AL330" s="172">
        <f t="shared" si="180"/>
        <v>4.8822826086956521</v>
      </c>
      <c r="AM330" s="1973">
        <f t="shared" si="158"/>
        <v>0.91</v>
      </c>
      <c r="AN330" s="880">
        <f t="shared" si="190"/>
        <v>6.6150000000000002</v>
      </c>
      <c r="AO330" s="172">
        <f t="shared" si="182"/>
        <v>0.82271739130434807</v>
      </c>
      <c r="AP330" s="172">
        <f t="shared" si="184"/>
        <v>0.82271739130434807</v>
      </c>
      <c r="AQ330" s="220" t="str">
        <f>AR330</f>
        <v>открыт</v>
      </c>
      <c r="AR330" s="2052" t="str">
        <f t="shared" si="159"/>
        <v>открыт</v>
      </c>
      <c r="AS330" s="935">
        <f t="shared" si="183"/>
        <v>73.806237470833736</v>
      </c>
      <c r="AT330" s="937" t="s">
        <v>97</v>
      </c>
      <c r="AU330" s="1095">
        <v>1958</v>
      </c>
      <c r="AV330" s="1101">
        <v>2012</v>
      </c>
      <c r="AW330" s="1103">
        <v>56.928153133407697</v>
      </c>
      <c r="AX330" s="1103">
        <v>35.464157955222703</v>
      </c>
    </row>
    <row r="331" spans="1:50" ht="15" customHeight="1" x14ac:dyDescent="0.25">
      <c r="A331" s="2103">
        <v>249</v>
      </c>
      <c r="B331" s="2103">
        <v>49</v>
      </c>
      <c r="C331" s="212" t="s">
        <v>216</v>
      </c>
      <c r="D331" s="230">
        <v>2.5</v>
      </c>
      <c r="E331" s="229" t="s">
        <v>773</v>
      </c>
      <c r="F331" s="229">
        <v>1.8</v>
      </c>
      <c r="G331" s="229"/>
      <c r="H331" s="228"/>
      <c r="I331" s="229" t="str">
        <f t="shared" ref="I331:I394" si="192">CONCATENATE(D331,E331,F331,G331,H331)</f>
        <v>2,5+1,8</v>
      </c>
      <c r="J331" s="882">
        <v>0.94</v>
      </c>
      <c r="K331" s="889">
        <v>0</v>
      </c>
      <c r="L331" s="124">
        <v>0</v>
      </c>
      <c r="M331" s="172">
        <f t="shared" si="176"/>
        <v>0.94</v>
      </c>
      <c r="N331" s="172">
        <v>0</v>
      </c>
      <c r="O331" s="880"/>
      <c r="P331" s="880">
        <f t="shared" si="189"/>
        <v>1.8900000000000001</v>
      </c>
      <c r="Q331" s="172">
        <f t="shared" si="178"/>
        <v>0.95000000000000018</v>
      </c>
      <c r="R331" s="172">
        <f t="shared" si="173"/>
        <v>0.95000000000000018</v>
      </c>
      <c r="S331" s="172" t="str">
        <f t="shared" si="164"/>
        <v>открыт</v>
      </c>
      <c r="T331" s="2052" t="str">
        <f t="shared" ref="T331:T394" si="193">IF(AND(F331&lt;&gt;0,R331&lt;0),"закрыт",IF(AND(F331=0,R331&lt;0),"закрыт","открыт"))</f>
        <v>открыт</v>
      </c>
      <c r="U331" s="757">
        <f t="shared" si="179"/>
        <v>49.735449735449734</v>
      </c>
      <c r="V331" s="2254"/>
      <c r="W331" s="2254" t="s">
        <v>3032</v>
      </c>
      <c r="X331" s="912"/>
      <c r="Y331" s="2103">
        <v>249</v>
      </c>
      <c r="Z331" s="2102">
        <v>49</v>
      </c>
      <c r="AA331" s="212" t="s">
        <v>216</v>
      </c>
      <c r="AB331" s="230">
        <f t="shared" ref="AB331:AB394" si="194">D331</f>
        <v>2.5</v>
      </c>
      <c r="AC331" s="229" t="str">
        <f t="shared" ref="AC331:AC386" si="195">E331</f>
        <v>+</v>
      </c>
      <c r="AD331" s="229">
        <f t="shared" ref="AD331:AD386" si="196">F331</f>
        <v>1.8</v>
      </c>
      <c r="AE331" s="229"/>
      <c r="AF331" s="228"/>
      <c r="AG331" s="212" t="str">
        <f t="shared" si="161"/>
        <v>2,5+1,8</v>
      </c>
      <c r="AH331" s="172">
        <f>'Зона ТвЭС'!L576</f>
        <v>0</v>
      </c>
      <c r="AI331" s="172">
        <f t="shared" si="191"/>
        <v>0.94</v>
      </c>
      <c r="AJ331" s="1973">
        <f t="shared" ref="AJ331:AJ394" si="197">K331</f>
        <v>0</v>
      </c>
      <c r="AK331" s="212">
        <f t="shared" ref="AK331:AK394" si="198">L331</f>
        <v>0</v>
      </c>
      <c r="AL331" s="172">
        <f t="shared" si="180"/>
        <v>0.94</v>
      </c>
      <c r="AM331" s="1973">
        <f t="shared" ref="AM331:AM394" si="199">N331</f>
        <v>0</v>
      </c>
      <c r="AN331" s="880">
        <f t="shared" si="190"/>
        <v>1.8900000000000001</v>
      </c>
      <c r="AO331" s="172">
        <f t="shared" si="182"/>
        <v>0.95000000000000018</v>
      </c>
      <c r="AP331" s="172">
        <f t="shared" si="184"/>
        <v>0.95000000000000018</v>
      </c>
      <c r="AQ331" s="220" t="str">
        <f t="shared" si="163"/>
        <v>открыт</v>
      </c>
      <c r="AR331" s="2052" t="str">
        <f t="shared" ref="AR331:AR394" si="200">IF(AND(AD331&lt;&gt;0,AP331&lt;0),"закрыт",IF(AND(AD331=0,AP331&lt;0),"закрыт","открыт"))</f>
        <v>открыт</v>
      </c>
      <c r="AS331" s="935">
        <f t="shared" si="183"/>
        <v>49.735449735449734</v>
      </c>
      <c r="AT331" s="937" t="s">
        <v>97</v>
      </c>
      <c r="AU331" s="1095">
        <v>1964</v>
      </c>
      <c r="AV331" s="1101" t="s">
        <v>3218</v>
      </c>
      <c r="AW331" s="1103">
        <v>57.430023748376698</v>
      </c>
      <c r="AX331" s="1103">
        <v>35.6699351592261</v>
      </c>
    </row>
    <row r="332" spans="1:50" ht="15" customHeight="1" x14ac:dyDescent="0.25">
      <c r="A332" s="2103">
        <v>250</v>
      </c>
      <c r="B332" s="2103">
        <v>50</v>
      </c>
      <c r="C332" s="212" t="s">
        <v>217</v>
      </c>
      <c r="D332" s="230">
        <v>1.6</v>
      </c>
      <c r="E332" s="229" t="s">
        <v>773</v>
      </c>
      <c r="F332" s="229">
        <v>2.5</v>
      </c>
      <c r="G332" s="229"/>
      <c r="H332" s="228"/>
      <c r="I332" s="229" t="str">
        <f t="shared" si="192"/>
        <v>1,6+2,5</v>
      </c>
      <c r="J332" s="882">
        <v>0.57999999999999996</v>
      </c>
      <c r="K332" s="889">
        <v>0</v>
      </c>
      <c r="L332" s="124">
        <v>0</v>
      </c>
      <c r="M332" s="172">
        <f t="shared" si="176"/>
        <v>0.57999999999999996</v>
      </c>
      <c r="N332" s="172">
        <v>0</v>
      </c>
      <c r="O332" s="880"/>
      <c r="P332" s="880">
        <f t="shared" si="189"/>
        <v>1.6800000000000002</v>
      </c>
      <c r="Q332" s="172">
        <f t="shared" si="178"/>
        <v>1.1000000000000001</v>
      </c>
      <c r="R332" s="172">
        <f t="shared" si="173"/>
        <v>1.1000000000000001</v>
      </c>
      <c r="S332" s="172" t="str">
        <f t="shared" si="164"/>
        <v>открыт</v>
      </c>
      <c r="T332" s="2052" t="str">
        <f t="shared" si="193"/>
        <v>открыт</v>
      </c>
      <c r="U332" s="757">
        <f t="shared" si="179"/>
        <v>34.523809523809518</v>
      </c>
      <c r="V332" s="2254"/>
      <c r="W332" s="2254" t="s">
        <v>3032</v>
      </c>
      <c r="X332" s="912"/>
      <c r="Y332" s="2103">
        <v>250</v>
      </c>
      <c r="Z332" s="2102">
        <v>50</v>
      </c>
      <c r="AA332" s="212" t="s">
        <v>217</v>
      </c>
      <c r="AB332" s="230">
        <f t="shared" si="194"/>
        <v>1.6</v>
      </c>
      <c r="AC332" s="229" t="str">
        <f t="shared" si="195"/>
        <v>+</v>
      </c>
      <c r="AD332" s="229">
        <f t="shared" si="196"/>
        <v>2.5</v>
      </c>
      <c r="AE332" s="229"/>
      <c r="AF332" s="228"/>
      <c r="AG332" s="212" t="str">
        <f t="shared" si="161"/>
        <v>1,6+2,5</v>
      </c>
      <c r="AH332" s="172">
        <f>'Зона ТвЭС'!L579</f>
        <v>0</v>
      </c>
      <c r="AI332" s="172">
        <f t="shared" si="191"/>
        <v>0.57999999999999996</v>
      </c>
      <c r="AJ332" s="1973">
        <f t="shared" si="197"/>
        <v>0</v>
      </c>
      <c r="AK332" s="212">
        <f t="shared" si="198"/>
        <v>0</v>
      </c>
      <c r="AL332" s="172">
        <f t="shared" si="180"/>
        <v>0.57999999999999996</v>
      </c>
      <c r="AM332" s="1973">
        <f t="shared" si="199"/>
        <v>0</v>
      </c>
      <c r="AN332" s="880">
        <f t="shared" si="190"/>
        <v>1.6800000000000002</v>
      </c>
      <c r="AO332" s="172">
        <f t="shared" si="182"/>
        <v>1.1000000000000001</v>
      </c>
      <c r="AP332" s="172">
        <f t="shared" si="184"/>
        <v>1.1000000000000001</v>
      </c>
      <c r="AQ332" s="220" t="str">
        <f t="shared" si="163"/>
        <v>открыт</v>
      </c>
      <c r="AR332" s="2052" t="str">
        <f t="shared" si="200"/>
        <v>открыт</v>
      </c>
      <c r="AS332" s="935">
        <f t="shared" si="183"/>
        <v>34.523809523809518</v>
      </c>
      <c r="AT332" s="937" t="s">
        <v>97</v>
      </c>
      <c r="AU332" s="1095">
        <v>1984</v>
      </c>
      <c r="AV332" s="1101" t="s">
        <v>3218</v>
      </c>
      <c r="AW332" s="1103">
        <v>57.025748742397603</v>
      </c>
      <c r="AX332" s="1103">
        <v>35.412136241075999</v>
      </c>
    </row>
    <row r="333" spans="1:50" ht="15" customHeight="1" x14ac:dyDescent="0.25">
      <c r="A333" s="2103">
        <v>251</v>
      </c>
      <c r="B333" s="2103">
        <v>51</v>
      </c>
      <c r="C333" s="212" t="s">
        <v>218</v>
      </c>
      <c r="D333" s="230">
        <v>5.6</v>
      </c>
      <c r="E333" s="229" t="s">
        <v>773</v>
      </c>
      <c r="F333" s="229">
        <v>4</v>
      </c>
      <c r="G333" s="229"/>
      <c r="H333" s="228"/>
      <c r="I333" s="229" t="str">
        <f t="shared" si="192"/>
        <v>5,6+4</v>
      </c>
      <c r="J333" s="882">
        <v>2.1</v>
      </c>
      <c r="K333" s="889">
        <v>0</v>
      </c>
      <c r="L333" s="124">
        <v>0</v>
      </c>
      <c r="M333" s="172">
        <f t="shared" si="176"/>
        <v>2.1</v>
      </c>
      <c r="N333" s="172">
        <v>0</v>
      </c>
      <c r="O333" s="880"/>
      <c r="P333" s="880">
        <f t="shared" si="189"/>
        <v>4.2</v>
      </c>
      <c r="Q333" s="172">
        <f t="shared" si="178"/>
        <v>2.1</v>
      </c>
      <c r="R333" s="172">
        <f t="shared" si="173"/>
        <v>2.1</v>
      </c>
      <c r="S333" s="172" t="str">
        <f t="shared" ref="S333:S396" si="201">T333</f>
        <v>открыт</v>
      </c>
      <c r="T333" s="2052" t="str">
        <f t="shared" si="193"/>
        <v>открыт</v>
      </c>
      <c r="U333" s="757">
        <f t="shared" si="179"/>
        <v>50</v>
      </c>
      <c r="V333" s="2254">
        <v>0.6</v>
      </c>
      <c r="W333" s="2254" t="s">
        <v>3033</v>
      </c>
      <c r="X333" s="912"/>
      <c r="Y333" s="2103">
        <v>251</v>
      </c>
      <c r="Z333" s="2102">
        <v>51</v>
      </c>
      <c r="AA333" s="212" t="s">
        <v>218</v>
      </c>
      <c r="AB333" s="230">
        <f t="shared" si="194"/>
        <v>5.6</v>
      </c>
      <c r="AC333" s="229" t="str">
        <f t="shared" si="195"/>
        <v>+</v>
      </c>
      <c r="AD333" s="229">
        <f t="shared" si="196"/>
        <v>4</v>
      </c>
      <c r="AE333" s="229"/>
      <c r="AF333" s="228"/>
      <c r="AG333" s="212" t="str">
        <f t="shared" ref="AG333:AG396" si="202">CONCATENATE(AB333,AC333,AD333,AE333,AF333)</f>
        <v>5,6+4</v>
      </c>
      <c r="AH333" s="172">
        <f>'Зона ТвЭС'!L586</f>
        <v>5.7065217391304345E-2</v>
      </c>
      <c r="AI333" s="172">
        <f t="shared" si="191"/>
        <v>2.1570652173913043</v>
      </c>
      <c r="AJ333" s="1973">
        <f t="shared" si="197"/>
        <v>0</v>
      </c>
      <c r="AK333" s="212">
        <f t="shared" si="198"/>
        <v>0</v>
      </c>
      <c r="AL333" s="172">
        <f t="shared" si="180"/>
        <v>2.1570652173913043</v>
      </c>
      <c r="AM333" s="1973">
        <f t="shared" si="199"/>
        <v>0</v>
      </c>
      <c r="AN333" s="880">
        <f t="shared" si="190"/>
        <v>4.2</v>
      </c>
      <c r="AO333" s="172">
        <f t="shared" si="182"/>
        <v>2.0429347826086959</v>
      </c>
      <c r="AP333" s="172">
        <f t="shared" si="184"/>
        <v>2.0429347826086959</v>
      </c>
      <c r="AQ333" s="220" t="str">
        <f t="shared" ref="AQ333:AQ396" si="203">AR333</f>
        <v>открыт</v>
      </c>
      <c r="AR333" s="2052" t="str">
        <f t="shared" si="200"/>
        <v>открыт</v>
      </c>
      <c r="AS333" s="935">
        <f t="shared" si="183"/>
        <v>51.358695652173914</v>
      </c>
      <c r="AT333" s="937" t="s">
        <v>97</v>
      </c>
      <c r="AU333" s="1095">
        <v>1974</v>
      </c>
      <c r="AV333" s="1101" t="s">
        <v>3218</v>
      </c>
      <c r="AW333" s="1103">
        <v>56.644682001823099</v>
      </c>
      <c r="AX333" s="1103">
        <v>36.226998063349001</v>
      </c>
    </row>
    <row r="334" spans="1:50" ht="15" customHeight="1" x14ac:dyDescent="0.25">
      <c r="A334" s="2103">
        <v>252</v>
      </c>
      <c r="B334" s="2103">
        <v>52</v>
      </c>
      <c r="C334" s="212" t="s">
        <v>219</v>
      </c>
      <c r="D334" s="230">
        <v>5.6</v>
      </c>
      <c r="E334" s="229" t="s">
        <v>773</v>
      </c>
      <c r="F334" s="229">
        <v>6.3</v>
      </c>
      <c r="G334" s="229"/>
      <c r="H334" s="228"/>
      <c r="I334" s="229" t="str">
        <f t="shared" si="192"/>
        <v>5,6+6,3</v>
      </c>
      <c r="J334" s="882">
        <v>4.45</v>
      </c>
      <c r="K334" s="889">
        <v>0</v>
      </c>
      <c r="L334" s="124">
        <v>0</v>
      </c>
      <c r="M334" s="172">
        <f t="shared" ref="M334:M350" si="204">J334-K334</f>
        <v>4.45</v>
      </c>
      <c r="N334" s="172">
        <v>0</v>
      </c>
      <c r="O334" s="880"/>
      <c r="P334" s="880">
        <f t="shared" si="189"/>
        <v>5.88</v>
      </c>
      <c r="Q334" s="172">
        <f t="shared" ref="Q334:Q350" si="205">P334-M334-N334</f>
        <v>1.4299999999999997</v>
      </c>
      <c r="R334" s="172">
        <f t="shared" si="173"/>
        <v>1.4299999999999997</v>
      </c>
      <c r="S334" s="172" t="str">
        <f t="shared" si="201"/>
        <v>открыт</v>
      </c>
      <c r="T334" s="2052" t="str">
        <f t="shared" si="193"/>
        <v>открыт</v>
      </c>
      <c r="U334" s="757">
        <f t="shared" ref="U334:U350" si="206">(J334*100)/P334</f>
        <v>75.680272108843539</v>
      </c>
      <c r="V334" s="2254">
        <v>0.35</v>
      </c>
      <c r="W334" s="2254" t="s">
        <v>3033</v>
      </c>
      <c r="X334" s="912"/>
      <c r="Y334" s="2103">
        <v>252</v>
      </c>
      <c r="Z334" s="2102">
        <v>52</v>
      </c>
      <c r="AA334" s="212" t="s">
        <v>219</v>
      </c>
      <c r="AB334" s="230">
        <f t="shared" si="194"/>
        <v>5.6</v>
      </c>
      <c r="AC334" s="229" t="str">
        <f t="shared" si="195"/>
        <v>+</v>
      </c>
      <c r="AD334" s="229">
        <f t="shared" si="196"/>
        <v>6.3</v>
      </c>
      <c r="AE334" s="229"/>
      <c r="AF334" s="228"/>
      <c r="AG334" s="212" t="str">
        <f t="shared" si="202"/>
        <v>5,6+6,3</v>
      </c>
      <c r="AH334" s="172">
        <f>'Зона ТвЭС'!L631</f>
        <v>0.51554347826086955</v>
      </c>
      <c r="AI334" s="172">
        <f t="shared" si="191"/>
        <v>4.9655434782608694</v>
      </c>
      <c r="AJ334" s="1973">
        <f t="shared" si="197"/>
        <v>0</v>
      </c>
      <c r="AK334" s="212">
        <f t="shared" si="198"/>
        <v>0</v>
      </c>
      <c r="AL334" s="172">
        <f t="shared" ref="AL334:AL350" si="207">AI334-AJ334</f>
        <v>4.9655434782608694</v>
      </c>
      <c r="AM334" s="1973">
        <f t="shared" si="199"/>
        <v>0</v>
      </c>
      <c r="AN334" s="880">
        <f t="shared" si="190"/>
        <v>5.88</v>
      </c>
      <c r="AO334" s="172">
        <f t="shared" ref="AO334:AO350" si="208">AN334-AL334-AM334</f>
        <v>0.9144565217391305</v>
      </c>
      <c r="AP334" s="172">
        <f t="shared" si="184"/>
        <v>0.9144565217391305</v>
      </c>
      <c r="AQ334" s="220" t="str">
        <f t="shared" si="203"/>
        <v>открыт</v>
      </c>
      <c r="AR334" s="2052" t="str">
        <f t="shared" si="200"/>
        <v>открыт</v>
      </c>
      <c r="AS334" s="935">
        <f t="shared" ref="AS334:AS350" si="209">(AI334*100)/AN334</f>
        <v>84.448018337769895</v>
      </c>
      <c r="AT334" s="937" t="s">
        <v>97</v>
      </c>
      <c r="AU334" s="1095">
        <v>1953</v>
      </c>
      <c r="AV334" s="213">
        <v>2010</v>
      </c>
      <c r="AW334" s="1103">
        <v>56.565187868836702</v>
      </c>
      <c r="AX334" s="1103">
        <v>36.444220991006297</v>
      </c>
    </row>
    <row r="335" spans="1:50" ht="15" customHeight="1" x14ac:dyDescent="0.25">
      <c r="A335" s="2103">
        <v>253</v>
      </c>
      <c r="B335" s="2103">
        <v>53</v>
      </c>
      <c r="C335" s="212" t="s">
        <v>220</v>
      </c>
      <c r="D335" s="230">
        <v>6.3</v>
      </c>
      <c r="E335" s="229" t="s">
        <v>773</v>
      </c>
      <c r="F335" s="229">
        <v>6.3</v>
      </c>
      <c r="G335" s="229"/>
      <c r="H335" s="228"/>
      <c r="I335" s="229" t="str">
        <f t="shared" si="192"/>
        <v>6,3+6,3</v>
      </c>
      <c r="J335" s="882">
        <v>3.12</v>
      </c>
      <c r="K335" s="889">
        <v>0</v>
      </c>
      <c r="L335" s="124">
        <v>0</v>
      </c>
      <c r="M335" s="172">
        <f t="shared" si="204"/>
        <v>3.12</v>
      </c>
      <c r="N335" s="172">
        <v>0</v>
      </c>
      <c r="O335" s="880"/>
      <c r="P335" s="880">
        <f t="shared" si="189"/>
        <v>6.6150000000000002</v>
      </c>
      <c r="Q335" s="172">
        <f t="shared" si="205"/>
        <v>3.4950000000000001</v>
      </c>
      <c r="R335" s="172">
        <f t="shared" si="173"/>
        <v>3.4950000000000001</v>
      </c>
      <c r="S335" s="172" t="str">
        <f t="shared" si="201"/>
        <v>открыт</v>
      </c>
      <c r="T335" s="2052" t="str">
        <f t="shared" si="193"/>
        <v>открыт</v>
      </c>
      <c r="U335" s="757">
        <f t="shared" si="206"/>
        <v>47.165532879818592</v>
      </c>
      <c r="V335" s="2254">
        <v>0.6</v>
      </c>
      <c r="W335" s="2254" t="s">
        <v>3033</v>
      </c>
      <c r="X335" s="912"/>
      <c r="Y335" s="2103">
        <v>253</v>
      </c>
      <c r="Z335" s="2102">
        <v>53</v>
      </c>
      <c r="AA335" s="212" t="s">
        <v>220</v>
      </c>
      <c r="AB335" s="230">
        <f t="shared" si="194"/>
        <v>6.3</v>
      </c>
      <c r="AC335" s="229" t="str">
        <f t="shared" si="195"/>
        <v>+</v>
      </c>
      <c r="AD335" s="229">
        <f t="shared" si="196"/>
        <v>6.3</v>
      </c>
      <c r="AE335" s="229"/>
      <c r="AF335" s="228"/>
      <c r="AG335" s="212" t="str">
        <f t="shared" si="202"/>
        <v>6,3+6,3</v>
      </c>
      <c r="AH335" s="172">
        <f>'Зона ТвЭС'!L613</f>
        <v>1.1100000000000001</v>
      </c>
      <c r="AI335" s="172">
        <f t="shared" si="191"/>
        <v>4.2300000000000004</v>
      </c>
      <c r="AJ335" s="1973">
        <f t="shared" si="197"/>
        <v>0</v>
      </c>
      <c r="AK335" s="212">
        <f t="shared" si="198"/>
        <v>0</v>
      </c>
      <c r="AL335" s="172">
        <f t="shared" si="207"/>
        <v>4.2300000000000004</v>
      </c>
      <c r="AM335" s="1973">
        <f t="shared" si="199"/>
        <v>0</v>
      </c>
      <c r="AN335" s="880">
        <f t="shared" si="190"/>
        <v>6.6150000000000002</v>
      </c>
      <c r="AO335" s="172">
        <f t="shared" si="208"/>
        <v>2.3849999999999998</v>
      </c>
      <c r="AP335" s="172">
        <f t="shared" si="184"/>
        <v>2.3849999999999998</v>
      </c>
      <c r="AQ335" s="220" t="str">
        <f t="shared" si="203"/>
        <v>открыт</v>
      </c>
      <c r="AR335" s="2052" t="str">
        <f t="shared" si="200"/>
        <v>открыт</v>
      </c>
      <c r="AS335" s="935">
        <f t="shared" si="209"/>
        <v>63.945578231292522</v>
      </c>
      <c r="AT335" s="937" t="s">
        <v>97</v>
      </c>
      <c r="AU335" s="1095">
        <v>1953</v>
      </c>
      <c r="AV335" s="1101" t="s">
        <v>3218</v>
      </c>
      <c r="AW335" s="1103">
        <v>56.565187868836702</v>
      </c>
      <c r="AX335" s="1103">
        <v>36.444220991006297</v>
      </c>
    </row>
    <row r="336" spans="1:50" ht="15" customHeight="1" x14ac:dyDescent="0.25">
      <c r="A336" s="2103">
        <v>254</v>
      </c>
      <c r="B336" s="2103">
        <v>54</v>
      </c>
      <c r="C336" s="212" t="s">
        <v>221</v>
      </c>
      <c r="D336" s="230">
        <v>1.8</v>
      </c>
      <c r="E336" s="229" t="s">
        <v>773</v>
      </c>
      <c r="F336" s="229">
        <v>1.8</v>
      </c>
      <c r="G336" s="229"/>
      <c r="H336" s="228"/>
      <c r="I336" s="229" t="str">
        <f t="shared" si="192"/>
        <v>1,8+1,8</v>
      </c>
      <c r="J336" s="882">
        <v>1.74</v>
      </c>
      <c r="K336" s="889">
        <v>0</v>
      </c>
      <c r="L336" s="124">
        <v>0</v>
      </c>
      <c r="M336" s="172">
        <f t="shared" si="204"/>
        <v>1.74</v>
      </c>
      <c r="N336" s="172">
        <v>0</v>
      </c>
      <c r="O336" s="880"/>
      <c r="P336" s="880">
        <f t="shared" si="189"/>
        <v>1.8900000000000001</v>
      </c>
      <c r="Q336" s="172">
        <f t="shared" si="205"/>
        <v>0.15000000000000013</v>
      </c>
      <c r="R336" s="172">
        <f t="shared" si="173"/>
        <v>0.15000000000000013</v>
      </c>
      <c r="S336" s="172" t="str">
        <f t="shared" si="201"/>
        <v>открыт</v>
      </c>
      <c r="T336" s="2052" t="str">
        <f t="shared" si="193"/>
        <v>открыт</v>
      </c>
      <c r="U336" s="757">
        <f t="shared" si="206"/>
        <v>92.063492063492063</v>
      </c>
      <c r="V336" s="2254">
        <v>0.4</v>
      </c>
      <c r="W336" s="2254" t="s">
        <v>3033</v>
      </c>
      <c r="X336" s="912"/>
      <c r="Y336" s="2103">
        <v>254</v>
      </c>
      <c r="Z336" s="2102">
        <v>54</v>
      </c>
      <c r="AA336" s="212" t="s">
        <v>221</v>
      </c>
      <c r="AB336" s="230">
        <f t="shared" si="194"/>
        <v>1.8</v>
      </c>
      <c r="AC336" s="229" t="str">
        <f t="shared" si="195"/>
        <v>+</v>
      </c>
      <c r="AD336" s="229">
        <f t="shared" si="196"/>
        <v>1.8</v>
      </c>
      <c r="AE336" s="229"/>
      <c r="AF336" s="228"/>
      <c r="AG336" s="212" t="str">
        <f t="shared" si="202"/>
        <v>1,8+1,8</v>
      </c>
      <c r="AH336" s="172">
        <f>'Зона ТвЭС'!L631</f>
        <v>0.51554347826086955</v>
      </c>
      <c r="AI336" s="172">
        <f t="shared" si="191"/>
        <v>2.2555434782608694</v>
      </c>
      <c r="AJ336" s="1973">
        <f t="shared" si="197"/>
        <v>0</v>
      </c>
      <c r="AK336" s="212">
        <f t="shared" si="198"/>
        <v>0</v>
      </c>
      <c r="AL336" s="172">
        <f t="shared" si="207"/>
        <v>2.2555434782608694</v>
      </c>
      <c r="AM336" s="1973">
        <f t="shared" si="199"/>
        <v>0</v>
      </c>
      <c r="AN336" s="880">
        <f t="shared" si="190"/>
        <v>1.8900000000000001</v>
      </c>
      <c r="AO336" s="172">
        <f t="shared" si="208"/>
        <v>-0.3655434782608693</v>
      </c>
      <c r="AP336" s="172">
        <f t="shared" si="184"/>
        <v>-0.3655434782608693</v>
      </c>
      <c r="AQ336" s="220" t="str">
        <f t="shared" si="203"/>
        <v>закрыт</v>
      </c>
      <c r="AR336" s="2052" t="str">
        <f t="shared" si="200"/>
        <v>закрыт</v>
      </c>
      <c r="AS336" s="935">
        <f t="shared" si="209"/>
        <v>119.34092477570736</v>
      </c>
      <c r="AT336" s="937" t="s">
        <v>97</v>
      </c>
      <c r="AU336" s="1095">
        <v>1946</v>
      </c>
      <c r="AV336" s="1101" t="s">
        <v>3218</v>
      </c>
      <c r="AW336" s="1103">
        <v>56.667470282490001</v>
      </c>
      <c r="AX336" s="1103">
        <v>36.360492447413797</v>
      </c>
    </row>
    <row r="337" spans="1:50" ht="15" customHeight="1" x14ac:dyDescent="0.25">
      <c r="A337" s="2103">
        <v>255</v>
      </c>
      <c r="B337" s="2103">
        <v>55</v>
      </c>
      <c r="C337" s="212" t="s">
        <v>222</v>
      </c>
      <c r="D337" s="230">
        <v>10</v>
      </c>
      <c r="E337" s="229" t="s">
        <v>773</v>
      </c>
      <c r="F337" s="229">
        <v>6.3</v>
      </c>
      <c r="G337" s="229"/>
      <c r="H337" s="228"/>
      <c r="I337" s="229" t="str">
        <f t="shared" si="192"/>
        <v>10+6,3</v>
      </c>
      <c r="J337" s="882">
        <v>5.43</v>
      </c>
      <c r="K337" s="889">
        <v>0</v>
      </c>
      <c r="L337" s="124">
        <v>0</v>
      </c>
      <c r="M337" s="172">
        <f t="shared" si="204"/>
        <v>5.43</v>
      </c>
      <c r="N337" s="172">
        <v>0</v>
      </c>
      <c r="O337" s="880"/>
      <c r="P337" s="880">
        <f t="shared" si="189"/>
        <v>6.6150000000000002</v>
      </c>
      <c r="Q337" s="172">
        <f t="shared" si="205"/>
        <v>1.1850000000000005</v>
      </c>
      <c r="R337" s="172">
        <f t="shared" si="173"/>
        <v>1.1850000000000005</v>
      </c>
      <c r="S337" s="172" t="str">
        <f t="shared" si="201"/>
        <v>открыт</v>
      </c>
      <c r="T337" s="2052" t="str">
        <f t="shared" si="193"/>
        <v>открыт</v>
      </c>
      <c r="U337" s="757">
        <f t="shared" si="206"/>
        <v>82.086167800453509</v>
      </c>
      <c r="V337" s="2254">
        <v>0.3</v>
      </c>
      <c r="W337" s="2254" t="s">
        <v>3033</v>
      </c>
      <c r="X337" s="912"/>
      <c r="Y337" s="2103">
        <v>255</v>
      </c>
      <c r="Z337" s="2102">
        <v>55</v>
      </c>
      <c r="AA337" s="212" t="s">
        <v>222</v>
      </c>
      <c r="AB337" s="230">
        <f t="shared" si="194"/>
        <v>10</v>
      </c>
      <c r="AC337" s="229" t="str">
        <f t="shared" si="195"/>
        <v>+</v>
      </c>
      <c r="AD337" s="229">
        <f t="shared" si="196"/>
        <v>6.3</v>
      </c>
      <c r="AE337" s="229"/>
      <c r="AF337" s="228"/>
      <c r="AG337" s="212" t="str">
        <f t="shared" si="202"/>
        <v>10+6,3</v>
      </c>
      <c r="AH337" s="172">
        <f>'Зона ТвЭС'!L639</f>
        <v>0.30032608695652185</v>
      </c>
      <c r="AI337" s="172">
        <f t="shared" si="191"/>
        <v>5.7303260869565218</v>
      </c>
      <c r="AJ337" s="1973">
        <f t="shared" si="197"/>
        <v>0</v>
      </c>
      <c r="AK337" s="212">
        <f t="shared" si="198"/>
        <v>0</v>
      </c>
      <c r="AL337" s="172">
        <f t="shared" si="207"/>
        <v>5.7303260869565218</v>
      </c>
      <c r="AM337" s="1973">
        <f t="shared" si="199"/>
        <v>0</v>
      </c>
      <c r="AN337" s="880">
        <f t="shared" si="190"/>
        <v>6.6150000000000002</v>
      </c>
      <c r="AO337" s="172">
        <f t="shared" si="208"/>
        <v>0.88467391304347842</v>
      </c>
      <c r="AP337" s="172">
        <f t="shared" si="184"/>
        <v>0.88467391304347842</v>
      </c>
      <c r="AQ337" s="220" t="str">
        <f t="shared" si="203"/>
        <v>открыт</v>
      </c>
      <c r="AR337" s="2052" t="str">
        <f t="shared" si="200"/>
        <v>открыт</v>
      </c>
      <c r="AS337" s="935">
        <f t="shared" si="209"/>
        <v>86.626244700778855</v>
      </c>
      <c r="AT337" s="937" t="s">
        <v>97</v>
      </c>
      <c r="AU337" s="1095">
        <v>1966</v>
      </c>
      <c r="AV337" s="1101" t="s">
        <v>3218</v>
      </c>
      <c r="AW337" s="1103">
        <v>56.518573430220897</v>
      </c>
      <c r="AX337" s="1103">
        <v>36.284964491609898</v>
      </c>
    </row>
    <row r="338" spans="1:50" ht="15" customHeight="1" x14ac:dyDescent="0.25">
      <c r="A338" s="2103">
        <v>256</v>
      </c>
      <c r="B338" s="2103">
        <v>56</v>
      </c>
      <c r="C338" s="212" t="s">
        <v>223</v>
      </c>
      <c r="D338" s="230">
        <v>10</v>
      </c>
      <c r="E338" s="229" t="s">
        <v>773</v>
      </c>
      <c r="F338" s="229">
        <v>10</v>
      </c>
      <c r="G338" s="229"/>
      <c r="H338" s="228"/>
      <c r="I338" s="229" t="str">
        <f t="shared" si="192"/>
        <v>10+10</v>
      </c>
      <c r="J338" s="882">
        <v>4.8600000000000003</v>
      </c>
      <c r="K338" s="889">
        <v>0</v>
      </c>
      <c r="L338" s="124">
        <v>0</v>
      </c>
      <c r="M338" s="172">
        <f t="shared" si="204"/>
        <v>4.8600000000000003</v>
      </c>
      <c r="N338" s="172">
        <v>0</v>
      </c>
      <c r="O338" s="880"/>
      <c r="P338" s="880">
        <f t="shared" si="189"/>
        <v>10.5</v>
      </c>
      <c r="Q338" s="172">
        <f t="shared" si="205"/>
        <v>5.64</v>
      </c>
      <c r="R338" s="172">
        <f t="shared" si="173"/>
        <v>5.64</v>
      </c>
      <c r="S338" s="172" t="str">
        <f t="shared" si="201"/>
        <v>открыт</v>
      </c>
      <c r="T338" s="2052" t="str">
        <f t="shared" si="193"/>
        <v>открыт</v>
      </c>
      <c r="U338" s="757">
        <f t="shared" si="206"/>
        <v>46.285714285714292</v>
      </c>
      <c r="V338" s="2254">
        <v>0.5</v>
      </c>
      <c r="W338" s="2254" t="s">
        <v>3033</v>
      </c>
      <c r="X338" s="912"/>
      <c r="Y338" s="2103">
        <v>256</v>
      </c>
      <c r="Z338" s="2102">
        <v>56</v>
      </c>
      <c r="AA338" s="212" t="s">
        <v>223</v>
      </c>
      <c r="AB338" s="230">
        <f t="shared" si="194"/>
        <v>10</v>
      </c>
      <c r="AC338" s="229" t="str">
        <f t="shared" si="195"/>
        <v>+</v>
      </c>
      <c r="AD338" s="229">
        <f t="shared" si="196"/>
        <v>10</v>
      </c>
      <c r="AE338" s="229"/>
      <c r="AF338" s="228"/>
      <c r="AG338" s="212" t="str">
        <f t="shared" si="202"/>
        <v>10+10</v>
      </c>
      <c r="AH338" s="172">
        <f>'Зона ТвЭС'!L660</f>
        <v>2.3840217391304348</v>
      </c>
      <c r="AI338" s="172">
        <f t="shared" si="191"/>
        <v>7.2440217391304351</v>
      </c>
      <c r="AJ338" s="1973">
        <f t="shared" si="197"/>
        <v>0</v>
      </c>
      <c r="AK338" s="212">
        <f t="shared" si="198"/>
        <v>0</v>
      </c>
      <c r="AL338" s="172">
        <f t="shared" si="207"/>
        <v>7.2440217391304351</v>
      </c>
      <c r="AM338" s="1973">
        <f t="shared" si="199"/>
        <v>0</v>
      </c>
      <c r="AN338" s="880">
        <f t="shared" si="190"/>
        <v>10.5</v>
      </c>
      <c r="AO338" s="172">
        <f t="shared" si="208"/>
        <v>3.2559782608695649</v>
      </c>
      <c r="AP338" s="172">
        <f t="shared" si="184"/>
        <v>3.2559782608695649</v>
      </c>
      <c r="AQ338" s="220" t="str">
        <f t="shared" si="203"/>
        <v>открыт</v>
      </c>
      <c r="AR338" s="2052" t="str">
        <f t="shared" si="200"/>
        <v>открыт</v>
      </c>
      <c r="AS338" s="935">
        <f t="shared" si="209"/>
        <v>68.990683229813669</v>
      </c>
      <c r="AT338" s="937" t="s">
        <v>97</v>
      </c>
      <c r="AU338" s="1095">
        <v>1963</v>
      </c>
      <c r="AV338" s="213">
        <v>2011</v>
      </c>
      <c r="AW338" s="1103">
        <v>56.668822529493497</v>
      </c>
      <c r="AX338" s="1103">
        <v>36.970460711525803</v>
      </c>
    </row>
    <row r="339" spans="1:50" ht="15" customHeight="1" x14ac:dyDescent="0.25">
      <c r="A339" s="2103">
        <v>257</v>
      </c>
      <c r="B339" s="2103">
        <v>57</v>
      </c>
      <c r="C339" s="212" t="s">
        <v>224</v>
      </c>
      <c r="D339" s="230">
        <v>10</v>
      </c>
      <c r="E339" s="229" t="s">
        <v>773</v>
      </c>
      <c r="F339" s="229">
        <v>16</v>
      </c>
      <c r="G339" s="229"/>
      <c r="H339" s="228"/>
      <c r="I339" s="229" t="str">
        <f t="shared" si="192"/>
        <v>10+16</v>
      </c>
      <c r="J339" s="882">
        <v>2.4700000000000002</v>
      </c>
      <c r="K339" s="889">
        <v>0</v>
      </c>
      <c r="L339" s="124">
        <v>0</v>
      </c>
      <c r="M339" s="172">
        <f t="shared" si="204"/>
        <v>2.4700000000000002</v>
      </c>
      <c r="N339" s="172">
        <v>0</v>
      </c>
      <c r="O339" s="880"/>
      <c r="P339" s="880">
        <f t="shared" si="189"/>
        <v>10.5</v>
      </c>
      <c r="Q339" s="172">
        <f t="shared" si="205"/>
        <v>8.0299999999999994</v>
      </c>
      <c r="R339" s="172">
        <f t="shared" si="173"/>
        <v>8.0299999999999994</v>
      </c>
      <c r="S339" s="172" t="str">
        <f t="shared" si="201"/>
        <v>открыт</v>
      </c>
      <c r="T339" s="2052" t="str">
        <f t="shared" si="193"/>
        <v>открыт</v>
      </c>
      <c r="U339" s="757">
        <f t="shared" si="206"/>
        <v>23.523809523809526</v>
      </c>
      <c r="V339" s="2254">
        <v>0.3</v>
      </c>
      <c r="W339" s="2254" t="s">
        <v>3033</v>
      </c>
      <c r="X339" s="912"/>
      <c r="Y339" s="2103">
        <v>257</v>
      </c>
      <c r="Z339" s="2102">
        <v>57</v>
      </c>
      <c r="AA339" s="212" t="s">
        <v>224</v>
      </c>
      <c r="AB339" s="230">
        <f t="shared" si="194"/>
        <v>10</v>
      </c>
      <c r="AC339" s="229" t="str">
        <f t="shared" si="195"/>
        <v>+</v>
      </c>
      <c r="AD339" s="229">
        <f t="shared" si="196"/>
        <v>16</v>
      </c>
      <c r="AE339" s="229"/>
      <c r="AF339" s="228"/>
      <c r="AG339" s="212" t="str">
        <f t="shared" si="202"/>
        <v>10+16</v>
      </c>
      <c r="AH339" s="172">
        <f>'Зона ТвЭС'!L674</f>
        <v>1.8880434782608693</v>
      </c>
      <c r="AI339" s="172">
        <f t="shared" si="191"/>
        <v>4.3580434782608695</v>
      </c>
      <c r="AJ339" s="1973">
        <f t="shared" si="197"/>
        <v>0</v>
      </c>
      <c r="AK339" s="212">
        <f t="shared" si="198"/>
        <v>0</v>
      </c>
      <c r="AL339" s="172">
        <f t="shared" si="207"/>
        <v>4.3580434782608695</v>
      </c>
      <c r="AM339" s="1973">
        <f t="shared" si="199"/>
        <v>0</v>
      </c>
      <c r="AN339" s="880">
        <f t="shared" si="190"/>
        <v>10.5</v>
      </c>
      <c r="AO339" s="172">
        <f t="shared" si="208"/>
        <v>6.1419565217391305</v>
      </c>
      <c r="AP339" s="172">
        <f t="shared" si="184"/>
        <v>6.1419565217391305</v>
      </c>
      <c r="AQ339" s="220" t="str">
        <f t="shared" si="203"/>
        <v>открыт</v>
      </c>
      <c r="AR339" s="2052" t="str">
        <f t="shared" si="200"/>
        <v>открыт</v>
      </c>
      <c r="AS339" s="935">
        <f t="shared" si="209"/>
        <v>41.50517598343685</v>
      </c>
      <c r="AT339" s="937" t="s">
        <v>97</v>
      </c>
      <c r="AU339" s="1095">
        <v>1971</v>
      </c>
      <c r="AV339" s="1101" t="s">
        <v>3218</v>
      </c>
      <c r="AW339" s="1103">
        <v>56.7116155893235</v>
      </c>
      <c r="AX339" s="1103">
        <v>36.792128917853603</v>
      </c>
    </row>
    <row r="340" spans="1:50" ht="15" customHeight="1" x14ac:dyDescent="0.25">
      <c r="A340" s="2103">
        <v>258</v>
      </c>
      <c r="B340" s="2103">
        <v>58</v>
      </c>
      <c r="C340" s="212" t="s">
        <v>225</v>
      </c>
      <c r="D340" s="230">
        <v>6.3</v>
      </c>
      <c r="E340" s="229" t="s">
        <v>773</v>
      </c>
      <c r="F340" s="229">
        <v>6.3</v>
      </c>
      <c r="G340" s="229"/>
      <c r="H340" s="228"/>
      <c r="I340" s="229" t="str">
        <f t="shared" si="192"/>
        <v>6,3+6,3</v>
      </c>
      <c r="J340" s="882">
        <v>3.85</v>
      </c>
      <c r="K340" s="889">
        <v>0</v>
      </c>
      <c r="L340" s="124">
        <v>0</v>
      </c>
      <c r="M340" s="172">
        <f t="shared" si="204"/>
        <v>3.85</v>
      </c>
      <c r="N340" s="172">
        <v>0</v>
      </c>
      <c r="O340" s="880"/>
      <c r="P340" s="880">
        <f t="shared" si="189"/>
        <v>6.6150000000000002</v>
      </c>
      <c r="Q340" s="172">
        <f t="shared" si="205"/>
        <v>2.7650000000000001</v>
      </c>
      <c r="R340" s="172">
        <f t="shared" si="173"/>
        <v>2.7650000000000001</v>
      </c>
      <c r="S340" s="172" t="str">
        <f t="shared" si="201"/>
        <v>открыт</v>
      </c>
      <c r="T340" s="2052" t="str">
        <f t="shared" si="193"/>
        <v>открыт</v>
      </c>
      <c r="U340" s="757">
        <f t="shared" si="206"/>
        <v>58.201058201058203</v>
      </c>
      <c r="V340" s="2254">
        <v>0.2</v>
      </c>
      <c r="W340" s="2254" t="s">
        <v>3033</v>
      </c>
      <c r="X340" s="912"/>
      <c r="Y340" s="2103">
        <v>258</v>
      </c>
      <c r="Z340" s="2102">
        <v>58</v>
      </c>
      <c r="AA340" s="212" t="s">
        <v>225</v>
      </c>
      <c r="AB340" s="230">
        <f t="shared" si="194"/>
        <v>6.3</v>
      </c>
      <c r="AC340" s="229" t="str">
        <f t="shared" si="195"/>
        <v>+</v>
      </c>
      <c r="AD340" s="229">
        <f t="shared" si="196"/>
        <v>6.3</v>
      </c>
      <c r="AE340" s="229"/>
      <c r="AF340" s="228"/>
      <c r="AG340" s="212" t="str">
        <f t="shared" si="202"/>
        <v>6,3+6,3</v>
      </c>
      <c r="AH340" s="172">
        <f>'Зона ТвЭС'!L677</f>
        <v>3.2608695652173911</v>
      </c>
      <c r="AI340" s="172">
        <f t="shared" si="191"/>
        <v>7.1108695652173912</v>
      </c>
      <c r="AJ340" s="1973">
        <f t="shared" si="197"/>
        <v>0</v>
      </c>
      <c r="AK340" s="212">
        <f t="shared" si="198"/>
        <v>0</v>
      </c>
      <c r="AL340" s="172">
        <f t="shared" si="207"/>
        <v>7.1108695652173912</v>
      </c>
      <c r="AM340" s="1973">
        <f t="shared" si="199"/>
        <v>0</v>
      </c>
      <c r="AN340" s="880">
        <f t="shared" si="190"/>
        <v>6.6150000000000002</v>
      </c>
      <c r="AO340" s="172">
        <f t="shared" si="208"/>
        <v>-0.49586956521739101</v>
      </c>
      <c r="AP340" s="172">
        <f t="shared" si="184"/>
        <v>-0.49586956521739101</v>
      </c>
      <c r="AQ340" s="220" t="str">
        <f t="shared" si="203"/>
        <v>закрыт</v>
      </c>
      <c r="AR340" s="2052" t="str">
        <f t="shared" si="200"/>
        <v>закрыт</v>
      </c>
      <c r="AS340" s="935">
        <f t="shared" si="209"/>
        <v>107.49613855203917</v>
      </c>
      <c r="AT340" s="937" t="s">
        <v>97</v>
      </c>
      <c r="AU340" s="1095">
        <v>1974</v>
      </c>
      <c r="AV340" s="1101" t="s">
        <v>3218</v>
      </c>
      <c r="AW340" s="1103">
        <v>56.619970187154699</v>
      </c>
      <c r="AX340" s="1103">
        <v>36.200217500076903</v>
      </c>
    </row>
    <row r="341" spans="1:50" ht="15" customHeight="1" x14ac:dyDescent="0.25">
      <c r="A341" s="2103">
        <v>259</v>
      </c>
      <c r="B341" s="2103">
        <v>59</v>
      </c>
      <c r="C341" s="212" t="s">
        <v>3026</v>
      </c>
      <c r="D341" s="230">
        <v>4</v>
      </c>
      <c r="E341" s="229" t="s">
        <v>773</v>
      </c>
      <c r="F341" s="229">
        <v>6.3</v>
      </c>
      <c r="G341" s="229"/>
      <c r="H341" s="228"/>
      <c r="I341" s="229" t="str">
        <f t="shared" si="192"/>
        <v>4+6,3</v>
      </c>
      <c r="J341" s="882">
        <v>2.4</v>
      </c>
      <c r="K341" s="889">
        <v>0</v>
      </c>
      <c r="L341" s="124">
        <v>0</v>
      </c>
      <c r="M341" s="172">
        <f t="shared" si="204"/>
        <v>2.4</v>
      </c>
      <c r="N341" s="172">
        <v>1.5842400000000003</v>
      </c>
      <c r="O341" s="880" t="s">
        <v>20188</v>
      </c>
      <c r="P341" s="880">
        <f t="shared" si="189"/>
        <v>4.2</v>
      </c>
      <c r="Q341" s="172">
        <f t="shared" si="205"/>
        <v>0.21575999999999995</v>
      </c>
      <c r="R341" s="172">
        <f t="shared" si="173"/>
        <v>0.21575999999999995</v>
      </c>
      <c r="S341" s="172" t="str">
        <f t="shared" si="201"/>
        <v>открыт</v>
      </c>
      <c r="T341" s="2052" t="str">
        <f t="shared" si="193"/>
        <v>открыт</v>
      </c>
      <c r="U341" s="757">
        <f t="shared" si="206"/>
        <v>57.142857142857139</v>
      </c>
      <c r="V341" s="2254">
        <v>0.35</v>
      </c>
      <c r="W341" s="2254" t="s">
        <v>3033</v>
      </c>
      <c r="X341" s="912"/>
      <c r="Y341" s="2103">
        <v>259</v>
      </c>
      <c r="Z341" s="2102">
        <v>59</v>
      </c>
      <c r="AA341" s="212" t="s">
        <v>3026</v>
      </c>
      <c r="AB341" s="230">
        <f t="shared" si="194"/>
        <v>4</v>
      </c>
      <c r="AC341" s="229" t="str">
        <f t="shared" si="195"/>
        <v>+</v>
      </c>
      <c r="AD341" s="229">
        <f t="shared" si="196"/>
        <v>6.3</v>
      </c>
      <c r="AE341" s="229"/>
      <c r="AF341" s="228"/>
      <c r="AG341" s="212" t="str">
        <f t="shared" si="202"/>
        <v>4+6,3</v>
      </c>
      <c r="AH341" s="172">
        <f>'Зона ТвЭС'!L694</f>
        <v>0.97532608695652168</v>
      </c>
      <c r="AI341" s="172">
        <f t="shared" si="191"/>
        <v>3.3753260869565214</v>
      </c>
      <c r="AJ341" s="1973">
        <f t="shared" si="197"/>
        <v>0</v>
      </c>
      <c r="AK341" s="212">
        <f t="shared" si="198"/>
        <v>0</v>
      </c>
      <c r="AL341" s="172">
        <f t="shared" si="207"/>
        <v>3.3753260869565214</v>
      </c>
      <c r="AM341" s="1973">
        <f t="shared" si="199"/>
        <v>1.5842400000000003</v>
      </c>
      <c r="AN341" s="880">
        <f t="shared" si="190"/>
        <v>4.2</v>
      </c>
      <c r="AO341" s="172">
        <f t="shared" si="208"/>
        <v>-0.7595660869565215</v>
      </c>
      <c r="AP341" s="172">
        <f t="shared" si="184"/>
        <v>-0.7595660869565215</v>
      </c>
      <c r="AQ341" s="220" t="str">
        <f t="shared" si="203"/>
        <v>закрыт</v>
      </c>
      <c r="AR341" s="2052" t="str">
        <f t="shared" si="200"/>
        <v>закрыт</v>
      </c>
      <c r="AS341" s="935">
        <f t="shared" si="209"/>
        <v>80.364906832298118</v>
      </c>
      <c r="AT341" s="937" t="s">
        <v>97</v>
      </c>
      <c r="AU341" s="1095">
        <v>1975</v>
      </c>
      <c r="AV341" s="1101" t="s">
        <v>3218</v>
      </c>
      <c r="AW341" s="1103">
        <v>56.6755897009702</v>
      </c>
      <c r="AX341" s="1103">
        <v>36.694632804300497</v>
      </c>
    </row>
    <row r="342" spans="1:50" ht="15" customHeight="1" x14ac:dyDescent="0.25">
      <c r="A342" s="2103">
        <v>260</v>
      </c>
      <c r="B342" s="2103">
        <v>60</v>
      </c>
      <c r="C342" s="212" t="s">
        <v>226</v>
      </c>
      <c r="D342" s="230">
        <v>2.5</v>
      </c>
      <c r="E342" s="229" t="s">
        <v>773</v>
      </c>
      <c r="F342" s="229">
        <v>3.2</v>
      </c>
      <c r="G342" s="229"/>
      <c r="H342" s="228"/>
      <c r="I342" s="229" t="str">
        <f t="shared" si="192"/>
        <v>2,5+3,2</v>
      </c>
      <c r="J342" s="882">
        <v>2.4300000000000002</v>
      </c>
      <c r="K342" s="889">
        <v>0</v>
      </c>
      <c r="L342" s="124">
        <v>0</v>
      </c>
      <c r="M342" s="172">
        <f t="shared" si="204"/>
        <v>2.4300000000000002</v>
      </c>
      <c r="N342" s="172">
        <v>0.17699999999999999</v>
      </c>
      <c r="O342" s="880" t="s">
        <v>20188</v>
      </c>
      <c r="P342" s="880">
        <f t="shared" si="189"/>
        <v>2.625</v>
      </c>
      <c r="Q342" s="172">
        <f t="shared" si="205"/>
        <v>1.7999999999999849E-2</v>
      </c>
      <c r="R342" s="172">
        <f t="shared" si="173"/>
        <v>1.7999999999999849E-2</v>
      </c>
      <c r="S342" s="172" t="str">
        <f t="shared" si="201"/>
        <v>открыт</v>
      </c>
      <c r="T342" s="2052" t="str">
        <f t="shared" si="193"/>
        <v>открыт</v>
      </c>
      <c r="U342" s="757">
        <f t="shared" si="206"/>
        <v>92.571428571428584</v>
      </c>
      <c r="V342" s="2254">
        <v>0.5</v>
      </c>
      <c r="W342" s="2254" t="s">
        <v>3033</v>
      </c>
      <c r="X342" s="912"/>
      <c r="Y342" s="2103">
        <v>260</v>
      </c>
      <c r="Z342" s="2102">
        <v>60</v>
      </c>
      <c r="AA342" s="212" t="s">
        <v>226</v>
      </c>
      <c r="AB342" s="230">
        <f t="shared" si="194"/>
        <v>2.5</v>
      </c>
      <c r="AC342" s="229" t="str">
        <f t="shared" si="195"/>
        <v>+</v>
      </c>
      <c r="AD342" s="229">
        <f t="shared" si="196"/>
        <v>3.2</v>
      </c>
      <c r="AE342" s="229"/>
      <c r="AF342" s="228"/>
      <c r="AG342" s="212" t="str">
        <f t="shared" si="202"/>
        <v>2,5+3,2</v>
      </c>
      <c r="AH342" s="172">
        <f>'Зона ТвЭС'!L716</f>
        <v>1.2774456521739128</v>
      </c>
      <c r="AI342" s="172">
        <f t="shared" si="191"/>
        <v>3.707445652173913</v>
      </c>
      <c r="AJ342" s="1973">
        <f t="shared" si="197"/>
        <v>0</v>
      </c>
      <c r="AK342" s="212">
        <f t="shared" si="198"/>
        <v>0</v>
      </c>
      <c r="AL342" s="172">
        <f t="shared" si="207"/>
        <v>3.707445652173913</v>
      </c>
      <c r="AM342" s="1973">
        <f t="shared" si="199"/>
        <v>0.17699999999999999</v>
      </c>
      <c r="AN342" s="880">
        <f t="shared" si="190"/>
        <v>2.625</v>
      </c>
      <c r="AO342" s="172">
        <f t="shared" si="208"/>
        <v>-1.259445652173913</v>
      </c>
      <c r="AP342" s="172">
        <f t="shared" si="184"/>
        <v>-1.259445652173913</v>
      </c>
      <c r="AQ342" s="220" t="str">
        <f t="shared" si="203"/>
        <v>закрыт</v>
      </c>
      <c r="AR342" s="2052" t="str">
        <f t="shared" si="200"/>
        <v>закрыт</v>
      </c>
      <c r="AS342" s="935">
        <f t="shared" si="209"/>
        <v>141.2360248447205</v>
      </c>
      <c r="AT342" s="937" t="s">
        <v>97</v>
      </c>
      <c r="AU342" s="1095">
        <v>1978</v>
      </c>
      <c r="AV342" s="1101" t="s">
        <v>3218</v>
      </c>
      <c r="AW342" s="1103">
        <v>56.698820872395601</v>
      </c>
      <c r="AX342" s="1103">
        <v>36.307776077415099</v>
      </c>
    </row>
    <row r="343" spans="1:50" ht="15" customHeight="1" x14ac:dyDescent="0.25">
      <c r="A343" s="2103">
        <v>261</v>
      </c>
      <c r="B343" s="2103">
        <v>61</v>
      </c>
      <c r="C343" s="212" t="s">
        <v>227</v>
      </c>
      <c r="D343" s="230">
        <v>1.6</v>
      </c>
      <c r="E343" s="229" t="s">
        <v>773</v>
      </c>
      <c r="F343" s="229">
        <v>2.5</v>
      </c>
      <c r="G343" s="229"/>
      <c r="H343" s="228"/>
      <c r="I343" s="229" t="str">
        <f t="shared" si="192"/>
        <v>1,6+2,5</v>
      </c>
      <c r="J343" s="882">
        <v>1.05</v>
      </c>
      <c r="K343" s="889">
        <v>0</v>
      </c>
      <c r="L343" s="124">
        <v>0</v>
      </c>
      <c r="M343" s="172">
        <f t="shared" si="204"/>
        <v>1.05</v>
      </c>
      <c r="N343" s="172">
        <v>0</v>
      </c>
      <c r="O343" s="880"/>
      <c r="P343" s="880">
        <f t="shared" si="189"/>
        <v>1.6800000000000002</v>
      </c>
      <c r="Q343" s="172">
        <f t="shared" si="205"/>
        <v>0.63000000000000012</v>
      </c>
      <c r="R343" s="172">
        <f t="shared" si="173"/>
        <v>0.63000000000000012</v>
      </c>
      <c r="S343" s="172" t="str">
        <f t="shared" si="201"/>
        <v>открыт</v>
      </c>
      <c r="T343" s="2052" t="str">
        <f t="shared" si="193"/>
        <v>открыт</v>
      </c>
      <c r="U343" s="757">
        <f t="shared" si="206"/>
        <v>62.499999999999993</v>
      </c>
      <c r="V343" s="2254"/>
      <c r="W343" s="2254" t="s">
        <v>3032</v>
      </c>
      <c r="X343" s="912"/>
      <c r="Y343" s="2103">
        <v>261</v>
      </c>
      <c r="Z343" s="2102">
        <v>61</v>
      </c>
      <c r="AA343" s="212" t="s">
        <v>227</v>
      </c>
      <c r="AB343" s="230">
        <f t="shared" si="194"/>
        <v>1.6</v>
      </c>
      <c r="AC343" s="229" t="str">
        <f t="shared" si="195"/>
        <v>+</v>
      </c>
      <c r="AD343" s="229">
        <f t="shared" si="196"/>
        <v>2.5</v>
      </c>
      <c r="AE343" s="229"/>
      <c r="AF343" s="228"/>
      <c r="AG343" s="212" t="str">
        <f t="shared" si="202"/>
        <v>1,6+2,5</v>
      </c>
      <c r="AH343" s="172">
        <f>'Зона ТвЭС'!L725</f>
        <v>0.24456521739130432</v>
      </c>
      <c r="AI343" s="172">
        <f t="shared" si="191"/>
        <v>1.2945652173913045</v>
      </c>
      <c r="AJ343" s="1973">
        <f t="shared" si="197"/>
        <v>0</v>
      </c>
      <c r="AK343" s="212">
        <f t="shared" si="198"/>
        <v>0</v>
      </c>
      <c r="AL343" s="172">
        <f t="shared" si="207"/>
        <v>1.2945652173913045</v>
      </c>
      <c r="AM343" s="1973">
        <f t="shared" si="199"/>
        <v>0</v>
      </c>
      <c r="AN343" s="880">
        <f t="shared" si="190"/>
        <v>1.6800000000000002</v>
      </c>
      <c r="AO343" s="172">
        <f t="shared" si="208"/>
        <v>0.38543478260869568</v>
      </c>
      <c r="AP343" s="172">
        <f t="shared" si="184"/>
        <v>0.38543478260869568</v>
      </c>
      <c r="AQ343" s="220" t="str">
        <f t="shared" si="203"/>
        <v>открыт</v>
      </c>
      <c r="AR343" s="2052" t="str">
        <f t="shared" si="200"/>
        <v>открыт</v>
      </c>
      <c r="AS343" s="935">
        <f t="shared" si="209"/>
        <v>77.057453416149059</v>
      </c>
      <c r="AT343" s="937" t="s">
        <v>97</v>
      </c>
      <c r="AU343" s="1095">
        <v>1978</v>
      </c>
      <c r="AV343" s="1101" t="s">
        <v>3218</v>
      </c>
      <c r="AW343" s="1103">
        <v>56.645054053303902</v>
      </c>
      <c r="AX343" s="1103">
        <v>36.441536564170796</v>
      </c>
    </row>
    <row r="344" spans="1:50" ht="15" customHeight="1" x14ac:dyDescent="0.25">
      <c r="A344" s="2103">
        <v>262</v>
      </c>
      <c r="B344" s="2103">
        <v>62</v>
      </c>
      <c r="C344" s="212" t="s">
        <v>16909</v>
      </c>
      <c r="D344" s="230">
        <v>2.5</v>
      </c>
      <c r="E344" s="229" t="s">
        <v>773</v>
      </c>
      <c r="F344" s="229">
        <v>2.5</v>
      </c>
      <c r="G344" s="229"/>
      <c r="H344" s="228"/>
      <c r="I344" s="229" t="str">
        <f t="shared" si="192"/>
        <v>2,5+2,5</v>
      </c>
      <c r="J344" s="882">
        <v>1.63</v>
      </c>
      <c r="K344" s="889">
        <v>0</v>
      </c>
      <c r="L344" s="124">
        <v>0</v>
      </c>
      <c r="M344" s="172">
        <f t="shared" si="204"/>
        <v>1.63</v>
      </c>
      <c r="N344" s="172">
        <v>0</v>
      </c>
      <c r="O344" s="880"/>
      <c r="P344" s="880">
        <f t="shared" si="189"/>
        <v>2.625</v>
      </c>
      <c r="Q344" s="172">
        <f t="shared" si="205"/>
        <v>0.99500000000000011</v>
      </c>
      <c r="R344" s="172">
        <f t="shared" si="173"/>
        <v>0.99500000000000011</v>
      </c>
      <c r="S344" s="172" t="str">
        <f t="shared" si="201"/>
        <v>открыт</v>
      </c>
      <c r="T344" s="2052" t="str">
        <f t="shared" si="193"/>
        <v>открыт</v>
      </c>
      <c r="U344" s="757">
        <f t="shared" si="206"/>
        <v>62.095238095238095</v>
      </c>
      <c r="V344" s="2254"/>
      <c r="W344" s="2254" t="s">
        <v>3032</v>
      </c>
      <c r="X344" s="912"/>
      <c r="Y344" s="2103">
        <v>262</v>
      </c>
      <c r="Z344" s="2102">
        <v>62</v>
      </c>
      <c r="AA344" s="212" t="s">
        <v>16909</v>
      </c>
      <c r="AB344" s="230">
        <f t="shared" si="194"/>
        <v>2.5</v>
      </c>
      <c r="AC344" s="229" t="str">
        <f t="shared" si="195"/>
        <v>+</v>
      </c>
      <c r="AD344" s="229">
        <f t="shared" si="196"/>
        <v>2.5</v>
      </c>
      <c r="AE344" s="229"/>
      <c r="AF344" s="228"/>
      <c r="AG344" s="212" t="str">
        <f t="shared" si="202"/>
        <v>2,5+2,5</v>
      </c>
      <c r="AH344" s="172">
        <f>'Зона ТвЭС'!L730</f>
        <v>9.7826086956521764E-3</v>
      </c>
      <c r="AI344" s="172">
        <f t="shared" si="191"/>
        <v>1.6397826086956522</v>
      </c>
      <c r="AJ344" s="1973">
        <f t="shared" si="197"/>
        <v>0</v>
      </c>
      <c r="AK344" s="212">
        <f t="shared" si="198"/>
        <v>0</v>
      </c>
      <c r="AL344" s="172">
        <f t="shared" si="207"/>
        <v>1.6397826086956522</v>
      </c>
      <c r="AM344" s="1973">
        <f t="shared" si="199"/>
        <v>0</v>
      </c>
      <c r="AN344" s="880">
        <f t="shared" si="190"/>
        <v>2.625</v>
      </c>
      <c r="AO344" s="172">
        <f t="shared" si="208"/>
        <v>0.98521739130434782</v>
      </c>
      <c r="AP344" s="172">
        <f t="shared" si="184"/>
        <v>0.98521739130434782</v>
      </c>
      <c r="AQ344" s="220" t="str">
        <f t="shared" si="203"/>
        <v>открыт</v>
      </c>
      <c r="AR344" s="2052" t="str">
        <f t="shared" si="200"/>
        <v>открыт</v>
      </c>
      <c r="AS344" s="935">
        <f t="shared" si="209"/>
        <v>62.467908902691512</v>
      </c>
      <c r="AT344" s="937" t="s">
        <v>97</v>
      </c>
      <c r="AU344" s="1095">
        <v>1981</v>
      </c>
      <c r="AV344" s="1101" t="s">
        <v>3218</v>
      </c>
      <c r="AW344" s="1103">
        <v>56.663088887268501</v>
      </c>
      <c r="AX344" s="1103">
        <v>36.803259794991298</v>
      </c>
    </row>
    <row r="345" spans="1:50" ht="15" customHeight="1" x14ac:dyDescent="0.25">
      <c r="A345" s="2103">
        <v>263</v>
      </c>
      <c r="B345" s="2103">
        <v>63</v>
      </c>
      <c r="C345" s="212" t="s">
        <v>228</v>
      </c>
      <c r="D345" s="230">
        <v>10</v>
      </c>
      <c r="E345" s="229" t="s">
        <v>773</v>
      </c>
      <c r="F345" s="229">
        <v>10</v>
      </c>
      <c r="G345" s="229"/>
      <c r="H345" s="228"/>
      <c r="I345" s="229" t="str">
        <f t="shared" si="192"/>
        <v>10+10</v>
      </c>
      <c r="J345" s="882">
        <v>4.68</v>
      </c>
      <c r="K345" s="889">
        <v>0</v>
      </c>
      <c r="L345" s="124">
        <v>0</v>
      </c>
      <c r="M345" s="172">
        <f t="shared" si="204"/>
        <v>4.68</v>
      </c>
      <c r="N345" s="172">
        <v>1.17</v>
      </c>
      <c r="O345" s="880" t="s">
        <v>20192</v>
      </c>
      <c r="P345" s="880">
        <f t="shared" si="189"/>
        <v>10.5</v>
      </c>
      <c r="Q345" s="172">
        <f t="shared" si="205"/>
        <v>4.6500000000000004</v>
      </c>
      <c r="R345" s="172">
        <f t="shared" si="173"/>
        <v>4.6500000000000004</v>
      </c>
      <c r="S345" s="172" t="str">
        <f t="shared" si="201"/>
        <v>открыт</v>
      </c>
      <c r="T345" s="2052" t="str">
        <f t="shared" si="193"/>
        <v>открыт</v>
      </c>
      <c r="U345" s="757">
        <f t="shared" si="206"/>
        <v>44.571428571428569</v>
      </c>
      <c r="V345" s="2254">
        <v>0.2</v>
      </c>
      <c r="W345" s="2254" t="s">
        <v>3033</v>
      </c>
      <c r="X345" s="912"/>
      <c r="Y345" s="2103">
        <v>263</v>
      </c>
      <c r="Z345" s="2102">
        <v>63</v>
      </c>
      <c r="AA345" s="212" t="s">
        <v>228</v>
      </c>
      <c r="AB345" s="230">
        <f t="shared" si="194"/>
        <v>10</v>
      </c>
      <c r="AC345" s="229" t="str">
        <f t="shared" si="195"/>
        <v>+</v>
      </c>
      <c r="AD345" s="229">
        <f t="shared" si="196"/>
        <v>10</v>
      </c>
      <c r="AE345" s="229"/>
      <c r="AF345" s="228"/>
      <c r="AG345" s="212" t="str">
        <f t="shared" si="202"/>
        <v>10+10</v>
      </c>
      <c r="AH345" s="172">
        <f>'Зона ТвЭС'!L765</f>
        <v>5.049652173913044</v>
      </c>
      <c r="AI345" s="172">
        <f t="shared" si="191"/>
        <v>9.7296521739130437</v>
      </c>
      <c r="AJ345" s="1973">
        <f t="shared" si="197"/>
        <v>0</v>
      </c>
      <c r="AK345" s="212">
        <f t="shared" si="198"/>
        <v>0</v>
      </c>
      <c r="AL345" s="172">
        <f t="shared" si="207"/>
        <v>9.7296521739130437</v>
      </c>
      <c r="AM345" s="1973">
        <f t="shared" si="199"/>
        <v>1.17</v>
      </c>
      <c r="AN345" s="880">
        <f t="shared" si="190"/>
        <v>10.5</v>
      </c>
      <c r="AO345" s="172">
        <f t="shared" si="208"/>
        <v>-0.39965217391304364</v>
      </c>
      <c r="AP345" s="172">
        <f t="shared" si="184"/>
        <v>-0.39965217391304364</v>
      </c>
      <c r="AQ345" s="220" t="str">
        <f t="shared" si="203"/>
        <v>закрыт</v>
      </c>
      <c r="AR345" s="2052" t="str">
        <f t="shared" si="200"/>
        <v>закрыт</v>
      </c>
      <c r="AS345" s="935">
        <f t="shared" si="209"/>
        <v>92.663354037267084</v>
      </c>
      <c r="AT345" s="937" t="s">
        <v>97</v>
      </c>
      <c r="AU345" s="1095">
        <v>1976</v>
      </c>
      <c r="AV345" s="1101">
        <v>2012</v>
      </c>
      <c r="AW345" s="1103">
        <v>56.583273284638203</v>
      </c>
      <c r="AX345" s="1103">
        <v>36.504831719835202</v>
      </c>
    </row>
    <row r="346" spans="1:50" ht="15" customHeight="1" x14ac:dyDescent="0.25">
      <c r="A346" s="2103">
        <v>264</v>
      </c>
      <c r="B346" s="2103">
        <v>64</v>
      </c>
      <c r="C346" s="212" t="s">
        <v>229</v>
      </c>
      <c r="D346" s="230">
        <v>4</v>
      </c>
      <c r="E346" s="229" t="s">
        <v>773</v>
      </c>
      <c r="F346" s="229">
        <v>2.5</v>
      </c>
      <c r="G346" s="229"/>
      <c r="H346" s="228"/>
      <c r="I346" s="229" t="str">
        <f t="shared" si="192"/>
        <v>4+2,5</v>
      </c>
      <c r="J346" s="882">
        <v>3.06</v>
      </c>
      <c r="K346" s="889">
        <v>0</v>
      </c>
      <c r="L346" s="124">
        <v>0</v>
      </c>
      <c r="M346" s="172">
        <f t="shared" si="204"/>
        <v>3.06</v>
      </c>
      <c r="N346" s="172">
        <v>0</v>
      </c>
      <c r="O346" s="880"/>
      <c r="P346" s="880">
        <f t="shared" si="189"/>
        <v>2.625</v>
      </c>
      <c r="Q346" s="172">
        <f t="shared" si="205"/>
        <v>-0.43500000000000005</v>
      </c>
      <c r="R346" s="172">
        <f t="shared" si="173"/>
        <v>-0.43500000000000005</v>
      </c>
      <c r="S346" s="172" t="str">
        <f t="shared" si="201"/>
        <v>закрыт</v>
      </c>
      <c r="T346" s="2052" t="str">
        <f t="shared" si="193"/>
        <v>закрыт</v>
      </c>
      <c r="U346" s="757">
        <f t="shared" si="206"/>
        <v>116.57142857142857</v>
      </c>
      <c r="V346" s="2254">
        <v>0.15</v>
      </c>
      <c r="W346" s="2254" t="s">
        <v>3033</v>
      </c>
      <c r="X346" s="912"/>
      <c r="Y346" s="2103">
        <v>264</v>
      </c>
      <c r="Z346" s="2102">
        <v>64</v>
      </c>
      <c r="AA346" s="212" t="s">
        <v>229</v>
      </c>
      <c r="AB346" s="230">
        <f t="shared" si="194"/>
        <v>4</v>
      </c>
      <c r="AC346" s="229" t="str">
        <f t="shared" si="195"/>
        <v>+</v>
      </c>
      <c r="AD346" s="229">
        <f t="shared" si="196"/>
        <v>2.5</v>
      </c>
      <c r="AE346" s="229"/>
      <c r="AF346" s="228"/>
      <c r="AG346" s="212" t="str">
        <f t="shared" si="202"/>
        <v>4+2,5</v>
      </c>
      <c r="AH346" s="172">
        <f>'Зона ТвЭС'!L770</f>
        <v>0</v>
      </c>
      <c r="AI346" s="172">
        <f t="shared" si="191"/>
        <v>3.06</v>
      </c>
      <c r="AJ346" s="1973">
        <f t="shared" si="197"/>
        <v>0</v>
      </c>
      <c r="AK346" s="212">
        <f t="shared" si="198"/>
        <v>0</v>
      </c>
      <c r="AL346" s="172">
        <f t="shared" si="207"/>
        <v>3.06</v>
      </c>
      <c r="AM346" s="1973">
        <f t="shared" si="199"/>
        <v>0</v>
      </c>
      <c r="AN346" s="880">
        <f t="shared" si="190"/>
        <v>2.625</v>
      </c>
      <c r="AO346" s="172">
        <f t="shared" si="208"/>
        <v>-0.43500000000000005</v>
      </c>
      <c r="AP346" s="172">
        <f t="shared" si="184"/>
        <v>-0.43500000000000005</v>
      </c>
      <c r="AQ346" s="220" t="str">
        <f t="shared" si="203"/>
        <v>закрыт</v>
      </c>
      <c r="AR346" s="2052" t="str">
        <f t="shared" si="200"/>
        <v>закрыт</v>
      </c>
      <c r="AS346" s="935">
        <f t="shared" si="209"/>
        <v>116.57142857142857</v>
      </c>
      <c r="AT346" s="937" t="s">
        <v>97</v>
      </c>
      <c r="AU346" s="1095">
        <v>1987</v>
      </c>
      <c r="AV346" s="1101" t="s">
        <v>3218</v>
      </c>
      <c r="AW346" s="1103">
        <v>56.675776138183203</v>
      </c>
      <c r="AX346" s="1103">
        <v>36.681326282337302</v>
      </c>
    </row>
    <row r="347" spans="1:50" ht="15" customHeight="1" x14ac:dyDescent="0.25">
      <c r="A347" s="2103">
        <v>265</v>
      </c>
      <c r="B347" s="2103">
        <v>65</v>
      </c>
      <c r="C347" s="212" t="s">
        <v>230</v>
      </c>
      <c r="D347" s="230">
        <v>4</v>
      </c>
      <c r="E347" s="229" t="s">
        <v>773</v>
      </c>
      <c r="F347" s="229">
        <v>4</v>
      </c>
      <c r="G347" s="229"/>
      <c r="H347" s="228"/>
      <c r="I347" s="229" t="str">
        <f t="shared" si="192"/>
        <v>4+4</v>
      </c>
      <c r="J347" s="882">
        <v>3.13</v>
      </c>
      <c r="K347" s="889">
        <v>0</v>
      </c>
      <c r="L347" s="124">
        <v>0</v>
      </c>
      <c r="M347" s="172">
        <f t="shared" si="204"/>
        <v>3.13</v>
      </c>
      <c r="N347" s="172">
        <v>0</v>
      </c>
      <c r="O347" s="880"/>
      <c r="P347" s="880">
        <f t="shared" si="189"/>
        <v>4.2</v>
      </c>
      <c r="Q347" s="172">
        <f t="shared" si="205"/>
        <v>1.0700000000000003</v>
      </c>
      <c r="R347" s="172">
        <f t="shared" si="173"/>
        <v>1.0700000000000003</v>
      </c>
      <c r="S347" s="172" t="str">
        <f t="shared" si="201"/>
        <v>открыт</v>
      </c>
      <c r="T347" s="2052" t="str">
        <f t="shared" si="193"/>
        <v>открыт</v>
      </c>
      <c r="U347" s="757">
        <f t="shared" si="206"/>
        <v>74.523809523809518</v>
      </c>
      <c r="V347" s="2254">
        <v>0.15</v>
      </c>
      <c r="W347" s="2254" t="s">
        <v>3033</v>
      </c>
      <c r="X347" s="912"/>
      <c r="Y347" s="2103">
        <v>265</v>
      </c>
      <c r="Z347" s="2102">
        <v>65</v>
      </c>
      <c r="AA347" s="212" t="s">
        <v>230</v>
      </c>
      <c r="AB347" s="230">
        <f t="shared" si="194"/>
        <v>4</v>
      </c>
      <c r="AC347" s="229" t="str">
        <f t="shared" si="195"/>
        <v>+</v>
      </c>
      <c r="AD347" s="229">
        <f t="shared" si="196"/>
        <v>4</v>
      </c>
      <c r="AE347" s="229"/>
      <c r="AF347" s="228"/>
      <c r="AG347" s="212" t="str">
        <f t="shared" si="202"/>
        <v>4+4</v>
      </c>
      <c r="AH347" s="172">
        <f>'Зона ТвЭС'!L789</f>
        <v>1.5877173913043479</v>
      </c>
      <c r="AI347" s="172">
        <f t="shared" si="191"/>
        <v>4.7177173913043475</v>
      </c>
      <c r="AJ347" s="1973">
        <f t="shared" si="197"/>
        <v>0</v>
      </c>
      <c r="AK347" s="212">
        <f t="shared" si="198"/>
        <v>0</v>
      </c>
      <c r="AL347" s="172">
        <f t="shared" si="207"/>
        <v>4.7177173913043475</v>
      </c>
      <c r="AM347" s="1973">
        <f t="shared" si="199"/>
        <v>0</v>
      </c>
      <c r="AN347" s="880">
        <f t="shared" si="190"/>
        <v>4.2</v>
      </c>
      <c r="AO347" s="172">
        <f t="shared" si="208"/>
        <v>-0.51771739130434735</v>
      </c>
      <c r="AP347" s="172">
        <f t="shared" si="184"/>
        <v>-0.51771739130434735</v>
      </c>
      <c r="AQ347" s="220" t="str">
        <f t="shared" si="203"/>
        <v>закрыт</v>
      </c>
      <c r="AR347" s="2052" t="str">
        <f t="shared" si="200"/>
        <v>закрыт</v>
      </c>
      <c r="AS347" s="935">
        <f t="shared" si="209"/>
        <v>112.32660455486541</v>
      </c>
      <c r="AT347" s="937" t="s">
        <v>97</v>
      </c>
      <c r="AU347" s="1095">
        <v>1980</v>
      </c>
      <c r="AV347" s="213">
        <v>2012</v>
      </c>
      <c r="AW347" s="1103">
        <v>56.771001100550897</v>
      </c>
      <c r="AX347" s="1103">
        <v>36.1039893659825</v>
      </c>
    </row>
    <row r="348" spans="1:50" ht="15" customHeight="1" x14ac:dyDescent="0.25">
      <c r="A348" s="2103">
        <v>266</v>
      </c>
      <c r="B348" s="2103">
        <v>66</v>
      </c>
      <c r="C348" s="212" t="s">
        <v>231</v>
      </c>
      <c r="D348" s="230">
        <v>6.3</v>
      </c>
      <c r="E348" s="229" t="s">
        <v>773</v>
      </c>
      <c r="F348" s="229">
        <v>4</v>
      </c>
      <c r="G348" s="229"/>
      <c r="H348" s="228"/>
      <c r="I348" s="229" t="str">
        <f t="shared" si="192"/>
        <v>6,3+4</v>
      </c>
      <c r="J348" s="882">
        <v>2.6</v>
      </c>
      <c r="K348" s="889">
        <v>0</v>
      </c>
      <c r="L348" s="124">
        <v>0</v>
      </c>
      <c r="M348" s="172">
        <f t="shared" si="204"/>
        <v>2.6</v>
      </c>
      <c r="N348" s="172">
        <v>0</v>
      </c>
      <c r="O348" s="880"/>
      <c r="P348" s="880">
        <f t="shared" si="189"/>
        <v>4.2</v>
      </c>
      <c r="Q348" s="172">
        <f t="shared" si="205"/>
        <v>1.6</v>
      </c>
      <c r="R348" s="172">
        <f t="shared" si="173"/>
        <v>1.6</v>
      </c>
      <c r="S348" s="172" t="str">
        <f t="shared" si="201"/>
        <v>открыт</v>
      </c>
      <c r="T348" s="2052" t="str">
        <f t="shared" si="193"/>
        <v>открыт</v>
      </c>
      <c r="U348" s="757">
        <f t="shared" si="206"/>
        <v>61.904761904761905</v>
      </c>
      <c r="V348" s="2254">
        <v>0.2</v>
      </c>
      <c r="W348" s="2254" t="s">
        <v>3033</v>
      </c>
      <c r="X348" s="912"/>
      <c r="Y348" s="2103">
        <v>266</v>
      </c>
      <c r="Z348" s="2102">
        <v>66</v>
      </c>
      <c r="AA348" s="212" t="s">
        <v>231</v>
      </c>
      <c r="AB348" s="230">
        <f t="shared" si="194"/>
        <v>6.3</v>
      </c>
      <c r="AC348" s="229" t="str">
        <f t="shared" si="195"/>
        <v>+</v>
      </c>
      <c r="AD348" s="229">
        <f t="shared" si="196"/>
        <v>4</v>
      </c>
      <c r="AE348" s="229"/>
      <c r="AF348" s="228"/>
      <c r="AG348" s="212" t="str">
        <f t="shared" si="202"/>
        <v>6,3+4</v>
      </c>
      <c r="AH348" s="172">
        <f>'Зона ТвЭС'!L810</f>
        <v>1.0878260869565215</v>
      </c>
      <c r="AI348" s="172">
        <f t="shared" si="191"/>
        <v>3.6878260869565214</v>
      </c>
      <c r="AJ348" s="1973">
        <f t="shared" si="197"/>
        <v>0</v>
      </c>
      <c r="AK348" s="212">
        <f t="shared" si="198"/>
        <v>0</v>
      </c>
      <c r="AL348" s="172">
        <f t="shared" si="207"/>
        <v>3.6878260869565214</v>
      </c>
      <c r="AM348" s="1973">
        <f t="shared" si="199"/>
        <v>0</v>
      </c>
      <c r="AN348" s="880">
        <f t="shared" si="190"/>
        <v>4.2</v>
      </c>
      <c r="AO348" s="172">
        <f t="shared" si="208"/>
        <v>0.51217391304347881</v>
      </c>
      <c r="AP348" s="172">
        <f t="shared" si="184"/>
        <v>0.51217391304347881</v>
      </c>
      <c r="AQ348" s="220" t="str">
        <f t="shared" si="203"/>
        <v>открыт</v>
      </c>
      <c r="AR348" s="2052" t="str">
        <f t="shared" si="200"/>
        <v>открыт</v>
      </c>
      <c r="AS348" s="935">
        <f t="shared" si="209"/>
        <v>87.805383022774308</v>
      </c>
      <c r="AT348" s="937" t="s">
        <v>97</v>
      </c>
      <c r="AU348" s="1095">
        <v>1980</v>
      </c>
      <c r="AV348" s="1101" t="s">
        <v>3218</v>
      </c>
      <c r="AW348" s="1103">
        <v>56.711062762274103</v>
      </c>
      <c r="AX348" s="1103">
        <v>36.653319898019397</v>
      </c>
    </row>
    <row r="349" spans="1:50" ht="15" customHeight="1" x14ac:dyDescent="0.25">
      <c r="A349" s="2103">
        <v>267</v>
      </c>
      <c r="B349" s="2103">
        <v>67</v>
      </c>
      <c r="C349" s="212" t="s">
        <v>232</v>
      </c>
      <c r="D349" s="230">
        <v>16</v>
      </c>
      <c r="E349" s="229" t="s">
        <v>773</v>
      </c>
      <c r="F349" s="229">
        <v>10</v>
      </c>
      <c r="G349" s="229" t="s">
        <v>773</v>
      </c>
      <c r="H349" s="228">
        <v>10</v>
      </c>
      <c r="I349" s="229" t="str">
        <f t="shared" si="192"/>
        <v>16+10+10</v>
      </c>
      <c r="J349" s="882">
        <v>21.58</v>
      </c>
      <c r="K349" s="889">
        <v>0</v>
      </c>
      <c r="L349" s="124">
        <v>0</v>
      </c>
      <c r="M349" s="172">
        <f>J349-K349</f>
        <v>21.58</v>
      </c>
      <c r="N349" s="172">
        <v>0</v>
      </c>
      <c r="O349" s="880" t="s">
        <v>17065</v>
      </c>
      <c r="P349" s="880">
        <v>16.8</v>
      </c>
      <c r="Q349" s="172">
        <f>P349-M349-N349</f>
        <v>-4.7799999999999976</v>
      </c>
      <c r="R349" s="172">
        <f>Q349</f>
        <v>-4.7799999999999976</v>
      </c>
      <c r="S349" s="172" t="str">
        <f t="shared" si="201"/>
        <v>закрыт</v>
      </c>
      <c r="T349" s="2052" t="str">
        <f t="shared" si="193"/>
        <v>закрыт</v>
      </c>
      <c r="U349" s="757">
        <f t="shared" si="206"/>
        <v>128.45238095238093</v>
      </c>
      <c r="V349" s="2254">
        <v>0.4</v>
      </c>
      <c r="W349" s="2254" t="s">
        <v>3033</v>
      </c>
      <c r="X349" s="912"/>
      <c r="Y349" s="2103">
        <v>267</v>
      </c>
      <c r="Z349" s="2102">
        <v>67</v>
      </c>
      <c r="AA349" s="212" t="s">
        <v>232</v>
      </c>
      <c r="AB349" s="230">
        <f t="shared" si="194"/>
        <v>16</v>
      </c>
      <c r="AC349" s="229" t="str">
        <f t="shared" si="195"/>
        <v>+</v>
      </c>
      <c r="AD349" s="229">
        <f t="shared" si="196"/>
        <v>10</v>
      </c>
      <c r="AE349" s="229" t="str">
        <f>G349</f>
        <v>+</v>
      </c>
      <c r="AF349" s="228">
        <f>H349</f>
        <v>10</v>
      </c>
      <c r="AG349" s="212" t="str">
        <f t="shared" si="202"/>
        <v>16+10+10</v>
      </c>
      <c r="AH349" s="172">
        <f>'Зона ТвЭС'!L817</f>
        <v>0</v>
      </c>
      <c r="AI349" s="172">
        <f t="shared" si="191"/>
        <v>21.58</v>
      </c>
      <c r="AJ349" s="1973">
        <f t="shared" si="197"/>
        <v>0</v>
      </c>
      <c r="AK349" s="212">
        <f t="shared" si="198"/>
        <v>0</v>
      </c>
      <c r="AL349" s="172">
        <f t="shared" si="207"/>
        <v>21.58</v>
      </c>
      <c r="AM349" s="1973">
        <f t="shared" si="199"/>
        <v>0</v>
      </c>
      <c r="AN349" s="880">
        <v>16.8</v>
      </c>
      <c r="AO349" s="172">
        <f t="shared" si="208"/>
        <v>-4.7799999999999976</v>
      </c>
      <c r="AP349" s="172">
        <f>AO349</f>
        <v>-4.7799999999999976</v>
      </c>
      <c r="AQ349" s="220" t="str">
        <f t="shared" si="203"/>
        <v>закрыт</v>
      </c>
      <c r="AR349" s="2052" t="str">
        <f t="shared" si="200"/>
        <v>закрыт</v>
      </c>
      <c r="AS349" s="935">
        <f t="shared" si="209"/>
        <v>128.45238095238093</v>
      </c>
      <c r="AT349" s="937" t="s">
        <v>97</v>
      </c>
      <c r="AU349" s="1095">
        <v>1957</v>
      </c>
      <c r="AV349" s="1101" t="s">
        <v>3218</v>
      </c>
      <c r="AW349" s="1103">
        <v>56.837688982167201</v>
      </c>
      <c r="AX349" s="1103">
        <v>35.913463446160598</v>
      </c>
    </row>
    <row r="350" spans="1:50" ht="15" customHeight="1" x14ac:dyDescent="0.25">
      <c r="A350" s="2103">
        <v>268</v>
      </c>
      <c r="B350" s="2103">
        <v>68</v>
      </c>
      <c r="C350" s="212" t="s">
        <v>233</v>
      </c>
      <c r="D350" s="230">
        <v>10</v>
      </c>
      <c r="E350" s="229" t="s">
        <v>773</v>
      </c>
      <c r="F350" s="229">
        <v>10</v>
      </c>
      <c r="G350" s="229" t="s">
        <v>773</v>
      </c>
      <c r="H350" s="228">
        <v>10</v>
      </c>
      <c r="I350" s="229" t="str">
        <f t="shared" si="192"/>
        <v>10+10+10</v>
      </c>
      <c r="J350" s="882">
        <v>14.12</v>
      </c>
      <c r="K350" s="889">
        <v>0</v>
      </c>
      <c r="L350" s="124">
        <v>0</v>
      </c>
      <c r="M350" s="172">
        <f t="shared" si="204"/>
        <v>14.12</v>
      </c>
      <c r="N350" s="172">
        <v>0</v>
      </c>
      <c r="O350" s="880"/>
      <c r="P350" s="880">
        <v>21</v>
      </c>
      <c r="Q350" s="172">
        <f t="shared" si="205"/>
        <v>6.8800000000000008</v>
      </c>
      <c r="R350" s="172">
        <f>Q350</f>
        <v>6.8800000000000008</v>
      </c>
      <c r="S350" s="172" t="str">
        <f t="shared" si="201"/>
        <v>открыт</v>
      </c>
      <c r="T350" s="2052" t="str">
        <f t="shared" si="193"/>
        <v>открыт</v>
      </c>
      <c r="U350" s="757">
        <f t="shared" si="206"/>
        <v>67.238095238095241</v>
      </c>
      <c r="V350" s="2254">
        <v>0.44</v>
      </c>
      <c r="W350" s="2254" t="s">
        <v>3033</v>
      </c>
      <c r="X350" s="912"/>
      <c r="Y350" s="2103">
        <v>268</v>
      </c>
      <c r="Z350" s="2102">
        <v>68</v>
      </c>
      <c r="AA350" s="212" t="s">
        <v>233</v>
      </c>
      <c r="AB350" s="230">
        <f t="shared" si="194"/>
        <v>10</v>
      </c>
      <c r="AC350" s="229" t="str">
        <f t="shared" si="195"/>
        <v>+</v>
      </c>
      <c r="AD350" s="229">
        <f t="shared" si="196"/>
        <v>10</v>
      </c>
      <c r="AE350" s="229" t="str">
        <f>G350</f>
        <v>+</v>
      </c>
      <c r="AF350" s="228">
        <f>H350</f>
        <v>10</v>
      </c>
      <c r="AG350" s="212" t="str">
        <f t="shared" si="202"/>
        <v>10+10+10</v>
      </c>
      <c r="AH350" s="172">
        <f>'Зона ТвЭС'!L847</f>
        <v>3.5616847826086948</v>
      </c>
      <c r="AI350" s="172">
        <f t="shared" si="191"/>
        <v>17.681684782608695</v>
      </c>
      <c r="AJ350" s="1973">
        <f t="shared" si="197"/>
        <v>0</v>
      </c>
      <c r="AK350" s="212">
        <f t="shared" si="198"/>
        <v>0</v>
      </c>
      <c r="AL350" s="172">
        <f t="shared" si="207"/>
        <v>17.681684782608695</v>
      </c>
      <c r="AM350" s="1973">
        <f t="shared" si="199"/>
        <v>0</v>
      </c>
      <c r="AN350" s="880">
        <v>21</v>
      </c>
      <c r="AO350" s="172">
        <f t="shared" si="208"/>
        <v>3.3183152173913051</v>
      </c>
      <c r="AP350" s="172">
        <f>AO350</f>
        <v>3.3183152173913051</v>
      </c>
      <c r="AQ350" s="220" t="str">
        <f t="shared" si="203"/>
        <v>открыт</v>
      </c>
      <c r="AR350" s="2052" t="str">
        <f t="shared" si="200"/>
        <v>открыт</v>
      </c>
      <c r="AS350" s="935">
        <f t="shared" si="209"/>
        <v>84.198498964803306</v>
      </c>
      <c r="AT350" s="937" t="s">
        <v>97</v>
      </c>
      <c r="AU350" s="1095">
        <v>1951</v>
      </c>
      <c r="AV350" s="1101" t="s">
        <v>3218</v>
      </c>
      <c r="AW350" s="1103">
        <v>56.872738067369099</v>
      </c>
      <c r="AX350" s="1103">
        <v>35.962227415706899</v>
      </c>
    </row>
    <row r="351" spans="1:50" ht="15" customHeight="1" x14ac:dyDescent="0.25">
      <c r="A351" s="2418">
        <v>269</v>
      </c>
      <c r="B351" s="2418">
        <v>69</v>
      </c>
      <c r="C351" s="1983" t="s">
        <v>234</v>
      </c>
      <c r="D351" s="1975">
        <v>10</v>
      </c>
      <c r="E351" s="1976"/>
      <c r="F351" s="1976"/>
      <c r="G351" s="1976"/>
      <c r="H351" s="1977"/>
      <c r="I351" s="1976" t="str">
        <f t="shared" si="192"/>
        <v>10</v>
      </c>
      <c r="J351" s="1978">
        <v>1.77</v>
      </c>
      <c r="K351" s="2053">
        <v>1.28</v>
      </c>
      <c r="L351" s="2054" t="s">
        <v>334</v>
      </c>
      <c r="M351" s="1981">
        <f>K351</f>
        <v>1.28</v>
      </c>
      <c r="N351" s="1981">
        <v>0</v>
      </c>
      <c r="O351" s="1982"/>
      <c r="P351" s="1982">
        <f>M351-N351</f>
        <v>1.28</v>
      </c>
      <c r="Q351" s="1981">
        <f>P351-J351</f>
        <v>-0.49</v>
      </c>
      <c r="R351" s="2408">
        <f>MIN(Q351:Q353)</f>
        <v>-0.49</v>
      </c>
      <c r="S351" s="2408" t="str">
        <f>T351</f>
        <v>закрыт</v>
      </c>
      <c r="T351" s="2052" t="str">
        <f t="shared" si="193"/>
        <v>закрыт</v>
      </c>
      <c r="U351" s="2398">
        <f>(J351*100)/(I351*1.05)</f>
        <v>16.857142857142858</v>
      </c>
      <c r="V351" s="2398">
        <v>0.4</v>
      </c>
      <c r="W351" s="2398" t="s">
        <v>3033</v>
      </c>
      <c r="X351" s="912"/>
      <c r="Y351" s="2418">
        <v>269</v>
      </c>
      <c r="Z351" s="2421">
        <v>69</v>
      </c>
      <c r="AA351" s="1983" t="s">
        <v>234</v>
      </c>
      <c r="AB351" s="1975">
        <f t="shared" si="194"/>
        <v>10</v>
      </c>
      <c r="AC351" s="1976"/>
      <c r="AD351" s="1976"/>
      <c r="AE351" s="1976"/>
      <c r="AF351" s="1977"/>
      <c r="AG351" s="1983" t="str">
        <f t="shared" si="202"/>
        <v>10</v>
      </c>
      <c r="AH351" s="1981">
        <f>SUM(AH352:AH353)</f>
        <v>1.4990804347826086</v>
      </c>
      <c r="AI351" s="1981">
        <f t="shared" si="191"/>
        <v>3.2690804347826088</v>
      </c>
      <c r="AJ351" s="1981">
        <f t="shared" si="197"/>
        <v>1.28</v>
      </c>
      <c r="AK351" s="1983" t="str">
        <f t="shared" si="198"/>
        <v>1 сутки</v>
      </c>
      <c r="AL351" s="1981">
        <f>AJ351</f>
        <v>1.28</v>
      </c>
      <c r="AM351" s="1981">
        <f t="shared" si="199"/>
        <v>0</v>
      </c>
      <c r="AN351" s="1982">
        <f>AL351-AM351</f>
        <v>1.28</v>
      </c>
      <c r="AO351" s="1981">
        <f>AN351-AI351</f>
        <v>-1.9890804347826088</v>
      </c>
      <c r="AP351" s="2408">
        <f>MIN(AO351:AO353)</f>
        <v>-1.9890804347826088</v>
      </c>
      <c r="AQ351" s="2408" t="str">
        <f>AR351</f>
        <v>закрыт</v>
      </c>
      <c r="AR351" s="2052" t="str">
        <f t="shared" si="200"/>
        <v>закрыт</v>
      </c>
      <c r="AS351" s="2452">
        <f>(AI351*100)/(AG351*1.05)</f>
        <v>31.134099378881988</v>
      </c>
      <c r="AT351" s="937" t="s">
        <v>97</v>
      </c>
      <c r="AU351" s="1095">
        <v>1988</v>
      </c>
      <c r="AV351" s="1101" t="s">
        <v>3218</v>
      </c>
      <c r="AW351" s="1103">
        <v>56.5843719695498</v>
      </c>
      <c r="AX351" s="1103">
        <v>35.7619123136638</v>
      </c>
    </row>
    <row r="352" spans="1:50" ht="15" customHeight="1" x14ac:dyDescent="0.25">
      <c r="A352" s="2418"/>
      <c r="B352" s="2418"/>
      <c r="C352" s="1984" t="s">
        <v>1768</v>
      </c>
      <c r="D352" s="1975">
        <v>10</v>
      </c>
      <c r="E352" s="1976"/>
      <c r="F352" s="1976"/>
      <c r="G352" s="1976"/>
      <c r="H352" s="1977"/>
      <c r="I352" s="1976" t="str">
        <f t="shared" si="192"/>
        <v>10</v>
      </c>
      <c r="J352" s="1978">
        <v>1.55</v>
      </c>
      <c r="K352" s="2053">
        <v>1.06</v>
      </c>
      <c r="L352" s="2054" t="s">
        <v>334</v>
      </c>
      <c r="M352" s="1981">
        <f>K352</f>
        <v>1.06</v>
      </c>
      <c r="N352" s="1981">
        <v>0</v>
      </c>
      <c r="O352" s="1982"/>
      <c r="P352" s="1982">
        <f>M352-N352</f>
        <v>1.06</v>
      </c>
      <c r="Q352" s="1981">
        <f>P352-M352-N352</f>
        <v>0</v>
      </c>
      <c r="R352" s="2409"/>
      <c r="S352" s="2409"/>
      <c r="T352" s="2052" t="str">
        <f t="shared" si="193"/>
        <v>открыт</v>
      </c>
      <c r="U352" s="2398"/>
      <c r="V352" s="2398"/>
      <c r="W352" s="2398"/>
      <c r="X352" s="912"/>
      <c r="Y352" s="2418"/>
      <c r="Z352" s="2421"/>
      <c r="AA352" s="1984" t="s">
        <v>1768</v>
      </c>
      <c r="AB352" s="1975">
        <f t="shared" si="194"/>
        <v>10</v>
      </c>
      <c r="AC352" s="1976"/>
      <c r="AD352" s="1976"/>
      <c r="AE352" s="1976"/>
      <c r="AF352" s="1977"/>
      <c r="AG352" s="1983" t="str">
        <f t="shared" si="202"/>
        <v>10</v>
      </c>
      <c r="AH352" s="1981">
        <f>SUM(AH317)</f>
        <v>1.1938043478260869</v>
      </c>
      <c r="AI352" s="1981">
        <f t="shared" si="191"/>
        <v>2.743804347826087</v>
      </c>
      <c r="AJ352" s="1981">
        <f t="shared" si="197"/>
        <v>1.06</v>
      </c>
      <c r="AK352" s="1983" t="str">
        <f t="shared" si="198"/>
        <v>1 сутки</v>
      </c>
      <c r="AL352" s="1981">
        <f>AJ352</f>
        <v>1.06</v>
      </c>
      <c r="AM352" s="1981">
        <f t="shared" si="199"/>
        <v>0</v>
      </c>
      <c r="AN352" s="1982">
        <f>AL352-AM352</f>
        <v>1.06</v>
      </c>
      <c r="AO352" s="1981">
        <f>AN352-AL352-AM352</f>
        <v>0</v>
      </c>
      <c r="AP352" s="2409"/>
      <c r="AQ352" s="2409"/>
      <c r="AR352" s="2052" t="str">
        <f t="shared" si="200"/>
        <v>открыт</v>
      </c>
      <c r="AS352" s="2453"/>
      <c r="AT352" s="937" t="s">
        <v>97</v>
      </c>
      <c r="AU352" s="1095">
        <v>1988</v>
      </c>
      <c r="AV352" s="1101" t="s">
        <v>3218</v>
      </c>
      <c r="AW352" s="1103">
        <v>56.5843719695498</v>
      </c>
      <c r="AX352" s="1103">
        <v>35.7619123136638</v>
      </c>
    </row>
    <row r="353" spans="1:50" ht="15" customHeight="1" x14ac:dyDescent="0.25">
      <c r="A353" s="2418"/>
      <c r="B353" s="2418"/>
      <c r="C353" s="1984" t="s">
        <v>1767</v>
      </c>
      <c r="D353" s="1975">
        <v>10</v>
      </c>
      <c r="E353" s="1976"/>
      <c r="F353" s="1976"/>
      <c r="G353" s="1976"/>
      <c r="H353" s="1977"/>
      <c r="I353" s="1976" t="str">
        <f t="shared" si="192"/>
        <v>10</v>
      </c>
      <c r="J353" s="1978">
        <v>0.22</v>
      </c>
      <c r="K353" s="2055">
        <v>0.22</v>
      </c>
      <c r="L353" s="2054" t="s">
        <v>334</v>
      </c>
      <c r="M353" s="1981">
        <f>K353</f>
        <v>0.22</v>
      </c>
      <c r="N353" s="1981">
        <v>0</v>
      </c>
      <c r="O353" s="1982"/>
      <c r="P353" s="1982">
        <f>M353-N353</f>
        <v>0.22</v>
      </c>
      <c r="Q353" s="1981">
        <f>P353-J353</f>
        <v>0</v>
      </c>
      <c r="R353" s="2410"/>
      <c r="S353" s="2410"/>
      <c r="T353" s="2052" t="str">
        <f t="shared" si="193"/>
        <v>открыт</v>
      </c>
      <c r="U353" s="2398"/>
      <c r="V353" s="2398"/>
      <c r="W353" s="2398"/>
      <c r="X353" s="912"/>
      <c r="Y353" s="2418"/>
      <c r="Z353" s="2421"/>
      <c r="AA353" s="1984" t="s">
        <v>1767</v>
      </c>
      <c r="AB353" s="1975">
        <f t="shared" si="194"/>
        <v>10</v>
      </c>
      <c r="AC353" s="1976"/>
      <c r="AD353" s="1976"/>
      <c r="AE353" s="1976"/>
      <c r="AF353" s="1977"/>
      <c r="AG353" s="1983" t="str">
        <f t="shared" si="202"/>
        <v>10</v>
      </c>
      <c r="AH353" s="1981">
        <f>'Зона ТвЭС'!L853</f>
        <v>0.3052760869565217</v>
      </c>
      <c r="AI353" s="1981">
        <f t="shared" si="191"/>
        <v>0.52527608695652173</v>
      </c>
      <c r="AJ353" s="1981">
        <f t="shared" si="197"/>
        <v>0.22</v>
      </c>
      <c r="AK353" s="1983" t="str">
        <f t="shared" si="198"/>
        <v>1 сутки</v>
      </c>
      <c r="AL353" s="1981">
        <f>AJ353</f>
        <v>0.22</v>
      </c>
      <c r="AM353" s="1981">
        <f t="shared" si="199"/>
        <v>0</v>
      </c>
      <c r="AN353" s="1982">
        <f>AL353-AM353</f>
        <v>0.22</v>
      </c>
      <c r="AO353" s="1981">
        <f>AN353-AI353</f>
        <v>-0.30527608695652175</v>
      </c>
      <c r="AP353" s="2410"/>
      <c r="AQ353" s="2410"/>
      <c r="AR353" s="2052" t="str">
        <f t="shared" si="200"/>
        <v>открыт</v>
      </c>
      <c r="AS353" s="2454"/>
      <c r="AT353" s="937" t="s">
        <v>97</v>
      </c>
      <c r="AU353" s="1095">
        <v>1988</v>
      </c>
      <c r="AV353" s="1101" t="s">
        <v>3218</v>
      </c>
      <c r="AW353" s="1103">
        <v>56.5843719695498</v>
      </c>
      <c r="AX353" s="1103">
        <v>35.7619123136638</v>
      </c>
    </row>
    <row r="354" spans="1:50" ht="15" customHeight="1" x14ac:dyDescent="0.25">
      <c r="A354" s="2419">
        <v>270</v>
      </c>
      <c r="B354" s="2419">
        <v>70</v>
      </c>
      <c r="C354" s="212" t="s">
        <v>235</v>
      </c>
      <c r="D354" s="230">
        <v>40</v>
      </c>
      <c r="E354" s="229" t="s">
        <v>773</v>
      </c>
      <c r="F354" s="229">
        <v>40</v>
      </c>
      <c r="G354" s="229"/>
      <c r="H354" s="228"/>
      <c r="I354" s="229" t="str">
        <f t="shared" si="192"/>
        <v>40+40</v>
      </c>
      <c r="J354" s="882">
        <v>20.83</v>
      </c>
      <c r="K354" s="889">
        <v>0</v>
      </c>
      <c r="L354" s="124">
        <v>0</v>
      </c>
      <c r="M354" s="172">
        <f t="shared" ref="M354:M386" si="210">J354-K354</f>
        <v>20.83</v>
      </c>
      <c r="N354" s="172">
        <v>0</v>
      </c>
      <c r="O354" s="880"/>
      <c r="P354" s="880">
        <f t="shared" ref="P354:P386" si="211">MIN(D354:F354)*1.05</f>
        <v>42</v>
      </c>
      <c r="Q354" s="172">
        <f t="shared" ref="Q354:Q384" si="212">P354-M354-N354</f>
        <v>21.17</v>
      </c>
      <c r="R354" s="2420">
        <f>MIN(Q354:Q356)</f>
        <v>10.46</v>
      </c>
      <c r="S354" s="2398" t="str">
        <f t="shared" si="201"/>
        <v>открыт</v>
      </c>
      <c r="T354" s="2052" t="str">
        <f t="shared" si="193"/>
        <v>открыт</v>
      </c>
      <c r="U354" s="2398">
        <f>(J354*100)/P354</f>
        <v>49.595238095238095</v>
      </c>
      <c r="V354" s="2398">
        <v>0.35</v>
      </c>
      <c r="W354" s="2398" t="s">
        <v>3033</v>
      </c>
      <c r="X354" s="912"/>
      <c r="Y354" s="2419">
        <v>270</v>
      </c>
      <c r="Z354" s="2411">
        <v>70</v>
      </c>
      <c r="AA354" s="212" t="s">
        <v>235</v>
      </c>
      <c r="AB354" s="230">
        <f t="shared" si="194"/>
        <v>40</v>
      </c>
      <c r="AC354" s="229" t="str">
        <f t="shared" si="195"/>
        <v>+</v>
      </c>
      <c r="AD354" s="229">
        <f t="shared" si="196"/>
        <v>40</v>
      </c>
      <c r="AE354" s="229"/>
      <c r="AF354" s="228"/>
      <c r="AG354" s="212" t="str">
        <f t="shared" si="202"/>
        <v>40+40</v>
      </c>
      <c r="AH354" s="172">
        <f>SUM(AH355:AH356)</f>
        <v>1.8898043478260869</v>
      </c>
      <c r="AI354" s="172">
        <f t="shared" si="191"/>
        <v>22.719804347826084</v>
      </c>
      <c r="AJ354" s="1973">
        <f t="shared" si="197"/>
        <v>0</v>
      </c>
      <c r="AK354" s="212">
        <f t="shared" si="198"/>
        <v>0</v>
      </c>
      <c r="AL354" s="172">
        <f t="shared" ref="AL354:AL386" si="213">AI354-AJ354</f>
        <v>22.719804347826084</v>
      </c>
      <c r="AM354" s="1973">
        <f t="shared" si="199"/>
        <v>0</v>
      </c>
      <c r="AN354" s="880">
        <f t="shared" ref="AN354:AN383" si="214">MIN(AB354:AF354)*1.05</f>
        <v>42</v>
      </c>
      <c r="AO354" s="172">
        <f t="shared" ref="AO354:AO386" si="215">AN354-AL354-AM354</f>
        <v>19.280195652173916</v>
      </c>
      <c r="AP354" s="2405">
        <f>MIN(AO354:AO356)</f>
        <v>8.5701956521739149</v>
      </c>
      <c r="AQ354" s="2405" t="str">
        <f t="shared" si="203"/>
        <v>открыт</v>
      </c>
      <c r="AR354" s="2052" t="str">
        <f t="shared" si="200"/>
        <v>открыт</v>
      </c>
      <c r="AS354" s="2452">
        <f>(AI354*100)/AN354</f>
        <v>54.094772256728774</v>
      </c>
      <c r="AT354" s="937" t="s">
        <v>97</v>
      </c>
      <c r="AU354" s="1095">
        <v>1976</v>
      </c>
      <c r="AV354" s="1101" t="s">
        <v>3218</v>
      </c>
      <c r="AW354" s="1103">
        <v>56.838444047844298</v>
      </c>
      <c r="AX354" s="1103">
        <v>35.791613740737702</v>
      </c>
    </row>
    <row r="355" spans="1:50" ht="15" customHeight="1" x14ac:dyDescent="0.25">
      <c r="A355" s="2419"/>
      <c r="B355" s="2419"/>
      <c r="C355" s="7" t="s">
        <v>1768</v>
      </c>
      <c r="D355" s="230">
        <v>20</v>
      </c>
      <c r="E355" s="229" t="s">
        <v>773</v>
      </c>
      <c r="F355" s="229">
        <v>20</v>
      </c>
      <c r="G355" s="229"/>
      <c r="H355" s="228"/>
      <c r="I355" s="229" t="str">
        <f t="shared" si="192"/>
        <v>20+20</v>
      </c>
      <c r="J355" s="882">
        <v>10.54</v>
      </c>
      <c r="K355" s="890">
        <v>0</v>
      </c>
      <c r="L355" s="125">
        <v>0</v>
      </c>
      <c r="M355" s="172">
        <f t="shared" si="210"/>
        <v>10.54</v>
      </c>
      <c r="N355" s="172">
        <v>0</v>
      </c>
      <c r="O355" s="880"/>
      <c r="P355" s="880">
        <f t="shared" si="211"/>
        <v>21</v>
      </c>
      <c r="Q355" s="172">
        <f t="shared" si="212"/>
        <v>10.46</v>
      </c>
      <c r="R355" s="2420"/>
      <c r="S355" s="2399" t="str">
        <f t="shared" si="201"/>
        <v>открыт</v>
      </c>
      <c r="T355" s="2052" t="str">
        <f t="shared" si="193"/>
        <v>открыт</v>
      </c>
      <c r="U355" s="2399"/>
      <c r="V355" s="2399"/>
      <c r="W355" s="2399"/>
      <c r="X355" s="912"/>
      <c r="Y355" s="2419"/>
      <c r="Z355" s="2411"/>
      <c r="AA355" s="7" t="s">
        <v>1768</v>
      </c>
      <c r="AB355" s="230">
        <f t="shared" si="194"/>
        <v>20</v>
      </c>
      <c r="AC355" s="229" t="str">
        <f t="shared" si="195"/>
        <v>+</v>
      </c>
      <c r="AD355" s="229">
        <f t="shared" si="196"/>
        <v>20</v>
      </c>
      <c r="AE355" s="229"/>
      <c r="AF355" s="228"/>
      <c r="AG355" s="212" t="str">
        <f t="shared" si="202"/>
        <v>20+20</v>
      </c>
      <c r="AH355" s="172">
        <f>'Зона ТвЭС'!L860</f>
        <v>1.8898043478260869</v>
      </c>
      <c r="AI355" s="172">
        <f t="shared" si="191"/>
        <v>12.429804347826085</v>
      </c>
      <c r="AJ355" s="1973">
        <f t="shared" si="197"/>
        <v>0</v>
      </c>
      <c r="AK355" s="212">
        <f t="shared" si="198"/>
        <v>0</v>
      </c>
      <c r="AL355" s="172">
        <f t="shared" si="213"/>
        <v>12.429804347826085</v>
      </c>
      <c r="AM355" s="1973">
        <f t="shared" si="199"/>
        <v>0</v>
      </c>
      <c r="AN355" s="880">
        <f t="shared" si="214"/>
        <v>21</v>
      </c>
      <c r="AO355" s="172">
        <f t="shared" si="215"/>
        <v>8.5701956521739149</v>
      </c>
      <c r="AP355" s="2406"/>
      <c r="AQ355" s="2406" t="str">
        <f t="shared" si="203"/>
        <v>открыт</v>
      </c>
      <c r="AR355" s="2052" t="str">
        <f t="shared" si="200"/>
        <v>открыт</v>
      </c>
      <c r="AS355" s="2453"/>
      <c r="AT355" s="937" t="s">
        <v>97</v>
      </c>
      <c r="AU355" s="1095">
        <v>1976</v>
      </c>
      <c r="AV355" s="1101" t="s">
        <v>3218</v>
      </c>
      <c r="AW355" s="1103">
        <v>56.838444047844298</v>
      </c>
      <c r="AX355" s="1103">
        <v>35.791613740737702</v>
      </c>
    </row>
    <row r="356" spans="1:50" ht="15" customHeight="1" x14ac:dyDescent="0.25">
      <c r="A356" s="2419"/>
      <c r="B356" s="2419"/>
      <c r="C356" s="7" t="s">
        <v>1767</v>
      </c>
      <c r="D356" s="230">
        <v>20</v>
      </c>
      <c r="E356" s="229" t="s">
        <v>773</v>
      </c>
      <c r="F356" s="229">
        <v>20</v>
      </c>
      <c r="G356" s="229"/>
      <c r="H356" s="228"/>
      <c r="I356" s="229" t="str">
        <f t="shared" si="192"/>
        <v>20+20</v>
      </c>
      <c r="J356" s="882">
        <v>10.29</v>
      </c>
      <c r="K356" s="890">
        <v>0</v>
      </c>
      <c r="L356" s="125">
        <v>0</v>
      </c>
      <c r="M356" s="172">
        <f t="shared" si="210"/>
        <v>10.29</v>
      </c>
      <c r="N356" s="172">
        <v>0</v>
      </c>
      <c r="O356" s="880"/>
      <c r="P356" s="880">
        <f t="shared" si="211"/>
        <v>21</v>
      </c>
      <c r="Q356" s="172">
        <f t="shared" si="212"/>
        <v>10.71</v>
      </c>
      <c r="R356" s="2420"/>
      <c r="S356" s="2399" t="str">
        <f t="shared" si="201"/>
        <v>открыт</v>
      </c>
      <c r="T356" s="2052" t="str">
        <f t="shared" si="193"/>
        <v>открыт</v>
      </c>
      <c r="U356" s="2399"/>
      <c r="V356" s="2399"/>
      <c r="W356" s="2399"/>
      <c r="X356" s="912"/>
      <c r="Y356" s="2419"/>
      <c r="Z356" s="2411"/>
      <c r="AA356" s="7" t="s">
        <v>1767</v>
      </c>
      <c r="AB356" s="230">
        <f t="shared" si="194"/>
        <v>20</v>
      </c>
      <c r="AC356" s="229" t="str">
        <f t="shared" si="195"/>
        <v>+</v>
      </c>
      <c r="AD356" s="229">
        <f t="shared" si="196"/>
        <v>20</v>
      </c>
      <c r="AE356" s="229"/>
      <c r="AF356" s="228"/>
      <c r="AG356" s="212" t="str">
        <f t="shared" si="202"/>
        <v>20+20</v>
      </c>
      <c r="AH356" s="172">
        <f>'Зона ТвЭС'!L865</f>
        <v>0</v>
      </c>
      <c r="AI356" s="172">
        <f t="shared" si="191"/>
        <v>10.29</v>
      </c>
      <c r="AJ356" s="1973">
        <f t="shared" si="197"/>
        <v>0</v>
      </c>
      <c r="AK356" s="212">
        <f t="shared" si="198"/>
        <v>0</v>
      </c>
      <c r="AL356" s="172">
        <f t="shared" si="213"/>
        <v>10.29</v>
      </c>
      <c r="AM356" s="1973">
        <f t="shared" si="199"/>
        <v>0</v>
      </c>
      <c r="AN356" s="880">
        <f t="shared" si="214"/>
        <v>21</v>
      </c>
      <c r="AO356" s="172">
        <f t="shared" si="215"/>
        <v>10.71</v>
      </c>
      <c r="AP356" s="2407"/>
      <c r="AQ356" s="2407" t="str">
        <f t="shared" si="203"/>
        <v>открыт</v>
      </c>
      <c r="AR356" s="2052" t="str">
        <f t="shared" si="200"/>
        <v>открыт</v>
      </c>
      <c r="AS356" s="2454"/>
      <c r="AT356" s="937" t="s">
        <v>97</v>
      </c>
      <c r="AU356" s="1095">
        <v>1976</v>
      </c>
      <c r="AV356" s="1101" t="s">
        <v>3218</v>
      </c>
      <c r="AW356" s="1103">
        <v>56.838444047844298</v>
      </c>
      <c r="AX356" s="1103">
        <v>35.791613740737702</v>
      </c>
    </row>
    <row r="357" spans="1:50" ht="15" customHeight="1" x14ac:dyDescent="0.25">
      <c r="A357" s="2419">
        <v>271</v>
      </c>
      <c r="B357" s="2418">
        <v>71</v>
      </c>
      <c r="C357" s="212" t="s">
        <v>236</v>
      </c>
      <c r="D357" s="230">
        <v>40</v>
      </c>
      <c r="E357" s="229" t="s">
        <v>773</v>
      </c>
      <c r="F357" s="229">
        <v>40</v>
      </c>
      <c r="G357" s="229"/>
      <c r="H357" s="228"/>
      <c r="I357" s="229" t="str">
        <f t="shared" si="192"/>
        <v>40+40</v>
      </c>
      <c r="J357" s="882">
        <v>45.89</v>
      </c>
      <c r="K357" s="889">
        <v>9.4700000000000006</v>
      </c>
      <c r="L357" s="124">
        <v>120</v>
      </c>
      <c r="M357" s="172">
        <f t="shared" si="210"/>
        <v>36.42</v>
      </c>
      <c r="N357" s="172">
        <v>0</v>
      </c>
      <c r="O357" s="880"/>
      <c r="P357" s="880">
        <f t="shared" si="211"/>
        <v>42</v>
      </c>
      <c r="Q357" s="172">
        <f t="shared" si="212"/>
        <v>5.5799999999999983</v>
      </c>
      <c r="R357" s="2405">
        <f>MIN(Q357:Q359)</f>
        <v>5.5799999999999983</v>
      </c>
      <c r="S357" s="2398" t="str">
        <f>T357</f>
        <v>открыт</v>
      </c>
      <c r="T357" s="2052" t="str">
        <f t="shared" si="193"/>
        <v>открыт</v>
      </c>
      <c r="U357" s="2398">
        <f>(J357*100)/P357</f>
        <v>109.26190476190476</v>
      </c>
      <c r="V357" s="2398">
        <v>0.4</v>
      </c>
      <c r="W357" s="2398" t="s">
        <v>15270</v>
      </c>
      <c r="X357" s="912"/>
      <c r="Y357" s="2419">
        <v>271</v>
      </c>
      <c r="Z357" s="2421">
        <v>71</v>
      </c>
      <c r="AA357" s="212" t="s">
        <v>236</v>
      </c>
      <c r="AB357" s="230">
        <f t="shared" si="194"/>
        <v>40</v>
      </c>
      <c r="AC357" s="229" t="str">
        <f t="shared" si="195"/>
        <v>+</v>
      </c>
      <c r="AD357" s="229">
        <f t="shared" si="196"/>
        <v>40</v>
      </c>
      <c r="AE357" s="229"/>
      <c r="AF357" s="228"/>
      <c r="AG357" s="212" t="str">
        <f t="shared" si="202"/>
        <v>40+40</v>
      </c>
      <c r="AH357" s="172">
        <f>SUM(AH358:AH359)</f>
        <v>28.629652173913044</v>
      </c>
      <c r="AI357" s="172">
        <f t="shared" si="191"/>
        <v>74.519652173913045</v>
      </c>
      <c r="AJ357" s="1973">
        <f t="shared" si="197"/>
        <v>9.4700000000000006</v>
      </c>
      <c r="AK357" s="212">
        <f t="shared" si="198"/>
        <v>120</v>
      </c>
      <c r="AL357" s="172">
        <f t="shared" si="213"/>
        <v>65.049652173913046</v>
      </c>
      <c r="AM357" s="1973">
        <f t="shared" si="199"/>
        <v>0</v>
      </c>
      <c r="AN357" s="880">
        <f t="shared" si="214"/>
        <v>42</v>
      </c>
      <c r="AO357" s="172">
        <f t="shared" si="215"/>
        <v>-23.049652173913046</v>
      </c>
      <c r="AP357" s="2405">
        <f>MIN(AO357:AO359)</f>
        <v>-23.049652173913046</v>
      </c>
      <c r="AQ357" s="2405" t="str">
        <f>AR357</f>
        <v>закрыт</v>
      </c>
      <c r="AR357" s="2052" t="str">
        <f t="shared" si="200"/>
        <v>закрыт</v>
      </c>
      <c r="AS357" s="2452">
        <f>(AI357*100)/AN357</f>
        <v>177.42774327122154</v>
      </c>
      <c r="AT357" s="937" t="s">
        <v>97</v>
      </c>
      <c r="AU357" s="1095">
        <v>1973</v>
      </c>
      <c r="AV357" s="1101" t="s">
        <v>3218</v>
      </c>
      <c r="AW357" s="1103">
        <v>56.812352864856102</v>
      </c>
      <c r="AX357" s="1103">
        <v>35.875389292921398</v>
      </c>
    </row>
    <row r="358" spans="1:50" ht="15" customHeight="1" x14ac:dyDescent="0.25">
      <c r="A358" s="2419"/>
      <c r="B358" s="2418"/>
      <c r="C358" s="7" t="s">
        <v>1768</v>
      </c>
      <c r="D358" s="230">
        <v>40</v>
      </c>
      <c r="E358" s="229" t="s">
        <v>773</v>
      </c>
      <c r="F358" s="229">
        <v>40</v>
      </c>
      <c r="G358" s="229"/>
      <c r="H358" s="228"/>
      <c r="I358" s="229" t="str">
        <f t="shared" si="192"/>
        <v>40+40</v>
      </c>
      <c r="J358" s="882">
        <v>24.84</v>
      </c>
      <c r="K358" s="890">
        <v>9.4700000000000006</v>
      </c>
      <c r="L358" s="125">
        <v>120</v>
      </c>
      <c r="M358" s="172">
        <f t="shared" si="210"/>
        <v>15.37</v>
      </c>
      <c r="N358" s="172">
        <v>0</v>
      </c>
      <c r="O358" s="880"/>
      <c r="P358" s="880">
        <f t="shared" si="211"/>
        <v>42</v>
      </c>
      <c r="Q358" s="172">
        <f t="shared" si="212"/>
        <v>26.630000000000003</v>
      </c>
      <c r="R358" s="2406"/>
      <c r="S358" s="2398"/>
      <c r="T358" s="2052" t="str">
        <f t="shared" si="193"/>
        <v>открыт</v>
      </c>
      <c r="U358" s="2398"/>
      <c r="V358" s="2398"/>
      <c r="W358" s="2398"/>
      <c r="X358" s="912"/>
      <c r="Y358" s="2419"/>
      <c r="Z358" s="2421"/>
      <c r="AA358" s="1984" t="s">
        <v>1768</v>
      </c>
      <c r="AB358" s="1975">
        <f t="shared" si="194"/>
        <v>40</v>
      </c>
      <c r="AC358" s="1976" t="str">
        <f t="shared" si="195"/>
        <v>+</v>
      </c>
      <c r="AD358" s="1976">
        <f t="shared" si="196"/>
        <v>40</v>
      </c>
      <c r="AE358" s="1976"/>
      <c r="AF358" s="1977"/>
      <c r="AG358" s="1983" t="str">
        <f t="shared" si="202"/>
        <v>40+40</v>
      </c>
      <c r="AH358" s="1981">
        <f>SUM(AH302+AH284+AH289+AH290+AH323)</f>
        <v>5.5426956521739115</v>
      </c>
      <c r="AI358" s="1981">
        <f t="shared" si="191"/>
        <v>30.382695652173911</v>
      </c>
      <c r="AJ358" s="1981">
        <f t="shared" si="197"/>
        <v>9.4700000000000006</v>
      </c>
      <c r="AK358" s="1983">
        <f t="shared" si="198"/>
        <v>120</v>
      </c>
      <c r="AL358" s="1981">
        <f t="shared" si="213"/>
        <v>20.912695652173909</v>
      </c>
      <c r="AM358" s="1981">
        <f t="shared" si="199"/>
        <v>0</v>
      </c>
      <c r="AN358" s="1982">
        <f t="shared" si="214"/>
        <v>42</v>
      </c>
      <c r="AO358" s="1981">
        <f t="shared" si="215"/>
        <v>21.087304347826091</v>
      </c>
      <c r="AP358" s="2406"/>
      <c r="AQ358" s="2406"/>
      <c r="AR358" s="2052" t="str">
        <f t="shared" si="200"/>
        <v>открыт</v>
      </c>
      <c r="AS358" s="2453"/>
      <c r="AT358" s="937" t="s">
        <v>97</v>
      </c>
      <c r="AU358" s="1095">
        <v>1973</v>
      </c>
      <c r="AV358" s="1101" t="s">
        <v>3218</v>
      </c>
      <c r="AW358" s="1103">
        <v>56.812352864856102</v>
      </c>
      <c r="AX358" s="1103">
        <v>35.875389292921398</v>
      </c>
    </row>
    <row r="359" spans="1:50" ht="15" customHeight="1" x14ac:dyDescent="0.25">
      <c r="A359" s="2419"/>
      <c r="B359" s="2418"/>
      <c r="C359" s="7" t="s">
        <v>1767</v>
      </c>
      <c r="D359" s="230">
        <v>40</v>
      </c>
      <c r="E359" s="229" t="s">
        <v>773</v>
      </c>
      <c r="F359" s="229">
        <v>40</v>
      </c>
      <c r="G359" s="229"/>
      <c r="H359" s="228"/>
      <c r="I359" s="229" t="str">
        <f t="shared" si="192"/>
        <v>40+40</v>
      </c>
      <c r="J359" s="882">
        <v>21.05</v>
      </c>
      <c r="K359" s="890">
        <v>0</v>
      </c>
      <c r="L359" s="125">
        <v>0</v>
      </c>
      <c r="M359" s="172">
        <f t="shared" si="210"/>
        <v>21.05</v>
      </c>
      <c r="N359" s="172">
        <v>13.454999999999998</v>
      </c>
      <c r="O359" s="880" t="s">
        <v>17066</v>
      </c>
      <c r="P359" s="880">
        <f t="shared" si="211"/>
        <v>42</v>
      </c>
      <c r="Q359" s="172">
        <f t="shared" si="212"/>
        <v>7.495000000000001</v>
      </c>
      <c r="R359" s="2407"/>
      <c r="S359" s="2398"/>
      <c r="T359" s="2052" t="str">
        <f t="shared" si="193"/>
        <v>открыт</v>
      </c>
      <c r="U359" s="2398"/>
      <c r="V359" s="2398"/>
      <c r="W359" s="2398"/>
      <c r="X359" s="912"/>
      <c r="Y359" s="2419"/>
      <c r="Z359" s="2421"/>
      <c r="AA359" s="1984" t="s">
        <v>1767</v>
      </c>
      <c r="AB359" s="1975">
        <f t="shared" si="194"/>
        <v>40</v>
      </c>
      <c r="AC359" s="1976" t="str">
        <f t="shared" si="195"/>
        <v>+</v>
      </c>
      <c r="AD359" s="1976">
        <f t="shared" si="196"/>
        <v>40</v>
      </c>
      <c r="AE359" s="1976"/>
      <c r="AF359" s="1977"/>
      <c r="AG359" s="1983" t="str">
        <f t="shared" si="202"/>
        <v>40+40</v>
      </c>
      <c r="AH359" s="1981">
        <f>'Зона ТвЭС'!L909</f>
        <v>23.086956521739133</v>
      </c>
      <c r="AI359" s="1981">
        <f t="shared" ref="AI359:AI390" si="216">AH359+J359</f>
        <v>44.136956521739137</v>
      </c>
      <c r="AJ359" s="1981">
        <f t="shared" si="197"/>
        <v>0</v>
      </c>
      <c r="AK359" s="1983">
        <f t="shared" si="198"/>
        <v>0</v>
      </c>
      <c r="AL359" s="1981">
        <f t="shared" si="213"/>
        <v>44.136956521739137</v>
      </c>
      <c r="AM359" s="1981">
        <f t="shared" si="199"/>
        <v>13.454999999999998</v>
      </c>
      <c r="AN359" s="1982">
        <f t="shared" si="214"/>
        <v>42</v>
      </c>
      <c r="AO359" s="1981">
        <f t="shared" si="215"/>
        <v>-15.591956521739135</v>
      </c>
      <c r="AP359" s="2407"/>
      <c r="AQ359" s="2407"/>
      <c r="AR359" s="2052" t="str">
        <f t="shared" si="200"/>
        <v>открыт</v>
      </c>
      <c r="AS359" s="2454"/>
      <c r="AT359" s="937" t="s">
        <v>97</v>
      </c>
      <c r="AU359" s="1095">
        <v>1973</v>
      </c>
      <c r="AV359" s="1101" t="s">
        <v>3218</v>
      </c>
      <c r="AW359" s="1103">
        <v>56.812352864856102</v>
      </c>
      <c r="AX359" s="1103">
        <v>35.875389292921398</v>
      </c>
    </row>
    <row r="360" spans="1:50" ht="15" customHeight="1" x14ac:dyDescent="0.25">
      <c r="A360" s="2419">
        <v>272</v>
      </c>
      <c r="B360" s="2419">
        <v>72</v>
      </c>
      <c r="C360" s="212" t="s">
        <v>237</v>
      </c>
      <c r="D360" s="230">
        <v>40</v>
      </c>
      <c r="E360" s="229" t="s">
        <v>773</v>
      </c>
      <c r="F360" s="229">
        <v>40</v>
      </c>
      <c r="G360" s="229"/>
      <c r="H360" s="228"/>
      <c r="I360" s="229" t="str">
        <f t="shared" si="192"/>
        <v>40+40</v>
      </c>
      <c r="J360" s="882">
        <v>30.39</v>
      </c>
      <c r="K360" s="889">
        <v>9.1999999999999993</v>
      </c>
      <c r="L360" s="124">
        <v>120</v>
      </c>
      <c r="M360" s="172">
        <f t="shared" si="210"/>
        <v>21.19</v>
      </c>
      <c r="N360" s="172">
        <v>0</v>
      </c>
      <c r="O360" s="880"/>
      <c r="P360" s="880">
        <f t="shared" si="211"/>
        <v>42</v>
      </c>
      <c r="Q360" s="172">
        <f t="shared" si="212"/>
        <v>20.81</v>
      </c>
      <c r="R360" s="2420">
        <f>MIN(Q360:Q362)</f>
        <v>11.865</v>
      </c>
      <c r="S360" s="2398" t="str">
        <f t="shared" si="201"/>
        <v>открыт</v>
      </c>
      <c r="T360" s="2052" t="str">
        <f t="shared" si="193"/>
        <v>открыт</v>
      </c>
      <c r="U360" s="2398">
        <f>(J360*100)/P360</f>
        <v>72.357142857142861</v>
      </c>
      <c r="V360" s="2398">
        <v>0.3</v>
      </c>
      <c r="W360" s="2398" t="s">
        <v>15270</v>
      </c>
      <c r="X360" s="912"/>
      <c r="Y360" s="2419">
        <v>272</v>
      </c>
      <c r="Z360" s="2411">
        <v>72</v>
      </c>
      <c r="AA360" s="212" t="s">
        <v>237</v>
      </c>
      <c r="AB360" s="230">
        <f t="shared" si="194"/>
        <v>40</v>
      </c>
      <c r="AC360" s="229" t="str">
        <f t="shared" si="195"/>
        <v>+</v>
      </c>
      <c r="AD360" s="229">
        <f t="shared" si="196"/>
        <v>40</v>
      </c>
      <c r="AE360" s="229"/>
      <c r="AF360" s="228"/>
      <c r="AG360" s="212" t="str">
        <f t="shared" si="202"/>
        <v>40+40</v>
      </c>
      <c r="AH360" s="172">
        <f>SUM(AH361:AH362)</f>
        <v>3.1274999999999995</v>
      </c>
      <c r="AI360" s="172">
        <f t="shared" si="216"/>
        <v>33.517499999999998</v>
      </c>
      <c r="AJ360" s="1973">
        <f t="shared" si="197"/>
        <v>9.1999999999999993</v>
      </c>
      <c r="AK360" s="212">
        <f t="shared" si="198"/>
        <v>120</v>
      </c>
      <c r="AL360" s="172">
        <f t="shared" si="213"/>
        <v>24.317499999999999</v>
      </c>
      <c r="AM360" s="1973">
        <f t="shared" si="199"/>
        <v>0</v>
      </c>
      <c r="AN360" s="880">
        <f t="shared" si="214"/>
        <v>42</v>
      </c>
      <c r="AO360" s="172">
        <f t="shared" si="215"/>
        <v>17.682500000000001</v>
      </c>
      <c r="AP360" s="2405">
        <f>MIN(AO360:AO362)</f>
        <v>11.781847826086958</v>
      </c>
      <c r="AQ360" s="2405" t="str">
        <f t="shared" si="203"/>
        <v>открыт</v>
      </c>
      <c r="AR360" s="2052" t="str">
        <f t="shared" si="200"/>
        <v>открыт</v>
      </c>
      <c r="AS360" s="2452">
        <f>(AI360*100)/AN360</f>
        <v>79.803571428571431</v>
      </c>
      <c r="AT360" s="937" t="s">
        <v>97</v>
      </c>
      <c r="AU360" s="1095">
        <v>1971</v>
      </c>
      <c r="AV360" s="1101" t="s">
        <v>3218</v>
      </c>
      <c r="AW360" s="1103">
        <v>56.8824720048164</v>
      </c>
      <c r="AX360" s="1103">
        <v>35.868557292290099</v>
      </c>
    </row>
    <row r="361" spans="1:50" ht="15" customHeight="1" x14ac:dyDescent="0.25">
      <c r="A361" s="2419"/>
      <c r="B361" s="2419"/>
      <c r="C361" s="7" t="s">
        <v>1768</v>
      </c>
      <c r="D361" s="230">
        <v>40</v>
      </c>
      <c r="E361" s="229" t="s">
        <v>773</v>
      </c>
      <c r="F361" s="229">
        <v>40</v>
      </c>
      <c r="G361" s="229"/>
      <c r="H361" s="228"/>
      <c r="I361" s="229" t="str">
        <f t="shared" si="192"/>
        <v>40+40</v>
      </c>
      <c r="J361" s="882">
        <v>13.71</v>
      </c>
      <c r="K361" s="890">
        <v>9.1999999999999993</v>
      </c>
      <c r="L361" s="125">
        <v>120</v>
      </c>
      <c r="M361" s="172">
        <f t="shared" si="210"/>
        <v>4.5100000000000016</v>
      </c>
      <c r="N361" s="172">
        <v>12.027750000000001</v>
      </c>
      <c r="O361" s="880" t="s">
        <v>3027</v>
      </c>
      <c r="P361" s="880">
        <f t="shared" si="211"/>
        <v>42</v>
      </c>
      <c r="Q361" s="172">
        <f t="shared" si="212"/>
        <v>25.462249999999994</v>
      </c>
      <c r="R361" s="2420"/>
      <c r="S361" s="2399" t="str">
        <f t="shared" si="201"/>
        <v>открыт</v>
      </c>
      <c r="T361" s="2052" t="str">
        <f t="shared" si="193"/>
        <v>открыт</v>
      </c>
      <c r="U361" s="2399"/>
      <c r="V361" s="2399"/>
      <c r="W361" s="2399"/>
      <c r="X361" s="912"/>
      <c r="Y361" s="2419"/>
      <c r="Z361" s="2411"/>
      <c r="AA361" s="7" t="s">
        <v>1768</v>
      </c>
      <c r="AB361" s="230">
        <f t="shared" si="194"/>
        <v>40</v>
      </c>
      <c r="AC361" s="229" t="str">
        <f t="shared" si="195"/>
        <v>+</v>
      </c>
      <c r="AD361" s="229">
        <f t="shared" si="196"/>
        <v>40</v>
      </c>
      <c r="AE361" s="229"/>
      <c r="AF361" s="228"/>
      <c r="AG361" s="212" t="str">
        <f t="shared" si="202"/>
        <v>40+40</v>
      </c>
      <c r="AH361" s="172">
        <f>SUM(AH310+AH309+AH311)</f>
        <v>3.0443478260869559</v>
      </c>
      <c r="AI361" s="172">
        <f t="shared" si="216"/>
        <v>16.754347826086956</v>
      </c>
      <c r="AJ361" s="1973">
        <f t="shared" si="197"/>
        <v>9.1999999999999993</v>
      </c>
      <c r="AK361" s="212">
        <f t="shared" si="198"/>
        <v>120</v>
      </c>
      <c r="AL361" s="172">
        <f t="shared" si="213"/>
        <v>7.554347826086957</v>
      </c>
      <c r="AM361" s="1973">
        <f t="shared" si="199"/>
        <v>12.027750000000001</v>
      </c>
      <c r="AN361" s="880">
        <f t="shared" si="214"/>
        <v>42</v>
      </c>
      <c r="AO361" s="172">
        <f t="shared" si="215"/>
        <v>22.417902173913046</v>
      </c>
      <c r="AP361" s="2406"/>
      <c r="AQ361" s="2406" t="str">
        <f t="shared" si="203"/>
        <v>открыт</v>
      </c>
      <c r="AR361" s="2052" t="str">
        <f t="shared" si="200"/>
        <v>открыт</v>
      </c>
      <c r="AS361" s="2453"/>
      <c r="AT361" s="937" t="s">
        <v>97</v>
      </c>
      <c r="AU361" s="1095">
        <v>1971</v>
      </c>
      <c r="AV361" s="1101" t="s">
        <v>3218</v>
      </c>
      <c r="AW361" s="1103">
        <v>56.8824720048164</v>
      </c>
      <c r="AX361" s="1103">
        <v>35.868557292290099</v>
      </c>
    </row>
    <row r="362" spans="1:50" ht="15" customHeight="1" x14ac:dyDescent="0.25">
      <c r="A362" s="2419"/>
      <c r="B362" s="2419"/>
      <c r="C362" s="7" t="s">
        <v>1767</v>
      </c>
      <c r="D362" s="230">
        <v>40</v>
      </c>
      <c r="E362" s="229" t="s">
        <v>773</v>
      </c>
      <c r="F362" s="229">
        <v>40</v>
      </c>
      <c r="G362" s="229"/>
      <c r="H362" s="228"/>
      <c r="I362" s="229" t="str">
        <f t="shared" si="192"/>
        <v>40+40</v>
      </c>
      <c r="J362" s="882">
        <v>16.68</v>
      </c>
      <c r="K362" s="890">
        <v>0</v>
      </c>
      <c r="L362" s="125">
        <v>0</v>
      </c>
      <c r="M362" s="172">
        <f t="shared" si="210"/>
        <v>16.68</v>
      </c>
      <c r="N362" s="172">
        <v>13.455</v>
      </c>
      <c r="O362" s="880" t="s">
        <v>17066</v>
      </c>
      <c r="P362" s="880">
        <f t="shared" si="211"/>
        <v>42</v>
      </c>
      <c r="Q362" s="172">
        <f t="shared" si="212"/>
        <v>11.865</v>
      </c>
      <c r="R362" s="2420"/>
      <c r="S362" s="2399" t="str">
        <f t="shared" si="201"/>
        <v>открыт</v>
      </c>
      <c r="T362" s="2052" t="str">
        <f t="shared" si="193"/>
        <v>открыт</v>
      </c>
      <c r="U362" s="2399"/>
      <c r="V362" s="2399"/>
      <c r="W362" s="2399"/>
      <c r="X362" s="912"/>
      <c r="Y362" s="2419"/>
      <c r="Z362" s="2411"/>
      <c r="AA362" s="7" t="s">
        <v>1767</v>
      </c>
      <c r="AB362" s="230">
        <f t="shared" si="194"/>
        <v>40</v>
      </c>
      <c r="AC362" s="229" t="str">
        <f t="shared" si="195"/>
        <v>+</v>
      </c>
      <c r="AD362" s="229">
        <f t="shared" si="196"/>
        <v>40</v>
      </c>
      <c r="AE362" s="229"/>
      <c r="AF362" s="228"/>
      <c r="AG362" s="212" t="str">
        <f t="shared" si="202"/>
        <v>40+40</v>
      </c>
      <c r="AH362" s="172">
        <f>'Зона ТвЭС'!L944</f>
        <v>8.3152173913043484E-2</v>
      </c>
      <c r="AI362" s="172">
        <f t="shared" si="216"/>
        <v>16.763152173913042</v>
      </c>
      <c r="AJ362" s="1973">
        <f t="shared" si="197"/>
        <v>0</v>
      </c>
      <c r="AK362" s="212">
        <f t="shared" si="198"/>
        <v>0</v>
      </c>
      <c r="AL362" s="172">
        <f t="shared" si="213"/>
        <v>16.763152173913042</v>
      </c>
      <c r="AM362" s="1973">
        <f t="shared" si="199"/>
        <v>13.455</v>
      </c>
      <c r="AN362" s="880">
        <f t="shared" si="214"/>
        <v>42</v>
      </c>
      <c r="AO362" s="172">
        <f t="shared" si="215"/>
        <v>11.781847826086958</v>
      </c>
      <c r="AP362" s="2407"/>
      <c r="AQ362" s="2407" t="str">
        <f t="shared" si="203"/>
        <v>открыт</v>
      </c>
      <c r="AR362" s="2052" t="str">
        <f t="shared" si="200"/>
        <v>открыт</v>
      </c>
      <c r="AS362" s="2454"/>
      <c r="AT362" s="937" t="s">
        <v>97</v>
      </c>
      <c r="AU362" s="1095">
        <v>1971</v>
      </c>
      <c r="AV362" s="1101" t="s">
        <v>3218</v>
      </c>
      <c r="AW362" s="1103">
        <v>56.8824720048164</v>
      </c>
      <c r="AX362" s="1103">
        <v>35.868557292290099</v>
      </c>
    </row>
    <row r="363" spans="1:50" ht="15" customHeight="1" x14ac:dyDescent="0.25">
      <c r="A363" s="2419">
        <v>273</v>
      </c>
      <c r="B363" s="2418">
        <v>73</v>
      </c>
      <c r="C363" s="2103" t="s">
        <v>238</v>
      </c>
      <c r="D363" s="230">
        <v>40</v>
      </c>
      <c r="E363" s="229" t="s">
        <v>773</v>
      </c>
      <c r="F363" s="229">
        <v>40</v>
      </c>
      <c r="G363" s="229"/>
      <c r="H363" s="228"/>
      <c r="I363" s="229" t="str">
        <f t="shared" si="192"/>
        <v>40+40</v>
      </c>
      <c r="J363" s="882">
        <v>40.21</v>
      </c>
      <c r="K363" s="889">
        <v>13.18</v>
      </c>
      <c r="L363" s="124">
        <v>120</v>
      </c>
      <c r="M363" s="172">
        <f t="shared" si="210"/>
        <v>27.03</v>
      </c>
      <c r="N363" s="172">
        <v>0</v>
      </c>
      <c r="O363" s="880"/>
      <c r="P363" s="880">
        <f t="shared" si="211"/>
        <v>42</v>
      </c>
      <c r="Q363" s="172">
        <f t="shared" si="212"/>
        <v>14.969999999999999</v>
      </c>
      <c r="R363" s="2420">
        <f>MIN(Q363:Q365)</f>
        <v>14.969999999999999</v>
      </c>
      <c r="S363" s="2400" t="str">
        <f>T363</f>
        <v>открыт</v>
      </c>
      <c r="T363" s="2052" t="str">
        <f t="shared" si="193"/>
        <v>открыт</v>
      </c>
      <c r="U363" s="2398">
        <f>(J363*100)/P363</f>
        <v>95.738095238095241</v>
      </c>
      <c r="V363" s="2398">
        <v>0.4</v>
      </c>
      <c r="W363" s="2398" t="s">
        <v>15270</v>
      </c>
      <c r="X363" s="912"/>
      <c r="Y363" s="2419">
        <v>273</v>
      </c>
      <c r="Z363" s="2421">
        <v>73</v>
      </c>
      <c r="AA363" s="212" t="s">
        <v>238</v>
      </c>
      <c r="AB363" s="230">
        <f t="shared" si="194"/>
        <v>40</v>
      </c>
      <c r="AC363" s="229" t="str">
        <f t="shared" si="195"/>
        <v>+</v>
      </c>
      <c r="AD363" s="229">
        <f t="shared" si="196"/>
        <v>40</v>
      </c>
      <c r="AE363" s="229"/>
      <c r="AF363" s="228"/>
      <c r="AG363" s="212" t="str">
        <f t="shared" si="202"/>
        <v>40+40</v>
      </c>
      <c r="AH363" s="172">
        <f>SUM(AH364:AH365)</f>
        <v>13.835108695652174</v>
      </c>
      <c r="AI363" s="172">
        <f t="shared" si="216"/>
        <v>54.045108695652175</v>
      </c>
      <c r="AJ363" s="1973">
        <f t="shared" si="197"/>
        <v>13.18</v>
      </c>
      <c r="AK363" s="212">
        <f t="shared" si="198"/>
        <v>120</v>
      </c>
      <c r="AL363" s="172">
        <f>AI363-AJ363</f>
        <v>40.865108695652175</v>
      </c>
      <c r="AM363" s="1973">
        <f t="shared" si="199"/>
        <v>0</v>
      </c>
      <c r="AN363" s="880">
        <f t="shared" si="214"/>
        <v>42</v>
      </c>
      <c r="AO363" s="172">
        <f t="shared" si="215"/>
        <v>1.1348913043478248</v>
      </c>
      <c r="AP363" s="2405">
        <f>MIN(AO363:AO365)</f>
        <v>1.1348913043478248</v>
      </c>
      <c r="AQ363" s="2405" t="str">
        <f t="shared" si="203"/>
        <v>открыт</v>
      </c>
      <c r="AR363" s="2052" t="str">
        <f t="shared" si="200"/>
        <v>открыт</v>
      </c>
      <c r="AS363" s="2452">
        <f>(AI363*100)/AN363</f>
        <v>128.67883022774328</v>
      </c>
      <c r="AT363" s="937" t="s">
        <v>97</v>
      </c>
      <c r="AU363" s="1095">
        <v>1971</v>
      </c>
      <c r="AV363" s="1101" t="s">
        <v>3218</v>
      </c>
      <c r="AW363" s="1103">
        <v>56.817318062913998</v>
      </c>
      <c r="AX363" s="1103">
        <v>36.000321125689503</v>
      </c>
    </row>
    <row r="364" spans="1:50" ht="15" customHeight="1" x14ac:dyDescent="0.25">
      <c r="A364" s="2419"/>
      <c r="B364" s="2418"/>
      <c r="C364" s="7" t="s">
        <v>1768</v>
      </c>
      <c r="D364" s="230">
        <v>40</v>
      </c>
      <c r="E364" s="229" t="s">
        <v>773</v>
      </c>
      <c r="F364" s="229">
        <v>40</v>
      </c>
      <c r="G364" s="229"/>
      <c r="H364" s="228"/>
      <c r="I364" s="229" t="str">
        <f t="shared" si="192"/>
        <v>40+40</v>
      </c>
      <c r="J364" s="882">
        <v>26.76</v>
      </c>
      <c r="K364" s="890">
        <v>13.18</v>
      </c>
      <c r="L364" s="125">
        <v>120</v>
      </c>
      <c r="M364" s="172">
        <f t="shared" si="210"/>
        <v>13.580000000000002</v>
      </c>
      <c r="N364" s="172">
        <v>0</v>
      </c>
      <c r="O364" s="880"/>
      <c r="P364" s="880">
        <f t="shared" si="211"/>
        <v>42</v>
      </c>
      <c r="Q364" s="172">
        <f t="shared" si="212"/>
        <v>28.419999999999998</v>
      </c>
      <c r="R364" s="2420"/>
      <c r="S364" s="2401"/>
      <c r="T364" s="2052" t="str">
        <f t="shared" si="193"/>
        <v>открыт</v>
      </c>
      <c r="U364" s="2399"/>
      <c r="V364" s="2399"/>
      <c r="W364" s="2399"/>
      <c r="X364" s="912"/>
      <c r="Y364" s="2419"/>
      <c r="Z364" s="2421"/>
      <c r="AA364" s="7" t="s">
        <v>1768</v>
      </c>
      <c r="AB364" s="230">
        <f t="shared" si="194"/>
        <v>40</v>
      </c>
      <c r="AC364" s="2258" t="str">
        <f t="shared" si="195"/>
        <v>+</v>
      </c>
      <c r="AD364" s="2258">
        <f t="shared" si="196"/>
        <v>40</v>
      </c>
      <c r="AE364" s="2258"/>
      <c r="AF364" s="2255"/>
      <c r="AG364" s="2256" t="str">
        <f t="shared" si="202"/>
        <v>40+40</v>
      </c>
      <c r="AH364" s="2257">
        <f>SUM(AH305+AH304+AH327+AH347+AH321)</f>
        <v>10.592173913043478</v>
      </c>
      <c r="AI364" s="2257">
        <f t="shared" si="216"/>
        <v>37.35217391304348</v>
      </c>
      <c r="AJ364" s="2257">
        <f t="shared" si="197"/>
        <v>13.18</v>
      </c>
      <c r="AK364" s="2256">
        <f t="shared" si="198"/>
        <v>120</v>
      </c>
      <c r="AL364" s="2257">
        <f t="shared" si="213"/>
        <v>24.17217391304348</v>
      </c>
      <c r="AM364" s="2257">
        <f t="shared" si="199"/>
        <v>0</v>
      </c>
      <c r="AN364" s="880">
        <f t="shared" si="214"/>
        <v>42</v>
      </c>
      <c r="AO364" s="2257">
        <f t="shared" si="215"/>
        <v>17.82782608695652</v>
      </c>
      <c r="AP364" s="2406"/>
      <c r="AQ364" s="2406"/>
      <c r="AR364" s="2052" t="str">
        <f t="shared" si="200"/>
        <v>открыт</v>
      </c>
      <c r="AS364" s="2453"/>
      <c r="AT364" s="937" t="s">
        <v>97</v>
      </c>
      <c r="AU364" s="1095">
        <v>1971</v>
      </c>
      <c r="AV364" s="1101" t="s">
        <v>3218</v>
      </c>
      <c r="AW364" s="1103">
        <v>56.817318062913998</v>
      </c>
      <c r="AX364" s="1103">
        <v>36.000321125689503</v>
      </c>
    </row>
    <row r="365" spans="1:50" ht="15" customHeight="1" x14ac:dyDescent="0.25">
      <c r="A365" s="2419"/>
      <c r="B365" s="2418"/>
      <c r="C365" s="7" t="s">
        <v>1767</v>
      </c>
      <c r="D365" s="230">
        <v>40</v>
      </c>
      <c r="E365" s="229" t="s">
        <v>773</v>
      </c>
      <c r="F365" s="229">
        <v>40</v>
      </c>
      <c r="G365" s="229"/>
      <c r="H365" s="228"/>
      <c r="I365" s="229" t="str">
        <f t="shared" si="192"/>
        <v>40+40</v>
      </c>
      <c r="J365" s="882">
        <v>13.45</v>
      </c>
      <c r="K365" s="890">
        <v>0</v>
      </c>
      <c r="L365" s="125">
        <v>0</v>
      </c>
      <c r="M365" s="172">
        <f t="shared" si="210"/>
        <v>13.45</v>
      </c>
      <c r="N365" s="172">
        <v>0</v>
      </c>
      <c r="O365" s="880" t="s">
        <v>20189</v>
      </c>
      <c r="P365" s="880">
        <f t="shared" si="211"/>
        <v>42</v>
      </c>
      <c r="Q365" s="172">
        <f t="shared" si="212"/>
        <v>28.55</v>
      </c>
      <c r="R365" s="2420"/>
      <c r="S365" s="2402"/>
      <c r="T365" s="2052" t="str">
        <f t="shared" si="193"/>
        <v>открыт</v>
      </c>
      <c r="U365" s="2399"/>
      <c r="V365" s="2399"/>
      <c r="W365" s="2399"/>
      <c r="X365" s="912"/>
      <c r="Y365" s="2419"/>
      <c r="Z365" s="2421"/>
      <c r="AA365" s="7" t="s">
        <v>1767</v>
      </c>
      <c r="AB365" s="230">
        <f t="shared" si="194"/>
        <v>40</v>
      </c>
      <c r="AC365" s="2258" t="str">
        <f t="shared" si="195"/>
        <v>+</v>
      </c>
      <c r="AD365" s="2258">
        <f t="shared" si="196"/>
        <v>40</v>
      </c>
      <c r="AE365" s="2258"/>
      <c r="AF365" s="2255"/>
      <c r="AG365" s="2256" t="str">
        <f t="shared" si="202"/>
        <v>40+40</v>
      </c>
      <c r="AH365" s="2257">
        <f>'Зона ТвЭС'!L970</f>
        <v>3.2429347826086956</v>
      </c>
      <c r="AI365" s="2257">
        <f t="shared" si="216"/>
        <v>16.692934782608695</v>
      </c>
      <c r="AJ365" s="2257">
        <f t="shared" si="197"/>
        <v>0</v>
      </c>
      <c r="AK365" s="2256">
        <f t="shared" si="198"/>
        <v>0</v>
      </c>
      <c r="AL365" s="2257">
        <f t="shared" si="213"/>
        <v>16.692934782608695</v>
      </c>
      <c r="AM365" s="2257">
        <f t="shared" si="199"/>
        <v>0</v>
      </c>
      <c r="AN365" s="880">
        <f t="shared" si="214"/>
        <v>42</v>
      </c>
      <c r="AO365" s="2257">
        <f t="shared" si="215"/>
        <v>25.307065217391305</v>
      </c>
      <c r="AP365" s="2407"/>
      <c r="AQ365" s="2407"/>
      <c r="AR365" s="2052" t="str">
        <f t="shared" si="200"/>
        <v>открыт</v>
      </c>
      <c r="AS365" s="2454"/>
      <c r="AT365" s="937" t="s">
        <v>97</v>
      </c>
      <c r="AU365" s="1095">
        <v>1971</v>
      </c>
      <c r="AV365" s="1101" t="s">
        <v>3218</v>
      </c>
      <c r="AW365" s="1103">
        <v>56.817318062913998</v>
      </c>
      <c r="AX365" s="1103">
        <v>36.000321125689503</v>
      </c>
    </row>
    <row r="366" spans="1:50" ht="15" customHeight="1" x14ac:dyDescent="0.25">
      <c r="A366" s="2419">
        <v>274</v>
      </c>
      <c r="B366" s="2419">
        <v>74</v>
      </c>
      <c r="C366" s="212" t="s">
        <v>239</v>
      </c>
      <c r="D366" s="230">
        <v>40</v>
      </c>
      <c r="E366" s="229" t="s">
        <v>773</v>
      </c>
      <c r="F366" s="229">
        <v>40</v>
      </c>
      <c r="G366" s="229"/>
      <c r="H366" s="228"/>
      <c r="I366" s="229" t="str">
        <f t="shared" si="192"/>
        <v>40+40</v>
      </c>
      <c r="J366" s="882">
        <v>22.48</v>
      </c>
      <c r="K366" s="889">
        <v>0</v>
      </c>
      <c r="L366" s="124">
        <v>0</v>
      </c>
      <c r="M366" s="172">
        <f t="shared" si="210"/>
        <v>22.48</v>
      </c>
      <c r="N366" s="172">
        <v>0</v>
      </c>
      <c r="O366" s="880"/>
      <c r="P366" s="880">
        <f t="shared" si="211"/>
        <v>42</v>
      </c>
      <c r="Q366" s="172">
        <f t="shared" si="212"/>
        <v>19.52</v>
      </c>
      <c r="R366" s="2420">
        <f>MIN(Q366:Q368)</f>
        <v>3.8999999999999986</v>
      </c>
      <c r="S366" s="2398" t="str">
        <f t="shared" si="201"/>
        <v>открыт</v>
      </c>
      <c r="T366" s="2052" t="str">
        <f t="shared" si="193"/>
        <v>открыт</v>
      </c>
      <c r="U366" s="2398">
        <f>(J366*100)/P366</f>
        <v>53.523809523809526</v>
      </c>
      <c r="V366" s="2398">
        <v>0.6</v>
      </c>
      <c r="W366" s="2398" t="s">
        <v>15270</v>
      </c>
      <c r="X366" s="912"/>
      <c r="Y366" s="2419">
        <v>274</v>
      </c>
      <c r="Z366" s="2411">
        <v>74</v>
      </c>
      <c r="AA366" s="212" t="s">
        <v>239</v>
      </c>
      <c r="AB366" s="230">
        <f t="shared" si="194"/>
        <v>40</v>
      </c>
      <c r="AC366" s="229" t="str">
        <f t="shared" si="195"/>
        <v>+</v>
      </c>
      <c r="AD366" s="229">
        <f t="shared" si="196"/>
        <v>40</v>
      </c>
      <c r="AE366" s="229"/>
      <c r="AF366" s="228"/>
      <c r="AG366" s="212" t="str">
        <f t="shared" si="202"/>
        <v>40+40</v>
      </c>
      <c r="AH366" s="172">
        <f>SUM(AH367:AH368)</f>
        <v>8.4961956521739133</v>
      </c>
      <c r="AI366" s="172">
        <f t="shared" si="216"/>
        <v>30.976195652173914</v>
      </c>
      <c r="AJ366" s="1973">
        <f t="shared" si="197"/>
        <v>0</v>
      </c>
      <c r="AK366" s="212">
        <f t="shared" si="198"/>
        <v>0</v>
      </c>
      <c r="AL366" s="172">
        <f t="shared" si="213"/>
        <v>30.976195652173914</v>
      </c>
      <c r="AM366" s="1973">
        <f t="shared" si="199"/>
        <v>0</v>
      </c>
      <c r="AN366" s="880">
        <f t="shared" si="214"/>
        <v>42</v>
      </c>
      <c r="AO366" s="172">
        <f t="shared" si="215"/>
        <v>11.023804347826086</v>
      </c>
      <c r="AP366" s="2405">
        <f>MIN(AO366:AO368)</f>
        <v>3.8999999999999986</v>
      </c>
      <c r="AQ366" s="2405" t="str">
        <f t="shared" si="203"/>
        <v>открыт</v>
      </c>
      <c r="AR366" s="2052" t="str">
        <f t="shared" si="200"/>
        <v>открыт</v>
      </c>
      <c r="AS366" s="2452">
        <f>(AI366*100)/AN366</f>
        <v>73.752846790890274</v>
      </c>
      <c r="AT366" s="937" t="s">
        <v>97</v>
      </c>
      <c r="AU366" s="1095">
        <v>1981</v>
      </c>
      <c r="AV366" s="1101" t="s">
        <v>3218</v>
      </c>
      <c r="AW366" s="1103">
        <v>56.846325926478499</v>
      </c>
      <c r="AX366" s="1103">
        <v>35.943401629587001</v>
      </c>
    </row>
    <row r="367" spans="1:50" ht="15" customHeight="1" x14ac:dyDescent="0.25">
      <c r="A367" s="2419"/>
      <c r="B367" s="2419"/>
      <c r="C367" s="7" t="s">
        <v>1768</v>
      </c>
      <c r="D367" s="230">
        <v>20</v>
      </c>
      <c r="E367" s="229" t="s">
        <v>773</v>
      </c>
      <c r="F367" s="229">
        <v>20</v>
      </c>
      <c r="G367" s="229"/>
      <c r="H367" s="228"/>
      <c r="I367" s="229" t="str">
        <f t="shared" si="192"/>
        <v>20+20</v>
      </c>
      <c r="J367" s="882">
        <v>17.100000000000001</v>
      </c>
      <c r="K367" s="890">
        <v>0</v>
      </c>
      <c r="L367" s="125">
        <v>0</v>
      </c>
      <c r="M367" s="172">
        <f t="shared" si="210"/>
        <v>17.100000000000001</v>
      </c>
      <c r="N367" s="172">
        <v>0</v>
      </c>
      <c r="O367" s="880"/>
      <c r="P367" s="880">
        <f t="shared" si="211"/>
        <v>21</v>
      </c>
      <c r="Q367" s="172">
        <f t="shared" si="212"/>
        <v>3.8999999999999986</v>
      </c>
      <c r="R367" s="2420"/>
      <c r="S367" s="2399" t="str">
        <f t="shared" si="201"/>
        <v>открыт</v>
      </c>
      <c r="T367" s="2052" t="str">
        <f t="shared" si="193"/>
        <v>открыт</v>
      </c>
      <c r="U367" s="2399"/>
      <c r="V367" s="2399"/>
      <c r="W367" s="2399"/>
      <c r="X367" s="912"/>
      <c r="Y367" s="2419"/>
      <c r="Z367" s="2411"/>
      <c r="AA367" s="7" t="s">
        <v>1768</v>
      </c>
      <c r="AB367" s="230">
        <f t="shared" si="194"/>
        <v>20</v>
      </c>
      <c r="AC367" s="229" t="str">
        <f t="shared" si="195"/>
        <v>+</v>
      </c>
      <c r="AD367" s="229">
        <f t="shared" si="196"/>
        <v>20</v>
      </c>
      <c r="AE367" s="229"/>
      <c r="AF367" s="228"/>
      <c r="AG367" s="212" t="str">
        <f t="shared" si="202"/>
        <v>20+20</v>
      </c>
      <c r="AH367" s="172">
        <f>'Зона ТвЭС'!L982</f>
        <v>0</v>
      </c>
      <c r="AI367" s="172">
        <f t="shared" si="216"/>
        <v>17.100000000000001</v>
      </c>
      <c r="AJ367" s="1973">
        <f t="shared" si="197"/>
        <v>0</v>
      </c>
      <c r="AK367" s="212">
        <f t="shared" si="198"/>
        <v>0</v>
      </c>
      <c r="AL367" s="172">
        <f t="shared" si="213"/>
        <v>17.100000000000001</v>
      </c>
      <c r="AM367" s="1973">
        <f t="shared" si="199"/>
        <v>0</v>
      </c>
      <c r="AN367" s="880">
        <f t="shared" si="214"/>
        <v>21</v>
      </c>
      <c r="AO367" s="172">
        <f t="shared" si="215"/>
        <v>3.8999999999999986</v>
      </c>
      <c r="AP367" s="2406"/>
      <c r="AQ367" s="2406" t="str">
        <f t="shared" si="203"/>
        <v>открыт</v>
      </c>
      <c r="AR367" s="2052" t="str">
        <f t="shared" si="200"/>
        <v>открыт</v>
      </c>
      <c r="AS367" s="2453"/>
      <c r="AT367" s="937" t="s">
        <v>97</v>
      </c>
      <c r="AU367" s="1095">
        <v>1981</v>
      </c>
      <c r="AV367" s="1101" t="s">
        <v>3218</v>
      </c>
      <c r="AW367" s="1103">
        <v>56.846325926478499</v>
      </c>
      <c r="AX367" s="1103">
        <v>35.943401629587001</v>
      </c>
    </row>
    <row r="368" spans="1:50" ht="15" customHeight="1" x14ac:dyDescent="0.25">
      <c r="A368" s="2419"/>
      <c r="B368" s="2419"/>
      <c r="C368" s="7" t="s">
        <v>1767</v>
      </c>
      <c r="D368" s="230">
        <v>20</v>
      </c>
      <c r="E368" s="229" t="s">
        <v>773</v>
      </c>
      <c r="F368" s="229">
        <v>20</v>
      </c>
      <c r="G368" s="229"/>
      <c r="H368" s="228"/>
      <c r="I368" s="229" t="str">
        <f t="shared" si="192"/>
        <v>20+20</v>
      </c>
      <c r="J368" s="882">
        <v>5.38</v>
      </c>
      <c r="K368" s="890">
        <v>0</v>
      </c>
      <c r="L368" s="125">
        <v>0</v>
      </c>
      <c r="M368" s="172">
        <f t="shared" si="210"/>
        <v>5.38</v>
      </c>
      <c r="N368" s="172">
        <v>0</v>
      </c>
      <c r="O368" s="880"/>
      <c r="P368" s="880">
        <f t="shared" si="211"/>
        <v>21</v>
      </c>
      <c r="Q368" s="172">
        <f t="shared" si="212"/>
        <v>15.620000000000001</v>
      </c>
      <c r="R368" s="2420"/>
      <c r="S368" s="2399" t="str">
        <f t="shared" si="201"/>
        <v>открыт</v>
      </c>
      <c r="T368" s="2052" t="str">
        <f t="shared" si="193"/>
        <v>открыт</v>
      </c>
      <c r="U368" s="2399"/>
      <c r="V368" s="2399"/>
      <c r="W368" s="2399"/>
      <c r="X368" s="912"/>
      <c r="Y368" s="2419"/>
      <c r="Z368" s="2411"/>
      <c r="AA368" s="7" t="s">
        <v>1767</v>
      </c>
      <c r="AB368" s="230">
        <f t="shared" si="194"/>
        <v>20</v>
      </c>
      <c r="AC368" s="229" t="str">
        <f t="shared" si="195"/>
        <v>+</v>
      </c>
      <c r="AD368" s="229">
        <f t="shared" si="196"/>
        <v>20</v>
      </c>
      <c r="AE368" s="229"/>
      <c r="AF368" s="228"/>
      <c r="AG368" s="212" t="str">
        <f t="shared" si="202"/>
        <v>20+20</v>
      </c>
      <c r="AH368" s="172">
        <f>'Зона ТвЭС'!L1002</f>
        <v>8.4961956521739133</v>
      </c>
      <c r="AI368" s="172">
        <f t="shared" si="216"/>
        <v>13.876195652173912</v>
      </c>
      <c r="AJ368" s="1973">
        <f t="shared" si="197"/>
        <v>0</v>
      </c>
      <c r="AK368" s="212">
        <f t="shared" si="198"/>
        <v>0</v>
      </c>
      <c r="AL368" s="172">
        <f t="shared" si="213"/>
        <v>13.876195652173912</v>
      </c>
      <c r="AM368" s="1973">
        <f t="shared" si="199"/>
        <v>0</v>
      </c>
      <c r="AN368" s="880">
        <f t="shared" si="214"/>
        <v>21</v>
      </c>
      <c r="AO368" s="172">
        <f t="shared" si="215"/>
        <v>7.1238043478260877</v>
      </c>
      <c r="AP368" s="2407"/>
      <c r="AQ368" s="2407" t="str">
        <f t="shared" si="203"/>
        <v>открыт</v>
      </c>
      <c r="AR368" s="2052" t="str">
        <f t="shared" si="200"/>
        <v>открыт</v>
      </c>
      <c r="AS368" s="2454"/>
      <c r="AT368" s="937" t="s">
        <v>97</v>
      </c>
      <c r="AU368" s="1095">
        <v>1981</v>
      </c>
      <c r="AV368" s="1101" t="s">
        <v>3218</v>
      </c>
      <c r="AW368" s="1103">
        <v>56.846325926478499</v>
      </c>
      <c r="AX368" s="1103">
        <v>35.943401629587001</v>
      </c>
    </row>
    <row r="369" spans="1:50" ht="15" customHeight="1" x14ac:dyDescent="0.25">
      <c r="A369" s="2419">
        <v>275</v>
      </c>
      <c r="B369" s="2418">
        <v>75</v>
      </c>
      <c r="C369" s="212" t="s">
        <v>240</v>
      </c>
      <c r="D369" s="230">
        <v>10</v>
      </c>
      <c r="E369" s="229" t="s">
        <v>773</v>
      </c>
      <c r="F369" s="229">
        <v>10</v>
      </c>
      <c r="G369" s="229"/>
      <c r="H369" s="228"/>
      <c r="I369" s="229" t="str">
        <f t="shared" si="192"/>
        <v>10+10</v>
      </c>
      <c r="J369" s="882">
        <v>8.0300000000000011</v>
      </c>
      <c r="K369" s="889">
        <v>4.24</v>
      </c>
      <c r="L369" s="124">
        <v>120</v>
      </c>
      <c r="M369" s="172">
        <f t="shared" si="210"/>
        <v>3.7900000000000009</v>
      </c>
      <c r="N369" s="172">
        <v>0</v>
      </c>
      <c r="O369" s="880"/>
      <c r="P369" s="880">
        <f t="shared" si="211"/>
        <v>10.5</v>
      </c>
      <c r="Q369" s="172">
        <f t="shared" si="212"/>
        <v>6.7099999999999991</v>
      </c>
      <c r="R369" s="2420">
        <f>MIN(Q369:Q371)</f>
        <v>6.7099999999999991</v>
      </c>
      <c r="S369" s="2398" t="str">
        <f t="shared" si="201"/>
        <v>открыт</v>
      </c>
      <c r="T369" s="2052" t="str">
        <f t="shared" si="193"/>
        <v>открыт</v>
      </c>
      <c r="U369" s="2398">
        <f>(J369*100)/P369</f>
        <v>76.476190476190482</v>
      </c>
      <c r="V369" s="2398">
        <v>0.55000000000000004</v>
      </c>
      <c r="W369" s="2398" t="s">
        <v>3033</v>
      </c>
      <c r="X369" s="912"/>
      <c r="Y369" s="2419">
        <v>275</v>
      </c>
      <c r="Z369" s="2421">
        <v>75</v>
      </c>
      <c r="AA369" s="212" t="s">
        <v>240</v>
      </c>
      <c r="AB369" s="230">
        <f t="shared" si="194"/>
        <v>10</v>
      </c>
      <c r="AC369" s="229" t="str">
        <f t="shared" si="195"/>
        <v>+</v>
      </c>
      <c r="AD369" s="229">
        <f t="shared" si="196"/>
        <v>10</v>
      </c>
      <c r="AE369" s="229"/>
      <c r="AF369" s="228"/>
      <c r="AG369" s="212" t="str">
        <f t="shared" si="202"/>
        <v>10+10</v>
      </c>
      <c r="AH369" s="172">
        <f>SUM(AH370:AH371)</f>
        <v>2.5067934782608696</v>
      </c>
      <c r="AI369" s="172">
        <f t="shared" si="216"/>
        <v>10.53679347826087</v>
      </c>
      <c r="AJ369" s="1973">
        <f t="shared" si="197"/>
        <v>4.24</v>
      </c>
      <c r="AK369" s="212">
        <f t="shared" si="198"/>
        <v>120</v>
      </c>
      <c r="AL369" s="172">
        <f t="shared" si="213"/>
        <v>6.2967934782608701</v>
      </c>
      <c r="AM369" s="1973">
        <f t="shared" si="199"/>
        <v>0</v>
      </c>
      <c r="AN369" s="880">
        <f t="shared" si="214"/>
        <v>10.5</v>
      </c>
      <c r="AO369" s="172">
        <f t="shared" si="215"/>
        <v>4.2032065217391299</v>
      </c>
      <c r="AP369" s="2405">
        <f>MIN(AO369:AO371)</f>
        <v>4.2032065217391299</v>
      </c>
      <c r="AQ369" s="2405" t="str">
        <f>AR369</f>
        <v>открыт</v>
      </c>
      <c r="AR369" s="2052" t="str">
        <f t="shared" si="200"/>
        <v>открыт</v>
      </c>
      <c r="AS369" s="2452">
        <f>(AI369*100)/AN369</f>
        <v>100.35041407867496</v>
      </c>
      <c r="AT369" s="937" t="s">
        <v>97</v>
      </c>
      <c r="AU369" s="1095">
        <v>1987</v>
      </c>
      <c r="AV369" s="1101" t="s">
        <v>3218</v>
      </c>
      <c r="AW369" s="1103">
        <v>56.940839497052899</v>
      </c>
      <c r="AX369" s="1103">
        <v>35.624450234615701</v>
      </c>
    </row>
    <row r="370" spans="1:50" ht="15" customHeight="1" x14ac:dyDescent="0.25">
      <c r="A370" s="2419"/>
      <c r="B370" s="2418"/>
      <c r="C370" s="7" t="s">
        <v>1768</v>
      </c>
      <c r="D370" s="230">
        <v>10</v>
      </c>
      <c r="E370" s="229" t="s">
        <v>773</v>
      </c>
      <c r="F370" s="229">
        <v>10</v>
      </c>
      <c r="G370" s="229"/>
      <c r="H370" s="228"/>
      <c r="I370" s="229" t="str">
        <f t="shared" si="192"/>
        <v>10+10</v>
      </c>
      <c r="J370" s="882">
        <v>5.78</v>
      </c>
      <c r="K370" s="890">
        <v>3.87</v>
      </c>
      <c r="L370" s="125">
        <v>120</v>
      </c>
      <c r="M370" s="172">
        <f t="shared" si="210"/>
        <v>1.9100000000000001</v>
      </c>
      <c r="N370" s="172">
        <v>0</v>
      </c>
      <c r="O370" s="880"/>
      <c r="P370" s="880">
        <f t="shared" si="211"/>
        <v>10.5</v>
      </c>
      <c r="Q370" s="172">
        <f t="shared" si="212"/>
        <v>8.59</v>
      </c>
      <c r="R370" s="2420"/>
      <c r="S370" s="2399" t="str">
        <f t="shared" si="201"/>
        <v>открыт</v>
      </c>
      <c r="T370" s="2052" t="str">
        <f t="shared" si="193"/>
        <v>открыт</v>
      </c>
      <c r="U370" s="2399"/>
      <c r="V370" s="2399"/>
      <c r="W370" s="2399"/>
      <c r="X370" s="912"/>
      <c r="Y370" s="2419"/>
      <c r="Z370" s="2421"/>
      <c r="AA370" s="7" t="s">
        <v>1768</v>
      </c>
      <c r="AB370" s="230">
        <f t="shared" si="194"/>
        <v>10</v>
      </c>
      <c r="AC370" s="229" t="str">
        <f t="shared" si="195"/>
        <v>+</v>
      </c>
      <c r="AD370" s="229">
        <f t="shared" si="196"/>
        <v>10</v>
      </c>
      <c r="AE370" s="229"/>
      <c r="AF370" s="228"/>
      <c r="AG370" s="212" t="str">
        <f t="shared" si="202"/>
        <v>10+10</v>
      </c>
      <c r="AH370" s="172">
        <f>SUM(AH330+AH322+AH320)</f>
        <v>2.3404891304347828</v>
      </c>
      <c r="AI370" s="172">
        <f t="shared" si="216"/>
        <v>8.1204891304347839</v>
      </c>
      <c r="AJ370" s="1973">
        <f t="shared" si="197"/>
        <v>3.87</v>
      </c>
      <c r="AK370" s="212">
        <f t="shared" si="198"/>
        <v>120</v>
      </c>
      <c r="AL370" s="172">
        <f t="shared" si="213"/>
        <v>4.2504891304347838</v>
      </c>
      <c r="AM370" s="1973">
        <f t="shared" si="199"/>
        <v>0</v>
      </c>
      <c r="AN370" s="880">
        <f t="shared" si="214"/>
        <v>10.5</v>
      </c>
      <c r="AO370" s="172">
        <f t="shared" si="215"/>
        <v>6.2495108695652162</v>
      </c>
      <c r="AP370" s="2406"/>
      <c r="AQ370" s="2406"/>
      <c r="AR370" s="2052" t="str">
        <f t="shared" si="200"/>
        <v>открыт</v>
      </c>
      <c r="AS370" s="2453"/>
      <c r="AT370" s="937" t="s">
        <v>97</v>
      </c>
      <c r="AU370" s="1095">
        <v>1987</v>
      </c>
      <c r="AV370" s="1101" t="s">
        <v>3218</v>
      </c>
      <c r="AW370" s="1103">
        <v>56.940839497052899</v>
      </c>
      <c r="AX370" s="1103">
        <v>35.624450234615701</v>
      </c>
    </row>
    <row r="371" spans="1:50" ht="15" customHeight="1" x14ac:dyDescent="0.25">
      <c r="A371" s="2419"/>
      <c r="B371" s="2418"/>
      <c r="C371" s="7" t="s">
        <v>1767</v>
      </c>
      <c r="D371" s="230">
        <v>10</v>
      </c>
      <c r="E371" s="229" t="s">
        <v>773</v>
      </c>
      <c r="F371" s="229">
        <v>10</v>
      </c>
      <c r="G371" s="229"/>
      <c r="H371" s="228"/>
      <c r="I371" s="229" t="str">
        <f t="shared" si="192"/>
        <v>10+10</v>
      </c>
      <c r="J371" s="882">
        <v>2.25</v>
      </c>
      <c r="K371" s="890">
        <v>0.37</v>
      </c>
      <c r="L371" s="125">
        <v>120</v>
      </c>
      <c r="M371" s="172">
        <f t="shared" si="210"/>
        <v>1.88</v>
      </c>
      <c r="N371" s="172">
        <v>0</v>
      </c>
      <c r="O371" s="880"/>
      <c r="P371" s="880">
        <f t="shared" si="211"/>
        <v>10.5</v>
      </c>
      <c r="Q371" s="172">
        <f t="shared" si="212"/>
        <v>8.620000000000001</v>
      </c>
      <c r="R371" s="2420"/>
      <c r="S371" s="2399" t="str">
        <f t="shared" si="201"/>
        <v>открыт</v>
      </c>
      <c r="T371" s="2052" t="str">
        <f t="shared" si="193"/>
        <v>открыт</v>
      </c>
      <c r="U371" s="2399"/>
      <c r="V371" s="2399"/>
      <c r="W371" s="2399"/>
      <c r="X371" s="912"/>
      <c r="Y371" s="2419"/>
      <c r="Z371" s="2421"/>
      <c r="AA371" s="7" t="s">
        <v>1767</v>
      </c>
      <c r="AB371" s="230">
        <f t="shared" si="194"/>
        <v>10</v>
      </c>
      <c r="AC371" s="229" t="str">
        <f t="shared" si="195"/>
        <v>+</v>
      </c>
      <c r="AD371" s="229">
        <f t="shared" si="196"/>
        <v>10</v>
      </c>
      <c r="AE371" s="229"/>
      <c r="AF371" s="228"/>
      <c r="AG371" s="212" t="str">
        <f t="shared" si="202"/>
        <v>10+10</v>
      </c>
      <c r="AH371" s="172">
        <f>'Зона ТвЭС'!L1005</f>
        <v>0.16630434782608697</v>
      </c>
      <c r="AI371" s="172">
        <f t="shared" si="216"/>
        <v>2.4163043478260868</v>
      </c>
      <c r="AJ371" s="1973">
        <f t="shared" si="197"/>
        <v>0.37</v>
      </c>
      <c r="AK371" s="212">
        <f t="shared" si="198"/>
        <v>120</v>
      </c>
      <c r="AL371" s="172">
        <f t="shared" si="213"/>
        <v>2.0463043478260867</v>
      </c>
      <c r="AM371" s="1973">
        <f t="shared" si="199"/>
        <v>0</v>
      </c>
      <c r="AN371" s="880">
        <f t="shared" si="214"/>
        <v>10.5</v>
      </c>
      <c r="AO371" s="172">
        <f t="shared" si="215"/>
        <v>8.4536956521739128</v>
      </c>
      <c r="AP371" s="2407"/>
      <c r="AQ371" s="2407"/>
      <c r="AR371" s="2052" t="str">
        <f t="shared" si="200"/>
        <v>открыт</v>
      </c>
      <c r="AS371" s="2454"/>
      <c r="AT371" s="937" t="s">
        <v>97</v>
      </c>
      <c r="AU371" s="1095">
        <v>1987</v>
      </c>
      <c r="AV371" s="1101" t="s">
        <v>3218</v>
      </c>
      <c r="AW371" s="1103">
        <v>56.940839497052899</v>
      </c>
      <c r="AX371" s="1103">
        <v>35.624450234615701</v>
      </c>
    </row>
    <row r="372" spans="1:50" ht="15" customHeight="1" x14ac:dyDescent="0.25">
      <c r="A372" s="2419">
        <v>276</v>
      </c>
      <c r="B372" s="2419">
        <v>76</v>
      </c>
      <c r="C372" s="212" t="s">
        <v>241</v>
      </c>
      <c r="D372" s="230">
        <v>25</v>
      </c>
      <c r="E372" s="229" t="s">
        <v>773</v>
      </c>
      <c r="F372" s="229">
        <v>25</v>
      </c>
      <c r="G372" s="229"/>
      <c r="H372" s="228"/>
      <c r="I372" s="229" t="str">
        <f t="shared" si="192"/>
        <v>25+25</v>
      </c>
      <c r="J372" s="882">
        <v>16.28</v>
      </c>
      <c r="K372" s="889">
        <v>1.41</v>
      </c>
      <c r="L372" s="124">
        <v>120</v>
      </c>
      <c r="M372" s="172">
        <f t="shared" si="210"/>
        <v>14.870000000000001</v>
      </c>
      <c r="N372" s="172">
        <v>0</v>
      </c>
      <c r="O372" s="880"/>
      <c r="P372" s="880">
        <f t="shared" si="211"/>
        <v>26.25</v>
      </c>
      <c r="Q372" s="172">
        <f t="shared" si="212"/>
        <v>11.379999999999999</v>
      </c>
      <c r="R372" s="2420">
        <f>MIN(Q372:Q374)</f>
        <v>10.1206</v>
      </c>
      <c r="S372" s="2398" t="str">
        <f t="shared" si="201"/>
        <v>открыт</v>
      </c>
      <c r="T372" s="2052" t="str">
        <f t="shared" si="193"/>
        <v>открыт</v>
      </c>
      <c r="U372" s="2398">
        <f>(J372*100)/P372</f>
        <v>62.019047619047619</v>
      </c>
      <c r="V372" s="2398">
        <v>0.4</v>
      </c>
      <c r="W372" s="2398" t="s">
        <v>15270</v>
      </c>
      <c r="X372" s="912"/>
      <c r="Y372" s="2419">
        <v>276</v>
      </c>
      <c r="Z372" s="2411">
        <v>76</v>
      </c>
      <c r="AA372" s="212" t="s">
        <v>241</v>
      </c>
      <c r="AB372" s="230">
        <f t="shared" si="194"/>
        <v>25</v>
      </c>
      <c r="AC372" s="229" t="str">
        <f t="shared" si="195"/>
        <v>+</v>
      </c>
      <c r="AD372" s="229">
        <f t="shared" si="196"/>
        <v>25</v>
      </c>
      <c r="AE372" s="229"/>
      <c r="AF372" s="228"/>
      <c r="AG372" s="212" t="str">
        <f t="shared" si="202"/>
        <v>25+25</v>
      </c>
      <c r="AH372" s="172">
        <f>SUM(AH373:AH374)</f>
        <v>0.52191912108461902</v>
      </c>
      <c r="AI372" s="172">
        <f t="shared" si="216"/>
        <v>16.801919121084619</v>
      </c>
      <c r="AJ372" s="1973">
        <f t="shared" si="197"/>
        <v>1.41</v>
      </c>
      <c r="AK372" s="212">
        <f t="shared" si="198"/>
        <v>120</v>
      </c>
      <c r="AL372" s="172">
        <f t="shared" si="213"/>
        <v>15.391919121084619</v>
      </c>
      <c r="AM372" s="1973">
        <f t="shared" si="199"/>
        <v>0</v>
      </c>
      <c r="AN372" s="880">
        <f t="shared" si="214"/>
        <v>26.25</v>
      </c>
      <c r="AO372" s="172">
        <f t="shared" si="215"/>
        <v>10.858080878915381</v>
      </c>
      <c r="AP372" s="2405">
        <f>MIN(AO372:AO374)</f>
        <v>9.6671591397849461</v>
      </c>
      <c r="AQ372" s="2405" t="str">
        <f t="shared" si="203"/>
        <v>открыт</v>
      </c>
      <c r="AR372" s="2052" t="str">
        <f t="shared" si="200"/>
        <v>открыт</v>
      </c>
      <c r="AS372" s="2452">
        <f>(AI372*100)/AN372</f>
        <v>64.00731093746522</v>
      </c>
      <c r="AT372" s="937" t="s">
        <v>97</v>
      </c>
      <c r="AU372" s="1095">
        <v>1963</v>
      </c>
      <c r="AV372" s="1101" t="s">
        <v>3218</v>
      </c>
      <c r="AW372" s="1103">
        <v>57.117744196011202</v>
      </c>
      <c r="AX372" s="1103">
        <v>35.474582720060397</v>
      </c>
    </row>
    <row r="373" spans="1:50" ht="15" customHeight="1" x14ac:dyDescent="0.25">
      <c r="A373" s="2419"/>
      <c r="B373" s="2419"/>
      <c r="C373" s="7" t="s">
        <v>1768</v>
      </c>
      <c r="D373" s="230">
        <v>25</v>
      </c>
      <c r="E373" s="229" t="s">
        <v>773</v>
      </c>
      <c r="F373" s="229">
        <v>25</v>
      </c>
      <c r="G373" s="229"/>
      <c r="H373" s="228"/>
      <c r="I373" s="229" t="str">
        <f t="shared" si="192"/>
        <v>25+25</v>
      </c>
      <c r="J373" s="882">
        <v>6.99</v>
      </c>
      <c r="K373" s="890">
        <v>1.41</v>
      </c>
      <c r="L373" s="125">
        <v>120</v>
      </c>
      <c r="M373" s="172">
        <f t="shared" si="210"/>
        <v>5.58</v>
      </c>
      <c r="N373" s="172">
        <v>0</v>
      </c>
      <c r="O373" s="880" t="s">
        <v>20190</v>
      </c>
      <c r="P373" s="880">
        <f t="shared" si="211"/>
        <v>26.25</v>
      </c>
      <c r="Q373" s="172">
        <f t="shared" si="212"/>
        <v>20.67</v>
      </c>
      <c r="R373" s="2420"/>
      <c r="S373" s="2399"/>
      <c r="T373" s="2052" t="str">
        <f t="shared" si="193"/>
        <v>открыт</v>
      </c>
      <c r="U373" s="2399"/>
      <c r="V373" s="2399"/>
      <c r="W373" s="2399"/>
      <c r="X373" s="912"/>
      <c r="Y373" s="2419"/>
      <c r="Z373" s="2411"/>
      <c r="AA373" s="7" t="s">
        <v>1768</v>
      </c>
      <c r="AB373" s="230">
        <f t="shared" si="194"/>
        <v>25</v>
      </c>
      <c r="AC373" s="229" t="str">
        <f t="shared" si="195"/>
        <v>+</v>
      </c>
      <c r="AD373" s="229">
        <f t="shared" si="196"/>
        <v>25</v>
      </c>
      <c r="AE373" s="229"/>
      <c r="AF373" s="228"/>
      <c r="AG373" s="212" t="str">
        <f t="shared" si="202"/>
        <v>25+25</v>
      </c>
      <c r="AH373" s="172">
        <f>SUM(AH332+AH291+AH293)</f>
        <v>6.8478260869565225E-2</v>
      </c>
      <c r="AI373" s="172">
        <f t="shared" si="216"/>
        <v>7.0584782608695651</v>
      </c>
      <c r="AJ373" s="1973">
        <f t="shared" si="197"/>
        <v>1.41</v>
      </c>
      <c r="AK373" s="212">
        <f t="shared" si="198"/>
        <v>120</v>
      </c>
      <c r="AL373" s="172">
        <f t="shared" si="213"/>
        <v>5.6484782608695649</v>
      </c>
      <c r="AM373" s="1973">
        <f t="shared" si="199"/>
        <v>0</v>
      </c>
      <c r="AN373" s="880">
        <f t="shared" si="214"/>
        <v>26.25</v>
      </c>
      <c r="AO373" s="172">
        <f t="shared" si="215"/>
        <v>20.601521739130433</v>
      </c>
      <c r="AP373" s="2406"/>
      <c r="AQ373" s="2406" t="str">
        <f t="shared" si="203"/>
        <v>открыт</v>
      </c>
      <c r="AR373" s="2052" t="str">
        <f t="shared" si="200"/>
        <v>открыт</v>
      </c>
      <c r="AS373" s="2453"/>
      <c r="AT373" s="937" t="s">
        <v>97</v>
      </c>
      <c r="AU373" s="1095">
        <v>1963</v>
      </c>
      <c r="AV373" s="1101" t="s">
        <v>3218</v>
      </c>
      <c r="AW373" s="1103">
        <v>57.117744196011202</v>
      </c>
      <c r="AX373" s="1103">
        <v>35.474582720060397</v>
      </c>
    </row>
    <row r="374" spans="1:50" ht="15" customHeight="1" x14ac:dyDescent="0.25">
      <c r="A374" s="2419"/>
      <c r="B374" s="2419"/>
      <c r="C374" s="7" t="s">
        <v>1767</v>
      </c>
      <c r="D374" s="230">
        <v>25</v>
      </c>
      <c r="E374" s="229" t="s">
        <v>773</v>
      </c>
      <c r="F374" s="229">
        <v>25</v>
      </c>
      <c r="G374" s="229"/>
      <c r="H374" s="228"/>
      <c r="I374" s="229" t="str">
        <f t="shared" si="192"/>
        <v>25+25</v>
      </c>
      <c r="J374" s="882">
        <v>9.2899999999999991</v>
      </c>
      <c r="K374" s="890">
        <v>0</v>
      </c>
      <c r="L374" s="125">
        <v>0</v>
      </c>
      <c r="M374" s="172">
        <f t="shared" si="210"/>
        <v>9.2899999999999991</v>
      </c>
      <c r="N374" s="172">
        <v>6.8394000000000013</v>
      </c>
      <c r="O374" s="880" t="s">
        <v>3027</v>
      </c>
      <c r="P374" s="880">
        <f t="shared" si="211"/>
        <v>26.25</v>
      </c>
      <c r="Q374" s="172">
        <f t="shared" si="212"/>
        <v>10.1206</v>
      </c>
      <c r="R374" s="2420"/>
      <c r="S374" s="2399"/>
      <c r="T374" s="2052" t="str">
        <f t="shared" si="193"/>
        <v>открыт</v>
      </c>
      <c r="U374" s="2399"/>
      <c r="V374" s="2399"/>
      <c r="W374" s="2399"/>
      <c r="X374" s="912"/>
      <c r="Y374" s="2419"/>
      <c r="Z374" s="2411"/>
      <c r="AA374" s="7" t="s">
        <v>1767</v>
      </c>
      <c r="AB374" s="230">
        <f t="shared" si="194"/>
        <v>25</v>
      </c>
      <c r="AC374" s="229" t="str">
        <f t="shared" si="195"/>
        <v>+</v>
      </c>
      <c r="AD374" s="229">
        <f t="shared" si="196"/>
        <v>25</v>
      </c>
      <c r="AE374" s="229"/>
      <c r="AF374" s="228"/>
      <c r="AG374" s="212" t="str">
        <f t="shared" si="202"/>
        <v>25+25</v>
      </c>
      <c r="AH374" s="172">
        <f>'Зона ТвЭС'!L1025</f>
        <v>0.45344086021505381</v>
      </c>
      <c r="AI374" s="172">
        <f t="shared" si="216"/>
        <v>9.7434408602150526</v>
      </c>
      <c r="AJ374" s="1973">
        <f t="shared" si="197"/>
        <v>0</v>
      </c>
      <c r="AK374" s="212">
        <f t="shared" si="198"/>
        <v>0</v>
      </c>
      <c r="AL374" s="172">
        <f t="shared" si="213"/>
        <v>9.7434408602150526</v>
      </c>
      <c r="AM374" s="1973">
        <f t="shared" si="199"/>
        <v>6.8394000000000013</v>
      </c>
      <c r="AN374" s="880">
        <f t="shared" si="214"/>
        <v>26.25</v>
      </c>
      <c r="AO374" s="172">
        <f t="shared" si="215"/>
        <v>9.6671591397849461</v>
      </c>
      <c r="AP374" s="2407"/>
      <c r="AQ374" s="2407" t="str">
        <f t="shared" si="203"/>
        <v>открыт</v>
      </c>
      <c r="AR374" s="2052" t="str">
        <f t="shared" si="200"/>
        <v>открыт</v>
      </c>
      <c r="AS374" s="2454"/>
      <c r="AT374" s="937" t="s">
        <v>97</v>
      </c>
      <c r="AU374" s="1095">
        <v>1963</v>
      </c>
      <c r="AV374" s="1101" t="s">
        <v>3218</v>
      </c>
      <c r="AW374" s="1103">
        <v>57.117744196011202</v>
      </c>
      <c r="AX374" s="1103">
        <v>35.474582720060397</v>
      </c>
    </row>
    <row r="375" spans="1:50" ht="15" customHeight="1" x14ac:dyDescent="0.25">
      <c r="A375" s="2419">
        <v>277</v>
      </c>
      <c r="B375" s="2418">
        <v>77</v>
      </c>
      <c r="C375" s="212" t="s">
        <v>242</v>
      </c>
      <c r="D375" s="230">
        <v>16</v>
      </c>
      <c r="E375" s="229" t="s">
        <v>773</v>
      </c>
      <c r="F375" s="229">
        <v>16</v>
      </c>
      <c r="G375" s="229"/>
      <c r="H375" s="228"/>
      <c r="I375" s="229" t="str">
        <f t="shared" si="192"/>
        <v>16+16</v>
      </c>
      <c r="J375" s="882">
        <v>12.16</v>
      </c>
      <c r="K375" s="889">
        <v>3.99</v>
      </c>
      <c r="L375" s="124">
        <v>120</v>
      </c>
      <c r="M375" s="172">
        <f t="shared" si="210"/>
        <v>8.17</v>
      </c>
      <c r="N375" s="172">
        <v>0</v>
      </c>
      <c r="O375" s="880"/>
      <c r="P375" s="880">
        <f t="shared" si="211"/>
        <v>16.8</v>
      </c>
      <c r="Q375" s="172">
        <f t="shared" si="212"/>
        <v>8.6300000000000008</v>
      </c>
      <c r="R375" s="2420">
        <f>MIN(Q375:Q377)</f>
        <v>8.6300000000000008</v>
      </c>
      <c r="S375" s="2398" t="str">
        <f t="shared" si="201"/>
        <v>открыт</v>
      </c>
      <c r="T375" s="2052" t="str">
        <f t="shared" si="193"/>
        <v>открыт</v>
      </c>
      <c r="U375" s="2398">
        <f>(J375*100)/P375</f>
        <v>72.38095238095238</v>
      </c>
      <c r="V375" s="2398">
        <v>0.4</v>
      </c>
      <c r="W375" s="2398" t="s">
        <v>15270</v>
      </c>
      <c r="X375" s="912"/>
      <c r="Y375" s="2419">
        <v>277</v>
      </c>
      <c r="Z375" s="2421">
        <v>77</v>
      </c>
      <c r="AA375" s="2256" t="s">
        <v>242</v>
      </c>
      <c r="AB375" s="230">
        <f t="shared" si="194"/>
        <v>16</v>
      </c>
      <c r="AC375" s="2258" t="str">
        <f t="shared" si="195"/>
        <v>+</v>
      </c>
      <c r="AD375" s="2258">
        <f t="shared" si="196"/>
        <v>16</v>
      </c>
      <c r="AE375" s="2258"/>
      <c r="AF375" s="2255"/>
      <c r="AG375" s="2256" t="str">
        <f t="shared" si="202"/>
        <v>16+16</v>
      </c>
      <c r="AH375" s="2257">
        <f>SUM(AH376:AH377)</f>
        <v>7.7521521739130437</v>
      </c>
      <c r="AI375" s="2257">
        <f>AH375+J375</f>
        <v>19.912152173913043</v>
      </c>
      <c r="AJ375" s="2257">
        <f t="shared" si="197"/>
        <v>3.99</v>
      </c>
      <c r="AK375" s="2256">
        <f t="shared" si="198"/>
        <v>120</v>
      </c>
      <c r="AL375" s="2257">
        <f t="shared" si="213"/>
        <v>15.922152173913043</v>
      </c>
      <c r="AM375" s="2257">
        <f t="shared" si="199"/>
        <v>0</v>
      </c>
      <c r="AN375" s="880">
        <f t="shared" si="214"/>
        <v>16.8</v>
      </c>
      <c r="AO375" s="2257">
        <f t="shared" si="215"/>
        <v>0.87784782608695799</v>
      </c>
      <c r="AP375" s="2405">
        <f>MIN(AO375:AO377)</f>
        <v>0.87784782608695799</v>
      </c>
      <c r="AQ375" s="2405" t="str">
        <f>AR375</f>
        <v>открыт</v>
      </c>
      <c r="AR375" s="2052" t="str">
        <f t="shared" si="200"/>
        <v>открыт</v>
      </c>
      <c r="AS375" s="2452">
        <f>(AI375*100)/AN375</f>
        <v>118.52471532091097</v>
      </c>
      <c r="AT375" s="937" t="s">
        <v>97</v>
      </c>
      <c r="AU375" s="1095">
        <v>1981</v>
      </c>
      <c r="AV375" s="1101" t="s">
        <v>3218</v>
      </c>
      <c r="AW375" s="1103">
        <v>56.587896602222003</v>
      </c>
      <c r="AX375" s="1103">
        <v>36.4910108207308</v>
      </c>
    </row>
    <row r="376" spans="1:50" ht="15" customHeight="1" x14ac:dyDescent="0.25">
      <c r="A376" s="2419"/>
      <c r="B376" s="2418"/>
      <c r="C376" s="7" t="s">
        <v>1768</v>
      </c>
      <c r="D376" s="230">
        <v>16</v>
      </c>
      <c r="E376" s="229" t="s">
        <v>773</v>
      </c>
      <c r="F376" s="229">
        <v>16</v>
      </c>
      <c r="G376" s="229"/>
      <c r="H376" s="228"/>
      <c r="I376" s="229" t="str">
        <f t="shared" si="192"/>
        <v>16+16</v>
      </c>
      <c r="J376" s="882">
        <v>12.16</v>
      </c>
      <c r="K376" s="890">
        <v>3.99</v>
      </c>
      <c r="L376" s="125">
        <v>120</v>
      </c>
      <c r="M376" s="172">
        <f t="shared" si="210"/>
        <v>8.17</v>
      </c>
      <c r="N376" s="172">
        <v>0</v>
      </c>
      <c r="O376" s="880"/>
      <c r="P376" s="880">
        <f t="shared" si="211"/>
        <v>16.8</v>
      </c>
      <c r="Q376" s="172">
        <f t="shared" si="212"/>
        <v>8.6300000000000008</v>
      </c>
      <c r="R376" s="2420"/>
      <c r="S376" s="2399" t="str">
        <f t="shared" si="201"/>
        <v>открыт</v>
      </c>
      <c r="T376" s="2052" t="str">
        <f t="shared" si="193"/>
        <v>открыт</v>
      </c>
      <c r="U376" s="2399"/>
      <c r="V376" s="2399"/>
      <c r="W376" s="2399"/>
      <c r="X376" s="912"/>
      <c r="Y376" s="2419"/>
      <c r="Z376" s="2421"/>
      <c r="AA376" s="7" t="s">
        <v>1768</v>
      </c>
      <c r="AB376" s="230">
        <f t="shared" si="194"/>
        <v>16</v>
      </c>
      <c r="AC376" s="2258" t="str">
        <f t="shared" si="195"/>
        <v>+</v>
      </c>
      <c r="AD376" s="2258">
        <f t="shared" si="196"/>
        <v>16</v>
      </c>
      <c r="AE376" s="2258"/>
      <c r="AF376" s="2255"/>
      <c r="AG376" s="2256" t="str">
        <f t="shared" si="202"/>
        <v>16+16</v>
      </c>
      <c r="AH376" s="2257">
        <f>SUM(AH337+AH343+AH345+AH297)</f>
        <v>7.7521521739130437</v>
      </c>
      <c r="AI376" s="2257">
        <f t="shared" si="216"/>
        <v>19.912152173913043</v>
      </c>
      <c r="AJ376" s="2257">
        <f t="shared" si="197"/>
        <v>3.99</v>
      </c>
      <c r="AK376" s="2256">
        <f t="shared" si="198"/>
        <v>120</v>
      </c>
      <c r="AL376" s="2257">
        <f t="shared" si="213"/>
        <v>15.922152173913043</v>
      </c>
      <c r="AM376" s="2257">
        <f t="shared" si="199"/>
        <v>0</v>
      </c>
      <c r="AN376" s="880">
        <f t="shared" si="214"/>
        <v>16.8</v>
      </c>
      <c r="AO376" s="2257">
        <f t="shared" si="215"/>
        <v>0.87784782608695799</v>
      </c>
      <c r="AP376" s="2406"/>
      <c r="AQ376" s="2406"/>
      <c r="AR376" s="2052" t="str">
        <f t="shared" si="200"/>
        <v>открыт</v>
      </c>
      <c r="AS376" s="2453"/>
      <c r="AT376" s="937" t="s">
        <v>97</v>
      </c>
      <c r="AU376" s="1095">
        <v>1981</v>
      </c>
      <c r="AV376" s="1101" t="s">
        <v>3218</v>
      </c>
      <c r="AW376" s="1103">
        <v>56.587896602222003</v>
      </c>
      <c r="AX376" s="1103">
        <v>36.4910108207308</v>
      </c>
    </row>
    <row r="377" spans="1:50" ht="15" customHeight="1" x14ac:dyDescent="0.25">
      <c r="A377" s="2419"/>
      <c r="B377" s="2418"/>
      <c r="C377" s="7" t="s">
        <v>1767</v>
      </c>
      <c r="D377" s="230">
        <v>16</v>
      </c>
      <c r="E377" s="229" t="s">
        <v>773</v>
      </c>
      <c r="F377" s="229">
        <v>16</v>
      </c>
      <c r="G377" s="229"/>
      <c r="H377" s="228"/>
      <c r="I377" s="229" t="str">
        <f t="shared" si="192"/>
        <v>16+16</v>
      </c>
      <c r="J377" s="882">
        <v>0</v>
      </c>
      <c r="K377" s="890">
        <v>0</v>
      </c>
      <c r="L377" s="125">
        <v>0</v>
      </c>
      <c r="M377" s="172">
        <f t="shared" si="210"/>
        <v>0</v>
      </c>
      <c r="N377" s="172">
        <v>0</v>
      </c>
      <c r="O377" s="880"/>
      <c r="P377" s="880">
        <f t="shared" si="211"/>
        <v>16.8</v>
      </c>
      <c r="Q377" s="172">
        <f t="shared" si="212"/>
        <v>16.8</v>
      </c>
      <c r="R377" s="2420"/>
      <c r="S377" s="2399" t="str">
        <f t="shared" si="201"/>
        <v>открыт</v>
      </c>
      <c r="T377" s="2052" t="str">
        <f t="shared" si="193"/>
        <v>открыт</v>
      </c>
      <c r="U377" s="2399"/>
      <c r="V377" s="2399"/>
      <c r="W377" s="2399"/>
      <c r="X377" s="912"/>
      <c r="Y377" s="2419"/>
      <c r="Z377" s="2421"/>
      <c r="AA377" s="7" t="s">
        <v>1767</v>
      </c>
      <c r="AB377" s="230">
        <f t="shared" si="194"/>
        <v>16</v>
      </c>
      <c r="AC377" s="2258" t="str">
        <f t="shared" si="195"/>
        <v>+</v>
      </c>
      <c r="AD377" s="2258">
        <f t="shared" si="196"/>
        <v>16</v>
      </c>
      <c r="AE377" s="2258"/>
      <c r="AF377" s="2255"/>
      <c r="AG377" s="2256" t="str">
        <f t="shared" si="202"/>
        <v>16+16</v>
      </c>
      <c r="AH377" s="2257">
        <f>'Зона ТвЭС'!J1027</f>
        <v>0</v>
      </c>
      <c r="AI377" s="2257">
        <f t="shared" si="216"/>
        <v>0</v>
      </c>
      <c r="AJ377" s="2257">
        <f t="shared" si="197"/>
        <v>0</v>
      </c>
      <c r="AK377" s="2256">
        <f t="shared" si="198"/>
        <v>0</v>
      </c>
      <c r="AL377" s="2257">
        <f t="shared" si="213"/>
        <v>0</v>
      </c>
      <c r="AM377" s="2257">
        <f t="shared" si="199"/>
        <v>0</v>
      </c>
      <c r="AN377" s="880">
        <f t="shared" si="214"/>
        <v>16.8</v>
      </c>
      <c r="AO377" s="2257">
        <f t="shared" si="215"/>
        <v>16.8</v>
      </c>
      <c r="AP377" s="2407"/>
      <c r="AQ377" s="2407"/>
      <c r="AR377" s="2052" t="str">
        <f t="shared" si="200"/>
        <v>открыт</v>
      </c>
      <c r="AS377" s="2454"/>
      <c r="AT377" s="937" t="s">
        <v>97</v>
      </c>
      <c r="AU377" s="1095">
        <v>1981</v>
      </c>
      <c r="AV377" s="1101" t="s">
        <v>3218</v>
      </c>
      <c r="AW377" s="1103">
        <v>56.587896602222003</v>
      </c>
      <c r="AX377" s="1103">
        <v>36.4910108207308</v>
      </c>
    </row>
    <row r="378" spans="1:50" ht="15" customHeight="1" x14ac:dyDescent="0.25">
      <c r="A378" s="2419">
        <v>278</v>
      </c>
      <c r="B378" s="2419">
        <v>78</v>
      </c>
      <c r="C378" s="212" t="s">
        <v>243</v>
      </c>
      <c r="D378" s="230">
        <v>40</v>
      </c>
      <c r="E378" s="229" t="s">
        <v>773</v>
      </c>
      <c r="F378" s="229">
        <v>40.5</v>
      </c>
      <c r="G378" s="229"/>
      <c r="H378" s="228"/>
      <c r="I378" s="229" t="str">
        <f t="shared" si="192"/>
        <v>40+40,5</v>
      </c>
      <c r="J378" s="882">
        <v>27.150000000000002</v>
      </c>
      <c r="K378" s="889">
        <v>12.6</v>
      </c>
      <c r="L378" s="124">
        <v>120</v>
      </c>
      <c r="M378" s="172">
        <f t="shared" si="210"/>
        <v>14.550000000000002</v>
      </c>
      <c r="N378" s="172">
        <v>0</v>
      </c>
      <c r="O378" s="880"/>
      <c r="P378" s="880">
        <f t="shared" si="211"/>
        <v>42</v>
      </c>
      <c r="Q378" s="172">
        <f t="shared" si="212"/>
        <v>27.449999999999996</v>
      </c>
      <c r="R378" s="2420">
        <f>MIN(Q378:Q380)</f>
        <v>19.454099999999997</v>
      </c>
      <c r="S378" s="2398" t="str">
        <f t="shared" si="201"/>
        <v>открыт</v>
      </c>
      <c r="T378" s="2052" t="str">
        <f t="shared" si="193"/>
        <v>открыт</v>
      </c>
      <c r="U378" s="2398">
        <f>(J378*100)/P378</f>
        <v>64.642857142857139</v>
      </c>
      <c r="V378" s="2398">
        <v>0.4</v>
      </c>
      <c r="W378" s="2398" t="s">
        <v>15270</v>
      </c>
      <c r="X378" s="912"/>
      <c r="Y378" s="2419">
        <v>278</v>
      </c>
      <c r="Z378" s="2411">
        <v>78</v>
      </c>
      <c r="AA378" s="212" t="s">
        <v>243</v>
      </c>
      <c r="AB378" s="230">
        <f t="shared" si="194"/>
        <v>40</v>
      </c>
      <c r="AC378" s="229" t="str">
        <f t="shared" si="195"/>
        <v>+</v>
      </c>
      <c r="AD378" s="229">
        <f t="shared" si="196"/>
        <v>40.5</v>
      </c>
      <c r="AE378" s="229"/>
      <c r="AF378" s="228"/>
      <c r="AG378" s="212" t="str">
        <f t="shared" si="202"/>
        <v>40+40,5</v>
      </c>
      <c r="AH378" s="172">
        <f>SUM(AH379:AH380)</f>
        <v>7.0152717391304353</v>
      </c>
      <c r="AI378" s="172">
        <f t="shared" si="216"/>
        <v>34.165271739130439</v>
      </c>
      <c r="AJ378" s="1973">
        <f t="shared" si="197"/>
        <v>12.6</v>
      </c>
      <c r="AK378" s="212">
        <f t="shared" si="198"/>
        <v>120</v>
      </c>
      <c r="AL378" s="172">
        <f t="shared" si="213"/>
        <v>21.565271739130438</v>
      </c>
      <c r="AM378" s="1973">
        <f t="shared" si="199"/>
        <v>0</v>
      </c>
      <c r="AN378" s="880">
        <f t="shared" si="214"/>
        <v>42</v>
      </c>
      <c r="AO378" s="172">
        <f t="shared" si="215"/>
        <v>20.434728260869562</v>
      </c>
      <c r="AP378" s="2405">
        <f>MIN(AO378:AO380)</f>
        <v>12.683393478260868</v>
      </c>
      <c r="AQ378" s="2405" t="str">
        <f t="shared" si="203"/>
        <v>открыт</v>
      </c>
      <c r="AR378" s="2052" t="str">
        <f t="shared" si="200"/>
        <v>открыт</v>
      </c>
      <c r="AS378" s="2452">
        <f>(AI378*100)/AN378</f>
        <v>81.345885093167709</v>
      </c>
      <c r="AT378" s="937" t="s">
        <v>97</v>
      </c>
      <c r="AU378" s="1095">
        <v>1957</v>
      </c>
      <c r="AV378" s="1101" t="s">
        <v>3218</v>
      </c>
      <c r="AW378" s="1103">
        <v>56.652821284373097</v>
      </c>
      <c r="AX378" s="1103">
        <v>36.286133958084797</v>
      </c>
    </row>
    <row r="379" spans="1:50" ht="15" customHeight="1" x14ac:dyDescent="0.25">
      <c r="A379" s="2419"/>
      <c r="B379" s="2419"/>
      <c r="C379" s="7" t="s">
        <v>1768</v>
      </c>
      <c r="D379" s="230">
        <v>40</v>
      </c>
      <c r="E379" s="229" t="s">
        <v>773</v>
      </c>
      <c r="F379" s="229">
        <v>40.5</v>
      </c>
      <c r="G379" s="229"/>
      <c r="H379" s="228"/>
      <c r="I379" s="229" t="str">
        <f t="shared" si="192"/>
        <v>40+40,5</v>
      </c>
      <c r="J379" s="882">
        <v>21.12</v>
      </c>
      <c r="K379" s="890">
        <v>12.6</v>
      </c>
      <c r="L379" s="125">
        <v>120</v>
      </c>
      <c r="M379" s="172">
        <f t="shared" si="210"/>
        <v>8.5200000000000014</v>
      </c>
      <c r="N379" s="172">
        <v>14.0259</v>
      </c>
      <c r="O379" s="880" t="s">
        <v>3396</v>
      </c>
      <c r="P379" s="880">
        <f t="shared" si="211"/>
        <v>42</v>
      </c>
      <c r="Q379" s="172">
        <f t="shared" si="212"/>
        <v>19.454099999999997</v>
      </c>
      <c r="R379" s="2420"/>
      <c r="S379" s="2399"/>
      <c r="T379" s="2052" t="str">
        <f t="shared" si="193"/>
        <v>открыт</v>
      </c>
      <c r="U379" s="2399"/>
      <c r="V379" s="2399"/>
      <c r="W379" s="2399"/>
      <c r="X379" s="912"/>
      <c r="Y379" s="2419"/>
      <c r="Z379" s="2411"/>
      <c r="AA379" s="7" t="s">
        <v>1768</v>
      </c>
      <c r="AB379" s="230">
        <f t="shared" si="194"/>
        <v>40</v>
      </c>
      <c r="AC379" s="229" t="str">
        <f t="shared" si="195"/>
        <v>+</v>
      </c>
      <c r="AD379" s="229">
        <f t="shared" si="196"/>
        <v>40.5</v>
      </c>
      <c r="AE379" s="229"/>
      <c r="AF379" s="228"/>
      <c r="AG379" s="212" t="str">
        <f t="shared" si="202"/>
        <v>40+40,5</v>
      </c>
      <c r="AH379" s="172">
        <f>SUM(AH296+AH333+AH334+AH335+AH336+AH340+AH342)</f>
        <v>6.7707065217391307</v>
      </c>
      <c r="AI379" s="172">
        <f t="shared" si="216"/>
        <v>27.890706521739133</v>
      </c>
      <c r="AJ379" s="1973">
        <f t="shared" si="197"/>
        <v>12.6</v>
      </c>
      <c r="AK379" s="212">
        <f t="shared" si="198"/>
        <v>120</v>
      </c>
      <c r="AL379" s="172">
        <f t="shared" si="213"/>
        <v>15.290706521739134</v>
      </c>
      <c r="AM379" s="1973">
        <f t="shared" si="199"/>
        <v>14.0259</v>
      </c>
      <c r="AN379" s="880">
        <f t="shared" si="214"/>
        <v>42</v>
      </c>
      <c r="AO379" s="172">
        <f t="shared" si="215"/>
        <v>12.683393478260868</v>
      </c>
      <c r="AP379" s="2406"/>
      <c r="AQ379" s="2406" t="str">
        <f t="shared" si="203"/>
        <v>открыт</v>
      </c>
      <c r="AR379" s="2052" t="str">
        <f t="shared" si="200"/>
        <v>открыт</v>
      </c>
      <c r="AS379" s="2453"/>
      <c r="AT379" s="937" t="s">
        <v>97</v>
      </c>
      <c r="AU379" s="1095">
        <v>1957</v>
      </c>
      <c r="AV379" s="1101" t="s">
        <v>3218</v>
      </c>
      <c r="AW379" s="1103">
        <v>56.652821284373097</v>
      </c>
      <c r="AX379" s="1103">
        <v>36.286133958084797</v>
      </c>
    </row>
    <row r="380" spans="1:50" ht="15" customHeight="1" x14ac:dyDescent="0.25">
      <c r="A380" s="2419"/>
      <c r="B380" s="2419"/>
      <c r="C380" s="7" t="s">
        <v>1767</v>
      </c>
      <c r="D380" s="230">
        <v>40</v>
      </c>
      <c r="E380" s="229" t="s">
        <v>773</v>
      </c>
      <c r="F380" s="229">
        <v>40.5</v>
      </c>
      <c r="G380" s="229"/>
      <c r="H380" s="228"/>
      <c r="I380" s="229" t="str">
        <f t="shared" si="192"/>
        <v>40+40,5</v>
      </c>
      <c r="J380" s="882">
        <v>6.03</v>
      </c>
      <c r="K380" s="890">
        <v>0</v>
      </c>
      <c r="L380" s="125">
        <v>0</v>
      </c>
      <c r="M380" s="172">
        <f t="shared" si="210"/>
        <v>6.03</v>
      </c>
      <c r="N380" s="172">
        <v>0</v>
      </c>
      <c r="O380" s="880" t="s">
        <v>20191</v>
      </c>
      <c r="P380" s="880">
        <f t="shared" si="211"/>
        <v>42</v>
      </c>
      <c r="Q380" s="172">
        <f t="shared" si="212"/>
        <v>35.97</v>
      </c>
      <c r="R380" s="2420"/>
      <c r="S380" s="2399"/>
      <c r="T380" s="2052" t="str">
        <f t="shared" si="193"/>
        <v>открыт</v>
      </c>
      <c r="U380" s="2399"/>
      <c r="V380" s="2399"/>
      <c r="W380" s="2399"/>
      <c r="X380" s="912"/>
      <c r="Y380" s="2419"/>
      <c r="Z380" s="2411"/>
      <c r="AA380" s="7" t="s">
        <v>1767</v>
      </c>
      <c r="AB380" s="230">
        <f t="shared" si="194"/>
        <v>40</v>
      </c>
      <c r="AC380" s="229" t="str">
        <f t="shared" si="195"/>
        <v>+</v>
      </c>
      <c r="AD380" s="229">
        <f t="shared" si="196"/>
        <v>40.5</v>
      </c>
      <c r="AE380" s="229"/>
      <c r="AF380" s="228"/>
      <c r="AG380" s="212" t="str">
        <f t="shared" si="202"/>
        <v>40+40,5</v>
      </c>
      <c r="AH380" s="172">
        <f>'Зона ТвЭС'!L1038</f>
        <v>0.24456521739130435</v>
      </c>
      <c r="AI380" s="172">
        <f t="shared" si="216"/>
        <v>6.2745652173913049</v>
      </c>
      <c r="AJ380" s="1973">
        <f t="shared" si="197"/>
        <v>0</v>
      </c>
      <c r="AK380" s="212">
        <f t="shared" si="198"/>
        <v>0</v>
      </c>
      <c r="AL380" s="172">
        <f t="shared" si="213"/>
        <v>6.2745652173913049</v>
      </c>
      <c r="AM380" s="1973">
        <f t="shared" si="199"/>
        <v>0</v>
      </c>
      <c r="AN380" s="880">
        <f t="shared" si="214"/>
        <v>42</v>
      </c>
      <c r="AO380" s="172">
        <f t="shared" si="215"/>
        <v>35.725434782608694</v>
      </c>
      <c r="AP380" s="2407"/>
      <c r="AQ380" s="2407" t="str">
        <f t="shared" si="203"/>
        <v>открыт</v>
      </c>
      <c r="AR380" s="2052" t="str">
        <f t="shared" si="200"/>
        <v>открыт</v>
      </c>
      <c r="AS380" s="2454"/>
      <c r="AT380" s="937" t="s">
        <v>97</v>
      </c>
      <c r="AU380" s="1095">
        <v>1957</v>
      </c>
      <c r="AV380" s="1101" t="s">
        <v>3218</v>
      </c>
      <c r="AW380" s="1103">
        <v>56.652821284373097</v>
      </c>
      <c r="AX380" s="1103">
        <v>36.286133958084797</v>
      </c>
    </row>
    <row r="381" spans="1:50" ht="15" customHeight="1" x14ac:dyDescent="0.25">
      <c r="A381" s="2419">
        <v>279</v>
      </c>
      <c r="B381" s="2418">
        <v>79</v>
      </c>
      <c r="C381" s="212" t="s">
        <v>244</v>
      </c>
      <c r="D381" s="230">
        <v>10</v>
      </c>
      <c r="E381" s="229" t="s">
        <v>773</v>
      </c>
      <c r="F381" s="229">
        <v>25</v>
      </c>
      <c r="G381" s="229"/>
      <c r="H381" s="228"/>
      <c r="I381" s="229" t="str">
        <f t="shared" si="192"/>
        <v>10+25</v>
      </c>
      <c r="J381" s="882">
        <v>6.03</v>
      </c>
      <c r="K381" s="889">
        <v>1.36</v>
      </c>
      <c r="L381" s="124">
        <v>120</v>
      </c>
      <c r="M381" s="172">
        <f t="shared" si="210"/>
        <v>4.67</v>
      </c>
      <c r="N381" s="172">
        <v>0</v>
      </c>
      <c r="O381" s="880"/>
      <c r="P381" s="880">
        <f t="shared" si="211"/>
        <v>10.5</v>
      </c>
      <c r="Q381" s="172">
        <f t="shared" si="212"/>
        <v>5.83</v>
      </c>
      <c r="R381" s="2420">
        <f>MIN(Q381:Q383)</f>
        <v>5.83</v>
      </c>
      <c r="S381" s="2398" t="str">
        <f t="shared" si="201"/>
        <v>открыт</v>
      </c>
      <c r="T381" s="2052" t="str">
        <f t="shared" si="193"/>
        <v>открыт</v>
      </c>
      <c r="U381" s="2398">
        <f>(J381*100)/P381</f>
        <v>57.428571428571431</v>
      </c>
      <c r="V381" s="2398">
        <v>0.4</v>
      </c>
      <c r="W381" s="2398" t="s">
        <v>15270</v>
      </c>
      <c r="X381" s="912"/>
      <c r="Y381" s="2419">
        <v>279</v>
      </c>
      <c r="Z381" s="2421">
        <v>79</v>
      </c>
      <c r="AA381" s="212" t="s">
        <v>244</v>
      </c>
      <c r="AB381" s="230">
        <f t="shared" si="194"/>
        <v>10</v>
      </c>
      <c r="AC381" s="229" t="str">
        <f t="shared" si="195"/>
        <v>+</v>
      </c>
      <c r="AD381" s="229">
        <f t="shared" si="196"/>
        <v>25</v>
      </c>
      <c r="AE381" s="229"/>
      <c r="AF381" s="228"/>
      <c r="AG381" s="212" t="str">
        <f t="shared" si="202"/>
        <v>10+25</v>
      </c>
      <c r="AH381" s="172">
        <f>SUM(AH382:AH383)</f>
        <v>0.30326086956521742</v>
      </c>
      <c r="AI381" s="172">
        <f t="shared" si="216"/>
        <v>6.3332608695652173</v>
      </c>
      <c r="AJ381" s="1973">
        <f t="shared" si="197"/>
        <v>1.36</v>
      </c>
      <c r="AK381" s="212">
        <f t="shared" si="198"/>
        <v>120</v>
      </c>
      <c r="AL381" s="172">
        <f t="shared" si="213"/>
        <v>4.973260869565217</v>
      </c>
      <c r="AM381" s="1973">
        <f t="shared" si="199"/>
        <v>0</v>
      </c>
      <c r="AN381" s="880">
        <f t="shared" si="214"/>
        <v>10.5</v>
      </c>
      <c r="AO381" s="172">
        <f t="shared" si="215"/>
        <v>5.526739130434783</v>
      </c>
      <c r="AP381" s="2405">
        <f>MIN(AO381:AO383)</f>
        <v>5.526739130434783</v>
      </c>
      <c r="AQ381" s="2405" t="str">
        <f t="shared" si="203"/>
        <v>открыт</v>
      </c>
      <c r="AR381" s="2052" t="str">
        <f t="shared" si="200"/>
        <v>открыт</v>
      </c>
      <c r="AS381" s="2452">
        <f>(AI381*100)/AN381</f>
        <v>60.316770186335404</v>
      </c>
      <c r="AT381" s="937" t="s">
        <v>97</v>
      </c>
      <c r="AU381" s="1095">
        <v>1964</v>
      </c>
      <c r="AV381" s="1101" t="s">
        <v>3218</v>
      </c>
      <c r="AW381" s="1103">
        <v>57.3406360797293</v>
      </c>
      <c r="AX381" s="1103">
        <v>36.047738987915402</v>
      </c>
    </row>
    <row r="382" spans="1:50" ht="15" customHeight="1" x14ac:dyDescent="0.25">
      <c r="A382" s="2419"/>
      <c r="B382" s="2418"/>
      <c r="C382" s="7" t="s">
        <v>1768</v>
      </c>
      <c r="D382" s="230">
        <v>10</v>
      </c>
      <c r="E382" s="229" t="s">
        <v>773</v>
      </c>
      <c r="F382" s="229">
        <v>25</v>
      </c>
      <c r="G382" s="229"/>
      <c r="H382" s="228"/>
      <c r="I382" s="229" t="str">
        <f t="shared" si="192"/>
        <v>10+25</v>
      </c>
      <c r="J382" s="882">
        <v>2.97</v>
      </c>
      <c r="K382" s="890">
        <v>1.36</v>
      </c>
      <c r="L382" s="125">
        <v>120</v>
      </c>
      <c r="M382" s="172">
        <f t="shared" si="210"/>
        <v>1.61</v>
      </c>
      <c r="N382" s="172">
        <v>0</v>
      </c>
      <c r="O382" s="880"/>
      <c r="P382" s="880">
        <f t="shared" si="211"/>
        <v>10.5</v>
      </c>
      <c r="Q382" s="172">
        <f t="shared" si="212"/>
        <v>8.89</v>
      </c>
      <c r="R382" s="2420"/>
      <c r="S382" s="2399"/>
      <c r="T382" s="2052" t="str">
        <f t="shared" si="193"/>
        <v>открыт</v>
      </c>
      <c r="U382" s="2399"/>
      <c r="V382" s="2399"/>
      <c r="W382" s="2399"/>
      <c r="X382" s="912"/>
      <c r="Y382" s="2419"/>
      <c r="Z382" s="2421"/>
      <c r="AA382" s="7" t="s">
        <v>1768</v>
      </c>
      <c r="AB382" s="230">
        <f t="shared" si="194"/>
        <v>10</v>
      </c>
      <c r="AC382" s="229" t="str">
        <f t="shared" si="195"/>
        <v>+</v>
      </c>
      <c r="AD382" s="229">
        <f t="shared" si="196"/>
        <v>25</v>
      </c>
      <c r="AE382" s="229"/>
      <c r="AF382" s="228"/>
      <c r="AG382" s="212" t="str">
        <f t="shared" si="202"/>
        <v>10+25</v>
      </c>
      <c r="AH382" s="172">
        <f>SUM(AH299+AH300+AH331+AH292)</f>
        <v>0</v>
      </c>
      <c r="AI382" s="172">
        <f t="shared" si="216"/>
        <v>2.97</v>
      </c>
      <c r="AJ382" s="1973">
        <f t="shared" si="197"/>
        <v>1.36</v>
      </c>
      <c r="AK382" s="212">
        <f t="shared" si="198"/>
        <v>120</v>
      </c>
      <c r="AL382" s="172">
        <f t="shared" si="213"/>
        <v>1.61</v>
      </c>
      <c r="AM382" s="1973">
        <f t="shared" si="199"/>
        <v>0</v>
      </c>
      <c r="AN382" s="880">
        <f t="shared" si="214"/>
        <v>10.5</v>
      </c>
      <c r="AO382" s="172">
        <f t="shared" si="215"/>
        <v>8.89</v>
      </c>
      <c r="AP382" s="2406"/>
      <c r="AQ382" s="2406" t="str">
        <f t="shared" si="203"/>
        <v>открыт</v>
      </c>
      <c r="AR382" s="2052" t="str">
        <f t="shared" si="200"/>
        <v>открыт</v>
      </c>
      <c r="AS382" s="2453"/>
      <c r="AT382" s="937" t="s">
        <v>97</v>
      </c>
      <c r="AU382" s="1095">
        <v>1964</v>
      </c>
      <c r="AV382" s="1101" t="s">
        <v>3218</v>
      </c>
      <c r="AW382" s="1103">
        <v>57.3406360797293</v>
      </c>
      <c r="AX382" s="1103">
        <v>36.047738987915402</v>
      </c>
    </row>
    <row r="383" spans="1:50" ht="15" customHeight="1" x14ac:dyDescent="0.25">
      <c r="A383" s="2419"/>
      <c r="B383" s="2418"/>
      <c r="C383" s="7" t="s">
        <v>1767</v>
      </c>
      <c r="D383" s="230">
        <v>10</v>
      </c>
      <c r="E383" s="229" t="s">
        <v>773</v>
      </c>
      <c r="F383" s="229">
        <v>25</v>
      </c>
      <c r="G383" s="229"/>
      <c r="H383" s="228"/>
      <c r="I383" s="229" t="str">
        <f t="shared" si="192"/>
        <v>10+25</v>
      </c>
      <c r="J383" s="882">
        <v>3.06</v>
      </c>
      <c r="K383" s="890">
        <v>0</v>
      </c>
      <c r="L383" s="125">
        <v>120</v>
      </c>
      <c r="M383" s="172">
        <f t="shared" si="210"/>
        <v>3.06</v>
      </c>
      <c r="N383" s="172">
        <v>0</v>
      </c>
      <c r="O383" s="880"/>
      <c r="P383" s="880">
        <f t="shared" si="211"/>
        <v>10.5</v>
      </c>
      <c r="Q383" s="172">
        <f t="shared" si="212"/>
        <v>7.4399999999999995</v>
      </c>
      <c r="R383" s="2420"/>
      <c r="S383" s="2399"/>
      <c r="T383" s="2052" t="str">
        <f t="shared" si="193"/>
        <v>открыт</v>
      </c>
      <c r="U383" s="2399"/>
      <c r="V383" s="2399"/>
      <c r="W383" s="2399"/>
      <c r="X383" s="912"/>
      <c r="Y383" s="2419"/>
      <c r="Z383" s="2421"/>
      <c r="AA383" s="7" t="s">
        <v>1767</v>
      </c>
      <c r="AB383" s="230">
        <f t="shared" si="194"/>
        <v>10</v>
      </c>
      <c r="AC383" s="229" t="str">
        <f t="shared" si="195"/>
        <v>+</v>
      </c>
      <c r="AD383" s="229">
        <f t="shared" si="196"/>
        <v>25</v>
      </c>
      <c r="AE383" s="229"/>
      <c r="AF383" s="228"/>
      <c r="AG383" s="212" t="str">
        <f t="shared" si="202"/>
        <v>10+25</v>
      </c>
      <c r="AH383" s="172">
        <f>'Зона ТвЭС'!L1055</f>
        <v>0.30326086956521742</v>
      </c>
      <c r="AI383" s="172">
        <f t="shared" si="216"/>
        <v>3.3632608695652175</v>
      </c>
      <c r="AJ383" s="1973">
        <f t="shared" si="197"/>
        <v>0</v>
      </c>
      <c r="AK383" s="212">
        <f t="shared" si="198"/>
        <v>120</v>
      </c>
      <c r="AL383" s="172">
        <f t="shared" si="213"/>
        <v>3.3632608695652175</v>
      </c>
      <c r="AM383" s="1973">
        <f t="shared" si="199"/>
        <v>0</v>
      </c>
      <c r="AN383" s="880">
        <f t="shared" si="214"/>
        <v>10.5</v>
      </c>
      <c r="AO383" s="172">
        <f t="shared" si="215"/>
        <v>7.1367391304347825</v>
      </c>
      <c r="AP383" s="2407"/>
      <c r="AQ383" s="2407" t="str">
        <f t="shared" si="203"/>
        <v>открыт</v>
      </c>
      <c r="AR383" s="2052" t="str">
        <f t="shared" si="200"/>
        <v>открыт</v>
      </c>
      <c r="AS383" s="2454"/>
      <c r="AT383" s="937" t="s">
        <v>97</v>
      </c>
      <c r="AU383" s="1095">
        <v>1964</v>
      </c>
      <c r="AV383" s="1101" t="s">
        <v>3218</v>
      </c>
      <c r="AW383" s="1103">
        <v>57.3406360797293</v>
      </c>
      <c r="AX383" s="1103">
        <v>36.047738987915402</v>
      </c>
    </row>
    <row r="384" spans="1:50" ht="15" customHeight="1" x14ac:dyDescent="0.25">
      <c r="A384" s="2419">
        <v>280</v>
      </c>
      <c r="B384" s="2419">
        <v>80</v>
      </c>
      <c r="C384" s="212" t="s">
        <v>245</v>
      </c>
      <c r="D384" s="230">
        <v>25</v>
      </c>
      <c r="E384" s="229" t="s">
        <v>773</v>
      </c>
      <c r="F384" s="229">
        <v>25</v>
      </c>
      <c r="G384" s="229"/>
      <c r="H384" s="228"/>
      <c r="I384" s="229" t="str">
        <f t="shared" si="192"/>
        <v>25+25</v>
      </c>
      <c r="J384" s="882">
        <v>1.5589999999999999</v>
      </c>
      <c r="K384" s="889">
        <v>0</v>
      </c>
      <c r="L384" s="124">
        <v>120</v>
      </c>
      <c r="M384" s="172">
        <f t="shared" si="210"/>
        <v>1.5589999999999999</v>
      </c>
      <c r="N384" s="172">
        <v>0</v>
      </c>
      <c r="O384" s="880"/>
      <c r="P384" s="880">
        <f>MIN(D384:F384)*1.05</f>
        <v>26.25</v>
      </c>
      <c r="Q384" s="172">
        <f t="shared" si="212"/>
        <v>24.690999999999999</v>
      </c>
      <c r="R384" s="2420">
        <f>MIN(Q384:Q386)</f>
        <v>14.451000000000002</v>
      </c>
      <c r="S384" s="2398" t="str">
        <f t="shared" si="201"/>
        <v>открыт</v>
      </c>
      <c r="T384" s="2052" t="str">
        <f t="shared" si="193"/>
        <v>открыт</v>
      </c>
      <c r="U384" s="2398">
        <f>(J384*100)/P384</f>
        <v>5.9390476190476189</v>
      </c>
      <c r="V384" s="2398">
        <v>0.3</v>
      </c>
      <c r="W384" s="2398" t="s">
        <v>3033</v>
      </c>
      <c r="X384" s="912"/>
      <c r="Y384" s="2419">
        <v>280</v>
      </c>
      <c r="Z384" s="2411">
        <v>80</v>
      </c>
      <c r="AA384" s="212" t="s">
        <v>245</v>
      </c>
      <c r="AB384" s="230">
        <f t="shared" si="194"/>
        <v>25</v>
      </c>
      <c r="AC384" s="229" t="str">
        <f t="shared" si="195"/>
        <v>+</v>
      </c>
      <c r="AD384" s="229">
        <f t="shared" si="196"/>
        <v>25</v>
      </c>
      <c r="AE384" s="229"/>
      <c r="AF384" s="228"/>
      <c r="AG384" s="212" t="str">
        <f t="shared" si="202"/>
        <v>25+25</v>
      </c>
      <c r="AH384" s="172">
        <f>SUM(AH385:AH386)</f>
        <v>0</v>
      </c>
      <c r="AI384" s="172">
        <f t="shared" si="216"/>
        <v>1.5589999999999999</v>
      </c>
      <c r="AJ384" s="1973">
        <f t="shared" si="197"/>
        <v>0</v>
      </c>
      <c r="AK384" s="212">
        <f t="shared" si="198"/>
        <v>120</v>
      </c>
      <c r="AL384" s="172">
        <f t="shared" si="213"/>
        <v>1.5589999999999999</v>
      </c>
      <c r="AM384" s="1973">
        <f t="shared" si="199"/>
        <v>0</v>
      </c>
      <c r="AN384" s="880">
        <f>MIN(AB384:AF384)*1.05</f>
        <v>26.25</v>
      </c>
      <c r="AO384" s="172">
        <f t="shared" si="215"/>
        <v>24.690999999999999</v>
      </c>
      <c r="AP384" s="2405">
        <f>MIN(AO384:AO386)</f>
        <v>14.451000000000002</v>
      </c>
      <c r="AQ384" s="2405" t="str">
        <f t="shared" si="203"/>
        <v>открыт</v>
      </c>
      <c r="AR384" s="2052" t="str">
        <f t="shared" si="200"/>
        <v>открыт</v>
      </c>
      <c r="AS384" s="2452">
        <f>(AI384*100)/AN384</f>
        <v>5.9390476190476189</v>
      </c>
      <c r="AT384" s="937" t="s">
        <v>97</v>
      </c>
      <c r="AU384" s="1095">
        <v>1983</v>
      </c>
      <c r="AV384" s="1101" t="s">
        <v>3218</v>
      </c>
      <c r="AW384" s="1103">
        <v>57.187139393143099</v>
      </c>
      <c r="AX384" s="1103">
        <v>35.854838183759199</v>
      </c>
    </row>
    <row r="385" spans="1:50" ht="15" customHeight="1" x14ac:dyDescent="0.25">
      <c r="A385" s="2419"/>
      <c r="B385" s="2419"/>
      <c r="C385" s="7" t="s">
        <v>1768</v>
      </c>
      <c r="D385" s="230">
        <v>25</v>
      </c>
      <c r="E385" s="229" t="s">
        <v>773</v>
      </c>
      <c r="F385" s="229">
        <v>25</v>
      </c>
      <c r="G385" s="229"/>
      <c r="H385" s="228"/>
      <c r="I385" s="229" t="str">
        <f t="shared" si="192"/>
        <v>25+25</v>
      </c>
      <c r="J385" s="882">
        <v>1.54</v>
      </c>
      <c r="K385" s="890">
        <v>0</v>
      </c>
      <c r="L385" s="125">
        <v>0</v>
      </c>
      <c r="M385" s="172">
        <f t="shared" si="210"/>
        <v>1.54</v>
      </c>
      <c r="N385" s="172">
        <v>0</v>
      </c>
      <c r="O385" s="880"/>
      <c r="P385" s="880">
        <f t="shared" si="211"/>
        <v>26.25</v>
      </c>
      <c r="Q385" s="172">
        <f>P385-M385-N385</f>
        <v>24.71</v>
      </c>
      <c r="R385" s="2420"/>
      <c r="S385" s="2399"/>
      <c r="T385" s="2052" t="str">
        <f t="shared" si="193"/>
        <v>открыт</v>
      </c>
      <c r="U385" s="2399"/>
      <c r="V385" s="2399"/>
      <c r="W385" s="2399"/>
      <c r="X385" s="912"/>
      <c r="Y385" s="2419"/>
      <c r="Z385" s="2411"/>
      <c r="AA385" s="7" t="s">
        <v>1768</v>
      </c>
      <c r="AB385" s="230">
        <f t="shared" si="194"/>
        <v>25</v>
      </c>
      <c r="AC385" s="229" t="str">
        <f t="shared" si="195"/>
        <v>+</v>
      </c>
      <c r="AD385" s="229">
        <f t="shared" si="196"/>
        <v>25</v>
      </c>
      <c r="AE385" s="229"/>
      <c r="AF385" s="228"/>
      <c r="AG385" s="212" t="str">
        <f t="shared" si="202"/>
        <v>25+25</v>
      </c>
      <c r="AH385" s="172">
        <f>SUM(AH294)</f>
        <v>0</v>
      </c>
      <c r="AI385" s="172">
        <f t="shared" si="216"/>
        <v>1.54</v>
      </c>
      <c r="AJ385" s="1973">
        <f t="shared" si="197"/>
        <v>0</v>
      </c>
      <c r="AK385" s="212">
        <f t="shared" si="198"/>
        <v>0</v>
      </c>
      <c r="AL385" s="172">
        <f t="shared" si="213"/>
        <v>1.54</v>
      </c>
      <c r="AM385" s="1973">
        <f t="shared" si="199"/>
        <v>0</v>
      </c>
      <c r="AN385" s="880">
        <f>MIN(AB385:AF385)*1.05</f>
        <v>26.25</v>
      </c>
      <c r="AO385" s="172">
        <f t="shared" si="215"/>
        <v>24.71</v>
      </c>
      <c r="AP385" s="2406"/>
      <c r="AQ385" s="2406" t="str">
        <f t="shared" si="203"/>
        <v>открыт</v>
      </c>
      <c r="AR385" s="2052" t="str">
        <f t="shared" si="200"/>
        <v>открыт</v>
      </c>
      <c r="AS385" s="2453"/>
      <c r="AT385" s="937" t="s">
        <v>97</v>
      </c>
      <c r="AU385" s="1095">
        <v>1983</v>
      </c>
      <c r="AV385" s="1101" t="s">
        <v>3218</v>
      </c>
      <c r="AW385" s="1103">
        <v>57.187139393143099</v>
      </c>
      <c r="AX385" s="1103">
        <v>35.854838183759199</v>
      </c>
    </row>
    <row r="386" spans="1:50" ht="15" customHeight="1" x14ac:dyDescent="0.25">
      <c r="A386" s="2419"/>
      <c r="B386" s="2419"/>
      <c r="C386" s="7" t="s">
        <v>1767</v>
      </c>
      <c r="D386" s="230">
        <v>25</v>
      </c>
      <c r="E386" s="229" t="s">
        <v>773</v>
      </c>
      <c r="F386" s="229">
        <v>25</v>
      </c>
      <c r="G386" s="229"/>
      <c r="H386" s="228"/>
      <c r="I386" s="229" t="str">
        <f t="shared" si="192"/>
        <v>25+25</v>
      </c>
      <c r="J386" s="882">
        <v>1.9E-2</v>
      </c>
      <c r="K386" s="890">
        <v>0</v>
      </c>
      <c r="L386" s="125">
        <v>0</v>
      </c>
      <c r="M386" s="172">
        <f t="shared" si="210"/>
        <v>1.9E-2</v>
      </c>
      <c r="N386" s="172">
        <v>11.78</v>
      </c>
      <c r="O386" s="880" t="s">
        <v>3028</v>
      </c>
      <c r="P386" s="880">
        <f t="shared" si="211"/>
        <v>26.25</v>
      </c>
      <c r="Q386" s="172">
        <f>P386-M386-N386</f>
        <v>14.451000000000002</v>
      </c>
      <c r="R386" s="2420"/>
      <c r="S386" s="2399"/>
      <c r="T386" s="2052" t="str">
        <f t="shared" si="193"/>
        <v>открыт</v>
      </c>
      <c r="U386" s="2399"/>
      <c r="V386" s="2399"/>
      <c r="W386" s="2399"/>
      <c r="X386" s="912"/>
      <c r="Y386" s="2419"/>
      <c r="Z386" s="2411"/>
      <c r="AA386" s="7" t="s">
        <v>1767</v>
      </c>
      <c r="AB386" s="230">
        <f t="shared" si="194"/>
        <v>25</v>
      </c>
      <c r="AC386" s="229" t="str">
        <f t="shared" si="195"/>
        <v>+</v>
      </c>
      <c r="AD386" s="229">
        <f t="shared" si="196"/>
        <v>25</v>
      </c>
      <c r="AE386" s="229"/>
      <c r="AF386" s="228"/>
      <c r="AG386" s="212" t="str">
        <f t="shared" si="202"/>
        <v>25+25</v>
      </c>
      <c r="AH386" s="244">
        <f>'Зона ТвЭС'!L1057</f>
        <v>0</v>
      </c>
      <c r="AI386" s="172">
        <f t="shared" si="216"/>
        <v>1.9E-2</v>
      </c>
      <c r="AJ386" s="1973">
        <f t="shared" si="197"/>
        <v>0</v>
      </c>
      <c r="AK386" s="212">
        <f t="shared" si="198"/>
        <v>0</v>
      </c>
      <c r="AL386" s="172">
        <f t="shared" si="213"/>
        <v>1.9E-2</v>
      </c>
      <c r="AM386" s="1973">
        <f t="shared" si="199"/>
        <v>11.78</v>
      </c>
      <c r="AN386" s="880">
        <f>MIN(AB386:AF386)*1.05</f>
        <v>26.25</v>
      </c>
      <c r="AO386" s="172">
        <f t="shared" si="215"/>
        <v>14.451000000000002</v>
      </c>
      <c r="AP386" s="2407"/>
      <c r="AQ386" s="2407" t="str">
        <f t="shared" si="203"/>
        <v>открыт</v>
      </c>
      <c r="AR386" s="2052" t="str">
        <f t="shared" si="200"/>
        <v>открыт</v>
      </c>
      <c r="AS386" s="2454"/>
      <c r="AT386" s="937" t="s">
        <v>97</v>
      </c>
      <c r="AU386" s="1095">
        <v>1983</v>
      </c>
      <c r="AV386" s="1101" t="s">
        <v>3218</v>
      </c>
      <c r="AW386" s="1103">
        <v>57.187139393143099</v>
      </c>
      <c r="AX386" s="1103">
        <v>35.854838183759199</v>
      </c>
    </row>
    <row r="387" spans="1:50" ht="15" customHeight="1" x14ac:dyDescent="0.25">
      <c r="A387" s="212">
        <v>281</v>
      </c>
      <c r="B387" s="245">
        <v>1</v>
      </c>
      <c r="C387" s="245" t="s">
        <v>246</v>
      </c>
      <c r="D387" s="246">
        <v>2.5</v>
      </c>
      <c r="E387" s="247"/>
      <c r="F387" s="247"/>
      <c r="G387" s="247"/>
      <c r="H387" s="248"/>
      <c r="I387" s="229" t="str">
        <f t="shared" si="192"/>
        <v>2,5</v>
      </c>
      <c r="J387" s="997">
        <v>1.03</v>
      </c>
      <c r="K387" s="1429">
        <v>1.03</v>
      </c>
      <c r="L387" s="1430" t="s">
        <v>334</v>
      </c>
      <c r="M387" s="250">
        <f>K387</f>
        <v>1.03</v>
      </c>
      <c r="N387" s="172">
        <v>0</v>
      </c>
      <c r="O387" s="880"/>
      <c r="P387" s="883">
        <f t="shared" ref="P387:P399" si="217">M387-N387</f>
        <v>1.03</v>
      </c>
      <c r="Q387" s="250">
        <f t="shared" ref="Q387:Q399" si="218">P387-J387</f>
        <v>0</v>
      </c>
      <c r="R387" s="250">
        <f>Q387</f>
        <v>0</v>
      </c>
      <c r="S387" s="757" t="str">
        <f t="shared" si="201"/>
        <v>открыт</v>
      </c>
      <c r="T387" s="2052" t="str">
        <f t="shared" si="193"/>
        <v>открыт</v>
      </c>
      <c r="U387" s="757">
        <f t="shared" ref="U387:U399" si="219">(J387*100)/(I387*1.05)</f>
        <v>39.238095238095241</v>
      </c>
      <c r="V387" s="2254">
        <v>0.5</v>
      </c>
      <c r="W387" s="2254" t="s">
        <v>3033</v>
      </c>
      <c r="X387" s="916"/>
      <c r="Y387" s="212">
        <v>281</v>
      </c>
      <c r="Z387" s="248">
        <v>1</v>
      </c>
      <c r="AA387" s="245" t="s">
        <v>246</v>
      </c>
      <c r="AB387" s="246">
        <f t="shared" si="194"/>
        <v>2.5</v>
      </c>
      <c r="AC387" s="247"/>
      <c r="AD387" s="247"/>
      <c r="AE387" s="247"/>
      <c r="AF387" s="248"/>
      <c r="AG387" s="212" t="str">
        <f t="shared" si="202"/>
        <v>2,5</v>
      </c>
      <c r="AH387" s="250">
        <f>'Зона ТоЭс'!L9</f>
        <v>0</v>
      </c>
      <c r="AI387" s="250">
        <f t="shared" si="216"/>
        <v>1.03</v>
      </c>
      <c r="AJ387" s="1973">
        <f t="shared" si="197"/>
        <v>1.03</v>
      </c>
      <c r="AK387" s="212" t="str">
        <f t="shared" si="198"/>
        <v>1 сутки</v>
      </c>
      <c r="AL387" s="172">
        <f t="shared" ref="AL387:AL399" si="220">AJ387</f>
        <v>1.03</v>
      </c>
      <c r="AM387" s="1973">
        <f t="shared" si="199"/>
        <v>0</v>
      </c>
      <c r="AN387" s="883">
        <f t="shared" ref="AN387:AN399" si="221">AL387-AM387</f>
        <v>1.03</v>
      </c>
      <c r="AO387" s="250">
        <f t="shared" ref="AO387:AO399" si="222">AN387-AI387</f>
        <v>0</v>
      </c>
      <c r="AP387" s="250">
        <f>AO387</f>
        <v>0</v>
      </c>
      <c r="AQ387" s="245" t="str">
        <f t="shared" si="203"/>
        <v>открыт</v>
      </c>
      <c r="AR387" s="2052" t="str">
        <f t="shared" si="200"/>
        <v>открыт</v>
      </c>
      <c r="AS387" s="938">
        <f>(AI387*100)/(AG387*1.05)</f>
        <v>39.238095238095241</v>
      </c>
      <c r="AT387" s="1093" t="s">
        <v>96</v>
      </c>
      <c r="AU387" s="1095">
        <v>1976</v>
      </c>
      <c r="AV387" s="1101" t="s">
        <v>3218</v>
      </c>
      <c r="AW387" s="1103">
        <v>56.8301746418446</v>
      </c>
      <c r="AX387" s="1103">
        <v>34.607680731350698</v>
      </c>
    </row>
    <row r="388" spans="1:50" ht="15" customHeight="1" x14ac:dyDescent="0.25">
      <c r="A388" s="212">
        <v>282</v>
      </c>
      <c r="B388" s="245">
        <v>2</v>
      </c>
      <c r="C388" s="245" t="s">
        <v>247</v>
      </c>
      <c r="D388" s="246">
        <v>2.5</v>
      </c>
      <c r="E388" s="247"/>
      <c r="F388" s="247"/>
      <c r="G388" s="247"/>
      <c r="H388" s="248"/>
      <c r="I388" s="229" t="str">
        <f t="shared" si="192"/>
        <v>2,5</v>
      </c>
      <c r="J388" s="997">
        <v>0.4</v>
      </c>
      <c r="K388" s="1429">
        <v>0.4</v>
      </c>
      <c r="L388" s="1430" t="s">
        <v>334</v>
      </c>
      <c r="M388" s="250">
        <f t="shared" ref="M388:M399" si="223">K388</f>
        <v>0.4</v>
      </c>
      <c r="N388" s="172">
        <v>0</v>
      </c>
      <c r="O388" s="880"/>
      <c r="P388" s="883">
        <f t="shared" si="217"/>
        <v>0.4</v>
      </c>
      <c r="Q388" s="250">
        <f t="shared" si="218"/>
        <v>0</v>
      </c>
      <c r="R388" s="250">
        <f t="shared" ref="R388:R410" si="224">Q388</f>
        <v>0</v>
      </c>
      <c r="S388" s="757" t="str">
        <f t="shared" si="201"/>
        <v>открыт</v>
      </c>
      <c r="T388" s="2052" t="str">
        <f t="shared" si="193"/>
        <v>открыт</v>
      </c>
      <c r="U388" s="757">
        <f t="shared" si="219"/>
        <v>15.238095238095237</v>
      </c>
      <c r="V388" s="2254">
        <v>0.87</v>
      </c>
      <c r="W388" s="2254" t="s">
        <v>3033</v>
      </c>
      <c r="X388" s="916"/>
      <c r="Y388" s="212">
        <v>282</v>
      </c>
      <c r="Z388" s="248">
        <v>2</v>
      </c>
      <c r="AA388" s="245" t="s">
        <v>247</v>
      </c>
      <c r="AB388" s="246">
        <f t="shared" si="194"/>
        <v>2.5</v>
      </c>
      <c r="AC388" s="247"/>
      <c r="AD388" s="247"/>
      <c r="AE388" s="247"/>
      <c r="AF388" s="248"/>
      <c r="AG388" s="212" t="str">
        <f t="shared" si="202"/>
        <v>2,5</v>
      </c>
      <c r="AH388" s="250">
        <f>'Зона ТоЭс'!L15</f>
        <v>1.0271739130434783</v>
      </c>
      <c r="AI388" s="250">
        <f t="shared" si="216"/>
        <v>1.4271739130434784</v>
      </c>
      <c r="AJ388" s="1973">
        <f t="shared" si="197"/>
        <v>0.4</v>
      </c>
      <c r="AK388" s="212" t="str">
        <f t="shared" si="198"/>
        <v>1 сутки</v>
      </c>
      <c r="AL388" s="172">
        <f t="shared" si="220"/>
        <v>0.4</v>
      </c>
      <c r="AM388" s="1973">
        <f t="shared" si="199"/>
        <v>0</v>
      </c>
      <c r="AN388" s="883">
        <f t="shared" si="221"/>
        <v>0.4</v>
      </c>
      <c r="AO388" s="250">
        <f t="shared" si="222"/>
        <v>-1.0271739130434785</v>
      </c>
      <c r="AP388" s="250">
        <f>AO388</f>
        <v>-1.0271739130434785</v>
      </c>
      <c r="AQ388" s="245" t="str">
        <f t="shared" si="203"/>
        <v>закрыт</v>
      </c>
      <c r="AR388" s="2052" t="str">
        <f t="shared" si="200"/>
        <v>закрыт</v>
      </c>
      <c r="AS388" s="938">
        <f t="shared" ref="AS388:AS399" si="225">(AI388*100)/(AG388*1.05)</f>
        <v>54.368530020703943</v>
      </c>
      <c r="AT388" s="1093" t="s">
        <v>96</v>
      </c>
      <c r="AU388" s="1095">
        <v>1990</v>
      </c>
      <c r="AV388" s="1101" t="s">
        <v>3218</v>
      </c>
      <c r="AW388" s="1103">
        <v>56.890550852858198</v>
      </c>
      <c r="AX388" s="1103">
        <v>34.736810070502301</v>
      </c>
    </row>
    <row r="389" spans="1:50" ht="15" customHeight="1" x14ac:dyDescent="0.25">
      <c r="A389" s="2103">
        <v>283</v>
      </c>
      <c r="B389" s="245">
        <v>3</v>
      </c>
      <c r="C389" s="245" t="s">
        <v>248</v>
      </c>
      <c r="D389" s="246">
        <v>0.56000000000000005</v>
      </c>
      <c r="E389" s="247"/>
      <c r="F389" s="247"/>
      <c r="G389" s="247"/>
      <c r="H389" s="248"/>
      <c r="I389" s="229" t="str">
        <f t="shared" si="192"/>
        <v>0,56</v>
      </c>
      <c r="J389" s="997">
        <v>0.02</v>
      </c>
      <c r="K389" s="1429">
        <v>0</v>
      </c>
      <c r="L389" s="1430">
        <v>0</v>
      </c>
      <c r="M389" s="250">
        <f t="shared" si="223"/>
        <v>0</v>
      </c>
      <c r="N389" s="172">
        <v>0</v>
      </c>
      <c r="O389" s="880"/>
      <c r="P389" s="883">
        <f t="shared" si="217"/>
        <v>0</v>
      </c>
      <c r="Q389" s="250">
        <f t="shared" si="218"/>
        <v>-0.02</v>
      </c>
      <c r="R389" s="250">
        <f t="shared" si="224"/>
        <v>-0.02</v>
      </c>
      <c r="S389" s="245" t="str">
        <f t="shared" si="201"/>
        <v>закрыт</v>
      </c>
      <c r="T389" s="2052" t="str">
        <f t="shared" si="193"/>
        <v>закрыт</v>
      </c>
      <c r="U389" s="757">
        <f t="shared" si="219"/>
        <v>3.4013605442176864</v>
      </c>
      <c r="V389" s="2254">
        <v>0.81</v>
      </c>
      <c r="W389" s="2254" t="s">
        <v>3033</v>
      </c>
      <c r="X389" s="916"/>
      <c r="Y389" s="2103">
        <v>283</v>
      </c>
      <c r="Z389" s="248">
        <v>3</v>
      </c>
      <c r="AA389" s="245" t="s">
        <v>248</v>
      </c>
      <c r="AB389" s="246">
        <f t="shared" si="194"/>
        <v>0.56000000000000005</v>
      </c>
      <c r="AC389" s="247"/>
      <c r="AD389" s="247"/>
      <c r="AE389" s="247"/>
      <c r="AF389" s="248"/>
      <c r="AG389" s="212" t="str">
        <f t="shared" si="202"/>
        <v>0,56</v>
      </c>
      <c r="AH389" s="250">
        <f>'Зона ТоЭс'!L18</f>
        <v>0</v>
      </c>
      <c r="AI389" s="250">
        <f t="shared" si="216"/>
        <v>0.02</v>
      </c>
      <c r="AJ389" s="1973">
        <f t="shared" si="197"/>
        <v>0</v>
      </c>
      <c r="AK389" s="212">
        <f t="shared" si="198"/>
        <v>0</v>
      </c>
      <c r="AL389" s="172">
        <f t="shared" si="220"/>
        <v>0</v>
      </c>
      <c r="AM389" s="1973">
        <f t="shared" si="199"/>
        <v>0</v>
      </c>
      <c r="AN389" s="883">
        <f t="shared" si="221"/>
        <v>0</v>
      </c>
      <c r="AO389" s="250">
        <f t="shared" si="222"/>
        <v>-0.02</v>
      </c>
      <c r="AP389" s="250">
        <f>AO389</f>
        <v>-0.02</v>
      </c>
      <c r="AQ389" s="249" t="str">
        <f t="shared" si="203"/>
        <v>закрыт</v>
      </c>
      <c r="AR389" s="2052" t="str">
        <f t="shared" si="200"/>
        <v>закрыт</v>
      </c>
      <c r="AS389" s="938">
        <f t="shared" si="225"/>
        <v>3.4013605442176864</v>
      </c>
      <c r="AT389" s="1093" t="s">
        <v>96</v>
      </c>
      <c r="AU389" s="1095">
        <v>1970</v>
      </c>
      <c r="AV389" s="1101" t="s">
        <v>3218</v>
      </c>
      <c r="AW389" s="1103">
        <v>57.178198819369499</v>
      </c>
      <c r="AX389" s="1103">
        <v>33.725861625238501</v>
      </c>
    </row>
    <row r="390" spans="1:50" ht="15" customHeight="1" x14ac:dyDescent="0.25">
      <c r="A390" s="2103">
        <v>284</v>
      </c>
      <c r="B390" s="245">
        <v>4</v>
      </c>
      <c r="C390" s="245" t="s">
        <v>249</v>
      </c>
      <c r="D390" s="246">
        <v>2.5</v>
      </c>
      <c r="E390" s="247"/>
      <c r="F390" s="247"/>
      <c r="G390" s="247"/>
      <c r="H390" s="248"/>
      <c r="I390" s="229" t="str">
        <f t="shared" si="192"/>
        <v>2,5</v>
      </c>
      <c r="J390" s="997">
        <v>0.56999999999999995</v>
      </c>
      <c r="K390" s="1429">
        <v>0.25</v>
      </c>
      <c r="L390" s="1430" t="s">
        <v>334</v>
      </c>
      <c r="M390" s="250">
        <f t="shared" si="223"/>
        <v>0.25</v>
      </c>
      <c r="N390" s="172">
        <v>0</v>
      </c>
      <c r="O390" s="880"/>
      <c r="P390" s="883">
        <f t="shared" si="217"/>
        <v>0.25</v>
      </c>
      <c r="Q390" s="250">
        <f t="shared" si="218"/>
        <v>-0.31999999999999995</v>
      </c>
      <c r="R390" s="250">
        <f t="shared" si="224"/>
        <v>-0.31999999999999995</v>
      </c>
      <c r="S390" s="245" t="str">
        <f t="shared" si="201"/>
        <v>закрыт</v>
      </c>
      <c r="T390" s="2052" t="str">
        <f t="shared" si="193"/>
        <v>закрыт</v>
      </c>
      <c r="U390" s="757">
        <f t="shared" si="219"/>
        <v>21.714285714285712</v>
      </c>
      <c r="V390" s="2254">
        <v>0.84</v>
      </c>
      <c r="W390" s="2254" t="s">
        <v>3033</v>
      </c>
      <c r="X390" s="916"/>
      <c r="Y390" s="2103">
        <v>284</v>
      </c>
      <c r="Z390" s="248">
        <v>4</v>
      </c>
      <c r="AA390" s="245" t="s">
        <v>249</v>
      </c>
      <c r="AB390" s="246">
        <f t="shared" si="194"/>
        <v>2.5</v>
      </c>
      <c r="AC390" s="247"/>
      <c r="AD390" s="247"/>
      <c r="AE390" s="247"/>
      <c r="AF390" s="248"/>
      <c r="AG390" s="212" t="str">
        <f t="shared" si="202"/>
        <v>2,5</v>
      </c>
      <c r="AH390" s="250">
        <f>'Зона ТоЭс'!L21</f>
        <v>0</v>
      </c>
      <c r="AI390" s="250">
        <f t="shared" si="216"/>
        <v>0.56999999999999995</v>
      </c>
      <c r="AJ390" s="1973">
        <f t="shared" si="197"/>
        <v>0.25</v>
      </c>
      <c r="AK390" s="212" t="str">
        <f t="shared" si="198"/>
        <v>1 сутки</v>
      </c>
      <c r="AL390" s="172">
        <f t="shared" si="220"/>
        <v>0.25</v>
      </c>
      <c r="AM390" s="1973">
        <f t="shared" si="199"/>
        <v>0</v>
      </c>
      <c r="AN390" s="883">
        <f t="shared" si="221"/>
        <v>0.25</v>
      </c>
      <c r="AO390" s="250">
        <f t="shared" si="222"/>
        <v>-0.31999999999999995</v>
      </c>
      <c r="AP390" s="250">
        <f t="shared" ref="AP390:AP414" si="226">AO390</f>
        <v>-0.31999999999999995</v>
      </c>
      <c r="AQ390" s="249" t="str">
        <f t="shared" si="203"/>
        <v>закрыт</v>
      </c>
      <c r="AR390" s="2052" t="str">
        <f t="shared" si="200"/>
        <v>закрыт</v>
      </c>
      <c r="AS390" s="938">
        <f t="shared" si="225"/>
        <v>21.714285714285712</v>
      </c>
      <c r="AT390" s="1093" t="s">
        <v>96</v>
      </c>
      <c r="AU390" s="1095">
        <v>1991</v>
      </c>
      <c r="AV390" s="1101" t="s">
        <v>3218</v>
      </c>
      <c r="AW390" s="1103">
        <v>56.9354846584773</v>
      </c>
      <c r="AX390" s="1103">
        <v>34.451795016160503</v>
      </c>
    </row>
    <row r="391" spans="1:50" ht="15" customHeight="1" x14ac:dyDescent="0.25">
      <c r="A391" s="2103">
        <v>285</v>
      </c>
      <c r="B391" s="245">
        <v>5</v>
      </c>
      <c r="C391" s="245" t="s">
        <v>250</v>
      </c>
      <c r="D391" s="246">
        <v>1.6</v>
      </c>
      <c r="E391" s="247"/>
      <c r="F391" s="247"/>
      <c r="G391" s="247"/>
      <c r="H391" s="248"/>
      <c r="I391" s="229" t="str">
        <f t="shared" si="192"/>
        <v>1,6</v>
      </c>
      <c r="J391" s="997">
        <v>0.09</v>
      </c>
      <c r="K391" s="1429">
        <v>0</v>
      </c>
      <c r="L391" s="1430">
        <v>0</v>
      </c>
      <c r="M391" s="250">
        <f>K391</f>
        <v>0</v>
      </c>
      <c r="N391" s="172">
        <v>0</v>
      </c>
      <c r="O391" s="880"/>
      <c r="P391" s="883">
        <f t="shared" si="217"/>
        <v>0</v>
      </c>
      <c r="Q391" s="250">
        <f t="shared" si="218"/>
        <v>-0.09</v>
      </c>
      <c r="R391" s="250">
        <f t="shared" si="224"/>
        <v>-0.09</v>
      </c>
      <c r="S391" s="245" t="str">
        <f t="shared" si="201"/>
        <v>закрыт</v>
      </c>
      <c r="T391" s="2052" t="str">
        <f t="shared" si="193"/>
        <v>закрыт</v>
      </c>
      <c r="U391" s="757">
        <f t="shared" si="219"/>
        <v>5.3571428571428568</v>
      </c>
      <c r="V391" s="2254">
        <v>0.56999999999999995</v>
      </c>
      <c r="W391" s="2254" t="s">
        <v>3033</v>
      </c>
      <c r="X391" s="916"/>
      <c r="Y391" s="2103">
        <v>285</v>
      </c>
      <c r="Z391" s="248">
        <v>5</v>
      </c>
      <c r="AA391" s="245" t="s">
        <v>250</v>
      </c>
      <c r="AB391" s="246">
        <f t="shared" si="194"/>
        <v>1.6</v>
      </c>
      <c r="AC391" s="247"/>
      <c r="AD391" s="247"/>
      <c r="AE391" s="247"/>
      <c r="AF391" s="248"/>
      <c r="AG391" s="212" t="str">
        <f t="shared" si="202"/>
        <v>1,6</v>
      </c>
      <c r="AH391" s="250">
        <f>'Зона ТоЭс'!L24</f>
        <v>0</v>
      </c>
      <c r="AI391" s="250">
        <f t="shared" ref="AI391:AI422" si="227">AH391+J391</f>
        <v>0.09</v>
      </c>
      <c r="AJ391" s="1973">
        <f t="shared" si="197"/>
        <v>0</v>
      </c>
      <c r="AK391" s="212">
        <f t="shared" si="198"/>
        <v>0</v>
      </c>
      <c r="AL391" s="172">
        <f t="shared" si="220"/>
        <v>0</v>
      </c>
      <c r="AM391" s="1973">
        <f t="shared" si="199"/>
        <v>0</v>
      </c>
      <c r="AN391" s="883">
        <f t="shared" si="221"/>
        <v>0</v>
      </c>
      <c r="AO391" s="250">
        <f t="shared" si="222"/>
        <v>-0.09</v>
      </c>
      <c r="AP391" s="250">
        <f t="shared" si="226"/>
        <v>-0.09</v>
      </c>
      <c r="AQ391" s="249" t="str">
        <f t="shared" si="203"/>
        <v>закрыт</v>
      </c>
      <c r="AR391" s="2052" t="str">
        <f t="shared" si="200"/>
        <v>закрыт</v>
      </c>
      <c r="AS391" s="938">
        <f t="shared" si="225"/>
        <v>5.3571428571428568</v>
      </c>
      <c r="AT391" s="1093" t="s">
        <v>96</v>
      </c>
      <c r="AU391" s="1095">
        <v>1967</v>
      </c>
      <c r="AV391" s="1101" t="s">
        <v>3218</v>
      </c>
      <c r="AW391" s="1103">
        <v>57.0901837567651</v>
      </c>
      <c r="AX391" s="1103">
        <v>34.158526964322803</v>
      </c>
    </row>
    <row r="392" spans="1:50" ht="15" customHeight="1" x14ac:dyDescent="0.25">
      <c r="A392" s="2103">
        <v>286</v>
      </c>
      <c r="B392" s="245">
        <v>6</v>
      </c>
      <c r="C392" s="245" t="s">
        <v>251</v>
      </c>
      <c r="D392" s="246">
        <v>2.5</v>
      </c>
      <c r="E392" s="247"/>
      <c r="F392" s="247"/>
      <c r="G392" s="247"/>
      <c r="H392" s="248"/>
      <c r="I392" s="229" t="str">
        <f t="shared" si="192"/>
        <v>2,5</v>
      </c>
      <c r="J392" s="997">
        <v>0.05</v>
      </c>
      <c r="K392" s="1429">
        <v>0.02</v>
      </c>
      <c r="L392" s="1430" t="s">
        <v>334</v>
      </c>
      <c r="M392" s="250">
        <f>K392</f>
        <v>0.02</v>
      </c>
      <c r="N392" s="172">
        <v>0</v>
      </c>
      <c r="O392" s="880"/>
      <c r="P392" s="883">
        <f t="shared" si="217"/>
        <v>0.02</v>
      </c>
      <c r="Q392" s="250">
        <f t="shared" si="218"/>
        <v>-3.0000000000000002E-2</v>
      </c>
      <c r="R392" s="250">
        <f t="shared" si="224"/>
        <v>-3.0000000000000002E-2</v>
      </c>
      <c r="S392" s="245" t="str">
        <f t="shared" si="201"/>
        <v>закрыт</v>
      </c>
      <c r="T392" s="2052" t="str">
        <f t="shared" si="193"/>
        <v>закрыт</v>
      </c>
      <c r="U392" s="757">
        <f t="shared" si="219"/>
        <v>1.9047619047619047</v>
      </c>
      <c r="V392" s="2254"/>
      <c r="W392" s="2254" t="s">
        <v>3032</v>
      </c>
      <c r="X392" s="916"/>
      <c r="Y392" s="2103">
        <v>286</v>
      </c>
      <c r="Z392" s="248">
        <v>6</v>
      </c>
      <c r="AA392" s="245" t="s">
        <v>251</v>
      </c>
      <c r="AB392" s="246">
        <f t="shared" si="194"/>
        <v>2.5</v>
      </c>
      <c r="AC392" s="247"/>
      <c r="AD392" s="247"/>
      <c r="AE392" s="247"/>
      <c r="AF392" s="248"/>
      <c r="AG392" s="212" t="str">
        <f t="shared" si="202"/>
        <v>2,5</v>
      </c>
      <c r="AH392" s="250">
        <f>'Зона ТоЭс'!L27</f>
        <v>6.5217391304347824E-2</v>
      </c>
      <c r="AI392" s="250">
        <f t="shared" si="227"/>
        <v>0.11521739130434783</v>
      </c>
      <c r="AJ392" s="1973">
        <f t="shared" si="197"/>
        <v>0.02</v>
      </c>
      <c r="AK392" s="212" t="str">
        <f t="shared" si="198"/>
        <v>1 сутки</v>
      </c>
      <c r="AL392" s="172">
        <f t="shared" si="220"/>
        <v>0.02</v>
      </c>
      <c r="AM392" s="1973">
        <f t="shared" si="199"/>
        <v>0</v>
      </c>
      <c r="AN392" s="883">
        <f t="shared" si="221"/>
        <v>0.02</v>
      </c>
      <c r="AO392" s="250">
        <f t="shared" si="222"/>
        <v>-9.5217391304347823E-2</v>
      </c>
      <c r="AP392" s="250">
        <f t="shared" si="226"/>
        <v>-9.5217391304347823E-2</v>
      </c>
      <c r="AQ392" s="249" t="str">
        <f t="shared" si="203"/>
        <v>закрыт</v>
      </c>
      <c r="AR392" s="2052" t="str">
        <f t="shared" si="200"/>
        <v>закрыт</v>
      </c>
      <c r="AS392" s="938">
        <f t="shared" si="225"/>
        <v>4.3892339544513463</v>
      </c>
      <c r="AT392" s="1093" t="s">
        <v>96</v>
      </c>
      <c r="AU392" s="1095">
        <v>2005</v>
      </c>
      <c r="AV392" s="1101" t="s">
        <v>3218</v>
      </c>
      <c r="AW392" s="1103">
        <v>57.109680251436501</v>
      </c>
      <c r="AX392" s="1103">
        <v>33.772291400337799</v>
      </c>
    </row>
    <row r="393" spans="1:50" ht="15" customHeight="1" x14ac:dyDescent="0.25">
      <c r="A393" s="2103">
        <v>287</v>
      </c>
      <c r="B393" s="245">
        <v>7</v>
      </c>
      <c r="C393" s="245" t="s">
        <v>252</v>
      </c>
      <c r="D393" s="246">
        <v>2.5</v>
      </c>
      <c r="E393" s="247"/>
      <c r="F393" s="247"/>
      <c r="G393" s="247"/>
      <c r="H393" s="248"/>
      <c r="I393" s="229" t="str">
        <f t="shared" si="192"/>
        <v>2,5</v>
      </c>
      <c r="J393" s="997">
        <v>0.64</v>
      </c>
      <c r="K393" s="1429">
        <v>0.27</v>
      </c>
      <c r="L393" s="1430" t="s">
        <v>334</v>
      </c>
      <c r="M393" s="250">
        <f t="shared" si="223"/>
        <v>0.27</v>
      </c>
      <c r="N393" s="172">
        <v>0</v>
      </c>
      <c r="O393" s="880"/>
      <c r="P393" s="883">
        <f t="shared" si="217"/>
        <v>0.27</v>
      </c>
      <c r="Q393" s="250">
        <f t="shared" si="218"/>
        <v>-0.37</v>
      </c>
      <c r="R393" s="250">
        <f t="shared" si="224"/>
        <v>-0.37</v>
      </c>
      <c r="S393" s="245" t="str">
        <f t="shared" si="201"/>
        <v>закрыт</v>
      </c>
      <c r="T393" s="2052" t="str">
        <f t="shared" si="193"/>
        <v>закрыт</v>
      </c>
      <c r="U393" s="757">
        <f t="shared" si="219"/>
        <v>24.38095238095238</v>
      </c>
      <c r="V393" s="2254">
        <v>0.65</v>
      </c>
      <c r="W393" s="2254" t="s">
        <v>3033</v>
      </c>
      <c r="X393" s="916"/>
      <c r="Y393" s="2103">
        <v>287</v>
      </c>
      <c r="Z393" s="248">
        <v>7</v>
      </c>
      <c r="AA393" s="245" t="s">
        <v>252</v>
      </c>
      <c r="AB393" s="246">
        <f t="shared" si="194"/>
        <v>2.5</v>
      </c>
      <c r="AC393" s="247"/>
      <c r="AD393" s="247"/>
      <c r="AE393" s="247"/>
      <c r="AF393" s="248"/>
      <c r="AG393" s="212" t="str">
        <f t="shared" si="202"/>
        <v>2,5</v>
      </c>
      <c r="AH393" s="250">
        <f>'Зона ТоЭс'!L29</f>
        <v>0</v>
      </c>
      <c r="AI393" s="250">
        <f t="shared" si="227"/>
        <v>0.64</v>
      </c>
      <c r="AJ393" s="1973">
        <f t="shared" si="197"/>
        <v>0.27</v>
      </c>
      <c r="AK393" s="212" t="str">
        <f t="shared" si="198"/>
        <v>1 сутки</v>
      </c>
      <c r="AL393" s="172">
        <f t="shared" si="220"/>
        <v>0.27</v>
      </c>
      <c r="AM393" s="1973">
        <f t="shared" si="199"/>
        <v>0</v>
      </c>
      <c r="AN393" s="883">
        <f t="shared" si="221"/>
        <v>0.27</v>
      </c>
      <c r="AO393" s="250">
        <f t="shared" si="222"/>
        <v>-0.37</v>
      </c>
      <c r="AP393" s="250">
        <f t="shared" si="226"/>
        <v>-0.37</v>
      </c>
      <c r="AQ393" s="249" t="str">
        <f t="shared" si="203"/>
        <v>закрыт</v>
      </c>
      <c r="AR393" s="2052" t="str">
        <f t="shared" si="200"/>
        <v>закрыт</v>
      </c>
      <c r="AS393" s="938">
        <f t="shared" si="225"/>
        <v>24.38095238095238</v>
      </c>
      <c r="AT393" s="1093" t="s">
        <v>96</v>
      </c>
      <c r="AU393" s="1095">
        <v>1967</v>
      </c>
      <c r="AV393" s="1101" t="s">
        <v>3218</v>
      </c>
      <c r="AW393" s="1103">
        <v>56.655166180638801</v>
      </c>
      <c r="AX393" s="1103">
        <v>33.265810048735098</v>
      </c>
    </row>
    <row r="394" spans="1:50" ht="15" customHeight="1" x14ac:dyDescent="0.25">
      <c r="A394" s="2103">
        <v>288</v>
      </c>
      <c r="B394" s="245">
        <v>8</v>
      </c>
      <c r="C394" s="245" t="s">
        <v>253</v>
      </c>
      <c r="D394" s="246">
        <v>1.6</v>
      </c>
      <c r="E394" s="247"/>
      <c r="F394" s="247"/>
      <c r="G394" s="247"/>
      <c r="H394" s="248"/>
      <c r="I394" s="229" t="str">
        <f t="shared" si="192"/>
        <v>1,6</v>
      </c>
      <c r="J394" s="997">
        <v>0.13</v>
      </c>
      <c r="K394" s="1429">
        <v>7.0000000000000007E-2</v>
      </c>
      <c r="L394" s="1430" t="s">
        <v>334</v>
      </c>
      <c r="M394" s="250">
        <f t="shared" si="223"/>
        <v>7.0000000000000007E-2</v>
      </c>
      <c r="N394" s="172">
        <v>0</v>
      </c>
      <c r="O394" s="880"/>
      <c r="P394" s="883">
        <f t="shared" si="217"/>
        <v>7.0000000000000007E-2</v>
      </c>
      <c r="Q394" s="250">
        <f t="shared" si="218"/>
        <v>-0.06</v>
      </c>
      <c r="R394" s="250">
        <f t="shared" si="224"/>
        <v>-0.06</v>
      </c>
      <c r="S394" s="245" t="str">
        <f t="shared" si="201"/>
        <v>закрыт</v>
      </c>
      <c r="T394" s="2052" t="str">
        <f t="shared" si="193"/>
        <v>закрыт</v>
      </c>
      <c r="U394" s="757">
        <f t="shared" si="219"/>
        <v>7.7380952380952372</v>
      </c>
      <c r="V394" s="2254">
        <v>0.54</v>
      </c>
      <c r="W394" s="2254" t="s">
        <v>3033</v>
      </c>
      <c r="X394" s="916"/>
      <c r="Y394" s="2103">
        <v>288</v>
      </c>
      <c r="Z394" s="248">
        <v>8</v>
      </c>
      <c r="AA394" s="245" t="s">
        <v>253</v>
      </c>
      <c r="AB394" s="246">
        <f t="shared" si="194"/>
        <v>1.6</v>
      </c>
      <c r="AC394" s="247"/>
      <c r="AD394" s="247"/>
      <c r="AE394" s="247"/>
      <c r="AF394" s="248"/>
      <c r="AG394" s="212" t="str">
        <f t="shared" si="202"/>
        <v>1,6</v>
      </c>
      <c r="AH394" s="250">
        <f>'Зона ТоЭс'!L32</f>
        <v>0</v>
      </c>
      <c r="AI394" s="250">
        <f t="shared" si="227"/>
        <v>0.13</v>
      </c>
      <c r="AJ394" s="1973">
        <f t="shared" si="197"/>
        <v>7.0000000000000007E-2</v>
      </c>
      <c r="AK394" s="212" t="str">
        <f t="shared" si="198"/>
        <v>1 сутки</v>
      </c>
      <c r="AL394" s="172">
        <f t="shared" si="220"/>
        <v>7.0000000000000007E-2</v>
      </c>
      <c r="AM394" s="1973">
        <f t="shared" si="199"/>
        <v>0</v>
      </c>
      <c r="AN394" s="883">
        <f t="shared" si="221"/>
        <v>7.0000000000000007E-2</v>
      </c>
      <c r="AO394" s="250">
        <f t="shared" si="222"/>
        <v>-0.06</v>
      </c>
      <c r="AP394" s="250">
        <f t="shared" si="226"/>
        <v>-0.06</v>
      </c>
      <c r="AQ394" s="249" t="str">
        <f t="shared" si="203"/>
        <v>закрыт</v>
      </c>
      <c r="AR394" s="2052" t="str">
        <f t="shared" si="200"/>
        <v>закрыт</v>
      </c>
      <c r="AS394" s="938">
        <f t="shared" si="225"/>
        <v>7.7380952380952372</v>
      </c>
      <c r="AT394" s="1093" t="s">
        <v>96</v>
      </c>
      <c r="AU394" s="1095">
        <v>1986</v>
      </c>
      <c r="AV394" s="1101" t="s">
        <v>3218</v>
      </c>
      <c r="AW394" s="1103">
        <v>56.799069622315798</v>
      </c>
      <c r="AX394" s="1103">
        <v>33.365244784147997</v>
      </c>
    </row>
    <row r="395" spans="1:50" ht="15" customHeight="1" x14ac:dyDescent="0.25">
      <c r="A395" s="2103">
        <v>289</v>
      </c>
      <c r="B395" s="245">
        <v>9</v>
      </c>
      <c r="C395" s="245" t="s">
        <v>254</v>
      </c>
      <c r="D395" s="246">
        <v>1</v>
      </c>
      <c r="E395" s="247"/>
      <c r="F395" s="247"/>
      <c r="G395" s="247"/>
      <c r="H395" s="248"/>
      <c r="I395" s="229" t="str">
        <f t="shared" ref="I395:I435" si="228">CONCATENATE(D395,E395,F395,G395,H395)</f>
        <v>1</v>
      </c>
      <c r="J395" s="997">
        <v>0.28999999999999998</v>
      </c>
      <c r="K395" s="1429">
        <v>0.1</v>
      </c>
      <c r="L395" s="1430" t="s">
        <v>334</v>
      </c>
      <c r="M395" s="250">
        <f t="shared" si="223"/>
        <v>0.1</v>
      </c>
      <c r="N395" s="172">
        <v>0</v>
      </c>
      <c r="O395" s="880"/>
      <c r="P395" s="883">
        <f t="shared" si="217"/>
        <v>0.1</v>
      </c>
      <c r="Q395" s="250">
        <f t="shared" si="218"/>
        <v>-0.18999999999999997</v>
      </c>
      <c r="R395" s="250">
        <f t="shared" si="224"/>
        <v>-0.18999999999999997</v>
      </c>
      <c r="S395" s="245" t="str">
        <f t="shared" si="201"/>
        <v>закрыт</v>
      </c>
      <c r="T395" s="2052" t="str">
        <f t="shared" ref="T395:T435" si="229">IF(AND(F395&lt;&gt;0,R395&lt;0),"закрыт",IF(AND(F395=0,R395&lt;0),"закрыт","открыт"))</f>
        <v>закрыт</v>
      </c>
      <c r="U395" s="757">
        <f t="shared" si="219"/>
        <v>27.619047619047613</v>
      </c>
      <c r="V395" s="2254">
        <v>0.55000000000000004</v>
      </c>
      <c r="W395" s="2254" t="s">
        <v>3033</v>
      </c>
      <c r="X395" s="916"/>
      <c r="Y395" s="2103">
        <v>289</v>
      </c>
      <c r="Z395" s="248">
        <v>9</v>
      </c>
      <c r="AA395" s="245" t="s">
        <v>254</v>
      </c>
      <c r="AB395" s="246">
        <f t="shared" ref="AB395:AB435" si="230">D395</f>
        <v>1</v>
      </c>
      <c r="AC395" s="247"/>
      <c r="AD395" s="247"/>
      <c r="AE395" s="247"/>
      <c r="AF395" s="248"/>
      <c r="AG395" s="212" t="str">
        <f t="shared" si="202"/>
        <v>1</v>
      </c>
      <c r="AH395" s="250">
        <f>'Зона ТоЭс'!L34</f>
        <v>0</v>
      </c>
      <c r="AI395" s="250">
        <f t="shared" si="227"/>
        <v>0.28999999999999998</v>
      </c>
      <c r="AJ395" s="1973">
        <f t="shared" ref="AJ395:AJ435" si="231">K395</f>
        <v>0.1</v>
      </c>
      <c r="AK395" s="212" t="str">
        <f t="shared" ref="AK395:AK435" si="232">L395</f>
        <v>1 сутки</v>
      </c>
      <c r="AL395" s="172">
        <f t="shared" si="220"/>
        <v>0.1</v>
      </c>
      <c r="AM395" s="1973">
        <f t="shared" ref="AM395:AM435" si="233">N395</f>
        <v>0</v>
      </c>
      <c r="AN395" s="883">
        <f t="shared" si="221"/>
        <v>0.1</v>
      </c>
      <c r="AO395" s="250">
        <f t="shared" si="222"/>
        <v>-0.18999999999999997</v>
      </c>
      <c r="AP395" s="250">
        <f t="shared" si="226"/>
        <v>-0.18999999999999997</v>
      </c>
      <c r="AQ395" s="249" t="str">
        <f t="shared" si="203"/>
        <v>закрыт</v>
      </c>
      <c r="AR395" s="2052" t="str">
        <f t="shared" ref="AR395:AR435" si="234">IF(AND(AD395&lt;&gt;0,AP395&lt;0),"закрыт",IF(AND(AD395=0,AP395&lt;0),"закрыт","открыт"))</f>
        <v>закрыт</v>
      </c>
      <c r="AS395" s="938">
        <f t="shared" si="225"/>
        <v>27.619047619047613</v>
      </c>
      <c r="AT395" s="1093" t="s">
        <v>96</v>
      </c>
      <c r="AU395" s="1095">
        <v>1991</v>
      </c>
      <c r="AV395" s="1101" t="s">
        <v>3218</v>
      </c>
      <c r="AW395" s="1103">
        <v>56.6577175697605</v>
      </c>
      <c r="AX395" s="1103">
        <v>33.471842528405297</v>
      </c>
    </row>
    <row r="396" spans="1:50" ht="15" customHeight="1" x14ac:dyDescent="0.25">
      <c r="A396" s="2103">
        <v>290</v>
      </c>
      <c r="B396" s="245">
        <v>10</v>
      </c>
      <c r="C396" s="245" t="s">
        <v>255</v>
      </c>
      <c r="D396" s="246">
        <v>6.3</v>
      </c>
      <c r="E396" s="247"/>
      <c r="F396" s="247"/>
      <c r="G396" s="247"/>
      <c r="H396" s="248"/>
      <c r="I396" s="229" t="str">
        <f t="shared" si="228"/>
        <v>6,3</v>
      </c>
      <c r="J396" s="997">
        <v>3.66</v>
      </c>
      <c r="K396" s="1429">
        <v>0</v>
      </c>
      <c r="L396" s="1430">
        <v>0</v>
      </c>
      <c r="M396" s="250">
        <f t="shared" si="223"/>
        <v>0</v>
      </c>
      <c r="N396" s="172">
        <v>0</v>
      </c>
      <c r="O396" s="880"/>
      <c r="P396" s="883">
        <f t="shared" si="217"/>
        <v>0</v>
      </c>
      <c r="Q396" s="250">
        <f t="shared" si="218"/>
        <v>-3.66</v>
      </c>
      <c r="R396" s="250">
        <f t="shared" si="224"/>
        <v>-3.66</v>
      </c>
      <c r="S396" s="245" t="str">
        <f t="shared" si="201"/>
        <v>закрыт</v>
      </c>
      <c r="T396" s="2052" t="str">
        <f t="shared" si="229"/>
        <v>закрыт</v>
      </c>
      <c r="U396" s="757">
        <f t="shared" si="219"/>
        <v>55.328798185941039</v>
      </c>
      <c r="V396" s="2254">
        <v>0.11</v>
      </c>
      <c r="W396" s="2254" t="s">
        <v>3033</v>
      </c>
      <c r="X396" s="916"/>
      <c r="Y396" s="2103">
        <v>290</v>
      </c>
      <c r="Z396" s="248">
        <v>10</v>
      </c>
      <c r="AA396" s="245" t="s">
        <v>255</v>
      </c>
      <c r="AB396" s="246">
        <f t="shared" si="230"/>
        <v>6.3</v>
      </c>
      <c r="AC396" s="247"/>
      <c r="AD396" s="247"/>
      <c r="AE396" s="247"/>
      <c r="AF396" s="248"/>
      <c r="AG396" s="212" t="str">
        <f t="shared" si="202"/>
        <v>6,3</v>
      </c>
      <c r="AH396" s="250">
        <f>'Зона ТоЭс'!L51</f>
        <v>0.33554347826086961</v>
      </c>
      <c r="AI396" s="250">
        <f t="shared" si="227"/>
        <v>3.9955434782608696</v>
      </c>
      <c r="AJ396" s="1973">
        <f t="shared" si="231"/>
        <v>0</v>
      </c>
      <c r="AK396" s="212">
        <f t="shared" si="232"/>
        <v>0</v>
      </c>
      <c r="AL396" s="172">
        <f t="shared" si="220"/>
        <v>0</v>
      </c>
      <c r="AM396" s="1973">
        <f t="shared" si="233"/>
        <v>0</v>
      </c>
      <c r="AN396" s="883">
        <f t="shared" si="221"/>
        <v>0</v>
      </c>
      <c r="AO396" s="250">
        <f t="shared" si="222"/>
        <v>-3.9955434782608696</v>
      </c>
      <c r="AP396" s="250">
        <f>AO396</f>
        <v>-3.9955434782608696</v>
      </c>
      <c r="AQ396" s="249" t="str">
        <f t="shared" si="203"/>
        <v>закрыт</v>
      </c>
      <c r="AR396" s="2052" t="str">
        <f t="shared" si="234"/>
        <v>закрыт</v>
      </c>
      <c r="AS396" s="938">
        <f t="shared" si="225"/>
        <v>60.401261954056977</v>
      </c>
      <c r="AT396" s="1093" t="s">
        <v>96</v>
      </c>
      <c r="AU396" s="1095">
        <v>1969</v>
      </c>
      <c r="AV396" s="1101" t="s">
        <v>3218</v>
      </c>
      <c r="AW396" s="1103">
        <v>57.282362313331902</v>
      </c>
      <c r="AX396" s="1103">
        <v>32.919448251431298</v>
      </c>
    </row>
    <row r="397" spans="1:50" ht="15" customHeight="1" x14ac:dyDescent="0.25">
      <c r="A397" s="2103">
        <v>291</v>
      </c>
      <c r="B397" s="245">
        <v>11</v>
      </c>
      <c r="C397" s="245" t="s">
        <v>256</v>
      </c>
      <c r="D397" s="246">
        <v>1.6</v>
      </c>
      <c r="E397" s="247"/>
      <c r="F397" s="247"/>
      <c r="G397" s="247"/>
      <c r="H397" s="248"/>
      <c r="I397" s="229" t="str">
        <f t="shared" si="228"/>
        <v>1,6</v>
      </c>
      <c r="J397" s="997">
        <v>0.12</v>
      </c>
      <c r="K397" s="1429">
        <v>0</v>
      </c>
      <c r="L397" s="1430">
        <v>0</v>
      </c>
      <c r="M397" s="250">
        <f t="shared" si="223"/>
        <v>0</v>
      </c>
      <c r="N397" s="172">
        <v>0</v>
      </c>
      <c r="O397" s="880"/>
      <c r="P397" s="883">
        <f t="shared" si="217"/>
        <v>0</v>
      </c>
      <c r="Q397" s="250">
        <f t="shared" si="218"/>
        <v>-0.12</v>
      </c>
      <c r="R397" s="250">
        <f t="shared" si="224"/>
        <v>-0.12</v>
      </c>
      <c r="S397" s="245" t="str">
        <f t="shared" ref="S397:S433" si="235">T397</f>
        <v>закрыт</v>
      </c>
      <c r="T397" s="2052" t="str">
        <f t="shared" si="229"/>
        <v>закрыт</v>
      </c>
      <c r="U397" s="757">
        <f t="shared" si="219"/>
        <v>7.1428571428571423</v>
      </c>
      <c r="V397" s="2254">
        <v>0.51</v>
      </c>
      <c r="W397" s="2254" t="s">
        <v>3033</v>
      </c>
      <c r="X397" s="916"/>
      <c r="Y397" s="2103">
        <v>291</v>
      </c>
      <c r="Z397" s="248">
        <v>11</v>
      </c>
      <c r="AA397" s="245" t="s">
        <v>256</v>
      </c>
      <c r="AB397" s="246">
        <f t="shared" si="230"/>
        <v>1.6</v>
      </c>
      <c r="AC397" s="247"/>
      <c r="AD397" s="247"/>
      <c r="AE397" s="247"/>
      <c r="AF397" s="248"/>
      <c r="AG397" s="212" t="str">
        <f t="shared" ref="AG397:AG435" si="236">CONCATENATE(AB397,AC397,AD397,AE397,AF397)</f>
        <v>1,6</v>
      </c>
      <c r="AH397" s="250">
        <f>'Зона ТоЭс'!L53</f>
        <v>0</v>
      </c>
      <c r="AI397" s="250">
        <f t="shared" si="227"/>
        <v>0.12</v>
      </c>
      <c r="AJ397" s="1973">
        <f t="shared" si="231"/>
        <v>0</v>
      </c>
      <c r="AK397" s="212">
        <f t="shared" si="232"/>
        <v>0</v>
      </c>
      <c r="AL397" s="172">
        <f t="shared" si="220"/>
        <v>0</v>
      </c>
      <c r="AM397" s="1973">
        <f t="shared" si="233"/>
        <v>0</v>
      </c>
      <c r="AN397" s="883">
        <f t="shared" si="221"/>
        <v>0</v>
      </c>
      <c r="AO397" s="250">
        <f t="shared" si="222"/>
        <v>-0.12</v>
      </c>
      <c r="AP397" s="250">
        <f t="shared" si="226"/>
        <v>-0.12</v>
      </c>
      <c r="AQ397" s="249" t="str">
        <f t="shared" ref="AQ397:AQ432" si="237">AR397</f>
        <v>закрыт</v>
      </c>
      <c r="AR397" s="2052" t="str">
        <f t="shared" si="234"/>
        <v>закрыт</v>
      </c>
      <c r="AS397" s="938">
        <f t="shared" si="225"/>
        <v>7.1428571428571423</v>
      </c>
      <c r="AT397" s="1093" t="s">
        <v>96</v>
      </c>
      <c r="AU397" s="1095">
        <v>1974</v>
      </c>
      <c r="AV397" s="1101" t="s">
        <v>3218</v>
      </c>
      <c r="AW397" s="1103">
        <v>56.641229897302701</v>
      </c>
      <c r="AX397" s="1103">
        <v>32.847676704850599</v>
      </c>
    </row>
    <row r="398" spans="1:50" ht="15" customHeight="1" x14ac:dyDescent="0.25">
      <c r="A398" s="2103">
        <v>292</v>
      </c>
      <c r="B398" s="245">
        <v>12</v>
      </c>
      <c r="C398" s="245" t="s">
        <v>257</v>
      </c>
      <c r="D398" s="246">
        <v>2.5</v>
      </c>
      <c r="E398" s="247"/>
      <c r="F398" s="247"/>
      <c r="G398" s="247"/>
      <c r="H398" s="248"/>
      <c r="I398" s="229" t="str">
        <f t="shared" si="228"/>
        <v>2,5</v>
      </c>
      <c r="J398" s="997">
        <v>0.26</v>
      </c>
      <c r="K398" s="1429">
        <v>0</v>
      </c>
      <c r="L398" s="1430">
        <v>0</v>
      </c>
      <c r="M398" s="250">
        <f t="shared" si="223"/>
        <v>0</v>
      </c>
      <c r="N398" s="172">
        <v>0</v>
      </c>
      <c r="O398" s="880"/>
      <c r="P398" s="883">
        <f t="shared" si="217"/>
        <v>0</v>
      </c>
      <c r="Q398" s="250">
        <f t="shared" si="218"/>
        <v>-0.26</v>
      </c>
      <c r="R398" s="250">
        <f t="shared" si="224"/>
        <v>-0.26</v>
      </c>
      <c r="S398" s="245" t="str">
        <f t="shared" si="235"/>
        <v>закрыт</v>
      </c>
      <c r="T398" s="2052" t="str">
        <f t="shared" si="229"/>
        <v>закрыт</v>
      </c>
      <c r="U398" s="757">
        <f t="shared" si="219"/>
        <v>9.9047619047619051</v>
      </c>
      <c r="V398" s="2254">
        <v>0.26</v>
      </c>
      <c r="W398" s="2254" t="s">
        <v>3033</v>
      </c>
      <c r="X398" s="916"/>
      <c r="Y398" s="2103">
        <v>292</v>
      </c>
      <c r="Z398" s="248">
        <v>12</v>
      </c>
      <c r="AA398" s="245" t="s">
        <v>257</v>
      </c>
      <c r="AB398" s="246">
        <f t="shared" si="230"/>
        <v>2.5</v>
      </c>
      <c r="AC398" s="247"/>
      <c r="AD398" s="247"/>
      <c r="AE398" s="247"/>
      <c r="AF398" s="248"/>
      <c r="AG398" s="212" t="str">
        <f t="shared" si="236"/>
        <v>2,5</v>
      </c>
      <c r="AH398" s="250">
        <f>'Зона ТоЭс'!L56</f>
        <v>0</v>
      </c>
      <c r="AI398" s="250">
        <f t="shared" si="227"/>
        <v>0.26</v>
      </c>
      <c r="AJ398" s="1973">
        <f t="shared" si="231"/>
        <v>0</v>
      </c>
      <c r="AK398" s="212">
        <f t="shared" si="232"/>
        <v>0</v>
      </c>
      <c r="AL398" s="172">
        <f t="shared" si="220"/>
        <v>0</v>
      </c>
      <c r="AM398" s="1973">
        <f t="shared" si="233"/>
        <v>0</v>
      </c>
      <c r="AN398" s="883">
        <f t="shared" si="221"/>
        <v>0</v>
      </c>
      <c r="AO398" s="250">
        <f t="shared" si="222"/>
        <v>-0.26</v>
      </c>
      <c r="AP398" s="250">
        <f t="shared" si="226"/>
        <v>-0.26</v>
      </c>
      <c r="AQ398" s="249" t="str">
        <f t="shared" si="237"/>
        <v>закрыт</v>
      </c>
      <c r="AR398" s="2052" t="str">
        <f t="shared" si="234"/>
        <v>закрыт</v>
      </c>
      <c r="AS398" s="938">
        <f t="shared" si="225"/>
        <v>9.9047619047619051</v>
      </c>
      <c r="AT398" s="1093" t="s">
        <v>96</v>
      </c>
      <c r="AU398" s="1095">
        <v>1988</v>
      </c>
      <c r="AV398" s="1101" t="s">
        <v>3218</v>
      </c>
      <c r="AW398" s="1103">
        <v>56.959279923887401</v>
      </c>
      <c r="AX398" s="1103">
        <v>32.248864062105298</v>
      </c>
    </row>
    <row r="399" spans="1:50" ht="15" customHeight="1" x14ac:dyDescent="0.25">
      <c r="A399" s="2103">
        <v>293</v>
      </c>
      <c r="B399" s="245">
        <v>13</v>
      </c>
      <c r="C399" s="245" t="s">
        <v>258</v>
      </c>
      <c r="D399" s="246">
        <v>1.6</v>
      </c>
      <c r="E399" s="247"/>
      <c r="F399" s="247"/>
      <c r="G399" s="247"/>
      <c r="H399" s="248"/>
      <c r="I399" s="229" t="str">
        <f t="shared" si="228"/>
        <v>1,6</v>
      </c>
      <c r="J399" s="997">
        <v>0.61</v>
      </c>
      <c r="K399" s="1429">
        <v>0</v>
      </c>
      <c r="L399" s="1430">
        <v>0</v>
      </c>
      <c r="M399" s="250">
        <f t="shared" si="223"/>
        <v>0</v>
      </c>
      <c r="N399" s="172">
        <v>0</v>
      </c>
      <c r="O399" s="880"/>
      <c r="P399" s="883">
        <f t="shared" si="217"/>
        <v>0</v>
      </c>
      <c r="Q399" s="250">
        <f t="shared" si="218"/>
        <v>-0.61</v>
      </c>
      <c r="R399" s="250">
        <f t="shared" si="224"/>
        <v>-0.61</v>
      </c>
      <c r="S399" s="245" t="str">
        <f t="shared" si="235"/>
        <v>закрыт</v>
      </c>
      <c r="T399" s="2052" t="str">
        <f t="shared" si="229"/>
        <v>закрыт</v>
      </c>
      <c r="U399" s="757">
        <f t="shared" si="219"/>
        <v>36.309523809523803</v>
      </c>
      <c r="V399" s="2254">
        <v>0.46</v>
      </c>
      <c r="W399" s="2254" t="s">
        <v>3033</v>
      </c>
      <c r="X399" s="916"/>
      <c r="Y399" s="2103">
        <v>293</v>
      </c>
      <c r="Z399" s="248">
        <v>13</v>
      </c>
      <c r="AA399" s="245" t="s">
        <v>258</v>
      </c>
      <c r="AB399" s="246">
        <f t="shared" si="230"/>
        <v>1.6</v>
      </c>
      <c r="AC399" s="247"/>
      <c r="AD399" s="247"/>
      <c r="AE399" s="247"/>
      <c r="AF399" s="248"/>
      <c r="AG399" s="212" t="str">
        <f t="shared" si="236"/>
        <v>1,6</v>
      </c>
      <c r="AH399" s="250">
        <f>'Зона ТоЭс'!L61</f>
        <v>1.4673913043478259E-2</v>
      </c>
      <c r="AI399" s="250">
        <f t="shared" si="227"/>
        <v>0.62467391304347819</v>
      </c>
      <c r="AJ399" s="1973">
        <f t="shared" si="231"/>
        <v>0</v>
      </c>
      <c r="AK399" s="212">
        <f t="shared" si="232"/>
        <v>0</v>
      </c>
      <c r="AL399" s="172">
        <f t="shared" si="220"/>
        <v>0</v>
      </c>
      <c r="AM399" s="1973">
        <f t="shared" si="233"/>
        <v>0</v>
      </c>
      <c r="AN399" s="883">
        <f t="shared" si="221"/>
        <v>0</v>
      </c>
      <c r="AO399" s="250">
        <f t="shared" si="222"/>
        <v>-0.62467391304347819</v>
      </c>
      <c r="AP399" s="250">
        <f t="shared" si="226"/>
        <v>-0.62467391304347819</v>
      </c>
      <c r="AQ399" s="249" t="str">
        <f t="shared" si="237"/>
        <v>закрыт</v>
      </c>
      <c r="AR399" s="2052" t="str">
        <f t="shared" si="234"/>
        <v>закрыт</v>
      </c>
      <c r="AS399" s="938">
        <f t="shared" si="225"/>
        <v>37.18297101449275</v>
      </c>
      <c r="AT399" s="1093" t="s">
        <v>96</v>
      </c>
      <c r="AU399" s="1095">
        <v>1968</v>
      </c>
      <c r="AV399" s="1101" t="s">
        <v>3218</v>
      </c>
      <c r="AW399" s="1103">
        <v>57.0576360351549</v>
      </c>
      <c r="AX399" s="1103">
        <v>32.331043312724397</v>
      </c>
    </row>
    <row r="400" spans="1:50" ht="15" customHeight="1" x14ac:dyDescent="0.25">
      <c r="A400" s="2103">
        <v>294</v>
      </c>
      <c r="B400" s="245">
        <v>14</v>
      </c>
      <c r="C400" s="245" t="s">
        <v>259</v>
      </c>
      <c r="D400" s="246">
        <v>2.5</v>
      </c>
      <c r="E400" s="247" t="s">
        <v>773</v>
      </c>
      <c r="F400" s="247">
        <v>1.6</v>
      </c>
      <c r="G400" s="247"/>
      <c r="H400" s="248"/>
      <c r="I400" s="229" t="str">
        <f t="shared" si="228"/>
        <v>2,5+1,6</v>
      </c>
      <c r="J400" s="997">
        <v>1.23</v>
      </c>
      <c r="K400" s="1429">
        <v>0</v>
      </c>
      <c r="L400" s="1430">
        <v>0</v>
      </c>
      <c r="M400" s="250">
        <f>J400-K400</f>
        <v>1.23</v>
      </c>
      <c r="N400" s="172">
        <v>0</v>
      </c>
      <c r="O400" s="880"/>
      <c r="P400" s="883">
        <f t="shared" ref="P400:P435" si="238">MIN(D400:F400)*1.05</f>
        <v>1.6800000000000002</v>
      </c>
      <c r="Q400" s="250">
        <f t="shared" ref="Q400:Q412" si="239">P400-N400-M400</f>
        <v>0.45000000000000018</v>
      </c>
      <c r="R400" s="250">
        <f t="shared" si="224"/>
        <v>0.45000000000000018</v>
      </c>
      <c r="S400" s="245" t="str">
        <f t="shared" si="235"/>
        <v>открыт</v>
      </c>
      <c r="T400" s="2052" t="str">
        <f t="shared" si="229"/>
        <v>открыт</v>
      </c>
      <c r="U400" s="757">
        <f t="shared" ref="U400:U415" si="240">(J400*100)/P400</f>
        <v>73.214285714285708</v>
      </c>
      <c r="V400" s="2254">
        <v>0.42</v>
      </c>
      <c r="W400" s="2254" t="s">
        <v>3033</v>
      </c>
      <c r="X400" s="916"/>
      <c r="Y400" s="2103">
        <v>294</v>
      </c>
      <c r="Z400" s="248">
        <v>14</v>
      </c>
      <c r="AA400" s="245" t="s">
        <v>259</v>
      </c>
      <c r="AB400" s="246">
        <f t="shared" si="230"/>
        <v>2.5</v>
      </c>
      <c r="AC400" s="247" t="str">
        <f t="shared" ref="AC400:AC435" si="241">E400</f>
        <v>+</v>
      </c>
      <c r="AD400" s="247">
        <f t="shared" ref="AD400:AD435" si="242">F400</f>
        <v>1.6</v>
      </c>
      <c r="AE400" s="247"/>
      <c r="AF400" s="248"/>
      <c r="AG400" s="212" t="str">
        <f t="shared" si="236"/>
        <v>2,5+1,6</v>
      </c>
      <c r="AH400" s="250">
        <f>'Зона ТоЭс'!L69</f>
        <v>4.8913043478260872E-2</v>
      </c>
      <c r="AI400" s="250">
        <f t="shared" si="227"/>
        <v>1.278913043478261</v>
      </c>
      <c r="AJ400" s="1973">
        <f t="shared" si="231"/>
        <v>0</v>
      </c>
      <c r="AK400" s="212">
        <f t="shared" si="232"/>
        <v>0</v>
      </c>
      <c r="AL400" s="172">
        <f t="shared" ref="AL400:AL435" si="243">AI400-AJ400</f>
        <v>1.278913043478261</v>
      </c>
      <c r="AM400" s="1973">
        <f t="shared" si="233"/>
        <v>0</v>
      </c>
      <c r="AN400" s="883">
        <f t="shared" ref="AN400:AN435" si="244">MIN(AB400:AF400)*1.05</f>
        <v>1.6800000000000002</v>
      </c>
      <c r="AO400" s="250">
        <f t="shared" ref="AO400:AO435" si="245">AN400-AM400-AL400</f>
        <v>0.4010869565217392</v>
      </c>
      <c r="AP400" s="250">
        <f t="shared" si="226"/>
        <v>0.4010869565217392</v>
      </c>
      <c r="AQ400" s="250" t="str">
        <f>AR400</f>
        <v>открыт</v>
      </c>
      <c r="AR400" s="2052" t="str">
        <f t="shared" si="234"/>
        <v>открыт</v>
      </c>
      <c r="AS400" s="938">
        <f t="shared" ref="AS400:AS415" si="246">(AI400*100)/AN400</f>
        <v>76.125776397515523</v>
      </c>
      <c r="AT400" s="1093" t="s">
        <v>96</v>
      </c>
      <c r="AU400" s="1095">
        <v>1970</v>
      </c>
      <c r="AV400" s="1101" t="s">
        <v>3218</v>
      </c>
      <c r="AW400" s="1103">
        <v>56.835124665264999</v>
      </c>
      <c r="AX400" s="1103">
        <v>35.036505971403898</v>
      </c>
    </row>
    <row r="401" spans="1:50" ht="15" customHeight="1" x14ac:dyDescent="0.25">
      <c r="A401" s="2103">
        <v>295</v>
      </c>
      <c r="B401" s="245">
        <v>15</v>
      </c>
      <c r="C401" s="245" t="s">
        <v>260</v>
      </c>
      <c r="D401" s="246">
        <v>4</v>
      </c>
      <c r="E401" s="247" t="s">
        <v>773</v>
      </c>
      <c r="F401" s="247">
        <v>2.5</v>
      </c>
      <c r="G401" s="247"/>
      <c r="H401" s="248"/>
      <c r="I401" s="229" t="str">
        <f t="shared" si="228"/>
        <v>4+2,5</v>
      </c>
      <c r="J401" s="997">
        <v>1.06</v>
      </c>
      <c r="K401" s="1429">
        <v>0</v>
      </c>
      <c r="L401" s="1430">
        <v>0</v>
      </c>
      <c r="M401" s="250">
        <f t="shared" ref="M401:M435" si="247">J401-K401</f>
        <v>1.06</v>
      </c>
      <c r="N401" s="172">
        <v>0</v>
      </c>
      <c r="O401" s="880"/>
      <c r="P401" s="883">
        <f t="shared" si="238"/>
        <v>2.625</v>
      </c>
      <c r="Q401" s="250">
        <f t="shared" si="239"/>
        <v>1.5649999999999999</v>
      </c>
      <c r="R401" s="250">
        <f t="shared" si="224"/>
        <v>1.5649999999999999</v>
      </c>
      <c r="S401" s="245" t="str">
        <f t="shared" si="235"/>
        <v>открыт</v>
      </c>
      <c r="T401" s="2052" t="str">
        <f t="shared" si="229"/>
        <v>открыт</v>
      </c>
      <c r="U401" s="757">
        <f t="shared" si="240"/>
        <v>40.38095238095238</v>
      </c>
      <c r="V401" s="2254">
        <v>0.55000000000000004</v>
      </c>
      <c r="W401" s="2254" t="s">
        <v>3033</v>
      </c>
      <c r="X401" s="916"/>
      <c r="Y401" s="2103">
        <v>295</v>
      </c>
      <c r="Z401" s="248">
        <v>15</v>
      </c>
      <c r="AA401" s="245" t="s">
        <v>260</v>
      </c>
      <c r="AB401" s="246">
        <f t="shared" si="230"/>
        <v>4</v>
      </c>
      <c r="AC401" s="247" t="str">
        <f t="shared" si="241"/>
        <v>+</v>
      </c>
      <c r="AD401" s="247">
        <f t="shared" si="242"/>
        <v>2.5</v>
      </c>
      <c r="AE401" s="247"/>
      <c r="AF401" s="248"/>
      <c r="AG401" s="212" t="str">
        <f t="shared" si="236"/>
        <v>4+2,5</v>
      </c>
      <c r="AH401" s="250">
        <f>'Зона ТоЭс'!L75</f>
        <v>0.14869565217391303</v>
      </c>
      <c r="AI401" s="250">
        <f t="shared" si="227"/>
        <v>1.2086956521739132</v>
      </c>
      <c r="AJ401" s="1973">
        <f t="shared" si="231"/>
        <v>0</v>
      </c>
      <c r="AK401" s="212">
        <f t="shared" si="232"/>
        <v>0</v>
      </c>
      <c r="AL401" s="172">
        <f t="shared" si="243"/>
        <v>1.2086956521739132</v>
      </c>
      <c r="AM401" s="1973">
        <f t="shared" si="233"/>
        <v>0</v>
      </c>
      <c r="AN401" s="883">
        <f t="shared" si="244"/>
        <v>2.625</v>
      </c>
      <c r="AO401" s="250">
        <f t="shared" si="245"/>
        <v>1.4163043478260868</v>
      </c>
      <c r="AP401" s="250">
        <f t="shared" si="226"/>
        <v>1.4163043478260868</v>
      </c>
      <c r="AQ401" s="250" t="str">
        <f t="shared" si="237"/>
        <v>открыт</v>
      </c>
      <c r="AR401" s="2052" t="str">
        <f t="shared" si="234"/>
        <v>открыт</v>
      </c>
      <c r="AS401" s="938">
        <f t="shared" si="246"/>
        <v>46.045548654244307</v>
      </c>
      <c r="AT401" s="1093" t="s">
        <v>96</v>
      </c>
      <c r="AU401" s="1095">
        <v>1968</v>
      </c>
      <c r="AV401" s="1101" t="s">
        <v>3218</v>
      </c>
      <c r="AW401" s="1103">
        <v>56.697932251352903</v>
      </c>
      <c r="AX401" s="1103">
        <v>34.906360128343799</v>
      </c>
    </row>
    <row r="402" spans="1:50" ht="15" customHeight="1" x14ac:dyDescent="0.25">
      <c r="A402" s="2103">
        <v>296</v>
      </c>
      <c r="B402" s="245">
        <v>16</v>
      </c>
      <c r="C402" s="245" t="s">
        <v>261</v>
      </c>
      <c r="D402" s="246">
        <v>4</v>
      </c>
      <c r="E402" s="247" t="s">
        <v>773</v>
      </c>
      <c r="F402" s="247">
        <v>4</v>
      </c>
      <c r="G402" s="247"/>
      <c r="H402" s="248"/>
      <c r="I402" s="229" t="str">
        <f t="shared" si="228"/>
        <v>4+4</v>
      </c>
      <c r="J402" s="997">
        <v>2.88</v>
      </c>
      <c r="K402" s="1429">
        <v>0</v>
      </c>
      <c r="L402" s="1430">
        <v>0</v>
      </c>
      <c r="M402" s="250">
        <f t="shared" si="247"/>
        <v>2.88</v>
      </c>
      <c r="N402" s="172">
        <v>0</v>
      </c>
      <c r="O402" s="880"/>
      <c r="P402" s="883">
        <f t="shared" si="238"/>
        <v>4.2</v>
      </c>
      <c r="Q402" s="250">
        <f t="shared" si="239"/>
        <v>1.3200000000000003</v>
      </c>
      <c r="R402" s="250">
        <f t="shared" si="224"/>
        <v>1.3200000000000003</v>
      </c>
      <c r="S402" s="245" t="str">
        <f t="shared" si="235"/>
        <v>открыт</v>
      </c>
      <c r="T402" s="2052" t="str">
        <f t="shared" si="229"/>
        <v>открыт</v>
      </c>
      <c r="U402" s="757">
        <f t="shared" si="240"/>
        <v>68.571428571428569</v>
      </c>
      <c r="V402" s="2254">
        <v>0.35</v>
      </c>
      <c r="W402" s="2254" t="s">
        <v>3033</v>
      </c>
      <c r="X402" s="916"/>
      <c r="Y402" s="2103">
        <v>296</v>
      </c>
      <c r="Z402" s="248">
        <v>16</v>
      </c>
      <c r="AA402" s="245" t="s">
        <v>261</v>
      </c>
      <c r="AB402" s="246">
        <f t="shared" si="230"/>
        <v>4</v>
      </c>
      <c r="AC402" s="247" t="str">
        <f t="shared" si="241"/>
        <v>+</v>
      </c>
      <c r="AD402" s="247">
        <f t="shared" si="242"/>
        <v>4</v>
      </c>
      <c r="AE402" s="247"/>
      <c r="AF402" s="248"/>
      <c r="AG402" s="212" t="str">
        <f t="shared" si="236"/>
        <v>4+4</v>
      </c>
      <c r="AH402" s="250">
        <f>'Зона ТоЭс'!L98</f>
        <v>0.45766304347826087</v>
      </c>
      <c r="AI402" s="250">
        <f t="shared" si="227"/>
        <v>3.3376630434782606</v>
      </c>
      <c r="AJ402" s="1973">
        <f t="shared" si="231"/>
        <v>0</v>
      </c>
      <c r="AK402" s="212">
        <f t="shared" si="232"/>
        <v>0</v>
      </c>
      <c r="AL402" s="172">
        <f t="shared" si="243"/>
        <v>3.3376630434782606</v>
      </c>
      <c r="AM402" s="1973">
        <f t="shared" si="233"/>
        <v>0</v>
      </c>
      <c r="AN402" s="883">
        <f t="shared" si="244"/>
        <v>4.2</v>
      </c>
      <c r="AO402" s="250">
        <f t="shared" si="245"/>
        <v>0.86233695652173958</v>
      </c>
      <c r="AP402" s="250">
        <f t="shared" si="226"/>
        <v>0.86233695652173958</v>
      </c>
      <c r="AQ402" s="250" t="str">
        <f t="shared" si="237"/>
        <v>открыт</v>
      </c>
      <c r="AR402" s="2052" t="str">
        <f t="shared" si="234"/>
        <v>открыт</v>
      </c>
      <c r="AS402" s="938">
        <f t="shared" si="246"/>
        <v>79.468167701863351</v>
      </c>
      <c r="AT402" s="1093" t="s">
        <v>96</v>
      </c>
      <c r="AU402" s="1095">
        <v>1978</v>
      </c>
      <c r="AV402" s="1101" t="s">
        <v>3218</v>
      </c>
      <c r="AW402" s="1103">
        <v>56.981818912281</v>
      </c>
      <c r="AX402" s="1103">
        <v>35.104686451727297</v>
      </c>
    </row>
    <row r="403" spans="1:50" ht="15" customHeight="1" x14ac:dyDescent="0.25">
      <c r="A403" s="2103">
        <v>297</v>
      </c>
      <c r="B403" s="245">
        <v>17</v>
      </c>
      <c r="C403" s="245" t="s">
        <v>262</v>
      </c>
      <c r="D403" s="246">
        <v>2.5</v>
      </c>
      <c r="E403" s="247" t="s">
        <v>773</v>
      </c>
      <c r="F403" s="247">
        <v>2.5</v>
      </c>
      <c r="G403" s="247"/>
      <c r="H403" s="248"/>
      <c r="I403" s="229" t="str">
        <f t="shared" si="228"/>
        <v>2,5+2,5</v>
      </c>
      <c r="J403" s="997">
        <v>0.94</v>
      </c>
      <c r="K403" s="1429">
        <v>0</v>
      </c>
      <c r="L403" s="1430">
        <v>0</v>
      </c>
      <c r="M403" s="250">
        <f t="shared" si="247"/>
        <v>0.94</v>
      </c>
      <c r="N403" s="172">
        <v>0</v>
      </c>
      <c r="O403" s="880"/>
      <c r="P403" s="883">
        <f t="shared" si="238"/>
        <v>2.625</v>
      </c>
      <c r="Q403" s="250">
        <f t="shared" si="239"/>
        <v>1.6850000000000001</v>
      </c>
      <c r="R403" s="250">
        <f t="shared" si="224"/>
        <v>1.6850000000000001</v>
      </c>
      <c r="S403" s="245" t="str">
        <f t="shared" si="235"/>
        <v>открыт</v>
      </c>
      <c r="T403" s="2052" t="str">
        <f t="shared" si="229"/>
        <v>открыт</v>
      </c>
      <c r="U403" s="757">
        <f t="shared" si="240"/>
        <v>35.80952380952381</v>
      </c>
      <c r="V403" s="2254">
        <v>0.48</v>
      </c>
      <c r="W403" s="2254" t="s">
        <v>3033</v>
      </c>
      <c r="X403" s="916"/>
      <c r="Y403" s="2103">
        <v>297</v>
      </c>
      <c r="Z403" s="248">
        <v>17</v>
      </c>
      <c r="AA403" s="245" t="s">
        <v>262</v>
      </c>
      <c r="AB403" s="246">
        <f t="shared" si="230"/>
        <v>2.5</v>
      </c>
      <c r="AC403" s="247" t="str">
        <f t="shared" si="241"/>
        <v>+</v>
      </c>
      <c r="AD403" s="247">
        <f t="shared" si="242"/>
        <v>2.5</v>
      </c>
      <c r="AE403" s="247"/>
      <c r="AF403" s="248"/>
      <c r="AG403" s="212" t="str">
        <f t="shared" si="236"/>
        <v>2,5+2,5</v>
      </c>
      <c r="AH403" s="250">
        <f>'Зона ТоЭс'!L102</f>
        <v>2.9347826086956519E-2</v>
      </c>
      <c r="AI403" s="250">
        <f t="shared" si="227"/>
        <v>0.96934782608695647</v>
      </c>
      <c r="AJ403" s="1973">
        <f t="shared" si="231"/>
        <v>0</v>
      </c>
      <c r="AK403" s="212">
        <f t="shared" si="232"/>
        <v>0</v>
      </c>
      <c r="AL403" s="172">
        <f t="shared" si="243"/>
        <v>0.96934782608695647</v>
      </c>
      <c r="AM403" s="1973">
        <f t="shared" si="233"/>
        <v>0</v>
      </c>
      <c r="AN403" s="883">
        <f t="shared" si="244"/>
        <v>2.625</v>
      </c>
      <c r="AO403" s="250">
        <f t="shared" si="245"/>
        <v>1.6556521739130434</v>
      </c>
      <c r="AP403" s="250">
        <f t="shared" si="226"/>
        <v>1.6556521739130434</v>
      </c>
      <c r="AQ403" s="250" t="str">
        <f t="shared" si="237"/>
        <v>открыт</v>
      </c>
      <c r="AR403" s="2052" t="str">
        <f t="shared" si="234"/>
        <v>открыт</v>
      </c>
      <c r="AS403" s="938">
        <f t="shared" si="246"/>
        <v>36.927536231884055</v>
      </c>
      <c r="AT403" s="1093" t="s">
        <v>96</v>
      </c>
      <c r="AU403" s="1095">
        <v>1961</v>
      </c>
      <c r="AV403" s="1101" t="s">
        <v>3218</v>
      </c>
      <c r="AW403" s="1103">
        <v>57.133121923718498</v>
      </c>
      <c r="AX403" s="1103">
        <v>34.672485597217602</v>
      </c>
    </row>
    <row r="404" spans="1:50" ht="15" customHeight="1" x14ac:dyDescent="0.25">
      <c r="A404" s="2103">
        <v>298</v>
      </c>
      <c r="B404" s="245">
        <v>18</v>
      </c>
      <c r="C404" s="245" t="s">
        <v>263</v>
      </c>
      <c r="D404" s="246">
        <v>2.5</v>
      </c>
      <c r="E404" s="247" t="s">
        <v>773</v>
      </c>
      <c r="F404" s="247">
        <v>2.5</v>
      </c>
      <c r="G404" s="247"/>
      <c r="H404" s="248"/>
      <c r="I404" s="229" t="str">
        <f t="shared" si="228"/>
        <v>2,5+2,5</v>
      </c>
      <c r="J404" s="997">
        <v>2.0299999999999998</v>
      </c>
      <c r="K404" s="1429">
        <v>0</v>
      </c>
      <c r="L404" s="1430">
        <v>0</v>
      </c>
      <c r="M404" s="250">
        <f t="shared" si="247"/>
        <v>2.0299999999999998</v>
      </c>
      <c r="N404" s="172">
        <v>0</v>
      </c>
      <c r="O404" s="880"/>
      <c r="P404" s="883">
        <f t="shared" si="238"/>
        <v>2.625</v>
      </c>
      <c r="Q404" s="250">
        <f t="shared" si="239"/>
        <v>0.5950000000000002</v>
      </c>
      <c r="R404" s="250">
        <f t="shared" si="224"/>
        <v>0.5950000000000002</v>
      </c>
      <c r="S404" s="245" t="str">
        <f t="shared" si="235"/>
        <v>открыт</v>
      </c>
      <c r="T404" s="2052" t="str">
        <f t="shared" si="229"/>
        <v>открыт</v>
      </c>
      <c r="U404" s="757">
        <f t="shared" si="240"/>
        <v>77.333333333333329</v>
      </c>
      <c r="V404" s="2254">
        <v>0.23</v>
      </c>
      <c r="W404" s="2254" t="s">
        <v>3033</v>
      </c>
      <c r="X404" s="916"/>
      <c r="Y404" s="2103">
        <v>298</v>
      </c>
      <c r="Z404" s="248">
        <v>18</v>
      </c>
      <c r="AA404" s="245" t="s">
        <v>263</v>
      </c>
      <c r="AB404" s="246">
        <f t="shared" si="230"/>
        <v>2.5</v>
      </c>
      <c r="AC404" s="247" t="str">
        <f t="shared" si="241"/>
        <v>+</v>
      </c>
      <c r="AD404" s="247">
        <f t="shared" si="242"/>
        <v>2.5</v>
      </c>
      <c r="AE404" s="247"/>
      <c r="AF404" s="248"/>
      <c r="AG404" s="212" t="str">
        <f t="shared" si="236"/>
        <v>2,5+2,5</v>
      </c>
      <c r="AH404" s="250">
        <f>'Зона ТоЭс'!L115</f>
        <v>0.85064516129032264</v>
      </c>
      <c r="AI404" s="250">
        <f>AH404+J404</f>
        <v>2.8806451612903223</v>
      </c>
      <c r="AJ404" s="1973">
        <f t="shared" si="231"/>
        <v>0</v>
      </c>
      <c r="AK404" s="212">
        <f t="shared" si="232"/>
        <v>0</v>
      </c>
      <c r="AL404" s="172">
        <f t="shared" si="243"/>
        <v>2.8806451612903223</v>
      </c>
      <c r="AM404" s="1973">
        <f t="shared" si="233"/>
        <v>0</v>
      </c>
      <c r="AN404" s="883">
        <f t="shared" si="244"/>
        <v>2.625</v>
      </c>
      <c r="AO404" s="250">
        <f t="shared" si="245"/>
        <v>-0.25564516129032233</v>
      </c>
      <c r="AP404" s="250">
        <f t="shared" si="226"/>
        <v>-0.25564516129032233</v>
      </c>
      <c r="AQ404" s="250" t="str">
        <f>AR404</f>
        <v>закрыт</v>
      </c>
      <c r="AR404" s="2052" t="str">
        <f t="shared" si="234"/>
        <v>закрыт</v>
      </c>
      <c r="AS404" s="938">
        <f t="shared" si="246"/>
        <v>109.73886328725038</v>
      </c>
      <c r="AT404" s="1093" t="s">
        <v>96</v>
      </c>
      <c r="AU404" s="1095">
        <v>1980</v>
      </c>
      <c r="AV404" s="1101" t="s">
        <v>3218</v>
      </c>
      <c r="AW404" s="1103">
        <v>57.204716539039701</v>
      </c>
      <c r="AX404" s="1103">
        <v>34.9455300087211</v>
      </c>
    </row>
    <row r="405" spans="1:50" ht="15" customHeight="1" x14ac:dyDescent="0.25">
      <c r="A405" s="2103">
        <v>299</v>
      </c>
      <c r="B405" s="245">
        <v>19</v>
      </c>
      <c r="C405" s="245" t="s">
        <v>264</v>
      </c>
      <c r="D405" s="246">
        <v>4</v>
      </c>
      <c r="E405" s="247" t="s">
        <v>773</v>
      </c>
      <c r="F405" s="247">
        <v>4</v>
      </c>
      <c r="G405" s="247"/>
      <c r="H405" s="248"/>
      <c r="I405" s="229" t="str">
        <f t="shared" si="228"/>
        <v>4+4</v>
      </c>
      <c r="J405" s="997">
        <v>0.28999999999999998</v>
      </c>
      <c r="K405" s="1429">
        <v>0</v>
      </c>
      <c r="L405" s="1430">
        <v>0</v>
      </c>
      <c r="M405" s="250">
        <f t="shared" si="247"/>
        <v>0.28999999999999998</v>
      </c>
      <c r="N405" s="172">
        <v>0</v>
      </c>
      <c r="O405" s="880"/>
      <c r="P405" s="883">
        <f t="shared" si="238"/>
        <v>4.2</v>
      </c>
      <c r="Q405" s="250">
        <f t="shared" si="239"/>
        <v>3.91</v>
      </c>
      <c r="R405" s="250">
        <f t="shared" si="224"/>
        <v>3.91</v>
      </c>
      <c r="S405" s="245" t="str">
        <f t="shared" si="235"/>
        <v>открыт</v>
      </c>
      <c r="T405" s="2052" t="str">
        <f t="shared" si="229"/>
        <v>открыт</v>
      </c>
      <c r="U405" s="757">
        <f t="shared" si="240"/>
        <v>6.9047619047619033</v>
      </c>
      <c r="V405" s="2254">
        <v>0.66</v>
      </c>
      <c r="W405" s="2254" t="s">
        <v>3033</v>
      </c>
      <c r="X405" s="916"/>
      <c r="Y405" s="2103">
        <v>299</v>
      </c>
      <c r="Z405" s="248">
        <v>19</v>
      </c>
      <c r="AA405" s="245" t="s">
        <v>264</v>
      </c>
      <c r="AB405" s="246">
        <f t="shared" si="230"/>
        <v>4</v>
      </c>
      <c r="AC405" s="247" t="str">
        <f t="shared" si="241"/>
        <v>+</v>
      </c>
      <c r="AD405" s="247">
        <f t="shared" si="242"/>
        <v>4</v>
      </c>
      <c r="AE405" s="247"/>
      <c r="AF405" s="248"/>
      <c r="AG405" s="212" t="str">
        <f t="shared" si="236"/>
        <v>4+4</v>
      </c>
      <c r="AH405" s="250">
        <f>'Зона ТоЭс'!L121</f>
        <v>0</v>
      </c>
      <c r="AI405" s="250">
        <f t="shared" si="227"/>
        <v>0.28999999999999998</v>
      </c>
      <c r="AJ405" s="1973">
        <f t="shared" si="231"/>
        <v>0</v>
      </c>
      <c r="AK405" s="212">
        <f t="shared" si="232"/>
        <v>0</v>
      </c>
      <c r="AL405" s="172">
        <f t="shared" si="243"/>
        <v>0.28999999999999998</v>
      </c>
      <c r="AM405" s="1973">
        <f t="shared" si="233"/>
        <v>0</v>
      </c>
      <c r="AN405" s="883">
        <f t="shared" si="244"/>
        <v>4.2</v>
      </c>
      <c r="AO405" s="250">
        <f t="shared" si="245"/>
        <v>3.91</v>
      </c>
      <c r="AP405" s="250">
        <f t="shared" si="226"/>
        <v>3.91</v>
      </c>
      <c r="AQ405" s="250" t="str">
        <f t="shared" si="237"/>
        <v>открыт</v>
      </c>
      <c r="AR405" s="2052" t="str">
        <f t="shared" si="234"/>
        <v>открыт</v>
      </c>
      <c r="AS405" s="938">
        <f t="shared" si="246"/>
        <v>6.9047619047619033</v>
      </c>
      <c r="AT405" s="1093" t="s">
        <v>96</v>
      </c>
      <c r="AU405" s="1095">
        <v>1963</v>
      </c>
      <c r="AV405" s="1101" t="s">
        <v>3218</v>
      </c>
      <c r="AW405" s="1103">
        <v>56.665454737939299</v>
      </c>
      <c r="AX405" s="1103">
        <v>33.8508383047499</v>
      </c>
    </row>
    <row r="406" spans="1:50" ht="15" customHeight="1" x14ac:dyDescent="0.25">
      <c r="A406" s="2103">
        <v>300</v>
      </c>
      <c r="B406" s="245">
        <v>20</v>
      </c>
      <c r="C406" s="245" t="s">
        <v>265</v>
      </c>
      <c r="D406" s="246">
        <v>4</v>
      </c>
      <c r="E406" s="247" t="s">
        <v>773</v>
      </c>
      <c r="F406" s="247">
        <v>4</v>
      </c>
      <c r="G406" s="247"/>
      <c r="H406" s="248"/>
      <c r="I406" s="229" t="str">
        <f t="shared" si="228"/>
        <v>4+4</v>
      </c>
      <c r="J406" s="997">
        <v>1.32</v>
      </c>
      <c r="K406" s="1429">
        <v>0</v>
      </c>
      <c r="L406" s="1430">
        <v>0</v>
      </c>
      <c r="M406" s="250">
        <f t="shared" si="247"/>
        <v>1.32</v>
      </c>
      <c r="N406" s="172">
        <v>0</v>
      </c>
      <c r="O406" s="880"/>
      <c r="P406" s="883">
        <f t="shared" si="238"/>
        <v>4.2</v>
      </c>
      <c r="Q406" s="250">
        <f t="shared" si="239"/>
        <v>2.88</v>
      </c>
      <c r="R406" s="250">
        <f t="shared" si="224"/>
        <v>2.88</v>
      </c>
      <c r="S406" s="245" t="str">
        <f t="shared" si="235"/>
        <v>открыт</v>
      </c>
      <c r="T406" s="2052" t="str">
        <f t="shared" si="229"/>
        <v>открыт</v>
      </c>
      <c r="U406" s="757">
        <f t="shared" si="240"/>
        <v>31.428571428571427</v>
      </c>
      <c r="V406" s="2254">
        <v>0.28000000000000003</v>
      </c>
      <c r="W406" s="2254" t="s">
        <v>3033</v>
      </c>
      <c r="X406" s="916"/>
      <c r="Y406" s="2103">
        <v>300</v>
      </c>
      <c r="Z406" s="248">
        <v>20</v>
      </c>
      <c r="AA406" s="245" t="s">
        <v>265</v>
      </c>
      <c r="AB406" s="246">
        <f t="shared" si="230"/>
        <v>4</v>
      </c>
      <c r="AC406" s="247" t="str">
        <f t="shared" si="241"/>
        <v>+</v>
      </c>
      <c r="AD406" s="247">
        <f t="shared" si="242"/>
        <v>4</v>
      </c>
      <c r="AE406" s="247"/>
      <c r="AF406" s="248"/>
      <c r="AG406" s="212" t="str">
        <f t="shared" si="236"/>
        <v>4+4</v>
      </c>
      <c r="AH406" s="250">
        <f>'Зона ТоЭс'!L132</f>
        <v>4.6739130434782603E-2</v>
      </c>
      <c r="AI406" s="250">
        <f t="shared" si="227"/>
        <v>1.3667391304347827</v>
      </c>
      <c r="AJ406" s="1973">
        <f t="shared" si="231"/>
        <v>0</v>
      </c>
      <c r="AK406" s="212">
        <f t="shared" si="232"/>
        <v>0</v>
      </c>
      <c r="AL406" s="172">
        <f t="shared" si="243"/>
        <v>1.3667391304347827</v>
      </c>
      <c r="AM406" s="1973">
        <f t="shared" si="233"/>
        <v>0</v>
      </c>
      <c r="AN406" s="883">
        <f t="shared" si="244"/>
        <v>4.2</v>
      </c>
      <c r="AO406" s="250">
        <f t="shared" si="245"/>
        <v>2.8332608695652173</v>
      </c>
      <c r="AP406" s="250">
        <f t="shared" si="226"/>
        <v>2.8332608695652173</v>
      </c>
      <c r="AQ406" s="250" t="str">
        <f t="shared" si="237"/>
        <v>открыт</v>
      </c>
      <c r="AR406" s="2052" t="str">
        <f t="shared" si="234"/>
        <v>открыт</v>
      </c>
      <c r="AS406" s="938">
        <f t="shared" si="246"/>
        <v>32.541407867494826</v>
      </c>
      <c r="AT406" s="1093" t="s">
        <v>96</v>
      </c>
      <c r="AU406" s="1095">
        <v>1967</v>
      </c>
      <c r="AV406" s="1101" t="s">
        <v>3218</v>
      </c>
      <c r="AW406" s="1103">
        <v>56.887111041744703</v>
      </c>
      <c r="AX406" s="1103">
        <v>33.302604380725498</v>
      </c>
    </row>
    <row r="407" spans="1:50" ht="15" customHeight="1" x14ac:dyDescent="0.25">
      <c r="A407" s="2103">
        <v>301</v>
      </c>
      <c r="B407" s="245">
        <v>21</v>
      </c>
      <c r="C407" s="245" t="s">
        <v>266</v>
      </c>
      <c r="D407" s="246">
        <v>2.5</v>
      </c>
      <c r="E407" s="247" t="s">
        <v>773</v>
      </c>
      <c r="F407" s="247">
        <v>1.6</v>
      </c>
      <c r="G407" s="247"/>
      <c r="H407" s="248"/>
      <c r="I407" s="229" t="str">
        <f t="shared" si="228"/>
        <v>2,5+1,6</v>
      </c>
      <c r="J407" s="997">
        <v>0.67</v>
      </c>
      <c r="K407" s="1429">
        <v>0</v>
      </c>
      <c r="L407" s="1430">
        <v>0</v>
      </c>
      <c r="M407" s="250">
        <f t="shared" si="247"/>
        <v>0.67</v>
      </c>
      <c r="N407" s="172">
        <v>0</v>
      </c>
      <c r="O407" s="880"/>
      <c r="P407" s="883">
        <f t="shared" si="238"/>
        <v>1.6800000000000002</v>
      </c>
      <c r="Q407" s="250">
        <f t="shared" si="239"/>
        <v>1.0100000000000002</v>
      </c>
      <c r="R407" s="250">
        <f t="shared" si="224"/>
        <v>1.0100000000000002</v>
      </c>
      <c r="S407" s="245" t="str">
        <f t="shared" si="235"/>
        <v>открыт</v>
      </c>
      <c r="T407" s="2052" t="str">
        <f t="shared" si="229"/>
        <v>открыт</v>
      </c>
      <c r="U407" s="757">
        <f t="shared" si="240"/>
        <v>39.88095238095238</v>
      </c>
      <c r="V407" s="2254">
        <v>0.43</v>
      </c>
      <c r="W407" s="2254" t="s">
        <v>3033</v>
      </c>
      <c r="X407" s="916"/>
      <c r="Y407" s="2103">
        <v>301</v>
      </c>
      <c r="Z407" s="248">
        <v>21</v>
      </c>
      <c r="AA407" s="245" t="s">
        <v>266</v>
      </c>
      <c r="AB407" s="246">
        <f t="shared" si="230"/>
        <v>2.5</v>
      </c>
      <c r="AC407" s="247" t="str">
        <f t="shared" si="241"/>
        <v>+</v>
      </c>
      <c r="AD407" s="247">
        <f t="shared" si="242"/>
        <v>1.6</v>
      </c>
      <c r="AE407" s="247"/>
      <c r="AF407" s="248"/>
      <c r="AG407" s="212" t="str">
        <f t="shared" si="236"/>
        <v>2,5+1,6</v>
      </c>
      <c r="AH407" s="250">
        <f>'Зона ТоЭс'!L141</f>
        <v>0</v>
      </c>
      <c r="AI407" s="250">
        <f t="shared" si="227"/>
        <v>0.67</v>
      </c>
      <c r="AJ407" s="1973">
        <f t="shared" si="231"/>
        <v>0</v>
      </c>
      <c r="AK407" s="212">
        <f t="shared" si="232"/>
        <v>0</v>
      </c>
      <c r="AL407" s="172">
        <f t="shared" si="243"/>
        <v>0.67</v>
      </c>
      <c r="AM407" s="1973">
        <f t="shared" si="233"/>
        <v>0</v>
      </c>
      <c r="AN407" s="883">
        <f t="shared" si="244"/>
        <v>1.6800000000000002</v>
      </c>
      <c r="AO407" s="250">
        <f t="shared" si="245"/>
        <v>1.0100000000000002</v>
      </c>
      <c r="AP407" s="250">
        <f t="shared" si="226"/>
        <v>1.0100000000000002</v>
      </c>
      <c r="AQ407" s="250" t="str">
        <f t="shared" si="237"/>
        <v>открыт</v>
      </c>
      <c r="AR407" s="2052" t="str">
        <f t="shared" si="234"/>
        <v>открыт</v>
      </c>
      <c r="AS407" s="938">
        <f t="shared" si="246"/>
        <v>39.88095238095238</v>
      </c>
      <c r="AT407" s="1093" t="s">
        <v>96</v>
      </c>
      <c r="AU407" s="1095">
        <v>1973</v>
      </c>
      <c r="AV407" s="1101" t="s">
        <v>3218</v>
      </c>
      <c r="AW407" s="1103">
        <v>57.262977423873402</v>
      </c>
      <c r="AX407" s="1103">
        <v>33.360615571515098</v>
      </c>
    </row>
    <row r="408" spans="1:50" ht="15" customHeight="1" x14ac:dyDescent="0.25">
      <c r="A408" s="2103">
        <v>302</v>
      </c>
      <c r="B408" s="245">
        <v>22</v>
      </c>
      <c r="C408" s="245" t="s">
        <v>267</v>
      </c>
      <c r="D408" s="246">
        <v>2.5</v>
      </c>
      <c r="E408" s="247" t="s">
        <v>773</v>
      </c>
      <c r="F408" s="247">
        <v>2.5</v>
      </c>
      <c r="G408" s="247"/>
      <c r="H408" s="248"/>
      <c r="I408" s="229" t="str">
        <f t="shared" si="228"/>
        <v>2,5+2,5</v>
      </c>
      <c r="J408" s="997">
        <v>0.39</v>
      </c>
      <c r="K408" s="1429">
        <v>0</v>
      </c>
      <c r="L408" s="1430">
        <v>0</v>
      </c>
      <c r="M408" s="250">
        <f t="shared" si="247"/>
        <v>0.39</v>
      </c>
      <c r="N408" s="172">
        <v>0</v>
      </c>
      <c r="O408" s="880"/>
      <c r="P408" s="883">
        <f t="shared" si="238"/>
        <v>2.625</v>
      </c>
      <c r="Q408" s="250">
        <f t="shared" si="239"/>
        <v>2.2349999999999999</v>
      </c>
      <c r="R408" s="250">
        <f t="shared" si="224"/>
        <v>2.2349999999999999</v>
      </c>
      <c r="S408" s="245" t="str">
        <f t="shared" si="235"/>
        <v>открыт</v>
      </c>
      <c r="T408" s="2052" t="str">
        <f t="shared" si="229"/>
        <v>открыт</v>
      </c>
      <c r="U408" s="757">
        <f t="shared" si="240"/>
        <v>14.857142857142858</v>
      </c>
      <c r="V408" s="2254">
        <v>0.74</v>
      </c>
      <c r="W408" s="2254" t="s">
        <v>3033</v>
      </c>
      <c r="X408" s="916"/>
      <c r="Y408" s="2103">
        <v>302</v>
      </c>
      <c r="Z408" s="248">
        <v>22</v>
      </c>
      <c r="AA408" s="245" t="s">
        <v>267</v>
      </c>
      <c r="AB408" s="246">
        <f t="shared" si="230"/>
        <v>2.5</v>
      </c>
      <c r="AC408" s="247" t="str">
        <f t="shared" si="241"/>
        <v>+</v>
      </c>
      <c r="AD408" s="247">
        <f t="shared" si="242"/>
        <v>2.5</v>
      </c>
      <c r="AE408" s="247"/>
      <c r="AF408" s="248"/>
      <c r="AG408" s="212" t="str">
        <f t="shared" si="236"/>
        <v>2,5+2,5</v>
      </c>
      <c r="AH408" s="250">
        <f>'Зона ТоЭс'!L144</f>
        <v>0</v>
      </c>
      <c r="AI408" s="250">
        <f t="shared" si="227"/>
        <v>0.39</v>
      </c>
      <c r="AJ408" s="1973">
        <f t="shared" si="231"/>
        <v>0</v>
      </c>
      <c r="AK408" s="212">
        <f t="shared" si="232"/>
        <v>0</v>
      </c>
      <c r="AL408" s="172">
        <f t="shared" si="243"/>
        <v>0.39</v>
      </c>
      <c r="AM408" s="1973">
        <f t="shared" si="233"/>
        <v>0</v>
      </c>
      <c r="AN408" s="883">
        <f t="shared" si="244"/>
        <v>2.625</v>
      </c>
      <c r="AO408" s="250">
        <f t="shared" si="245"/>
        <v>2.2349999999999999</v>
      </c>
      <c r="AP408" s="250">
        <f t="shared" si="226"/>
        <v>2.2349999999999999</v>
      </c>
      <c r="AQ408" s="250" t="str">
        <f t="shared" si="237"/>
        <v>открыт</v>
      </c>
      <c r="AR408" s="2052" t="str">
        <f t="shared" si="234"/>
        <v>открыт</v>
      </c>
      <c r="AS408" s="938">
        <f t="shared" si="246"/>
        <v>14.857142857142858</v>
      </c>
      <c r="AT408" s="1093" t="s">
        <v>96</v>
      </c>
      <c r="AU408" s="1095">
        <v>1979</v>
      </c>
      <c r="AV408" s="1101" t="s">
        <v>3218</v>
      </c>
      <c r="AW408" s="1103">
        <v>57.0472711405613</v>
      </c>
      <c r="AX408" s="1103">
        <v>33.375103516095102</v>
      </c>
    </row>
    <row r="409" spans="1:50" ht="15" customHeight="1" x14ac:dyDescent="0.25">
      <c r="A409" s="2103">
        <v>303</v>
      </c>
      <c r="B409" s="245">
        <v>23</v>
      </c>
      <c r="C409" s="245" t="s">
        <v>268</v>
      </c>
      <c r="D409" s="246">
        <v>2.5</v>
      </c>
      <c r="E409" s="247" t="s">
        <v>773</v>
      </c>
      <c r="F409" s="247">
        <v>2.5</v>
      </c>
      <c r="G409" s="247"/>
      <c r="H409" s="248"/>
      <c r="I409" s="229" t="str">
        <f t="shared" si="228"/>
        <v>2,5+2,5</v>
      </c>
      <c r="J409" s="997">
        <v>1.1399999999999999</v>
      </c>
      <c r="K409" s="1429">
        <v>0</v>
      </c>
      <c r="L409" s="1430">
        <v>0</v>
      </c>
      <c r="M409" s="250">
        <f t="shared" si="247"/>
        <v>1.1399999999999999</v>
      </c>
      <c r="N409" s="172">
        <v>0</v>
      </c>
      <c r="O409" s="880"/>
      <c r="P409" s="883">
        <f t="shared" si="238"/>
        <v>2.625</v>
      </c>
      <c r="Q409" s="250">
        <f t="shared" si="239"/>
        <v>1.4850000000000001</v>
      </c>
      <c r="R409" s="250">
        <f t="shared" si="224"/>
        <v>1.4850000000000001</v>
      </c>
      <c r="S409" s="245" t="str">
        <f t="shared" si="235"/>
        <v>открыт</v>
      </c>
      <c r="T409" s="2052" t="str">
        <f t="shared" si="229"/>
        <v>открыт</v>
      </c>
      <c r="U409" s="757">
        <f t="shared" si="240"/>
        <v>43.428571428571423</v>
      </c>
      <c r="V409" s="2254">
        <v>0.27</v>
      </c>
      <c r="W409" s="2254" t="s">
        <v>3033</v>
      </c>
      <c r="X409" s="916"/>
      <c r="Y409" s="2103">
        <v>303</v>
      </c>
      <c r="Z409" s="248">
        <v>23</v>
      </c>
      <c r="AA409" s="245" t="s">
        <v>268</v>
      </c>
      <c r="AB409" s="246">
        <f t="shared" si="230"/>
        <v>2.5</v>
      </c>
      <c r="AC409" s="247" t="str">
        <f t="shared" si="241"/>
        <v>+</v>
      </c>
      <c r="AD409" s="247">
        <f t="shared" si="242"/>
        <v>2.5</v>
      </c>
      <c r="AE409" s="247"/>
      <c r="AF409" s="248"/>
      <c r="AG409" s="212" t="str">
        <f t="shared" si="236"/>
        <v>2,5+2,5</v>
      </c>
      <c r="AH409" s="250">
        <f>'Зона ТоЭс'!L153</f>
        <v>0.26331521739130431</v>
      </c>
      <c r="AI409" s="250">
        <f t="shared" si="227"/>
        <v>1.4033152173913042</v>
      </c>
      <c r="AJ409" s="1973">
        <f t="shared" si="231"/>
        <v>0</v>
      </c>
      <c r="AK409" s="212">
        <f t="shared" si="232"/>
        <v>0</v>
      </c>
      <c r="AL409" s="172">
        <f t="shared" si="243"/>
        <v>1.4033152173913042</v>
      </c>
      <c r="AM409" s="1973">
        <f t="shared" si="233"/>
        <v>0</v>
      </c>
      <c r="AN409" s="883">
        <f t="shared" si="244"/>
        <v>2.625</v>
      </c>
      <c r="AO409" s="250">
        <f t="shared" si="245"/>
        <v>1.2216847826086958</v>
      </c>
      <c r="AP409" s="250">
        <f t="shared" si="226"/>
        <v>1.2216847826086958</v>
      </c>
      <c r="AQ409" s="250" t="str">
        <f t="shared" si="237"/>
        <v>открыт</v>
      </c>
      <c r="AR409" s="2052" t="str">
        <f t="shared" si="234"/>
        <v>открыт</v>
      </c>
      <c r="AS409" s="938">
        <f t="shared" si="246"/>
        <v>53.459627329192536</v>
      </c>
      <c r="AT409" s="1093" t="s">
        <v>96</v>
      </c>
      <c r="AU409" s="1095">
        <v>1988</v>
      </c>
      <c r="AV409" s="1101" t="s">
        <v>3218</v>
      </c>
      <c r="AW409" s="1103">
        <v>57.242949227255899</v>
      </c>
      <c r="AX409" s="1103">
        <v>33.090655910757498</v>
      </c>
    </row>
    <row r="410" spans="1:50" ht="15" customHeight="1" x14ac:dyDescent="0.25">
      <c r="A410" s="2103">
        <v>304</v>
      </c>
      <c r="B410" s="245">
        <v>24</v>
      </c>
      <c r="C410" s="245" t="s">
        <v>269</v>
      </c>
      <c r="D410" s="246">
        <v>63</v>
      </c>
      <c r="E410" s="247" t="s">
        <v>773</v>
      </c>
      <c r="F410" s="247">
        <v>63</v>
      </c>
      <c r="G410" s="247"/>
      <c r="H410" s="248"/>
      <c r="I410" s="229" t="str">
        <f t="shared" si="228"/>
        <v>63+63</v>
      </c>
      <c r="J410" s="997">
        <v>15.9</v>
      </c>
      <c r="K410" s="1429">
        <v>0</v>
      </c>
      <c r="L410" s="1430">
        <v>0</v>
      </c>
      <c r="M410" s="250">
        <f t="shared" si="247"/>
        <v>15.9</v>
      </c>
      <c r="N410" s="172">
        <v>0</v>
      </c>
      <c r="O410" s="880"/>
      <c r="P410" s="883">
        <f t="shared" si="238"/>
        <v>66.150000000000006</v>
      </c>
      <c r="Q410" s="250">
        <f t="shared" si="239"/>
        <v>50.250000000000007</v>
      </c>
      <c r="R410" s="250">
        <f t="shared" si="224"/>
        <v>50.250000000000007</v>
      </c>
      <c r="S410" s="245" t="str">
        <f t="shared" si="235"/>
        <v>открыт</v>
      </c>
      <c r="T410" s="2052" t="str">
        <f t="shared" si="229"/>
        <v>открыт</v>
      </c>
      <c r="U410" s="757">
        <f t="shared" si="240"/>
        <v>24.036281179138321</v>
      </c>
      <c r="V410" s="2254">
        <v>0.18</v>
      </c>
      <c r="W410" s="2254" t="s">
        <v>3033</v>
      </c>
      <c r="X410" s="916"/>
      <c r="Y410" s="2103">
        <v>304</v>
      </c>
      <c r="Z410" s="248">
        <v>24</v>
      </c>
      <c r="AA410" s="245" t="s">
        <v>269</v>
      </c>
      <c r="AB410" s="246">
        <f t="shared" si="230"/>
        <v>63</v>
      </c>
      <c r="AC410" s="247" t="str">
        <f t="shared" si="241"/>
        <v>+</v>
      </c>
      <c r="AD410" s="247">
        <f t="shared" si="242"/>
        <v>63</v>
      </c>
      <c r="AE410" s="247"/>
      <c r="AF410" s="248"/>
      <c r="AG410" s="212" t="str">
        <f t="shared" si="236"/>
        <v>63+63</v>
      </c>
      <c r="AH410" s="250">
        <f>'Зона ТоЭс'!L155</f>
        <v>0</v>
      </c>
      <c r="AI410" s="250">
        <f t="shared" si="227"/>
        <v>15.9</v>
      </c>
      <c r="AJ410" s="1973">
        <f t="shared" si="231"/>
        <v>0</v>
      </c>
      <c r="AK410" s="212">
        <f t="shared" si="232"/>
        <v>0</v>
      </c>
      <c r="AL410" s="172">
        <f t="shared" si="243"/>
        <v>15.9</v>
      </c>
      <c r="AM410" s="1973">
        <f t="shared" si="233"/>
        <v>0</v>
      </c>
      <c r="AN410" s="883">
        <f t="shared" si="244"/>
        <v>66.150000000000006</v>
      </c>
      <c r="AO410" s="250">
        <f t="shared" si="245"/>
        <v>50.250000000000007</v>
      </c>
      <c r="AP410" s="250">
        <f t="shared" si="226"/>
        <v>50.250000000000007</v>
      </c>
      <c r="AQ410" s="250" t="str">
        <f t="shared" si="237"/>
        <v>открыт</v>
      </c>
      <c r="AR410" s="2052" t="str">
        <f t="shared" si="234"/>
        <v>открыт</v>
      </c>
      <c r="AS410" s="938">
        <f t="shared" si="246"/>
        <v>24.036281179138321</v>
      </c>
      <c r="AT410" s="1093" t="s">
        <v>96</v>
      </c>
      <c r="AU410" s="1095">
        <v>1981</v>
      </c>
      <c r="AV410" s="1101" t="s">
        <v>3218</v>
      </c>
      <c r="AW410" s="1103">
        <v>57.022266394424797</v>
      </c>
      <c r="AX410" s="1103">
        <v>35.013846333166498</v>
      </c>
    </row>
    <row r="411" spans="1:50" ht="15" customHeight="1" x14ac:dyDescent="0.25">
      <c r="A411" s="2103">
        <v>305</v>
      </c>
      <c r="B411" s="245">
        <v>25</v>
      </c>
      <c r="C411" s="251" t="s">
        <v>270</v>
      </c>
      <c r="D411" s="246">
        <v>10</v>
      </c>
      <c r="E411" s="247" t="s">
        <v>773</v>
      </c>
      <c r="F411" s="247">
        <v>10</v>
      </c>
      <c r="G411" s="247"/>
      <c r="H411" s="248"/>
      <c r="I411" s="229" t="str">
        <f t="shared" si="228"/>
        <v>10+10</v>
      </c>
      <c r="J411" s="997">
        <v>6.2</v>
      </c>
      <c r="K411" s="1429">
        <v>0</v>
      </c>
      <c r="L411" s="1430">
        <v>0</v>
      </c>
      <c r="M411" s="250">
        <f t="shared" si="247"/>
        <v>6.2</v>
      </c>
      <c r="N411" s="172">
        <v>0</v>
      </c>
      <c r="O411" s="880"/>
      <c r="P411" s="883">
        <f t="shared" si="238"/>
        <v>10.5</v>
      </c>
      <c r="Q411" s="250">
        <f t="shared" si="239"/>
        <v>4.3</v>
      </c>
      <c r="R411" s="250">
        <f>Q411</f>
        <v>4.3</v>
      </c>
      <c r="S411" s="245" t="str">
        <f t="shared" si="235"/>
        <v>открыт</v>
      </c>
      <c r="T411" s="2052" t="str">
        <f t="shared" si="229"/>
        <v>открыт</v>
      </c>
      <c r="U411" s="757">
        <f t="shared" si="240"/>
        <v>59.047619047619051</v>
      </c>
      <c r="V411" s="2254">
        <v>0.35</v>
      </c>
      <c r="W411" s="2254" t="s">
        <v>3033</v>
      </c>
      <c r="X411" s="916"/>
      <c r="Y411" s="2103">
        <v>305</v>
      </c>
      <c r="Z411" s="248">
        <v>25</v>
      </c>
      <c r="AA411" s="251" t="s">
        <v>270</v>
      </c>
      <c r="AB411" s="246">
        <f t="shared" si="230"/>
        <v>10</v>
      </c>
      <c r="AC411" s="247" t="str">
        <f t="shared" si="241"/>
        <v>+</v>
      </c>
      <c r="AD411" s="247">
        <f t="shared" si="242"/>
        <v>10</v>
      </c>
      <c r="AE411" s="247"/>
      <c r="AF411" s="248"/>
      <c r="AG411" s="212" t="str">
        <f t="shared" si="236"/>
        <v>10+10</v>
      </c>
      <c r="AH411" s="250">
        <f>'Зона ТоЭс'!L171</f>
        <v>1.3193478260869564</v>
      </c>
      <c r="AI411" s="250">
        <f t="shared" si="227"/>
        <v>7.5193478260869568</v>
      </c>
      <c r="AJ411" s="1973">
        <f t="shared" si="231"/>
        <v>0</v>
      </c>
      <c r="AK411" s="212">
        <f t="shared" si="232"/>
        <v>0</v>
      </c>
      <c r="AL411" s="172">
        <f t="shared" si="243"/>
        <v>7.5193478260869568</v>
      </c>
      <c r="AM411" s="1973">
        <f t="shared" si="233"/>
        <v>0</v>
      </c>
      <c r="AN411" s="883">
        <f t="shared" si="244"/>
        <v>10.5</v>
      </c>
      <c r="AO411" s="250">
        <f t="shared" si="245"/>
        <v>2.9806521739130432</v>
      </c>
      <c r="AP411" s="250">
        <f t="shared" si="226"/>
        <v>2.9806521739130432</v>
      </c>
      <c r="AQ411" s="250" t="str">
        <f t="shared" si="237"/>
        <v>открыт</v>
      </c>
      <c r="AR411" s="2052" t="str">
        <f t="shared" si="234"/>
        <v>открыт</v>
      </c>
      <c r="AS411" s="938">
        <f t="shared" si="246"/>
        <v>71.612836438923409</v>
      </c>
      <c r="AT411" s="1093" t="s">
        <v>96</v>
      </c>
      <c r="AU411" s="1095">
        <v>1968</v>
      </c>
      <c r="AV411" s="1101" t="s">
        <v>3218</v>
      </c>
      <c r="AW411" s="1103">
        <v>57.014514502104603</v>
      </c>
      <c r="AX411" s="1103">
        <v>34.987797025961598</v>
      </c>
    </row>
    <row r="412" spans="1:50" ht="15" customHeight="1" x14ac:dyDescent="0.25">
      <c r="A412" s="2103">
        <v>306</v>
      </c>
      <c r="B412" s="245">
        <v>26</v>
      </c>
      <c r="C412" s="245" t="s">
        <v>271</v>
      </c>
      <c r="D412" s="246">
        <v>25</v>
      </c>
      <c r="E412" s="247" t="s">
        <v>773</v>
      </c>
      <c r="F412" s="247">
        <v>25</v>
      </c>
      <c r="G412" s="247"/>
      <c r="H412" s="248"/>
      <c r="I412" s="229" t="str">
        <f t="shared" si="228"/>
        <v>25+25</v>
      </c>
      <c r="J412" s="997">
        <v>0.4</v>
      </c>
      <c r="K412" s="1429">
        <v>0</v>
      </c>
      <c r="L412" s="1430">
        <v>0</v>
      </c>
      <c r="M412" s="250">
        <f t="shared" si="247"/>
        <v>0.4</v>
      </c>
      <c r="N412" s="172">
        <v>0</v>
      </c>
      <c r="O412" s="880"/>
      <c r="P412" s="883">
        <f t="shared" si="238"/>
        <v>26.25</v>
      </c>
      <c r="Q412" s="250">
        <f t="shared" si="239"/>
        <v>25.85</v>
      </c>
      <c r="R412" s="250">
        <f>Q412</f>
        <v>25.85</v>
      </c>
      <c r="S412" s="245" t="str">
        <f t="shared" si="235"/>
        <v>открыт</v>
      </c>
      <c r="T412" s="2052" t="str">
        <f t="shared" si="229"/>
        <v>открыт</v>
      </c>
      <c r="U412" s="757">
        <f t="shared" si="240"/>
        <v>1.5238095238095237</v>
      </c>
      <c r="V412" s="2254">
        <v>0.56000000000000005</v>
      </c>
      <c r="W412" s="2254" t="s">
        <v>3033</v>
      </c>
      <c r="X412" s="916"/>
      <c r="Y412" s="2103">
        <v>306</v>
      </c>
      <c r="Z412" s="248">
        <v>26</v>
      </c>
      <c r="AA412" s="245" t="s">
        <v>271</v>
      </c>
      <c r="AB412" s="246">
        <f t="shared" si="230"/>
        <v>25</v>
      </c>
      <c r="AC412" s="247" t="str">
        <f t="shared" si="241"/>
        <v>+</v>
      </c>
      <c r="AD412" s="247">
        <f t="shared" si="242"/>
        <v>25</v>
      </c>
      <c r="AE412" s="247"/>
      <c r="AF412" s="248"/>
      <c r="AG412" s="212" t="str">
        <f t="shared" si="236"/>
        <v>25+25</v>
      </c>
      <c r="AH412" s="250">
        <f>'Зона ТоЭс'!L174</f>
        <v>0</v>
      </c>
      <c r="AI412" s="250">
        <f t="shared" si="227"/>
        <v>0.4</v>
      </c>
      <c r="AJ412" s="1973">
        <f t="shared" si="231"/>
        <v>0</v>
      </c>
      <c r="AK412" s="212">
        <f t="shared" si="232"/>
        <v>0</v>
      </c>
      <c r="AL412" s="172">
        <f t="shared" si="243"/>
        <v>0.4</v>
      </c>
      <c r="AM412" s="1973">
        <f t="shared" si="233"/>
        <v>0</v>
      </c>
      <c r="AN412" s="883">
        <f t="shared" si="244"/>
        <v>26.25</v>
      </c>
      <c r="AO412" s="250">
        <f t="shared" si="245"/>
        <v>25.85</v>
      </c>
      <c r="AP412" s="250">
        <f t="shared" si="226"/>
        <v>25.85</v>
      </c>
      <c r="AQ412" s="250" t="str">
        <f t="shared" si="237"/>
        <v>открыт</v>
      </c>
      <c r="AR412" s="2052" t="str">
        <f t="shared" si="234"/>
        <v>открыт</v>
      </c>
      <c r="AS412" s="938">
        <f t="shared" si="246"/>
        <v>1.5238095238095237</v>
      </c>
      <c r="AT412" s="1093" t="s">
        <v>96</v>
      </c>
      <c r="AU412" s="1095">
        <v>1988</v>
      </c>
      <c r="AV412" s="1101" t="s">
        <v>3218</v>
      </c>
      <c r="AW412" s="1103">
        <v>56.9466971165782</v>
      </c>
      <c r="AX412" s="1103">
        <v>34.866265535717403</v>
      </c>
    </row>
    <row r="413" spans="1:50" ht="15" customHeight="1" x14ac:dyDescent="0.25">
      <c r="A413" s="2103">
        <v>307</v>
      </c>
      <c r="B413" s="245">
        <v>27</v>
      </c>
      <c r="C413" s="245" t="s">
        <v>272</v>
      </c>
      <c r="D413" s="246">
        <v>2.5</v>
      </c>
      <c r="E413" s="247" t="s">
        <v>773</v>
      </c>
      <c r="F413" s="247">
        <v>2.5</v>
      </c>
      <c r="G413" s="247"/>
      <c r="H413" s="248"/>
      <c r="I413" s="229" t="str">
        <f t="shared" si="228"/>
        <v>2,5+2,5</v>
      </c>
      <c r="J413" s="997">
        <v>0.56999999999999995</v>
      </c>
      <c r="K413" s="1429">
        <v>0</v>
      </c>
      <c r="L413" s="1430">
        <v>0</v>
      </c>
      <c r="M413" s="250">
        <f t="shared" si="247"/>
        <v>0.56999999999999995</v>
      </c>
      <c r="N413" s="172">
        <v>0</v>
      </c>
      <c r="O413" s="880"/>
      <c r="P413" s="883">
        <f t="shared" si="238"/>
        <v>2.625</v>
      </c>
      <c r="Q413" s="250">
        <f t="shared" ref="Q413:Q435" si="248">P413-M413-N413</f>
        <v>2.0550000000000002</v>
      </c>
      <c r="R413" s="250">
        <f>Q413</f>
        <v>2.0550000000000002</v>
      </c>
      <c r="S413" s="245" t="str">
        <f t="shared" si="235"/>
        <v>открыт</v>
      </c>
      <c r="T413" s="2052" t="str">
        <f t="shared" si="229"/>
        <v>открыт</v>
      </c>
      <c r="U413" s="757">
        <f t="shared" si="240"/>
        <v>21.714285714285712</v>
      </c>
      <c r="V413" s="2254">
        <v>0.5</v>
      </c>
      <c r="W413" s="2254" t="s">
        <v>3033</v>
      </c>
      <c r="X413" s="916"/>
      <c r="Y413" s="2103">
        <v>307</v>
      </c>
      <c r="Z413" s="248">
        <v>27</v>
      </c>
      <c r="AA413" s="245" t="s">
        <v>272</v>
      </c>
      <c r="AB413" s="246">
        <f t="shared" si="230"/>
        <v>2.5</v>
      </c>
      <c r="AC413" s="247" t="str">
        <f t="shared" si="241"/>
        <v>+</v>
      </c>
      <c r="AD413" s="247">
        <f t="shared" si="242"/>
        <v>2.5</v>
      </c>
      <c r="AE413" s="247"/>
      <c r="AF413" s="248"/>
      <c r="AG413" s="212" t="str">
        <f t="shared" si="236"/>
        <v>2,5+2,5</v>
      </c>
      <c r="AH413" s="250">
        <f>'Зона ТоЭс'!L177</f>
        <v>0</v>
      </c>
      <c r="AI413" s="250">
        <f t="shared" si="227"/>
        <v>0.56999999999999995</v>
      </c>
      <c r="AJ413" s="1973">
        <f t="shared" si="231"/>
        <v>0</v>
      </c>
      <c r="AK413" s="212">
        <f t="shared" si="232"/>
        <v>0</v>
      </c>
      <c r="AL413" s="172">
        <f t="shared" si="243"/>
        <v>0.56999999999999995</v>
      </c>
      <c r="AM413" s="1973">
        <f t="shared" si="233"/>
        <v>0</v>
      </c>
      <c r="AN413" s="883">
        <f t="shared" si="244"/>
        <v>2.625</v>
      </c>
      <c r="AO413" s="250">
        <f t="shared" si="245"/>
        <v>2.0550000000000002</v>
      </c>
      <c r="AP413" s="250">
        <f t="shared" si="226"/>
        <v>2.0550000000000002</v>
      </c>
      <c r="AQ413" s="250" t="str">
        <f t="shared" si="237"/>
        <v>открыт</v>
      </c>
      <c r="AR413" s="2052" t="str">
        <f t="shared" si="234"/>
        <v>открыт</v>
      </c>
      <c r="AS413" s="938">
        <f t="shared" si="246"/>
        <v>21.714285714285712</v>
      </c>
      <c r="AT413" s="1093" t="s">
        <v>96</v>
      </c>
      <c r="AU413" s="1095">
        <v>1978</v>
      </c>
      <c r="AV413" s="1101" t="s">
        <v>3218</v>
      </c>
      <c r="AW413" s="1103">
        <v>57.0263069308048</v>
      </c>
      <c r="AX413" s="1103">
        <v>34.638122713710501</v>
      </c>
    </row>
    <row r="414" spans="1:50" ht="15" customHeight="1" x14ac:dyDescent="0.25">
      <c r="A414" s="2103">
        <v>308</v>
      </c>
      <c r="B414" s="245">
        <v>28</v>
      </c>
      <c r="C414" s="245" t="s">
        <v>273</v>
      </c>
      <c r="D414" s="246">
        <v>6.3</v>
      </c>
      <c r="E414" s="247" t="s">
        <v>773</v>
      </c>
      <c r="F414" s="247">
        <v>6.3</v>
      </c>
      <c r="G414" s="247"/>
      <c r="H414" s="248"/>
      <c r="I414" s="229" t="str">
        <f t="shared" si="228"/>
        <v>6,3+6,3</v>
      </c>
      <c r="J414" s="997">
        <v>2.86</v>
      </c>
      <c r="K414" s="1429">
        <v>0</v>
      </c>
      <c r="L414" s="1430">
        <v>0</v>
      </c>
      <c r="M414" s="250">
        <f t="shared" si="247"/>
        <v>2.86</v>
      </c>
      <c r="N414" s="172">
        <v>0</v>
      </c>
      <c r="O414" s="880"/>
      <c r="P414" s="883">
        <f t="shared" si="238"/>
        <v>6.6150000000000002</v>
      </c>
      <c r="Q414" s="250">
        <f t="shared" si="248"/>
        <v>3.7550000000000003</v>
      </c>
      <c r="R414" s="250">
        <f>Q414</f>
        <v>3.7550000000000003</v>
      </c>
      <c r="S414" s="245" t="str">
        <f t="shared" si="235"/>
        <v>открыт</v>
      </c>
      <c r="T414" s="2052" t="str">
        <f t="shared" si="229"/>
        <v>открыт</v>
      </c>
      <c r="U414" s="757">
        <f t="shared" si="240"/>
        <v>43.235071806500379</v>
      </c>
      <c r="V414" s="2254">
        <v>0.28000000000000003</v>
      </c>
      <c r="W414" s="2254" t="s">
        <v>3033</v>
      </c>
      <c r="X414" s="916"/>
      <c r="Y414" s="2103">
        <v>308</v>
      </c>
      <c r="Z414" s="248">
        <v>28</v>
      </c>
      <c r="AA414" s="245" t="s">
        <v>273</v>
      </c>
      <c r="AB414" s="246">
        <f t="shared" si="230"/>
        <v>6.3</v>
      </c>
      <c r="AC414" s="247" t="str">
        <f t="shared" si="241"/>
        <v>+</v>
      </c>
      <c r="AD414" s="247">
        <f t="shared" si="242"/>
        <v>6.3</v>
      </c>
      <c r="AE414" s="247"/>
      <c r="AF414" s="248"/>
      <c r="AG414" s="212" t="str">
        <f t="shared" si="236"/>
        <v>6,3+6,3</v>
      </c>
      <c r="AH414" s="250">
        <f>'Зона ТоЭс'!L195</f>
        <v>0.76115217391304357</v>
      </c>
      <c r="AI414" s="250">
        <f t="shared" si="227"/>
        <v>3.6211521739130434</v>
      </c>
      <c r="AJ414" s="1973">
        <f t="shared" si="231"/>
        <v>0</v>
      </c>
      <c r="AK414" s="212">
        <f t="shared" si="232"/>
        <v>0</v>
      </c>
      <c r="AL414" s="172">
        <f t="shared" si="243"/>
        <v>3.6211521739130434</v>
      </c>
      <c r="AM414" s="1973">
        <f t="shared" si="233"/>
        <v>0</v>
      </c>
      <c r="AN414" s="883">
        <f t="shared" si="244"/>
        <v>6.6150000000000002</v>
      </c>
      <c r="AO414" s="250">
        <f t="shared" si="245"/>
        <v>2.9938478260869568</v>
      </c>
      <c r="AP414" s="250">
        <f t="shared" si="226"/>
        <v>2.9938478260869568</v>
      </c>
      <c r="AQ414" s="250" t="str">
        <f t="shared" si="237"/>
        <v>открыт</v>
      </c>
      <c r="AR414" s="2052" t="str">
        <f t="shared" si="234"/>
        <v>открыт</v>
      </c>
      <c r="AS414" s="938">
        <f t="shared" si="246"/>
        <v>54.74152946202635</v>
      </c>
      <c r="AT414" s="1093" t="s">
        <v>96</v>
      </c>
      <c r="AU414" s="1095">
        <v>1967</v>
      </c>
      <c r="AV414" s="1101" t="s">
        <v>3218</v>
      </c>
      <c r="AW414" s="1103">
        <v>56.899474218355699</v>
      </c>
      <c r="AX414" s="1103">
        <v>32.731618663198198</v>
      </c>
    </row>
    <row r="415" spans="1:50" ht="15" customHeight="1" x14ac:dyDescent="0.25">
      <c r="A415" s="2419">
        <v>309</v>
      </c>
      <c r="B415" s="2442">
        <v>29</v>
      </c>
      <c r="C415" s="245" t="s">
        <v>274</v>
      </c>
      <c r="D415" s="246">
        <v>40</v>
      </c>
      <c r="E415" s="247" t="s">
        <v>773</v>
      </c>
      <c r="F415" s="247">
        <v>40</v>
      </c>
      <c r="G415" s="247"/>
      <c r="H415" s="248"/>
      <c r="I415" s="229" t="str">
        <f t="shared" si="228"/>
        <v>40+40</v>
      </c>
      <c r="J415" s="997">
        <v>19.41</v>
      </c>
      <c r="K415" s="1429">
        <v>5.08</v>
      </c>
      <c r="L415" s="1430">
        <v>120</v>
      </c>
      <c r="M415" s="250">
        <f t="shared" si="247"/>
        <v>14.33</v>
      </c>
      <c r="N415" s="172">
        <v>0</v>
      </c>
      <c r="O415" s="880"/>
      <c r="P415" s="883">
        <f>MIN(D415:F415)*1.05</f>
        <v>42</v>
      </c>
      <c r="Q415" s="250">
        <f t="shared" si="248"/>
        <v>27.67</v>
      </c>
      <c r="R415" s="2448">
        <f>MIN(Q415:Q417)</f>
        <v>27.67</v>
      </c>
      <c r="S415" s="2398" t="str">
        <f>T415</f>
        <v>открыт</v>
      </c>
      <c r="T415" s="2052" t="str">
        <f t="shared" si="229"/>
        <v>открыт</v>
      </c>
      <c r="U415" s="2398">
        <f t="shared" si="240"/>
        <v>46.214285714285715</v>
      </c>
      <c r="V415" s="2398">
        <v>0.38</v>
      </c>
      <c r="W415" s="2398" t="s">
        <v>3033</v>
      </c>
      <c r="X415" s="916"/>
      <c r="Y415" s="2419">
        <v>309</v>
      </c>
      <c r="Z415" s="2422">
        <v>29</v>
      </c>
      <c r="AA415" s="245" t="s">
        <v>274</v>
      </c>
      <c r="AB415" s="246">
        <f t="shared" si="230"/>
        <v>40</v>
      </c>
      <c r="AC415" s="247" t="str">
        <f t="shared" si="241"/>
        <v>+</v>
      </c>
      <c r="AD415" s="247">
        <f t="shared" si="242"/>
        <v>40</v>
      </c>
      <c r="AE415" s="247"/>
      <c r="AF415" s="248"/>
      <c r="AG415" s="212" t="str">
        <f t="shared" si="236"/>
        <v>40+40</v>
      </c>
      <c r="AH415" s="250">
        <f>SUM(AH416:AH417)</f>
        <v>2.2013516830294533</v>
      </c>
      <c r="AI415" s="250">
        <f t="shared" si="227"/>
        <v>21.611351683029454</v>
      </c>
      <c r="AJ415" s="1973">
        <f t="shared" si="231"/>
        <v>5.08</v>
      </c>
      <c r="AK415" s="212">
        <f t="shared" si="232"/>
        <v>120</v>
      </c>
      <c r="AL415" s="172">
        <f t="shared" si="243"/>
        <v>16.531351683029456</v>
      </c>
      <c r="AM415" s="1973">
        <f t="shared" si="233"/>
        <v>0</v>
      </c>
      <c r="AN415" s="883">
        <f t="shared" si="244"/>
        <v>42</v>
      </c>
      <c r="AO415" s="250">
        <f t="shared" si="245"/>
        <v>25.468648316970544</v>
      </c>
      <c r="AP415" s="2431">
        <f>MIN(AO415:AO417)</f>
        <v>25.468648316970544</v>
      </c>
      <c r="AQ415" s="2431" t="str">
        <f t="shared" si="237"/>
        <v>открыт</v>
      </c>
      <c r="AR415" s="2052" t="str">
        <f t="shared" si="234"/>
        <v>открыт</v>
      </c>
      <c r="AS415" s="2449">
        <f t="shared" si="246"/>
        <v>51.455599245308221</v>
      </c>
      <c r="AT415" s="1094" t="s">
        <v>96</v>
      </c>
      <c r="AU415" s="1095">
        <v>1964</v>
      </c>
      <c r="AV415" s="1101" t="s">
        <v>3218</v>
      </c>
      <c r="AW415" s="1103">
        <v>57.074295205234499</v>
      </c>
      <c r="AX415" s="1103">
        <v>35.000555290347997</v>
      </c>
    </row>
    <row r="416" spans="1:50" ht="15" customHeight="1" x14ac:dyDescent="0.25">
      <c r="A416" s="2419"/>
      <c r="B416" s="2442"/>
      <c r="C416" s="245" t="s">
        <v>1768</v>
      </c>
      <c r="D416" s="246">
        <v>40</v>
      </c>
      <c r="E416" s="247" t="s">
        <v>773</v>
      </c>
      <c r="F416" s="247">
        <v>40</v>
      </c>
      <c r="G416" s="247"/>
      <c r="H416" s="248"/>
      <c r="I416" s="229" t="str">
        <f t="shared" si="228"/>
        <v>40+40</v>
      </c>
      <c r="J416" s="997">
        <v>6.58</v>
      </c>
      <c r="K416" s="1429">
        <v>5.08</v>
      </c>
      <c r="L416" s="1430">
        <v>120</v>
      </c>
      <c r="M416" s="250">
        <f t="shared" si="247"/>
        <v>1.5</v>
      </c>
      <c r="N416" s="172">
        <v>0</v>
      </c>
      <c r="O416" s="880"/>
      <c r="P416" s="883">
        <f t="shared" si="238"/>
        <v>42</v>
      </c>
      <c r="Q416" s="250">
        <f t="shared" si="248"/>
        <v>40.5</v>
      </c>
      <c r="R416" s="2448"/>
      <c r="S416" s="2399"/>
      <c r="T416" s="2052" t="str">
        <f t="shared" si="229"/>
        <v>открыт</v>
      </c>
      <c r="U416" s="2399"/>
      <c r="V416" s="2399"/>
      <c r="W416" s="2399" t="s">
        <v>3033</v>
      </c>
      <c r="X416" s="916"/>
      <c r="Y416" s="2419"/>
      <c r="Z416" s="2422"/>
      <c r="AA416" s="245" t="s">
        <v>1768</v>
      </c>
      <c r="AB416" s="246">
        <f t="shared" si="230"/>
        <v>40</v>
      </c>
      <c r="AC416" s="247" t="str">
        <f t="shared" si="241"/>
        <v>+</v>
      </c>
      <c r="AD416" s="247">
        <f t="shared" si="242"/>
        <v>40</v>
      </c>
      <c r="AE416" s="247"/>
      <c r="AF416" s="248"/>
      <c r="AG416" s="212" t="str">
        <f t="shared" si="236"/>
        <v>40+40</v>
      </c>
      <c r="AH416" s="250">
        <f>SUM(AH400+AH401+AH402+AH403+AH404)</f>
        <v>1.535264726507714</v>
      </c>
      <c r="AI416" s="250">
        <f t="shared" si="227"/>
        <v>8.1152647265077142</v>
      </c>
      <c r="AJ416" s="1973">
        <f t="shared" si="231"/>
        <v>5.08</v>
      </c>
      <c r="AK416" s="212">
        <f t="shared" si="232"/>
        <v>120</v>
      </c>
      <c r="AL416" s="172">
        <f t="shared" si="243"/>
        <v>3.0352647265077142</v>
      </c>
      <c r="AM416" s="1973">
        <f t="shared" si="233"/>
        <v>0</v>
      </c>
      <c r="AN416" s="883">
        <f t="shared" si="244"/>
        <v>42</v>
      </c>
      <c r="AO416" s="250">
        <f t="shared" si="245"/>
        <v>38.964735273492288</v>
      </c>
      <c r="AP416" s="2432"/>
      <c r="AQ416" s="2432" t="str">
        <f t="shared" si="237"/>
        <v>открыт</v>
      </c>
      <c r="AR416" s="2052" t="str">
        <f t="shared" si="234"/>
        <v>открыт</v>
      </c>
      <c r="AS416" s="2450"/>
      <c r="AT416" s="1094" t="s">
        <v>96</v>
      </c>
      <c r="AU416" s="1095">
        <v>1964</v>
      </c>
      <c r="AV416" s="1101" t="s">
        <v>3218</v>
      </c>
      <c r="AW416" s="1103">
        <v>57.074295205234499</v>
      </c>
      <c r="AX416" s="1103">
        <v>35.000555290347997</v>
      </c>
    </row>
    <row r="417" spans="1:50" ht="15" customHeight="1" x14ac:dyDescent="0.25">
      <c r="A417" s="2419"/>
      <c r="B417" s="2442"/>
      <c r="C417" s="245" t="s">
        <v>1767</v>
      </c>
      <c r="D417" s="246">
        <v>40</v>
      </c>
      <c r="E417" s="247" t="s">
        <v>773</v>
      </c>
      <c r="F417" s="247">
        <v>40</v>
      </c>
      <c r="G417" s="247"/>
      <c r="H417" s="248"/>
      <c r="I417" s="229" t="str">
        <f t="shared" si="228"/>
        <v>40+40</v>
      </c>
      <c r="J417" s="997">
        <v>12.83</v>
      </c>
      <c r="K417" s="1429">
        <v>0</v>
      </c>
      <c r="L417" s="1430">
        <v>0</v>
      </c>
      <c r="M417" s="250">
        <f t="shared" si="247"/>
        <v>12.83</v>
      </c>
      <c r="N417" s="172">
        <v>0</v>
      </c>
      <c r="O417" s="880"/>
      <c r="P417" s="883">
        <f t="shared" si="238"/>
        <v>42</v>
      </c>
      <c r="Q417" s="250">
        <f t="shared" si="248"/>
        <v>29.17</v>
      </c>
      <c r="R417" s="2448"/>
      <c r="S417" s="2399"/>
      <c r="T417" s="2052" t="str">
        <f t="shared" si="229"/>
        <v>открыт</v>
      </c>
      <c r="U417" s="2399"/>
      <c r="V417" s="2399"/>
      <c r="W417" s="2399" t="s">
        <v>3033</v>
      </c>
      <c r="X417" s="916"/>
      <c r="Y417" s="2419"/>
      <c r="Z417" s="2422"/>
      <c r="AA417" s="245" t="s">
        <v>1767</v>
      </c>
      <c r="AB417" s="246">
        <f t="shared" si="230"/>
        <v>40</v>
      </c>
      <c r="AC417" s="247" t="str">
        <f t="shared" si="241"/>
        <v>+</v>
      </c>
      <c r="AD417" s="247">
        <f t="shared" si="242"/>
        <v>40</v>
      </c>
      <c r="AE417" s="247"/>
      <c r="AF417" s="248"/>
      <c r="AG417" s="212" t="str">
        <f t="shared" si="236"/>
        <v>40+40</v>
      </c>
      <c r="AH417" s="250">
        <f>'Зона ТоЭс'!L208</f>
        <v>0.6660869565217391</v>
      </c>
      <c r="AI417" s="250">
        <f t="shared" si="227"/>
        <v>13.49608695652174</v>
      </c>
      <c r="AJ417" s="1973">
        <f t="shared" si="231"/>
        <v>0</v>
      </c>
      <c r="AK417" s="212">
        <f t="shared" si="232"/>
        <v>0</v>
      </c>
      <c r="AL417" s="172">
        <f t="shared" si="243"/>
        <v>13.49608695652174</v>
      </c>
      <c r="AM417" s="1973">
        <f t="shared" si="233"/>
        <v>0</v>
      </c>
      <c r="AN417" s="883">
        <f t="shared" si="244"/>
        <v>42</v>
      </c>
      <c r="AO417" s="250">
        <f t="shared" si="245"/>
        <v>28.50391304347826</v>
      </c>
      <c r="AP417" s="2433"/>
      <c r="AQ417" s="2433" t="str">
        <f t="shared" si="237"/>
        <v>открыт</v>
      </c>
      <c r="AR417" s="2052" t="str">
        <f t="shared" si="234"/>
        <v>открыт</v>
      </c>
      <c r="AS417" s="2451"/>
      <c r="AT417" s="1094" t="s">
        <v>96</v>
      </c>
      <c r="AU417" s="1095">
        <v>1964</v>
      </c>
      <c r="AV417" s="1101" t="s">
        <v>3218</v>
      </c>
      <c r="AW417" s="1103">
        <v>57.074295205234499</v>
      </c>
      <c r="AX417" s="1103">
        <v>35.000555290347997</v>
      </c>
    </row>
    <row r="418" spans="1:50" ht="15" customHeight="1" x14ac:dyDescent="0.25">
      <c r="A418" s="2419">
        <v>310</v>
      </c>
      <c r="B418" s="2442">
        <v>30</v>
      </c>
      <c r="C418" s="245" t="s">
        <v>275</v>
      </c>
      <c r="D418" s="246">
        <v>25</v>
      </c>
      <c r="E418" s="247" t="s">
        <v>773</v>
      </c>
      <c r="F418" s="247">
        <v>25</v>
      </c>
      <c r="G418" s="247"/>
      <c r="H418" s="248"/>
      <c r="I418" s="229" t="str">
        <f t="shared" si="228"/>
        <v>25+25</v>
      </c>
      <c r="J418" s="997">
        <v>9.27</v>
      </c>
      <c r="K418" s="1429">
        <v>0.37</v>
      </c>
      <c r="L418" s="1430">
        <v>120</v>
      </c>
      <c r="M418" s="250">
        <f t="shared" si="247"/>
        <v>8.9</v>
      </c>
      <c r="N418" s="172">
        <v>0</v>
      </c>
      <c r="O418" s="880"/>
      <c r="P418" s="883">
        <f t="shared" si="238"/>
        <v>26.25</v>
      </c>
      <c r="Q418" s="250">
        <f t="shared" si="248"/>
        <v>17.350000000000001</v>
      </c>
      <c r="R418" s="2431">
        <f>MIN(Q418:Q420)</f>
        <v>17.350000000000001</v>
      </c>
      <c r="S418" s="2398" t="str">
        <f t="shared" si="235"/>
        <v>открыт</v>
      </c>
      <c r="T418" s="2052" t="str">
        <f t="shared" si="229"/>
        <v>открыт</v>
      </c>
      <c r="U418" s="2398">
        <f>(J418*100)/P418</f>
        <v>35.314285714285717</v>
      </c>
      <c r="V418" s="2398">
        <v>0.28999999999999998</v>
      </c>
      <c r="W418" s="2398" t="s">
        <v>3033</v>
      </c>
      <c r="X418" s="916"/>
      <c r="Y418" s="2419">
        <v>310</v>
      </c>
      <c r="Z418" s="2422">
        <v>30</v>
      </c>
      <c r="AA418" s="245" t="s">
        <v>275</v>
      </c>
      <c r="AB418" s="246">
        <f t="shared" si="230"/>
        <v>25</v>
      </c>
      <c r="AC418" s="247" t="str">
        <f t="shared" si="241"/>
        <v>+</v>
      </c>
      <c r="AD418" s="247">
        <f t="shared" si="242"/>
        <v>25</v>
      </c>
      <c r="AE418" s="247"/>
      <c r="AF418" s="248"/>
      <c r="AG418" s="212" t="str">
        <f t="shared" si="236"/>
        <v>25+25</v>
      </c>
      <c r="AH418" s="250">
        <f>SUM(AH419:AH420)</f>
        <v>1.739782608695652</v>
      </c>
      <c r="AI418" s="250">
        <f t="shared" si="227"/>
        <v>11.009782608695652</v>
      </c>
      <c r="AJ418" s="1973">
        <f t="shared" si="231"/>
        <v>0.37</v>
      </c>
      <c r="AK418" s="212">
        <f t="shared" si="232"/>
        <v>120</v>
      </c>
      <c r="AL418" s="172">
        <f t="shared" si="243"/>
        <v>10.639782608695652</v>
      </c>
      <c r="AM418" s="1973">
        <f t="shared" si="233"/>
        <v>0</v>
      </c>
      <c r="AN418" s="883">
        <f t="shared" si="244"/>
        <v>26.25</v>
      </c>
      <c r="AO418" s="250">
        <f t="shared" si="245"/>
        <v>15.610217391304348</v>
      </c>
      <c r="AP418" s="2431">
        <f>MIN(AO418:AO420)</f>
        <v>15.610217391304348</v>
      </c>
      <c r="AQ418" s="2431" t="str">
        <f t="shared" si="237"/>
        <v>открыт</v>
      </c>
      <c r="AR418" s="2052" t="str">
        <f t="shared" si="234"/>
        <v>открыт</v>
      </c>
      <c r="AS418" s="2449">
        <f>(AI418*100)/AN418</f>
        <v>41.94202898550725</v>
      </c>
      <c r="AT418" s="1094" t="s">
        <v>96</v>
      </c>
      <c r="AU418" s="1095">
        <v>1979</v>
      </c>
      <c r="AV418" s="1101" t="s">
        <v>3218</v>
      </c>
      <c r="AW418" s="1103">
        <v>57.0221461517501</v>
      </c>
      <c r="AX418" s="1103">
        <v>34.952349550117397</v>
      </c>
    </row>
    <row r="419" spans="1:50" ht="15" customHeight="1" x14ac:dyDescent="0.25">
      <c r="A419" s="2419"/>
      <c r="B419" s="2442"/>
      <c r="C419" s="245" t="s">
        <v>1768</v>
      </c>
      <c r="D419" s="246">
        <v>25</v>
      </c>
      <c r="E419" s="247" t="s">
        <v>773</v>
      </c>
      <c r="F419" s="247">
        <v>25</v>
      </c>
      <c r="G419" s="247"/>
      <c r="H419" s="248"/>
      <c r="I419" s="229" t="str">
        <f t="shared" si="228"/>
        <v>25+25</v>
      </c>
      <c r="J419" s="997">
        <v>0.37</v>
      </c>
      <c r="K419" s="1429">
        <v>0.37</v>
      </c>
      <c r="L419" s="1430">
        <v>120</v>
      </c>
      <c r="M419" s="250">
        <f t="shared" si="247"/>
        <v>0</v>
      </c>
      <c r="N419" s="172">
        <v>0</v>
      </c>
      <c r="O419" s="880"/>
      <c r="P419" s="883">
        <f t="shared" si="238"/>
        <v>26.25</v>
      </c>
      <c r="Q419" s="250">
        <f t="shared" si="248"/>
        <v>26.25</v>
      </c>
      <c r="R419" s="2432"/>
      <c r="S419" s="2399" t="str">
        <f t="shared" si="235"/>
        <v>открыт</v>
      </c>
      <c r="T419" s="2052" t="str">
        <f t="shared" si="229"/>
        <v>открыт</v>
      </c>
      <c r="U419" s="2399"/>
      <c r="V419" s="2399"/>
      <c r="W419" s="2399" t="s">
        <v>3033</v>
      </c>
      <c r="X419" s="916"/>
      <c r="Y419" s="2419"/>
      <c r="Z419" s="2422"/>
      <c r="AA419" s="245" t="s">
        <v>1768</v>
      </c>
      <c r="AB419" s="246">
        <f t="shared" si="230"/>
        <v>25</v>
      </c>
      <c r="AC419" s="247" t="str">
        <f t="shared" si="241"/>
        <v>+</v>
      </c>
      <c r="AD419" s="247">
        <f t="shared" si="242"/>
        <v>25</v>
      </c>
      <c r="AE419" s="247"/>
      <c r="AF419" s="248"/>
      <c r="AG419" s="212" t="str">
        <f t="shared" si="236"/>
        <v>25+25</v>
      </c>
      <c r="AH419" s="250">
        <f>SUM(AH387+AH388)</f>
        <v>1.0271739130434783</v>
      </c>
      <c r="AI419" s="250">
        <f t="shared" si="227"/>
        <v>1.3971739130434782</v>
      </c>
      <c r="AJ419" s="1973">
        <f t="shared" si="231"/>
        <v>0.37</v>
      </c>
      <c r="AK419" s="212">
        <f t="shared" si="232"/>
        <v>120</v>
      </c>
      <c r="AL419" s="172">
        <f t="shared" si="243"/>
        <v>1.027173913043478</v>
      </c>
      <c r="AM419" s="1973">
        <f t="shared" si="233"/>
        <v>0</v>
      </c>
      <c r="AN419" s="883">
        <f t="shared" si="244"/>
        <v>26.25</v>
      </c>
      <c r="AO419" s="250">
        <f t="shared" si="245"/>
        <v>25.222826086956523</v>
      </c>
      <c r="AP419" s="2432"/>
      <c r="AQ419" s="2432" t="str">
        <f t="shared" si="237"/>
        <v>открыт</v>
      </c>
      <c r="AR419" s="2052" t="str">
        <f t="shared" si="234"/>
        <v>открыт</v>
      </c>
      <c r="AS419" s="2450"/>
      <c r="AT419" s="1094" t="s">
        <v>96</v>
      </c>
      <c r="AU419" s="1095">
        <v>1979</v>
      </c>
      <c r="AV419" s="1101" t="s">
        <v>3218</v>
      </c>
      <c r="AW419" s="1103">
        <v>57.0221461517501</v>
      </c>
      <c r="AX419" s="1103">
        <v>34.952349550117397</v>
      </c>
    </row>
    <row r="420" spans="1:50" ht="15" customHeight="1" x14ac:dyDescent="0.25">
      <c r="A420" s="2419"/>
      <c r="B420" s="2442"/>
      <c r="C420" s="245" t="s">
        <v>1767</v>
      </c>
      <c r="D420" s="246">
        <v>25</v>
      </c>
      <c r="E420" s="247" t="s">
        <v>773</v>
      </c>
      <c r="F420" s="247">
        <v>25</v>
      </c>
      <c r="G420" s="247"/>
      <c r="H420" s="248"/>
      <c r="I420" s="229" t="str">
        <f t="shared" si="228"/>
        <v>25+25</v>
      </c>
      <c r="J420" s="997">
        <v>8.9</v>
      </c>
      <c r="K420" s="1429">
        <v>0</v>
      </c>
      <c r="L420" s="1430">
        <v>0</v>
      </c>
      <c r="M420" s="250">
        <f t="shared" si="247"/>
        <v>8.9</v>
      </c>
      <c r="N420" s="172">
        <v>0</v>
      </c>
      <c r="O420" s="880"/>
      <c r="P420" s="883">
        <f t="shared" si="238"/>
        <v>26.25</v>
      </c>
      <c r="Q420" s="250">
        <f t="shared" si="248"/>
        <v>17.350000000000001</v>
      </c>
      <c r="R420" s="2433"/>
      <c r="S420" s="2399" t="str">
        <f t="shared" si="235"/>
        <v>открыт</v>
      </c>
      <c r="T420" s="2052" t="str">
        <f t="shared" si="229"/>
        <v>открыт</v>
      </c>
      <c r="U420" s="2399"/>
      <c r="V420" s="2399"/>
      <c r="W420" s="2399" t="s">
        <v>3033</v>
      </c>
      <c r="X420" s="916"/>
      <c r="Y420" s="2419"/>
      <c r="Z420" s="2422"/>
      <c r="AA420" s="245" t="s">
        <v>1767</v>
      </c>
      <c r="AB420" s="246">
        <f t="shared" si="230"/>
        <v>25</v>
      </c>
      <c r="AC420" s="247" t="str">
        <f t="shared" si="241"/>
        <v>+</v>
      </c>
      <c r="AD420" s="247">
        <f t="shared" si="242"/>
        <v>25</v>
      </c>
      <c r="AE420" s="247"/>
      <c r="AF420" s="248"/>
      <c r="AG420" s="212" t="str">
        <f t="shared" si="236"/>
        <v>25+25</v>
      </c>
      <c r="AH420" s="250">
        <f>'Зона ТоЭс'!L222</f>
        <v>0.71260869565217388</v>
      </c>
      <c r="AI420" s="250">
        <f t="shared" si="227"/>
        <v>9.6126086956521739</v>
      </c>
      <c r="AJ420" s="1973">
        <f t="shared" si="231"/>
        <v>0</v>
      </c>
      <c r="AK420" s="212">
        <f t="shared" si="232"/>
        <v>0</v>
      </c>
      <c r="AL420" s="172">
        <f t="shared" si="243"/>
        <v>9.6126086956521739</v>
      </c>
      <c r="AM420" s="1973">
        <f t="shared" si="233"/>
        <v>0</v>
      </c>
      <c r="AN420" s="883">
        <f t="shared" si="244"/>
        <v>26.25</v>
      </c>
      <c r="AO420" s="250">
        <f t="shared" si="245"/>
        <v>16.637391304347826</v>
      </c>
      <c r="AP420" s="2433"/>
      <c r="AQ420" s="2433" t="str">
        <f t="shared" si="237"/>
        <v>открыт</v>
      </c>
      <c r="AR420" s="2052" t="str">
        <f t="shared" si="234"/>
        <v>открыт</v>
      </c>
      <c r="AS420" s="2451"/>
      <c r="AT420" s="1094" t="s">
        <v>96</v>
      </c>
      <c r="AU420" s="1095">
        <v>1979</v>
      </c>
      <c r="AV420" s="1101" t="s">
        <v>3218</v>
      </c>
      <c r="AW420" s="1103">
        <v>57.0221461517501</v>
      </c>
      <c r="AX420" s="1103">
        <v>34.952349550117397</v>
      </c>
    </row>
    <row r="421" spans="1:50" ht="15" customHeight="1" x14ac:dyDescent="0.25">
      <c r="A421" s="2419">
        <v>311</v>
      </c>
      <c r="B421" s="2442">
        <v>31</v>
      </c>
      <c r="C421" s="245" t="s">
        <v>276</v>
      </c>
      <c r="D421" s="246">
        <v>40</v>
      </c>
      <c r="E421" s="247" t="s">
        <v>773</v>
      </c>
      <c r="F421" s="247">
        <v>25</v>
      </c>
      <c r="G421" s="247"/>
      <c r="H421" s="248"/>
      <c r="I421" s="229" t="str">
        <f t="shared" si="228"/>
        <v>40+25</v>
      </c>
      <c r="J421" s="997">
        <v>25.409999999999997</v>
      </c>
      <c r="K421" s="1429">
        <v>1.85</v>
      </c>
      <c r="L421" s="1430">
        <v>120</v>
      </c>
      <c r="M421" s="250">
        <f t="shared" si="247"/>
        <v>23.559999999999995</v>
      </c>
      <c r="N421" s="172">
        <v>0</v>
      </c>
      <c r="O421" s="880"/>
      <c r="P421" s="883">
        <f t="shared" si="238"/>
        <v>26.25</v>
      </c>
      <c r="Q421" s="250">
        <f t="shared" si="248"/>
        <v>2.6900000000000048</v>
      </c>
      <c r="R421" s="2431">
        <f>MIN(Q421:Q423)</f>
        <v>2.6900000000000048</v>
      </c>
      <c r="S421" s="2398" t="str">
        <f t="shared" si="235"/>
        <v>открыт</v>
      </c>
      <c r="T421" s="2052" t="str">
        <f t="shared" si="229"/>
        <v>открыт</v>
      </c>
      <c r="U421" s="2398">
        <f>(J421*100)/P421</f>
        <v>96.799999999999983</v>
      </c>
      <c r="V421" s="2398">
        <v>0.47</v>
      </c>
      <c r="W421" s="2398" t="s">
        <v>3033</v>
      </c>
      <c r="X421" s="916"/>
      <c r="Y421" s="2419">
        <v>311</v>
      </c>
      <c r="Z421" s="2422">
        <v>31</v>
      </c>
      <c r="AA421" s="245" t="s">
        <v>276</v>
      </c>
      <c r="AB421" s="246">
        <f t="shared" si="230"/>
        <v>40</v>
      </c>
      <c r="AC421" s="247" t="str">
        <f t="shared" si="241"/>
        <v>+</v>
      </c>
      <c r="AD421" s="247">
        <f t="shared" si="242"/>
        <v>25</v>
      </c>
      <c r="AE421" s="247"/>
      <c r="AF421" s="248"/>
      <c r="AG421" s="212" t="str">
        <f t="shared" si="236"/>
        <v>40+25</v>
      </c>
      <c r="AH421" s="250">
        <f>SUM(AH422:AH423)</f>
        <v>14.67391304347826</v>
      </c>
      <c r="AI421" s="250">
        <f t="shared" si="227"/>
        <v>40.083913043478255</v>
      </c>
      <c r="AJ421" s="1973">
        <f t="shared" si="231"/>
        <v>1.85</v>
      </c>
      <c r="AK421" s="212">
        <f t="shared" si="232"/>
        <v>120</v>
      </c>
      <c r="AL421" s="172">
        <f t="shared" si="243"/>
        <v>38.233913043478253</v>
      </c>
      <c r="AM421" s="1973">
        <f t="shared" si="233"/>
        <v>0</v>
      </c>
      <c r="AN421" s="883">
        <f t="shared" si="244"/>
        <v>26.25</v>
      </c>
      <c r="AO421" s="250">
        <f t="shared" si="245"/>
        <v>-11.983913043478253</v>
      </c>
      <c r="AP421" s="2431">
        <f>MIN(AO421:AO423)</f>
        <v>-11.983913043478253</v>
      </c>
      <c r="AQ421" s="2431" t="str">
        <f>AR421</f>
        <v>закрыт</v>
      </c>
      <c r="AR421" s="2052" t="str">
        <f t="shared" si="234"/>
        <v>закрыт</v>
      </c>
      <c r="AS421" s="2449">
        <f>(AI421*100)/AN421</f>
        <v>152.70062111801241</v>
      </c>
      <c r="AT421" s="1094" t="s">
        <v>96</v>
      </c>
      <c r="AU421" s="1095">
        <v>1983</v>
      </c>
      <c r="AV421" s="1101">
        <v>2012</v>
      </c>
      <c r="AW421" s="1103">
        <v>57.007873237507198</v>
      </c>
      <c r="AX421" s="1103">
        <v>34.173895079503602</v>
      </c>
    </row>
    <row r="422" spans="1:50" ht="15" customHeight="1" x14ac:dyDescent="0.25">
      <c r="A422" s="2419"/>
      <c r="B422" s="2442"/>
      <c r="C422" s="245" t="s">
        <v>1768</v>
      </c>
      <c r="D422" s="246">
        <v>40</v>
      </c>
      <c r="E422" s="247" t="s">
        <v>773</v>
      </c>
      <c r="F422" s="247">
        <v>25</v>
      </c>
      <c r="G422" s="247"/>
      <c r="H422" s="248"/>
      <c r="I422" s="229" t="str">
        <f t="shared" si="228"/>
        <v>40+25</v>
      </c>
      <c r="J422" s="997">
        <v>2.76</v>
      </c>
      <c r="K422" s="1429">
        <v>1.85</v>
      </c>
      <c r="L422" s="1430">
        <v>120</v>
      </c>
      <c r="M422" s="250">
        <f t="shared" si="247"/>
        <v>0.9099999999999997</v>
      </c>
      <c r="N422" s="172">
        <v>0</v>
      </c>
      <c r="O422" s="880"/>
      <c r="P422" s="883">
        <f t="shared" si="238"/>
        <v>26.25</v>
      </c>
      <c r="Q422" s="250">
        <f t="shared" si="248"/>
        <v>25.34</v>
      </c>
      <c r="R422" s="2432"/>
      <c r="S422" s="2399" t="str">
        <f t="shared" si="235"/>
        <v>открыт</v>
      </c>
      <c r="T422" s="2052" t="str">
        <f t="shared" si="229"/>
        <v>открыт</v>
      </c>
      <c r="U422" s="2399"/>
      <c r="V422" s="2399"/>
      <c r="W422" s="2399" t="s">
        <v>3033</v>
      </c>
      <c r="X422" s="916"/>
      <c r="Y422" s="2419"/>
      <c r="Z422" s="2422"/>
      <c r="AA422" s="1985" t="s">
        <v>1768</v>
      </c>
      <c r="AB422" s="1986">
        <f t="shared" si="230"/>
        <v>40</v>
      </c>
      <c r="AC422" s="1987" t="str">
        <f t="shared" si="241"/>
        <v>+</v>
      </c>
      <c r="AD422" s="1987">
        <f t="shared" si="242"/>
        <v>25</v>
      </c>
      <c r="AE422" s="1987"/>
      <c r="AF422" s="1988"/>
      <c r="AG422" s="1983" t="str">
        <f t="shared" si="236"/>
        <v>40+25</v>
      </c>
      <c r="AH422" s="1989">
        <f>SUM(AH390+AH391)</f>
        <v>0</v>
      </c>
      <c r="AI422" s="1989">
        <f t="shared" si="227"/>
        <v>2.76</v>
      </c>
      <c r="AJ422" s="1981">
        <f t="shared" si="231"/>
        <v>1.85</v>
      </c>
      <c r="AK422" s="1983">
        <f t="shared" si="232"/>
        <v>120</v>
      </c>
      <c r="AL422" s="1981">
        <f t="shared" si="243"/>
        <v>0.9099999999999997</v>
      </c>
      <c r="AM422" s="1981">
        <f t="shared" si="233"/>
        <v>0</v>
      </c>
      <c r="AN422" s="1990">
        <f t="shared" si="244"/>
        <v>26.25</v>
      </c>
      <c r="AO422" s="1989">
        <f t="shared" si="245"/>
        <v>25.34</v>
      </c>
      <c r="AP422" s="2432"/>
      <c r="AQ422" s="2432"/>
      <c r="AR422" s="2052" t="str">
        <f t="shared" si="234"/>
        <v>открыт</v>
      </c>
      <c r="AS422" s="2450"/>
      <c r="AT422" s="1094" t="s">
        <v>96</v>
      </c>
      <c r="AU422" s="1095">
        <v>1983</v>
      </c>
      <c r="AV422" s="1101">
        <v>2012</v>
      </c>
      <c r="AW422" s="1103">
        <v>57.007873237507198</v>
      </c>
      <c r="AX422" s="1103">
        <v>34.173895079503602</v>
      </c>
    </row>
    <row r="423" spans="1:50" ht="15" customHeight="1" x14ac:dyDescent="0.25">
      <c r="A423" s="2419"/>
      <c r="B423" s="2442"/>
      <c r="C423" s="245" t="s">
        <v>1767</v>
      </c>
      <c r="D423" s="246">
        <v>40</v>
      </c>
      <c r="E423" s="247" t="s">
        <v>773</v>
      </c>
      <c r="F423" s="247">
        <v>25</v>
      </c>
      <c r="G423" s="247"/>
      <c r="H423" s="248"/>
      <c r="I423" s="229" t="str">
        <f t="shared" si="228"/>
        <v>40+25</v>
      </c>
      <c r="J423" s="997">
        <v>22.65</v>
      </c>
      <c r="K423" s="1429">
        <v>0</v>
      </c>
      <c r="L423" s="1430">
        <v>0</v>
      </c>
      <c r="M423" s="250">
        <f t="shared" si="247"/>
        <v>22.65</v>
      </c>
      <c r="N423" s="172">
        <v>0</v>
      </c>
      <c r="O423" s="880"/>
      <c r="P423" s="883">
        <f t="shared" si="238"/>
        <v>26.25</v>
      </c>
      <c r="Q423" s="250">
        <f t="shared" si="248"/>
        <v>3.6000000000000014</v>
      </c>
      <c r="R423" s="2433"/>
      <c r="S423" s="2399" t="str">
        <f t="shared" si="235"/>
        <v>открыт</v>
      </c>
      <c r="T423" s="2052" t="str">
        <f t="shared" si="229"/>
        <v>открыт</v>
      </c>
      <c r="U423" s="2399"/>
      <c r="V423" s="2399"/>
      <c r="W423" s="2399" t="s">
        <v>3033</v>
      </c>
      <c r="X423" s="916"/>
      <c r="Y423" s="2419"/>
      <c r="Z423" s="2422"/>
      <c r="AA423" s="1985" t="s">
        <v>1767</v>
      </c>
      <c r="AB423" s="1986">
        <f t="shared" si="230"/>
        <v>40</v>
      </c>
      <c r="AC423" s="1987" t="str">
        <f t="shared" si="241"/>
        <v>+</v>
      </c>
      <c r="AD423" s="1987">
        <f t="shared" si="242"/>
        <v>25</v>
      </c>
      <c r="AE423" s="1987"/>
      <c r="AF423" s="1988"/>
      <c r="AG423" s="1983" t="str">
        <f t="shared" si="236"/>
        <v>40+25</v>
      </c>
      <c r="AH423" s="1989">
        <f>'Зона ТоЭс'!L230</f>
        <v>14.67391304347826</v>
      </c>
      <c r="AI423" s="1989">
        <f t="shared" ref="AI423:AI434" si="249">AH423+J423</f>
        <v>37.323913043478257</v>
      </c>
      <c r="AJ423" s="1981">
        <f t="shared" si="231"/>
        <v>0</v>
      </c>
      <c r="AK423" s="1983">
        <f t="shared" si="232"/>
        <v>0</v>
      </c>
      <c r="AL423" s="1981">
        <f t="shared" si="243"/>
        <v>37.323913043478257</v>
      </c>
      <c r="AM423" s="1981">
        <f t="shared" si="233"/>
        <v>0</v>
      </c>
      <c r="AN423" s="1990">
        <f t="shared" si="244"/>
        <v>26.25</v>
      </c>
      <c r="AO423" s="1989">
        <f t="shared" si="245"/>
        <v>-11.073913043478257</v>
      </c>
      <c r="AP423" s="2433"/>
      <c r="AQ423" s="2433"/>
      <c r="AR423" s="2052" t="str">
        <f t="shared" si="234"/>
        <v>открыт</v>
      </c>
      <c r="AS423" s="2451"/>
      <c r="AT423" s="1094" t="s">
        <v>96</v>
      </c>
      <c r="AU423" s="1095">
        <v>1983</v>
      </c>
      <c r="AV423" s="1101">
        <v>2012</v>
      </c>
      <c r="AW423" s="1103">
        <v>57.007873237507198</v>
      </c>
      <c r="AX423" s="1103">
        <v>34.173895079503602</v>
      </c>
    </row>
    <row r="424" spans="1:50" ht="15" customHeight="1" x14ac:dyDescent="0.25">
      <c r="A424" s="2419">
        <v>312</v>
      </c>
      <c r="B424" s="2442">
        <v>32</v>
      </c>
      <c r="C424" s="245" t="s">
        <v>277</v>
      </c>
      <c r="D424" s="246">
        <v>16</v>
      </c>
      <c r="E424" s="247" t="s">
        <v>773</v>
      </c>
      <c r="F424" s="247">
        <v>10</v>
      </c>
      <c r="G424" s="247"/>
      <c r="H424" s="248"/>
      <c r="I424" s="229" t="str">
        <f t="shared" si="228"/>
        <v>16+10</v>
      </c>
      <c r="J424" s="997">
        <v>6.54</v>
      </c>
      <c r="K424" s="1429">
        <v>0</v>
      </c>
      <c r="L424" s="1430">
        <v>0</v>
      </c>
      <c r="M424" s="250">
        <f t="shared" si="247"/>
        <v>6.54</v>
      </c>
      <c r="N424" s="172">
        <v>0</v>
      </c>
      <c r="O424" s="880"/>
      <c r="P424" s="883">
        <f t="shared" si="238"/>
        <v>10.5</v>
      </c>
      <c r="Q424" s="250">
        <f t="shared" si="248"/>
        <v>3.96</v>
      </c>
      <c r="R424" s="2431">
        <f>MIN(Q424:Q426)</f>
        <v>3.96</v>
      </c>
      <c r="S424" s="2398" t="str">
        <f t="shared" si="235"/>
        <v>открыт</v>
      </c>
      <c r="T424" s="2052" t="str">
        <f t="shared" si="229"/>
        <v>открыт</v>
      </c>
      <c r="U424" s="2398">
        <f>(J424*100)/P424</f>
        <v>62.285714285714285</v>
      </c>
      <c r="V424" s="2398">
        <v>0.46</v>
      </c>
      <c r="W424" s="2398" t="s">
        <v>3033</v>
      </c>
      <c r="X424" s="916"/>
      <c r="Y424" s="2419">
        <v>312</v>
      </c>
      <c r="Z424" s="2422">
        <v>32</v>
      </c>
      <c r="AA424" s="245" t="s">
        <v>277</v>
      </c>
      <c r="AB424" s="246">
        <f t="shared" si="230"/>
        <v>16</v>
      </c>
      <c r="AC424" s="247" t="str">
        <f t="shared" si="241"/>
        <v>+</v>
      </c>
      <c r="AD424" s="247">
        <f t="shared" si="242"/>
        <v>10</v>
      </c>
      <c r="AE424" s="247"/>
      <c r="AF424" s="248"/>
      <c r="AG424" s="212" t="str">
        <f t="shared" si="236"/>
        <v>16+10</v>
      </c>
      <c r="AH424" s="250">
        <f>SUM(AH425:AH426)</f>
        <v>0</v>
      </c>
      <c r="AI424" s="250">
        <f t="shared" si="249"/>
        <v>6.54</v>
      </c>
      <c r="AJ424" s="1973">
        <f t="shared" si="231"/>
        <v>0</v>
      </c>
      <c r="AK424" s="212">
        <f t="shared" si="232"/>
        <v>0</v>
      </c>
      <c r="AL424" s="172">
        <f t="shared" si="243"/>
        <v>6.54</v>
      </c>
      <c r="AM424" s="1973">
        <f t="shared" si="233"/>
        <v>0</v>
      </c>
      <c r="AN424" s="883">
        <f t="shared" si="244"/>
        <v>10.5</v>
      </c>
      <c r="AO424" s="250">
        <f t="shared" si="245"/>
        <v>3.96</v>
      </c>
      <c r="AP424" s="2431">
        <f>MIN(AO424:AO426)</f>
        <v>3.96</v>
      </c>
      <c r="AQ424" s="2431" t="str">
        <f t="shared" si="237"/>
        <v>открыт</v>
      </c>
      <c r="AR424" s="2052" t="str">
        <f t="shared" si="234"/>
        <v>открыт</v>
      </c>
      <c r="AS424" s="2449">
        <f>(AI424*100)/AN424</f>
        <v>62.285714285714285</v>
      </c>
      <c r="AT424" s="1094" t="s">
        <v>96</v>
      </c>
      <c r="AU424" s="1095">
        <v>1978</v>
      </c>
      <c r="AV424" s="1101" t="s">
        <v>3218</v>
      </c>
      <c r="AW424" s="1103">
        <v>56.853146924655697</v>
      </c>
      <c r="AX424" s="1103">
        <v>33.4977328072369</v>
      </c>
    </row>
    <row r="425" spans="1:50" ht="15" customHeight="1" x14ac:dyDescent="0.25">
      <c r="A425" s="2419"/>
      <c r="B425" s="2442"/>
      <c r="C425" s="245" t="s">
        <v>1768</v>
      </c>
      <c r="D425" s="246">
        <v>16</v>
      </c>
      <c r="E425" s="247" t="s">
        <v>773</v>
      </c>
      <c r="F425" s="247">
        <v>10</v>
      </c>
      <c r="G425" s="247"/>
      <c r="H425" s="248"/>
      <c r="I425" s="229" t="str">
        <f t="shared" si="228"/>
        <v>16+10</v>
      </c>
      <c r="J425" s="997">
        <v>2</v>
      </c>
      <c r="K425" s="1429">
        <v>0</v>
      </c>
      <c r="L425" s="1430">
        <v>0</v>
      </c>
      <c r="M425" s="250">
        <f t="shared" si="247"/>
        <v>2</v>
      </c>
      <c r="N425" s="172">
        <v>0</v>
      </c>
      <c r="O425" s="880"/>
      <c r="P425" s="883">
        <f t="shared" si="238"/>
        <v>10.5</v>
      </c>
      <c r="Q425" s="250">
        <f t="shared" si="248"/>
        <v>8.5</v>
      </c>
      <c r="R425" s="2432"/>
      <c r="S425" s="2399" t="str">
        <f t="shared" si="235"/>
        <v>открыт</v>
      </c>
      <c r="T425" s="2052" t="str">
        <f t="shared" si="229"/>
        <v>открыт</v>
      </c>
      <c r="U425" s="2399"/>
      <c r="V425" s="2399"/>
      <c r="W425" s="2399" t="s">
        <v>3033</v>
      </c>
      <c r="X425" s="916"/>
      <c r="Y425" s="2419"/>
      <c r="Z425" s="2422"/>
      <c r="AA425" s="245" t="s">
        <v>1768</v>
      </c>
      <c r="AB425" s="246">
        <f t="shared" si="230"/>
        <v>16</v>
      </c>
      <c r="AC425" s="247" t="str">
        <f t="shared" si="241"/>
        <v>+</v>
      </c>
      <c r="AD425" s="247">
        <f t="shared" si="242"/>
        <v>10</v>
      </c>
      <c r="AE425" s="247"/>
      <c r="AF425" s="248"/>
      <c r="AG425" s="212" t="str">
        <f t="shared" si="236"/>
        <v>16+10</v>
      </c>
      <c r="AH425" s="250">
        <v>0</v>
      </c>
      <c r="AI425" s="250">
        <f t="shared" si="249"/>
        <v>2</v>
      </c>
      <c r="AJ425" s="1973">
        <f t="shared" si="231"/>
        <v>0</v>
      </c>
      <c r="AK425" s="212">
        <f t="shared" si="232"/>
        <v>0</v>
      </c>
      <c r="AL425" s="172">
        <f t="shared" si="243"/>
        <v>2</v>
      </c>
      <c r="AM425" s="1973">
        <f t="shared" si="233"/>
        <v>0</v>
      </c>
      <c r="AN425" s="883">
        <f t="shared" si="244"/>
        <v>10.5</v>
      </c>
      <c r="AO425" s="250">
        <f t="shared" si="245"/>
        <v>8.5</v>
      </c>
      <c r="AP425" s="2432"/>
      <c r="AQ425" s="2432" t="str">
        <f t="shared" si="237"/>
        <v>открыт</v>
      </c>
      <c r="AR425" s="2052" t="str">
        <f t="shared" si="234"/>
        <v>открыт</v>
      </c>
      <c r="AS425" s="2450"/>
      <c r="AT425" s="1094" t="s">
        <v>96</v>
      </c>
      <c r="AU425" s="1095">
        <v>1978</v>
      </c>
      <c r="AV425" s="1101" t="s">
        <v>3218</v>
      </c>
      <c r="AW425" s="1103">
        <v>56.853146924655697</v>
      </c>
      <c r="AX425" s="1103">
        <v>33.4977328072369</v>
      </c>
    </row>
    <row r="426" spans="1:50" ht="15" customHeight="1" x14ac:dyDescent="0.25">
      <c r="A426" s="2419"/>
      <c r="B426" s="2442"/>
      <c r="C426" s="245" t="s">
        <v>1767</v>
      </c>
      <c r="D426" s="246">
        <v>16</v>
      </c>
      <c r="E426" s="247" t="s">
        <v>773</v>
      </c>
      <c r="F426" s="247">
        <v>10</v>
      </c>
      <c r="G426" s="247"/>
      <c r="H426" s="248"/>
      <c r="I426" s="229" t="str">
        <f t="shared" si="228"/>
        <v>16+10</v>
      </c>
      <c r="J426" s="997">
        <v>4.54</v>
      </c>
      <c r="K426" s="1429">
        <v>0</v>
      </c>
      <c r="L426" s="1430">
        <v>0</v>
      </c>
      <c r="M426" s="250">
        <f t="shared" si="247"/>
        <v>4.54</v>
      </c>
      <c r="N426" s="172">
        <v>0</v>
      </c>
      <c r="O426" s="880"/>
      <c r="P426" s="883">
        <f t="shared" si="238"/>
        <v>10.5</v>
      </c>
      <c r="Q426" s="250">
        <f t="shared" si="248"/>
        <v>5.96</v>
      </c>
      <c r="R426" s="2433"/>
      <c r="S426" s="2399" t="str">
        <f t="shared" si="235"/>
        <v>открыт</v>
      </c>
      <c r="T426" s="2052" t="str">
        <f t="shared" si="229"/>
        <v>открыт</v>
      </c>
      <c r="U426" s="2399"/>
      <c r="V426" s="2399"/>
      <c r="W426" s="2399" t="s">
        <v>3033</v>
      </c>
      <c r="X426" s="916"/>
      <c r="Y426" s="2419"/>
      <c r="Z426" s="2422"/>
      <c r="AA426" s="245" t="s">
        <v>1767</v>
      </c>
      <c r="AB426" s="246">
        <f t="shared" si="230"/>
        <v>16</v>
      </c>
      <c r="AC426" s="247" t="str">
        <f t="shared" si="241"/>
        <v>+</v>
      </c>
      <c r="AD426" s="247">
        <f t="shared" si="242"/>
        <v>10</v>
      </c>
      <c r="AE426" s="247"/>
      <c r="AF426" s="248"/>
      <c r="AG426" s="212" t="str">
        <f t="shared" si="236"/>
        <v>16+10</v>
      </c>
      <c r="AH426" s="250">
        <f>'Зона ТоЭс'!L239</f>
        <v>0</v>
      </c>
      <c r="AI426" s="250">
        <f t="shared" si="249"/>
        <v>4.54</v>
      </c>
      <c r="AJ426" s="1973">
        <f t="shared" si="231"/>
        <v>0</v>
      </c>
      <c r="AK426" s="212">
        <f t="shared" si="232"/>
        <v>0</v>
      </c>
      <c r="AL426" s="172">
        <f t="shared" si="243"/>
        <v>4.54</v>
      </c>
      <c r="AM426" s="1973">
        <f t="shared" si="233"/>
        <v>0</v>
      </c>
      <c r="AN426" s="883">
        <f t="shared" si="244"/>
        <v>10.5</v>
      </c>
      <c r="AO426" s="250">
        <f t="shared" si="245"/>
        <v>5.96</v>
      </c>
      <c r="AP426" s="2433"/>
      <c r="AQ426" s="2433" t="str">
        <f t="shared" si="237"/>
        <v>открыт</v>
      </c>
      <c r="AR426" s="2052" t="str">
        <f t="shared" si="234"/>
        <v>открыт</v>
      </c>
      <c r="AS426" s="2451"/>
      <c r="AT426" s="1094" t="s">
        <v>96</v>
      </c>
      <c r="AU426" s="1095">
        <v>1978</v>
      </c>
      <c r="AV426" s="1101" t="s">
        <v>3218</v>
      </c>
      <c r="AW426" s="1103">
        <v>56.853146924655697</v>
      </c>
      <c r="AX426" s="1103">
        <v>33.4977328072369</v>
      </c>
    </row>
    <row r="427" spans="1:50" ht="15" customHeight="1" x14ac:dyDescent="0.25">
      <c r="A427" s="2419">
        <v>313</v>
      </c>
      <c r="B427" s="2442">
        <v>33</v>
      </c>
      <c r="C427" s="245" t="s">
        <v>278</v>
      </c>
      <c r="D427" s="246">
        <v>25</v>
      </c>
      <c r="E427" s="247" t="s">
        <v>773</v>
      </c>
      <c r="F427" s="247">
        <v>25</v>
      </c>
      <c r="G427" s="247"/>
      <c r="H427" s="248"/>
      <c r="I427" s="229" t="str">
        <f t="shared" si="228"/>
        <v>25+25</v>
      </c>
      <c r="J427" s="997">
        <v>0.99</v>
      </c>
      <c r="K427" s="1429">
        <v>0.39</v>
      </c>
      <c r="L427" s="1430">
        <v>120</v>
      </c>
      <c r="M427" s="250">
        <f t="shared" si="247"/>
        <v>0.6</v>
      </c>
      <c r="N427" s="172">
        <v>0</v>
      </c>
      <c r="O427" s="880"/>
      <c r="P427" s="883">
        <f t="shared" si="238"/>
        <v>26.25</v>
      </c>
      <c r="Q427" s="250">
        <f t="shared" si="248"/>
        <v>25.65</v>
      </c>
      <c r="R427" s="2431">
        <f>MIN(Q427:Q429)</f>
        <v>25.65</v>
      </c>
      <c r="S427" s="2398" t="str">
        <f t="shared" si="235"/>
        <v>открыт</v>
      </c>
      <c r="T427" s="2052" t="str">
        <f t="shared" si="229"/>
        <v>открыт</v>
      </c>
      <c r="U427" s="2398">
        <f>(J427*100)/P427</f>
        <v>3.7714285714285714</v>
      </c>
      <c r="V427" s="2398">
        <v>0.4</v>
      </c>
      <c r="W427" s="2398" t="s">
        <v>3033</v>
      </c>
      <c r="X427" s="916"/>
      <c r="Y427" s="2419">
        <v>313</v>
      </c>
      <c r="Z427" s="2422">
        <v>33</v>
      </c>
      <c r="AA427" s="245" t="s">
        <v>278</v>
      </c>
      <c r="AB427" s="246">
        <f t="shared" si="230"/>
        <v>25</v>
      </c>
      <c r="AC427" s="247" t="str">
        <f t="shared" si="241"/>
        <v>+</v>
      </c>
      <c r="AD427" s="247">
        <f t="shared" si="242"/>
        <v>25</v>
      </c>
      <c r="AE427" s="247"/>
      <c r="AF427" s="248"/>
      <c r="AG427" s="212" t="str">
        <f t="shared" si="236"/>
        <v>25+25</v>
      </c>
      <c r="AH427" s="250">
        <f>SUM(AH428:AH429)</f>
        <v>0</v>
      </c>
      <c r="AI427" s="250">
        <f t="shared" si="249"/>
        <v>0.99</v>
      </c>
      <c r="AJ427" s="1973">
        <f t="shared" si="231"/>
        <v>0.39</v>
      </c>
      <c r="AK427" s="212">
        <f t="shared" si="232"/>
        <v>120</v>
      </c>
      <c r="AL427" s="172">
        <f t="shared" si="243"/>
        <v>0.6</v>
      </c>
      <c r="AM427" s="1973">
        <f t="shared" si="233"/>
        <v>0</v>
      </c>
      <c r="AN427" s="883">
        <f t="shared" si="244"/>
        <v>26.25</v>
      </c>
      <c r="AO427" s="250">
        <f t="shared" si="245"/>
        <v>25.65</v>
      </c>
      <c r="AP427" s="2431">
        <f>MIN(AO427:AO429)</f>
        <v>25.65</v>
      </c>
      <c r="AQ427" s="2431" t="str">
        <f t="shared" si="237"/>
        <v>открыт</v>
      </c>
      <c r="AR427" s="2052" t="str">
        <f t="shared" si="234"/>
        <v>открыт</v>
      </c>
      <c r="AS427" s="2449">
        <f>(AI427*100)/AN427</f>
        <v>3.7714285714285714</v>
      </c>
      <c r="AT427" s="1094" t="s">
        <v>96</v>
      </c>
      <c r="AU427" s="1095">
        <v>1980</v>
      </c>
      <c r="AV427" s="1101" t="s">
        <v>3218</v>
      </c>
      <c r="AW427" s="1103">
        <v>56.7828357560401</v>
      </c>
      <c r="AX427" s="1103">
        <v>33.525905056328497</v>
      </c>
    </row>
    <row r="428" spans="1:50" ht="15" customHeight="1" x14ac:dyDescent="0.25">
      <c r="A428" s="2419"/>
      <c r="B428" s="2442"/>
      <c r="C428" s="245" t="s">
        <v>1768</v>
      </c>
      <c r="D428" s="246">
        <v>25</v>
      </c>
      <c r="E428" s="247" t="s">
        <v>773</v>
      </c>
      <c r="F428" s="247">
        <v>25</v>
      </c>
      <c r="G428" s="247"/>
      <c r="H428" s="248"/>
      <c r="I428" s="229" t="str">
        <f t="shared" si="228"/>
        <v>25+25</v>
      </c>
      <c r="J428" s="997">
        <v>0.64</v>
      </c>
      <c r="K428" s="1429">
        <v>0.39</v>
      </c>
      <c r="L428" s="1430">
        <v>120</v>
      </c>
      <c r="M428" s="250">
        <f t="shared" si="247"/>
        <v>0.25</v>
      </c>
      <c r="N428" s="172">
        <v>0</v>
      </c>
      <c r="O428" s="880"/>
      <c r="P428" s="883">
        <f t="shared" si="238"/>
        <v>26.25</v>
      </c>
      <c r="Q428" s="250">
        <f t="shared" si="248"/>
        <v>26</v>
      </c>
      <c r="R428" s="2432"/>
      <c r="S428" s="2399" t="str">
        <f t="shared" si="235"/>
        <v>открыт</v>
      </c>
      <c r="T428" s="2052" t="str">
        <f t="shared" si="229"/>
        <v>открыт</v>
      </c>
      <c r="U428" s="2399"/>
      <c r="V428" s="2399"/>
      <c r="W428" s="2399" t="s">
        <v>3033</v>
      </c>
      <c r="X428" s="916"/>
      <c r="Y428" s="2419"/>
      <c r="Z428" s="2422"/>
      <c r="AA428" s="245" t="s">
        <v>1768</v>
      </c>
      <c r="AB428" s="246">
        <f t="shared" si="230"/>
        <v>25</v>
      </c>
      <c r="AC428" s="247" t="str">
        <f t="shared" si="241"/>
        <v>+</v>
      </c>
      <c r="AD428" s="247">
        <f t="shared" si="242"/>
        <v>25</v>
      </c>
      <c r="AE428" s="247"/>
      <c r="AF428" s="248"/>
      <c r="AG428" s="212" t="str">
        <f t="shared" si="236"/>
        <v>25+25</v>
      </c>
      <c r="AH428" s="250">
        <f>SUM(AH405+AH395)</f>
        <v>0</v>
      </c>
      <c r="AI428" s="250">
        <f t="shared" si="249"/>
        <v>0.64</v>
      </c>
      <c r="AJ428" s="1973">
        <f t="shared" si="231"/>
        <v>0.39</v>
      </c>
      <c r="AK428" s="212">
        <f t="shared" si="232"/>
        <v>120</v>
      </c>
      <c r="AL428" s="172">
        <f t="shared" si="243"/>
        <v>0.25</v>
      </c>
      <c r="AM428" s="1973">
        <f t="shared" si="233"/>
        <v>0</v>
      </c>
      <c r="AN428" s="883">
        <f t="shared" si="244"/>
        <v>26.25</v>
      </c>
      <c r="AO428" s="250">
        <f t="shared" si="245"/>
        <v>26</v>
      </c>
      <c r="AP428" s="2432"/>
      <c r="AQ428" s="2432" t="str">
        <f t="shared" si="237"/>
        <v>открыт</v>
      </c>
      <c r="AR428" s="2052" t="str">
        <f t="shared" si="234"/>
        <v>открыт</v>
      </c>
      <c r="AS428" s="2450"/>
      <c r="AT428" s="1094" t="s">
        <v>96</v>
      </c>
      <c r="AU428" s="1095">
        <v>1980</v>
      </c>
      <c r="AV428" s="1101" t="s">
        <v>3218</v>
      </c>
      <c r="AW428" s="1103">
        <v>56.7828357560401</v>
      </c>
      <c r="AX428" s="1103">
        <v>33.525905056328497</v>
      </c>
    </row>
    <row r="429" spans="1:50" ht="15" customHeight="1" x14ac:dyDescent="0.25">
      <c r="A429" s="2419"/>
      <c r="B429" s="2442"/>
      <c r="C429" s="245" t="s">
        <v>1767</v>
      </c>
      <c r="D429" s="246">
        <v>25</v>
      </c>
      <c r="E429" s="247" t="s">
        <v>773</v>
      </c>
      <c r="F429" s="247">
        <v>25</v>
      </c>
      <c r="G429" s="247"/>
      <c r="H429" s="248"/>
      <c r="I429" s="229" t="str">
        <f t="shared" si="228"/>
        <v>25+25</v>
      </c>
      <c r="J429" s="997">
        <v>0.35</v>
      </c>
      <c r="K429" s="1429">
        <v>0</v>
      </c>
      <c r="L429" s="1430">
        <v>0</v>
      </c>
      <c r="M429" s="250">
        <f t="shared" si="247"/>
        <v>0.35</v>
      </c>
      <c r="N429" s="172">
        <v>0</v>
      </c>
      <c r="O429" s="880"/>
      <c r="P429" s="883">
        <f t="shared" si="238"/>
        <v>26.25</v>
      </c>
      <c r="Q429" s="250">
        <f t="shared" si="248"/>
        <v>25.9</v>
      </c>
      <c r="R429" s="2433"/>
      <c r="S429" s="2399" t="str">
        <f t="shared" si="235"/>
        <v>открыт</v>
      </c>
      <c r="T429" s="2052" t="str">
        <f t="shared" si="229"/>
        <v>открыт</v>
      </c>
      <c r="U429" s="2399"/>
      <c r="V429" s="2399"/>
      <c r="W429" s="2399" t="s">
        <v>3033</v>
      </c>
      <c r="X429" s="916"/>
      <c r="Y429" s="2419"/>
      <c r="Z429" s="2422"/>
      <c r="AA429" s="245" t="s">
        <v>1767</v>
      </c>
      <c r="AB429" s="246">
        <f t="shared" si="230"/>
        <v>25</v>
      </c>
      <c r="AC429" s="247" t="str">
        <f t="shared" si="241"/>
        <v>+</v>
      </c>
      <c r="AD429" s="247">
        <f t="shared" si="242"/>
        <v>25</v>
      </c>
      <c r="AE429" s="247"/>
      <c r="AF429" s="248"/>
      <c r="AG429" s="212" t="str">
        <f t="shared" si="236"/>
        <v>25+25</v>
      </c>
      <c r="AH429" s="250">
        <f>'Зона ТоЭс'!L241</f>
        <v>0</v>
      </c>
      <c r="AI429" s="250">
        <f t="shared" si="249"/>
        <v>0.35</v>
      </c>
      <c r="AJ429" s="1973">
        <f t="shared" si="231"/>
        <v>0</v>
      </c>
      <c r="AK429" s="212">
        <f t="shared" si="232"/>
        <v>0</v>
      </c>
      <c r="AL429" s="172">
        <f t="shared" si="243"/>
        <v>0.35</v>
      </c>
      <c r="AM429" s="1973">
        <f t="shared" si="233"/>
        <v>0</v>
      </c>
      <c r="AN429" s="883">
        <f t="shared" si="244"/>
        <v>26.25</v>
      </c>
      <c r="AO429" s="250">
        <f t="shared" si="245"/>
        <v>25.9</v>
      </c>
      <c r="AP429" s="2433"/>
      <c r="AQ429" s="2433" t="str">
        <f t="shared" si="237"/>
        <v>открыт</v>
      </c>
      <c r="AR429" s="2052" t="str">
        <f t="shared" si="234"/>
        <v>открыт</v>
      </c>
      <c r="AS429" s="2451"/>
      <c r="AT429" s="1094" t="s">
        <v>96</v>
      </c>
      <c r="AU429" s="1095">
        <v>1980</v>
      </c>
      <c r="AV429" s="1101" t="s">
        <v>3218</v>
      </c>
      <c r="AW429" s="1103">
        <v>56.7828357560401</v>
      </c>
      <c r="AX429" s="1103">
        <v>33.525905056328497</v>
      </c>
    </row>
    <row r="430" spans="1:50" ht="15" customHeight="1" x14ac:dyDescent="0.25">
      <c r="A430" s="2419">
        <v>314</v>
      </c>
      <c r="B430" s="2442">
        <v>34</v>
      </c>
      <c r="C430" s="245" t="s">
        <v>279</v>
      </c>
      <c r="D430" s="246">
        <v>25</v>
      </c>
      <c r="E430" s="247" t="s">
        <v>773</v>
      </c>
      <c r="F430" s="247">
        <v>25</v>
      </c>
      <c r="G430" s="247"/>
      <c r="H430" s="248"/>
      <c r="I430" s="229" t="str">
        <f t="shared" si="228"/>
        <v>25+25</v>
      </c>
      <c r="J430" s="997">
        <v>14.41</v>
      </c>
      <c r="K430" s="1429">
        <v>0</v>
      </c>
      <c r="L430" s="1430">
        <v>0</v>
      </c>
      <c r="M430" s="250">
        <f t="shared" si="247"/>
        <v>14.41</v>
      </c>
      <c r="N430" s="172">
        <v>0</v>
      </c>
      <c r="O430" s="880"/>
      <c r="P430" s="883">
        <f t="shared" si="238"/>
        <v>26.25</v>
      </c>
      <c r="Q430" s="250">
        <f t="shared" si="248"/>
        <v>11.84</v>
      </c>
      <c r="R430" s="2448">
        <f>MIN(Q430:Q432)</f>
        <v>11.84</v>
      </c>
      <c r="S430" s="2398" t="str">
        <f t="shared" si="235"/>
        <v>открыт</v>
      </c>
      <c r="T430" s="2052" t="str">
        <f t="shared" si="229"/>
        <v>открыт</v>
      </c>
      <c r="U430" s="2398">
        <f>(J430*100)/P430</f>
        <v>54.895238095238092</v>
      </c>
      <c r="V430" s="2398">
        <v>0.24</v>
      </c>
      <c r="W430" s="2398" t="s">
        <v>3033</v>
      </c>
      <c r="X430" s="916"/>
      <c r="Y430" s="2419">
        <v>314</v>
      </c>
      <c r="Z430" s="2422">
        <v>34</v>
      </c>
      <c r="AA430" s="245" t="s">
        <v>279</v>
      </c>
      <c r="AB430" s="246">
        <f t="shared" si="230"/>
        <v>25</v>
      </c>
      <c r="AC430" s="247" t="str">
        <f t="shared" si="241"/>
        <v>+</v>
      </c>
      <c r="AD430" s="247">
        <f t="shared" si="242"/>
        <v>25</v>
      </c>
      <c r="AE430" s="247"/>
      <c r="AF430" s="248"/>
      <c r="AG430" s="212" t="str">
        <f t="shared" si="236"/>
        <v>25+25</v>
      </c>
      <c r="AH430" s="250">
        <f>SUM(AH431:AH432)</f>
        <v>0.61548913043478259</v>
      </c>
      <c r="AI430" s="250">
        <f t="shared" si="249"/>
        <v>15.025489130434783</v>
      </c>
      <c r="AJ430" s="1973">
        <f t="shared" si="231"/>
        <v>0</v>
      </c>
      <c r="AK430" s="212">
        <f t="shared" si="232"/>
        <v>0</v>
      </c>
      <c r="AL430" s="172">
        <f t="shared" si="243"/>
        <v>15.025489130434783</v>
      </c>
      <c r="AM430" s="1973">
        <f t="shared" si="233"/>
        <v>0</v>
      </c>
      <c r="AN430" s="883">
        <f t="shared" si="244"/>
        <v>26.25</v>
      </c>
      <c r="AO430" s="250">
        <f t="shared" si="245"/>
        <v>11.224510869565217</v>
      </c>
      <c r="AP430" s="2431">
        <f>MIN(AO430:AO432)</f>
        <v>11.224510869565217</v>
      </c>
      <c r="AQ430" s="2431" t="str">
        <f>AR430</f>
        <v>открыт</v>
      </c>
      <c r="AR430" s="2052" t="str">
        <f t="shared" si="234"/>
        <v>открыт</v>
      </c>
      <c r="AS430" s="2449">
        <f>(AI430*100)/AN430</f>
        <v>57.239958592132503</v>
      </c>
      <c r="AT430" s="1094" t="s">
        <v>96</v>
      </c>
      <c r="AU430" s="1095">
        <v>1982</v>
      </c>
      <c r="AV430" s="1101" t="s">
        <v>3218</v>
      </c>
      <c r="AW430" s="1103">
        <v>57.137287048507098</v>
      </c>
      <c r="AX430" s="1103">
        <v>33.1036333908744</v>
      </c>
    </row>
    <row r="431" spans="1:50" ht="15" customHeight="1" x14ac:dyDescent="0.25">
      <c r="A431" s="2419"/>
      <c r="B431" s="2442"/>
      <c r="C431" s="245" t="s">
        <v>1768</v>
      </c>
      <c r="D431" s="246">
        <v>25</v>
      </c>
      <c r="E431" s="247" t="s">
        <v>773</v>
      </c>
      <c r="F431" s="247">
        <v>25</v>
      </c>
      <c r="G431" s="247"/>
      <c r="H431" s="248"/>
      <c r="I431" s="229" t="str">
        <f t="shared" si="228"/>
        <v>25+25</v>
      </c>
      <c r="J431" s="997">
        <v>1.49</v>
      </c>
      <c r="K431" s="1429">
        <v>0</v>
      </c>
      <c r="L431" s="1430">
        <v>0</v>
      </c>
      <c r="M431" s="250">
        <f t="shared" si="247"/>
        <v>1.49</v>
      </c>
      <c r="N431" s="172">
        <v>0</v>
      </c>
      <c r="O431" s="880"/>
      <c r="P431" s="883">
        <f t="shared" si="238"/>
        <v>26.25</v>
      </c>
      <c r="Q431" s="250">
        <f t="shared" si="248"/>
        <v>24.76</v>
      </c>
      <c r="R431" s="2448"/>
      <c r="S431" s="2399"/>
      <c r="T431" s="2052" t="str">
        <f t="shared" si="229"/>
        <v>открыт</v>
      </c>
      <c r="U431" s="2399"/>
      <c r="V431" s="2399"/>
      <c r="W431" s="2399" t="s">
        <v>3033</v>
      </c>
      <c r="X431" s="916"/>
      <c r="Y431" s="2419"/>
      <c r="Z431" s="2422"/>
      <c r="AA431" s="245" t="s">
        <v>1768</v>
      </c>
      <c r="AB431" s="246">
        <f t="shared" si="230"/>
        <v>25</v>
      </c>
      <c r="AC431" s="247" t="str">
        <f t="shared" si="241"/>
        <v>+</v>
      </c>
      <c r="AD431" s="247">
        <f t="shared" si="242"/>
        <v>25</v>
      </c>
      <c r="AE431" s="247"/>
      <c r="AF431" s="248"/>
      <c r="AG431" s="212" t="str">
        <f t="shared" si="236"/>
        <v>25+25</v>
      </c>
      <c r="AH431" s="250">
        <f>SUM(AH408+AH409)</f>
        <v>0.26331521739130431</v>
      </c>
      <c r="AI431" s="250">
        <f t="shared" si="249"/>
        <v>1.7533152173913042</v>
      </c>
      <c r="AJ431" s="1973">
        <f t="shared" si="231"/>
        <v>0</v>
      </c>
      <c r="AK431" s="212">
        <f t="shared" si="232"/>
        <v>0</v>
      </c>
      <c r="AL431" s="172">
        <f t="shared" si="243"/>
        <v>1.7533152173913042</v>
      </c>
      <c r="AM431" s="1973">
        <f t="shared" si="233"/>
        <v>0</v>
      </c>
      <c r="AN431" s="883">
        <f t="shared" si="244"/>
        <v>26.25</v>
      </c>
      <c r="AO431" s="250">
        <f t="shared" si="245"/>
        <v>24.496684782608696</v>
      </c>
      <c r="AP431" s="2432"/>
      <c r="AQ431" s="2432" t="str">
        <f t="shared" si="237"/>
        <v>открыт</v>
      </c>
      <c r="AR431" s="2052" t="str">
        <f t="shared" si="234"/>
        <v>открыт</v>
      </c>
      <c r="AS431" s="2450"/>
      <c r="AT431" s="1094" t="s">
        <v>96</v>
      </c>
      <c r="AU431" s="1095">
        <v>1982</v>
      </c>
      <c r="AV431" s="1101" t="s">
        <v>3218</v>
      </c>
      <c r="AW431" s="1103">
        <v>57.137287048507098</v>
      </c>
      <c r="AX431" s="1103">
        <v>33.1036333908744</v>
      </c>
    </row>
    <row r="432" spans="1:50" ht="15" customHeight="1" x14ac:dyDescent="0.25">
      <c r="A432" s="2419"/>
      <c r="B432" s="2442"/>
      <c r="C432" s="245" t="s">
        <v>1767</v>
      </c>
      <c r="D432" s="246">
        <v>25</v>
      </c>
      <c r="E432" s="247" t="s">
        <v>773</v>
      </c>
      <c r="F432" s="247">
        <v>25</v>
      </c>
      <c r="G432" s="247"/>
      <c r="H432" s="248"/>
      <c r="I432" s="229" t="str">
        <f t="shared" si="228"/>
        <v>25+25</v>
      </c>
      <c r="J432" s="997">
        <v>12.92</v>
      </c>
      <c r="K432" s="1429">
        <v>0</v>
      </c>
      <c r="L432" s="1430">
        <v>0</v>
      </c>
      <c r="M432" s="250">
        <f t="shared" si="247"/>
        <v>12.92</v>
      </c>
      <c r="N432" s="172">
        <v>0</v>
      </c>
      <c r="O432" s="880"/>
      <c r="P432" s="883">
        <f t="shared" si="238"/>
        <v>26.25</v>
      </c>
      <c r="Q432" s="250">
        <f t="shared" si="248"/>
        <v>13.33</v>
      </c>
      <c r="R432" s="2448"/>
      <c r="S432" s="2399"/>
      <c r="T432" s="2052" t="str">
        <f t="shared" si="229"/>
        <v>открыт</v>
      </c>
      <c r="U432" s="2399"/>
      <c r="V432" s="2399"/>
      <c r="W432" s="2399" t="s">
        <v>3033</v>
      </c>
      <c r="X432" s="916"/>
      <c r="Y432" s="2419"/>
      <c r="Z432" s="2422"/>
      <c r="AA432" s="245" t="s">
        <v>1767</v>
      </c>
      <c r="AB432" s="246">
        <f t="shared" si="230"/>
        <v>25</v>
      </c>
      <c r="AC432" s="247" t="str">
        <f t="shared" si="241"/>
        <v>+</v>
      </c>
      <c r="AD432" s="247">
        <f t="shared" si="242"/>
        <v>25</v>
      </c>
      <c r="AE432" s="247"/>
      <c r="AF432" s="248"/>
      <c r="AG432" s="212" t="str">
        <f t="shared" si="236"/>
        <v>25+25</v>
      </c>
      <c r="AH432" s="250">
        <f>'Зона ТоЭс'!L255</f>
        <v>0.35217391304347828</v>
      </c>
      <c r="AI432" s="250">
        <f t="shared" si="249"/>
        <v>13.272173913043478</v>
      </c>
      <c r="AJ432" s="1973">
        <f t="shared" si="231"/>
        <v>0</v>
      </c>
      <c r="AK432" s="212">
        <f t="shared" si="232"/>
        <v>0</v>
      </c>
      <c r="AL432" s="172">
        <f t="shared" si="243"/>
        <v>13.272173913043478</v>
      </c>
      <c r="AM432" s="1973">
        <f t="shared" si="233"/>
        <v>0</v>
      </c>
      <c r="AN432" s="883">
        <f t="shared" si="244"/>
        <v>26.25</v>
      </c>
      <c r="AO432" s="250">
        <f t="shared" si="245"/>
        <v>12.977826086956522</v>
      </c>
      <c r="AP432" s="2433"/>
      <c r="AQ432" s="2433" t="str">
        <f t="shared" si="237"/>
        <v>открыт</v>
      </c>
      <c r="AR432" s="2052" t="str">
        <f t="shared" si="234"/>
        <v>открыт</v>
      </c>
      <c r="AS432" s="2451"/>
      <c r="AT432" s="1094" t="s">
        <v>96</v>
      </c>
      <c r="AU432" s="1095">
        <v>1982</v>
      </c>
      <c r="AV432" s="1101" t="s">
        <v>3218</v>
      </c>
      <c r="AW432" s="1103">
        <v>57.137287048507098</v>
      </c>
      <c r="AX432" s="1103">
        <v>33.1036333908744</v>
      </c>
    </row>
    <row r="433" spans="1:50" ht="15" customHeight="1" x14ac:dyDescent="0.25">
      <c r="A433" s="2419">
        <v>315</v>
      </c>
      <c r="B433" s="2442">
        <v>35</v>
      </c>
      <c r="C433" s="245" t="s">
        <v>280</v>
      </c>
      <c r="D433" s="246">
        <v>10</v>
      </c>
      <c r="E433" s="247" t="s">
        <v>773</v>
      </c>
      <c r="F433" s="247">
        <v>10</v>
      </c>
      <c r="G433" s="247"/>
      <c r="H433" s="248"/>
      <c r="I433" s="229" t="str">
        <f t="shared" si="228"/>
        <v>10+10</v>
      </c>
      <c r="J433" s="997">
        <v>6.5</v>
      </c>
      <c r="K433" s="1429">
        <v>0</v>
      </c>
      <c r="L433" s="1430">
        <v>0</v>
      </c>
      <c r="M433" s="250">
        <f t="shared" si="247"/>
        <v>6.5</v>
      </c>
      <c r="N433" s="172">
        <v>0</v>
      </c>
      <c r="O433" s="880"/>
      <c r="P433" s="883">
        <f t="shared" si="238"/>
        <v>10.5</v>
      </c>
      <c r="Q433" s="250">
        <f t="shared" si="248"/>
        <v>4</v>
      </c>
      <c r="R433" s="2431">
        <f>MIN(Q433:Q435)</f>
        <v>4</v>
      </c>
      <c r="S433" s="2398" t="str">
        <f t="shared" si="235"/>
        <v>открыт</v>
      </c>
      <c r="T433" s="2052" t="str">
        <f t="shared" si="229"/>
        <v>открыт</v>
      </c>
      <c r="U433" s="2398">
        <f>(J433*100)/P433</f>
        <v>61.904761904761905</v>
      </c>
      <c r="V433" s="2398">
        <v>0.32</v>
      </c>
      <c r="W433" s="2398" t="s">
        <v>3033</v>
      </c>
      <c r="X433" s="916"/>
      <c r="Y433" s="2419">
        <v>315</v>
      </c>
      <c r="Z433" s="2422">
        <v>35</v>
      </c>
      <c r="AA433" s="245" t="s">
        <v>280</v>
      </c>
      <c r="AB433" s="246">
        <f t="shared" si="230"/>
        <v>10</v>
      </c>
      <c r="AC433" s="247" t="str">
        <f t="shared" si="241"/>
        <v>+</v>
      </c>
      <c r="AD433" s="247">
        <f t="shared" si="242"/>
        <v>10</v>
      </c>
      <c r="AE433" s="247"/>
      <c r="AF433" s="248"/>
      <c r="AG433" s="212" t="str">
        <f t="shared" si="236"/>
        <v>10+10</v>
      </c>
      <c r="AH433" s="250">
        <f>SUM(AH434:AH435)</f>
        <v>0.3681521739130435</v>
      </c>
      <c r="AI433" s="250">
        <f t="shared" si="249"/>
        <v>6.8681521739130433</v>
      </c>
      <c r="AJ433" s="1973">
        <f t="shared" si="231"/>
        <v>0</v>
      </c>
      <c r="AK433" s="212">
        <f t="shared" si="232"/>
        <v>0</v>
      </c>
      <c r="AL433" s="172">
        <f t="shared" si="243"/>
        <v>6.8681521739130433</v>
      </c>
      <c r="AM433" s="1973">
        <f t="shared" si="233"/>
        <v>0</v>
      </c>
      <c r="AN433" s="883">
        <f t="shared" si="244"/>
        <v>10.5</v>
      </c>
      <c r="AO433" s="250">
        <f t="shared" si="245"/>
        <v>3.6318478260869567</v>
      </c>
      <c r="AP433" s="2431">
        <f>MIN(AO433:AO435)</f>
        <v>3.6318478260869567</v>
      </c>
      <c r="AQ433" s="2431" t="str">
        <f>AR433</f>
        <v>открыт</v>
      </c>
      <c r="AR433" s="2052" t="str">
        <f t="shared" si="234"/>
        <v>открыт</v>
      </c>
      <c r="AS433" s="2449">
        <f>(AI433*100)/AN433</f>
        <v>65.410973084886137</v>
      </c>
      <c r="AT433" s="1094" t="s">
        <v>96</v>
      </c>
      <c r="AU433" s="1095">
        <v>1967</v>
      </c>
      <c r="AV433" s="1101" t="s">
        <v>3218</v>
      </c>
      <c r="AW433" s="1103">
        <v>57.193513743186898</v>
      </c>
      <c r="AX433" s="1103">
        <v>33.014034325895501</v>
      </c>
    </row>
    <row r="434" spans="1:50" ht="15" customHeight="1" x14ac:dyDescent="0.25">
      <c r="A434" s="2419"/>
      <c r="B434" s="2442"/>
      <c r="C434" s="245" t="s">
        <v>1768</v>
      </c>
      <c r="D434" s="246">
        <v>10</v>
      </c>
      <c r="E434" s="247" t="s">
        <v>773</v>
      </c>
      <c r="F434" s="247">
        <v>10</v>
      </c>
      <c r="G434" s="247"/>
      <c r="H434" s="248"/>
      <c r="I434" s="229" t="str">
        <f t="shared" si="228"/>
        <v>10+10</v>
      </c>
      <c r="J434" s="997">
        <v>3.6</v>
      </c>
      <c r="K434" s="1429">
        <v>0</v>
      </c>
      <c r="L434" s="1430">
        <v>0</v>
      </c>
      <c r="M434" s="250">
        <f t="shared" si="247"/>
        <v>3.6</v>
      </c>
      <c r="N434" s="172">
        <v>0</v>
      </c>
      <c r="O434" s="880"/>
      <c r="P434" s="883">
        <f t="shared" si="238"/>
        <v>10.5</v>
      </c>
      <c r="Q434" s="250">
        <f t="shared" si="248"/>
        <v>6.9</v>
      </c>
      <c r="R434" s="2432"/>
      <c r="S434" s="2398"/>
      <c r="T434" s="2052" t="str">
        <f t="shared" si="229"/>
        <v>открыт</v>
      </c>
      <c r="U434" s="2398"/>
      <c r="V434" s="2398"/>
      <c r="W434" s="2398" t="s">
        <v>3033</v>
      </c>
      <c r="X434" s="916"/>
      <c r="Y434" s="2419"/>
      <c r="Z434" s="2422"/>
      <c r="AA434" s="245" t="s">
        <v>1768</v>
      </c>
      <c r="AB434" s="246">
        <f t="shared" si="230"/>
        <v>10</v>
      </c>
      <c r="AC434" s="247" t="str">
        <f t="shared" si="241"/>
        <v>+</v>
      </c>
      <c r="AD434" s="247">
        <f t="shared" si="242"/>
        <v>10</v>
      </c>
      <c r="AE434" s="247"/>
      <c r="AF434" s="248"/>
      <c r="AG434" s="212" t="str">
        <f t="shared" si="236"/>
        <v>10+10</v>
      </c>
      <c r="AH434" s="250">
        <f>SUM(AH396)</f>
        <v>0.33554347826086961</v>
      </c>
      <c r="AI434" s="250">
        <f t="shared" si="249"/>
        <v>3.9355434782608696</v>
      </c>
      <c r="AJ434" s="1973">
        <f t="shared" si="231"/>
        <v>0</v>
      </c>
      <c r="AK434" s="212">
        <f t="shared" si="232"/>
        <v>0</v>
      </c>
      <c r="AL434" s="172">
        <f t="shared" si="243"/>
        <v>3.9355434782608696</v>
      </c>
      <c r="AM434" s="1973">
        <f t="shared" si="233"/>
        <v>0</v>
      </c>
      <c r="AN434" s="883">
        <f t="shared" si="244"/>
        <v>10.5</v>
      </c>
      <c r="AO434" s="250">
        <f t="shared" si="245"/>
        <v>6.56445652173913</v>
      </c>
      <c r="AP434" s="2432"/>
      <c r="AQ434" s="2432"/>
      <c r="AR434" s="2052" t="str">
        <f t="shared" si="234"/>
        <v>открыт</v>
      </c>
      <c r="AS434" s="2450"/>
      <c r="AT434" s="1094" t="s">
        <v>96</v>
      </c>
      <c r="AU434" s="1095">
        <v>1967</v>
      </c>
      <c r="AV434" s="1101" t="s">
        <v>3218</v>
      </c>
      <c r="AW434" s="1103">
        <v>57.193513743186898</v>
      </c>
      <c r="AX434" s="1103">
        <v>33.014034325895501</v>
      </c>
    </row>
    <row r="435" spans="1:50" ht="15" customHeight="1" x14ac:dyDescent="0.25">
      <c r="A435" s="2419"/>
      <c r="B435" s="2443"/>
      <c r="C435" s="252" t="s">
        <v>1767</v>
      </c>
      <c r="D435" s="246">
        <v>10</v>
      </c>
      <c r="E435" s="247" t="s">
        <v>773</v>
      </c>
      <c r="F435" s="247">
        <v>10</v>
      </c>
      <c r="G435" s="247"/>
      <c r="H435" s="248"/>
      <c r="I435" s="229" t="str">
        <f t="shared" si="228"/>
        <v>10+10</v>
      </c>
      <c r="J435" s="997">
        <v>2.9</v>
      </c>
      <c r="K435" s="1429">
        <v>0</v>
      </c>
      <c r="L435" s="1430">
        <v>0</v>
      </c>
      <c r="M435" s="250">
        <f t="shared" si="247"/>
        <v>2.9</v>
      </c>
      <c r="N435" s="172">
        <v>0</v>
      </c>
      <c r="O435" s="880"/>
      <c r="P435" s="883">
        <f t="shared" si="238"/>
        <v>10.5</v>
      </c>
      <c r="Q435" s="253">
        <f t="shared" si="248"/>
        <v>7.6</v>
      </c>
      <c r="R435" s="2433"/>
      <c r="S435" s="2398"/>
      <c r="T435" s="2052" t="str">
        <f t="shared" si="229"/>
        <v>открыт</v>
      </c>
      <c r="U435" s="2398"/>
      <c r="V435" s="2398"/>
      <c r="W435" s="2398" t="s">
        <v>3033</v>
      </c>
      <c r="X435" s="916"/>
      <c r="Y435" s="2419"/>
      <c r="Z435" s="2439"/>
      <c r="AA435" s="252" t="s">
        <v>1767</v>
      </c>
      <c r="AB435" s="246">
        <f t="shared" si="230"/>
        <v>10</v>
      </c>
      <c r="AC435" s="247" t="str">
        <f t="shared" si="241"/>
        <v>+</v>
      </c>
      <c r="AD435" s="247">
        <f t="shared" si="242"/>
        <v>10</v>
      </c>
      <c r="AE435" s="247"/>
      <c r="AF435" s="248"/>
      <c r="AG435" s="212" t="str">
        <f t="shared" si="236"/>
        <v>10+10</v>
      </c>
      <c r="AH435" s="253">
        <f>'Зона ТоЭс'!L261</f>
        <v>3.2608695652173912E-2</v>
      </c>
      <c r="AI435" s="253">
        <f>AH435+J435</f>
        <v>2.9326086956521737</v>
      </c>
      <c r="AJ435" s="1973">
        <f t="shared" si="231"/>
        <v>0</v>
      </c>
      <c r="AK435" s="212">
        <f t="shared" si="232"/>
        <v>0</v>
      </c>
      <c r="AL435" s="172">
        <f t="shared" si="243"/>
        <v>2.9326086956521737</v>
      </c>
      <c r="AM435" s="1973">
        <f t="shared" si="233"/>
        <v>0</v>
      </c>
      <c r="AN435" s="883">
        <f t="shared" si="244"/>
        <v>10.5</v>
      </c>
      <c r="AO435" s="253">
        <f t="shared" si="245"/>
        <v>7.5673913043478258</v>
      </c>
      <c r="AP435" s="2433"/>
      <c r="AQ435" s="2433"/>
      <c r="AR435" s="2052" t="str">
        <f t="shared" si="234"/>
        <v>открыт</v>
      </c>
      <c r="AS435" s="2451"/>
      <c r="AT435" s="1094" t="s">
        <v>96</v>
      </c>
      <c r="AU435" s="1095">
        <v>1967</v>
      </c>
      <c r="AV435" s="1101" t="s">
        <v>3218</v>
      </c>
      <c r="AW435" s="1103">
        <v>57.193513743186898</v>
      </c>
      <c r="AX435" s="1103">
        <v>33.014034325895501</v>
      </c>
    </row>
    <row r="436" spans="1:50" ht="15" customHeight="1" x14ac:dyDescent="0.25">
      <c r="A436" s="256"/>
      <c r="B436" s="2436" t="s">
        <v>1765</v>
      </c>
      <c r="C436" s="2437"/>
      <c r="D436" s="2445">
        <f>SUMIF(C9:C435,"*ПС*",D9:D435)+SUMIF(C9:C435,"*ПС*",F9:F435)+SUMIF(C9:C435,"*ПС*",H9:H435)</f>
        <v>4141.0599999999977</v>
      </c>
      <c r="E436" s="2446"/>
      <c r="F436" s="2446"/>
      <c r="G436" s="2446"/>
      <c r="H436" s="2447"/>
      <c r="I436" s="243">
        <v>3938.22</v>
      </c>
      <c r="J436" s="897">
        <f>SUMIF(C9:C435,"*ПС*",J9:J435)</f>
        <v>1071.6589999999999</v>
      </c>
      <c r="K436" s="897"/>
      <c r="L436" s="897"/>
      <c r="M436" s="897"/>
      <c r="N436" s="237"/>
      <c r="O436" s="893"/>
      <c r="P436" s="893"/>
      <c r="Q436" s="237"/>
      <c r="R436" s="237"/>
      <c r="S436" s="237"/>
      <c r="T436" s="237"/>
      <c r="U436" s="893"/>
      <c r="V436" s="237"/>
      <c r="W436" s="237"/>
      <c r="X436" s="912"/>
      <c r="Y436" s="256"/>
      <c r="Z436" s="2436" t="s">
        <v>1765</v>
      </c>
      <c r="AA436" s="2438"/>
      <c r="AB436" s="2446">
        <f>SUMIF(AA9:AA435,"*ПС*",AB9:AB435)+SUMIF(AA9:AA435,"*ПС*",AD9:AD435)+SUMIF(AA9:AA435,"*ПС*",AF9:AF435)</f>
        <v>4141.0599999999977</v>
      </c>
      <c r="AC436" s="2446"/>
      <c r="AD436" s="2446"/>
      <c r="AE436" s="2446"/>
      <c r="AF436" s="2447"/>
      <c r="AG436" s="243">
        <v>3938.22</v>
      </c>
      <c r="AH436" s="254">
        <f>SUMIF(AA9:AA435,"*ПС*",AH9:AH435)</f>
        <v>224.97324373539033</v>
      </c>
      <c r="AI436" s="254">
        <f>SUMIF(AA9:AA435,"*ПС*",AI9:AI435)</f>
        <v>1293.9022437353913</v>
      </c>
      <c r="AJ436" s="237"/>
      <c r="AK436" s="237"/>
      <c r="AL436" s="237"/>
      <c r="AM436" s="237"/>
      <c r="AN436" s="893"/>
      <c r="AO436" s="239"/>
      <c r="AP436" s="239"/>
      <c r="AQ436" s="239"/>
      <c r="AR436" s="237"/>
      <c r="AS436" s="939"/>
      <c r="AT436" s="940"/>
      <c r="AV436" s="936"/>
      <c r="AW436" s="172"/>
      <c r="AX436" s="172"/>
    </row>
    <row r="437" spans="1:50" ht="15" customHeight="1" x14ac:dyDescent="0.25">
      <c r="A437" s="256"/>
      <c r="B437" s="2436" t="s">
        <v>886</v>
      </c>
      <c r="C437" s="2437"/>
      <c r="D437" s="2444"/>
      <c r="E437" s="2444"/>
      <c r="F437" s="2444"/>
      <c r="G437" s="2444"/>
      <c r="H437" s="2437"/>
      <c r="I437" s="237"/>
      <c r="J437" s="897"/>
      <c r="K437" s="897"/>
      <c r="L437" s="897"/>
      <c r="M437" s="897"/>
      <c r="N437" s="237"/>
      <c r="O437" s="893"/>
      <c r="P437" s="893"/>
      <c r="Q437" s="237"/>
      <c r="R437" s="1226">
        <f>SUMIF(R9:R435,"&lt;0",R9:R435)</f>
        <v>-36.63555819999776</v>
      </c>
      <c r="S437" s="238"/>
      <c r="T437" s="237"/>
      <c r="U437" s="893"/>
      <c r="V437" s="237"/>
      <c r="W437" s="237"/>
      <c r="X437" s="922"/>
      <c r="Y437" s="256"/>
      <c r="Z437" s="2436" t="s">
        <v>886</v>
      </c>
      <c r="AA437" s="2438"/>
      <c r="AB437" s="2444"/>
      <c r="AC437" s="2444"/>
      <c r="AD437" s="2444"/>
      <c r="AE437" s="2444"/>
      <c r="AF437" s="2437"/>
      <c r="AG437" s="237"/>
      <c r="AH437" s="239"/>
      <c r="AI437" s="239"/>
      <c r="AJ437" s="237"/>
      <c r="AK437" s="237"/>
      <c r="AL437" s="237"/>
      <c r="AM437" s="237"/>
      <c r="AN437" s="893"/>
      <c r="AO437" s="239"/>
      <c r="AP437" s="1226">
        <f>SUMIF(AP9:AP435,"&lt;0",AP9:AP435)</f>
        <v>-109.55329010041854</v>
      </c>
      <c r="AQ437" s="238"/>
      <c r="AR437" s="237"/>
      <c r="AS437" s="939"/>
      <c r="AT437" s="940"/>
      <c r="AV437" s="936"/>
      <c r="AW437" s="172"/>
      <c r="AX437" s="172"/>
    </row>
    <row r="438" spans="1:50" ht="15" customHeight="1" x14ac:dyDescent="0.25">
      <c r="A438" s="256"/>
      <c r="B438" s="2436" t="s">
        <v>887</v>
      </c>
      <c r="C438" s="2437"/>
      <c r="D438" s="2444"/>
      <c r="E438" s="2444"/>
      <c r="F438" s="2444"/>
      <c r="G438" s="2444"/>
      <c r="H438" s="2437"/>
      <c r="I438" s="237"/>
      <c r="J438" s="897"/>
      <c r="K438" s="897"/>
      <c r="L438" s="897"/>
      <c r="M438" s="897"/>
      <c r="N438" s="237"/>
      <c r="O438" s="893"/>
      <c r="P438" s="893"/>
      <c r="Q438" s="237"/>
      <c r="R438" s="1226">
        <f>SUMIF(R9:R435,"&gt;=0",R9:R435)</f>
        <v>1023.4953923760008</v>
      </c>
      <c r="S438" s="238"/>
      <c r="T438" s="237"/>
      <c r="U438" s="893"/>
      <c r="V438" s="237"/>
      <c r="W438" s="237"/>
      <c r="X438" s="922"/>
      <c r="Y438" s="256"/>
      <c r="Z438" s="2436" t="s">
        <v>887</v>
      </c>
      <c r="AA438" s="2438"/>
      <c r="AB438" s="2444"/>
      <c r="AC438" s="2444"/>
      <c r="AD438" s="2444"/>
      <c r="AE438" s="2444"/>
      <c r="AF438" s="2437"/>
      <c r="AG438" s="237"/>
      <c r="AH438" s="239"/>
      <c r="AI438" s="239"/>
      <c r="AJ438" s="237"/>
      <c r="AK438" s="237"/>
      <c r="AL438" s="237"/>
      <c r="AM438" s="237"/>
      <c r="AN438" s="893"/>
      <c r="AO438" s="239"/>
      <c r="AP438" s="1226">
        <f>SUMIF(AP9:AP435,"&gt;=0",AP9:AP435)</f>
        <v>901.47636764972617</v>
      </c>
      <c r="AQ438" s="238"/>
      <c r="AR438" s="237"/>
      <c r="AS438" s="939"/>
      <c r="AT438" s="940"/>
      <c r="AV438" s="936"/>
      <c r="AW438" s="172"/>
      <c r="AX438" s="172"/>
    </row>
    <row r="439" spans="1:50" ht="15" hidden="1" customHeight="1" x14ac:dyDescent="0.25">
      <c r="A439" s="855"/>
      <c r="B439" s="856"/>
      <c r="C439" s="941" t="s">
        <v>1765</v>
      </c>
      <c r="D439" s="2428">
        <f>SUMIF(C9:C78,"*ПС*",D9:D78)+SUMIF(C9:C78,"*ПС*",F9:F78)+SUMIF(C9:C78,"*ПС*",H9:H78)</f>
        <v>342.20000000000005</v>
      </c>
      <c r="E439" s="2429"/>
      <c r="F439" s="2429"/>
      <c r="G439" s="2429"/>
      <c r="H439" s="2430"/>
      <c r="I439" s="857"/>
      <c r="J439" s="892">
        <f>SUMIF(C9:C78,"*ПС*",J9:J78)</f>
        <v>74.800000000000011</v>
      </c>
      <c r="K439" s="894"/>
      <c r="L439" s="894"/>
      <c r="M439" s="942"/>
      <c r="N439" s="894"/>
      <c r="O439" s="943"/>
      <c r="P439" s="859"/>
      <c r="Q439" s="944"/>
      <c r="R439" s="860"/>
      <c r="S439" s="859"/>
      <c r="T439" s="859"/>
      <c r="U439" s="945"/>
      <c r="V439" s="943"/>
      <c r="W439" s="943"/>
      <c r="Y439" s="855"/>
      <c r="Z439" s="856"/>
      <c r="AA439" s="941" t="s">
        <v>1765</v>
      </c>
      <c r="AB439" s="2428">
        <f>SUMIF(AA9:AA78,"*ПС*",AB9:AB78)+SUMIF(AA9:AA78,"*ПС*",AD9:AD78)+SUMIF(AA9:AA78,"*ПС*",AF9:AF78)</f>
        <v>342.20000000000005</v>
      </c>
      <c r="AC439" s="2429"/>
      <c r="AD439" s="2429"/>
      <c r="AE439" s="2429"/>
      <c r="AF439" s="2430"/>
      <c r="AG439" s="576"/>
      <c r="AH439" s="858">
        <f>SUMIF(AA9:AA78,"*ПС*",AH9:AH78)</f>
        <v>4.0495652173913044</v>
      </c>
      <c r="AI439" s="861"/>
      <c r="AJ439" s="862"/>
      <c r="AK439" s="862"/>
      <c r="AL439" s="862"/>
      <c r="AM439" s="862"/>
      <c r="AN439" s="862"/>
      <c r="AO439" s="863"/>
      <c r="AP439" s="864"/>
      <c r="AQ439" s="946"/>
      <c r="AR439" s="947"/>
      <c r="AS439" s="948"/>
      <c r="AT439" s="949" t="s">
        <v>743</v>
      </c>
      <c r="AU439" s="923"/>
    </row>
    <row r="440" spans="1:50" ht="15" hidden="1" customHeight="1" x14ac:dyDescent="0.25">
      <c r="A440" s="950"/>
      <c r="B440" s="928"/>
      <c r="C440" s="951" t="s">
        <v>886</v>
      </c>
      <c r="D440" s="952"/>
      <c r="E440" s="953"/>
      <c r="F440" s="225"/>
      <c r="G440" s="953"/>
      <c r="H440" s="953"/>
      <c r="I440" s="954"/>
      <c r="J440" s="954"/>
      <c r="K440" s="955"/>
      <c r="L440" s="955"/>
      <c r="M440" s="956"/>
      <c r="N440" s="955"/>
      <c r="O440" s="954"/>
      <c r="P440" s="954"/>
      <c r="Q440" s="2434">
        <f>SUMIF(R9:R78,"&lt;0",R9:R78)</f>
        <v>-1.1299999999999999</v>
      </c>
      <c r="R440" s="2435"/>
      <c r="S440" s="954"/>
      <c r="T440" s="865"/>
      <c r="U440" s="957"/>
      <c r="V440" s="958"/>
      <c r="W440" s="958"/>
      <c r="Y440" s="950"/>
      <c r="Z440" s="928"/>
      <c r="AA440" s="951" t="s">
        <v>886</v>
      </c>
      <c r="AB440" s="230"/>
      <c r="AC440" s="959"/>
      <c r="AD440" s="959"/>
      <c r="AE440" s="959"/>
      <c r="AF440" s="959"/>
      <c r="AG440" s="960"/>
      <c r="AH440" s="960"/>
      <c r="AI440" s="960"/>
      <c r="AJ440" s="960"/>
      <c r="AK440" s="960"/>
      <c r="AL440" s="960"/>
      <c r="AM440" s="960"/>
      <c r="AN440" s="961"/>
      <c r="AO440" s="2434">
        <f>SUMIF(AP9:AP78,"&lt;0",AP9:AP78)</f>
        <v>-1.2522826086956522</v>
      </c>
      <c r="AP440" s="2435"/>
      <c r="AQ440" s="962"/>
      <c r="AR440" s="963"/>
      <c r="AS440" s="964"/>
      <c r="AT440" s="965" t="s">
        <v>743</v>
      </c>
      <c r="AU440" s="923"/>
    </row>
    <row r="441" spans="1:50" ht="15" hidden="1" customHeight="1" thickBot="1" x14ac:dyDescent="0.3">
      <c r="A441" s="966"/>
      <c r="B441" s="967"/>
      <c r="C441" s="968" t="s">
        <v>887</v>
      </c>
      <c r="D441" s="969"/>
      <c r="E441" s="866"/>
      <c r="F441" s="866"/>
      <c r="G441" s="866"/>
      <c r="H441" s="866"/>
      <c r="I441" s="866"/>
      <c r="J441" s="866"/>
      <c r="K441" s="894"/>
      <c r="L441" s="894"/>
      <c r="M441" s="942"/>
      <c r="N441" s="894"/>
      <c r="O441" s="970"/>
      <c r="P441" s="866"/>
      <c r="Q441" s="2426">
        <f>SUMIF(R9:R78,"&gt;=0",R9:R78)</f>
        <v>105.31</v>
      </c>
      <c r="R441" s="2427"/>
      <c r="S441" s="866"/>
      <c r="T441" s="866"/>
      <c r="U441" s="971"/>
      <c r="V441" s="943"/>
      <c r="W441" s="943"/>
      <c r="Y441" s="966"/>
      <c r="Z441" s="967"/>
      <c r="AA441" s="968" t="s">
        <v>887</v>
      </c>
      <c r="AB441" s="972"/>
      <c r="AC441" s="973"/>
      <c r="AD441" s="973"/>
      <c r="AE441" s="973"/>
      <c r="AF441" s="973"/>
      <c r="AG441" s="973"/>
      <c r="AH441" s="973"/>
      <c r="AI441" s="973"/>
      <c r="AJ441" s="973"/>
      <c r="AK441" s="973"/>
      <c r="AL441" s="973"/>
      <c r="AM441" s="973"/>
      <c r="AN441" s="974"/>
      <c r="AO441" s="2426">
        <f>SUMIF(AP9:AP78,"&gt;=0",AP9:AP78)</f>
        <v>101.54641304347825</v>
      </c>
      <c r="AP441" s="2427"/>
      <c r="AQ441" s="975"/>
      <c r="AR441" s="976"/>
      <c r="AS441" s="977"/>
      <c r="AT441" s="978" t="s">
        <v>743</v>
      </c>
      <c r="AU441" s="923"/>
    </row>
    <row r="442" spans="1:50" ht="15" hidden="1" customHeight="1" x14ac:dyDescent="0.25">
      <c r="A442" s="855"/>
      <c r="B442" s="856"/>
      <c r="C442" s="941" t="s">
        <v>1765</v>
      </c>
      <c r="D442" s="2428">
        <f>SUMIF(C79:C156,"*ПС*",D79:D156)+SUMIF(C79:C156,"*ПС*",F79:F156)+SUMIF(C79:C156,"*ПС*",H79:H156)</f>
        <v>647.49999999999989</v>
      </c>
      <c r="E442" s="2429"/>
      <c r="F442" s="2429"/>
      <c r="G442" s="2429"/>
      <c r="H442" s="2430"/>
      <c r="I442" s="857"/>
      <c r="J442" s="892">
        <f>SUMIF(C79:C156,"*ПС*",J79:J156)</f>
        <v>124.38000000000002</v>
      </c>
      <c r="K442" s="894"/>
      <c r="L442" s="894"/>
      <c r="M442" s="942"/>
      <c r="N442" s="894"/>
      <c r="O442" s="943"/>
      <c r="P442" s="859"/>
      <c r="Q442" s="944"/>
      <c r="R442" s="860"/>
      <c r="S442" s="859"/>
      <c r="T442" s="859"/>
      <c r="U442" s="945"/>
      <c r="V442" s="943"/>
      <c r="W442" s="943"/>
      <c r="Y442" s="855"/>
      <c r="Z442" s="856"/>
      <c r="AA442" s="941" t="s">
        <v>1765</v>
      </c>
      <c r="AB442" s="2428">
        <f>SUMIF(AA79:AA156,"*ПС*",AB79:AB156)+SUMIF(AA79:AA156,"*ПС*",AD79:AD156)+SUMIF(AA79:AA156,"*ПС*",AF79:AF156)</f>
        <v>647.49999999999989</v>
      </c>
      <c r="AC442" s="2429"/>
      <c r="AD442" s="2429"/>
      <c r="AE442" s="2429"/>
      <c r="AF442" s="2430"/>
      <c r="AG442" s="857"/>
      <c r="AH442" s="858">
        <f>SUMIF(AA79:AA156,"*ПС*",AH79:AH156)</f>
        <v>7.4340434782608691</v>
      </c>
      <c r="AI442" s="861"/>
      <c r="AJ442" s="862"/>
      <c r="AK442" s="862"/>
      <c r="AL442" s="862"/>
      <c r="AM442" s="862"/>
      <c r="AN442" s="862"/>
      <c r="AO442" s="863"/>
      <c r="AP442" s="864"/>
      <c r="AQ442" s="946"/>
      <c r="AR442" s="947"/>
      <c r="AS442" s="948"/>
      <c r="AT442" s="949" t="s">
        <v>744</v>
      </c>
      <c r="AU442" s="923"/>
    </row>
    <row r="443" spans="1:50" ht="15" hidden="1" customHeight="1" x14ac:dyDescent="0.25">
      <c r="A443" s="950"/>
      <c r="B443" s="928"/>
      <c r="C443" s="951" t="s">
        <v>886</v>
      </c>
      <c r="D443" s="952"/>
      <c r="E443" s="953"/>
      <c r="F443" s="225"/>
      <c r="G443" s="953"/>
      <c r="H443" s="953"/>
      <c r="I443" s="954"/>
      <c r="J443" s="954"/>
      <c r="K443" s="955"/>
      <c r="L443" s="955"/>
      <c r="M443" s="956"/>
      <c r="N443" s="955"/>
      <c r="O443" s="954"/>
      <c r="P443" s="954"/>
      <c r="Q443" s="2434">
        <f>SUMIF(R79:R156,"&lt;0",R79:R156)</f>
        <v>-2.2300000000000004</v>
      </c>
      <c r="R443" s="2435"/>
      <c r="S443" s="954"/>
      <c r="T443" s="865"/>
      <c r="U443" s="957"/>
      <c r="V443" s="958"/>
      <c r="W443" s="958"/>
      <c r="Y443" s="950"/>
      <c r="Z443" s="928"/>
      <c r="AA443" s="951" t="s">
        <v>886</v>
      </c>
      <c r="AB443" s="230"/>
      <c r="AC443" s="959"/>
      <c r="AD443" s="959"/>
      <c r="AE443" s="959"/>
      <c r="AF443" s="959"/>
      <c r="AG443" s="960"/>
      <c r="AH443" s="960"/>
      <c r="AI443" s="960"/>
      <c r="AJ443" s="960"/>
      <c r="AK443" s="960"/>
      <c r="AL443" s="960"/>
      <c r="AM443" s="960"/>
      <c r="AN443" s="961"/>
      <c r="AO443" s="2434">
        <f>SUMIF(AP79:AP156,"&lt;0",AP79:AP156)</f>
        <v>-2.7349999999999999</v>
      </c>
      <c r="AP443" s="2435"/>
      <c r="AQ443" s="962"/>
      <c r="AR443" s="963"/>
      <c r="AS443" s="964"/>
      <c r="AT443" s="965" t="s">
        <v>744</v>
      </c>
      <c r="AU443" s="923"/>
    </row>
    <row r="444" spans="1:50" ht="15" hidden="1" customHeight="1" thickBot="1" x14ac:dyDescent="0.3">
      <c r="A444" s="966"/>
      <c r="B444" s="967"/>
      <c r="C444" s="968" t="s">
        <v>887</v>
      </c>
      <c r="D444" s="969"/>
      <c r="E444" s="866"/>
      <c r="F444" s="866"/>
      <c r="G444" s="866"/>
      <c r="H444" s="866"/>
      <c r="I444" s="866"/>
      <c r="J444" s="866"/>
      <c r="K444" s="894"/>
      <c r="L444" s="894"/>
      <c r="M444" s="942"/>
      <c r="N444" s="894"/>
      <c r="O444" s="970"/>
      <c r="P444" s="866"/>
      <c r="Q444" s="2426">
        <f>SUMIF(R79:R156,"&gt;=0",R79:R156)</f>
        <v>209.69499999999999</v>
      </c>
      <c r="R444" s="2427"/>
      <c r="S444" s="866"/>
      <c r="T444" s="866"/>
      <c r="U444" s="971"/>
      <c r="V444" s="943"/>
      <c r="W444" s="943"/>
      <c r="Y444" s="966"/>
      <c r="Z444" s="967"/>
      <c r="AA444" s="968" t="s">
        <v>887</v>
      </c>
      <c r="AB444" s="972"/>
      <c r="AC444" s="973"/>
      <c r="AD444" s="973"/>
      <c r="AE444" s="973"/>
      <c r="AF444" s="973"/>
      <c r="AG444" s="973"/>
      <c r="AH444" s="973"/>
      <c r="AI444" s="973"/>
      <c r="AJ444" s="973"/>
      <c r="AK444" s="973"/>
      <c r="AL444" s="973"/>
      <c r="AM444" s="973"/>
      <c r="AN444" s="974"/>
      <c r="AO444" s="2426">
        <f>SUMIF(AP79:AP156,"&gt;=0",AP79:AP156)</f>
        <v>202.56595652173911</v>
      </c>
      <c r="AP444" s="2427"/>
      <c r="AQ444" s="975"/>
      <c r="AR444" s="976"/>
      <c r="AS444" s="977"/>
      <c r="AT444" s="978" t="s">
        <v>744</v>
      </c>
      <c r="AU444" s="923"/>
    </row>
    <row r="445" spans="1:50" ht="15" hidden="1" customHeight="1" x14ac:dyDescent="0.25">
      <c r="A445" s="855"/>
      <c r="B445" s="856"/>
      <c r="C445" s="941" t="s">
        <v>1765</v>
      </c>
      <c r="D445" s="2428">
        <f>SUMIF(C157:C206,"*ПС*",D157:D206)+SUMIF(C157:C206,"*ПС*",F157:F206)+SUMIF(C157:C206,"*ПС*",H157:H206)</f>
        <v>524.6</v>
      </c>
      <c r="E445" s="2429"/>
      <c r="F445" s="2429"/>
      <c r="G445" s="2429"/>
      <c r="H445" s="2430"/>
      <c r="I445" s="857"/>
      <c r="J445" s="892">
        <f>SUMIF(C157:C206,"*ПС*",J157:J206)</f>
        <v>130.44000000000003</v>
      </c>
      <c r="K445" s="894"/>
      <c r="L445" s="894"/>
      <c r="M445" s="942"/>
      <c r="N445" s="894"/>
      <c r="O445" s="943"/>
      <c r="P445" s="859"/>
      <c r="Q445" s="944"/>
      <c r="R445" s="860"/>
      <c r="S445" s="859"/>
      <c r="T445" s="859"/>
      <c r="U445" s="945"/>
      <c r="V445" s="943"/>
      <c r="W445" s="943"/>
      <c r="Y445" s="855"/>
      <c r="Z445" s="856"/>
      <c r="AA445" s="941" t="s">
        <v>1765</v>
      </c>
      <c r="AB445" s="2428">
        <f>SUMIF(AA157:AA206,"*ПС*",AB157:AB206)+SUMIF(AA157:AA206,"*ПС*",AD157:AD206)+SUMIF(AA157:AA206,"*ПС*",AF157:AF206)</f>
        <v>524.6</v>
      </c>
      <c r="AC445" s="2429"/>
      <c r="AD445" s="2429"/>
      <c r="AE445" s="2429"/>
      <c r="AF445" s="2430"/>
      <c r="AG445" s="857"/>
      <c r="AH445" s="858">
        <f>SUMIF(AA157:AA206,"*ПС*",AH157:AH206)</f>
        <v>20.176397054698459</v>
      </c>
      <c r="AI445" s="861"/>
      <c r="AJ445" s="862"/>
      <c r="AK445" s="862"/>
      <c r="AL445" s="862"/>
      <c r="AM445" s="862"/>
      <c r="AN445" s="862"/>
      <c r="AO445" s="863"/>
      <c r="AP445" s="864"/>
      <c r="AQ445" s="946"/>
      <c r="AR445" s="947"/>
      <c r="AS445" s="948"/>
      <c r="AT445" s="949" t="s">
        <v>746</v>
      </c>
      <c r="AU445" s="923"/>
    </row>
    <row r="446" spans="1:50" ht="15" hidden="1" customHeight="1" x14ac:dyDescent="0.25">
      <c r="A446" s="950"/>
      <c r="B446" s="928"/>
      <c r="C446" s="951" t="s">
        <v>886</v>
      </c>
      <c r="D446" s="952"/>
      <c r="E446" s="953"/>
      <c r="F446" s="225"/>
      <c r="G446" s="953"/>
      <c r="H446" s="953"/>
      <c r="I446" s="954"/>
      <c r="J446" s="954"/>
      <c r="K446" s="955"/>
      <c r="L446" s="955"/>
      <c r="M446" s="956"/>
      <c r="N446" s="955"/>
      <c r="O446" s="954"/>
      <c r="P446" s="954"/>
      <c r="Q446" s="2434">
        <f>SUMIF(R157:R206,"&lt;0",R157:R206)</f>
        <v>-1.7700000000000016</v>
      </c>
      <c r="R446" s="2435"/>
      <c r="S446" s="954"/>
      <c r="T446" s="865"/>
      <c r="U446" s="957"/>
      <c r="V446" s="958"/>
      <c r="W446" s="958"/>
      <c r="Y446" s="950"/>
      <c r="Z446" s="928"/>
      <c r="AA446" s="951" t="s">
        <v>886</v>
      </c>
      <c r="AB446" s="230"/>
      <c r="AC446" s="959"/>
      <c r="AD446" s="959"/>
      <c r="AE446" s="959"/>
      <c r="AF446" s="959"/>
      <c r="AG446" s="960"/>
      <c r="AH446" s="960"/>
      <c r="AI446" s="960"/>
      <c r="AJ446" s="960"/>
      <c r="AK446" s="960"/>
      <c r="AL446" s="960"/>
      <c r="AM446" s="960"/>
      <c r="AN446" s="961"/>
      <c r="AO446" s="2434">
        <f>SUMIF(AP157:AP206,"&lt;0",AP157:AP206)</f>
        <v>-8.8665217391304374</v>
      </c>
      <c r="AP446" s="2435"/>
      <c r="AQ446" s="962"/>
      <c r="AR446" s="963"/>
      <c r="AS446" s="964"/>
      <c r="AT446" s="965" t="s">
        <v>746</v>
      </c>
      <c r="AU446" s="923"/>
    </row>
    <row r="447" spans="1:50" ht="15" hidden="1" customHeight="1" thickBot="1" x14ac:dyDescent="0.3">
      <c r="A447" s="966"/>
      <c r="B447" s="967"/>
      <c r="C447" s="968" t="s">
        <v>887</v>
      </c>
      <c r="D447" s="969"/>
      <c r="E447" s="866"/>
      <c r="F447" s="866"/>
      <c r="G447" s="866"/>
      <c r="H447" s="866"/>
      <c r="I447" s="866"/>
      <c r="J447" s="866"/>
      <c r="K447" s="894"/>
      <c r="L447" s="894"/>
      <c r="M447" s="942"/>
      <c r="N447" s="894"/>
      <c r="O447" s="970"/>
      <c r="P447" s="866"/>
      <c r="Q447" s="2426">
        <f>SUMIF(R157:R206,"&gt;=0",R157:R206)</f>
        <v>128.46499999999997</v>
      </c>
      <c r="R447" s="2427"/>
      <c r="S447" s="866"/>
      <c r="T447" s="866"/>
      <c r="U447" s="971"/>
      <c r="V447" s="943"/>
      <c r="W447" s="943"/>
      <c r="Y447" s="966"/>
      <c r="Z447" s="967"/>
      <c r="AA447" s="968" t="s">
        <v>887</v>
      </c>
      <c r="AB447" s="972"/>
      <c r="AC447" s="973"/>
      <c r="AD447" s="973"/>
      <c r="AE447" s="973"/>
      <c r="AF447" s="973"/>
      <c r="AG447" s="973"/>
      <c r="AH447" s="973"/>
      <c r="AI447" s="973"/>
      <c r="AJ447" s="973"/>
      <c r="AK447" s="973"/>
      <c r="AL447" s="973"/>
      <c r="AM447" s="973"/>
      <c r="AN447" s="974"/>
      <c r="AO447" s="2426">
        <f>SUMIF(AP157:AP206,"&gt;=0",AP157:AP206)</f>
        <v>115.38512468443197</v>
      </c>
      <c r="AP447" s="2427"/>
      <c r="AQ447" s="975"/>
      <c r="AR447" s="976"/>
      <c r="AS447" s="977"/>
      <c r="AT447" s="978" t="s">
        <v>746</v>
      </c>
      <c r="AU447" s="923"/>
    </row>
    <row r="448" spans="1:50" ht="15" hidden="1" customHeight="1" x14ac:dyDescent="0.25">
      <c r="A448" s="855"/>
      <c r="B448" s="856"/>
      <c r="C448" s="941" t="s">
        <v>1765</v>
      </c>
      <c r="D448" s="2428">
        <f>SUMIF(C207:C243,"*ПС*",D207:D243)+SUMIF(C207:C243,"*ПС*",F207:F243)+SUMIF(C207:C243,"*ПС*",H207:H243)</f>
        <v>251.59999999999997</v>
      </c>
      <c r="E448" s="2429"/>
      <c r="F448" s="2429"/>
      <c r="G448" s="2429"/>
      <c r="H448" s="2430"/>
      <c r="I448" s="857"/>
      <c r="J448" s="892">
        <f>SUMIF(C207:C243,"*ПС*",J207:J243)</f>
        <v>58.53</v>
      </c>
      <c r="K448" s="894"/>
      <c r="L448" s="894"/>
      <c r="M448" s="942"/>
      <c r="N448" s="894"/>
      <c r="O448" s="943"/>
      <c r="P448" s="859"/>
      <c r="Q448" s="944"/>
      <c r="R448" s="860"/>
      <c r="S448" s="859"/>
      <c r="T448" s="859"/>
      <c r="U448" s="945"/>
      <c r="V448" s="943"/>
      <c r="W448" s="943"/>
      <c r="Y448" s="855"/>
      <c r="Z448" s="856"/>
      <c r="AA448" s="941" t="s">
        <v>1765</v>
      </c>
      <c r="AB448" s="2428">
        <f>SUMIF(AA207:AA243,"*ПС*",AB207:AB243)+SUMIF(AA207:AA243,"*ПС*",AD207:AD243)+SUMIF(AA207:AA243,"*ПС*",AF207:AF243)</f>
        <v>251.59999999999997</v>
      </c>
      <c r="AC448" s="2429"/>
      <c r="AD448" s="2429"/>
      <c r="AE448" s="2429"/>
      <c r="AF448" s="2430"/>
      <c r="AG448" s="857"/>
      <c r="AH448" s="858">
        <f>SUMIF(AA207:AA243,"*ПС*",AH207:AH243)</f>
        <v>2.7931630434782608</v>
      </c>
      <c r="AI448" s="861"/>
      <c r="AJ448" s="862"/>
      <c r="AK448" s="862"/>
      <c r="AL448" s="862"/>
      <c r="AM448" s="862"/>
      <c r="AN448" s="862"/>
      <c r="AO448" s="863"/>
      <c r="AP448" s="864"/>
      <c r="AQ448" s="946"/>
      <c r="AR448" s="947"/>
      <c r="AS448" s="979"/>
      <c r="AT448" s="949" t="s">
        <v>95</v>
      </c>
      <c r="AU448" s="923"/>
    </row>
    <row r="449" spans="1:47" ht="15" hidden="1" customHeight="1" x14ac:dyDescent="0.25">
      <c r="A449" s="950"/>
      <c r="B449" s="928"/>
      <c r="C449" s="951" t="s">
        <v>886</v>
      </c>
      <c r="D449" s="952"/>
      <c r="E449" s="953"/>
      <c r="F449" s="225"/>
      <c r="G449" s="953"/>
      <c r="H449" s="953"/>
      <c r="I449" s="954"/>
      <c r="J449" s="954"/>
      <c r="K449" s="955"/>
      <c r="L449" s="955"/>
      <c r="M449" s="956"/>
      <c r="N449" s="955"/>
      <c r="O449" s="954"/>
      <c r="P449" s="954"/>
      <c r="Q449" s="2434">
        <f>SUMIF(R207:R243,"&lt;0",R207:R243)</f>
        <v>-2.25</v>
      </c>
      <c r="R449" s="2435"/>
      <c r="S449" s="954"/>
      <c r="T449" s="865"/>
      <c r="U449" s="957"/>
      <c r="V449" s="958"/>
      <c r="W449" s="958"/>
      <c r="Y449" s="950"/>
      <c r="Z449" s="928"/>
      <c r="AA449" s="951" t="s">
        <v>886</v>
      </c>
      <c r="AB449" s="230"/>
      <c r="AC449" s="959"/>
      <c r="AD449" s="959"/>
      <c r="AE449" s="959"/>
      <c r="AF449" s="959"/>
      <c r="AG449" s="960"/>
      <c r="AH449" s="960"/>
      <c r="AI449" s="960"/>
      <c r="AJ449" s="960"/>
      <c r="AK449" s="960"/>
      <c r="AL449" s="960"/>
      <c r="AM449" s="960"/>
      <c r="AN449" s="961"/>
      <c r="AO449" s="2434">
        <f>SUMIF(AP207:AP243,"&lt;0",AP207:AP243)</f>
        <v>-2.3608695652173912</v>
      </c>
      <c r="AP449" s="2435"/>
      <c r="AQ449" s="962"/>
      <c r="AR449" s="963"/>
      <c r="AS449" s="980"/>
      <c r="AT449" s="965" t="s">
        <v>95</v>
      </c>
      <c r="AU449" s="923"/>
    </row>
    <row r="450" spans="1:47" ht="15" hidden="1" customHeight="1" thickBot="1" x14ac:dyDescent="0.3">
      <c r="A450" s="966"/>
      <c r="B450" s="967"/>
      <c r="C450" s="968" t="s">
        <v>887</v>
      </c>
      <c r="D450" s="969"/>
      <c r="E450" s="866"/>
      <c r="F450" s="866"/>
      <c r="G450" s="866"/>
      <c r="H450" s="866"/>
      <c r="I450" s="866"/>
      <c r="J450" s="866"/>
      <c r="K450" s="894"/>
      <c r="L450" s="894"/>
      <c r="M450" s="942"/>
      <c r="N450" s="894"/>
      <c r="O450" s="970"/>
      <c r="P450" s="866"/>
      <c r="Q450" s="2426">
        <f>SUMIF(R207:R243,"&gt;=0",R207:R243)</f>
        <v>76.52000000000001</v>
      </c>
      <c r="R450" s="2427"/>
      <c r="S450" s="866"/>
      <c r="T450" s="866"/>
      <c r="U450" s="971"/>
      <c r="V450" s="943"/>
      <c r="W450" s="943"/>
      <c r="Y450" s="966"/>
      <c r="Z450" s="967"/>
      <c r="AA450" s="968" t="s">
        <v>887</v>
      </c>
      <c r="AB450" s="972"/>
      <c r="AC450" s="973"/>
      <c r="AD450" s="973"/>
      <c r="AE450" s="973"/>
      <c r="AF450" s="973"/>
      <c r="AG450" s="973"/>
      <c r="AH450" s="973"/>
      <c r="AI450" s="973"/>
      <c r="AJ450" s="973"/>
      <c r="AK450" s="973"/>
      <c r="AL450" s="973"/>
      <c r="AM450" s="973"/>
      <c r="AN450" s="974"/>
      <c r="AO450" s="2426">
        <f>SUMIF(AP207:AP243,"&gt;=0",AP207:AP243)</f>
        <v>76.56770652173914</v>
      </c>
      <c r="AP450" s="2427"/>
      <c r="AQ450" s="975"/>
      <c r="AR450" s="976"/>
      <c r="AS450" s="981"/>
      <c r="AT450" s="978" t="s">
        <v>95</v>
      </c>
      <c r="AU450" s="923"/>
    </row>
    <row r="451" spans="1:47" ht="15" hidden="1" customHeight="1" x14ac:dyDescent="0.25">
      <c r="A451" s="855"/>
      <c r="B451" s="856"/>
      <c r="C451" s="941" t="s">
        <v>1765</v>
      </c>
      <c r="D451" s="2428">
        <f>SUMIF(C244:C282,"*ПС*",D244:D282)+SUMIF(C244:C282,"*ПС*",F244:F282)+SUMIF(C244:C282,"*ПС*",H244:H282)</f>
        <v>331.79999999999995</v>
      </c>
      <c r="E451" s="2429"/>
      <c r="F451" s="2429"/>
      <c r="G451" s="2429"/>
      <c r="H451" s="2430"/>
      <c r="I451" s="857"/>
      <c r="J451" s="892">
        <f>SUMIF(C244:C282,"*ПС*",J244:J282)</f>
        <v>94.37</v>
      </c>
      <c r="K451" s="894"/>
      <c r="L451" s="894"/>
      <c r="M451" s="942"/>
      <c r="N451" s="894"/>
      <c r="O451" s="943"/>
      <c r="P451" s="859"/>
      <c r="Q451" s="944"/>
      <c r="R451" s="860"/>
      <c r="S451" s="859"/>
      <c r="T451" s="859"/>
      <c r="U451" s="945"/>
      <c r="V451" s="943"/>
      <c r="W451" s="943"/>
      <c r="Y451" s="855"/>
      <c r="Z451" s="856"/>
      <c r="AA451" s="941" t="s">
        <v>1765</v>
      </c>
      <c r="AB451" s="2428">
        <f>SUMIF(AA244:AA282,"*ПС*",AB244:AB282)+SUMIF(AA244:AA282,"*ПС*",AD244:AD282)+SUMIF(AA244:AA282,"*ПС*",AF244:AF282)</f>
        <v>331.79999999999995</v>
      </c>
      <c r="AC451" s="2429"/>
      <c r="AD451" s="2429"/>
      <c r="AE451" s="2429"/>
      <c r="AF451" s="2430"/>
      <c r="AG451" s="857"/>
      <c r="AH451" s="858">
        <f>SUMIF(AA244:AA282,"*ПС*",AH244:AH282)</f>
        <v>12.276263323983169</v>
      </c>
      <c r="AI451" s="861"/>
      <c r="AJ451" s="862"/>
      <c r="AK451" s="862"/>
      <c r="AL451" s="862"/>
      <c r="AM451" s="862"/>
      <c r="AN451" s="862"/>
      <c r="AO451" s="863"/>
      <c r="AP451" s="864"/>
      <c r="AQ451" s="946"/>
      <c r="AR451" s="947"/>
      <c r="AS451" s="979"/>
      <c r="AT451" s="949" t="s">
        <v>747</v>
      </c>
      <c r="AU451" s="923"/>
    </row>
    <row r="452" spans="1:47" ht="15" hidden="1" customHeight="1" x14ac:dyDescent="0.25">
      <c r="A452" s="950"/>
      <c r="B452" s="928"/>
      <c r="C452" s="951" t="s">
        <v>886</v>
      </c>
      <c r="D452" s="952"/>
      <c r="E452" s="953"/>
      <c r="F452" s="225"/>
      <c r="G452" s="953"/>
      <c r="H452" s="953"/>
      <c r="I452" s="954"/>
      <c r="J452" s="954"/>
      <c r="K452" s="955"/>
      <c r="L452" s="955"/>
      <c r="M452" s="956"/>
      <c r="N452" s="955"/>
      <c r="O452" s="954"/>
      <c r="P452" s="954"/>
      <c r="Q452" s="2434">
        <f>SUMIF(R244:R282,"&lt;0",R244:R282)</f>
        <v>-3.6055581999977693</v>
      </c>
      <c r="R452" s="2435"/>
      <c r="S452" s="954"/>
      <c r="T452" s="865"/>
      <c r="U452" s="957"/>
      <c r="V452" s="958"/>
      <c r="W452" s="958"/>
      <c r="Y452" s="950"/>
      <c r="Z452" s="928"/>
      <c r="AA452" s="951" t="s">
        <v>886</v>
      </c>
      <c r="AB452" s="230"/>
      <c r="AC452" s="959"/>
      <c r="AD452" s="959"/>
      <c r="AE452" s="959"/>
      <c r="AF452" s="959"/>
      <c r="AG452" s="960"/>
      <c r="AH452" s="960"/>
      <c r="AI452" s="960"/>
      <c r="AJ452" s="960"/>
      <c r="AK452" s="960"/>
      <c r="AL452" s="960"/>
      <c r="AM452" s="960"/>
      <c r="AN452" s="961"/>
      <c r="AO452" s="2434">
        <f>SUMIF(AP244:AP282,"&lt;0",AP244:AP282)</f>
        <v>-4.7458190695629874</v>
      </c>
      <c r="AP452" s="2435"/>
      <c r="AQ452" s="962"/>
      <c r="AR452" s="963"/>
      <c r="AS452" s="980"/>
      <c r="AT452" s="965" t="s">
        <v>747</v>
      </c>
      <c r="AU452" s="923"/>
    </row>
    <row r="453" spans="1:47" ht="15" hidden="1" customHeight="1" thickBot="1" x14ac:dyDescent="0.3">
      <c r="A453" s="966"/>
      <c r="B453" s="967"/>
      <c r="C453" s="968" t="s">
        <v>887</v>
      </c>
      <c r="D453" s="969"/>
      <c r="E453" s="866"/>
      <c r="F453" s="866"/>
      <c r="G453" s="866"/>
      <c r="H453" s="866"/>
      <c r="I453" s="866"/>
      <c r="J453" s="866"/>
      <c r="K453" s="894"/>
      <c r="L453" s="894"/>
      <c r="M453" s="942"/>
      <c r="N453" s="894"/>
      <c r="O453" s="970"/>
      <c r="P453" s="866"/>
      <c r="Q453" s="2426">
        <f>SUMIF(R244:R282,"&gt;=0",R244:R282)</f>
        <v>67.691932376000381</v>
      </c>
      <c r="R453" s="2427"/>
      <c r="S453" s="866"/>
      <c r="T453" s="866"/>
      <c r="U453" s="971"/>
      <c r="V453" s="943"/>
      <c r="W453" s="943"/>
      <c r="Y453" s="966"/>
      <c r="Z453" s="967"/>
      <c r="AA453" s="968" t="s">
        <v>887</v>
      </c>
      <c r="AB453" s="972"/>
      <c r="AC453" s="973"/>
      <c r="AD453" s="973"/>
      <c r="AE453" s="973"/>
      <c r="AF453" s="973"/>
      <c r="AG453" s="973"/>
      <c r="AH453" s="973"/>
      <c r="AI453" s="973"/>
      <c r="AJ453" s="973"/>
      <c r="AK453" s="973"/>
      <c r="AL453" s="973"/>
      <c r="AM453" s="973"/>
      <c r="AN453" s="974"/>
      <c r="AO453" s="2426">
        <f>SUMIF(AP244:AP282,"&gt;=0",AP244:AP282)</f>
        <v>72.045134421582461</v>
      </c>
      <c r="AP453" s="2427"/>
      <c r="AQ453" s="975"/>
      <c r="AR453" s="976"/>
      <c r="AS453" s="981"/>
      <c r="AT453" s="978" t="s">
        <v>747</v>
      </c>
      <c r="AU453" s="923"/>
    </row>
    <row r="454" spans="1:47" ht="15" hidden="1" customHeight="1" x14ac:dyDescent="0.25">
      <c r="A454" s="855"/>
      <c r="B454" s="856"/>
      <c r="C454" s="941" t="s">
        <v>1765</v>
      </c>
      <c r="D454" s="2428">
        <f>SUMIF(C283:C386,"*ПС*",D283:D386)+SUMIF(C283:C386,"*ПС*",F283:F386)+SUMIF(C283:C386,"*ПС*",H283:H386)</f>
        <v>1400.8000000000002</v>
      </c>
      <c r="E454" s="2429"/>
      <c r="F454" s="2429"/>
      <c r="G454" s="2429"/>
      <c r="H454" s="2430"/>
      <c r="I454" s="857"/>
      <c r="J454" s="892">
        <f>SUMIF(C283:C386,"*ПС*",J283:J386)</f>
        <v>460.85900000000004</v>
      </c>
      <c r="K454" s="894"/>
      <c r="L454" s="894"/>
      <c r="M454" s="942"/>
      <c r="N454" s="894"/>
      <c r="O454" s="943"/>
      <c r="P454" s="859"/>
      <c r="Q454" s="944"/>
      <c r="R454" s="860"/>
      <c r="S454" s="859"/>
      <c r="T454" s="859"/>
      <c r="U454" s="945"/>
      <c r="V454" s="943"/>
      <c r="W454" s="943"/>
      <c r="Y454" s="855"/>
      <c r="Z454" s="856"/>
      <c r="AA454" s="941" t="s">
        <v>1765</v>
      </c>
      <c r="AB454" s="2428">
        <f>SUMIF(AA283:AA386,"*ПС*",AB283:AB386)+SUMIF(AA283:AA386,"*ПС*",AD283:AD386)+SUMIF(AA283:AA386,"*ПС*",AF283:AF386)</f>
        <v>1400.8000000000002</v>
      </c>
      <c r="AC454" s="2429"/>
      <c r="AD454" s="2429"/>
      <c r="AE454" s="2429"/>
      <c r="AF454" s="2430"/>
      <c r="AG454" s="857"/>
      <c r="AH454" s="858">
        <f>SUMIF(AA283:AA386,"*ПС*",AH283:AH386)</f>
        <v>153.27669520804113</v>
      </c>
      <c r="AI454" s="861"/>
      <c r="AJ454" s="862"/>
      <c r="AK454" s="862"/>
      <c r="AL454" s="862"/>
      <c r="AM454" s="862"/>
      <c r="AN454" s="862"/>
      <c r="AO454" s="863"/>
      <c r="AP454" s="864"/>
      <c r="AQ454" s="946"/>
      <c r="AR454" s="947"/>
      <c r="AS454" s="979"/>
      <c r="AT454" s="949" t="s">
        <v>97</v>
      </c>
      <c r="AU454" s="923"/>
    </row>
    <row r="455" spans="1:47" ht="15" hidden="1" customHeight="1" x14ac:dyDescent="0.25">
      <c r="A455" s="950"/>
      <c r="B455" s="928"/>
      <c r="C455" s="951" t="s">
        <v>886</v>
      </c>
      <c r="D455" s="952"/>
      <c r="E455" s="953"/>
      <c r="F455" s="225"/>
      <c r="G455" s="953"/>
      <c r="H455" s="953"/>
      <c r="I455" s="954"/>
      <c r="J455" s="954"/>
      <c r="K455" s="955"/>
      <c r="L455" s="955"/>
      <c r="M455" s="956"/>
      <c r="N455" s="955"/>
      <c r="O455" s="954"/>
      <c r="P455" s="954"/>
      <c r="Q455" s="2434">
        <f>SUMIF(R283:R386,"&lt;0",R283:R386)</f>
        <v>-19.919999999999991</v>
      </c>
      <c r="R455" s="2435"/>
      <c r="S455" s="954"/>
      <c r="T455" s="865"/>
      <c r="U455" s="957"/>
      <c r="V455" s="958"/>
      <c r="W455" s="958"/>
      <c r="Y455" s="950"/>
      <c r="Z455" s="928"/>
      <c r="AA455" s="951" t="s">
        <v>886</v>
      </c>
      <c r="AB455" s="230"/>
      <c r="AC455" s="959"/>
      <c r="AD455" s="959"/>
      <c r="AE455" s="959"/>
      <c r="AF455" s="959"/>
      <c r="AG455" s="960"/>
      <c r="AH455" s="960"/>
      <c r="AI455" s="960"/>
      <c r="AJ455" s="960"/>
      <c r="AK455" s="960"/>
      <c r="AL455" s="960"/>
      <c r="AM455" s="960"/>
      <c r="AN455" s="961"/>
      <c r="AO455" s="2434">
        <f>SUMIF(AP283:AP386,"&lt;0",AP283:AP386)</f>
        <v>-70.180630217391297</v>
      </c>
      <c r="AP455" s="2435"/>
      <c r="AQ455" s="962"/>
      <c r="AR455" s="963"/>
      <c r="AS455" s="980"/>
      <c r="AT455" s="965" t="s">
        <v>97</v>
      </c>
      <c r="AU455" s="923"/>
    </row>
    <row r="456" spans="1:47" ht="15" hidden="1" customHeight="1" thickBot="1" x14ac:dyDescent="0.3">
      <c r="A456" s="966"/>
      <c r="B456" s="967"/>
      <c r="C456" s="968" t="s">
        <v>887</v>
      </c>
      <c r="D456" s="969"/>
      <c r="E456" s="866"/>
      <c r="F456" s="866"/>
      <c r="G456" s="866"/>
      <c r="H456" s="866"/>
      <c r="I456" s="866"/>
      <c r="J456" s="866"/>
      <c r="K456" s="894"/>
      <c r="L456" s="894"/>
      <c r="M456" s="942"/>
      <c r="N456" s="894"/>
      <c r="O456" s="970"/>
      <c r="P456" s="866"/>
      <c r="Q456" s="2426">
        <f>SUMIF(R283:R386,"&gt;=0",R283:R386)</f>
        <v>239.30846000000003</v>
      </c>
      <c r="R456" s="2427"/>
      <c r="S456" s="866"/>
      <c r="T456" s="866"/>
      <c r="U456" s="971"/>
      <c r="V456" s="943"/>
      <c r="W456" s="943"/>
      <c r="Y456" s="966"/>
      <c r="Z456" s="967"/>
      <c r="AA456" s="968" t="s">
        <v>887</v>
      </c>
      <c r="AB456" s="972"/>
      <c r="AC456" s="973"/>
      <c r="AD456" s="973"/>
      <c r="AE456" s="973"/>
      <c r="AF456" s="973"/>
      <c r="AG456" s="973"/>
      <c r="AH456" s="973"/>
      <c r="AI456" s="973"/>
      <c r="AJ456" s="973"/>
      <c r="AK456" s="973"/>
      <c r="AL456" s="973"/>
      <c r="AM456" s="973"/>
      <c r="AN456" s="974"/>
      <c r="AO456" s="2426">
        <f>SUMIF(AP283:AP386,"&gt;=0",AP283:AP386)</f>
        <v>148.14598196587193</v>
      </c>
      <c r="AP456" s="2427"/>
      <c r="AQ456" s="975"/>
      <c r="AR456" s="976"/>
      <c r="AS456" s="981"/>
      <c r="AT456" s="978" t="s">
        <v>97</v>
      </c>
      <c r="AU456" s="923"/>
    </row>
    <row r="457" spans="1:47" ht="15" hidden="1" customHeight="1" x14ac:dyDescent="0.25">
      <c r="A457" s="855"/>
      <c r="B457" s="856"/>
      <c r="C457" s="941" t="s">
        <v>1765</v>
      </c>
      <c r="D457" s="2428">
        <f>SUMIF(C387:C435,"*ПС*",D387:D435)+SUMIF(C387:C435,"*ПС*",F387:F435)+SUMIF(C387:C435,"*ПС*",H387:H435)</f>
        <v>642.55999999999995</v>
      </c>
      <c r="E457" s="2429"/>
      <c r="F457" s="2429"/>
      <c r="G457" s="2429"/>
      <c r="H457" s="2430"/>
      <c r="I457" s="857"/>
      <c r="J457" s="892">
        <f>SUMIF(C387:C435,"*ПС*",J387:J435)</f>
        <v>128.27999999999997</v>
      </c>
      <c r="K457" s="894"/>
      <c r="L457" s="894"/>
      <c r="M457" s="942"/>
      <c r="N457" s="894"/>
      <c r="O457" s="943"/>
      <c r="P457" s="859"/>
      <c r="Q457" s="944"/>
      <c r="R457" s="860"/>
      <c r="S457" s="859"/>
      <c r="T457" s="859"/>
      <c r="U457" s="945"/>
      <c r="V457" s="943"/>
      <c r="W457" s="943"/>
      <c r="Y457" s="855"/>
      <c r="Z457" s="856"/>
      <c r="AA457" s="941" t="s">
        <v>1765</v>
      </c>
      <c r="AB457" s="2428">
        <f>SUMIF(AA387:AA435,"*ПС*",AB387:AB435)+SUMIF(AA387:AA435,"*ПС*",AD387:AD435)+SUMIF(AA387:AA435,"*ПС*",AF387:AF435)</f>
        <v>642.55999999999995</v>
      </c>
      <c r="AC457" s="2429"/>
      <c r="AD457" s="2429"/>
      <c r="AE457" s="2429"/>
      <c r="AF457" s="2430"/>
      <c r="AG457" s="857"/>
      <c r="AH457" s="858">
        <f>SUMIF(AA387:AA435,"*ПС*",AH387:AH435)</f>
        <v>24.967116409537166</v>
      </c>
      <c r="AI457" s="861"/>
      <c r="AJ457" s="862"/>
      <c r="AK457" s="862"/>
      <c r="AL457" s="862"/>
      <c r="AM457" s="862"/>
      <c r="AN457" s="862"/>
      <c r="AO457" s="863"/>
      <c r="AP457" s="864"/>
      <c r="AQ457" s="946"/>
      <c r="AR457" s="947"/>
      <c r="AS457" s="979"/>
      <c r="AT457" s="949" t="s">
        <v>96</v>
      </c>
      <c r="AU457" s="923"/>
    </row>
    <row r="458" spans="1:47" ht="15" hidden="1" customHeight="1" x14ac:dyDescent="0.25">
      <c r="A458" s="950"/>
      <c r="B458" s="928"/>
      <c r="C458" s="951" t="s">
        <v>886</v>
      </c>
      <c r="D458" s="952"/>
      <c r="E458" s="953"/>
      <c r="F458" s="225"/>
      <c r="G458" s="953"/>
      <c r="H458" s="953"/>
      <c r="I458" s="954"/>
      <c r="J458" s="954"/>
      <c r="K458" s="955"/>
      <c r="L458" s="955"/>
      <c r="M458" s="956"/>
      <c r="N458" s="955"/>
      <c r="O458" s="954"/>
      <c r="P458" s="954"/>
      <c r="Q458" s="2434">
        <f>SUMIF(R387:R435,"&lt;0",R387:R435)</f>
        <v>-5.73</v>
      </c>
      <c r="R458" s="2435"/>
      <c r="S458" s="954"/>
      <c r="T458" s="865"/>
      <c r="U458" s="957"/>
      <c r="V458" s="958"/>
      <c r="W458" s="958"/>
      <c r="Y458" s="950"/>
      <c r="Z458" s="928"/>
      <c r="AA458" s="951" t="s">
        <v>886</v>
      </c>
      <c r="AB458" s="230"/>
      <c r="AC458" s="959"/>
      <c r="AD458" s="959"/>
      <c r="AE458" s="959"/>
      <c r="AF458" s="959"/>
      <c r="AG458" s="960"/>
      <c r="AH458" s="960"/>
      <c r="AI458" s="960"/>
      <c r="AJ458" s="960"/>
      <c r="AK458" s="960"/>
      <c r="AL458" s="960"/>
      <c r="AM458" s="960"/>
      <c r="AN458" s="961"/>
      <c r="AO458" s="2434">
        <f>SUMIF(AP387:AP435,"&lt;0",AP387:AP435)</f>
        <v>-19.41216690042075</v>
      </c>
      <c r="AP458" s="2435"/>
      <c r="AQ458" s="962"/>
      <c r="AR458" s="963"/>
      <c r="AS458" s="980"/>
      <c r="AT458" s="965" t="s">
        <v>96</v>
      </c>
      <c r="AU458" s="923"/>
    </row>
    <row r="459" spans="1:47" ht="15" hidden="1" customHeight="1" thickBot="1" x14ac:dyDescent="0.3">
      <c r="A459" s="966"/>
      <c r="B459" s="967"/>
      <c r="C459" s="968" t="s">
        <v>887</v>
      </c>
      <c r="D459" s="969"/>
      <c r="E459" s="866"/>
      <c r="F459" s="866"/>
      <c r="G459" s="866"/>
      <c r="H459" s="866"/>
      <c r="I459" s="866"/>
      <c r="J459" s="866"/>
      <c r="K459" s="894"/>
      <c r="L459" s="894"/>
      <c r="M459" s="942"/>
      <c r="N459" s="894"/>
      <c r="O459" s="970"/>
      <c r="P459" s="866"/>
      <c r="Q459" s="2426">
        <f>SUMIF(R387:R435,"&gt;=0",R387:R435)</f>
        <v>196.505</v>
      </c>
      <c r="R459" s="2427"/>
      <c r="S459" s="866"/>
      <c r="T459" s="866"/>
      <c r="U459" s="971"/>
      <c r="V459" s="943"/>
      <c r="W459" s="943"/>
      <c r="Y459" s="966"/>
      <c r="Z459" s="967"/>
      <c r="AA459" s="968" t="s">
        <v>887</v>
      </c>
      <c r="AB459" s="972"/>
      <c r="AC459" s="973"/>
      <c r="AD459" s="973"/>
      <c r="AE459" s="973"/>
      <c r="AF459" s="973"/>
      <c r="AG459" s="973"/>
      <c r="AH459" s="973"/>
      <c r="AI459" s="973"/>
      <c r="AJ459" s="973"/>
      <c r="AK459" s="973"/>
      <c r="AL459" s="973"/>
      <c r="AM459" s="973"/>
      <c r="AN459" s="974"/>
      <c r="AO459" s="2426">
        <f>SUMIF(AP387:AP435,"&gt;=0",AP387:AP435)</f>
        <v>185.22005049088364</v>
      </c>
      <c r="AP459" s="2427"/>
      <c r="AQ459" s="975"/>
      <c r="AR459" s="976"/>
      <c r="AS459" s="981"/>
      <c r="AT459" s="978" t="s">
        <v>96</v>
      </c>
      <c r="AU459" s="923"/>
    </row>
    <row r="460" spans="1:47" ht="15" hidden="1" customHeight="1" x14ac:dyDescent="0.25">
      <c r="B460" s="224"/>
      <c r="C460" s="225"/>
      <c r="D460" s="982"/>
      <c r="E460" s="225"/>
      <c r="F460" s="231"/>
      <c r="G460" s="225"/>
      <c r="H460" s="225"/>
      <c r="I460" s="231"/>
      <c r="J460" s="226"/>
      <c r="K460" s="1431"/>
      <c r="L460" s="1431"/>
      <c r="M460" s="983"/>
      <c r="N460" s="225"/>
      <c r="O460" s="225"/>
      <c r="P460" s="225"/>
      <c r="Q460" s="2419" t="s">
        <v>1810</v>
      </c>
      <c r="R460" s="2419"/>
      <c r="S460" s="2419"/>
      <c r="T460" s="2419"/>
      <c r="U460" s="227">
        <f>COUNTIF(U9:U435,"&lt;30")</f>
        <v>145</v>
      </c>
      <c r="V460" s="911"/>
      <c r="W460" s="911"/>
      <c r="X460" s="984"/>
      <c r="Y460" s="936"/>
      <c r="Z460" s="258"/>
      <c r="AA460" s="258"/>
      <c r="AB460" s="258"/>
      <c r="AC460" s="258"/>
      <c r="AD460" s="258"/>
      <c r="AE460" s="258"/>
      <c r="AF460" s="985"/>
      <c r="AG460" s="258"/>
      <c r="AH460" s="986"/>
      <c r="AI460" s="986"/>
      <c r="AJ460" s="258"/>
      <c r="AK460" s="258"/>
      <c r="AL460" s="258"/>
      <c r="AM460" s="258"/>
      <c r="AN460" s="258"/>
      <c r="AO460" s="2480" t="s">
        <v>1810</v>
      </c>
      <c r="AP460" s="2481"/>
      <c r="AQ460" s="2481"/>
      <c r="AR460" s="2482"/>
      <c r="AS460" s="227">
        <f>COUNTIF(AS9:AS435,"&lt;30")</f>
        <v>133</v>
      </c>
      <c r="AT460" s="987"/>
    </row>
    <row r="461" spans="1:47" ht="15" hidden="1" customHeight="1" x14ac:dyDescent="0.25">
      <c r="B461" s="224"/>
      <c r="C461" s="225"/>
      <c r="D461" s="982"/>
      <c r="E461" s="225"/>
      <c r="F461" s="225"/>
      <c r="G461" s="225"/>
      <c r="H461" s="225"/>
      <c r="I461" s="231"/>
      <c r="J461" s="226"/>
      <c r="K461" s="1431"/>
      <c r="L461" s="1431"/>
      <c r="M461" s="983"/>
      <c r="N461" s="225"/>
      <c r="O461" s="225"/>
      <c r="P461" s="225"/>
      <c r="Q461" s="2419" t="s">
        <v>1811</v>
      </c>
      <c r="R461" s="2419"/>
      <c r="S461" s="2419"/>
      <c r="T461" s="2419"/>
      <c r="U461" s="227">
        <f>COUNTIF(U9:U435,"&lt;70")-COUNTIF(U9:U435,"&lt;=30")</f>
        <v>128</v>
      </c>
      <c r="V461" s="911"/>
      <c r="W461" s="911"/>
      <c r="X461" s="984"/>
      <c r="Y461" s="936"/>
      <c r="Z461" s="258"/>
      <c r="AA461" s="258"/>
      <c r="AB461" s="258"/>
      <c r="AC461" s="258"/>
      <c r="AD461" s="258"/>
      <c r="AE461" s="258"/>
      <c r="AF461" s="258"/>
      <c r="AG461" s="258"/>
      <c r="AH461" s="986"/>
      <c r="AI461" s="986"/>
      <c r="AJ461" s="258"/>
      <c r="AK461" s="258"/>
      <c r="AL461" s="258"/>
      <c r="AM461" s="258"/>
      <c r="AN461" s="258"/>
      <c r="AO461" s="2461" t="s">
        <v>1811</v>
      </c>
      <c r="AP461" s="2462"/>
      <c r="AQ461" s="2462"/>
      <c r="AR461" s="2411"/>
      <c r="AS461" s="227">
        <f>COUNTIF(AS9:AS435,"&lt;70")-COUNTIF(AS9:AS435,"&lt;=30")</f>
        <v>103</v>
      </c>
      <c r="AT461" s="987"/>
    </row>
    <row r="462" spans="1:47" ht="15" hidden="1" customHeight="1" x14ac:dyDescent="0.25">
      <c r="B462" s="224"/>
      <c r="C462" s="225"/>
      <c r="D462" s="982"/>
      <c r="E462" s="225"/>
      <c r="F462" s="225"/>
      <c r="G462" s="225"/>
      <c r="H462" s="225"/>
      <c r="I462" s="225"/>
      <c r="J462" s="226"/>
      <c r="K462" s="1431"/>
      <c r="L462" s="1431"/>
      <c r="M462" s="983"/>
      <c r="N462" s="225"/>
      <c r="O462" s="225"/>
      <c r="P462" s="225"/>
      <c r="Q462" s="2419" t="s">
        <v>282</v>
      </c>
      <c r="R462" s="2419"/>
      <c r="S462" s="2419"/>
      <c r="T462" s="2419"/>
      <c r="U462" s="227">
        <f>COUNTIF(U9:U435,"&lt;100")-COUNTIF(U9:U435,"&lt;=70")</f>
        <v>32</v>
      </c>
      <c r="V462" s="911"/>
      <c r="W462" s="911"/>
      <c r="X462" s="984"/>
      <c r="Y462" s="936"/>
      <c r="Z462" s="258"/>
      <c r="AA462" s="258"/>
      <c r="AB462" s="258"/>
      <c r="AC462" s="258"/>
      <c r="AD462" s="258"/>
      <c r="AE462" s="258"/>
      <c r="AF462" s="258"/>
      <c r="AG462" s="258"/>
      <c r="AH462" s="986"/>
      <c r="AI462" s="986"/>
      <c r="AJ462" s="258"/>
      <c r="AK462" s="258"/>
      <c r="AL462" s="258"/>
      <c r="AM462" s="258"/>
      <c r="AN462" s="258"/>
      <c r="AO462" s="2461" t="s">
        <v>2133</v>
      </c>
      <c r="AP462" s="2462"/>
      <c r="AQ462" s="2462"/>
      <c r="AR462" s="2411"/>
      <c r="AS462" s="227">
        <f>COUNTIF(AS9:AS435,"&lt;100")-COUNTIF(AS9:AS435,"&lt;=70")</f>
        <v>49</v>
      </c>
      <c r="AT462" s="987"/>
    </row>
    <row r="463" spans="1:47" ht="15" hidden="1" customHeight="1" x14ac:dyDescent="0.25">
      <c r="B463" s="224"/>
      <c r="C463" s="225"/>
      <c r="D463" s="982"/>
      <c r="E463" s="225"/>
      <c r="F463" s="225"/>
      <c r="G463" s="225"/>
      <c r="H463" s="225"/>
      <c r="I463" s="225"/>
      <c r="J463" s="226"/>
      <c r="K463" s="1431"/>
      <c r="L463" s="1431"/>
      <c r="M463" s="983"/>
      <c r="N463" s="225"/>
      <c r="O463" s="225"/>
      <c r="P463" s="225"/>
      <c r="Q463" s="2419" t="s">
        <v>1812</v>
      </c>
      <c r="R463" s="2419"/>
      <c r="S463" s="2419"/>
      <c r="T463" s="2419"/>
      <c r="U463" s="227">
        <f>COUNTIF(U9:U435,"&gt;=100")</f>
        <v>10</v>
      </c>
      <c r="V463" s="911"/>
      <c r="W463" s="911"/>
      <c r="X463" s="984"/>
      <c r="Y463" s="936"/>
      <c r="Z463" s="258"/>
      <c r="AA463" s="258"/>
      <c r="AB463" s="258"/>
      <c r="AC463" s="258"/>
      <c r="AD463" s="258"/>
      <c r="AE463" s="258"/>
      <c r="AF463" s="258"/>
      <c r="AG463" s="258"/>
      <c r="AH463" s="986"/>
      <c r="AI463" s="986"/>
      <c r="AJ463" s="258"/>
      <c r="AK463" s="258"/>
      <c r="AL463" s="258"/>
      <c r="AM463" s="258"/>
      <c r="AN463" s="258"/>
      <c r="AO463" s="2461" t="s">
        <v>1812</v>
      </c>
      <c r="AP463" s="2462"/>
      <c r="AQ463" s="2462"/>
      <c r="AR463" s="2411"/>
      <c r="AS463" s="227">
        <f>COUNTIF(AS9:AS435,"&gt;=100")</f>
        <v>30</v>
      </c>
      <c r="AT463" s="987"/>
    </row>
    <row r="464" spans="1:47" ht="15" hidden="1" customHeight="1" x14ac:dyDescent="0.25">
      <c r="B464" s="224"/>
      <c r="C464" s="225"/>
      <c r="D464" s="982"/>
      <c r="E464" s="225"/>
      <c r="F464" s="225"/>
      <c r="G464" s="225"/>
      <c r="H464" s="225"/>
      <c r="I464" s="225"/>
      <c r="J464" s="226"/>
      <c r="K464" s="1431"/>
      <c r="L464" s="1431"/>
      <c r="M464" s="983"/>
      <c r="N464" s="225"/>
      <c r="O464" s="225"/>
      <c r="P464" s="225"/>
      <c r="Q464" s="2419" t="s">
        <v>1958</v>
      </c>
      <c r="R464" s="2419"/>
      <c r="S464" s="2419"/>
      <c r="T464" s="2419"/>
      <c r="U464" s="227">
        <f>COUNTIF(S9:S435,"закрыт")</f>
        <v>64</v>
      </c>
      <c r="V464" s="911"/>
      <c r="W464" s="911"/>
      <c r="X464" s="984"/>
      <c r="Y464" s="988"/>
      <c r="Z464" s="989"/>
      <c r="AA464" s="984"/>
      <c r="AB464" s="984"/>
      <c r="AC464" s="984"/>
      <c r="AD464" s="984"/>
      <c r="AE464" s="984"/>
      <c r="AF464" s="984"/>
      <c r="AG464" s="984"/>
      <c r="AH464" s="990"/>
      <c r="AI464" s="990"/>
      <c r="AJ464" s="984"/>
      <c r="AK464" s="984"/>
      <c r="AL464" s="984"/>
      <c r="AM464" s="984"/>
      <c r="AN464" s="984"/>
      <c r="AO464" s="2461" t="s">
        <v>1958</v>
      </c>
      <c r="AP464" s="2462"/>
      <c r="AQ464" s="2462"/>
      <c r="AR464" s="2411"/>
      <c r="AS464" s="227">
        <f>COUNTIF(AQ9:AQ435,"закрыт")</f>
        <v>81</v>
      </c>
      <c r="AT464" s="936"/>
      <c r="AU464" s="923"/>
    </row>
    <row r="465" spans="2:47" ht="15" hidden="1" customHeight="1" x14ac:dyDescent="0.25">
      <c r="B465" s="224"/>
      <c r="C465" s="225"/>
      <c r="D465" s="982"/>
      <c r="E465" s="225"/>
      <c r="F465" s="225"/>
      <c r="G465" s="225"/>
      <c r="H465" s="225"/>
      <c r="I465" s="225"/>
      <c r="J465" s="226"/>
      <c r="K465" s="1431"/>
      <c r="L465" s="1431"/>
      <c r="M465" s="983"/>
      <c r="N465" s="225"/>
      <c r="O465" s="225"/>
      <c r="P465" s="225"/>
      <c r="Q465" s="2419" t="s">
        <v>281</v>
      </c>
      <c r="R465" s="2419"/>
      <c r="S465" s="2419"/>
      <c r="T465" s="2419"/>
      <c r="U465" s="227">
        <f>COUNTIFS(S9:S435,"*крыт*",U9:U435,"&gt;100")</f>
        <v>10</v>
      </c>
      <c r="V465" s="911"/>
      <c r="W465" s="911"/>
      <c r="X465" s="984"/>
      <c r="Y465" s="936"/>
      <c r="Z465" s="989"/>
      <c r="AA465" s="984"/>
      <c r="AB465" s="984"/>
      <c r="AC465" s="984"/>
      <c r="AD465" s="984"/>
      <c r="AE465" s="984"/>
      <c r="AF465" s="984"/>
      <c r="AG465" s="984"/>
      <c r="AH465" s="990"/>
      <c r="AI465" s="990"/>
      <c r="AJ465" s="984"/>
      <c r="AK465" s="984"/>
      <c r="AL465" s="984"/>
      <c r="AM465" s="984"/>
      <c r="AN465" s="984"/>
      <c r="AO465" s="2461" t="s">
        <v>16742</v>
      </c>
      <c r="AP465" s="2462"/>
      <c r="AQ465" s="2462"/>
      <c r="AR465" s="2411"/>
      <c r="AS465" s="227">
        <f>COUNTIFS(AQ9:AQ435,"*крыт*",AS9:AS435,"&gt;100")</f>
        <v>30</v>
      </c>
      <c r="AT465" s="988"/>
      <c r="AU465" s="923"/>
    </row>
    <row r="466" spans="2:47" ht="15" customHeight="1" x14ac:dyDescent="0.25">
      <c r="J466" s="2301">
        <f>SUMIF(C9:C435,"* 35/3 *",J9:J435)+SUMIF(C9:C435,"* 35/6 *",J9:J435)+SUMIF(C9:C435,"* 35/10 *",J9:J435)+SUMIF(C9:C435,"* 110/6 *",J9:J435)+SUMIF(C9:C435,"* 110/10 *",J9:J435)+SUMIF(C9:C435,"* 110/35 *",J9:J435)+SUMIF(C9:C435,"* НН,*",J9:J435)</f>
        <v>741.90899999999988</v>
      </c>
      <c r="K466" s="2301"/>
      <c r="L466" s="2301"/>
      <c r="M466" s="2302"/>
      <c r="N466" s="2301"/>
      <c r="O466" s="2301"/>
      <c r="P466" s="2301"/>
      <c r="Q466" s="2301"/>
      <c r="R466" s="2301"/>
      <c r="S466" s="2301"/>
      <c r="T466" s="2301"/>
      <c r="U466" s="2301"/>
      <c r="V466" s="2301"/>
      <c r="W466" s="2301"/>
      <c r="X466" s="2303"/>
      <c r="Y466" s="2304"/>
      <c r="Z466" s="2305"/>
      <c r="AA466" s="2303"/>
      <c r="AB466" s="2303"/>
      <c r="AC466" s="2303"/>
      <c r="AD466" s="2303"/>
      <c r="AE466" s="2303"/>
      <c r="AF466" s="2303"/>
      <c r="AG466" s="2303"/>
      <c r="AH466" s="2301">
        <f>SUMIF(AA9:AA435,"* 35/3 *",AH9:AH435)+SUMIF(AA9:AA435,"* 35/6 *",AH9:AH435)+SUMIF(AA9:AA435,"* 35/10 *",AH9:AH435)+SUMIF(AA9:AA435,"* 110/6 *",AH9:AH435)+SUMIF(AA9:AA435,"* 110/10 *",AH9:AH435)+SUMIF(AA9:AA435,"* 110/35 *",AH9:AH435)+SUMIF(AA9:AA435,"* НН,*",AH9:AH435)</f>
        <v>168.65038507480125</v>
      </c>
      <c r="AI466" s="2301">
        <f>SUMIF(AA9:AA435,"* 35/3 *",AI9:AI435)+SUMIF(AA9:AA435,"* 35/6 *",AI9:AI435)+SUMIF(AA9:AA435,"* 35/10 *",AI9:AI435)+SUMIF(AA9:AA435,"* 110/6 *",AI9:AI435)+SUMIF(AA9:AA435,"* 110/10 *",AI9:AI435)+SUMIF(AA9:AA435,"* 110/35 *",AI9:AI435)+SUMIF(AA9:AA435,"* НН,*",AI9:AI435)</f>
        <v>907.82938507480139</v>
      </c>
      <c r="AR466" s="927"/>
      <c r="AS466" s="923"/>
      <c r="AT466" s="923"/>
      <c r="AU466" s="923"/>
    </row>
    <row r="467" spans="2:47" ht="15" customHeight="1" x14ac:dyDescent="0.25">
      <c r="J467" s="2301">
        <f>COUNTIFS(R9:R435,"&lt;0",U9:U435,"&gt;105")</f>
        <v>4</v>
      </c>
      <c r="K467" s="2301"/>
      <c r="L467" s="2301"/>
      <c r="M467" s="2302"/>
      <c r="N467" s="2301"/>
      <c r="O467" s="2301"/>
      <c r="P467" s="2301"/>
      <c r="Q467" s="2301"/>
      <c r="R467" s="2301"/>
      <c r="S467" s="2306"/>
      <c r="T467" s="2301"/>
      <c r="U467" s="2301"/>
      <c r="V467" s="2301"/>
      <c r="W467" s="2301"/>
      <c r="X467" s="2303"/>
      <c r="Y467" s="2304"/>
      <c r="Z467" s="2305"/>
      <c r="AA467" s="2303"/>
      <c r="AB467" s="2303"/>
      <c r="AC467" s="2303"/>
      <c r="AD467" s="2303"/>
      <c r="AE467" s="2303"/>
      <c r="AF467" s="2303"/>
      <c r="AG467" s="2303"/>
      <c r="AH467" s="2307"/>
      <c r="AI467" s="2307"/>
      <c r="AR467" s="927"/>
      <c r="AS467" s="923"/>
      <c r="AT467" s="993"/>
      <c r="AU467" s="923"/>
    </row>
    <row r="468" spans="2:47" ht="15" customHeight="1" x14ac:dyDescent="0.25">
      <c r="J468" s="2301"/>
      <c r="K468" s="2301"/>
      <c r="L468" s="2301"/>
      <c r="M468" s="2302"/>
      <c r="N468" s="2301"/>
      <c r="O468" s="2301"/>
      <c r="P468" s="2301"/>
      <c r="Q468" s="2301"/>
      <c r="R468" s="2301"/>
      <c r="S468" s="2301"/>
      <c r="T468" s="2301"/>
      <c r="U468" s="2301"/>
      <c r="V468" s="2301"/>
      <c r="W468" s="2301"/>
      <c r="X468" s="2303"/>
      <c r="Y468" s="2304"/>
      <c r="Z468" s="2305"/>
      <c r="AA468" s="2303"/>
      <c r="AB468" s="2303"/>
      <c r="AC468" s="2303"/>
      <c r="AD468" s="2303"/>
      <c r="AE468" s="2303"/>
      <c r="AF468" s="2303"/>
      <c r="AG468" s="2303"/>
      <c r="AH468" s="2307"/>
      <c r="AI468" s="2307"/>
      <c r="AR468" s="927"/>
      <c r="AS468" s="923"/>
      <c r="AT468" s="923"/>
      <c r="AU468" s="923"/>
    </row>
    <row r="469" spans="2:47" ht="15" customHeight="1" x14ac:dyDescent="0.25">
      <c r="J469" s="2301"/>
      <c r="K469" s="2301"/>
      <c r="L469" s="2301"/>
      <c r="M469" s="2302"/>
      <c r="N469" s="2301"/>
      <c r="O469" s="2301"/>
      <c r="P469" s="2301"/>
      <c r="Q469" s="2301"/>
      <c r="R469" s="2301"/>
      <c r="S469" s="2301"/>
      <c r="T469" s="2301"/>
      <c r="U469" s="2301"/>
      <c r="V469" s="2301"/>
      <c r="W469" s="2301"/>
      <c r="X469" s="2303"/>
      <c r="Y469" s="2304"/>
      <c r="Z469" s="2305"/>
      <c r="AA469" s="2303"/>
      <c r="AB469" s="2303"/>
      <c r="AC469" s="2303"/>
      <c r="AD469" s="2303"/>
      <c r="AE469" s="2303"/>
      <c r="AF469" s="2303"/>
      <c r="AG469" s="2303"/>
      <c r="AH469" s="2307"/>
      <c r="AI469" s="2307"/>
      <c r="AR469" s="927"/>
      <c r="AS469" s="923"/>
      <c r="AT469" s="923"/>
      <c r="AU469" s="923"/>
    </row>
    <row r="470" spans="2:47" ht="15" customHeight="1" x14ac:dyDescent="0.25">
      <c r="AR470" s="927"/>
      <c r="AS470" s="923"/>
      <c r="AT470" s="923"/>
      <c r="AU470" s="923"/>
    </row>
    <row r="471" spans="2:47" ht="15" customHeight="1" x14ac:dyDescent="0.25">
      <c r="AR471" s="927"/>
      <c r="AS471" s="923"/>
      <c r="AT471" s="923"/>
      <c r="AU471" s="923"/>
    </row>
    <row r="472" spans="2:47" ht="15" customHeight="1" x14ac:dyDescent="0.25">
      <c r="AR472" s="927"/>
      <c r="AS472" s="923"/>
      <c r="AT472" s="923"/>
      <c r="AU472" s="923"/>
    </row>
    <row r="473" spans="2:47" ht="15" customHeight="1" x14ac:dyDescent="0.25">
      <c r="AR473" s="927"/>
      <c r="AS473" s="923"/>
      <c r="AT473" s="923"/>
      <c r="AU473" s="923"/>
    </row>
    <row r="474" spans="2:47" ht="15" customHeight="1" x14ac:dyDescent="0.25">
      <c r="AR474" s="927"/>
      <c r="AS474" s="923"/>
      <c r="AT474" s="923"/>
      <c r="AU474" s="923"/>
    </row>
    <row r="475" spans="2:47" ht="15" customHeight="1" x14ac:dyDescent="0.25">
      <c r="AR475" s="927"/>
      <c r="AS475" s="923"/>
      <c r="AT475" s="923"/>
      <c r="AU475" s="923"/>
    </row>
    <row r="476" spans="2:47" ht="15" customHeight="1" x14ac:dyDescent="0.25">
      <c r="AR476" s="927"/>
      <c r="AS476" s="923"/>
      <c r="AT476" s="923"/>
      <c r="AU476" s="923"/>
    </row>
    <row r="477" spans="2:47" ht="15" customHeight="1" x14ac:dyDescent="0.25">
      <c r="AR477" s="927"/>
      <c r="AS477" s="923"/>
      <c r="AT477" s="923"/>
      <c r="AU477" s="923"/>
    </row>
    <row r="478" spans="2:47" ht="15" customHeight="1" x14ac:dyDescent="0.25">
      <c r="AR478" s="927"/>
      <c r="AS478" s="923"/>
      <c r="AT478" s="923"/>
      <c r="AU478" s="923"/>
    </row>
    <row r="479" spans="2:47" ht="15" customHeight="1" x14ac:dyDescent="0.25">
      <c r="AR479" s="927"/>
      <c r="AS479" s="923"/>
      <c r="AT479" s="923"/>
      <c r="AU479" s="923"/>
    </row>
    <row r="480" spans="2:47" ht="15" customHeight="1" x14ac:dyDescent="0.25">
      <c r="AR480" s="927"/>
      <c r="AS480" s="923"/>
      <c r="AT480" s="923"/>
      <c r="AU480" s="923"/>
    </row>
    <row r="481" spans="44:47" ht="15" customHeight="1" x14ac:dyDescent="0.25">
      <c r="AR481" s="927"/>
      <c r="AS481" s="923"/>
      <c r="AT481" s="923"/>
      <c r="AU481" s="923"/>
    </row>
    <row r="482" spans="44:47" ht="15" customHeight="1" x14ac:dyDescent="0.25">
      <c r="AR482" s="927"/>
      <c r="AS482" s="923"/>
      <c r="AT482" s="923"/>
      <c r="AU482" s="923"/>
    </row>
    <row r="483" spans="44:47" ht="15" customHeight="1" x14ac:dyDescent="0.25">
      <c r="AR483" s="927"/>
      <c r="AS483" s="923"/>
      <c r="AT483" s="923"/>
      <c r="AU483" s="923"/>
    </row>
    <row r="484" spans="44:47" ht="15" customHeight="1" x14ac:dyDescent="0.25">
      <c r="AR484" s="927"/>
      <c r="AS484" s="923"/>
      <c r="AT484" s="923"/>
      <c r="AU484" s="923"/>
    </row>
    <row r="485" spans="44:47" ht="15" customHeight="1" x14ac:dyDescent="0.25">
      <c r="AR485" s="927"/>
      <c r="AS485" s="923"/>
      <c r="AT485" s="923"/>
      <c r="AU485" s="923"/>
    </row>
    <row r="486" spans="44:47" ht="15" customHeight="1" x14ac:dyDescent="0.25">
      <c r="AR486" s="927"/>
      <c r="AS486" s="923"/>
      <c r="AT486" s="923"/>
      <c r="AU486" s="923"/>
    </row>
    <row r="487" spans="44:47" ht="15" customHeight="1" x14ac:dyDescent="0.25">
      <c r="AR487" s="927"/>
      <c r="AS487" s="923"/>
      <c r="AT487" s="923"/>
      <c r="AU487" s="923"/>
    </row>
    <row r="488" spans="44:47" ht="15" customHeight="1" x14ac:dyDescent="0.25">
      <c r="AR488" s="927"/>
      <c r="AS488" s="923"/>
      <c r="AT488" s="923"/>
      <c r="AU488" s="923"/>
    </row>
    <row r="489" spans="44:47" ht="15" customHeight="1" x14ac:dyDescent="0.25">
      <c r="AR489" s="927"/>
      <c r="AS489" s="923"/>
      <c r="AT489" s="923"/>
      <c r="AU489" s="923"/>
    </row>
    <row r="490" spans="44:47" ht="15" customHeight="1" x14ac:dyDescent="0.25">
      <c r="AR490" s="927"/>
      <c r="AS490" s="923"/>
      <c r="AT490" s="923"/>
      <c r="AU490" s="923"/>
    </row>
    <row r="491" spans="44:47" ht="15" customHeight="1" x14ac:dyDescent="0.25">
      <c r="AR491" s="927"/>
      <c r="AS491" s="923"/>
      <c r="AT491" s="923"/>
      <c r="AU491" s="923"/>
    </row>
    <row r="492" spans="44:47" ht="15" customHeight="1" x14ac:dyDescent="0.25">
      <c r="AR492" s="927"/>
      <c r="AS492" s="923"/>
      <c r="AT492" s="923"/>
      <c r="AU492" s="923"/>
    </row>
    <row r="493" spans="44:47" ht="15" customHeight="1" x14ac:dyDescent="0.25">
      <c r="AR493" s="927"/>
      <c r="AS493" s="923"/>
      <c r="AT493" s="923"/>
      <c r="AU493" s="923"/>
    </row>
    <row r="494" spans="44:47" ht="15" customHeight="1" x14ac:dyDescent="0.25">
      <c r="AR494" s="927"/>
      <c r="AS494" s="923"/>
      <c r="AT494" s="923"/>
      <c r="AU494" s="923"/>
    </row>
    <row r="495" spans="44:47" ht="15" customHeight="1" x14ac:dyDescent="0.25">
      <c r="AR495" s="927"/>
      <c r="AS495" s="923"/>
      <c r="AT495" s="923"/>
      <c r="AU495" s="923"/>
    </row>
    <row r="496" spans="44:47" ht="15" customHeight="1" x14ac:dyDescent="0.25">
      <c r="AR496" s="927"/>
      <c r="AS496" s="923"/>
      <c r="AT496" s="923"/>
      <c r="AU496" s="923"/>
    </row>
    <row r="497" spans="44:47" ht="15" customHeight="1" x14ac:dyDescent="0.25">
      <c r="AR497" s="927"/>
      <c r="AS497" s="923"/>
      <c r="AT497" s="923"/>
      <c r="AU497" s="923"/>
    </row>
    <row r="498" spans="44:47" ht="15" customHeight="1" x14ac:dyDescent="0.25">
      <c r="AR498" s="927"/>
      <c r="AS498" s="923"/>
      <c r="AT498" s="923"/>
      <c r="AU498" s="923"/>
    </row>
    <row r="499" spans="44:47" ht="15" customHeight="1" x14ac:dyDescent="0.25">
      <c r="AR499" s="927"/>
      <c r="AS499" s="923"/>
      <c r="AT499" s="923"/>
      <c r="AU499" s="923"/>
    </row>
    <row r="500" spans="44:47" ht="15" customHeight="1" x14ac:dyDescent="0.25">
      <c r="AR500" s="927"/>
      <c r="AS500" s="923"/>
      <c r="AT500" s="923"/>
      <c r="AU500" s="923"/>
    </row>
    <row r="501" spans="44:47" ht="15" customHeight="1" x14ac:dyDescent="0.25">
      <c r="AR501" s="927"/>
      <c r="AS501" s="923"/>
      <c r="AT501" s="923"/>
      <c r="AU501" s="923"/>
    </row>
    <row r="502" spans="44:47" ht="15" customHeight="1" x14ac:dyDescent="0.25">
      <c r="AR502" s="927"/>
      <c r="AS502" s="923"/>
      <c r="AT502" s="923"/>
      <c r="AU502" s="923"/>
    </row>
    <row r="503" spans="44:47" ht="15" customHeight="1" x14ac:dyDescent="0.25">
      <c r="AR503" s="927"/>
      <c r="AS503" s="923"/>
      <c r="AT503" s="923"/>
      <c r="AU503" s="923"/>
    </row>
    <row r="504" spans="44:47" ht="15" customHeight="1" x14ac:dyDescent="0.25">
      <c r="AR504" s="927"/>
      <c r="AS504" s="923"/>
      <c r="AT504" s="923"/>
      <c r="AU504" s="923"/>
    </row>
    <row r="505" spans="44:47" ht="15" customHeight="1" x14ac:dyDescent="0.25">
      <c r="AR505" s="927"/>
      <c r="AS505" s="923"/>
      <c r="AT505" s="923"/>
      <c r="AU505" s="923"/>
    </row>
    <row r="506" spans="44:47" ht="15" customHeight="1" x14ac:dyDescent="0.25">
      <c r="AR506" s="927"/>
      <c r="AS506" s="923"/>
      <c r="AT506" s="923"/>
      <c r="AU506" s="923"/>
    </row>
    <row r="507" spans="44:47" ht="15" customHeight="1" x14ac:dyDescent="0.25">
      <c r="AR507" s="927"/>
      <c r="AS507" s="923"/>
      <c r="AT507" s="923"/>
      <c r="AU507" s="923"/>
    </row>
    <row r="508" spans="44:47" ht="15" customHeight="1" x14ac:dyDescent="0.25">
      <c r="AR508" s="927"/>
      <c r="AS508" s="923"/>
      <c r="AT508" s="923"/>
      <c r="AU508" s="923"/>
    </row>
    <row r="509" spans="44:47" ht="15" customHeight="1" x14ac:dyDescent="0.25">
      <c r="AR509" s="927"/>
      <c r="AS509" s="923"/>
      <c r="AT509" s="923"/>
      <c r="AU509" s="923"/>
    </row>
    <row r="510" spans="44:47" ht="15" customHeight="1" x14ac:dyDescent="0.25">
      <c r="AR510" s="927"/>
      <c r="AS510" s="923"/>
      <c r="AT510" s="923"/>
      <c r="AU510" s="923"/>
    </row>
    <row r="511" spans="44:47" ht="15" customHeight="1" x14ac:dyDescent="0.25">
      <c r="AR511" s="927"/>
      <c r="AS511" s="923"/>
      <c r="AT511" s="923"/>
      <c r="AU511" s="923"/>
    </row>
    <row r="512" spans="44:47" ht="15" customHeight="1" x14ac:dyDescent="0.25">
      <c r="AR512" s="927"/>
      <c r="AS512" s="923"/>
      <c r="AT512" s="923"/>
      <c r="AU512" s="923"/>
    </row>
    <row r="513" spans="44:47" ht="15" customHeight="1" x14ac:dyDescent="0.25">
      <c r="AR513" s="927"/>
      <c r="AS513" s="923"/>
      <c r="AT513" s="923"/>
      <c r="AU513" s="923"/>
    </row>
    <row r="514" spans="44:47" ht="15" customHeight="1" x14ac:dyDescent="0.25">
      <c r="AR514" s="927"/>
      <c r="AS514" s="923"/>
      <c r="AT514" s="923"/>
      <c r="AU514" s="923"/>
    </row>
    <row r="515" spans="44:47" ht="15" customHeight="1" x14ac:dyDescent="0.25">
      <c r="AR515" s="927"/>
      <c r="AS515" s="923"/>
      <c r="AT515" s="923"/>
      <c r="AU515" s="923"/>
    </row>
    <row r="516" spans="44:47" ht="15" customHeight="1" x14ac:dyDescent="0.25">
      <c r="AR516" s="927"/>
      <c r="AS516" s="923"/>
      <c r="AT516" s="923"/>
      <c r="AU516" s="923"/>
    </row>
    <row r="517" spans="44:47" ht="15" customHeight="1" x14ac:dyDescent="0.25">
      <c r="AR517" s="927"/>
      <c r="AS517" s="923"/>
      <c r="AT517" s="923"/>
      <c r="AU517" s="923"/>
    </row>
    <row r="518" spans="44:47" ht="15" customHeight="1" x14ac:dyDescent="0.25">
      <c r="AR518" s="927"/>
      <c r="AS518" s="923"/>
      <c r="AT518" s="923"/>
      <c r="AU518" s="923"/>
    </row>
    <row r="519" spans="44:47" ht="15" customHeight="1" x14ac:dyDescent="0.25">
      <c r="AR519" s="927"/>
      <c r="AS519" s="923"/>
      <c r="AT519" s="923"/>
      <c r="AU519" s="923"/>
    </row>
    <row r="520" spans="44:47" ht="15" customHeight="1" x14ac:dyDescent="0.25">
      <c r="AR520" s="927"/>
      <c r="AS520" s="923"/>
      <c r="AT520" s="923"/>
      <c r="AU520" s="923"/>
    </row>
    <row r="521" spans="44:47" ht="15" customHeight="1" x14ac:dyDescent="0.25">
      <c r="AR521" s="927"/>
      <c r="AS521" s="923"/>
      <c r="AT521" s="923"/>
      <c r="AU521" s="923"/>
    </row>
    <row r="522" spans="44:47" ht="15" customHeight="1" x14ac:dyDescent="0.25">
      <c r="AR522" s="927"/>
      <c r="AS522" s="923"/>
      <c r="AT522" s="923"/>
      <c r="AU522" s="923"/>
    </row>
    <row r="523" spans="44:47" ht="15" customHeight="1" x14ac:dyDescent="0.25">
      <c r="AR523" s="927"/>
      <c r="AS523" s="923"/>
      <c r="AT523" s="923"/>
      <c r="AU523" s="923"/>
    </row>
    <row r="524" spans="44:47" ht="15" customHeight="1" x14ac:dyDescent="0.25">
      <c r="AR524" s="927"/>
      <c r="AS524" s="923"/>
      <c r="AT524" s="923"/>
      <c r="AU524" s="923"/>
    </row>
    <row r="525" spans="44:47" ht="15" customHeight="1" x14ac:dyDescent="0.25">
      <c r="AR525" s="927"/>
      <c r="AS525" s="923"/>
      <c r="AT525" s="923"/>
      <c r="AU525" s="923"/>
    </row>
    <row r="526" spans="44:47" ht="15" customHeight="1" x14ac:dyDescent="0.25">
      <c r="AR526" s="927"/>
      <c r="AS526" s="923"/>
      <c r="AT526" s="923"/>
      <c r="AU526" s="923"/>
    </row>
    <row r="527" spans="44:47" ht="15" customHeight="1" x14ac:dyDescent="0.25">
      <c r="AR527" s="927"/>
      <c r="AS527" s="923"/>
      <c r="AT527" s="923"/>
      <c r="AU527" s="923"/>
    </row>
    <row r="528" spans="44:47" ht="15" customHeight="1" x14ac:dyDescent="0.25">
      <c r="AR528" s="927"/>
      <c r="AS528" s="923"/>
      <c r="AT528" s="923"/>
      <c r="AU528" s="923"/>
    </row>
    <row r="529" spans="44:47" ht="15" customHeight="1" x14ac:dyDescent="0.25">
      <c r="AR529" s="927"/>
      <c r="AS529" s="923"/>
      <c r="AT529" s="923"/>
      <c r="AU529" s="923"/>
    </row>
    <row r="530" spans="44:47" ht="15" customHeight="1" x14ac:dyDescent="0.25">
      <c r="AR530" s="927"/>
      <c r="AS530" s="923"/>
      <c r="AT530" s="923"/>
      <c r="AU530" s="923"/>
    </row>
    <row r="531" spans="44:47" ht="15" customHeight="1" x14ac:dyDescent="0.25">
      <c r="AR531" s="927"/>
      <c r="AS531" s="923"/>
      <c r="AT531" s="923"/>
      <c r="AU531" s="923"/>
    </row>
    <row r="532" spans="44:47" ht="15" customHeight="1" x14ac:dyDescent="0.25">
      <c r="AR532" s="927"/>
      <c r="AS532" s="923"/>
      <c r="AT532" s="923"/>
      <c r="AU532" s="923"/>
    </row>
    <row r="533" spans="44:47" ht="15" customHeight="1" x14ac:dyDescent="0.25">
      <c r="AR533" s="927"/>
      <c r="AS533" s="923"/>
      <c r="AT533" s="923"/>
      <c r="AU533" s="923"/>
    </row>
    <row r="534" spans="44:47" ht="15" customHeight="1" x14ac:dyDescent="0.25">
      <c r="AR534" s="927"/>
      <c r="AS534" s="923"/>
      <c r="AT534" s="923"/>
      <c r="AU534" s="923"/>
    </row>
    <row r="535" spans="44:47" ht="15" customHeight="1" x14ac:dyDescent="0.25">
      <c r="AR535" s="927"/>
      <c r="AS535" s="923"/>
      <c r="AT535" s="923"/>
      <c r="AU535" s="923"/>
    </row>
    <row r="536" spans="44:47" ht="15" customHeight="1" x14ac:dyDescent="0.25">
      <c r="AR536" s="927"/>
      <c r="AS536" s="923"/>
      <c r="AT536" s="923"/>
      <c r="AU536" s="923"/>
    </row>
    <row r="537" spans="44:47" ht="15" customHeight="1" x14ac:dyDescent="0.25">
      <c r="AR537" s="927"/>
      <c r="AS537" s="923"/>
      <c r="AT537" s="923"/>
      <c r="AU537" s="923"/>
    </row>
    <row r="538" spans="44:47" ht="15" customHeight="1" x14ac:dyDescent="0.25">
      <c r="AR538" s="927"/>
      <c r="AS538" s="923"/>
      <c r="AT538" s="923"/>
      <c r="AU538" s="923"/>
    </row>
    <row r="539" spans="44:47" ht="15" customHeight="1" x14ac:dyDescent="0.25">
      <c r="AR539" s="927"/>
      <c r="AS539" s="923"/>
      <c r="AT539" s="923"/>
      <c r="AU539" s="923"/>
    </row>
    <row r="540" spans="44:47" ht="15" customHeight="1" x14ac:dyDescent="0.25">
      <c r="AR540" s="927"/>
      <c r="AS540" s="923"/>
      <c r="AT540" s="923"/>
      <c r="AU540" s="923"/>
    </row>
    <row r="541" spans="44:47" ht="15" customHeight="1" x14ac:dyDescent="0.25">
      <c r="AR541" s="927"/>
      <c r="AS541" s="923"/>
      <c r="AT541" s="923"/>
      <c r="AU541" s="923"/>
    </row>
    <row r="542" spans="44:47" ht="15" customHeight="1" x14ac:dyDescent="0.25">
      <c r="AR542" s="927"/>
      <c r="AS542" s="923"/>
      <c r="AT542" s="923"/>
      <c r="AU542" s="923"/>
    </row>
    <row r="543" spans="44:47" ht="15" customHeight="1" x14ac:dyDescent="0.25">
      <c r="AR543" s="927"/>
      <c r="AS543" s="923"/>
      <c r="AT543" s="923"/>
      <c r="AU543" s="923"/>
    </row>
    <row r="544" spans="44:47" ht="15" customHeight="1" x14ac:dyDescent="0.25">
      <c r="AR544" s="927"/>
      <c r="AS544" s="923"/>
      <c r="AT544" s="923"/>
      <c r="AU544" s="923"/>
    </row>
    <row r="545" spans="44:47" ht="15" customHeight="1" x14ac:dyDescent="0.25">
      <c r="AR545" s="927"/>
      <c r="AS545" s="923"/>
      <c r="AT545" s="923"/>
      <c r="AU545" s="923"/>
    </row>
    <row r="546" spans="44:47" ht="15" customHeight="1" x14ac:dyDescent="0.25">
      <c r="AR546" s="927"/>
      <c r="AS546" s="923"/>
      <c r="AT546" s="923"/>
      <c r="AU546" s="923"/>
    </row>
    <row r="547" spans="44:47" ht="15" customHeight="1" x14ac:dyDescent="0.25">
      <c r="AR547" s="927"/>
      <c r="AS547" s="923"/>
      <c r="AT547" s="923"/>
      <c r="AU547" s="923"/>
    </row>
    <row r="548" spans="44:47" ht="15" customHeight="1" x14ac:dyDescent="0.25">
      <c r="AR548" s="927"/>
      <c r="AS548" s="923"/>
      <c r="AT548" s="923"/>
      <c r="AU548" s="923"/>
    </row>
    <row r="549" spans="44:47" ht="15" customHeight="1" x14ac:dyDescent="0.25">
      <c r="AR549" s="927"/>
      <c r="AS549" s="923"/>
      <c r="AT549" s="923"/>
      <c r="AU549" s="923"/>
    </row>
    <row r="550" spans="44:47" ht="15" customHeight="1" x14ac:dyDescent="0.25">
      <c r="AR550" s="927"/>
      <c r="AS550" s="923"/>
      <c r="AT550" s="923"/>
      <c r="AU550" s="923"/>
    </row>
    <row r="551" spans="44:47" ht="15" customHeight="1" x14ac:dyDescent="0.25">
      <c r="AR551" s="927"/>
      <c r="AS551" s="923"/>
      <c r="AT551" s="923"/>
      <c r="AU551" s="923"/>
    </row>
    <row r="552" spans="44:47" ht="15" customHeight="1" x14ac:dyDescent="0.25">
      <c r="AR552" s="927"/>
      <c r="AS552" s="923"/>
      <c r="AT552" s="923"/>
      <c r="AU552" s="923"/>
    </row>
    <row r="553" spans="44:47" ht="15" customHeight="1" x14ac:dyDescent="0.25">
      <c r="AR553" s="927"/>
      <c r="AS553" s="923"/>
      <c r="AT553" s="923"/>
      <c r="AU553" s="923"/>
    </row>
    <row r="554" spans="44:47" ht="15" customHeight="1" x14ac:dyDescent="0.25">
      <c r="AR554" s="927"/>
      <c r="AS554" s="923"/>
      <c r="AT554" s="923"/>
      <c r="AU554" s="923"/>
    </row>
    <row r="555" spans="44:47" ht="15" customHeight="1" x14ac:dyDescent="0.25">
      <c r="AR555" s="927"/>
      <c r="AS555" s="923"/>
      <c r="AT555" s="923"/>
      <c r="AU555" s="923"/>
    </row>
    <row r="556" spans="44:47" ht="15" customHeight="1" x14ac:dyDescent="0.25">
      <c r="AR556" s="927"/>
      <c r="AS556" s="923"/>
      <c r="AT556" s="923"/>
      <c r="AU556" s="923"/>
    </row>
    <row r="557" spans="44:47" ht="15" customHeight="1" x14ac:dyDescent="0.25">
      <c r="AR557" s="927"/>
      <c r="AS557" s="923"/>
      <c r="AT557" s="923"/>
      <c r="AU557" s="923"/>
    </row>
    <row r="558" spans="44:47" ht="15" customHeight="1" x14ac:dyDescent="0.25">
      <c r="AR558" s="927"/>
      <c r="AS558" s="923"/>
      <c r="AT558" s="923"/>
      <c r="AU558" s="923"/>
    </row>
    <row r="559" spans="44:47" ht="15" customHeight="1" x14ac:dyDescent="0.25">
      <c r="AR559" s="927"/>
      <c r="AS559" s="923"/>
      <c r="AT559" s="923"/>
      <c r="AU559" s="923"/>
    </row>
    <row r="560" spans="44:47" ht="15" customHeight="1" x14ac:dyDescent="0.25">
      <c r="AR560" s="927"/>
      <c r="AS560" s="923"/>
      <c r="AT560" s="923"/>
      <c r="AU560" s="923"/>
    </row>
    <row r="561" spans="44:47" ht="15" customHeight="1" x14ac:dyDescent="0.25">
      <c r="AR561" s="927"/>
      <c r="AS561" s="923"/>
      <c r="AT561" s="923"/>
      <c r="AU561" s="923"/>
    </row>
    <row r="562" spans="44:47" ht="15" customHeight="1" x14ac:dyDescent="0.25">
      <c r="AR562" s="927"/>
      <c r="AS562" s="923"/>
      <c r="AT562" s="923"/>
      <c r="AU562" s="923"/>
    </row>
    <row r="563" spans="44:47" ht="15" customHeight="1" x14ac:dyDescent="0.25">
      <c r="AR563" s="927"/>
      <c r="AS563" s="923"/>
      <c r="AT563" s="923"/>
      <c r="AU563" s="923"/>
    </row>
    <row r="564" spans="44:47" ht="15" customHeight="1" x14ac:dyDescent="0.25">
      <c r="AR564" s="927"/>
      <c r="AS564" s="923"/>
      <c r="AT564" s="923"/>
      <c r="AU564" s="923"/>
    </row>
    <row r="565" spans="44:47" ht="15" customHeight="1" x14ac:dyDescent="0.25">
      <c r="AR565" s="927"/>
      <c r="AS565" s="923"/>
      <c r="AT565" s="923"/>
      <c r="AU565" s="923"/>
    </row>
    <row r="566" spans="44:47" ht="15" customHeight="1" x14ac:dyDescent="0.25">
      <c r="AR566" s="927"/>
      <c r="AS566" s="923"/>
      <c r="AT566" s="923"/>
      <c r="AU566" s="923"/>
    </row>
    <row r="567" spans="44:47" ht="15" customHeight="1" x14ac:dyDescent="0.25">
      <c r="AR567" s="927"/>
      <c r="AS567" s="923"/>
      <c r="AT567" s="923"/>
      <c r="AU567" s="923"/>
    </row>
    <row r="568" spans="44:47" ht="15" customHeight="1" x14ac:dyDescent="0.25">
      <c r="AR568" s="927"/>
      <c r="AS568" s="923"/>
      <c r="AT568" s="923"/>
      <c r="AU568" s="923"/>
    </row>
    <row r="569" spans="44:47" ht="15" customHeight="1" x14ac:dyDescent="0.25">
      <c r="AR569" s="927"/>
      <c r="AS569" s="923"/>
      <c r="AT569" s="923"/>
      <c r="AU569" s="923"/>
    </row>
    <row r="570" spans="44:47" ht="15" customHeight="1" x14ac:dyDescent="0.25">
      <c r="AR570" s="927"/>
      <c r="AS570" s="923"/>
      <c r="AT570" s="923"/>
      <c r="AU570" s="923"/>
    </row>
    <row r="571" spans="44:47" ht="15" customHeight="1" x14ac:dyDescent="0.25">
      <c r="AR571" s="927"/>
      <c r="AS571" s="923"/>
      <c r="AT571" s="923"/>
      <c r="AU571" s="923"/>
    </row>
    <row r="572" spans="44:47" ht="15" customHeight="1" x14ac:dyDescent="0.25">
      <c r="AR572" s="927"/>
      <c r="AS572" s="923"/>
      <c r="AT572" s="923"/>
      <c r="AU572" s="923"/>
    </row>
    <row r="573" spans="44:47" ht="15" customHeight="1" x14ac:dyDescent="0.25">
      <c r="AR573" s="927"/>
      <c r="AS573" s="923"/>
      <c r="AT573" s="923"/>
      <c r="AU573" s="923"/>
    </row>
    <row r="574" spans="44:47" ht="15" customHeight="1" x14ac:dyDescent="0.25">
      <c r="AR574" s="927"/>
      <c r="AS574" s="923"/>
      <c r="AT574" s="923"/>
      <c r="AU574" s="923"/>
    </row>
    <row r="575" spans="44:47" ht="15" customHeight="1" x14ac:dyDescent="0.25">
      <c r="AR575" s="927"/>
      <c r="AS575" s="923"/>
      <c r="AT575" s="923"/>
      <c r="AU575" s="923"/>
    </row>
    <row r="576" spans="44:47" ht="15" customHeight="1" x14ac:dyDescent="0.25">
      <c r="AR576" s="927"/>
      <c r="AS576" s="923"/>
      <c r="AT576" s="923"/>
      <c r="AU576" s="923"/>
    </row>
    <row r="577" spans="44:47" ht="15" customHeight="1" x14ac:dyDescent="0.25">
      <c r="AR577" s="927"/>
      <c r="AS577" s="923"/>
      <c r="AT577" s="923"/>
      <c r="AU577" s="923"/>
    </row>
    <row r="578" spans="44:47" ht="15" customHeight="1" x14ac:dyDescent="0.25">
      <c r="AR578" s="927"/>
      <c r="AS578" s="923"/>
      <c r="AT578" s="923"/>
      <c r="AU578" s="923"/>
    </row>
    <row r="579" spans="44:47" ht="15" customHeight="1" x14ac:dyDescent="0.25">
      <c r="AR579" s="927"/>
      <c r="AS579" s="923"/>
      <c r="AT579" s="923"/>
      <c r="AU579" s="923"/>
    </row>
    <row r="580" spans="44:47" ht="15" customHeight="1" x14ac:dyDescent="0.25">
      <c r="AR580" s="927"/>
      <c r="AS580" s="923"/>
      <c r="AT580" s="923"/>
      <c r="AU580" s="923"/>
    </row>
    <row r="581" spans="44:47" ht="15" customHeight="1" x14ac:dyDescent="0.25">
      <c r="AR581" s="927"/>
      <c r="AS581" s="923"/>
      <c r="AT581" s="923"/>
      <c r="AU581" s="923"/>
    </row>
    <row r="582" spans="44:47" ht="15" customHeight="1" x14ac:dyDescent="0.25">
      <c r="AR582" s="927"/>
      <c r="AS582" s="923"/>
      <c r="AT582" s="923"/>
      <c r="AU582" s="923"/>
    </row>
    <row r="583" spans="44:47" ht="15" customHeight="1" x14ac:dyDescent="0.25">
      <c r="AR583" s="927"/>
      <c r="AS583" s="923"/>
      <c r="AT583" s="923"/>
      <c r="AU583" s="923"/>
    </row>
    <row r="584" spans="44:47" ht="15" customHeight="1" x14ac:dyDescent="0.25">
      <c r="AR584" s="927"/>
      <c r="AS584" s="923"/>
      <c r="AT584" s="923"/>
      <c r="AU584" s="923"/>
    </row>
    <row r="585" spans="44:47" ht="15" customHeight="1" x14ac:dyDescent="0.25">
      <c r="AR585" s="927"/>
      <c r="AS585" s="923"/>
      <c r="AT585" s="923"/>
      <c r="AU585" s="923"/>
    </row>
    <row r="586" spans="44:47" ht="15" customHeight="1" x14ac:dyDescent="0.25">
      <c r="AR586" s="927"/>
      <c r="AS586" s="923"/>
      <c r="AT586" s="923"/>
      <c r="AU586" s="923"/>
    </row>
    <row r="587" spans="44:47" ht="15" customHeight="1" x14ac:dyDescent="0.25">
      <c r="AR587" s="927"/>
      <c r="AS587" s="923"/>
      <c r="AT587" s="923"/>
      <c r="AU587" s="923"/>
    </row>
    <row r="588" spans="44:47" ht="15" customHeight="1" x14ac:dyDescent="0.25">
      <c r="AR588" s="927"/>
      <c r="AS588" s="923"/>
      <c r="AT588" s="923"/>
      <c r="AU588" s="923"/>
    </row>
    <row r="589" spans="44:47" ht="15" customHeight="1" x14ac:dyDescent="0.25">
      <c r="AR589" s="927"/>
      <c r="AS589" s="923"/>
      <c r="AT589" s="923"/>
      <c r="AU589" s="923"/>
    </row>
    <row r="590" spans="44:47" ht="15" customHeight="1" x14ac:dyDescent="0.25">
      <c r="AR590" s="927"/>
      <c r="AS590" s="923"/>
      <c r="AT590" s="923"/>
      <c r="AU590" s="923"/>
    </row>
    <row r="591" spans="44:47" ht="15" customHeight="1" x14ac:dyDescent="0.25">
      <c r="AR591" s="927"/>
      <c r="AS591" s="923"/>
      <c r="AT591" s="923"/>
      <c r="AU591" s="923"/>
    </row>
    <row r="592" spans="44:47" ht="15" customHeight="1" x14ac:dyDescent="0.25">
      <c r="AR592" s="927"/>
      <c r="AS592" s="923"/>
      <c r="AT592" s="923"/>
      <c r="AU592" s="923"/>
    </row>
    <row r="593" spans="44:47" ht="15" customHeight="1" x14ac:dyDescent="0.25">
      <c r="AR593" s="927"/>
      <c r="AS593" s="923"/>
      <c r="AT593" s="923"/>
      <c r="AU593" s="923"/>
    </row>
    <row r="594" spans="44:47" ht="15" customHeight="1" x14ac:dyDescent="0.25">
      <c r="AR594" s="927"/>
      <c r="AS594" s="923"/>
      <c r="AT594" s="923"/>
      <c r="AU594" s="923"/>
    </row>
    <row r="595" spans="44:47" ht="15" customHeight="1" x14ac:dyDescent="0.25">
      <c r="AR595" s="927"/>
      <c r="AS595" s="923"/>
      <c r="AT595" s="923"/>
      <c r="AU595" s="923"/>
    </row>
    <row r="596" spans="44:47" ht="15" customHeight="1" x14ac:dyDescent="0.25">
      <c r="AR596" s="927"/>
      <c r="AS596" s="923"/>
      <c r="AT596" s="923"/>
      <c r="AU596" s="923"/>
    </row>
    <row r="597" spans="44:47" ht="15" customHeight="1" x14ac:dyDescent="0.25">
      <c r="AR597" s="927"/>
      <c r="AS597" s="923"/>
      <c r="AT597" s="923"/>
      <c r="AU597" s="923"/>
    </row>
    <row r="598" spans="44:47" ht="15" customHeight="1" x14ac:dyDescent="0.25">
      <c r="AR598" s="927"/>
      <c r="AS598" s="923"/>
      <c r="AT598" s="923"/>
      <c r="AU598" s="923"/>
    </row>
    <row r="599" spans="44:47" ht="15" customHeight="1" x14ac:dyDescent="0.25">
      <c r="AT599" s="995"/>
    </row>
    <row r="600" spans="44:47" ht="15" customHeight="1" x14ac:dyDescent="0.25"/>
    <row r="601" spans="44:47" ht="15" customHeight="1" x14ac:dyDescent="0.25"/>
    <row r="602" spans="44:47" ht="15" customHeight="1" x14ac:dyDescent="0.25"/>
    <row r="603" spans="44:47" ht="15" customHeight="1" x14ac:dyDescent="0.25"/>
    <row r="604" spans="44:47" ht="15" customHeight="1" x14ac:dyDescent="0.25"/>
    <row r="605" spans="44:47" ht="15" customHeight="1" x14ac:dyDescent="0.25"/>
    <row r="606" spans="44:47" ht="15" customHeight="1" x14ac:dyDescent="0.25"/>
    <row r="607" spans="44:47" ht="15" customHeight="1" x14ac:dyDescent="0.25"/>
    <row r="608" spans="44:47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</sheetData>
  <sheetProtection formatCells="0" formatColumns="0" formatRows="0" insertColumns="0" insertRows="0" insertHyperlinks="0" deleteColumns="0" deleteRows="0" pivotTables="0"/>
  <autoFilter ref="A8:AX465">
    <filterColumn colId="3" showButton="0"/>
    <filterColumn colId="4" showButton="0"/>
    <filterColumn colId="5" showButton="0"/>
    <filterColumn colId="6" showButton="0"/>
    <filterColumn colId="27" showButton="0"/>
    <filterColumn colId="28" showButton="0"/>
    <filterColumn colId="29" showButton="0"/>
    <filterColumn colId="30" showButton="0"/>
  </autoFilter>
  <mergeCells count="772">
    <mergeCell ref="A46:A48"/>
    <mergeCell ref="Y130:Y132"/>
    <mergeCell ref="Y70:Y72"/>
    <mergeCell ref="Y73:Y75"/>
    <mergeCell ref="U76:U78"/>
    <mergeCell ref="S70:S72"/>
    <mergeCell ref="Y76:Y78"/>
    <mergeCell ref="U64:U66"/>
    <mergeCell ref="R64:R66"/>
    <mergeCell ref="R73:R75"/>
    <mergeCell ref="S73:S75"/>
    <mergeCell ref="A73:A75"/>
    <mergeCell ref="W73:W75"/>
    <mergeCell ref="Y49:Y51"/>
    <mergeCell ref="A49:A51"/>
    <mergeCell ref="AQ133:AQ135"/>
    <mergeCell ref="AQ136:AQ138"/>
    <mergeCell ref="AQ139:AQ141"/>
    <mergeCell ref="AW5:AW7"/>
    <mergeCell ref="AP70:AP72"/>
    <mergeCell ref="AP67:AP69"/>
    <mergeCell ref="AP64:AP66"/>
    <mergeCell ref="AP133:AP135"/>
    <mergeCell ref="AP61:AP63"/>
    <mergeCell ref="AS46:AS48"/>
    <mergeCell ref="AS67:AS69"/>
    <mergeCell ref="AQ61:AQ63"/>
    <mergeCell ref="AQ64:AQ66"/>
    <mergeCell ref="AQ67:AQ69"/>
    <mergeCell ref="AS61:AS63"/>
    <mergeCell ref="AQ46:AQ48"/>
    <mergeCell ref="AP46:AP48"/>
    <mergeCell ref="AP73:AP75"/>
    <mergeCell ref="AS136:AS138"/>
    <mergeCell ref="AS64:AS66"/>
    <mergeCell ref="AP49:AP51"/>
    <mergeCell ref="AX5:AX7"/>
    <mergeCell ref="AS40:AS42"/>
    <mergeCell ref="AP40:AP42"/>
    <mergeCell ref="AT5:AT7"/>
    <mergeCell ref="AS5:AS7"/>
    <mergeCell ref="AU5:AU7"/>
    <mergeCell ref="AV5:AV7"/>
    <mergeCell ref="AB5:AP5"/>
    <mergeCell ref="AR5:AR7"/>
    <mergeCell ref="AI6:AI7"/>
    <mergeCell ref="AO6:AP7"/>
    <mergeCell ref="AM6:AM7"/>
    <mergeCell ref="AQ433:AQ435"/>
    <mergeCell ref="AP433:AP435"/>
    <mergeCell ref="AP430:AP432"/>
    <mergeCell ref="AP424:AP426"/>
    <mergeCell ref="AP421:AP423"/>
    <mergeCell ref="AP418:AP420"/>
    <mergeCell ref="AQ421:AQ423"/>
    <mergeCell ref="AQ418:AQ420"/>
    <mergeCell ref="AQ424:AQ426"/>
    <mergeCell ref="AQ427:AQ429"/>
    <mergeCell ref="AQ430:AQ432"/>
    <mergeCell ref="AP427:AP429"/>
    <mergeCell ref="Q465:T465"/>
    <mergeCell ref="Q452:R452"/>
    <mergeCell ref="U384:U386"/>
    <mergeCell ref="Z438:AA438"/>
    <mergeCell ref="S357:S359"/>
    <mergeCell ref="Z427:Z429"/>
    <mergeCell ref="Q463:T463"/>
    <mergeCell ref="Q461:T461"/>
    <mergeCell ref="Q464:T464"/>
    <mergeCell ref="Q462:T462"/>
    <mergeCell ref="S372:S374"/>
    <mergeCell ref="R372:R374"/>
    <mergeCell ref="R427:R429"/>
    <mergeCell ref="S360:S362"/>
    <mergeCell ref="Z372:Z374"/>
    <mergeCell ref="Z363:Z365"/>
    <mergeCell ref="Z378:Z380"/>
    <mergeCell ref="Z366:Z368"/>
    <mergeCell ref="Z369:Z371"/>
    <mergeCell ref="Q460:T460"/>
    <mergeCell ref="R424:R426"/>
    <mergeCell ref="S418:S420"/>
    <mergeCell ref="S430:S432"/>
    <mergeCell ref="S369:S371"/>
    <mergeCell ref="AO465:AR465"/>
    <mergeCell ref="AP366:AP368"/>
    <mergeCell ref="AP375:AP377"/>
    <mergeCell ref="AO455:AP455"/>
    <mergeCell ref="AO456:AP456"/>
    <mergeCell ref="AP280:AP282"/>
    <mergeCell ref="AQ351:AQ353"/>
    <mergeCell ref="AQ384:AQ386"/>
    <mergeCell ref="AQ369:AQ371"/>
    <mergeCell ref="AQ372:AQ374"/>
    <mergeCell ref="AO460:AR460"/>
    <mergeCell ref="AO447:AP447"/>
    <mergeCell ref="AO440:AP440"/>
    <mergeCell ref="AO463:AR463"/>
    <mergeCell ref="AO462:AR462"/>
    <mergeCell ref="AO461:AR461"/>
    <mergeCell ref="AO459:AP459"/>
    <mergeCell ref="AO458:AP458"/>
    <mergeCell ref="AO453:AP453"/>
    <mergeCell ref="AO452:AP452"/>
    <mergeCell ref="AO464:AR464"/>
    <mergeCell ref="AO450:AP450"/>
    <mergeCell ref="AO449:AP449"/>
    <mergeCell ref="AO446:AP446"/>
    <mergeCell ref="B2:T2"/>
    <mergeCell ref="AS235:AS237"/>
    <mergeCell ref="Y183:Y185"/>
    <mergeCell ref="Y192:Y194"/>
    <mergeCell ref="Y204:Y206"/>
    <mergeCell ref="Z189:Z191"/>
    <mergeCell ref="Z235:Z237"/>
    <mergeCell ref="AS49:AS51"/>
    <mergeCell ref="AS130:AS132"/>
    <mergeCell ref="AS70:AS72"/>
    <mergeCell ref="AS73:AS75"/>
    <mergeCell ref="AS76:AS78"/>
    <mergeCell ref="AP136:AP138"/>
    <mergeCell ref="AP130:AP132"/>
    <mergeCell ref="AP76:AP78"/>
    <mergeCell ref="AS151:AS153"/>
    <mergeCell ref="AS145:AS147"/>
    <mergeCell ref="AQ145:AQ147"/>
    <mergeCell ref="AS133:AS135"/>
    <mergeCell ref="AQ70:AQ72"/>
    <mergeCell ref="AQ73:AQ75"/>
    <mergeCell ref="AQ76:AQ78"/>
    <mergeCell ref="AQ130:AQ132"/>
    <mergeCell ref="N6:N7"/>
    <mergeCell ref="R40:R42"/>
    <mergeCell ref="P6:P7"/>
    <mergeCell ref="S5:S7"/>
    <mergeCell ref="B40:B42"/>
    <mergeCell ref="Q1:R1"/>
    <mergeCell ref="R43:R45"/>
    <mergeCell ref="Q6:R7"/>
    <mergeCell ref="T5:T7"/>
    <mergeCell ref="AO4:AT4"/>
    <mergeCell ref="W5:W7"/>
    <mergeCell ref="Y5:Y7"/>
    <mergeCell ref="D6:H7"/>
    <mergeCell ref="AS43:AS45"/>
    <mergeCell ref="AB6:AF7"/>
    <mergeCell ref="AJ6:AK6"/>
    <mergeCell ref="AL6:AL7"/>
    <mergeCell ref="AN6:AN7"/>
    <mergeCell ref="AH6:AH7"/>
    <mergeCell ref="AP43:AP45"/>
    <mergeCell ref="AQ40:AQ42"/>
    <mergeCell ref="AQ43:AQ45"/>
    <mergeCell ref="AQ5:AQ7"/>
    <mergeCell ref="J6:J7"/>
    <mergeCell ref="K6:L6"/>
    <mergeCell ref="Z5:Z7"/>
    <mergeCell ref="AG6:AG7"/>
    <mergeCell ref="D8:H8"/>
    <mergeCell ref="O6:O7"/>
    <mergeCell ref="S40:S42"/>
    <mergeCell ref="U40:U42"/>
    <mergeCell ref="B4:T4"/>
    <mergeCell ref="B198:B200"/>
    <mergeCell ref="B195:B197"/>
    <mergeCell ref="B192:B194"/>
    <mergeCell ref="Z43:Z45"/>
    <mergeCell ref="Z61:Z63"/>
    <mergeCell ref="Y43:Y45"/>
    <mergeCell ref="U43:U45"/>
    <mergeCell ref="AB8:AF8"/>
    <mergeCell ref="AA5:AA7"/>
    <mergeCell ref="Z40:Z42"/>
    <mergeCell ref="U46:U48"/>
    <mergeCell ref="V5:V7"/>
    <mergeCell ref="Y40:Y42"/>
    <mergeCell ref="Y61:Y63"/>
    <mergeCell ref="U61:U63"/>
    <mergeCell ref="Z67:Z69"/>
    <mergeCell ref="Y46:Y48"/>
    <mergeCell ref="C5:C7"/>
    <mergeCell ref="U5:U7"/>
    <mergeCell ref="B5:B7"/>
    <mergeCell ref="D5:R5"/>
    <mergeCell ref="M6:M7"/>
    <mergeCell ref="I6:I7"/>
    <mergeCell ref="R145:R147"/>
    <mergeCell ref="B145:B147"/>
    <mergeCell ref="B186:B188"/>
    <mergeCell ref="B151:B153"/>
    <mergeCell ref="B136:B138"/>
    <mergeCell ref="S133:S135"/>
    <mergeCell ref="R130:R132"/>
    <mergeCell ref="S130:S132"/>
    <mergeCell ref="B139:B141"/>
    <mergeCell ref="U130:U132"/>
    <mergeCell ref="R139:R141"/>
    <mergeCell ref="R142:R144"/>
    <mergeCell ref="S139:S141"/>
    <mergeCell ref="U133:U135"/>
    <mergeCell ref="U136:U138"/>
    <mergeCell ref="S136:S138"/>
    <mergeCell ref="R136:R138"/>
    <mergeCell ref="U139:U141"/>
    <mergeCell ref="Q455:R455"/>
    <mergeCell ref="Q459:R459"/>
    <mergeCell ref="S427:S429"/>
    <mergeCell ref="S366:S368"/>
    <mergeCell ref="R268:R270"/>
    <mergeCell ref="S424:S426"/>
    <mergeCell ref="R421:R423"/>
    <mergeCell ref="S351:S353"/>
    <mergeCell ref="R280:R282"/>
    <mergeCell ref="R351:R353"/>
    <mergeCell ref="R277:R279"/>
    <mergeCell ref="B142:B144"/>
    <mergeCell ref="S142:S144"/>
    <mergeCell ref="S76:S78"/>
    <mergeCell ref="R76:R78"/>
    <mergeCell ref="S67:S69"/>
    <mergeCell ref="R70:R72"/>
    <mergeCell ref="B70:B72"/>
    <mergeCell ref="B76:B78"/>
    <mergeCell ref="B73:B75"/>
    <mergeCell ref="B130:B132"/>
    <mergeCell ref="B133:B135"/>
    <mergeCell ref="R133:R135"/>
    <mergeCell ref="B67:B69"/>
    <mergeCell ref="Z64:Z66"/>
    <mergeCell ref="Y64:Y66"/>
    <mergeCell ref="Y67:Y69"/>
    <mergeCell ref="Z70:Z72"/>
    <mergeCell ref="Z73:Z75"/>
    <mergeCell ref="S43:S45"/>
    <mergeCell ref="S64:S66"/>
    <mergeCell ref="B43:B45"/>
    <mergeCell ref="S46:S48"/>
    <mergeCell ref="S61:S63"/>
    <mergeCell ref="R46:R48"/>
    <mergeCell ref="B61:B63"/>
    <mergeCell ref="B64:B66"/>
    <mergeCell ref="U67:U69"/>
    <mergeCell ref="U70:U72"/>
    <mergeCell ref="U73:U75"/>
    <mergeCell ref="R61:R63"/>
    <mergeCell ref="R67:R69"/>
    <mergeCell ref="W67:W69"/>
    <mergeCell ref="V64:V66"/>
    <mergeCell ref="W64:W66"/>
    <mergeCell ref="V67:V69"/>
    <mergeCell ref="V73:V75"/>
    <mergeCell ref="Z130:Z132"/>
    <mergeCell ref="Y139:Y141"/>
    <mergeCell ref="Y142:Y144"/>
    <mergeCell ref="Y136:Y138"/>
    <mergeCell ref="Y133:Y135"/>
    <mergeCell ref="U142:U144"/>
    <mergeCell ref="Z142:Z144"/>
    <mergeCell ref="Z76:Z78"/>
    <mergeCell ref="Z136:Z138"/>
    <mergeCell ref="Z139:Z141"/>
    <mergeCell ref="Z133:Z135"/>
    <mergeCell ref="W130:W132"/>
    <mergeCell ref="W133:W135"/>
    <mergeCell ref="W136:W138"/>
    <mergeCell ref="W139:W141"/>
    <mergeCell ref="W142:W144"/>
    <mergeCell ref="B235:B237"/>
    <mergeCell ref="R235:R237"/>
    <mergeCell ref="R271:R273"/>
    <mergeCell ref="R204:R206"/>
    <mergeCell ref="Z148:Z150"/>
    <mergeCell ref="Y145:Y147"/>
    <mergeCell ref="Z183:Z185"/>
    <mergeCell ref="U183:U185"/>
    <mergeCell ref="U189:U191"/>
    <mergeCell ref="U154:U156"/>
    <mergeCell ref="S151:S153"/>
    <mergeCell ref="S154:S156"/>
    <mergeCell ref="Z154:Z156"/>
    <mergeCell ref="S148:S150"/>
    <mergeCell ref="S145:S147"/>
    <mergeCell ref="Y151:Y153"/>
    <mergeCell ref="U151:U153"/>
    <mergeCell ref="S186:S188"/>
    <mergeCell ref="B154:B156"/>
    <mergeCell ref="B148:B150"/>
    <mergeCell ref="R148:R150"/>
    <mergeCell ref="B183:B185"/>
    <mergeCell ref="B189:B191"/>
    <mergeCell ref="R154:R156"/>
    <mergeCell ref="Z145:Z147"/>
    <mergeCell ref="Z195:Z197"/>
    <mergeCell ref="AS268:AS270"/>
    <mergeCell ref="AP268:AP270"/>
    <mergeCell ref="AS241:AS243"/>
    <mergeCell ref="AS238:AS240"/>
    <mergeCell ref="AS139:AS141"/>
    <mergeCell ref="AS148:AS150"/>
    <mergeCell ref="AS154:AS156"/>
    <mergeCell ref="AP139:AP141"/>
    <mergeCell ref="AS142:AS144"/>
    <mergeCell ref="AQ142:AQ144"/>
    <mergeCell ref="AP183:AP185"/>
    <mergeCell ref="AQ154:AQ156"/>
    <mergeCell ref="AS189:AS191"/>
    <mergeCell ref="AS201:AS203"/>
    <mergeCell ref="AS204:AS206"/>
    <mergeCell ref="AP192:AP194"/>
    <mergeCell ref="AP198:AP200"/>
    <mergeCell ref="AQ189:AQ191"/>
    <mergeCell ref="AQ192:AQ194"/>
    <mergeCell ref="AS186:AS188"/>
    <mergeCell ref="AS232:AS234"/>
    <mergeCell ref="AS198:AS200"/>
    <mergeCell ref="AS183:AS185"/>
    <mergeCell ref="AS351:AS353"/>
    <mergeCell ref="Z151:Z153"/>
    <mergeCell ref="AP186:AP188"/>
    <mergeCell ref="Z186:Z188"/>
    <mergeCell ref="AP195:AP197"/>
    <mergeCell ref="AQ186:AQ188"/>
    <mergeCell ref="AQ201:AQ203"/>
    <mergeCell ref="AQ232:AQ234"/>
    <mergeCell ref="AQ183:AQ185"/>
    <mergeCell ref="AQ195:AQ197"/>
    <mergeCell ref="AP151:AP153"/>
    <mergeCell ref="Z204:Z206"/>
    <mergeCell ref="AP154:AP156"/>
    <mergeCell ref="AP204:AP206"/>
    <mergeCell ref="AS195:AS197"/>
    <mergeCell ref="AS192:AS194"/>
    <mergeCell ref="AS277:AS279"/>
    <mergeCell ref="AQ241:AQ243"/>
    <mergeCell ref="AS271:AS273"/>
    <mergeCell ref="AP277:AP279"/>
    <mergeCell ref="AP201:AP203"/>
    <mergeCell ref="AP271:AP273"/>
    <mergeCell ref="Z271:Z273"/>
    <mergeCell ref="AQ198:AQ200"/>
    <mergeCell ref="AQ204:AQ206"/>
    <mergeCell ref="AQ235:AQ237"/>
    <mergeCell ref="AQ148:AQ150"/>
    <mergeCell ref="AQ151:AQ153"/>
    <mergeCell ref="AQ238:AQ240"/>
    <mergeCell ref="AQ271:AQ273"/>
    <mergeCell ref="AQ259:AQ261"/>
    <mergeCell ref="AQ274:AQ276"/>
    <mergeCell ref="AP142:AP144"/>
    <mergeCell ref="AP189:AP191"/>
    <mergeCell ref="AP145:AP147"/>
    <mergeCell ref="AP235:AP237"/>
    <mergeCell ref="AP148:AP150"/>
    <mergeCell ref="AS430:AS432"/>
    <mergeCell ref="Z360:Z362"/>
    <mergeCell ref="AQ375:AQ377"/>
    <mergeCell ref="Y357:Y359"/>
    <mergeCell ref="Y366:Y368"/>
    <mergeCell ref="Y363:Y365"/>
    <mergeCell ref="Z415:Z417"/>
    <mergeCell ref="AS363:AS365"/>
    <mergeCell ref="Y378:Y380"/>
    <mergeCell ref="Y360:Y362"/>
    <mergeCell ref="Y427:Y429"/>
    <mergeCell ref="AS357:AS359"/>
    <mergeCell ref="AS384:AS386"/>
    <mergeCell ref="AS418:AS420"/>
    <mergeCell ref="AP384:AP386"/>
    <mergeCell ref="AS424:AS426"/>
    <mergeCell ref="AS427:AS429"/>
    <mergeCell ref="AP381:AP383"/>
    <mergeCell ref="AP363:AP365"/>
    <mergeCell ref="AS421:AS423"/>
    <mergeCell ref="AQ381:AQ383"/>
    <mergeCell ref="AS415:AS417"/>
    <mergeCell ref="AS280:AS282"/>
    <mergeCell ref="AS372:AS374"/>
    <mergeCell ref="AS360:AS362"/>
    <mergeCell ref="AS369:AS371"/>
    <mergeCell ref="AQ357:AQ359"/>
    <mergeCell ref="AQ363:AQ365"/>
    <mergeCell ref="AS375:AS377"/>
    <mergeCell ref="AQ366:AQ368"/>
    <mergeCell ref="AS378:AS380"/>
    <mergeCell ref="AQ280:AQ282"/>
    <mergeCell ref="AQ354:AQ356"/>
    <mergeCell ref="AQ360:AQ362"/>
    <mergeCell ref="AS433:AS435"/>
    <mergeCell ref="AS274:AS276"/>
    <mergeCell ref="AP232:AP234"/>
    <mergeCell ref="Z268:Z270"/>
    <mergeCell ref="Z241:Z243"/>
    <mergeCell ref="Y235:Y237"/>
    <mergeCell ref="Y351:Y353"/>
    <mergeCell ref="Y238:Y240"/>
    <mergeCell ref="Y241:Y243"/>
    <mergeCell ref="Y268:Y270"/>
    <mergeCell ref="Y277:Y279"/>
    <mergeCell ref="Y280:Y282"/>
    <mergeCell ref="Y271:Y273"/>
    <mergeCell ref="Y274:Y276"/>
    <mergeCell ref="AQ268:AQ270"/>
    <mergeCell ref="AQ378:AQ380"/>
    <mergeCell ref="AQ415:AQ417"/>
    <mergeCell ref="AP369:AP371"/>
    <mergeCell ref="AQ277:AQ279"/>
    <mergeCell ref="AS381:AS383"/>
    <mergeCell ref="AS354:AS356"/>
    <mergeCell ref="AP378:AP380"/>
    <mergeCell ref="AP354:AP356"/>
    <mergeCell ref="AS366:AS368"/>
    <mergeCell ref="D457:H457"/>
    <mergeCell ref="AB457:AF457"/>
    <mergeCell ref="Q458:R458"/>
    <mergeCell ref="Q449:R449"/>
    <mergeCell ref="Q444:R444"/>
    <mergeCell ref="D437:H437"/>
    <mergeCell ref="R384:R386"/>
    <mergeCell ref="R433:R435"/>
    <mergeCell ref="D436:H436"/>
    <mergeCell ref="R430:R432"/>
    <mergeCell ref="Q456:R456"/>
    <mergeCell ref="Q441:R441"/>
    <mergeCell ref="AB439:AF439"/>
    <mergeCell ref="AB436:AF436"/>
    <mergeCell ref="AB437:AF437"/>
    <mergeCell ref="R418:R420"/>
    <mergeCell ref="Y430:Y432"/>
    <mergeCell ref="Y433:Y435"/>
    <mergeCell ref="S433:S435"/>
    <mergeCell ref="R415:R417"/>
    <mergeCell ref="Q446:R446"/>
    <mergeCell ref="D454:H454"/>
    <mergeCell ref="AB454:AF454"/>
    <mergeCell ref="Q453:R453"/>
    <mergeCell ref="AB451:AF451"/>
    <mergeCell ref="Q450:R450"/>
    <mergeCell ref="Q447:R447"/>
    <mergeCell ref="D448:H448"/>
    <mergeCell ref="AB448:AF448"/>
    <mergeCell ref="U375:U377"/>
    <mergeCell ref="Y418:Y420"/>
    <mergeCell ref="Y421:Y423"/>
    <mergeCell ref="Y384:Y386"/>
    <mergeCell ref="Y415:Y417"/>
    <mergeCell ref="U378:U380"/>
    <mergeCell ref="AB445:AF445"/>
    <mergeCell ref="AB438:AF438"/>
    <mergeCell ref="U430:U432"/>
    <mergeCell ref="D438:H438"/>
    <mergeCell ref="Y424:Y426"/>
    <mergeCell ref="Y381:Y383"/>
    <mergeCell ref="Z384:Z386"/>
    <mergeCell ref="Y375:Y377"/>
    <mergeCell ref="S415:S417"/>
    <mergeCell ref="U415:U417"/>
    <mergeCell ref="U421:U423"/>
    <mergeCell ref="U424:U426"/>
    <mergeCell ref="S421:S423"/>
    <mergeCell ref="D451:H451"/>
    <mergeCell ref="Q443:R443"/>
    <mergeCell ref="D445:H445"/>
    <mergeCell ref="A360:A362"/>
    <mergeCell ref="B427:B429"/>
    <mergeCell ref="B424:B426"/>
    <mergeCell ref="B436:C436"/>
    <mergeCell ref="B433:B435"/>
    <mergeCell ref="B437:C437"/>
    <mergeCell ref="B415:B417"/>
    <mergeCell ref="B418:B420"/>
    <mergeCell ref="B430:B432"/>
    <mergeCell ref="B384:B386"/>
    <mergeCell ref="B421:B423"/>
    <mergeCell ref="B375:B377"/>
    <mergeCell ref="B363:B365"/>
    <mergeCell ref="R360:R362"/>
    <mergeCell ref="B360:B362"/>
    <mergeCell ref="B381:B383"/>
    <mergeCell ref="B366:B368"/>
    <mergeCell ref="R381:R383"/>
    <mergeCell ref="R378:R380"/>
    <mergeCell ref="A433:A435"/>
    <mergeCell ref="A427:A429"/>
    <mergeCell ref="A145:A147"/>
    <mergeCell ref="A148:A150"/>
    <mergeCell ref="A424:A426"/>
    <mergeCell ref="A372:A374"/>
    <mergeCell ref="A375:A377"/>
    <mergeCell ref="A378:A380"/>
    <mergeCell ref="A384:A386"/>
    <mergeCell ref="A201:A203"/>
    <mergeCell ref="A204:A206"/>
    <mergeCell ref="A418:A420"/>
    <mergeCell ref="A421:A423"/>
    <mergeCell ref="A280:A282"/>
    <mergeCell ref="A357:A359"/>
    <mergeCell ref="A235:A237"/>
    <mergeCell ref="A151:A153"/>
    <mergeCell ref="A154:A156"/>
    <mergeCell ref="A363:A365"/>
    <mergeCell ref="A381:A383"/>
    <mergeCell ref="A195:A197"/>
    <mergeCell ref="A259:A261"/>
    <mergeCell ref="A238:A240"/>
    <mergeCell ref="A241:A243"/>
    <mergeCell ref="A351:A353"/>
    <mergeCell ref="A5:A7"/>
    <mergeCell ref="A40:A42"/>
    <mergeCell ref="A43:A45"/>
    <mergeCell ref="A133:A135"/>
    <mergeCell ref="A136:A138"/>
    <mergeCell ref="A354:A356"/>
    <mergeCell ref="A277:A279"/>
    <mergeCell ref="A186:A188"/>
    <mergeCell ref="A192:A194"/>
    <mergeCell ref="A61:A63"/>
    <mergeCell ref="A64:A66"/>
    <mergeCell ref="A67:A69"/>
    <mergeCell ref="A139:A141"/>
    <mergeCell ref="A142:A144"/>
    <mergeCell ref="A198:A200"/>
    <mergeCell ref="A189:A191"/>
    <mergeCell ref="A274:A276"/>
    <mergeCell ref="A130:A132"/>
    <mergeCell ref="A70:A72"/>
    <mergeCell ref="A183:A185"/>
    <mergeCell ref="A76:A78"/>
    <mergeCell ref="A268:A270"/>
    <mergeCell ref="A271:A273"/>
    <mergeCell ref="A232:A234"/>
    <mergeCell ref="A430:A432"/>
    <mergeCell ref="Z430:Z432"/>
    <mergeCell ref="B354:B356"/>
    <mergeCell ref="B357:B359"/>
    <mergeCell ref="R363:R365"/>
    <mergeCell ref="Y354:Y356"/>
    <mergeCell ref="U372:U374"/>
    <mergeCell ref="S363:S365"/>
    <mergeCell ref="S375:S377"/>
    <mergeCell ref="R357:R359"/>
    <mergeCell ref="R375:R377"/>
    <mergeCell ref="R354:R356"/>
    <mergeCell ref="R366:R368"/>
    <mergeCell ref="A366:A368"/>
    <mergeCell ref="A369:A371"/>
    <mergeCell ref="A415:A417"/>
    <mergeCell ref="R369:R371"/>
    <mergeCell ref="U381:U383"/>
    <mergeCell ref="U366:U368"/>
    <mergeCell ref="U354:U356"/>
    <mergeCell ref="U357:U359"/>
    <mergeCell ref="V418:V420"/>
    <mergeCell ref="V421:V423"/>
    <mergeCell ref="V424:V426"/>
    <mergeCell ref="AO444:AP444"/>
    <mergeCell ref="U433:U435"/>
    <mergeCell ref="D439:H439"/>
    <mergeCell ref="Z424:Z426"/>
    <mergeCell ref="B372:B374"/>
    <mergeCell ref="B369:B371"/>
    <mergeCell ref="B378:B380"/>
    <mergeCell ref="AP415:AP417"/>
    <mergeCell ref="D442:H442"/>
    <mergeCell ref="Q440:R440"/>
    <mergeCell ref="B438:C438"/>
    <mergeCell ref="Z437:AA437"/>
    <mergeCell ref="AO443:AP443"/>
    <mergeCell ref="AO441:AP441"/>
    <mergeCell ref="Z436:AA436"/>
    <mergeCell ref="Y369:Y371"/>
    <mergeCell ref="Y372:Y374"/>
    <mergeCell ref="U427:U429"/>
    <mergeCell ref="AB442:AF442"/>
    <mergeCell ref="S378:S380"/>
    <mergeCell ref="S381:S383"/>
    <mergeCell ref="Z433:Z435"/>
    <mergeCell ref="S384:S386"/>
    <mergeCell ref="V415:V417"/>
    <mergeCell ref="Y148:Y150"/>
    <mergeCell ref="Y154:Y156"/>
    <mergeCell ref="U195:U197"/>
    <mergeCell ref="S192:S194"/>
    <mergeCell ref="U192:U194"/>
    <mergeCell ref="R195:R197"/>
    <mergeCell ref="Y195:Y197"/>
    <mergeCell ref="S183:S185"/>
    <mergeCell ref="R192:R194"/>
    <mergeCell ref="R151:R153"/>
    <mergeCell ref="Y186:Y188"/>
    <mergeCell ref="Y189:Y191"/>
    <mergeCell ref="S235:S237"/>
    <mergeCell ref="U268:U270"/>
    <mergeCell ref="U277:U279"/>
    <mergeCell ref="U351:U353"/>
    <mergeCell ref="S277:S279"/>
    <mergeCell ref="U280:U282"/>
    <mergeCell ref="U369:U371"/>
    <mergeCell ref="U363:U365"/>
    <mergeCell ref="R183:R185"/>
    <mergeCell ref="R186:R188"/>
    <mergeCell ref="S280:S282"/>
    <mergeCell ref="S354:S356"/>
    <mergeCell ref="S201:S203"/>
    <mergeCell ref="S204:S206"/>
    <mergeCell ref="S198:S200"/>
    <mergeCell ref="R189:R191"/>
    <mergeCell ref="S195:S197"/>
    <mergeCell ref="S189:S191"/>
    <mergeCell ref="U198:U200"/>
    <mergeCell ref="U418:U420"/>
    <mergeCell ref="Z381:Z383"/>
    <mergeCell ref="Z418:Z420"/>
    <mergeCell ref="Z375:Z377"/>
    <mergeCell ref="Z421:Z423"/>
    <mergeCell ref="Z357:Z359"/>
    <mergeCell ref="U360:U362"/>
    <mergeCell ref="U232:U234"/>
    <mergeCell ref="U259:U261"/>
    <mergeCell ref="U238:U240"/>
    <mergeCell ref="U241:U243"/>
    <mergeCell ref="Y259:Y261"/>
    <mergeCell ref="U235:U237"/>
    <mergeCell ref="Y232:Y234"/>
    <mergeCell ref="Z232:Z234"/>
    <mergeCell ref="U274:U276"/>
    <mergeCell ref="U271:U273"/>
    <mergeCell ref="Z277:Z279"/>
    <mergeCell ref="Z351:Z353"/>
    <mergeCell ref="Z280:Z282"/>
    <mergeCell ref="Z274:Z276"/>
    <mergeCell ref="Z354:Z356"/>
    <mergeCell ref="W232:W234"/>
    <mergeCell ref="W235:W237"/>
    <mergeCell ref="B351:B353"/>
    <mergeCell ref="B201:B203"/>
    <mergeCell ref="B204:B206"/>
    <mergeCell ref="B271:B273"/>
    <mergeCell ref="R238:R240"/>
    <mergeCell ref="B268:B270"/>
    <mergeCell ref="R241:R243"/>
    <mergeCell ref="S241:S243"/>
    <mergeCell ref="B274:B276"/>
    <mergeCell ref="R274:R276"/>
    <mergeCell ref="S259:S261"/>
    <mergeCell ref="S238:S240"/>
    <mergeCell ref="S232:S234"/>
    <mergeCell ref="R232:R234"/>
    <mergeCell ref="B241:B243"/>
    <mergeCell ref="B232:B234"/>
    <mergeCell ref="B280:B282"/>
    <mergeCell ref="B277:B279"/>
    <mergeCell ref="S274:S276"/>
    <mergeCell ref="S271:S273"/>
    <mergeCell ref="B238:B240"/>
    <mergeCell ref="R259:R261"/>
    <mergeCell ref="S268:S270"/>
    <mergeCell ref="B259:B261"/>
    <mergeCell ref="U145:U147"/>
    <mergeCell ref="U148:U150"/>
    <mergeCell ref="W183:W185"/>
    <mergeCell ref="W186:W188"/>
    <mergeCell ref="W189:W191"/>
    <mergeCell ref="V189:V191"/>
    <mergeCell ref="V192:V194"/>
    <mergeCell ref="V195:V197"/>
    <mergeCell ref="W192:W194"/>
    <mergeCell ref="W195:W197"/>
    <mergeCell ref="W145:W147"/>
    <mergeCell ref="W148:W150"/>
    <mergeCell ref="W151:W153"/>
    <mergeCell ref="V183:V185"/>
    <mergeCell ref="W154:W156"/>
    <mergeCell ref="U186:U188"/>
    <mergeCell ref="Y198:Y200"/>
    <mergeCell ref="Y201:Y203"/>
    <mergeCell ref="U204:U206"/>
    <mergeCell ref="Z192:Z194"/>
    <mergeCell ref="Z198:Z200"/>
    <mergeCell ref="V186:V188"/>
    <mergeCell ref="W198:W200"/>
    <mergeCell ref="V198:V200"/>
    <mergeCell ref="R198:R200"/>
    <mergeCell ref="U201:U203"/>
    <mergeCell ref="R201:R203"/>
    <mergeCell ref="Z201:Z203"/>
    <mergeCell ref="V201:V203"/>
    <mergeCell ref="V204:V206"/>
    <mergeCell ref="W201:W203"/>
    <mergeCell ref="W204:W206"/>
    <mergeCell ref="V235:V237"/>
    <mergeCell ref="W241:W243"/>
    <mergeCell ref="W268:W270"/>
    <mergeCell ref="V268:V270"/>
    <mergeCell ref="V232:V234"/>
    <mergeCell ref="Z238:Z240"/>
    <mergeCell ref="Z259:Z261"/>
    <mergeCell ref="AP238:AP240"/>
    <mergeCell ref="AP241:AP243"/>
    <mergeCell ref="W238:W240"/>
    <mergeCell ref="AP274:AP276"/>
    <mergeCell ref="AP259:AP261"/>
    <mergeCell ref="W433:W435"/>
    <mergeCell ref="W363:W365"/>
    <mergeCell ref="W366:W368"/>
    <mergeCell ref="W369:W371"/>
    <mergeCell ref="W372:W374"/>
    <mergeCell ref="W375:W377"/>
    <mergeCell ref="W424:W426"/>
    <mergeCell ref="W427:W429"/>
    <mergeCell ref="W418:W420"/>
    <mergeCell ref="W421:W423"/>
    <mergeCell ref="AP360:AP362"/>
    <mergeCell ref="AP357:AP359"/>
    <mergeCell ref="AP351:AP353"/>
    <mergeCell ref="AP372:AP374"/>
    <mergeCell ref="V277:V279"/>
    <mergeCell ref="V372:V374"/>
    <mergeCell ref="V241:V243"/>
    <mergeCell ref="W378:W380"/>
    <mergeCell ref="W381:W383"/>
    <mergeCell ref="W384:W386"/>
    <mergeCell ref="W415:W417"/>
    <mergeCell ref="W354:W356"/>
    <mergeCell ref="W277:W279"/>
    <mergeCell ref="W280:W282"/>
    <mergeCell ref="W351:W353"/>
    <mergeCell ref="W274:W276"/>
    <mergeCell ref="W259:W261"/>
    <mergeCell ref="V381:V383"/>
    <mergeCell ref="V375:V377"/>
    <mergeCell ref="V366:V368"/>
    <mergeCell ref="V369:V371"/>
    <mergeCell ref="V357:V359"/>
    <mergeCell ref="W357:W359"/>
    <mergeCell ref="W360:W362"/>
    <mergeCell ref="W271:W273"/>
    <mergeCell ref="V378:V380"/>
    <mergeCell ref="V274:V276"/>
    <mergeCell ref="V40:V42"/>
    <mergeCell ref="V46:V48"/>
    <mergeCell ref="W46:W48"/>
    <mergeCell ref="V61:V63"/>
    <mergeCell ref="W61:W63"/>
    <mergeCell ref="V43:V45"/>
    <mergeCell ref="W43:W45"/>
    <mergeCell ref="W40:W42"/>
    <mergeCell ref="V70:V72"/>
    <mergeCell ref="W70:W72"/>
    <mergeCell ref="V433:V435"/>
    <mergeCell ref="V133:V135"/>
    <mergeCell ref="V136:V138"/>
    <mergeCell ref="V139:V141"/>
    <mergeCell ref="V142:V144"/>
    <mergeCell ref="V145:V147"/>
    <mergeCell ref="V148:V150"/>
    <mergeCell ref="V76:V78"/>
    <mergeCell ref="W76:W78"/>
    <mergeCell ref="V130:V132"/>
    <mergeCell ref="V430:V432"/>
    <mergeCell ref="W430:W432"/>
    <mergeCell ref="V384:V386"/>
    <mergeCell ref="V238:V240"/>
    <mergeCell ref="V280:V282"/>
    <mergeCell ref="V351:V353"/>
    <mergeCell ref="V354:V356"/>
    <mergeCell ref="V259:V261"/>
    <mergeCell ref="V151:V153"/>
    <mergeCell ref="V154:V156"/>
    <mergeCell ref="V360:V362"/>
    <mergeCell ref="V363:V365"/>
    <mergeCell ref="V271:V273"/>
    <mergeCell ref="V427:V429"/>
  </mergeCells>
  <phoneticPr fontId="4" type="noConversion"/>
  <conditionalFormatting sqref="T10:U435 A9:N49 P10:S40 P262:S435 P260:R261 P239:R240 P241:S259 P236:R237 P238:S238 P233:R234 P235:S235 P205:R206 P207:S232 P199:R200 P201:S201 P193:R194 P195:S195 P190:R191 P192:S192 P187:R188 P189:S189 P184:R185 P186:S186 P155:R156 P157:S183 P152:R153 P154:S154 P149:R150 P151:S151 P146:R147 P148:S148 P143:R144 P145:S145 P140:R141 P142:S142 P137:R138 P139:S139 P134:R135 P136:S136 P131:R132 P133:S133 P77:R78 P79:S130 P74:R75 P76:S76 P71:R72 P73:S73 P68:R69 P70:S70 P65:R66 P67:S67 P41:R42 P43:S61 P62:R63 P64:S64 P9:U9 P196:R197 P198:S198 P202:R203 P204:S204 A52:N435 B50:N51">
    <cfRule type="expression" dxfId="54" priority="6">
      <formula>$S9="закрыт"</formula>
    </cfRule>
  </conditionalFormatting>
  <conditionalFormatting sqref="Y9:AX9 Y52:AQ312 Z50:AO51 AQ50:AQ51 Y10:AQ40 AR10:AX312 Y43:AQ49 Y41:AP42 Y313:AX435">
    <cfRule type="expression" dxfId="53" priority="3">
      <formula>$AQ9="закрыт"</formula>
    </cfRule>
  </conditionalFormatting>
  <conditionalFormatting sqref="V9:W435">
    <cfRule type="expression" dxfId="52" priority="2">
      <formula>$S9="закрыт"</formula>
    </cfRule>
  </conditionalFormatting>
  <conditionalFormatting sqref="O9:O435">
    <cfRule type="expression" dxfId="51" priority="1">
      <formula>$S9="закрыт"</formula>
    </cfRule>
  </conditionalFormatting>
  <dataValidations disablePrompts="1" count="1">
    <dataValidation type="whole" operator="equal" allowBlank="1" showInputMessage="1" showErrorMessage="1" sqref="F460">
      <formula1>F436</formula1>
    </dataValidation>
  </dataValidations>
  <pageMargins left="0.39370078740157483" right="0.39370078740157483" top="0.39370078740157483" bottom="0.39370078740157483" header="0.39370078740157483" footer="0.39370078740157483"/>
  <pageSetup paperSize="8" scale="34" orientation="landscape" r:id="rId1"/>
  <headerFooter alignWithMargins="0"/>
  <ignoredErrors>
    <ignoredError sqref="M387:M391 AH415:AH434 Q387:S435 AN387:AO414 AH387:AI403 P387:P399 AP387:AP420 AQ9:AQ39 M393:M399 AQ228:AQ276 AB387:AF432 AB433:AD435 P401:P403 P405:P435 AH405:AI414 AH404 AQ424:AQ432 AQ49:AQ185 AQ189:AQ194 AQ198:AQ200 AQ204:AQ226 AQ354:AQ356 AQ360:AQ368 AQ372:AQ374 AQ378:AQ399 AP434:AP435 AP422:AP432 AQ405:AQ420 AQ401:AQ403 AQ280:AQ283 AQ314:AQ350 AQ285:AQ312 M401:M435" unlockedFormula="1"/>
    <ignoredError sqref="AI415 AI416:AI420 AN415:AO435 AI422:AI434 AI421" formula="1" unlockedFormula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W354"/>
  <sheetViews>
    <sheetView topLeftCell="A223" zoomScale="70" zoomScaleNormal="70" workbookViewId="0">
      <selection activeCell="J235" sqref="J235"/>
    </sheetView>
  </sheetViews>
  <sheetFormatPr defaultRowHeight="15" x14ac:dyDescent="0.25"/>
  <cols>
    <col min="1" max="1" width="26.7109375" style="135" customWidth="1"/>
    <col min="2" max="2" width="6.7109375" style="3" customWidth="1"/>
    <col min="3" max="3" width="3.7109375" style="3" customWidth="1"/>
    <col min="4" max="4" width="6.7109375" style="3" customWidth="1"/>
    <col min="5" max="5" width="3.7109375" style="3" customWidth="1"/>
    <col min="6" max="6" width="6.7109375" style="3" customWidth="1"/>
    <col min="7" max="8" width="20.28515625" style="3" customWidth="1"/>
    <col min="9" max="11" width="15.7109375" style="3" customWidth="1"/>
    <col min="12" max="12" width="15.7109375" style="67" customWidth="1"/>
    <col min="13" max="13" width="32.28515625" style="3" customWidth="1"/>
    <col min="14" max="14" width="24.85546875" style="3" customWidth="1"/>
    <col min="15" max="15" width="17.140625" style="3" customWidth="1"/>
    <col min="16" max="16" width="15.7109375" style="3" customWidth="1"/>
    <col min="17" max="17" width="12.140625" style="3" bestFit="1" customWidth="1"/>
    <col min="18" max="18" width="9.140625" style="68" customWidth="1"/>
    <col min="19" max="19" width="17.7109375" style="44" customWidth="1"/>
    <col min="20" max="20" width="21.5703125" style="44" customWidth="1"/>
    <col min="21" max="16384" width="9.140625" style="44"/>
  </cols>
  <sheetData>
    <row r="1" spans="1:23" ht="15.75" customHeight="1" x14ac:dyDescent="0.25">
      <c r="A1" s="2605" t="s">
        <v>2205</v>
      </c>
      <c r="B1" s="2605"/>
      <c r="C1" s="2605"/>
      <c r="D1" s="2605"/>
      <c r="E1" s="2605"/>
      <c r="F1" s="2605"/>
      <c r="G1" s="2605"/>
      <c r="H1" s="2605"/>
      <c r="I1" s="2605"/>
      <c r="J1" s="2605"/>
      <c r="K1" s="2605"/>
      <c r="L1" s="2605"/>
      <c r="M1" s="2605"/>
      <c r="N1" s="2605"/>
      <c r="O1" s="2605"/>
      <c r="P1" s="2605"/>
      <c r="Q1" s="2605"/>
      <c r="R1" s="2605"/>
      <c r="S1" s="2605"/>
      <c r="T1" s="2605"/>
      <c r="U1" s="2605"/>
      <c r="V1" s="2605"/>
      <c r="W1" s="2605"/>
    </row>
    <row r="2" spans="1:23" ht="15" customHeight="1" x14ac:dyDescent="0.25">
      <c r="A2" s="2781" t="s">
        <v>330</v>
      </c>
      <c r="B2" s="2715" t="s">
        <v>1762</v>
      </c>
      <c r="C2" s="2716"/>
      <c r="D2" s="2716"/>
      <c r="E2" s="2716"/>
      <c r="F2" s="2717"/>
      <c r="G2" s="2723" t="s">
        <v>1814</v>
      </c>
      <c r="H2" s="2724"/>
      <c r="I2" s="2724"/>
      <c r="J2" s="2724"/>
      <c r="K2" s="2724"/>
      <c r="L2" s="2619"/>
      <c r="M2" s="2580" t="s">
        <v>1815</v>
      </c>
      <c r="N2" s="2580"/>
      <c r="O2" s="2580"/>
      <c r="P2" s="2580"/>
      <c r="Q2" s="2580"/>
      <c r="R2" s="2580" t="s">
        <v>2500</v>
      </c>
      <c r="S2" s="2580"/>
      <c r="T2" s="2580"/>
      <c r="U2" s="2580"/>
      <c r="V2" s="2580"/>
      <c r="W2" s="2580"/>
    </row>
    <row r="3" spans="1:23" ht="15" customHeight="1" x14ac:dyDescent="0.25">
      <c r="A3" s="2782"/>
      <c r="B3" s="2718"/>
      <c r="C3" s="2610"/>
      <c r="D3" s="2610"/>
      <c r="E3" s="2610"/>
      <c r="F3" s="2719"/>
      <c r="G3" s="2581" t="s">
        <v>1818</v>
      </c>
      <c r="H3" s="2580"/>
      <c r="I3" s="2580"/>
      <c r="J3" s="2580"/>
      <c r="K3" s="2580"/>
      <c r="L3" s="2580"/>
      <c r="M3" s="2581" t="s">
        <v>1819</v>
      </c>
      <c r="N3" s="2580"/>
      <c r="O3" s="2580"/>
      <c r="P3" s="2580"/>
      <c r="Q3" s="2580"/>
      <c r="R3" s="2581" t="s">
        <v>2501</v>
      </c>
      <c r="S3" s="2580"/>
      <c r="T3" s="2580"/>
      <c r="U3" s="2580"/>
      <c r="V3" s="2580"/>
      <c r="W3" s="2580"/>
    </row>
    <row r="4" spans="1:23" x14ac:dyDescent="0.25">
      <c r="A4" s="2782"/>
      <c r="B4" s="2718"/>
      <c r="C4" s="2610"/>
      <c r="D4" s="2610"/>
      <c r="E4" s="2610"/>
      <c r="F4" s="2719"/>
      <c r="G4" s="2580"/>
      <c r="H4" s="2580"/>
      <c r="I4" s="2580"/>
      <c r="J4" s="2580"/>
      <c r="K4" s="2580"/>
      <c r="L4" s="2580"/>
      <c r="M4" s="2580"/>
      <c r="N4" s="2580"/>
      <c r="O4" s="2580"/>
      <c r="P4" s="2580"/>
      <c r="Q4" s="2580"/>
      <c r="R4" s="2580"/>
      <c r="S4" s="2580"/>
      <c r="T4" s="2580"/>
      <c r="U4" s="2580"/>
      <c r="V4" s="2580"/>
      <c r="W4" s="2580"/>
    </row>
    <row r="5" spans="1:23" ht="75" x14ac:dyDescent="0.25">
      <c r="A5" s="2783"/>
      <c r="B5" s="2720"/>
      <c r="C5" s="2721"/>
      <c r="D5" s="2721"/>
      <c r="E5" s="2721"/>
      <c r="F5" s="2722"/>
      <c r="G5" s="1" t="s">
        <v>1822</v>
      </c>
      <c r="H5" s="1" t="s">
        <v>1828</v>
      </c>
      <c r="I5" s="1" t="s">
        <v>1824</v>
      </c>
      <c r="J5" s="1" t="s">
        <v>1825</v>
      </c>
      <c r="K5" s="1" t="s">
        <v>1826</v>
      </c>
      <c r="L5" s="22" t="s">
        <v>1827</v>
      </c>
      <c r="M5" s="1" t="s">
        <v>1822</v>
      </c>
      <c r="N5" s="1" t="s">
        <v>1828</v>
      </c>
      <c r="O5" s="1" t="s">
        <v>1825</v>
      </c>
      <c r="P5" s="1" t="s">
        <v>1826</v>
      </c>
      <c r="Q5" s="1" t="s">
        <v>1827</v>
      </c>
      <c r="R5" s="1" t="s">
        <v>1822</v>
      </c>
      <c r="S5" s="1" t="s">
        <v>1828</v>
      </c>
      <c r="T5" s="1" t="s">
        <v>1824</v>
      </c>
      <c r="U5" s="1" t="s">
        <v>1825</v>
      </c>
      <c r="V5" s="1" t="s">
        <v>1826</v>
      </c>
      <c r="W5" s="22" t="s">
        <v>1827</v>
      </c>
    </row>
    <row r="6" spans="1:23" ht="15.75" thickBot="1" x14ac:dyDescent="0.3">
      <c r="A6" s="151">
        <v>1</v>
      </c>
      <c r="B6" s="2587">
        <v>2</v>
      </c>
      <c r="C6" s="2588"/>
      <c r="D6" s="2588"/>
      <c r="E6" s="2588"/>
      <c r="F6" s="2589"/>
      <c r="G6" s="14">
        <v>3</v>
      </c>
      <c r="H6" s="14">
        <v>4</v>
      </c>
      <c r="I6" s="14">
        <v>5</v>
      </c>
      <c r="J6" s="14">
        <v>6</v>
      </c>
      <c r="K6" s="14">
        <v>7</v>
      </c>
      <c r="L6" s="271">
        <v>8</v>
      </c>
      <c r="M6" s="14">
        <v>9</v>
      </c>
      <c r="N6" s="14">
        <v>10</v>
      </c>
      <c r="O6" s="14">
        <v>11</v>
      </c>
      <c r="P6" s="14">
        <v>12</v>
      </c>
      <c r="Q6" s="14">
        <v>13</v>
      </c>
      <c r="R6" s="14">
        <v>14</v>
      </c>
      <c r="S6" s="14">
        <v>15</v>
      </c>
      <c r="T6" s="14">
        <v>16</v>
      </c>
      <c r="U6" s="14">
        <v>17</v>
      </c>
      <c r="V6" s="14">
        <v>18</v>
      </c>
      <c r="W6" s="14">
        <v>19</v>
      </c>
    </row>
    <row r="7" spans="1:23" x14ac:dyDescent="0.25">
      <c r="A7" s="544" t="str">
        <f>Итоговая!C244</f>
        <v xml:space="preserve">ПС 35/10 кВ Бахмутово </v>
      </c>
      <c r="B7" s="391">
        <f>Итоговая!D244</f>
        <v>2.5</v>
      </c>
      <c r="C7" s="392"/>
      <c r="D7" s="392"/>
      <c r="E7" s="392"/>
      <c r="F7" s="393"/>
      <c r="G7" s="2648" t="s">
        <v>2477</v>
      </c>
      <c r="H7" s="2648"/>
      <c r="I7" s="2648"/>
      <c r="J7" s="2648"/>
      <c r="K7" s="2648"/>
      <c r="L7" s="2649"/>
      <c r="M7" s="9"/>
      <c r="N7" s="104"/>
      <c r="O7" s="9"/>
      <c r="P7" s="9"/>
      <c r="Q7" s="9"/>
      <c r="R7" s="9"/>
      <c r="S7" s="9"/>
      <c r="T7" s="9"/>
      <c r="U7" s="9"/>
      <c r="V7" s="9"/>
      <c r="W7" s="51"/>
    </row>
    <row r="8" spans="1:23" ht="105.75" thickBot="1" x14ac:dyDescent="0.3">
      <c r="A8" s="402"/>
      <c r="B8" s="403"/>
      <c r="C8" s="404"/>
      <c r="D8" s="404"/>
      <c r="E8" s="404"/>
      <c r="F8" s="405"/>
      <c r="G8" s="9" t="s">
        <v>2611</v>
      </c>
      <c r="H8" s="104" t="s">
        <v>2612</v>
      </c>
      <c r="I8" s="9" t="s">
        <v>2756</v>
      </c>
      <c r="J8" s="9">
        <v>0.1</v>
      </c>
      <c r="K8" s="1"/>
      <c r="L8" s="22"/>
      <c r="M8" s="1"/>
      <c r="N8" s="1"/>
      <c r="O8" s="1"/>
      <c r="P8" s="1"/>
      <c r="Q8" s="1"/>
      <c r="R8" s="1"/>
      <c r="S8" s="1"/>
      <c r="T8" s="1"/>
      <c r="U8" s="1"/>
      <c r="V8" s="1"/>
      <c r="W8" s="22"/>
    </row>
    <row r="9" spans="1:23" x14ac:dyDescent="0.25">
      <c r="A9" s="1173"/>
      <c r="B9" s="1174"/>
      <c r="C9" s="1176"/>
      <c r="D9" s="1176"/>
      <c r="E9" s="1176"/>
      <c r="F9" s="1175"/>
      <c r="G9" s="2648" t="s">
        <v>3020</v>
      </c>
      <c r="H9" s="2648"/>
      <c r="I9" s="2648"/>
      <c r="J9" s="2648"/>
      <c r="K9" s="2648"/>
      <c r="L9" s="2649"/>
      <c r="M9" s="19"/>
      <c r="N9" s="20"/>
      <c r="O9" s="24"/>
      <c r="P9" s="24"/>
      <c r="Q9" s="24"/>
      <c r="R9" s="19"/>
      <c r="S9" s="265"/>
      <c r="T9" s="20"/>
      <c r="U9" s="24"/>
      <c r="V9" s="24"/>
      <c r="W9" s="62"/>
    </row>
    <row r="10" spans="1:23" x14ac:dyDescent="0.25">
      <c r="A10" s="1173"/>
      <c r="B10" s="1174"/>
      <c r="C10" s="1176"/>
      <c r="D10" s="1176"/>
      <c r="E10" s="1176"/>
      <c r="F10" s="1175"/>
      <c r="G10" s="2624"/>
      <c r="H10" s="2599"/>
      <c r="I10" s="2600"/>
      <c r="J10" s="69"/>
      <c r="K10" s="62"/>
      <c r="L10" s="62"/>
      <c r="M10" s="19"/>
      <c r="N10" s="20"/>
      <c r="O10" s="24"/>
      <c r="P10" s="24"/>
      <c r="Q10" s="24"/>
      <c r="R10" s="19"/>
      <c r="S10" s="265"/>
      <c r="T10" s="20"/>
      <c r="U10" s="24"/>
      <c r="V10" s="24"/>
      <c r="W10" s="62"/>
    </row>
    <row r="11" spans="1:23" ht="15.75" customHeight="1" thickBot="1" x14ac:dyDescent="0.3">
      <c r="A11" s="406"/>
      <c r="B11" s="395"/>
      <c r="C11" s="396"/>
      <c r="D11" s="396"/>
      <c r="E11" s="396"/>
      <c r="F11" s="397"/>
      <c r="G11" s="2578" t="s">
        <v>1833</v>
      </c>
      <c r="H11" s="2578"/>
      <c r="I11" s="2579"/>
      <c r="J11" s="13">
        <f>SUM(J10)</f>
        <v>0</v>
      </c>
      <c r="K11" s="14">
        <v>0.92</v>
      </c>
      <c r="L11" s="13">
        <f>J11/K11</f>
        <v>0</v>
      </c>
      <c r="M11" s="2577" t="s">
        <v>1834</v>
      </c>
      <c r="N11" s="2579"/>
      <c r="O11" s="13">
        <f>SUM(O7:O8)</f>
        <v>0</v>
      </c>
      <c r="P11" s="14">
        <v>0.92</v>
      </c>
      <c r="Q11" s="13">
        <f>O11/P11</f>
        <v>0</v>
      </c>
      <c r="R11" s="2577" t="s">
        <v>1833</v>
      </c>
      <c r="S11" s="2578"/>
      <c r="T11" s="2579"/>
      <c r="U11" s="13">
        <f>SUM(U7:U8)</f>
        <v>0</v>
      </c>
      <c r="V11" s="14">
        <v>0.92</v>
      </c>
      <c r="W11" s="13">
        <f>U11/V11</f>
        <v>0</v>
      </c>
    </row>
    <row r="12" spans="1:23" x14ac:dyDescent="0.25">
      <c r="A12" s="407" t="str">
        <f>Итоговая!C245</f>
        <v xml:space="preserve">ПС 35/10 кВ Пятницкое </v>
      </c>
      <c r="B12" s="399">
        <f>Итоговая!D245</f>
        <v>2.5</v>
      </c>
      <c r="C12" s="400"/>
      <c r="D12" s="400"/>
      <c r="E12" s="400"/>
      <c r="F12" s="401"/>
      <c r="G12" s="43"/>
      <c r="H12" s="17"/>
      <c r="I12" s="17"/>
      <c r="J12" s="17"/>
      <c r="K12" s="17"/>
      <c r="L12" s="73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73"/>
    </row>
    <row r="13" spans="1:23" ht="15.75" customHeight="1" thickBot="1" x14ac:dyDescent="0.3">
      <c r="A13" s="406"/>
      <c r="B13" s="395"/>
      <c r="C13" s="396"/>
      <c r="D13" s="396"/>
      <c r="E13" s="396"/>
      <c r="F13" s="397"/>
      <c r="G13" s="2578" t="s">
        <v>1833</v>
      </c>
      <c r="H13" s="2578"/>
      <c r="I13" s="2579"/>
      <c r="J13" s="13">
        <f>SUM(J12:J12)</f>
        <v>0</v>
      </c>
      <c r="K13" s="14">
        <v>0.92</v>
      </c>
      <c r="L13" s="13">
        <f>J13/K13</f>
        <v>0</v>
      </c>
      <c r="M13" s="2577" t="s">
        <v>1834</v>
      </c>
      <c r="N13" s="2579"/>
      <c r="O13" s="13">
        <f>SUM(O12:O12)</f>
        <v>0</v>
      </c>
      <c r="P13" s="14">
        <v>0.92</v>
      </c>
      <c r="Q13" s="13">
        <f>O13/P13</f>
        <v>0</v>
      </c>
      <c r="R13" s="2577" t="s">
        <v>1833</v>
      </c>
      <c r="S13" s="2578"/>
      <c r="T13" s="2579"/>
      <c r="U13" s="13">
        <f>SUM(U12:U12)</f>
        <v>0</v>
      </c>
      <c r="V13" s="14">
        <v>0.92</v>
      </c>
      <c r="W13" s="13">
        <f>U13/V13</f>
        <v>0</v>
      </c>
    </row>
    <row r="14" spans="1:23" x14ac:dyDescent="0.25">
      <c r="A14" s="2776" t="str">
        <f>Итоговая!C246</f>
        <v xml:space="preserve">ПС 35/10 кВ Карамзино </v>
      </c>
      <c r="B14" s="2630">
        <f>Итоговая!D246</f>
        <v>1.6</v>
      </c>
      <c r="C14" s="400"/>
      <c r="D14" s="400"/>
      <c r="E14" s="400"/>
      <c r="F14" s="401"/>
      <c r="G14" s="2774" t="s">
        <v>2322</v>
      </c>
      <c r="H14" s="2775"/>
      <c r="I14" s="2775"/>
      <c r="J14" s="2775"/>
      <c r="K14" s="2775"/>
      <c r="L14" s="2775"/>
      <c r="M14" s="131"/>
      <c r="N14" s="132"/>
      <c r="O14" s="73"/>
      <c r="P14" s="73"/>
      <c r="Q14" s="73"/>
      <c r="R14" s="2773"/>
      <c r="S14" s="2773"/>
      <c r="T14" s="2773"/>
      <c r="U14" s="2773"/>
      <c r="V14" s="2773"/>
      <c r="W14" s="2773"/>
    </row>
    <row r="15" spans="1:23" ht="270" x14ac:dyDescent="0.25">
      <c r="A15" s="2777"/>
      <c r="B15" s="2631"/>
      <c r="C15" s="404"/>
      <c r="D15" s="404"/>
      <c r="E15" s="404"/>
      <c r="F15" s="405"/>
      <c r="G15" s="104" t="s">
        <v>2090</v>
      </c>
      <c r="H15" s="9" t="s">
        <v>2091</v>
      </c>
      <c r="I15" s="9" t="s">
        <v>2092</v>
      </c>
      <c r="J15" s="9">
        <v>0.06</v>
      </c>
      <c r="K15" s="9"/>
      <c r="L15" s="51"/>
      <c r="M15" s="9"/>
      <c r="N15" s="9"/>
      <c r="O15" s="9"/>
      <c r="P15" s="9"/>
      <c r="Q15" s="9"/>
      <c r="R15" s="2205" t="s">
        <v>3137</v>
      </c>
      <c r="S15" s="2205" t="s">
        <v>15355</v>
      </c>
      <c r="T15" s="2205" t="s">
        <v>20051</v>
      </c>
      <c r="U15" s="2205">
        <f>0.1*0.9</f>
        <v>9.0000000000000011E-2</v>
      </c>
      <c r="V15" s="51"/>
      <c r="W15" s="51"/>
    </row>
    <row r="16" spans="1:23" x14ac:dyDescent="0.25">
      <c r="A16" s="1040"/>
      <c r="B16" s="1038"/>
      <c r="C16" s="1041"/>
      <c r="D16" s="1041"/>
      <c r="E16" s="1041"/>
      <c r="F16" s="1039"/>
      <c r="G16" s="2774" t="s">
        <v>3019</v>
      </c>
      <c r="H16" s="2775"/>
      <c r="I16" s="2775"/>
      <c r="J16" s="2775"/>
      <c r="K16" s="2775"/>
      <c r="L16" s="2775"/>
      <c r="M16" s="128"/>
      <c r="N16" s="128"/>
      <c r="O16" s="128"/>
      <c r="P16" s="128"/>
      <c r="Q16" s="128"/>
      <c r="R16" s="646"/>
      <c r="S16" s="71"/>
      <c r="T16" s="312"/>
      <c r="U16" s="69"/>
      <c r="V16" s="69"/>
      <c r="W16" s="69"/>
    </row>
    <row r="17" spans="1:23" ht="39" customHeight="1" x14ac:dyDescent="0.25">
      <c r="A17" s="1040"/>
      <c r="B17" s="1038"/>
      <c r="C17" s="1041"/>
      <c r="D17" s="1041"/>
      <c r="E17" s="1041"/>
      <c r="F17" s="1039"/>
      <c r="G17" s="1"/>
      <c r="H17" s="1495"/>
      <c r="I17" s="1495"/>
      <c r="J17" s="1"/>
      <c r="K17" s="1"/>
      <c r="L17" s="22"/>
      <c r="M17" s="128"/>
      <c r="N17" s="1507"/>
      <c r="O17" s="128"/>
      <c r="P17" s="128"/>
      <c r="Q17" s="128"/>
      <c r="R17" s="646"/>
      <c r="S17" s="71"/>
      <c r="T17" s="312"/>
      <c r="U17" s="69"/>
      <c r="V17" s="69"/>
      <c r="W17" s="69"/>
    </row>
    <row r="18" spans="1:23" ht="15.75" customHeight="1" thickBot="1" x14ac:dyDescent="0.3">
      <c r="A18" s="406"/>
      <c r="B18" s="395"/>
      <c r="C18" s="396"/>
      <c r="D18" s="396"/>
      <c r="E18" s="396"/>
      <c r="F18" s="397"/>
      <c r="G18" s="2588" t="s">
        <v>1833</v>
      </c>
      <c r="H18" s="2588"/>
      <c r="I18" s="2589"/>
      <c r="J18" s="21">
        <f>SUM(J17)</f>
        <v>0</v>
      </c>
      <c r="K18" s="24">
        <v>0.92</v>
      </c>
      <c r="L18" s="21">
        <f>J18/K18</f>
        <v>0</v>
      </c>
      <c r="M18" s="2582" t="s">
        <v>1834</v>
      </c>
      <c r="N18" s="2582"/>
      <c r="O18" s="21">
        <f>SUM(O17)</f>
        <v>0</v>
      </c>
      <c r="P18" s="24">
        <v>0.92</v>
      </c>
      <c r="Q18" s="21">
        <f>O18/P18</f>
        <v>0</v>
      </c>
      <c r="R18" s="2587" t="s">
        <v>1833</v>
      </c>
      <c r="S18" s="2588"/>
      <c r="T18" s="2589"/>
      <c r="U18" s="21">
        <f>SUM(U15:U15)</f>
        <v>9.0000000000000011E-2</v>
      </c>
      <c r="V18" s="24">
        <v>0.92</v>
      </c>
      <c r="W18" s="21">
        <f>U18/V18</f>
        <v>9.7826086956521743E-2</v>
      </c>
    </row>
    <row r="19" spans="1:23" x14ac:dyDescent="0.25">
      <c r="A19" s="2776" t="str">
        <f>Итоговая!C247</f>
        <v xml:space="preserve">ПС 35/10 кВ Кн.Горы  </v>
      </c>
      <c r="B19" s="2630">
        <f>Итоговая!D247</f>
        <v>2.5</v>
      </c>
      <c r="C19" s="400"/>
      <c r="D19" s="400"/>
      <c r="E19" s="400"/>
      <c r="F19" s="401"/>
      <c r="G19" s="2648" t="s">
        <v>1960</v>
      </c>
      <c r="H19" s="2648"/>
      <c r="I19" s="2648"/>
      <c r="J19" s="2648"/>
      <c r="K19" s="2648"/>
      <c r="L19" s="2649"/>
      <c r="M19" s="73"/>
      <c r="N19" s="73"/>
      <c r="O19" s="73"/>
      <c r="P19" s="73"/>
      <c r="Q19" s="73"/>
      <c r="R19" s="2644"/>
      <c r="S19" s="2645"/>
      <c r="T19" s="2645"/>
      <c r="U19" s="2645"/>
      <c r="V19" s="2645"/>
      <c r="W19" s="2646"/>
    </row>
    <row r="20" spans="1:23" ht="30" x14ac:dyDescent="0.25">
      <c r="A20" s="2777"/>
      <c r="B20" s="2631"/>
      <c r="C20" s="404"/>
      <c r="D20" s="404"/>
      <c r="E20" s="404"/>
      <c r="F20" s="405"/>
      <c r="G20" s="104" t="s">
        <v>2093</v>
      </c>
      <c r="H20" s="9" t="s">
        <v>2094</v>
      </c>
      <c r="I20" s="9" t="s">
        <v>2095</v>
      </c>
      <c r="J20" s="9">
        <v>0.2</v>
      </c>
      <c r="K20" s="9"/>
      <c r="L20" s="51"/>
      <c r="M20" s="8"/>
      <c r="N20" s="8"/>
      <c r="O20" s="1"/>
      <c r="P20" s="1"/>
      <c r="Q20" s="1"/>
      <c r="R20" s="51"/>
      <c r="S20" s="51"/>
      <c r="T20" s="51"/>
      <c r="U20" s="51"/>
      <c r="V20" s="51"/>
      <c r="W20" s="51"/>
    </row>
    <row r="21" spans="1:23" ht="30" x14ac:dyDescent="0.25">
      <c r="A21" s="402"/>
      <c r="B21" s="403"/>
      <c r="C21" s="404"/>
      <c r="D21" s="404"/>
      <c r="E21" s="404"/>
      <c r="F21" s="405"/>
      <c r="G21" s="264" t="s">
        <v>2098</v>
      </c>
      <c r="H21" s="42" t="s">
        <v>2099</v>
      </c>
      <c r="I21" s="42" t="s">
        <v>2100</v>
      </c>
      <c r="J21" s="42">
        <v>0.2</v>
      </c>
      <c r="K21" s="42"/>
      <c r="L21" s="72"/>
      <c r="M21" s="143" t="s">
        <v>2101</v>
      </c>
      <c r="N21" s="143" t="s">
        <v>2102</v>
      </c>
      <c r="O21" s="37">
        <v>0.1</v>
      </c>
      <c r="P21" s="1"/>
      <c r="Q21" s="1"/>
      <c r="R21" s="72"/>
      <c r="S21" s="72"/>
      <c r="T21" s="72"/>
      <c r="U21" s="72"/>
      <c r="V21" s="72"/>
      <c r="W21" s="72"/>
    </row>
    <row r="22" spans="1:23" ht="17.25" customHeight="1" x14ac:dyDescent="0.25">
      <c r="A22" s="402"/>
      <c r="B22" s="403"/>
      <c r="C22" s="404"/>
      <c r="D22" s="404"/>
      <c r="E22" s="404"/>
      <c r="F22" s="405"/>
      <c r="G22" s="2767" t="s">
        <v>1959</v>
      </c>
      <c r="H22" s="2767"/>
      <c r="I22" s="2767"/>
      <c r="J22" s="2767"/>
      <c r="K22" s="2767"/>
      <c r="L22" s="2768"/>
      <c r="M22" s="143"/>
      <c r="N22" s="143"/>
      <c r="O22" s="143"/>
      <c r="P22" s="1"/>
      <c r="Q22" s="1"/>
      <c r="R22" s="2771"/>
      <c r="S22" s="2772"/>
      <c r="T22" s="2772"/>
      <c r="U22" s="2772"/>
      <c r="V22" s="2772"/>
      <c r="W22" s="2468"/>
    </row>
    <row r="23" spans="1:23" ht="30" x14ac:dyDescent="0.25">
      <c r="A23" s="402"/>
      <c r="B23" s="403"/>
      <c r="C23" s="404"/>
      <c r="D23" s="404"/>
      <c r="E23" s="404"/>
      <c r="F23" s="405"/>
      <c r="G23" s="104" t="s">
        <v>2098</v>
      </c>
      <c r="H23" s="9" t="s">
        <v>2099</v>
      </c>
      <c r="I23" s="9" t="s">
        <v>2103</v>
      </c>
      <c r="J23" s="9">
        <v>0.04</v>
      </c>
      <c r="K23" s="9"/>
      <c r="L23" s="51"/>
      <c r="M23" s="1"/>
      <c r="N23" s="1"/>
      <c r="O23" s="1"/>
      <c r="P23" s="1"/>
      <c r="Q23" s="1"/>
      <c r="R23" s="51"/>
      <c r="S23" s="51"/>
      <c r="T23" s="51"/>
      <c r="U23" s="51"/>
      <c r="V23" s="51"/>
      <c r="W23" s="51"/>
    </row>
    <row r="24" spans="1:23" ht="14.25" customHeight="1" x14ac:dyDescent="0.25">
      <c r="A24" s="402"/>
      <c r="B24" s="403"/>
      <c r="C24" s="404"/>
      <c r="D24" s="404"/>
      <c r="E24" s="404"/>
      <c r="F24" s="405"/>
      <c r="G24" s="2767" t="s">
        <v>2033</v>
      </c>
      <c r="H24" s="2767"/>
      <c r="I24" s="2767"/>
      <c r="J24" s="2767"/>
      <c r="K24" s="2767"/>
      <c r="L24" s="2768"/>
      <c r="M24" s="1"/>
      <c r="N24" s="1"/>
      <c r="O24" s="1"/>
      <c r="P24" s="1"/>
      <c r="Q24" s="1"/>
      <c r="R24" s="2771"/>
      <c r="S24" s="2772"/>
      <c r="T24" s="2772"/>
      <c r="U24" s="2772"/>
      <c r="V24" s="2772"/>
      <c r="W24" s="2468"/>
    </row>
    <row r="25" spans="1:23" ht="40.5" customHeight="1" x14ac:dyDescent="0.25">
      <c r="A25" s="402"/>
      <c r="B25" s="403"/>
      <c r="C25" s="404"/>
      <c r="D25" s="404"/>
      <c r="E25" s="404"/>
      <c r="F25" s="405"/>
      <c r="G25" s="104" t="s">
        <v>2096</v>
      </c>
      <c r="H25" s="9" t="s">
        <v>2097</v>
      </c>
      <c r="I25" s="1" t="s">
        <v>2470</v>
      </c>
      <c r="J25" s="1">
        <v>0.59</v>
      </c>
      <c r="K25" s="1"/>
      <c r="L25" s="22"/>
      <c r="M25" s="1"/>
      <c r="N25" s="1"/>
      <c r="O25" s="1"/>
      <c r="P25" s="1"/>
      <c r="Q25" s="1"/>
      <c r="R25" s="51"/>
      <c r="S25" s="51"/>
      <c r="T25" s="22"/>
      <c r="U25" s="22"/>
      <c r="V25" s="22"/>
      <c r="W25" s="22"/>
    </row>
    <row r="26" spans="1:23" ht="23.25" customHeight="1" x14ac:dyDescent="0.25">
      <c r="A26" s="821"/>
      <c r="B26" s="822"/>
      <c r="C26" s="823"/>
      <c r="D26" s="823"/>
      <c r="E26" s="823"/>
      <c r="F26" s="820"/>
      <c r="G26" s="2767" t="s">
        <v>2640</v>
      </c>
      <c r="H26" s="2767"/>
      <c r="I26" s="2767"/>
      <c r="J26" s="2767"/>
      <c r="K26" s="2767"/>
      <c r="L26" s="2768"/>
      <c r="M26" s="19"/>
      <c r="N26" s="20"/>
      <c r="O26" s="24"/>
      <c r="P26" s="24"/>
      <c r="Q26" s="24"/>
      <c r="R26" s="646"/>
      <c r="S26" s="71"/>
      <c r="T26" s="130"/>
      <c r="U26" s="62"/>
      <c r="V26" s="62"/>
      <c r="W26" s="62"/>
    </row>
    <row r="27" spans="1:23" ht="30.75" customHeight="1" x14ac:dyDescent="0.25">
      <c r="A27" s="821"/>
      <c r="B27" s="822"/>
      <c r="C27" s="823"/>
      <c r="D27" s="823"/>
      <c r="E27" s="823"/>
      <c r="F27" s="820"/>
      <c r="G27" s="1" t="s">
        <v>2878</v>
      </c>
      <c r="H27" s="1" t="s">
        <v>2892</v>
      </c>
      <c r="I27" s="20" t="s">
        <v>2926</v>
      </c>
      <c r="J27" s="24">
        <v>1.9E-2</v>
      </c>
      <c r="K27" s="24"/>
      <c r="L27" s="62"/>
      <c r="M27" s="19"/>
      <c r="N27" s="20"/>
      <c r="O27" s="24"/>
      <c r="P27" s="24"/>
      <c r="Q27" s="24"/>
      <c r="R27" s="646"/>
      <c r="S27" s="71"/>
      <c r="T27" s="130"/>
      <c r="U27" s="62"/>
      <c r="V27" s="62"/>
      <c r="W27" s="62"/>
    </row>
    <row r="28" spans="1:23" ht="29.25" customHeight="1" x14ac:dyDescent="0.25">
      <c r="A28" s="821"/>
      <c r="B28" s="822"/>
      <c r="C28" s="823"/>
      <c r="D28" s="823"/>
      <c r="E28" s="823"/>
      <c r="F28" s="820"/>
      <c r="G28" s="1" t="s">
        <v>2878</v>
      </c>
      <c r="H28" s="1" t="s">
        <v>2898</v>
      </c>
      <c r="I28" s="20" t="s">
        <v>2927</v>
      </c>
      <c r="J28" s="24">
        <v>1.9E-2</v>
      </c>
      <c r="K28" s="24"/>
      <c r="L28" s="62"/>
      <c r="M28" s="19"/>
      <c r="N28" s="20"/>
      <c r="O28" s="24"/>
      <c r="P28" s="24"/>
      <c r="Q28" s="24"/>
      <c r="R28" s="646"/>
      <c r="S28" s="71"/>
      <c r="T28" s="130"/>
      <c r="U28" s="62"/>
      <c r="V28" s="62"/>
      <c r="W28" s="62"/>
    </row>
    <row r="29" spans="1:23" ht="29.25" customHeight="1" x14ac:dyDescent="0.25">
      <c r="A29" s="1040"/>
      <c r="B29" s="1038"/>
      <c r="C29" s="1041"/>
      <c r="D29" s="1041"/>
      <c r="E29" s="1041"/>
      <c r="F29" s="1039"/>
      <c r="G29" s="2767" t="s">
        <v>3019</v>
      </c>
      <c r="H29" s="2767"/>
      <c r="I29" s="2767"/>
      <c r="J29" s="2767"/>
      <c r="K29" s="2767"/>
      <c r="L29" s="2768"/>
      <c r="M29" s="19"/>
      <c r="N29" s="20"/>
      <c r="O29" s="24"/>
      <c r="P29" s="24"/>
      <c r="Q29" s="24"/>
      <c r="R29" s="646"/>
      <c r="S29" s="71"/>
      <c r="T29" s="130"/>
      <c r="U29" s="62"/>
      <c r="V29" s="62"/>
      <c r="W29" s="62"/>
    </row>
    <row r="30" spans="1:23" ht="29.25" customHeight="1" x14ac:dyDescent="0.25">
      <c r="A30" s="1040"/>
      <c r="B30" s="1038"/>
      <c r="C30" s="1041"/>
      <c r="D30" s="1041"/>
      <c r="E30" s="1041"/>
      <c r="F30" s="1039"/>
      <c r="G30" s="1" t="s">
        <v>2104</v>
      </c>
      <c r="H30" s="1" t="s">
        <v>3118</v>
      </c>
      <c r="I30" s="20" t="s">
        <v>3140</v>
      </c>
      <c r="J30" s="24">
        <f>0.16*0.9</f>
        <v>0.14400000000000002</v>
      </c>
      <c r="K30" s="24"/>
      <c r="L30" s="62"/>
      <c r="M30" s="19"/>
      <c r="N30" s="20"/>
      <c r="O30" s="24"/>
      <c r="P30" s="24"/>
      <c r="Q30" s="24"/>
      <c r="R30" s="646"/>
      <c r="S30" s="71"/>
      <c r="T30" s="130"/>
      <c r="U30" s="62"/>
      <c r="V30" s="62"/>
      <c r="W30" s="62"/>
    </row>
    <row r="31" spans="1:23" ht="29.25" customHeight="1" x14ac:dyDescent="0.25">
      <c r="A31" s="1136"/>
      <c r="B31" s="1134"/>
      <c r="C31" s="1137"/>
      <c r="D31" s="1137"/>
      <c r="E31" s="1137"/>
      <c r="F31" s="1135"/>
      <c r="G31" s="143" t="s">
        <v>3292</v>
      </c>
      <c r="H31" s="143" t="s">
        <v>3293</v>
      </c>
      <c r="I31" s="20" t="s">
        <v>3311</v>
      </c>
      <c r="J31" s="143">
        <f>(0.12-0.015)*0.9</f>
        <v>9.4500000000000001E-2</v>
      </c>
      <c r="K31" s="24"/>
      <c r="L31" s="62"/>
      <c r="M31" s="19"/>
      <c r="N31" s="20"/>
      <c r="O31" s="24"/>
      <c r="P31" s="24"/>
      <c r="Q31" s="24"/>
      <c r="R31" s="646"/>
      <c r="S31" s="71"/>
      <c r="T31" s="130"/>
      <c r="U31" s="62"/>
      <c r="V31" s="62"/>
      <c r="W31" s="62"/>
    </row>
    <row r="32" spans="1:23" ht="29.25" customHeight="1" x14ac:dyDescent="0.25">
      <c r="A32" s="1185"/>
      <c r="B32" s="1183"/>
      <c r="C32" s="1187"/>
      <c r="D32" s="1187"/>
      <c r="E32" s="1187"/>
      <c r="F32" s="1184"/>
      <c r="G32" s="2784" t="s">
        <v>3401</v>
      </c>
      <c r="H32" s="2785"/>
      <c r="I32" s="2786"/>
      <c r="J32" s="775">
        <f>0.109*0.9</f>
        <v>9.8100000000000007E-2</v>
      </c>
      <c r="K32" s="24"/>
      <c r="L32" s="62"/>
      <c r="M32" s="19"/>
      <c r="N32" s="20"/>
      <c r="O32" s="24"/>
      <c r="P32" s="24"/>
      <c r="Q32" s="24"/>
      <c r="R32" s="646"/>
      <c r="S32" s="71"/>
      <c r="T32" s="130"/>
      <c r="U32" s="62"/>
      <c r="V32" s="62"/>
      <c r="W32" s="62"/>
    </row>
    <row r="33" spans="1:23" ht="29.25" customHeight="1" x14ac:dyDescent="0.25">
      <c r="A33" s="2236"/>
      <c r="B33" s="2214"/>
      <c r="C33" s="2215"/>
      <c r="D33" s="2215"/>
      <c r="E33" s="2215"/>
      <c r="F33" s="2219"/>
      <c r="G33" s="2767" t="s">
        <v>17067</v>
      </c>
      <c r="H33" s="2767"/>
      <c r="I33" s="2767"/>
      <c r="J33" s="2767"/>
      <c r="K33" s="2767"/>
      <c r="L33" s="2768"/>
      <c r="M33" s="2198"/>
      <c r="N33" s="2199"/>
      <c r="O33" s="2210"/>
      <c r="P33" s="2210"/>
      <c r="Q33" s="2210"/>
      <c r="R33" s="646"/>
      <c r="S33" s="71"/>
      <c r="T33" s="2233"/>
      <c r="U33" s="62"/>
      <c r="V33" s="62"/>
      <c r="W33" s="62"/>
    </row>
    <row r="34" spans="1:23" ht="29.25" customHeight="1" x14ac:dyDescent="0.25">
      <c r="A34" s="2236"/>
      <c r="B34" s="2214"/>
      <c r="C34" s="2215"/>
      <c r="D34" s="2215"/>
      <c r="E34" s="2215"/>
      <c r="F34" s="2219"/>
      <c r="G34" s="2784" t="s">
        <v>3401</v>
      </c>
      <c r="H34" s="2785"/>
      <c r="I34" s="2786"/>
      <c r="J34" s="775">
        <f>0.219*0.9</f>
        <v>0.1971</v>
      </c>
      <c r="K34" s="2210"/>
      <c r="L34" s="62"/>
      <c r="M34" s="2198"/>
      <c r="N34" s="2199"/>
      <c r="O34" s="2210"/>
      <c r="P34" s="2210"/>
      <c r="Q34" s="2210"/>
      <c r="R34" s="646"/>
      <c r="S34" s="71"/>
      <c r="T34" s="2233"/>
      <c r="U34" s="62"/>
      <c r="V34" s="62"/>
      <c r="W34" s="62"/>
    </row>
    <row r="35" spans="1:23" ht="29.25" customHeight="1" x14ac:dyDescent="0.25">
      <c r="A35" s="2294"/>
      <c r="B35" s="2279"/>
      <c r="C35" s="2280"/>
      <c r="D35" s="2280"/>
      <c r="E35" s="2280"/>
      <c r="F35" s="2281"/>
      <c r="G35" s="2297" t="s">
        <v>20210</v>
      </c>
      <c r="H35" s="2297" t="s">
        <v>20211</v>
      </c>
      <c r="I35" s="2298" t="s">
        <v>20212</v>
      </c>
      <c r="J35" s="149">
        <f>0.2676*0.9</f>
        <v>0.24084</v>
      </c>
      <c r="K35" s="62"/>
      <c r="L35" s="62"/>
      <c r="M35" s="2274"/>
      <c r="N35" s="2276"/>
      <c r="O35" s="2273"/>
      <c r="P35" s="2273"/>
      <c r="Q35" s="2273"/>
      <c r="R35" s="646"/>
      <c r="S35" s="71"/>
      <c r="T35" s="2291"/>
      <c r="U35" s="62"/>
      <c r="V35" s="62"/>
      <c r="W35" s="62"/>
    </row>
    <row r="36" spans="1:23" ht="15.75" customHeight="1" thickBot="1" x14ac:dyDescent="0.3">
      <c r="A36" s="406"/>
      <c r="B36" s="395"/>
      <c r="C36" s="396"/>
      <c r="D36" s="396"/>
      <c r="E36" s="396"/>
      <c r="F36" s="397"/>
      <c r="G36" s="2578" t="s">
        <v>1833</v>
      </c>
      <c r="H36" s="2578"/>
      <c r="I36" s="2579"/>
      <c r="J36" s="13">
        <f>SUM(J30:J35)</f>
        <v>0.77454000000000001</v>
      </c>
      <c r="K36" s="14">
        <v>0.92</v>
      </c>
      <c r="L36" s="13">
        <f>J36/K36</f>
        <v>0.84189130434782611</v>
      </c>
      <c r="M36" s="2577" t="s">
        <v>1834</v>
      </c>
      <c r="N36" s="2579"/>
      <c r="O36" s="13">
        <f>SUM(O20:O25)</f>
        <v>0.1</v>
      </c>
      <c r="P36" s="14">
        <v>0.92</v>
      </c>
      <c r="Q36" s="13">
        <f>O36/P36</f>
        <v>0.10869565217391304</v>
      </c>
      <c r="R36" s="2577" t="s">
        <v>1833</v>
      </c>
      <c r="S36" s="2578"/>
      <c r="T36" s="2579"/>
      <c r="U36" s="13">
        <f>SUM(U20:U21,U23,U25)</f>
        <v>0</v>
      </c>
      <c r="V36" s="14">
        <v>0.92</v>
      </c>
      <c r="W36" s="13">
        <f>U36/V36</f>
        <v>0</v>
      </c>
    </row>
    <row r="37" spans="1:23" x14ac:dyDescent="0.25">
      <c r="A37" s="2776" t="str">
        <f>Итоговая!C248</f>
        <v xml:space="preserve">ПС 35/10 кВ Салино </v>
      </c>
      <c r="B37" s="2630">
        <f>Итоговая!D248</f>
        <v>2.5</v>
      </c>
      <c r="C37" s="400"/>
      <c r="D37" s="400"/>
      <c r="E37" s="400"/>
      <c r="F37" s="401"/>
      <c r="G37" s="2648">
        <v>2006</v>
      </c>
      <c r="H37" s="2648"/>
      <c r="I37" s="2648"/>
      <c r="J37" s="2648"/>
      <c r="K37" s="2648"/>
      <c r="L37" s="2649"/>
      <c r="M37" s="131"/>
      <c r="N37" s="132"/>
      <c r="O37" s="73"/>
      <c r="P37" s="73"/>
      <c r="Q37" s="73"/>
      <c r="R37" s="2644"/>
      <c r="S37" s="2645"/>
      <c r="T37" s="2645"/>
      <c r="U37" s="2645"/>
      <c r="V37" s="2645"/>
      <c r="W37" s="2646"/>
    </row>
    <row r="38" spans="1:23" ht="21.75" customHeight="1" x14ac:dyDescent="0.25">
      <c r="A38" s="2777"/>
      <c r="B38" s="2631"/>
      <c r="C38" s="404"/>
      <c r="D38" s="404"/>
      <c r="E38" s="404"/>
      <c r="F38" s="405"/>
      <c r="G38" s="104" t="s">
        <v>2105</v>
      </c>
      <c r="H38" s="9" t="s">
        <v>2106</v>
      </c>
      <c r="I38" s="9" t="s">
        <v>2107</v>
      </c>
      <c r="J38" s="9">
        <v>0.2</v>
      </c>
      <c r="K38" s="9"/>
      <c r="L38" s="51"/>
      <c r="M38" s="9"/>
      <c r="N38" s="9"/>
      <c r="O38" s="9"/>
      <c r="P38" s="9"/>
      <c r="Q38" s="9"/>
      <c r="R38" s="51"/>
      <c r="S38" s="51"/>
      <c r="T38" s="51"/>
      <c r="U38" s="51"/>
      <c r="V38" s="51"/>
      <c r="W38" s="51"/>
    </row>
    <row r="39" spans="1:23" ht="25.5" customHeight="1" x14ac:dyDescent="0.25">
      <c r="A39" s="402"/>
      <c r="B39" s="403"/>
      <c r="C39" s="404"/>
      <c r="D39" s="404"/>
      <c r="E39" s="404"/>
      <c r="F39" s="405"/>
      <c r="G39" s="2767" t="s">
        <v>3405</v>
      </c>
      <c r="H39" s="2767"/>
      <c r="I39" s="2767"/>
      <c r="J39" s="2767"/>
      <c r="K39" s="2767"/>
      <c r="L39" s="2768"/>
      <c r="M39" s="1547" t="s">
        <v>16683</v>
      </c>
      <c r="N39" s="1547" t="s">
        <v>16684</v>
      </c>
      <c r="O39" s="1">
        <f>0.06-0.015</f>
        <v>4.4999999999999998E-2</v>
      </c>
      <c r="P39" s="1"/>
      <c r="Q39" s="1"/>
      <c r="R39" s="22"/>
      <c r="S39" s="22"/>
      <c r="T39" s="22"/>
      <c r="U39" s="22"/>
      <c r="V39" s="22"/>
      <c r="W39" s="22"/>
    </row>
    <row r="40" spans="1:23" ht="255" x14ac:dyDescent="0.25">
      <c r="A40" s="1756"/>
      <c r="B40" s="1741"/>
      <c r="C40" s="1742"/>
      <c r="D40" s="1742"/>
      <c r="E40" s="1742"/>
      <c r="F40" s="1743"/>
      <c r="G40" s="9" t="s">
        <v>15343</v>
      </c>
      <c r="H40" s="9" t="s">
        <v>15344</v>
      </c>
      <c r="I40" s="9" t="s">
        <v>16870</v>
      </c>
      <c r="J40" s="1734">
        <f>0.09*0.75</f>
        <v>6.7500000000000004E-2</v>
      </c>
      <c r="K40" s="1734"/>
      <c r="L40" s="62"/>
      <c r="M40" s="1735"/>
      <c r="N40" s="1737"/>
      <c r="O40" s="1734"/>
      <c r="P40" s="1734"/>
      <c r="Q40" s="1734"/>
      <c r="R40" s="129"/>
      <c r="S40" s="652"/>
      <c r="T40" s="130"/>
      <c r="U40" s="62"/>
      <c r="V40" s="62"/>
      <c r="W40" s="62"/>
    </row>
    <row r="41" spans="1:23" ht="15.75" customHeight="1" thickBot="1" x14ac:dyDescent="0.3">
      <c r="A41" s="406"/>
      <c r="B41" s="395"/>
      <c r="C41" s="396"/>
      <c r="D41" s="396"/>
      <c r="E41" s="396"/>
      <c r="F41" s="397"/>
      <c r="G41" s="2578" t="s">
        <v>1833</v>
      </c>
      <c r="H41" s="2578"/>
      <c r="I41" s="2579"/>
      <c r="J41" s="13">
        <f>SUM(J40)</f>
        <v>6.7500000000000004E-2</v>
      </c>
      <c r="K41" s="14">
        <v>0.92</v>
      </c>
      <c r="L41" s="13">
        <f>J41/K41</f>
        <v>7.3369565217391311E-2</v>
      </c>
      <c r="M41" s="2577" t="s">
        <v>1834</v>
      </c>
      <c r="N41" s="2579"/>
      <c r="O41" s="13">
        <f>SUM(O38:O39)</f>
        <v>4.4999999999999998E-2</v>
      </c>
      <c r="P41" s="14">
        <v>0.92</v>
      </c>
      <c r="Q41" s="13">
        <f>O41/P41</f>
        <v>4.8913043478260865E-2</v>
      </c>
      <c r="R41" s="2577" t="s">
        <v>1833</v>
      </c>
      <c r="S41" s="2578"/>
      <c r="T41" s="2579"/>
      <c r="U41" s="13">
        <v>0</v>
      </c>
      <c r="V41" s="14">
        <v>0.92</v>
      </c>
      <c r="W41" s="13">
        <f>U41/V41</f>
        <v>0</v>
      </c>
    </row>
    <row r="42" spans="1:23" x14ac:dyDescent="0.25">
      <c r="A42" s="407" t="str">
        <f>Итоговая!C249</f>
        <v xml:space="preserve">ПС 35/10 кВ Гусево </v>
      </c>
      <c r="B42" s="399">
        <f>Итоговая!D249</f>
        <v>2.5</v>
      </c>
      <c r="C42" s="400"/>
      <c r="D42" s="400"/>
      <c r="E42" s="400"/>
      <c r="F42" s="401"/>
      <c r="G42" s="43"/>
      <c r="H42" s="17"/>
      <c r="I42" s="17"/>
      <c r="J42" s="17"/>
      <c r="K42" s="17"/>
      <c r="L42" s="73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73"/>
    </row>
    <row r="43" spans="1:23" ht="15.75" customHeight="1" thickBot="1" x14ac:dyDescent="0.3">
      <c r="A43" s="406"/>
      <c r="B43" s="395"/>
      <c r="C43" s="396"/>
      <c r="D43" s="396"/>
      <c r="E43" s="396"/>
      <c r="F43" s="397"/>
      <c r="G43" s="2578" t="s">
        <v>1833</v>
      </c>
      <c r="H43" s="2578"/>
      <c r="I43" s="2579"/>
      <c r="J43" s="13">
        <f>SUM(J42:J42)</f>
        <v>0</v>
      </c>
      <c r="K43" s="14">
        <v>0.92</v>
      </c>
      <c r="L43" s="13">
        <f>J43/K43</f>
        <v>0</v>
      </c>
      <c r="M43" s="2577" t="s">
        <v>1834</v>
      </c>
      <c r="N43" s="2579"/>
      <c r="O43" s="13">
        <f>SUM(O42:O42)</f>
        <v>0</v>
      </c>
      <c r="P43" s="14">
        <v>0.92</v>
      </c>
      <c r="Q43" s="13">
        <f>O43/P43</f>
        <v>0</v>
      </c>
      <c r="R43" s="2577" t="s">
        <v>1833</v>
      </c>
      <c r="S43" s="2578"/>
      <c r="T43" s="2579"/>
      <c r="U43" s="13">
        <f>SUM(U42:U42)</f>
        <v>0</v>
      </c>
      <c r="V43" s="14">
        <v>0.92</v>
      </c>
      <c r="W43" s="13">
        <f>U43/V43</f>
        <v>0</v>
      </c>
    </row>
    <row r="44" spans="1:23" x14ac:dyDescent="0.25">
      <c r="A44" s="407" t="str">
        <f>Итоговая!C250</f>
        <v xml:space="preserve">ПС 35/10 кВ Мол.Туд </v>
      </c>
      <c r="B44" s="399">
        <f>Итоговая!D250</f>
        <v>2.5</v>
      </c>
      <c r="C44" s="400"/>
      <c r="D44" s="400"/>
      <c r="E44" s="400"/>
      <c r="F44" s="401"/>
      <c r="G44" s="43"/>
      <c r="H44" s="17"/>
      <c r="I44" s="17"/>
      <c r="J44" s="17"/>
      <c r="K44" s="17"/>
      <c r="L44" s="73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73"/>
    </row>
    <row r="45" spans="1:23" ht="15.75" customHeight="1" thickBot="1" x14ac:dyDescent="0.3">
      <c r="A45" s="406"/>
      <c r="B45" s="395"/>
      <c r="C45" s="396"/>
      <c r="D45" s="396"/>
      <c r="E45" s="396"/>
      <c r="F45" s="397"/>
      <c r="G45" s="2578" t="s">
        <v>1833</v>
      </c>
      <c r="H45" s="2578"/>
      <c r="I45" s="2579"/>
      <c r="J45" s="13">
        <f>SUM(J44:J44)</f>
        <v>0</v>
      </c>
      <c r="K45" s="14">
        <v>0.92</v>
      </c>
      <c r="L45" s="13">
        <f>J45/K45</f>
        <v>0</v>
      </c>
      <c r="M45" s="2577" t="s">
        <v>1834</v>
      </c>
      <c r="N45" s="2579"/>
      <c r="O45" s="13">
        <f>SUM(O44:O44)</f>
        <v>0</v>
      </c>
      <c r="P45" s="14">
        <v>0.92</v>
      </c>
      <c r="Q45" s="13">
        <f>O45/P45</f>
        <v>0</v>
      </c>
      <c r="R45" s="2577" t="s">
        <v>1833</v>
      </c>
      <c r="S45" s="2578"/>
      <c r="T45" s="2579"/>
      <c r="U45" s="13">
        <f>SUM(U44:U44)</f>
        <v>0</v>
      </c>
      <c r="V45" s="14">
        <v>0.92</v>
      </c>
      <c r="W45" s="13">
        <f>U45/V45</f>
        <v>0</v>
      </c>
    </row>
    <row r="46" spans="1:23" x14ac:dyDescent="0.25">
      <c r="A46" s="407" t="str">
        <f>Итоговая!C251</f>
        <v xml:space="preserve">ПС 35/10 кВ Ильенки </v>
      </c>
      <c r="B46" s="399">
        <f>Итоговая!D251</f>
        <v>2.5</v>
      </c>
      <c r="C46" s="400"/>
      <c r="D46" s="400"/>
      <c r="E46" s="400"/>
      <c r="F46" s="401"/>
      <c r="G46" s="43"/>
      <c r="H46" s="17"/>
      <c r="I46" s="17"/>
      <c r="J46" s="17"/>
      <c r="K46" s="17"/>
      <c r="L46" s="73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73"/>
    </row>
    <row r="47" spans="1:23" ht="15.75" customHeight="1" thickBot="1" x14ac:dyDescent="0.3">
      <c r="A47" s="406"/>
      <c r="B47" s="395"/>
      <c r="C47" s="396"/>
      <c r="D47" s="396"/>
      <c r="E47" s="396"/>
      <c r="F47" s="397"/>
      <c r="G47" s="2578" t="s">
        <v>1833</v>
      </c>
      <c r="H47" s="2578"/>
      <c r="I47" s="2579"/>
      <c r="J47" s="13">
        <f>SUM(J46:J46)</f>
        <v>0</v>
      </c>
      <c r="K47" s="14">
        <v>0.92</v>
      </c>
      <c r="L47" s="13">
        <f>J47/K47</f>
        <v>0</v>
      </c>
      <c r="M47" s="2577" t="s">
        <v>1834</v>
      </c>
      <c r="N47" s="2579"/>
      <c r="O47" s="13">
        <f>SUM(O46:O46)</f>
        <v>0</v>
      </c>
      <c r="P47" s="14">
        <v>0.92</v>
      </c>
      <c r="Q47" s="13">
        <f>O47/P47</f>
        <v>0</v>
      </c>
      <c r="R47" s="2577" t="s">
        <v>1833</v>
      </c>
      <c r="S47" s="2578"/>
      <c r="T47" s="2579"/>
      <c r="U47" s="13">
        <f>SUM(U46:U46)</f>
        <v>0</v>
      </c>
      <c r="V47" s="14">
        <v>0.92</v>
      </c>
      <c r="W47" s="13">
        <f>U47/V47</f>
        <v>0</v>
      </c>
    </row>
    <row r="48" spans="1:23" x14ac:dyDescent="0.25">
      <c r="A48" s="407" t="str">
        <f>Итоговая!C252</f>
        <v xml:space="preserve">ПС 35/10 кВ Каденка </v>
      </c>
      <c r="B48" s="399">
        <f>Итоговая!D252</f>
        <v>1</v>
      </c>
      <c r="C48" s="400"/>
      <c r="D48" s="400"/>
      <c r="E48" s="400"/>
      <c r="F48" s="401"/>
      <c r="G48" s="43"/>
      <c r="H48" s="17"/>
      <c r="I48" s="17"/>
      <c r="J48" s="17"/>
      <c r="K48" s="17"/>
      <c r="L48" s="73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73"/>
    </row>
    <row r="49" spans="1:23" ht="15.75" customHeight="1" thickBot="1" x14ac:dyDescent="0.3">
      <c r="A49" s="406"/>
      <c r="B49" s="395"/>
      <c r="C49" s="396"/>
      <c r="D49" s="396"/>
      <c r="E49" s="396"/>
      <c r="F49" s="397"/>
      <c r="G49" s="2578" t="s">
        <v>1833</v>
      </c>
      <c r="H49" s="2578"/>
      <c r="I49" s="2579"/>
      <c r="J49" s="13">
        <f>SUM(J48:J48)</f>
        <v>0</v>
      </c>
      <c r="K49" s="14">
        <v>0.92</v>
      </c>
      <c r="L49" s="13">
        <f>J49/K49</f>
        <v>0</v>
      </c>
      <c r="M49" s="2577" t="s">
        <v>1834</v>
      </c>
      <c r="N49" s="2579"/>
      <c r="O49" s="13">
        <f>SUM(O48:O48)</f>
        <v>0</v>
      </c>
      <c r="P49" s="14">
        <v>0.92</v>
      </c>
      <c r="Q49" s="13">
        <f>O49/P49</f>
        <v>0</v>
      </c>
      <c r="R49" s="2577" t="s">
        <v>1833</v>
      </c>
      <c r="S49" s="2578"/>
      <c r="T49" s="2579"/>
      <c r="U49" s="13">
        <f>SUM(U48:U48)</f>
        <v>0</v>
      </c>
      <c r="V49" s="14">
        <v>0.92</v>
      </c>
      <c r="W49" s="13">
        <f>U49/V49</f>
        <v>0</v>
      </c>
    </row>
    <row r="50" spans="1:23" x14ac:dyDescent="0.25">
      <c r="A50" s="2776" t="str">
        <f>Итоговая!C253</f>
        <v xml:space="preserve">ПС 35/10 кВ Родня </v>
      </c>
      <c r="B50" s="2630">
        <f>Итоговая!D253</f>
        <v>2.5</v>
      </c>
      <c r="C50" s="400"/>
      <c r="D50" s="400"/>
      <c r="E50" s="400"/>
      <c r="F50" s="401"/>
      <c r="G50" s="2648" t="s">
        <v>1959</v>
      </c>
      <c r="H50" s="2648"/>
      <c r="I50" s="2648"/>
      <c r="J50" s="2648"/>
      <c r="K50" s="2648"/>
      <c r="L50" s="2649"/>
      <c r="M50" s="131"/>
      <c r="N50" s="132"/>
      <c r="O50" s="73"/>
      <c r="P50" s="73"/>
      <c r="Q50" s="73"/>
      <c r="R50" s="2647" t="s">
        <v>1959</v>
      </c>
      <c r="S50" s="2648"/>
      <c r="T50" s="2648"/>
      <c r="U50" s="2648"/>
      <c r="V50" s="2648"/>
      <c r="W50" s="2649"/>
    </row>
    <row r="51" spans="1:23" ht="90" x14ac:dyDescent="0.25">
      <c r="A51" s="2777"/>
      <c r="B51" s="2631"/>
      <c r="C51" s="404"/>
      <c r="D51" s="404"/>
      <c r="E51" s="404"/>
      <c r="F51" s="405"/>
      <c r="G51" s="541"/>
      <c r="H51" s="305"/>
      <c r="I51" s="305"/>
      <c r="J51" s="305"/>
      <c r="K51" s="305"/>
      <c r="L51" s="307"/>
      <c r="M51" s="241"/>
      <c r="N51" s="241"/>
      <c r="O51" s="241"/>
      <c r="P51" s="1"/>
      <c r="Q51" s="9"/>
      <c r="R51" s="340" t="s">
        <v>816</v>
      </c>
      <c r="S51" s="340" t="s">
        <v>817</v>
      </c>
      <c r="T51" s="340" t="s">
        <v>2499</v>
      </c>
      <c r="U51" s="340">
        <v>0.19</v>
      </c>
      <c r="V51" s="340"/>
      <c r="W51" s="348"/>
    </row>
    <row r="52" spans="1:23" ht="60.75" thickBot="1" x14ac:dyDescent="0.3">
      <c r="A52" s="402"/>
      <c r="B52" s="403"/>
      <c r="C52" s="404"/>
      <c r="D52" s="404"/>
      <c r="E52" s="404"/>
      <c r="F52" s="405"/>
      <c r="G52" s="104" t="s">
        <v>1997</v>
      </c>
      <c r="H52" s="9" t="s">
        <v>1998</v>
      </c>
      <c r="I52" s="41" t="s">
        <v>2318</v>
      </c>
      <c r="J52" s="9">
        <v>0.15</v>
      </c>
      <c r="K52" s="128"/>
      <c r="L52" s="69"/>
      <c r="M52" s="1"/>
      <c r="N52" s="1"/>
      <c r="O52" s="1"/>
      <c r="P52" s="1"/>
      <c r="Q52" s="128"/>
      <c r="R52" s="51"/>
      <c r="S52" s="51"/>
      <c r="T52" s="312"/>
      <c r="U52" s="51"/>
      <c r="V52" s="69"/>
      <c r="W52" s="69"/>
    </row>
    <row r="53" spans="1:23" x14ac:dyDescent="0.25">
      <c r="A53" s="2091"/>
      <c r="B53" s="2073"/>
      <c r="C53" s="2074"/>
      <c r="D53" s="2074"/>
      <c r="E53" s="2074"/>
      <c r="F53" s="2077"/>
      <c r="G53" s="2648" t="s">
        <v>17005</v>
      </c>
      <c r="H53" s="2648"/>
      <c r="I53" s="2648"/>
      <c r="J53" s="2648"/>
      <c r="K53" s="2648"/>
      <c r="L53" s="2649"/>
      <c r="M53" s="2060"/>
      <c r="N53" s="2061"/>
      <c r="O53" s="2070"/>
      <c r="P53" s="2070"/>
      <c r="Q53" s="2069"/>
      <c r="R53" s="646"/>
      <c r="S53" s="71"/>
      <c r="T53" s="312"/>
      <c r="U53" s="69"/>
      <c r="V53" s="69"/>
      <c r="W53" s="69"/>
    </row>
    <row r="54" spans="1:23" ht="120" x14ac:dyDescent="0.25">
      <c r="A54" s="2091"/>
      <c r="B54" s="2073"/>
      <c r="C54" s="2074"/>
      <c r="D54" s="2074"/>
      <c r="E54" s="2074"/>
      <c r="F54" s="2077"/>
      <c r="G54" s="2063" t="s">
        <v>19850</v>
      </c>
      <c r="H54" s="2063" t="s">
        <v>19851</v>
      </c>
      <c r="I54" s="2075" t="s">
        <v>19852</v>
      </c>
      <c r="J54" s="2069">
        <f>0.16*0.9</f>
        <v>0.14400000000000002</v>
      </c>
      <c r="K54" s="2069"/>
      <c r="L54" s="69"/>
      <c r="M54" s="2060"/>
      <c r="N54" s="2061"/>
      <c r="O54" s="2070"/>
      <c r="P54" s="2070"/>
      <c r="Q54" s="2069"/>
      <c r="R54" s="646"/>
      <c r="S54" s="71"/>
      <c r="T54" s="312"/>
      <c r="U54" s="69"/>
      <c r="V54" s="69"/>
      <c r="W54" s="69"/>
    </row>
    <row r="55" spans="1:23" ht="120" x14ac:dyDescent="0.25">
      <c r="A55" s="2091"/>
      <c r="B55" s="2073"/>
      <c r="C55" s="2074"/>
      <c r="D55" s="2074"/>
      <c r="E55" s="2074"/>
      <c r="F55" s="2077"/>
      <c r="G55" s="2063" t="s">
        <v>19906</v>
      </c>
      <c r="H55" s="2063" t="s">
        <v>19907</v>
      </c>
      <c r="I55" s="2075" t="s">
        <v>19908</v>
      </c>
      <c r="J55" s="2069">
        <f>(0.085-0.015)*0.9</f>
        <v>6.3000000000000014E-2</v>
      </c>
      <c r="K55" s="2069"/>
      <c r="L55" s="69"/>
      <c r="M55" s="2060"/>
      <c r="N55" s="2061"/>
      <c r="O55" s="2070"/>
      <c r="P55" s="2070"/>
      <c r="Q55" s="2069"/>
      <c r="R55" s="646"/>
      <c r="S55" s="71"/>
      <c r="T55" s="312"/>
      <c r="U55" s="69"/>
      <c r="V55" s="69"/>
      <c r="W55" s="69"/>
    </row>
    <row r="56" spans="1:23" ht="15.75" customHeight="1" thickBot="1" x14ac:dyDescent="0.3">
      <c r="A56" s="406"/>
      <c r="B56" s="395"/>
      <c r="C56" s="396"/>
      <c r="D56" s="396"/>
      <c r="E56" s="396"/>
      <c r="F56" s="397"/>
      <c r="G56" s="2578" t="s">
        <v>1833</v>
      </c>
      <c r="H56" s="2578"/>
      <c r="I56" s="2579"/>
      <c r="J56" s="13">
        <f>SUM(J54:J55)</f>
        <v>0.20700000000000002</v>
      </c>
      <c r="K56" s="14">
        <v>0.92</v>
      </c>
      <c r="L56" s="13">
        <f>J56/K56</f>
        <v>0.22500000000000001</v>
      </c>
      <c r="M56" s="2577" t="s">
        <v>1834</v>
      </c>
      <c r="N56" s="2579"/>
      <c r="O56" s="13">
        <f>SUM(O50:O52)</f>
        <v>0</v>
      </c>
      <c r="P56" s="14">
        <v>0.92</v>
      </c>
      <c r="Q56" s="13">
        <f>O56/P56</f>
        <v>0</v>
      </c>
      <c r="R56" s="2577" t="s">
        <v>1833</v>
      </c>
      <c r="S56" s="2578"/>
      <c r="T56" s="2579"/>
      <c r="U56" s="13">
        <f>SUM(U51:U52)</f>
        <v>0.19</v>
      </c>
      <c r="V56" s="14">
        <v>0.92</v>
      </c>
      <c r="W56" s="13">
        <f>U56/V56</f>
        <v>0.20652173913043478</v>
      </c>
    </row>
    <row r="57" spans="1:23" x14ac:dyDescent="0.25">
      <c r="A57" s="407" t="str">
        <f>Итоговая!C254</f>
        <v xml:space="preserve">ПС 35/10 кВ Берново </v>
      </c>
      <c r="B57" s="399">
        <f>Итоговая!D254</f>
        <v>1.6</v>
      </c>
      <c r="C57" s="400"/>
      <c r="D57" s="400"/>
      <c r="E57" s="400"/>
      <c r="F57" s="401"/>
      <c r="G57" s="43"/>
      <c r="H57" s="17"/>
      <c r="I57" s="17"/>
      <c r="J57" s="17"/>
      <c r="K57" s="17"/>
      <c r="L57" s="73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73"/>
    </row>
    <row r="58" spans="1:23" ht="15.75" customHeight="1" thickBot="1" x14ac:dyDescent="0.3">
      <c r="A58" s="406"/>
      <c r="B58" s="395"/>
      <c r="C58" s="396"/>
      <c r="D58" s="396"/>
      <c r="E58" s="396"/>
      <c r="F58" s="397"/>
      <c r="G58" s="2578" t="s">
        <v>1833</v>
      </c>
      <c r="H58" s="2578"/>
      <c r="I58" s="2579"/>
      <c r="J58" s="13">
        <f>SUM(J57:J57)</f>
        <v>0</v>
      </c>
      <c r="K58" s="14">
        <v>0.92</v>
      </c>
      <c r="L58" s="13">
        <f>J58/K58</f>
        <v>0</v>
      </c>
      <c r="M58" s="2577" t="s">
        <v>1834</v>
      </c>
      <c r="N58" s="2579"/>
      <c r="O58" s="13">
        <f>SUM(O57:O57)</f>
        <v>0</v>
      </c>
      <c r="P58" s="14">
        <v>0.92</v>
      </c>
      <c r="Q58" s="13">
        <f>O58/P58</f>
        <v>0</v>
      </c>
      <c r="R58" s="2587" t="s">
        <v>1833</v>
      </c>
      <c r="S58" s="2588"/>
      <c r="T58" s="2589"/>
      <c r="U58" s="21">
        <f>SUM(U57:U57)</f>
        <v>0</v>
      </c>
      <c r="V58" s="24">
        <v>0.92</v>
      </c>
      <c r="W58" s="21">
        <f>U58/V58</f>
        <v>0</v>
      </c>
    </row>
    <row r="59" spans="1:23" ht="19.5" customHeight="1" x14ac:dyDescent="0.25">
      <c r="A59" s="407" t="str">
        <f>Итоговая!C255</f>
        <v xml:space="preserve">ПС 35/10 кВ РМК </v>
      </c>
      <c r="B59" s="399">
        <f>Итоговая!D255</f>
        <v>10</v>
      </c>
      <c r="C59" s="400" t="str">
        <f>Итоговая!E255</f>
        <v>+</v>
      </c>
      <c r="D59" s="400">
        <f>Итоговая!F255</f>
        <v>10</v>
      </c>
      <c r="E59" s="400"/>
      <c r="F59" s="401"/>
      <c r="G59" s="2648">
        <v>2011</v>
      </c>
      <c r="H59" s="2648"/>
      <c r="I59" s="2648"/>
      <c r="J59" s="2648"/>
      <c r="K59" s="2648"/>
      <c r="L59" s="2649"/>
      <c r="M59" s="1" t="s">
        <v>625</v>
      </c>
      <c r="N59" s="1" t="s">
        <v>2074</v>
      </c>
      <c r="O59" s="1">
        <v>7.0000000000000007E-2</v>
      </c>
      <c r="P59" s="17"/>
      <c r="Q59" s="17"/>
      <c r="R59" s="1"/>
      <c r="S59" s="1"/>
      <c r="T59" s="1"/>
      <c r="U59" s="1"/>
      <c r="V59" s="1"/>
      <c r="W59" s="22"/>
    </row>
    <row r="60" spans="1:23" ht="32.25" customHeight="1" x14ac:dyDescent="0.25">
      <c r="A60" s="402"/>
      <c r="B60" s="403"/>
      <c r="C60" s="404"/>
      <c r="D60" s="404"/>
      <c r="E60" s="404"/>
      <c r="F60" s="405"/>
      <c r="G60" s="1435" t="s">
        <v>761</v>
      </c>
      <c r="H60" s="1435" t="s">
        <v>41</v>
      </c>
      <c r="I60" s="18" t="s">
        <v>15271</v>
      </c>
      <c r="J60" s="1435">
        <v>0.4</v>
      </c>
      <c r="K60" s="1432"/>
      <c r="L60" s="69"/>
      <c r="M60" s="1433"/>
      <c r="N60" s="1"/>
      <c r="O60" s="1"/>
      <c r="P60" s="9"/>
      <c r="Q60" s="9"/>
      <c r="R60" s="1"/>
      <c r="S60" s="1"/>
      <c r="T60" s="1"/>
      <c r="U60" s="1"/>
      <c r="V60" s="1"/>
      <c r="W60" s="22"/>
    </row>
    <row r="61" spans="1:23" ht="22.5" customHeight="1" x14ac:dyDescent="0.25">
      <c r="A61" s="402"/>
      <c r="B61" s="403"/>
      <c r="C61" s="404"/>
      <c r="D61" s="404"/>
      <c r="E61" s="404"/>
      <c r="F61" s="405"/>
      <c r="G61" s="2759">
        <v>2012</v>
      </c>
      <c r="H61" s="2759"/>
      <c r="I61" s="2759"/>
      <c r="J61" s="2759"/>
      <c r="K61" s="2759"/>
      <c r="L61" s="2759"/>
      <c r="M61" s="24" t="s">
        <v>1864</v>
      </c>
      <c r="N61" s="24" t="s">
        <v>2057</v>
      </c>
      <c r="O61" s="24">
        <v>2.11</v>
      </c>
      <c r="P61" s="128"/>
      <c r="Q61" s="128"/>
      <c r="R61" s="24"/>
      <c r="S61" s="24"/>
      <c r="T61" s="24"/>
      <c r="U61" s="24"/>
      <c r="V61" s="24"/>
      <c r="W61" s="62"/>
    </row>
    <row r="62" spans="1:23" ht="23.25" customHeight="1" x14ac:dyDescent="0.25">
      <c r="A62" s="608"/>
      <c r="B62" s="609"/>
      <c r="C62" s="610"/>
      <c r="D62" s="610"/>
      <c r="E62" s="610"/>
      <c r="F62" s="607"/>
      <c r="G62" s="2624"/>
      <c r="H62" s="2599"/>
      <c r="I62" s="2600"/>
      <c r="J62" s="1922"/>
      <c r="K62" s="1921"/>
      <c r="L62" s="1921"/>
      <c r="M62" s="1" t="s">
        <v>2511</v>
      </c>
      <c r="N62" s="1" t="s">
        <v>2514</v>
      </c>
      <c r="O62" s="1">
        <f>0.03-0.0135</f>
        <v>1.6500000000000001E-2</v>
      </c>
      <c r="P62" s="1"/>
      <c r="Q62" s="1"/>
      <c r="R62" s="1"/>
      <c r="S62" s="1"/>
      <c r="T62" s="1"/>
      <c r="U62" s="1"/>
      <c r="V62" s="1"/>
      <c r="W62" s="22"/>
    </row>
    <row r="63" spans="1:23" ht="27" customHeight="1" x14ac:dyDescent="0.25">
      <c r="A63" s="1124"/>
      <c r="B63" s="1122"/>
      <c r="C63" s="1125"/>
      <c r="D63" s="1125"/>
      <c r="E63" s="1125"/>
      <c r="F63" s="1123"/>
      <c r="G63" s="2759">
        <v>2013</v>
      </c>
      <c r="H63" s="2759"/>
      <c r="I63" s="2759"/>
      <c r="J63" s="2759"/>
      <c r="K63" s="2759"/>
      <c r="L63" s="2759"/>
      <c r="M63" s="1354" t="s">
        <v>1864</v>
      </c>
      <c r="N63" s="1354" t="s">
        <v>3295</v>
      </c>
      <c r="O63" s="1354">
        <v>1.1000000000000001</v>
      </c>
      <c r="P63" s="1354"/>
      <c r="Q63" s="1354"/>
      <c r="R63" s="1354"/>
      <c r="S63" s="1354"/>
      <c r="T63" s="1354"/>
      <c r="U63" s="1354"/>
      <c r="V63" s="1354"/>
      <c r="W63" s="1362"/>
    </row>
    <row r="64" spans="1:23" ht="83.25" customHeight="1" x14ac:dyDescent="0.25">
      <c r="A64" s="1360"/>
      <c r="B64" s="1357"/>
      <c r="C64" s="1361"/>
      <c r="D64" s="1361"/>
      <c r="E64" s="1361"/>
      <c r="F64" s="1358"/>
      <c r="G64" s="2679" t="s">
        <v>3401</v>
      </c>
      <c r="H64" s="2680"/>
      <c r="I64" s="2681"/>
      <c r="J64" s="1209">
        <f>0.214*0.9</f>
        <v>0.19259999999999999</v>
      </c>
      <c r="K64" s="1356"/>
      <c r="L64" s="62"/>
      <c r="M64" s="1354" t="s">
        <v>3587</v>
      </c>
      <c r="N64" s="1354" t="s">
        <v>3588</v>
      </c>
      <c r="O64" s="1354">
        <v>0.1</v>
      </c>
      <c r="P64" s="1354"/>
      <c r="Q64" s="1354"/>
      <c r="R64" s="1354"/>
      <c r="S64" s="1354"/>
      <c r="T64" s="1354"/>
      <c r="U64" s="1354"/>
      <c r="V64" s="1354"/>
      <c r="W64" s="1362"/>
    </row>
    <row r="65" spans="1:23" ht="83.25" customHeight="1" x14ac:dyDescent="0.25">
      <c r="A65" s="1525"/>
      <c r="B65" s="1532"/>
      <c r="C65" s="1535"/>
      <c r="D65" s="1535"/>
      <c r="E65" s="1535"/>
      <c r="F65" s="1533"/>
      <c r="G65" s="2759">
        <v>2014</v>
      </c>
      <c r="H65" s="2759"/>
      <c r="I65" s="2759"/>
      <c r="J65" s="2759"/>
      <c r="K65" s="2759"/>
      <c r="L65" s="2759"/>
      <c r="M65" s="1839" t="s">
        <v>16669</v>
      </c>
      <c r="N65" s="1839" t="s">
        <v>16670</v>
      </c>
      <c r="O65" s="1839">
        <f>0.045-0.015</f>
        <v>0.03</v>
      </c>
      <c r="P65" s="1839"/>
      <c r="Q65" s="1839"/>
      <c r="R65" s="1839"/>
      <c r="S65" s="1839"/>
      <c r="T65" s="1839"/>
      <c r="U65" s="1839"/>
      <c r="V65" s="1839"/>
      <c r="W65" s="62"/>
    </row>
    <row r="66" spans="1:23" ht="50.25" customHeight="1" x14ac:dyDescent="0.25">
      <c r="A66" s="1853"/>
      <c r="B66" s="1841"/>
      <c r="C66" s="1842"/>
      <c r="D66" s="1842"/>
      <c r="E66" s="1842"/>
      <c r="F66" s="1844"/>
      <c r="G66" s="2205" t="s">
        <v>2802</v>
      </c>
      <c r="H66" s="2205" t="s">
        <v>19896</v>
      </c>
      <c r="I66" s="2205" t="s">
        <v>19897</v>
      </c>
      <c r="J66" s="2205">
        <f>0.3*0.15</f>
        <v>4.4999999999999998E-2</v>
      </c>
      <c r="K66" s="2205"/>
      <c r="L66" s="2218"/>
      <c r="M66" s="1839" t="s">
        <v>16995</v>
      </c>
      <c r="N66" s="1839" t="s">
        <v>16996</v>
      </c>
      <c r="O66" s="1839">
        <f>0.67-0.015</f>
        <v>0.65500000000000003</v>
      </c>
      <c r="P66" s="1839"/>
      <c r="Q66" s="1839"/>
      <c r="R66" s="1839"/>
      <c r="S66" s="1839"/>
      <c r="T66" s="1839"/>
      <c r="U66" s="1839"/>
      <c r="V66" s="1839"/>
      <c r="W66" s="62"/>
    </row>
    <row r="67" spans="1:23" ht="50.25" customHeight="1" x14ac:dyDescent="0.25">
      <c r="A67" s="2236"/>
      <c r="B67" s="2214"/>
      <c r="C67" s="2215"/>
      <c r="D67" s="2215"/>
      <c r="E67" s="2215"/>
      <c r="F67" s="2219"/>
      <c r="G67" s="2758" t="s">
        <v>3401</v>
      </c>
      <c r="H67" s="2758"/>
      <c r="I67" s="2758"/>
      <c r="J67" s="1608">
        <f>0.282*0.9</f>
        <v>0.25379999999999997</v>
      </c>
      <c r="K67" s="2205"/>
      <c r="L67" s="2218"/>
      <c r="M67" s="2198"/>
      <c r="N67" s="2199"/>
      <c r="O67" s="2210"/>
      <c r="P67" s="2210"/>
      <c r="Q67" s="2210"/>
      <c r="R67" s="2198"/>
      <c r="S67" s="2200"/>
      <c r="T67" s="2199"/>
      <c r="U67" s="2210"/>
      <c r="V67" s="2210"/>
      <c r="W67" s="62"/>
    </row>
    <row r="68" spans="1:23" ht="15.75" customHeight="1" thickBot="1" x14ac:dyDescent="0.3">
      <c r="A68" s="406"/>
      <c r="B68" s="395"/>
      <c r="C68" s="396"/>
      <c r="D68" s="396"/>
      <c r="E68" s="396"/>
      <c r="F68" s="397"/>
      <c r="G68" s="2578" t="s">
        <v>1833</v>
      </c>
      <c r="H68" s="2578"/>
      <c r="I68" s="2579"/>
      <c r="J68" s="13">
        <f>SUM(J64:J67)</f>
        <v>0.49139999999999995</v>
      </c>
      <c r="K68" s="14">
        <v>0.92</v>
      </c>
      <c r="L68" s="13">
        <f>J68/K68</f>
        <v>0.53413043478260858</v>
      </c>
      <c r="M68" s="2577" t="s">
        <v>1834</v>
      </c>
      <c r="N68" s="2579"/>
      <c r="O68" s="13">
        <f>SUM(O59:O66)</f>
        <v>4.0815000000000001</v>
      </c>
      <c r="P68" s="14">
        <v>0.92</v>
      </c>
      <c r="Q68" s="13">
        <f>O68/P68</f>
        <v>4.4364130434782609</v>
      </c>
      <c r="R68" s="2577" t="s">
        <v>1833</v>
      </c>
      <c r="S68" s="2578"/>
      <c r="T68" s="2579"/>
      <c r="U68" s="13">
        <f>SUM(U59:U60)</f>
        <v>0</v>
      </c>
      <c r="V68" s="14">
        <v>0.92</v>
      </c>
      <c r="W68" s="13">
        <f>U68/V68</f>
        <v>0</v>
      </c>
    </row>
    <row r="69" spans="1:23" x14ac:dyDescent="0.25">
      <c r="A69" s="407" t="str">
        <f>Итоговая!C256</f>
        <v xml:space="preserve">ПС 35/10 кВ Осуга </v>
      </c>
      <c r="B69" s="399">
        <f>Итоговая!D256</f>
        <v>2.5</v>
      </c>
      <c r="C69" s="400" t="str">
        <f>Итоговая!E256</f>
        <v>+</v>
      </c>
      <c r="D69" s="400">
        <f>Итоговая!F256</f>
        <v>2.5</v>
      </c>
      <c r="E69" s="400"/>
      <c r="F69" s="401"/>
      <c r="G69" s="43"/>
      <c r="H69" s="17"/>
      <c r="I69" s="17"/>
      <c r="J69" s="17"/>
      <c r="K69" s="17"/>
      <c r="L69" s="73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73"/>
    </row>
    <row r="70" spans="1:23" ht="15.75" customHeight="1" thickBot="1" x14ac:dyDescent="0.3">
      <c r="A70" s="406"/>
      <c r="B70" s="395"/>
      <c r="C70" s="396"/>
      <c r="D70" s="396"/>
      <c r="E70" s="396"/>
      <c r="F70" s="397"/>
      <c r="G70" s="2578" t="s">
        <v>1833</v>
      </c>
      <c r="H70" s="2578"/>
      <c r="I70" s="2579"/>
      <c r="J70" s="13">
        <f>SUM(J69:J69)</f>
        <v>0</v>
      </c>
      <c r="K70" s="14">
        <v>0.92</v>
      </c>
      <c r="L70" s="13">
        <f>J70/K70</f>
        <v>0</v>
      </c>
      <c r="M70" s="2577" t="s">
        <v>1834</v>
      </c>
      <c r="N70" s="2579"/>
      <c r="O70" s="13">
        <f>SUM(O69:O69)</f>
        <v>0</v>
      </c>
      <c r="P70" s="14">
        <v>0.92</v>
      </c>
      <c r="Q70" s="13">
        <f>O70/P70</f>
        <v>0</v>
      </c>
      <c r="R70" s="2577" t="s">
        <v>1833</v>
      </c>
      <c r="S70" s="2578"/>
      <c r="T70" s="2579"/>
      <c r="U70" s="13">
        <f>SUM(U69:U69)</f>
        <v>0</v>
      </c>
      <c r="V70" s="14">
        <v>0.92</v>
      </c>
      <c r="W70" s="13">
        <f>U70/V70</f>
        <v>0</v>
      </c>
    </row>
    <row r="71" spans="1:23" x14ac:dyDescent="0.25">
      <c r="A71" s="2776" t="str">
        <f>Итоговая!C257</f>
        <v xml:space="preserve">ПС 35/10 кВ Мин.Дворы </v>
      </c>
      <c r="B71" s="2630">
        <f>Итоговая!D257</f>
        <v>2.5</v>
      </c>
      <c r="C71" s="2632" t="str">
        <f>Итоговая!E257</f>
        <v>+</v>
      </c>
      <c r="D71" s="2632">
        <f>Итоговая!F257</f>
        <v>3.2</v>
      </c>
      <c r="E71" s="400"/>
      <c r="F71" s="401"/>
      <c r="G71" s="2648" t="s">
        <v>1960</v>
      </c>
      <c r="H71" s="2648"/>
      <c r="I71" s="2648"/>
      <c r="J71" s="2648"/>
      <c r="K71" s="2648"/>
      <c r="L71" s="2649"/>
      <c r="M71" s="131"/>
      <c r="N71" s="132"/>
      <c r="O71" s="73"/>
      <c r="P71" s="73"/>
      <c r="Q71" s="73"/>
      <c r="R71" s="2647" t="s">
        <v>1960</v>
      </c>
      <c r="S71" s="2648"/>
      <c r="T71" s="2648"/>
      <c r="U71" s="2648"/>
      <c r="V71" s="2648"/>
      <c r="W71" s="2649"/>
    </row>
    <row r="72" spans="1:23" ht="78" customHeight="1" x14ac:dyDescent="0.25">
      <c r="A72" s="2777"/>
      <c r="B72" s="2631"/>
      <c r="C72" s="2633"/>
      <c r="D72" s="2633"/>
      <c r="E72" s="625"/>
      <c r="F72" s="622"/>
      <c r="G72" s="41" t="s">
        <v>2075</v>
      </c>
      <c r="H72" s="128" t="s">
        <v>2076</v>
      </c>
      <c r="I72" s="128" t="s">
        <v>2077</v>
      </c>
      <c r="J72" s="128">
        <v>0.7</v>
      </c>
      <c r="K72" s="128"/>
      <c r="L72" s="69"/>
      <c r="M72" s="1229"/>
      <c r="N72" s="1354"/>
      <c r="O72" s="1"/>
      <c r="P72" s="1"/>
      <c r="Q72" s="9"/>
      <c r="R72" s="9"/>
      <c r="S72" s="9"/>
      <c r="T72" s="9"/>
      <c r="U72" s="9"/>
      <c r="V72" s="9"/>
      <c r="W72" s="51"/>
    </row>
    <row r="73" spans="1:23" ht="19.5" customHeight="1" x14ac:dyDescent="0.25">
      <c r="A73" s="625"/>
      <c r="B73" s="624"/>
      <c r="C73" s="625"/>
      <c r="D73" s="625"/>
      <c r="E73" s="625"/>
      <c r="F73" s="622"/>
      <c r="G73" s="2759" t="s">
        <v>2032</v>
      </c>
      <c r="H73" s="2759"/>
      <c r="I73" s="2759"/>
      <c r="J73" s="2759"/>
      <c r="K73" s="2759"/>
      <c r="L73" s="2759"/>
      <c r="M73" s="1354"/>
      <c r="N73" s="1354"/>
      <c r="O73" s="1"/>
      <c r="P73" s="1"/>
      <c r="Q73" s="9"/>
      <c r="R73" s="340" t="s">
        <v>2078</v>
      </c>
      <c r="S73" s="340" t="s">
        <v>2079</v>
      </c>
      <c r="T73" s="340" t="s">
        <v>2485</v>
      </c>
      <c r="U73" s="340">
        <v>0.51</v>
      </c>
      <c r="V73" s="340"/>
      <c r="W73" s="348"/>
    </row>
    <row r="74" spans="1:23" ht="90" x14ac:dyDescent="0.25">
      <c r="A74" s="625"/>
      <c r="B74" s="624"/>
      <c r="C74" s="625"/>
      <c r="D74" s="625"/>
      <c r="E74" s="625"/>
      <c r="F74" s="622"/>
      <c r="G74" s="104" t="s">
        <v>49</v>
      </c>
      <c r="H74" s="9" t="s">
        <v>881</v>
      </c>
      <c r="I74" s="41" t="s">
        <v>2354</v>
      </c>
      <c r="J74" s="128">
        <v>9.9000000000000005E-2</v>
      </c>
      <c r="K74" s="128"/>
      <c r="L74" s="69"/>
      <c r="M74" s="1"/>
      <c r="N74" s="1"/>
      <c r="O74" s="1354"/>
      <c r="P74" s="1354"/>
      <c r="Q74" s="1354"/>
      <c r="R74" s="1354"/>
      <c r="S74" s="1354"/>
      <c r="T74" s="1354"/>
      <c r="U74" s="1354"/>
      <c r="V74" s="1354"/>
      <c r="W74" s="1362"/>
    </row>
    <row r="75" spans="1:23" x14ac:dyDescent="0.25">
      <c r="A75" s="1187"/>
      <c r="B75" s="1183"/>
      <c r="C75" s="1187"/>
      <c r="D75" s="1187"/>
      <c r="E75" s="1187"/>
      <c r="F75" s="1184"/>
      <c r="G75" s="2759" t="s">
        <v>3019</v>
      </c>
      <c r="H75" s="2759"/>
      <c r="I75" s="2759"/>
      <c r="J75" s="2759"/>
      <c r="K75" s="2759"/>
      <c r="L75" s="2759"/>
      <c r="M75" s="19"/>
      <c r="N75" s="20"/>
      <c r="O75" s="1354"/>
      <c r="P75" s="1354"/>
      <c r="Q75" s="1354"/>
      <c r="R75" s="1354"/>
      <c r="S75" s="1354"/>
      <c r="T75" s="1354"/>
      <c r="U75" s="1354"/>
      <c r="V75" s="1354"/>
      <c r="W75" s="1362"/>
    </row>
    <row r="76" spans="1:23" ht="37.5" customHeight="1" x14ac:dyDescent="0.25">
      <c r="A76" s="1187"/>
      <c r="B76" s="1183"/>
      <c r="C76" s="1187"/>
      <c r="D76" s="1187"/>
      <c r="E76" s="1187"/>
      <c r="F76" s="1184"/>
      <c r="G76" s="2624"/>
      <c r="H76" s="2599"/>
      <c r="I76" s="2600"/>
      <c r="J76" s="69"/>
      <c r="K76" s="69"/>
      <c r="L76" s="69"/>
      <c r="M76" s="19"/>
      <c r="N76" s="20"/>
      <c r="O76" s="1354"/>
      <c r="P76" s="1354"/>
      <c r="Q76" s="1354"/>
      <c r="R76" s="1354"/>
      <c r="S76" s="1354"/>
      <c r="T76" s="1354"/>
      <c r="U76" s="1354"/>
      <c r="V76" s="1354"/>
      <c r="W76" s="1362"/>
    </row>
    <row r="77" spans="1:23" ht="37.5" customHeight="1" x14ac:dyDescent="0.25">
      <c r="A77" s="1407"/>
      <c r="B77" s="1399"/>
      <c r="C77" s="1407"/>
      <c r="D77" s="1407"/>
      <c r="E77" s="1407"/>
      <c r="F77" s="1400"/>
      <c r="G77" s="2759" t="s">
        <v>3447</v>
      </c>
      <c r="H77" s="2759"/>
      <c r="I77" s="2759"/>
      <c r="J77" s="2759"/>
      <c r="K77" s="2759"/>
      <c r="L77" s="2759"/>
      <c r="M77" s="129"/>
      <c r="N77" s="130"/>
      <c r="O77" s="62"/>
      <c r="P77" s="62"/>
      <c r="Q77" s="62"/>
      <c r="R77" s="129"/>
      <c r="S77" s="652"/>
      <c r="T77" s="130"/>
      <c r="U77" s="62"/>
      <c r="V77" s="62"/>
      <c r="W77" s="62"/>
    </row>
    <row r="78" spans="1:23" ht="37.5" customHeight="1" x14ac:dyDescent="0.25">
      <c r="A78" s="1407"/>
      <c r="B78" s="1399"/>
      <c r="C78" s="1407"/>
      <c r="D78" s="1407"/>
      <c r="E78" s="1407"/>
      <c r="F78" s="1400"/>
      <c r="G78" s="1396" t="s">
        <v>3429</v>
      </c>
      <c r="H78" s="1396" t="s">
        <v>3574</v>
      </c>
      <c r="I78" s="130" t="s">
        <v>3637</v>
      </c>
      <c r="J78" s="1396">
        <f>0.5*0.75</f>
        <v>0.375</v>
      </c>
      <c r="K78" s="69"/>
      <c r="L78" s="69"/>
      <c r="M78" s="129"/>
      <c r="N78" s="130"/>
      <c r="O78" s="62"/>
      <c r="P78" s="62"/>
      <c r="Q78" s="62"/>
      <c r="R78" s="129"/>
      <c r="S78" s="652"/>
      <c r="T78" s="130"/>
      <c r="U78" s="62"/>
      <c r="V78" s="62"/>
      <c r="W78" s="62"/>
    </row>
    <row r="79" spans="1:23" ht="37.5" customHeight="1" x14ac:dyDescent="0.25">
      <c r="A79" s="1407"/>
      <c r="B79" s="1399"/>
      <c r="C79" s="1407"/>
      <c r="D79" s="1407"/>
      <c r="E79" s="1407"/>
      <c r="F79" s="1400"/>
      <c r="G79" s="1396" t="s">
        <v>3594</v>
      </c>
      <c r="H79" s="1396" t="s">
        <v>3595</v>
      </c>
      <c r="I79" s="130" t="s">
        <v>3643</v>
      </c>
      <c r="J79" s="1396">
        <f>0.38*0.9</f>
        <v>0.34200000000000003</v>
      </c>
      <c r="K79" s="69"/>
      <c r="L79" s="69"/>
      <c r="M79" s="129"/>
      <c r="N79" s="130"/>
      <c r="O79" s="62"/>
      <c r="P79" s="62"/>
      <c r="Q79" s="62"/>
      <c r="R79" s="129"/>
      <c r="S79" s="652"/>
      <c r="T79" s="130"/>
      <c r="U79" s="62"/>
      <c r="V79" s="62"/>
      <c r="W79" s="62"/>
    </row>
    <row r="80" spans="1:23" ht="37.5" customHeight="1" x14ac:dyDescent="0.25">
      <c r="A80" s="1872"/>
      <c r="B80" s="1871"/>
      <c r="C80" s="1872"/>
      <c r="D80" s="1872"/>
      <c r="E80" s="1872"/>
      <c r="F80" s="1876"/>
      <c r="G80" s="2759" t="s">
        <v>17005</v>
      </c>
      <c r="H80" s="2759"/>
      <c r="I80" s="2759"/>
      <c r="J80" s="2759"/>
      <c r="K80" s="2759"/>
      <c r="L80" s="2759"/>
      <c r="M80" s="129"/>
      <c r="N80" s="130"/>
      <c r="O80" s="62"/>
      <c r="P80" s="62"/>
      <c r="Q80" s="62"/>
      <c r="R80" s="129"/>
      <c r="S80" s="652"/>
      <c r="T80" s="130"/>
      <c r="U80" s="62"/>
      <c r="V80" s="62"/>
      <c r="W80" s="62"/>
    </row>
    <row r="81" spans="1:23" ht="37.5" customHeight="1" x14ac:dyDescent="0.25">
      <c r="A81" s="1872"/>
      <c r="B81" s="1871"/>
      <c r="C81" s="1872"/>
      <c r="D81" s="1872"/>
      <c r="E81" s="1872"/>
      <c r="F81" s="1876"/>
      <c r="G81" s="1864" t="s">
        <v>3247</v>
      </c>
      <c r="H81" s="1864" t="s">
        <v>16914</v>
      </c>
      <c r="I81" s="130" t="s">
        <v>17018</v>
      </c>
      <c r="J81" s="1867">
        <f>0.035*0.9</f>
        <v>3.1500000000000007E-2</v>
      </c>
      <c r="K81" s="69"/>
      <c r="L81" s="69"/>
      <c r="M81" s="129"/>
      <c r="N81" s="130"/>
      <c r="O81" s="62"/>
      <c r="P81" s="62"/>
      <c r="Q81" s="62"/>
      <c r="R81" s="129"/>
      <c r="S81" s="652"/>
      <c r="T81" s="130"/>
      <c r="U81" s="62"/>
      <c r="V81" s="62"/>
      <c r="W81" s="62"/>
    </row>
    <row r="82" spans="1:23" ht="15.75" customHeight="1" thickBot="1" x14ac:dyDescent="0.3">
      <c r="A82" s="637"/>
      <c r="B82" s="637"/>
      <c r="C82" s="396"/>
      <c r="D82" s="396"/>
      <c r="E82" s="396"/>
      <c r="F82" s="397"/>
      <c r="G82" s="2578" t="s">
        <v>1833</v>
      </c>
      <c r="H82" s="2578"/>
      <c r="I82" s="2579"/>
      <c r="J82" s="13">
        <f>SUM(J76:J81)</f>
        <v>0.74850000000000005</v>
      </c>
      <c r="K82" s="14">
        <v>0.92</v>
      </c>
      <c r="L82" s="13">
        <f>J82/K82</f>
        <v>0.81358695652173918</v>
      </c>
      <c r="M82" s="2577" t="s">
        <v>1834</v>
      </c>
      <c r="N82" s="2579"/>
      <c r="O82" s="13">
        <f>SUM(O72:O73)</f>
        <v>0</v>
      </c>
      <c r="P82" s="14">
        <v>0.92</v>
      </c>
      <c r="Q82" s="13">
        <f>O82/P82</f>
        <v>0</v>
      </c>
      <c r="R82" s="2577" t="s">
        <v>1833</v>
      </c>
      <c r="S82" s="2578"/>
      <c r="T82" s="2579"/>
      <c r="U82" s="13">
        <f>SUM(U72:U74)</f>
        <v>0.51</v>
      </c>
      <c r="V82" s="14">
        <v>0.92</v>
      </c>
      <c r="W82" s="13">
        <f>U82/V82</f>
        <v>0.55434782608695654</v>
      </c>
    </row>
    <row r="83" spans="1:23" x14ac:dyDescent="0.25">
      <c r="A83" s="2630" t="str">
        <f>Итоговая!C258</f>
        <v xml:space="preserve">ПС 35/10 кВ Клешнево </v>
      </c>
      <c r="B83" s="2630">
        <f>Итоговая!D258</f>
        <v>4</v>
      </c>
      <c r="C83" s="2632" t="str">
        <f>Итоговая!E258</f>
        <v>+</v>
      </c>
      <c r="D83" s="2632">
        <f>Итоговая!F258</f>
        <v>4</v>
      </c>
      <c r="E83" s="400"/>
      <c r="F83" s="401"/>
      <c r="G83" s="2648" t="s">
        <v>1959</v>
      </c>
      <c r="H83" s="2648"/>
      <c r="I83" s="2648"/>
      <c r="J83" s="2648"/>
      <c r="K83" s="2648"/>
      <c r="L83" s="2649"/>
      <c r="M83" s="131"/>
      <c r="N83" s="132"/>
      <c r="O83" s="161"/>
      <c r="P83" s="73"/>
      <c r="Q83" s="73"/>
      <c r="R83" s="2644"/>
      <c r="S83" s="2645"/>
      <c r="T83" s="2645"/>
      <c r="U83" s="2645"/>
      <c r="V83" s="2645"/>
      <c r="W83" s="2646"/>
    </row>
    <row r="84" spans="1:23" ht="30" x14ac:dyDescent="0.25">
      <c r="A84" s="2631"/>
      <c r="B84" s="2631"/>
      <c r="C84" s="2633"/>
      <c r="D84" s="2633"/>
      <c r="E84" s="404"/>
      <c r="F84" s="405"/>
      <c r="G84" s="41" t="s">
        <v>2069</v>
      </c>
      <c r="H84" s="128" t="s">
        <v>2080</v>
      </c>
      <c r="I84" s="128" t="s">
        <v>2081</v>
      </c>
      <c r="J84" s="9">
        <v>0.72</v>
      </c>
      <c r="K84" s="9"/>
      <c r="L84" s="51"/>
      <c r="M84" s="9" t="s">
        <v>2069</v>
      </c>
      <c r="N84" s="9" t="s">
        <v>2080</v>
      </c>
      <c r="O84" s="18">
        <v>0.19</v>
      </c>
      <c r="P84" s="9"/>
      <c r="Q84" s="9"/>
      <c r="R84" s="69"/>
      <c r="S84" s="69"/>
      <c r="T84" s="69"/>
      <c r="U84" s="51"/>
      <c r="V84" s="51"/>
      <c r="W84" s="51"/>
    </row>
    <row r="85" spans="1:23" ht="31.5" customHeight="1" x14ac:dyDescent="0.25">
      <c r="A85" s="402"/>
      <c r="B85" s="403"/>
      <c r="C85" s="404"/>
      <c r="D85" s="404"/>
      <c r="E85" s="404"/>
      <c r="F85" s="405"/>
      <c r="G85" s="20" t="s">
        <v>2069</v>
      </c>
      <c r="H85" s="24" t="s">
        <v>2080</v>
      </c>
      <c r="I85" s="24" t="s">
        <v>2082</v>
      </c>
      <c r="J85" s="128">
        <v>0.69</v>
      </c>
      <c r="K85" s="128"/>
      <c r="L85" s="69"/>
      <c r="M85" s="1710" t="s">
        <v>2847</v>
      </c>
      <c r="N85" s="1710" t="s">
        <v>2848</v>
      </c>
      <c r="O85" s="1710">
        <v>0.55000000000000004</v>
      </c>
      <c r="P85" s="9"/>
      <c r="Q85" s="9"/>
      <c r="R85" s="22"/>
      <c r="S85" s="22"/>
      <c r="T85" s="22"/>
      <c r="U85" s="51"/>
      <c r="V85" s="51"/>
      <c r="W85" s="51"/>
    </row>
    <row r="86" spans="1:23" ht="18" customHeight="1" x14ac:dyDescent="0.25">
      <c r="A86" s="763"/>
      <c r="B86" s="764"/>
      <c r="C86" s="766"/>
      <c r="D86" s="766"/>
      <c r="E86" s="766"/>
      <c r="F86" s="762"/>
      <c r="G86" s="2759" t="s">
        <v>2477</v>
      </c>
      <c r="H86" s="2759"/>
      <c r="I86" s="2759"/>
      <c r="J86" s="2759"/>
      <c r="K86" s="2759"/>
      <c r="L86" s="2759"/>
      <c r="M86" s="1710"/>
      <c r="N86" s="1710"/>
      <c r="O86" s="1710"/>
      <c r="P86" s="1"/>
      <c r="Q86" s="1"/>
      <c r="R86" s="22"/>
      <c r="S86" s="22"/>
      <c r="T86" s="22"/>
      <c r="U86" s="22"/>
      <c r="V86" s="22"/>
      <c r="W86" s="22"/>
    </row>
    <row r="87" spans="1:23" ht="37.5" customHeight="1" x14ac:dyDescent="0.25">
      <c r="A87" s="793"/>
      <c r="B87" s="794"/>
      <c r="C87" s="796"/>
      <c r="D87" s="796"/>
      <c r="E87" s="796"/>
      <c r="F87" s="792"/>
      <c r="G87" s="1" t="s">
        <v>2847</v>
      </c>
      <c r="H87" s="1696" t="s">
        <v>2849</v>
      </c>
      <c r="I87" s="20" t="s">
        <v>2929</v>
      </c>
      <c r="J87" s="1">
        <v>0.45</v>
      </c>
      <c r="K87" s="24"/>
      <c r="L87" s="62"/>
      <c r="M87" s="1"/>
      <c r="N87" s="1"/>
      <c r="O87" s="1"/>
      <c r="P87" s="1"/>
      <c r="Q87" s="1"/>
      <c r="R87" s="22"/>
      <c r="S87" s="22"/>
      <c r="T87" s="22"/>
      <c r="U87" s="22"/>
      <c r="V87" s="22"/>
      <c r="W87" s="22"/>
    </row>
    <row r="88" spans="1:23" ht="29.25" customHeight="1" x14ac:dyDescent="0.25">
      <c r="A88" s="793"/>
      <c r="B88" s="794"/>
      <c r="C88" s="796"/>
      <c r="D88" s="796"/>
      <c r="E88" s="796"/>
      <c r="F88" s="792"/>
      <c r="G88" s="19" t="s">
        <v>2847</v>
      </c>
      <c r="H88" s="1495" t="s">
        <v>2877</v>
      </c>
      <c r="I88" s="20" t="s">
        <v>2930</v>
      </c>
      <c r="J88" s="24">
        <v>0.55000000000000004</v>
      </c>
      <c r="K88" s="24"/>
      <c r="L88" s="62"/>
      <c r="M88" s="19"/>
      <c r="N88" s="1"/>
      <c r="O88" s="24"/>
      <c r="P88" s="24"/>
      <c r="Q88" s="24"/>
      <c r="R88" s="129"/>
      <c r="S88" s="652"/>
      <c r="T88" s="130"/>
      <c r="U88" s="62"/>
      <c r="V88" s="62"/>
      <c r="W88" s="62"/>
    </row>
    <row r="89" spans="1:23" ht="29.25" customHeight="1" x14ac:dyDescent="0.25">
      <c r="A89" s="821"/>
      <c r="B89" s="822"/>
      <c r="C89" s="823"/>
      <c r="D89" s="823"/>
      <c r="E89" s="823"/>
      <c r="F89" s="820"/>
      <c r="G89" s="1" t="s">
        <v>2847</v>
      </c>
      <c r="H89" s="1" t="s">
        <v>2876</v>
      </c>
      <c r="I89" s="20" t="s">
        <v>2931</v>
      </c>
      <c r="J89" s="24">
        <v>0.5</v>
      </c>
      <c r="K89" s="24"/>
      <c r="L89" s="62"/>
      <c r="M89" s="19"/>
      <c r="N89" s="1"/>
      <c r="O89" s="24"/>
      <c r="P89" s="24"/>
      <c r="Q89" s="24"/>
      <c r="R89" s="129"/>
      <c r="S89" s="652"/>
      <c r="T89" s="130"/>
      <c r="U89" s="62"/>
      <c r="V89" s="62"/>
      <c r="W89" s="62"/>
    </row>
    <row r="90" spans="1:23" ht="29.25" customHeight="1" x14ac:dyDescent="0.25">
      <c r="A90" s="821"/>
      <c r="B90" s="822"/>
      <c r="C90" s="823"/>
      <c r="D90" s="823"/>
      <c r="E90" s="823"/>
      <c r="F90" s="820"/>
      <c r="G90" s="19" t="s">
        <v>2847</v>
      </c>
      <c r="H90" s="1" t="s">
        <v>2880</v>
      </c>
      <c r="I90" s="20" t="s">
        <v>2932</v>
      </c>
      <c r="J90" s="24">
        <v>0.5</v>
      </c>
      <c r="K90" s="24"/>
      <c r="L90" s="62"/>
      <c r="M90" s="19"/>
      <c r="N90" s="1"/>
      <c r="O90" s="24"/>
      <c r="P90" s="24"/>
      <c r="Q90" s="24"/>
      <c r="R90" s="129"/>
      <c r="S90" s="652"/>
      <c r="T90" s="130"/>
      <c r="U90" s="62"/>
      <c r="V90" s="62"/>
      <c r="W90" s="62"/>
    </row>
    <row r="91" spans="1:23" ht="29.25" customHeight="1" x14ac:dyDescent="0.25">
      <c r="A91" s="793"/>
      <c r="B91" s="794"/>
      <c r="C91" s="796"/>
      <c r="D91" s="796"/>
      <c r="E91" s="796"/>
      <c r="F91" s="792"/>
      <c r="G91" s="1785" t="s">
        <v>2847</v>
      </c>
      <c r="H91" s="1785" t="s">
        <v>16816</v>
      </c>
      <c r="I91" s="20" t="s">
        <v>16903</v>
      </c>
      <c r="J91" s="24">
        <v>0.12</v>
      </c>
      <c r="K91" s="24"/>
      <c r="L91" s="62"/>
      <c r="M91" s="19"/>
      <c r="N91" s="1"/>
      <c r="O91" s="24"/>
      <c r="P91" s="24"/>
      <c r="Q91" s="24"/>
      <c r="R91" s="129"/>
      <c r="S91" s="652"/>
      <c r="T91" s="130"/>
      <c r="U91" s="62"/>
      <c r="V91" s="62"/>
      <c r="W91" s="62"/>
    </row>
    <row r="92" spans="1:23" ht="15.75" customHeight="1" thickBot="1" x14ac:dyDescent="0.3">
      <c r="A92" s="406"/>
      <c r="B92" s="395"/>
      <c r="C92" s="396"/>
      <c r="D92" s="396"/>
      <c r="E92" s="396"/>
      <c r="F92" s="397"/>
      <c r="G92" s="2578" t="s">
        <v>1833</v>
      </c>
      <c r="H92" s="2578"/>
      <c r="I92" s="2579"/>
      <c r="J92" s="13">
        <f>SUM(0)</f>
        <v>0</v>
      </c>
      <c r="K92" s="14">
        <v>0.92</v>
      </c>
      <c r="L92" s="13">
        <f>J92/K92</f>
        <v>0</v>
      </c>
      <c r="M92" s="2577" t="s">
        <v>1834</v>
      </c>
      <c r="N92" s="2579"/>
      <c r="O92" s="13">
        <f>SUM(O84:O91)</f>
        <v>0.74</v>
      </c>
      <c r="P92" s="14">
        <v>0.92</v>
      </c>
      <c r="Q92" s="13">
        <f>O92/P92</f>
        <v>0.80434782608695643</v>
      </c>
      <c r="R92" s="2577" t="s">
        <v>1833</v>
      </c>
      <c r="S92" s="2578"/>
      <c r="T92" s="2579"/>
      <c r="U92" s="13">
        <f>SUM(U84:U85)</f>
        <v>0</v>
      </c>
      <c r="V92" s="14">
        <v>0.92</v>
      </c>
      <c r="W92" s="13">
        <f>U92/V92</f>
        <v>0</v>
      </c>
    </row>
    <row r="93" spans="1:23" x14ac:dyDescent="0.25">
      <c r="A93" s="2776" t="str">
        <f>Итоговая!C259</f>
        <v xml:space="preserve">ПС 110/35/10 кВ Зубцов </v>
      </c>
      <c r="B93" s="2630">
        <f>Итоговая!D259</f>
        <v>25</v>
      </c>
      <c r="C93" s="2632" t="str">
        <f>Итоговая!E259</f>
        <v>+</v>
      </c>
      <c r="D93" s="2632">
        <f>Итоговая!F259</f>
        <v>25</v>
      </c>
      <c r="E93" s="400"/>
      <c r="F93" s="401"/>
      <c r="G93" s="2648" t="s">
        <v>1961</v>
      </c>
      <c r="H93" s="2648"/>
      <c r="I93" s="2648"/>
      <c r="J93" s="2648"/>
      <c r="K93" s="2648"/>
      <c r="L93" s="2649"/>
      <c r="M93" s="131"/>
      <c r="N93" s="132"/>
      <c r="O93" s="73"/>
      <c r="P93" s="73"/>
      <c r="Q93" s="73"/>
      <c r="R93" s="2647" t="s">
        <v>1961</v>
      </c>
      <c r="S93" s="2648"/>
      <c r="T93" s="2648"/>
      <c r="U93" s="2648"/>
      <c r="V93" s="2648"/>
      <c r="W93" s="2649"/>
    </row>
    <row r="94" spans="1:23" ht="30" x14ac:dyDescent="0.25">
      <c r="A94" s="2777"/>
      <c r="B94" s="2631"/>
      <c r="C94" s="2633"/>
      <c r="D94" s="2633"/>
      <c r="E94" s="404"/>
      <c r="F94" s="405"/>
      <c r="G94" s="152" t="s">
        <v>2108</v>
      </c>
      <c r="H94" s="1" t="s">
        <v>2109</v>
      </c>
      <c r="I94" s="1" t="s">
        <v>2110</v>
      </c>
      <c r="J94" s="1">
        <v>0.45</v>
      </c>
      <c r="K94" s="1"/>
      <c r="L94" s="22"/>
      <c r="M94" s="1" t="s">
        <v>2111</v>
      </c>
      <c r="N94" s="1" t="s">
        <v>2112</v>
      </c>
      <c r="O94" s="1">
        <v>0.1</v>
      </c>
      <c r="P94" s="1"/>
      <c r="Q94" s="9"/>
      <c r="R94" s="1"/>
      <c r="S94" s="1"/>
      <c r="T94" s="1"/>
      <c r="U94" s="1"/>
      <c r="V94" s="1"/>
      <c r="W94" s="22"/>
    </row>
    <row r="95" spans="1:23" ht="45" x14ac:dyDescent="0.25">
      <c r="A95" s="402"/>
      <c r="B95" s="403"/>
      <c r="C95" s="404"/>
      <c r="D95" s="404"/>
      <c r="E95" s="404"/>
      <c r="F95" s="405"/>
      <c r="G95" s="448" t="s">
        <v>2113</v>
      </c>
      <c r="H95" s="1" t="s">
        <v>2114</v>
      </c>
      <c r="I95" s="1" t="s">
        <v>2115</v>
      </c>
      <c r="J95" s="1">
        <v>0.16</v>
      </c>
      <c r="K95" s="1"/>
      <c r="L95" s="22"/>
      <c r="M95" s="1" t="s">
        <v>2116</v>
      </c>
      <c r="N95" s="1" t="s">
        <v>2117</v>
      </c>
      <c r="O95" s="1">
        <v>0.48</v>
      </c>
      <c r="P95" s="1"/>
      <c r="Q95" s="9"/>
      <c r="R95" s="144"/>
      <c r="S95" s="1"/>
      <c r="T95" s="1"/>
      <c r="U95" s="1"/>
      <c r="V95" s="1"/>
      <c r="W95" s="22"/>
    </row>
    <row r="96" spans="1:23" ht="51.75" customHeight="1" x14ac:dyDescent="0.25">
      <c r="A96" s="402"/>
      <c r="B96" s="403"/>
      <c r="C96" s="404"/>
      <c r="D96" s="404"/>
      <c r="E96" s="404"/>
      <c r="F96" s="405"/>
      <c r="G96" s="448" t="s">
        <v>2118</v>
      </c>
      <c r="H96" s="1" t="s">
        <v>2114</v>
      </c>
      <c r="I96" s="1" t="s">
        <v>2119</v>
      </c>
      <c r="J96" s="1">
        <v>0.24</v>
      </c>
      <c r="K96" s="1"/>
      <c r="L96" s="22"/>
      <c r="M96" s="1" t="s">
        <v>2116</v>
      </c>
      <c r="N96" s="1" t="s">
        <v>2120</v>
      </c>
      <c r="O96" s="1">
        <v>0.48</v>
      </c>
      <c r="P96" s="1"/>
      <c r="Q96" s="9"/>
      <c r="R96" s="144"/>
      <c r="S96" s="1"/>
      <c r="T96" s="1"/>
      <c r="U96" s="1"/>
      <c r="V96" s="1"/>
      <c r="W96" s="22"/>
    </row>
    <row r="97" spans="1:23" ht="30" x14ac:dyDescent="0.25">
      <c r="A97" s="402"/>
      <c r="B97" s="403"/>
      <c r="C97" s="404"/>
      <c r="D97" s="404"/>
      <c r="E97" s="404"/>
      <c r="F97" s="405"/>
      <c r="G97" s="448" t="s">
        <v>2121</v>
      </c>
      <c r="H97" s="1" t="s">
        <v>2122</v>
      </c>
      <c r="I97" s="1" t="s">
        <v>2123</v>
      </c>
      <c r="J97" s="1">
        <v>0.6</v>
      </c>
      <c r="K97" s="1"/>
      <c r="L97" s="22"/>
      <c r="M97" s="1" t="s">
        <v>2116</v>
      </c>
      <c r="N97" s="1" t="s">
        <v>2124</v>
      </c>
      <c r="O97" s="1">
        <v>0.48</v>
      </c>
      <c r="P97" s="1"/>
      <c r="Q97" s="9"/>
      <c r="R97" s="144"/>
      <c r="S97" s="1"/>
      <c r="T97" s="1"/>
      <c r="U97" s="1"/>
      <c r="V97" s="1"/>
      <c r="W97" s="22"/>
    </row>
    <row r="98" spans="1:23" ht="48.75" customHeight="1" x14ac:dyDescent="0.25">
      <c r="A98" s="402"/>
      <c r="B98" s="403"/>
      <c r="C98" s="404"/>
      <c r="D98" s="404"/>
      <c r="E98" s="404"/>
      <c r="F98" s="405"/>
      <c r="G98" s="308"/>
      <c r="H98" s="303"/>
      <c r="I98" s="303"/>
      <c r="J98" s="303"/>
      <c r="K98" s="1"/>
      <c r="L98" s="22"/>
      <c r="M98" s="1" t="s">
        <v>2199</v>
      </c>
      <c r="N98" s="1" t="s">
        <v>2201</v>
      </c>
      <c r="O98" s="1">
        <v>0.12</v>
      </c>
      <c r="P98" s="1"/>
      <c r="Q98" s="9"/>
      <c r="R98" s="347" t="s">
        <v>2125</v>
      </c>
      <c r="S98" s="347" t="s">
        <v>2126</v>
      </c>
      <c r="T98" s="347" t="s">
        <v>2484</v>
      </c>
      <c r="U98" s="347">
        <v>2.4E-2</v>
      </c>
      <c r="V98" s="347"/>
      <c r="W98" s="355"/>
    </row>
    <row r="99" spans="1:23" x14ac:dyDescent="0.25">
      <c r="A99" s="402"/>
      <c r="B99" s="403"/>
      <c r="C99" s="404"/>
      <c r="D99" s="404"/>
      <c r="E99" s="404"/>
      <c r="F99" s="405"/>
      <c r="G99" s="2763" t="s">
        <v>1960</v>
      </c>
      <c r="H99" s="2759"/>
      <c r="I99" s="2759"/>
      <c r="J99" s="2759"/>
      <c r="K99" s="2759"/>
      <c r="L99" s="2759"/>
      <c r="M99" s="1"/>
      <c r="N99" s="1"/>
      <c r="O99" s="1"/>
      <c r="P99" s="1"/>
      <c r="Q99" s="9"/>
      <c r="R99" s="2650"/>
      <c r="S99" s="2650"/>
      <c r="T99" s="2650"/>
      <c r="U99" s="2650"/>
      <c r="V99" s="2650"/>
      <c r="W99" s="2650"/>
    </row>
    <row r="100" spans="1:23" ht="45" x14ac:dyDescent="0.25">
      <c r="A100" s="402"/>
      <c r="B100" s="403"/>
      <c r="C100" s="404"/>
      <c r="D100" s="404"/>
      <c r="E100" s="404"/>
      <c r="F100" s="405"/>
      <c r="G100" s="152" t="s">
        <v>2127</v>
      </c>
      <c r="H100" s="1" t="s">
        <v>1410</v>
      </c>
      <c r="I100" s="1" t="s">
        <v>1411</v>
      </c>
      <c r="J100" s="1">
        <v>2</v>
      </c>
      <c r="K100" s="22"/>
      <c r="L100" s="22"/>
      <c r="M100" s="1"/>
      <c r="N100" s="1"/>
      <c r="O100" s="1"/>
      <c r="P100" s="1"/>
      <c r="Q100" s="9"/>
      <c r="R100" s="22"/>
      <c r="S100" s="22"/>
      <c r="T100" s="22"/>
      <c r="U100" s="22"/>
      <c r="V100" s="22"/>
      <c r="W100" s="22"/>
    </row>
    <row r="101" spans="1:23" ht="45" customHeight="1" x14ac:dyDescent="0.25">
      <c r="A101" s="402"/>
      <c r="B101" s="403"/>
      <c r="C101" s="404"/>
      <c r="D101" s="404"/>
      <c r="E101" s="404"/>
      <c r="F101" s="405"/>
      <c r="G101" s="152" t="s">
        <v>2128</v>
      </c>
      <c r="H101" s="1" t="s">
        <v>2129</v>
      </c>
      <c r="I101" s="1" t="s">
        <v>2130</v>
      </c>
      <c r="J101" s="1">
        <v>0.15</v>
      </c>
      <c r="K101" s="1"/>
      <c r="L101" s="22"/>
      <c r="M101" s="1" t="s">
        <v>1864</v>
      </c>
      <c r="N101" s="1" t="s">
        <v>2131</v>
      </c>
      <c r="O101" s="1">
        <v>0.89500000000000002</v>
      </c>
      <c r="P101" s="1"/>
      <c r="Q101" s="9"/>
      <c r="R101" s="22"/>
      <c r="S101" s="22"/>
      <c r="T101" s="22"/>
      <c r="U101" s="22"/>
      <c r="V101" s="22"/>
      <c r="W101" s="22"/>
    </row>
    <row r="102" spans="1:23" ht="16.5" customHeight="1" x14ac:dyDescent="0.25">
      <c r="A102" s="402"/>
      <c r="B102" s="403"/>
      <c r="C102" s="404"/>
      <c r="D102" s="404"/>
      <c r="E102" s="404"/>
      <c r="F102" s="405"/>
      <c r="G102" s="2763" t="s">
        <v>1959</v>
      </c>
      <c r="H102" s="2759"/>
      <c r="I102" s="2759"/>
      <c r="J102" s="2759"/>
      <c r="K102" s="2759"/>
      <c r="L102" s="2759"/>
      <c r="M102" s="1" t="s">
        <v>2128</v>
      </c>
      <c r="N102" s="1" t="s">
        <v>2129</v>
      </c>
      <c r="O102" s="1">
        <v>0.25</v>
      </c>
      <c r="P102" s="1"/>
      <c r="Q102" s="9"/>
      <c r="R102" s="2650"/>
      <c r="S102" s="2650"/>
      <c r="T102" s="2650"/>
      <c r="U102" s="2650"/>
      <c r="V102" s="2650"/>
      <c r="W102" s="2650"/>
    </row>
    <row r="103" spans="1:23" ht="61.5" customHeight="1" x14ac:dyDescent="0.25">
      <c r="A103" s="402"/>
      <c r="B103" s="403"/>
      <c r="C103" s="404"/>
      <c r="D103" s="404"/>
      <c r="E103" s="404"/>
      <c r="F103" s="405"/>
      <c r="G103" s="152" t="s">
        <v>2132</v>
      </c>
      <c r="H103" s="1" t="s">
        <v>805</v>
      </c>
      <c r="I103" s="1" t="s">
        <v>806</v>
      </c>
      <c r="J103" s="1">
        <v>0.5</v>
      </c>
      <c r="K103" s="1"/>
      <c r="L103" s="22"/>
      <c r="M103" s="142" t="s">
        <v>2526</v>
      </c>
      <c r="N103" s="142" t="s">
        <v>2527</v>
      </c>
      <c r="O103" s="143">
        <v>0.02</v>
      </c>
      <c r="P103" s="1"/>
      <c r="Q103" s="1"/>
      <c r="R103" s="22"/>
      <c r="S103" s="22"/>
      <c r="T103" s="22"/>
      <c r="U103" s="22"/>
      <c r="V103" s="22"/>
      <c r="W103" s="22"/>
    </row>
    <row r="104" spans="1:23" ht="21.75" customHeight="1" x14ac:dyDescent="0.25">
      <c r="A104" s="578"/>
      <c r="B104" s="579"/>
      <c r="C104" s="580"/>
      <c r="D104" s="580"/>
      <c r="E104" s="580"/>
      <c r="F104" s="577"/>
      <c r="G104" s="2763" t="s">
        <v>2032</v>
      </c>
      <c r="H104" s="2759"/>
      <c r="I104" s="2759"/>
      <c r="J104" s="2759"/>
      <c r="K104" s="2759"/>
      <c r="L104" s="2759"/>
      <c r="M104" s="1" t="s">
        <v>2511</v>
      </c>
      <c r="N104" s="1" t="s">
        <v>2589</v>
      </c>
      <c r="O104" s="151">
        <f>0.0195-0.0045</f>
        <v>1.4999999999999999E-2</v>
      </c>
      <c r="P104" s="24"/>
      <c r="Q104" s="24"/>
      <c r="R104" s="22"/>
      <c r="S104" s="22"/>
      <c r="T104" s="22"/>
      <c r="U104" s="62"/>
      <c r="V104" s="62"/>
      <c r="W104" s="62"/>
    </row>
    <row r="105" spans="1:23" ht="97.5" customHeight="1" x14ac:dyDescent="0.25">
      <c r="A105" s="402"/>
      <c r="B105" s="403"/>
      <c r="C105" s="404"/>
      <c r="D105" s="404"/>
      <c r="E105" s="404"/>
      <c r="F105" s="405"/>
      <c r="G105" s="267" t="s">
        <v>2343</v>
      </c>
      <c r="H105" s="142" t="s">
        <v>2379</v>
      </c>
      <c r="I105" s="143" t="s">
        <v>2378</v>
      </c>
      <c r="J105" s="24">
        <v>8.6999999999999994E-2</v>
      </c>
      <c r="K105" s="24"/>
      <c r="L105" s="62"/>
      <c r="M105" s="142" t="s">
        <v>2634</v>
      </c>
      <c r="N105" s="142" t="s">
        <v>2635</v>
      </c>
      <c r="O105" s="143">
        <v>0.11</v>
      </c>
      <c r="P105" s="24"/>
      <c r="Q105" s="24"/>
      <c r="R105" s="142"/>
      <c r="S105" s="142"/>
      <c r="T105" s="142"/>
      <c r="U105" s="62"/>
      <c r="V105" s="62"/>
      <c r="W105" s="62"/>
    </row>
    <row r="106" spans="1:23" ht="97.5" customHeight="1" x14ac:dyDescent="0.25">
      <c r="A106" s="402"/>
      <c r="B106" s="403"/>
      <c r="C106" s="404"/>
      <c r="D106" s="404"/>
      <c r="E106" s="404"/>
      <c r="F106" s="405"/>
      <c r="G106" s="267" t="s">
        <v>2343</v>
      </c>
      <c r="H106" s="142" t="s">
        <v>2380</v>
      </c>
      <c r="I106" s="143" t="s">
        <v>2381</v>
      </c>
      <c r="J106" s="1">
        <v>8.6999999999999994E-2</v>
      </c>
      <c r="K106" s="24"/>
      <c r="L106" s="62"/>
      <c r="M106" s="1" t="s">
        <v>2132</v>
      </c>
      <c r="N106" s="1" t="s">
        <v>2885</v>
      </c>
      <c r="O106" s="8">
        <v>0.70599999999999996</v>
      </c>
      <c r="P106" s="1"/>
      <c r="Q106" s="1"/>
      <c r="R106" s="142"/>
      <c r="S106" s="142"/>
      <c r="T106" s="142"/>
      <c r="U106" s="22"/>
      <c r="V106" s="62"/>
      <c r="W106" s="62"/>
    </row>
    <row r="107" spans="1:23" ht="16.5" customHeight="1" x14ac:dyDescent="0.25">
      <c r="A107" s="719"/>
      <c r="B107" s="720"/>
      <c r="C107" s="721"/>
      <c r="D107" s="721"/>
      <c r="E107" s="721"/>
      <c r="F107" s="718"/>
      <c r="G107" s="2763" t="s">
        <v>2477</v>
      </c>
      <c r="H107" s="2759"/>
      <c r="I107" s="2759"/>
      <c r="J107" s="2759"/>
      <c r="K107" s="2759"/>
      <c r="L107" s="2759"/>
      <c r="M107" s="1696" t="s">
        <v>16993</v>
      </c>
      <c r="N107" s="1732" t="s">
        <v>16994</v>
      </c>
      <c r="O107" s="8">
        <f>0.06-0.015</f>
        <v>4.4999999999999998E-2</v>
      </c>
      <c r="P107" s="1"/>
      <c r="Q107" s="1"/>
      <c r="R107" s="142"/>
      <c r="S107" s="142"/>
      <c r="T107" s="142"/>
      <c r="U107" s="22"/>
      <c r="V107" s="22"/>
      <c r="W107" s="22"/>
    </row>
    <row r="108" spans="1:23" ht="38.25" customHeight="1" x14ac:dyDescent="0.25">
      <c r="A108" s="719"/>
      <c r="B108" s="720"/>
      <c r="C108" s="721"/>
      <c r="D108" s="721"/>
      <c r="E108" s="721"/>
      <c r="F108" s="718"/>
      <c r="G108" s="1" t="s">
        <v>2704</v>
      </c>
      <c r="H108" s="1" t="s">
        <v>2705</v>
      </c>
      <c r="I108" s="180" t="s">
        <v>2738</v>
      </c>
      <c r="J108" s="8">
        <v>0.06</v>
      </c>
      <c r="K108" s="24"/>
      <c r="L108" s="62"/>
      <c r="M108" s="1"/>
      <c r="N108" s="1"/>
      <c r="O108" s="8"/>
      <c r="P108" s="1"/>
      <c r="Q108" s="1"/>
      <c r="R108" s="142"/>
      <c r="S108" s="142"/>
      <c r="T108" s="142"/>
      <c r="U108" s="22"/>
      <c r="V108" s="22"/>
      <c r="W108" s="22"/>
    </row>
    <row r="109" spans="1:23" ht="18" customHeight="1" x14ac:dyDescent="0.25">
      <c r="A109" s="1173"/>
      <c r="B109" s="1174"/>
      <c r="C109" s="1176"/>
      <c r="D109" s="1176"/>
      <c r="E109" s="1176"/>
      <c r="F109" s="1175"/>
      <c r="G109" s="2763" t="s">
        <v>3020</v>
      </c>
      <c r="H109" s="2759"/>
      <c r="I109" s="2759"/>
      <c r="J109" s="2759"/>
      <c r="K109" s="2759"/>
      <c r="L109" s="2759"/>
      <c r="M109" s="19"/>
      <c r="N109" s="20"/>
      <c r="O109" s="92"/>
      <c r="P109" s="24"/>
      <c r="Q109" s="24"/>
      <c r="R109" s="147"/>
      <c r="S109" s="365"/>
      <c r="T109" s="176"/>
      <c r="U109" s="62"/>
      <c r="V109" s="62"/>
      <c r="W109" s="62"/>
    </row>
    <row r="110" spans="1:23" ht="38.25" customHeight="1" x14ac:dyDescent="0.25">
      <c r="A110" s="1173"/>
      <c r="B110" s="1174"/>
      <c r="C110" s="1176"/>
      <c r="D110" s="1176"/>
      <c r="E110" s="1176"/>
      <c r="F110" s="1175"/>
      <c r="G110" s="2624"/>
      <c r="H110" s="2599"/>
      <c r="I110" s="2600"/>
      <c r="J110" s="75"/>
      <c r="K110" s="62"/>
      <c r="L110" s="62"/>
      <c r="M110" s="19"/>
      <c r="N110" s="20"/>
      <c r="O110" s="92"/>
      <c r="P110" s="24"/>
      <c r="Q110" s="24"/>
      <c r="R110" s="147"/>
      <c r="S110" s="365"/>
      <c r="T110" s="176"/>
      <c r="U110" s="62"/>
      <c r="V110" s="62"/>
      <c r="W110" s="62"/>
    </row>
    <row r="111" spans="1:23" ht="38.25" customHeight="1" x14ac:dyDescent="0.25">
      <c r="A111" s="1592"/>
      <c r="B111" s="1598"/>
      <c r="C111" s="1601"/>
      <c r="D111" s="1601"/>
      <c r="E111" s="1601"/>
      <c r="F111" s="1599"/>
      <c r="G111" s="2763" t="s">
        <v>3447</v>
      </c>
      <c r="H111" s="2759"/>
      <c r="I111" s="2759"/>
      <c r="J111" s="2759"/>
      <c r="K111" s="2759"/>
      <c r="L111" s="2759"/>
      <c r="M111" s="1591"/>
      <c r="N111" s="1590"/>
      <c r="O111" s="92"/>
      <c r="P111" s="1600"/>
      <c r="Q111" s="1600"/>
      <c r="R111" s="1610"/>
      <c r="S111" s="1611"/>
      <c r="T111" s="1612"/>
      <c r="U111" s="62"/>
      <c r="V111" s="62"/>
      <c r="W111" s="62"/>
    </row>
    <row r="112" spans="1:23" ht="38.25" customHeight="1" x14ac:dyDescent="0.25">
      <c r="A112" s="1592"/>
      <c r="B112" s="1598"/>
      <c r="C112" s="1601"/>
      <c r="D112" s="1601"/>
      <c r="E112" s="1601"/>
      <c r="F112" s="1599"/>
      <c r="G112" s="2679" t="s">
        <v>3401</v>
      </c>
      <c r="H112" s="2680"/>
      <c r="I112" s="2681"/>
      <c r="J112" s="1197">
        <f>0.444*0.9</f>
        <v>0.39960000000000001</v>
      </c>
      <c r="K112" s="1197"/>
      <c r="L112" s="1197"/>
      <c r="M112" s="1591"/>
      <c r="N112" s="1590"/>
      <c r="O112" s="92"/>
      <c r="P112" s="1600"/>
      <c r="Q112" s="1600"/>
      <c r="R112" s="1610"/>
      <c r="S112" s="1611"/>
      <c r="T112" s="1612"/>
      <c r="U112" s="62"/>
      <c r="V112" s="62"/>
      <c r="W112" s="62"/>
    </row>
    <row r="113" spans="1:23" ht="38.25" customHeight="1" x14ac:dyDescent="0.25">
      <c r="A113" s="1756"/>
      <c r="B113" s="1741"/>
      <c r="C113" s="1742"/>
      <c r="D113" s="1742"/>
      <c r="E113" s="1742"/>
      <c r="F113" s="1743"/>
      <c r="G113" s="1911" t="s">
        <v>16774</v>
      </c>
      <c r="H113" s="1911" t="s">
        <v>16775</v>
      </c>
      <c r="I113" s="1921" t="s">
        <v>16873</v>
      </c>
      <c r="J113" s="1942">
        <f>0.151*0.9</f>
        <v>0.13589999999999999</v>
      </c>
      <c r="K113" s="1921"/>
      <c r="L113" s="1921"/>
      <c r="M113" s="1735"/>
      <c r="N113" s="1737"/>
      <c r="O113" s="1656"/>
      <c r="P113" s="1734"/>
      <c r="Q113" s="1734"/>
      <c r="R113" s="1761"/>
      <c r="S113" s="1759"/>
      <c r="T113" s="1760"/>
      <c r="U113" s="62"/>
      <c r="V113" s="62"/>
      <c r="W113" s="62"/>
    </row>
    <row r="114" spans="1:23" ht="38.25" customHeight="1" x14ac:dyDescent="0.25">
      <c r="A114" s="1935"/>
      <c r="B114" s="1919"/>
      <c r="C114" s="1920"/>
      <c r="D114" s="1920"/>
      <c r="E114" s="1920"/>
      <c r="F114" s="1923"/>
      <c r="G114" s="1911" t="s">
        <v>17036</v>
      </c>
      <c r="H114" s="1911" t="s">
        <v>17037</v>
      </c>
      <c r="I114" s="1921" t="s">
        <v>17038</v>
      </c>
      <c r="J114" s="1942">
        <f>0.03*0.9</f>
        <v>2.7E-2</v>
      </c>
      <c r="K114" s="1921"/>
      <c r="L114" s="1921"/>
      <c r="M114" s="1915"/>
      <c r="N114" s="1914"/>
      <c r="O114" s="1656"/>
      <c r="P114" s="1916"/>
      <c r="Q114" s="1916"/>
      <c r="R114" s="1938"/>
      <c r="S114" s="1939"/>
      <c r="T114" s="1940"/>
      <c r="U114" s="62"/>
      <c r="V114" s="62"/>
      <c r="W114" s="62"/>
    </row>
    <row r="115" spans="1:23" ht="38.25" customHeight="1" x14ac:dyDescent="0.25">
      <c r="A115" s="2159"/>
      <c r="B115" s="2142"/>
      <c r="C115" s="2143"/>
      <c r="D115" s="2143"/>
      <c r="E115" s="2143"/>
      <c r="F115" s="2144"/>
      <c r="G115" s="2763" t="s">
        <v>17005</v>
      </c>
      <c r="H115" s="2759"/>
      <c r="I115" s="2759"/>
      <c r="J115" s="2759"/>
      <c r="K115" s="2759"/>
      <c r="L115" s="2759"/>
      <c r="M115" s="2136"/>
      <c r="N115" s="2137"/>
      <c r="O115" s="1656"/>
      <c r="P115" s="2141"/>
      <c r="Q115" s="2141"/>
      <c r="R115" s="2160"/>
      <c r="S115" s="2161"/>
      <c r="T115" s="2162"/>
      <c r="U115" s="62"/>
      <c r="V115" s="62"/>
      <c r="W115" s="62"/>
    </row>
    <row r="116" spans="1:23" ht="38.25" customHeight="1" x14ac:dyDescent="0.25">
      <c r="A116" s="2159"/>
      <c r="B116" s="2142"/>
      <c r="C116" s="2143"/>
      <c r="D116" s="2143"/>
      <c r="E116" s="2143"/>
      <c r="F116" s="2144"/>
      <c r="G116" s="2138" t="s">
        <v>2704</v>
      </c>
      <c r="H116" s="2138" t="s">
        <v>19969</v>
      </c>
      <c r="I116" s="2155" t="s">
        <v>19970</v>
      </c>
      <c r="J116" s="1656">
        <f>0.06</f>
        <v>0.06</v>
      </c>
      <c r="K116" s="62"/>
      <c r="L116" s="62"/>
      <c r="M116" s="2136"/>
      <c r="N116" s="2137"/>
      <c r="O116" s="1656"/>
      <c r="P116" s="2141"/>
      <c r="Q116" s="2141"/>
      <c r="R116" s="2160"/>
      <c r="S116" s="2161"/>
      <c r="T116" s="2162"/>
      <c r="U116" s="62"/>
      <c r="V116" s="62"/>
      <c r="W116" s="62"/>
    </row>
    <row r="117" spans="1:23" ht="38.25" customHeight="1" x14ac:dyDescent="0.25">
      <c r="A117" s="2236"/>
      <c r="B117" s="2214"/>
      <c r="C117" s="2215"/>
      <c r="D117" s="2215"/>
      <c r="E117" s="2215"/>
      <c r="F117" s="2219"/>
      <c r="G117" s="2679" t="s">
        <v>3401</v>
      </c>
      <c r="H117" s="2680"/>
      <c r="I117" s="2681"/>
      <c r="J117" s="1197">
        <f>0.313*0.9</f>
        <v>0.28170000000000001</v>
      </c>
      <c r="K117" s="1197"/>
      <c r="L117" s="1197"/>
      <c r="M117" s="2198"/>
      <c r="N117" s="2199"/>
      <c r="O117" s="1656"/>
      <c r="P117" s="2210"/>
      <c r="Q117" s="2210"/>
      <c r="R117" s="2242"/>
      <c r="S117" s="2243"/>
      <c r="T117" s="2244"/>
      <c r="U117" s="62"/>
      <c r="V117" s="62"/>
      <c r="W117" s="62"/>
    </row>
    <row r="118" spans="1:23" ht="38.25" customHeight="1" x14ac:dyDescent="0.25">
      <c r="A118" s="2331"/>
      <c r="B118" s="2316"/>
      <c r="C118" s="2317"/>
      <c r="D118" s="2317"/>
      <c r="E118" s="2317"/>
      <c r="F118" s="2320"/>
      <c r="G118" s="2328" t="s">
        <v>20259</v>
      </c>
      <c r="H118" s="2328" t="s">
        <v>20260</v>
      </c>
      <c r="I118" s="2329" t="s">
        <v>20261</v>
      </c>
      <c r="J118" s="62">
        <f>0.08*0.75</f>
        <v>0.06</v>
      </c>
      <c r="K118" s="62"/>
      <c r="L118" s="62"/>
      <c r="M118" s="2308"/>
      <c r="N118" s="2309"/>
      <c r="O118" s="1656"/>
      <c r="P118" s="2315"/>
      <c r="Q118" s="2315"/>
      <c r="R118" s="2335"/>
      <c r="S118" s="2336"/>
      <c r="T118" s="2337"/>
      <c r="U118" s="62"/>
      <c r="V118" s="62"/>
      <c r="W118" s="62"/>
    </row>
    <row r="119" spans="1:23" ht="38.25" customHeight="1" x14ac:dyDescent="0.25">
      <c r="A119" s="2331"/>
      <c r="B119" s="2316"/>
      <c r="C119" s="2317"/>
      <c r="D119" s="2317"/>
      <c r="E119" s="2317"/>
      <c r="F119" s="2320"/>
      <c r="G119" s="2328" t="s">
        <v>20273</v>
      </c>
      <c r="H119" s="2328" t="s">
        <v>20274</v>
      </c>
      <c r="I119" s="2329" t="s">
        <v>20275</v>
      </c>
      <c r="J119" s="62">
        <f>0.25*0.75</f>
        <v>0.1875</v>
      </c>
      <c r="K119" s="62"/>
      <c r="L119" s="62"/>
      <c r="M119" s="2308"/>
      <c r="N119" s="2309"/>
      <c r="O119" s="1656"/>
      <c r="P119" s="2315"/>
      <c r="Q119" s="2315"/>
      <c r="R119" s="2335"/>
      <c r="S119" s="2336"/>
      <c r="T119" s="2337"/>
      <c r="U119" s="62"/>
      <c r="V119" s="62"/>
      <c r="W119" s="62"/>
    </row>
    <row r="120" spans="1:23" ht="15.75" customHeight="1" thickBot="1" x14ac:dyDescent="0.3">
      <c r="A120" s="406"/>
      <c r="B120" s="395"/>
      <c r="C120" s="396"/>
      <c r="D120" s="396"/>
      <c r="E120" s="396"/>
      <c r="F120" s="397"/>
      <c r="G120" s="2578" t="s">
        <v>1833</v>
      </c>
      <c r="H120" s="2578"/>
      <c r="I120" s="2579"/>
      <c r="J120" s="13">
        <f>SUM(J110:J119)</f>
        <v>1.1517000000000002</v>
      </c>
      <c r="K120" s="14">
        <v>0.93</v>
      </c>
      <c r="L120" s="13">
        <f>J120/K120</f>
        <v>1.2383870967741937</v>
      </c>
      <c r="M120" s="2577" t="s">
        <v>1834</v>
      </c>
      <c r="N120" s="2579"/>
      <c r="O120" s="13">
        <f>SUM(O94:O107)</f>
        <v>3.7010000000000001</v>
      </c>
      <c r="P120" s="14">
        <v>0.92</v>
      </c>
      <c r="Q120" s="13">
        <f>O120/P120</f>
        <v>4.0228260869565213</v>
      </c>
      <c r="R120" s="2577" t="s">
        <v>1833</v>
      </c>
      <c r="S120" s="2578"/>
      <c r="T120" s="2579"/>
      <c r="U120" s="13">
        <f>SUM(U98)</f>
        <v>2.4E-2</v>
      </c>
      <c r="V120" s="14">
        <v>0.92</v>
      </c>
      <c r="W120" s="13">
        <f>U120/V120</f>
        <v>2.6086956521739129E-2</v>
      </c>
    </row>
    <row r="121" spans="1:23" x14ac:dyDescent="0.25">
      <c r="A121" s="2776" t="str">
        <f>Итоговая!C262</f>
        <v xml:space="preserve">ПС 35/10 кВ П.Городище </v>
      </c>
      <c r="B121" s="2630">
        <f>Итоговая!D262</f>
        <v>5.6</v>
      </c>
      <c r="C121" s="2632" t="str">
        <f>Итоговая!E262</f>
        <v>+</v>
      </c>
      <c r="D121" s="2632">
        <f>Итоговая!F262</f>
        <v>5.6</v>
      </c>
      <c r="E121" s="400"/>
      <c r="F121" s="401"/>
      <c r="G121" s="2648" t="s">
        <v>1959</v>
      </c>
      <c r="H121" s="2648"/>
      <c r="I121" s="2648"/>
      <c r="J121" s="2648"/>
      <c r="K121" s="2648"/>
      <c r="L121" s="2649"/>
      <c r="M121" s="2648" t="s">
        <v>3405</v>
      </c>
      <c r="N121" s="2648"/>
      <c r="O121" s="2648"/>
      <c r="P121" s="2648"/>
      <c r="Q121" s="73"/>
      <c r="R121" s="2644"/>
      <c r="S121" s="2645"/>
      <c r="T121" s="2645"/>
      <c r="U121" s="2645"/>
      <c r="V121" s="2645"/>
      <c r="W121" s="2646"/>
    </row>
    <row r="122" spans="1:23" ht="122.25" customHeight="1" x14ac:dyDescent="0.25">
      <c r="A122" s="2777"/>
      <c r="B122" s="2631"/>
      <c r="C122" s="2633"/>
      <c r="D122" s="2633"/>
      <c r="E122" s="404"/>
      <c r="F122" s="405"/>
      <c r="G122" s="41" t="s">
        <v>807</v>
      </c>
      <c r="H122" s="128" t="s">
        <v>808</v>
      </c>
      <c r="I122" s="128" t="s">
        <v>809</v>
      </c>
      <c r="J122" s="128">
        <v>0.05</v>
      </c>
      <c r="K122" s="128"/>
      <c r="L122" s="69"/>
      <c r="M122" s="1332" t="s">
        <v>2511</v>
      </c>
      <c r="N122" s="1332" t="s">
        <v>3548</v>
      </c>
      <c r="O122" s="1331">
        <v>0</v>
      </c>
      <c r="P122" s="1"/>
      <c r="Q122" s="1"/>
      <c r="R122" s="22"/>
      <c r="S122" s="22"/>
      <c r="T122" s="22"/>
      <c r="U122" s="22"/>
      <c r="V122" s="22"/>
      <c r="W122" s="22"/>
    </row>
    <row r="123" spans="1:23" ht="24.75" customHeight="1" x14ac:dyDescent="0.25">
      <c r="A123" s="404"/>
      <c r="B123" s="403"/>
      <c r="C123" s="404"/>
      <c r="D123" s="404"/>
      <c r="E123" s="404"/>
      <c r="F123" s="405"/>
      <c r="G123" s="2759" t="s">
        <v>2032</v>
      </c>
      <c r="H123" s="2759"/>
      <c r="I123" s="2759"/>
      <c r="J123" s="2759"/>
      <c r="K123" s="2759"/>
      <c r="L123" s="2759"/>
      <c r="M123" s="1495"/>
      <c r="N123" s="1495"/>
      <c r="O123" s="1495"/>
      <c r="P123" s="1"/>
      <c r="Q123" s="1"/>
      <c r="R123" s="2650"/>
      <c r="S123" s="2650"/>
      <c r="T123" s="2650"/>
      <c r="U123" s="2650"/>
      <c r="V123" s="2650"/>
      <c r="W123" s="2650"/>
    </row>
    <row r="124" spans="1:23" ht="42.75" customHeight="1" x14ac:dyDescent="0.25">
      <c r="A124" s="404"/>
      <c r="B124" s="403"/>
      <c r="C124" s="404"/>
      <c r="D124" s="404"/>
      <c r="E124" s="404"/>
      <c r="F124" s="405"/>
      <c r="G124" s="104" t="s">
        <v>2027</v>
      </c>
      <c r="H124" s="9" t="s">
        <v>2028</v>
      </c>
      <c r="I124" s="9" t="s">
        <v>2237</v>
      </c>
      <c r="J124" s="1">
        <v>0.05</v>
      </c>
      <c r="K124" s="1"/>
      <c r="L124" s="22"/>
      <c r="M124" s="1"/>
      <c r="N124" s="1"/>
      <c r="O124" s="1"/>
      <c r="P124" s="1"/>
      <c r="Q124" s="1"/>
      <c r="R124" s="22"/>
      <c r="S124" s="22"/>
      <c r="T124" s="22"/>
      <c r="U124" s="22"/>
      <c r="V124" s="22"/>
      <c r="W124" s="22"/>
    </row>
    <row r="125" spans="1:23" ht="51" customHeight="1" x14ac:dyDescent="0.25">
      <c r="A125" s="404"/>
      <c r="B125" s="403"/>
      <c r="C125" s="404"/>
      <c r="D125" s="404"/>
      <c r="E125" s="404"/>
      <c r="F125" s="405"/>
      <c r="G125" s="152" t="s">
        <v>2411</v>
      </c>
      <c r="H125" s="1" t="s">
        <v>2412</v>
      </c>
      <c r="I125" s="41" t="s">
        <v>2458</v>
      </c>
      <c r="J125" s="24">
        <v>0.2</v>
      </c>
      <c r="K125" s="24"/>
      <c r="L125" s="62"/>
      <c r="M125" s="1"/>
      <c r="N125" s="1"/>
      <c r="O125" s="1"/>
      <c r="P125" s="1"/>
      <c r="Q125" s="1"/>
      <c r="R125" s="22"/>
      <c r="S125" s="22"/>
      <c r="T125" s="22"/>
      <c r="U125" s="22"/>
      <c r="V125" s="22"/>
      <c r="W125" s="22"/>
    </row>
    <row r="126" spans="1:23" ht="19.5" customHeight="1" x14ac:dyDescent="0.25">
      <c r="A126" s="1018"/>
      <c r="B126" s="1014"/>
      <c r="C126" s="1018"/>
      <c r="D126" s="1018"/>
      <c r="E126" s="1018"/>
      <c r="F126" s="1015"/>
      <c r="G126" s="2759" t="s">
        <v>3020</v>
      </c>
      <c r="H126" s="2759"/>
      <c r="I126" s="2759"/>
      <c r="J126" s="2759"/>
      <c r="K126" s="2759"/>
      <c r="L126" s="2759"/>
      <c r="M126" s="1"/>
      <c r="N126" s="1"/>
      <c r="O126" s="1"/>
      <c r="P126" s="1"/>
      <c r="Q126" s="1"/>
      <c r="R126" s="22"/>
      <c r="S126" s="22"/>
      <c r="T126" s="22"/>
      <c r="U126" s="22"/>
      <c r="V126" s="22"/>
      <c r="W126" s="22"/>
    </row>
    <row r="127" spans="1:23" ht="51" customHeight="1" x14ac:dyDescent="0.25">
      <c r="A127" s="1018"/>
      <c r="B127" s="1014"/>
      <c r="C127" s="1018"/>
      <c r="D127" s="1018"/>
      <c r="E127" s="1018"/>
      <c r="F127" s="1015"/>
      <c r="G127" s="1" t="s">
        <v>2511</v>
      </c>
      <c r="H127" s="1" t="s">
        <v>2588</v>
      </c>
      <c r="I127" s="41" t="s">
        <v>3084</v>
      </c>
      <c r="J127" s="1">
        <f>0.021-0.0124</f>
        <v>8.6000000000000017E-3</v>
      </c>
      <c r="K127" s="24"/>
      <c r="L127" s="62"/>
      <c r="M127" s="1"/>
      <c r="N127" s="1"/>
      <c r="O127" s="1"/>
      <c r="P127" s="1"/>
      <c r="Q127" s="1"/>
      <c r="R127" s="22"/>
      <c r="S127" s="22"/>
      <c r="T127" s="22"/>
      <c r="U127" s="22"/>
      <c r="V127" s="22"/>
      <c r="W127" s="22"/>
    </row>
    <row r="128" spans="1:23" ht="51" customHeight="1" x14ac:dyDescent="0.25">
      <c r="A128" s="1107"/>
      <c r="B128" s="1105"/>
      <c r="C128" s="1107"/>
      <c r="D128" s="1107"/>
      <c r="E128" s="1107"/>
      <c r="F128" s="1106"/>
      <c r="G128" s="1" t="s">
        <v>3247</v>
      </c>
      <c r="H128" s="1" t="s">
        <v>3248</v>
      </c>
      <c r="I128" s="41" t="s">
        <v>3254</v>
      </c>
      <c r="J128" s="8">
        <f>0.022*0.9</f>
        <v>1.9799999999999998E-2</v>
      </c>
      <c r="K128" s="24"/>
      <c r="L128" s="62"/>
      <c r="M128" s="19"/>
      <c r="N128" s="20"/>
      <c r="O128" s="24"/>
      <c r="P128" s="24"/>
      <c r="Q128" s="24"/>
      <c r="R128" s="129"/>
      <c r="S128" s="652"/>
      <c r="T128" s="130"/>
      <c r="U128" s="62"/>
      <c r="V128" s="62"/>
      <c r="W128" s="62"/>
    </row>
    <row r="129" spans="1:23" ht="51" customHeight="1" x14ac:dyDescent="0.25">
      <c r="A129" s="1187"/>
      <c r="B129" s="1183"/>
      <c r="C129" s="1187"/>
      <c r="D129" s="1187"/>
      <c r="E129" s="1187"/>
      <c r="F129" s="1184"/>
      <c r="G129" s="2770"/>
      <c r="H129" s="2653"/>
      <c r="I129" s="2654"/>
      <c r="J129" s="75"/>
      <c r="K129" s="62"/>
      <c r="L129" s="62"/>
      <c r="M129" s="19"/>
      <c r="N129" s="20"/>
      <c r="O129" s="24"/>
      <c r="P129" s="24"/>
      <c r="Q129" s="24"/>
      <c r="R129" s="129"/>
      <c r="S129" s="652"/>
      <c r="T129" s="130"/>
      <c r="U129" s="62"/>
      <c r="V129" s="62"/>
      <c r="W129" s="62"/>
    </row>
    <row r="130" spans="1:23" ht="51" customHeight="1" x14ac:dyDescent="0.25">
      <c r="A130" s="1267"/>
      <c r="B130" s="1263"/>
      <c r="C130" s="1267"/>
      <c r="D130" s="1267"/>
      <c r="E130" s="1267"/>
      <c r="F130" s="1264"/>
      <c r="G130" s="2759" t="s">
        <v>3447</v>
      </c>
      <c r="H130" s="2759"/>
      <c r="I130" s="2759"/>
      <c r="J130" s="2759"/>
      <c r="K130" s="2759"/>
      <c r="L130" s="2759"/>
      <c r="M130" s="1255"/>
      <c r="N130" s="1254"/>
      <c r="O130" s="1265"/>
      <c r="P130" s="1265"/>
      <c r="Q130" s="1265"/>
      <c r="R130" s="129"/>
      <c r="S130" s="652"/>
      <c r="T130" s="130"/>
      <c r="U130" s="62"/>
      <c r="V130" s="62"/>
      <c r="W130" s="62"/>
    </row>
    <row r="131" spans="1:23" ht="51" customHeight="1" x14ac:dyDescent="0.25">
      <c r="A131" s="1267"/>
      <c r="B131" s="1263"/>
      <c r="C131" s="1267"/>
      <c r="D131" s="1267"/>
      <c r="E131" s="1267"/>
      <c r="F131" s="1264"/>
      <c r="G131" s="1258" t="s">
        <v>3406</v>
      </c>
      <c r="H131" s="1258" t="s">
        <v>3407</v>
      </c>
      <c r="I131" s="1751" t="s">
        <v>16862</v>
      </c>
      <c r="J131" s="1282">
        <f>0.05*0.9</f>
        <v>4.5000000000000005E-2</v>
      </c>
      <c r="K131" s="1273"/>
      <c r="L131" s="1273"/>
      <c r="M131" s="1255"/>
      <c r="N131" s="1254"/>
      <c r="O131" s="1265"/>
      <c r="P131" s="1265"/>
      <c r="Q131" s="1265"/>
      <c r="R131" s="129"/>
      <c r="S131" s="652"/>
      <c r="T131" s="130"/>
      <c r="U131" s="62"/>
      <c r="V131" s="62"/>
      <c r="W131" s="62"/>
    </row>
    <row r="132" spans="1:23" ht="51" customHeight="1" x14ac:dyDescent="0.25">
      <c r="A132" s="1601"/>
      <c r="B132" s="1598"/>
      <c r="C132" s="1601"/>
      <c r="D132" s="1601"/>
      <c r="E132" s="1601"/>
      <c r="F132" s="1599"/>
      <c r="G132" s="2764" t="s">
        <v>3401</v>
      </c>
      <c r="H132" s="2765"/>
      <c r="I132" s="2766"/>
      <c r="J132" s="1201">
        <f>0.257*0.9</f>
        <v>0.23130000000000001</v>
      </c>
      <c r="K132" s="450"/>
      <c r="L132" s="450"/>
      <c r="M132" s="1591"/>
      <c r="N132" s="1590"/>
      <c r="O132" s="1600"/>
      <c r="P132" s="1600"/>
      <c r="Q132" s="1600"/>
      <c r="R132" s="129"/>
      <c r="S132" s="652"/>
      <c r="T132" s="130"/>
      <c r="U132" s="62"/>
      <c r="V132" s="62"/>
      <c r="W132" s="62"/>
    </row>
    <row r="133" spans="1:23" ht="51" customHeight="1" x14ac:dyDescent="0.25">
      <c r="A133" s="1742"/>
      <c r="B133" s="1741"/>
      <c r="C133" s="1742"/>
      <c r="D133" s="1742"/>
      <c r="E133" s="1742"/>
      <c r="F133" s="1743"/>
      <c r="G133" s="1732" t="s">
        <v>15300</v>
      </c>
      <c r="H133" s="1732" t="s">
        <v>15301</v>
      </c>
      <c r="I133" s="1732" t="s">
        <v>16861</v>
      </c>
      <c r="J133" s="1732">
        <f>(0.183-0.143)*0.9</f>
        <v>3.6000000000000011E-2</v>
      </c>
      <c r="K133" s="1744"/>
      <c r="L133" s="1744"/>
      <c r="M133" s="1735"/>
      <c r="N133" s="1737"/>
      <c r="O133" s="1734"/>
      <c r="P133" s="1734"/>
      <c r="Q133" s="1734"/>
      <c r="R133" s="129"/>
      <c r="S133" s="652"/>
      <c r="T133" s="130"/>
      <c r="U133" s="62"/>
      <c r="V133" s="62"/>
      <c r="W133" s="62"/>
    </row>
    <row r="134" spans="1:23" ht="51" customHeight="1" x14ac:dyDescent="0.25">
      <c r="A134" s="2143"/>
      <c r="B134" s="2142"/>
      <c r="C134" s="2143"/>
      <c r="D134" s="2143"/>
      <c r="E134" s="2143"/>
      <c r="F134" s="2144"/>
      <c r="G134" s="2138" t="s">
        <v>19981</v>
      </c>
      <c r="H134" s="2138" t="s">
        <v>19982</v>
      </c>
      <c r="I134" s="2137" t="s">
        <v>19983</v>
      </c>
      <c r="J134" s="2141">
        <f>(0.05-0.015)*0.9</f>
        <v>3.1500000000000007E-2</v>
      </c>
      <c r="K134" s="62"/>
      <c r="L134" s="62"/>
      <c r="M134" s="2136"/>
      <c r="N134" s="2137"/>
      <c r="O134" s="2141"/>
      <c r="P134" s="2141"/>
      <c r="Q134" s="2141"/>
      <c r="R134" s="2153"/>
      <c r="S134" s="2154"/>
      <c r="T134" s="2155"/>
      <c r="U134" s="62"/>
      <c r="V134" s="62"/>
      <c r="W134" s="62"/>
    </row>
    <row r="135" spans="1:23" ht="51" customHeight="1" x14ac:dyDescent="0.25">
      <c r="A135" s="2215"/>
      <c r="B135" s="2214"/>
      <c r="C135" s="2215"/>
      <c r="D135" s="2215"/>
      <c r="E135" s="2215"/>
      <c r="F135" s="2219"/>
      <c r="G135" s="2759" t="s">
        <v>17005</v>
      </c>
      <c r="H135" s="2759"/>
      <c r="I135" s="2759"/>
      <c r="J135" s="2759"/>
      <c r="K135" s="2759"/>
      <c r="L135" s="2759"/>
      <c r="M135" s="2198"/>
      <c r="N135" s="2199"/>
      <c r="O135" s="2210"/>
      <c r="P135" s="2210"/>
      <c r="Q135" s="2210"/>
      <c r="R135" s="2231"/>
      <c r="S135" s="2232"/>
      <c r="T135" s="2233"/>
      <c r="U135" s="62"/>
      <c r="V135" s="62"/>
      <c r="W135" s="62"/>
    </row>
    <row r="136" spans="1:23" ht="51" customHeight="1" x14ac:dyDescent="0.25">
      <c r="A136" s="2215"/>
      <c r="B136" s="2214"/>
      <c r="C136" s="2215"/>
      <c r="D136" s="2215"/>
      <c r="E136" s="2215"/>
      <c r="F136" s="2219"/>
      <c r="G136" s="2764" t="s">
        <v>3401</v>
      </c>
      <c r="H136" s="2765"/>
      <c r="I136" s="2766"/>
      <c r="J136" s="1201">
        <f>0.296*0.9</f>
        <v>0.26639999999999997</v>
      </c>
      <c r="K136" s="450"/>
      <c r="L136" s="450"/>
      <c r="M136" s="2198"/>
      <c r="N136" s="2199"/>
      <c r="O136" s="2210"/>
      <c r="P136" s="2210"/>
      <c r="Q136" s="2210"/>
      <c r="R136" s="2231"/>
      <c r="S136" s="2232"/>
      <c r="T136" s="2233"/>
      <c r="U136" s="62"/>
      <c r="V136" s="62"/>
      <c r="W136" s="62"/>
    </row>
    <row r="137" spans="1:23" ht="15.75" customHeight="1" thickBot="1" x14ac:dyDescent="0.3">
      <c r="A137" s="396"/>
      <c r="B137" s="395"/>
      <c r="C137" s="396"/>
      <c r="D137" s="396"/>
      <c r="E137" s="396"/>
      <c r="F137" s="397"/>
      <c r="G137" s="2578" t="s">
        <v>1833</v>
      </c>
      <c r="H137" s="2578"/>
      <c r="I137" s="2579"/>
      <c r="J137" s="13">
        <f>SUM(J127:J136)</f>
        <v>0.63860000000000006</v>
      </c>
      <c r="K137" s="14">
        <v>0.92</v>
      </c>
      <c r="L137" s="13">
        <f>J137/K137</f>
        <v>0.69413043478260872</v>
      </c>
      <c r="M137" s="2577" t="s">
        <v>1834</v>
      </c>
      <c r="N137" s="2579"/>
      <c r="O137" s="13">
        <f>SUM(O122:O124)</f>
        <v>0</v>
      </c>
      <c r="P137" s="14">
        <v>0.92</v>
      </c>
      <c r="Q137" s="13">
        <f>O137/P137</f>
        <v>0</v>
      </c>
      <c r="R137" s="2577" t="s">
        <v>1833</v>
      </c>
      <c r="S137" s="2578"/>
      <c r="T137" s="2579"/>
      <c r="U137" s="13">
        <f>SUM(U122:U125)</f>
        <v>0</v>
      </c>
      <c r="V137" s="14">
        <v>0.92</v>
      </c>
      <c r="W137" s="13">
        <f>U137/V137</f>
        <v>0</v>
      </c>
    </row>
    <row r="138" spans="1:23" ht="20.25" customHeight="1" x14ac:dyDescent="0.25">
      <c r="A138" s="402" t="str">
        <f>Итоговая!C263</f>
        <v xml:space="preserve">ПС 35/10 кВ Степурино </v>
      </c>
      <c r="B138" s="403">
        <f>Итоговая!D263</f>
        <v>4</v>
      </c>
      <c r="C138" s="404" t="str">
        <f>Итоговая!E263</f>
        <v>+</v>
      </c>
      <c r="D138" s="404">
        <f>Итоговая!F263</f>
        <v>4</v>
      </c>
      <c r="E138" s="404"/>
      <c r="F138" s="405"/>
      <c r="G138" s="2769" t="s">
        <v>17067</v>
      </c>
      <c r="H138" s="2769"/>
      <c r="I138" s="2769"/>
      <c r="J138" s="2769"/>
      <c r="K138" s="2769"/>
      <c r="L138" s="2769"/>
      <c r="M138" s="4" t="s">
        <v>835</v>
      </c>
      <c r="N138" s="4" t="s">
        <v>836</v>
      </c>
      <c r="O138" s="4">
        <v>0.1</v>
      </c>
      <c r="P138" s="17"/>
      <c r="Q138" s="17"/>
      <c r="R138" s="17"/>
      <c r="S138" s="17"/>
      <c r="T138" s="17"/>
      <c r="U138" s="17"/>
      <c r="V138" s="17"/>
      <c r="W138" s="73"/>
    </row>
    <row r="139" spans="1:23" ht="210" x14ac:dyDescent="0.25">
      <c r="A139" s="402"/>
      <c r="B139" s="403"/>
      <c r="C139" s="404"/>
      <c r="D139" s="404"/>
      <c r="E139" s="404"/>
      <c r="F139" s="405"/>
      <c r="G139" s="1995" t="s">
        <v>1864</v>
      </c>
      <c r="H139" s="1995" t="s">
        <v>15302</v>
      </c>
      <c r="I139" s="315" t="s">
        <v>17068</v>
      </c>
      <c r="J139" s="2008">
        <f>0.1*0.9</f>
        <v>9.0000000000000011E-2</v>
      </c>
      <c r="K139" s="1954"/>
      <c r="L139" s="1954"/>
      <c r="M139" s="42" t="s">
        <v>837</v>
      </c>
      <c r="N139" s="42" t="s">
        <v>838</v>
      </c>
      <c r="O139" s="42">
        <v>1.3</v>
      </c>
      <c r="P139" s="9"/>
      <c r="Q139" s="9"/>
      <c r="R139" s="9"/>
      <c r="S139" s="9"/>
      <c r="T139" s="9"/>
      <c r="U139" s="9"/>
      <c r="V139" s="9"/>
      <c r="W139" s="51"/>
    </row>
    <row r="140" spans="1:23" ht="150" x14ac:dyDescent="0.25">
      <c r="A140" s="402"/>
      <c r="B140" s="403"/>
      <c r="C140" s="404"/>
      <c r="D140" s="404"/>
      <c r="E140" s="404"/>
      <c r="F140" s="405"/>
      <c r="G140" s="1955" t="s">
        <v>19974</v>
      </c>
      <c r="H140" s="1956" t="s">
        <v>19975</v>
      </c>
      <c r="I140" s="1956" t="s">
        <v>19976</v>
      </c>
      <c r="J140" s="1956">
        <f>(0.16-0.015)*0.15</f>
        <v>2.1750000000000002E-2</v>
      </c>
      <c r="K140" s="1956"/>
      <c r="L140" s="1956"/>
      <c r="M140" s="42" t="s">
        <v>837</v>
      </c>
      <c r="N140" s="42" t="s">
        <v>839</v>
      </c>
      <c r="O140" s="42">
        <v>0.3</v>
      </c>
      <c r="P140" s="9"/>
      <c r="Q140" s="9"/>
      <c r="R140" s="9"/>
      <c r="S140" s="9"/>
      <c r="T140" s="9"/>
      <c r="U140" s="9"/>
      <c r="V140" s="9"/>
      <c r="W140" s="51"/>
    </row>
    <row r="141" spans="1:23" x14ac:dyDescent="0.25">
      <c r="A141" s="1492"/>
      <c r="B141" s="1504"/>
      <c r="C141" s="1511"/>
      <c r="D141" s="1511"/>
      <c r="E141" s="1511"/>
      <c r="F141" s="1505"/>
      <c r="G141" s="1503"/>
      <c r="H141" s="1503"/>
      <c r="I141" s="1509"/>
      <c r="J141" s="1507"/>
      <c r="K141" s="1507"/>
      <c r="L141" s="69"/>
      <c r="M141" s="1500"/>
      <c r="N141" s="1502"/>
      <c r="O141" s="1494"/>
      <c r="P141" s="1507"/>
      <c r="Q141" s="1507"/>
      <c r="R141" s="1508"/>
      <c r="S141" s="1503"/>
      <c r="T141" s="1509"/>
      <c r="U141" s="1507"/>
      <c r="V141" s="1507"/>
      <c r="W141" s="69"/>
    </row>
    <row r="142" spans="1:23" ht="15.75" customHeight="1" thickBot="1" x14ac:dyDescent="0.3">
      <c r="A142" s="406"/>
      <c r="B142" s="395"/>
      <c r="C142" s="396"/>
      <c r="D142" s="396"/>
      <c r="E142" s="396"/>
      <c r="F142" s="397"/>
      <c r="G142" s="2578" t="s">
        <v>1833</v>
      </c>
      <c r="H142" s="2578"/>
      <c r="I142" s="2579"/>
      <c r="J142" s="13">
        <f>SUM(J138:J140)</f>
        <v>0.11175000000000002</v>
      </c>
      <c r="K142" s="14">
        <v>0.92</v>
      </c>
      <c r="L142" s="13">
        <f>J142/K142</f>
        <v>0.12146739130434783</v>
      </c>
      <c r="M142" s="2577" t="s">
        <v>1834</v>
      </c>
      <c r="N142" s="2579"/>
      <c r="O142" s="13">
        <f>SUM(O138:O141)</f>
        <v>1.7000000000000002</v>
      </c>
      <c r="P142" s="14">
        <v>0.92</v>
      </c>
      <c r="Q142" s="13">
        <f>O142/P142</f>
        <v>1.847826086956522</v>
      </c>
      <c r="R142" s="2577" t="s">
        <v>1833</v>
      </c>
      <c r="S142" s="2578"/>
      <c r="T142" s="2579"/>
      <c r="U142" s="13">
        <f>SUM(U138:U140)</f>
        <v>0</v>
      </c>
      <c r="V142" s="14">
        <v>0.92</v>
      </c>
      <c r="W142" s="13">
        <f>U142/V142</f>
        <v>0</v>
      </c>
    </row>
    <row r="143" spans="1:23" x14ac:dyDescent="0.25">
      <c r="A143" s="407" t="str">
        <f>Итоговая!C264</f>
        <v xml:space="preserve">ПС 35/10 кВ Максимово </v>
      </c>
      <c r="B143" s="399">
        <f>Итоговая!D264</f>
        <v>2.5</v>
      </c>
      <c r="C143" s="400" t="str">
        <f>Итоговая!E264</f>
        <v>+</v>
      </c>
      <c r="D143" s="400">
        <f>Итоговая!F264</f>
        <v>2.5</v>
      </c>
      <c r="E143" s="400"/>
      <c r="F143" s="401"/>
      <c r="G143" s="43"/>
      <c r="H143" s="17"/>
      <c r="I143" s="17"/>
      <c r="J143" s="17"/>
      <c r="K143" s="17"/>
      <c r="L143" s="73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73"/>
    </row>
    <row r="144" spans="1:23" ht="15.75" customHeight="1" thickBot="1" x14ac:dyDescent="0.3">
      <c r="A144" s="406"/>
      <c r="B144" s="395"/>
      <c r="C144" s="396"/>
      <c r="D144" s="396"/>
      <c r="E144" s="396"/>
      <c r="F144" s="397"/>
      <c r="G144" s="2578" t="s">
        <v>1833</v>
      </c>
      <c r="H144" s="2578"/>
      <c r="I144" s="2579"/>
      <c r="J144" s="13">
        <f>SUM(J143:J143)</f>
        <v>0</v>
      </c>
      <c r="K144" s="14">
        <v>0.92</v>
      </c>
      <c r="L144" s="13">
        <f>J144/K144</f>
        <v>0</v>
      </c>
      <c r="M144" s="2577" t="s">
        <v>1834</v>
      </c>
      <c r="N144" s="2579"/>
      <c r="O144" s="13">
        <f>SUM(O143:O143)</f>
        <v>0</v>
      </c>
      <c r="P144" s="14">
        <v>0.92</v>
      </c>
      <c r="Q144" s="13">
        <f>O144/P144</f>
        <v>0</v>
      </c>
      <c r="R144" s="2577" t="s">
        <v>1833</v>
      </c>
      <c r="S144" s="2578"/>
      <c r="T144" s="2579"/>
      <c r="U144" s="13">
        <f>SUM(U143:U143)</f>
        <v>0</v>
      </c>
      <c r="V144" s="14">
        <v>0.92</v>
      </c>
      <c r="W144" s="13">
        <f>U144/V144</f>
        <v>0</v>
      </c>
    </row>
    <row r="145" spans="1:23" x14ac:dyDescent="0.25">
      <c r="A145" s="407" t="str">
        <f>Итоговая!C265</f>
        <v xml:space="preserve">ПС 35/10 кВ Луковниково </v>
      </c>
      <c r="B145" s="399">
        <f>Итоговая!D265</f>
        <v>4</v>
      </c>
      <c r="C145" s="400" t="str">
        <f>Итоговая!E265</f>
        <v>+</v>
      </c>
      <c r="D145" s="400">
        <f>Итоговая!F265</f>
        <v>2.5</v>
      </c>
      <c r="E145" s="400"/>
      <c r="F145" s="401"/>
      <c r="G145" s="2759" t="s">
        <v>17005</v>
      </c>
      <c r="H145" s="2759"/>
      <c r="I145" s="2759"/>
      <c r="J145" s="2759"/>
      <c r="K145" s="2759"/>
      <c r="L145" s="2759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73"/>
    </row>
    <row r="146" spans="1:23" ht="180" x14ac:dyDescent="0.25">
      <c r="A146" s="1886"/>
      <c r="B146" s="1871"/>
      <c r="C146" s="1872"/>
      <c r="D146" s="1872"/>
      <c r="E146" s="1872"/>
      <c r="F146" s="1876"/>
      <c r="G146" s="1864" t="s">
        <v>17026</v>
      </c>
      <c r="H146" s="1864" t="s">
        <v>17027</v>
      </c>
      <c r="I146" s="1864" t="s">
        <v>17028</v>
      </c>
      <c r="J146" s="1864">
        <f>0.25*0.75</f>
        <v>0.1875</v>
      </c>
      <c r="K146" s="1864"/>
      <c r="L146" s="1875"/>
      <c r="M146" s="1873"/>
      <c r="N146" s="1874"/>
      <c r="O146" s="1866"/>
      <c r="P146" s="1866"/>
      <c r="Q146" s="1866"/>
      <c r="R146" s="1873"/>
      <c r="S146" s="1862"/>
      <c r="T146" s="1874"/>
      <c r="U146" s="1866"/>
      <c r="V146" s="1866"/>
      <c r="W146" s="69"/>
    </row>
    <row r="147" spans="1:23" ht="15.75" customHeight="1" thickBot="1" x14ac:dyDescent="0.3">
      <c r="A147" s="406"/>
      <c r="B147" s="395"/>
      <c r="C147" s="396"/>
      <c r="D147" s="396"/>
      <c r="E147" s="396"/>
      <c r="F147" s="397"/>
      <c r="G147" s="2578" t="s">
        <v>1833</v>
      </c>
      <c r="H147" s="2578"/>
      <c r="I147" s="2579"/>
      <c r="J147" s="13">
        <f>SUM(J146)</f>
        <v>0.1875</v>
      </c>
      <c r="K147" s="14">
        <v>0.92</v>
      </c>
      <c r="L147" s="13">
        <f>J147/K147</f>
        <v>0.20380434782608695</v>
      </c>
      <c r="M147" s="2577" t="s">
        <v>1834</v>
      </c>
      <c r="N147" s="2579"/>
      <c r="O147" s="13">
        <f>SUM(O145:O145)</f>
        <v>0</v>
      </c>
      <c r="P147" s="14">
        <v>0.92</v>
      </c>
      <c r="Q147" s="13">
        <f>O147/P147</f>
        <v>0</v>
      </c>
      <c r="R147" s="2587" t="s">
        <v>1833</v>
      </c>
      <c r="S147" s="2588"/>
      <c r="T147" s="2589"/>
      <c r="U147" s="21">
        <f>SUM(U145:U145)</f>
        <v>0</v>
      </c>
      <c r="V147" s="24">
        <v>0.92</v>
      </c>
      <c r="W147" s="21">
        <f>U147/V147</f>
        <v>0</v>
      </c>
    </row>
    <row r="148" spans="1:23" x14ac:dyDescent="0.25">
      <c r="A148" s="2776" t="str">
        <f>Итоговая!C266</f>
        <v xml:space="preserve">ПС 110/10 кВ НТПФ </v>
      </c>
      <c r="B148" s="2630">
        <f>Итоговая!D266</f>
        <v>6.3</v>
      </c>
      <c r="C148" s="2632" t="str">
        <f>Итоговая!E266</f>
        <v>+</v>
      </c>
      <c r="D148" s="2632">
        <f>Итоговая!F266</f>
        <v>6.3</v>
      </c>
      <c r="E148" s="400"/>
      <c r="F148" s="401"/>
      <c r="G148" s="2648" t="s">
        <v>1961</v>
      </c>
      <c r="H148" s="2648"/>
      <c r="I148" s="2648"/>
      <c r="J148" s="2648"/>
      <c r="K148" s="2648"/>
      <c r="L148" s="2649"/>
      <c r="M148" s="131"/>
      <c r="N148" s="132"/>
      <c r="O148" s="73"/>
      <c r="P148" s="73"/>
      <c r="Q148" s="73"/>
      <c r="R148" s="2650"/>
      <c r="S148" s="2650"/>
      <c r="T148" s="2650"/>
      <c r="U148" s="2650"/>
      <c r="V148" s="2650"/>
      <c r="W148" s="2650"/>
    </row>
    <row r="149" spans="1:23" ht="30" x14ac:dyDescent="0.25">
      <c r="A149" s="2777"/>
      <c r="B149" s="2631"/>
      <c r="C149" s="2633"/>
      <c r="D149" s="2633"/>
      <c r="E149" s="404"/>
      <c r="F149" s="405"/>
      <c r="G149" s="41" t="s">
        <v>2083</v>
      </c>
      <c r="H149" s="128" t="s">
        <v>2084</v>
      </c>
      <c r="I149" s="18" t="s">
        <v>2085</v>
      </c>
      <c r="J149" s="128">
        <v>0.6</v>
      </c>
      <c r="K149" s="128"/>
      <c r="L149" s="69"/>
      <c r="M149" s="241"/>
      <c r="N149" s="241"/>
      <c r="O149" s="241"/>
      <c r="P149" s="1"/>
      <c r="Q149" s="9"/>
      <c r="R149" s="22"/>
      <c r="S149" s="22"/>
      <c r="T149" s="22"/>
      <c r="U149" s="22"/>
      <c r="V149" s="22"/>
      <c r="W149" s="22"/>
    </row>
    <row r="150" spans="1:23" x14ac:dyDescent="0.25">
      <c r="A150" s="402"/>
      <c r="B150" s="403"/>
      <c r="C150" s="404"/>
      <c r="D150" s="404"/>
      <c r="E150" s="404"/>
      <c r="F150" s="405"/>
      <c r="G150" s="2759" t="s">
        <v>1959</v>
      </c>
      <c r="H150" s="2759"/>
      <c r="I150" s="2759"/>
      <c r="J150" s="2759"/>
      <c r="K150" s="2759"/>
      <c r="L150" s="2759"/>
      <c r="M150" s="241"/>
      <c r="N150" s="241"/>
      <c r="O150" s="241"/>
      <c r="P150" s="1"/>
      <c r="Q150" s="1"/>
      <c r="R150" s="2650"/>
      <c r="S150" s="2650"/>
      <c r="T150" s="2650"/>
      <c r="U150" s="2650"/>
      <c r="V150" s="2650"/>
      <c r="W150" s="2650"/>
    </row>
    <row r="151" spans="1:23" ht="45" x14ac:dyDescent="0.25">
      <c r="A151" s="402"/>
      <c r="B151" s="403"/>
      <c r="C151" s="404"/>
      <c r="D151" s="404"/>
      <c r="E151" s="404"/>
      <c r="F151" s="405"/>
      <c r="G151" s="264" t="s">
        <v>2086</v>
      </c>
      <c r="H151" s="42" t="s">
        <v>2087</v>
      </c>
      <c r="I151" s="22" t="s">
        <v>2314</v>
      </c>
      <c r="J151" s="42">
        <v>1.5</v>
      </c>
      <c r="K151" s="128"/>
      <c r="L151" s="69"/>
      <c r="M151" s="241"/>
      <c r="N151" s="241"/>
      <c r="O151" s="241"/>
      <c r="P151" s="1"/>
      <c r="Q151" s="1"/>
      <c r="R151" s="142"/>
      <c r="S151" s="142"/>
      <c r="T151" s="22"/>
      <c r="U151" s="142"/>
      <c r="V151" s="22"/>
      <c r="W151" s="22"/>
    </row>
    <row r="152" spans="1:23" ht="15.75" customHeight="1" thickBot="1" x14ac:dyDescent="0.3">
      <c r="A152" s="406"/>
      <c r="B152" s="395"/>
      <c r="C152" s="396"/>
      <c r="D152" s="396"/>
      <c r="E152" s="396"/>
      <c r="F152" s="397"/>
      <c r="G152" s="2578" t="s">
        <v>1833</v>
      </c>
      <c r="H152" s="2578"/>
      <c r="I152" s="2579"/>
      <c r="J152" s="13">
        <f>SUM(0)</f>
        <v>0</v>
      </c>
      <c r="K152" s="14">
        <v>0.92</v>
      </c>
      <c r="L152" s="13">
        <f>J152/K152</f>
        <v>0</v>
      </c>
      <c r="M152" s="2577" t="s">
        <v>1834</v>
      </c>
      <c r="N152" s="2579"/>
      <c r="O152" s="13">
        <f>SUM(O148:O151)</f>
        <v>0</v>
      </c>
      <c r="P152" s="14">
        <v>0.92</v>
      </c>
      <c r="Q152" s="13">
        <f>O152/P152</f>
        <v>0</v>
      </c>
      <c r="R152" s="2577" t="s">
        <v>1833</v>
      </c>
      <c r="S152" s="2578"/>
      <c r="T152" s="2579"/>
      <c r="U152" s="13">
        <f>SUM(U151)</f>
        <v>0</v>
      </c>
      <c r="V152" s="14">
        <v>0.92</v>
      </c>
      <c r="W152" s="13">
        <f>U152/V152</f>
        <v>0</v>
      </c>
    </row>
    <row r="153" spans="1:23" x14ac:dyDescent="0.25">
      <c r="A153" s="2776" t="str">
        <f>Итоговая!C267</f>
        <v xml:space="preserve">ПС 110/10 кВ Мостовая </v>
      </c>
      <c r="B153" s="2630">
        <f>Итоговая!D267</f>
        <v>6.3</v>
      </c>
      <c r="C153" s="2632" t="str">
        <f>Итоговая!E267</f>
        <v>+</v>
      </c>
      <c r="D153" s="2632">
        <f>Итоговая!F267</f>
        <v>6.3</v>
      </c>
      <c r="E153" s="2632"/>
      <c r="F153" s="401"/>
      <c r="G153" s="2648" t="s">
        <v>1961</v>
      </c>
      <c r="H153" s="2648"/>
      <c r="I153" s="2648"/>
      <c r="J153" s="2648"/>
      <c r="K153" s="2648"/>
      <c r="L153" s="2649"/>
      <c r="M153" s="131"/>
      <c r="N153" s="132"/>
      <c r="O153" s="73"/>
      <c r="P153" s="73"/>
      <c r="Q153" s="73"/>
      <c r="R153" s="2644"/>
      <c r="S153" s="2645"/>
      <c r="T153" s="2645"/>
      <c r="U153" s="2645"/>
      <c r="V153" s="2645"/>
      <c r="W153" s="2646"/>
    </row>
    <row r="154" spans="1:23" ht="48.75" customHeight="1" x14ac:dyDescent="0.25">
      <c r="A154" s="2777"/>
      <c r="B154" s="2631"/>
      <c r="C154" s="2633"/>
      <c r="D154" s="2633"/>
      <c r="E154" s="2633"/>
      <c r="F154" s="405"/>
      <c r="G154" s="41" t="s">
        <v>810</v>
      </c>
      <c r="H154" s="24" t="s">
        <v>811</v>
      </c>
      <c r="I154" s="24" t="s">
        <v>812</v>
      </c>
      <c r="J154" s="24">
        <v>0.25</v>
      </c>
      <c r="K154" s="128"/>
      <c r="L154" s="69"/>
      <c r="M154" s="1" t="s">
        <v>2437</v>
      </c>
      <c r="N154" s="1" t="s">
        <v>2590</v>
      </c>
      <c r="O154" s="1">
        <v>2.5000000000000001E-2</v>
      </c>
      <c r="P154" s="9"/>
      <c r="Q154" s="9"/>
      <c r="R154" s="69"/>
      <c r="S154" s="62"/>
      <c r="T154" s="62"/>
      <c r="U154" s="62"/>
      <c r="V154" s="69"/>
      <c r="W154" s="69"/>
    </row>
    <row r="155" spans="1:23" x14ac:dyDescent="0.25">
      <c r="A155" s="402"/>
      <c r="B155" s="403"/>
      <c r="C155" s="404"/>
      <c r="D155" s="404"/>
      <c r="E155" s="404"/>
      <c r="F155" s="405"/>
      <c r="G155" s="2787" t="s">
        <v>1960</v>
      </c>
      <c r="H155" s="2787"/>
      <c r="I155" s="2787"/>
      <c r="J155" s="2787"/>
      <c r="K155" s="2787"/>
      <c r="L155" s="2763"/>
      <c r="M155" s="9"/>
      <c r="N155" s="9"/>
      <c r="O155" s="9"/>
      <c r="P155" s="9"/>
      <c r="Q155" s="9"/>
      <c r="R155" s="2624"/>
      <c r="S155" s="2599"/>
      <c r="T155" s="2599"/>
      <c r="U155" s="2599"/>
      <c r="V155" s="2599"/>
      <c r="W155" s="2600"/>
    </row>
    <row r="156" spans="1:23" ht="60" customHeight="1" x14ac:dyDescent="0.25">
      <c r="A156" s="402"/>
      <c r="B156" s="403"/>
      <c r="C156" s="404"/>
      <c r="D156" s="404"/>
      <c r="E156" s="404"/>
      <c r="F156" s="405"/>
      <c r="G156" s="152" t="s">
        <v>813</v>
      </c>
      <c r="H156" s="9" t="s">
        <v>814</v>
      </c>
      <c r="I156" s="9" t="s">
        <v>815</v>
      </c>
      <c r="J156" s="9">
        <v>0.1</v>
      </c>
      <c r="K156" s="1"/>
      <c r="L156" s="22"/>
      <c r="M156" s="1"/>
      <c r="N156" s="1"/>
      <c r="O156" s="1"/>
      <c r="P156" s="1"/>
      <c r="Q156" s="1"/>
      <c r="R156" s="22"/>
      <c r="S156" s="51"/>
      <c r="T156" s="51"/>
      <c r="U156" s="51"/>
      <c r="V156" s="22"/>
      <c r="W156" s="22"/>
    </row>
    <row r="157" spans="1:23" ht="19.5" customHeight="1" x14ac:dyDescent="0.25">
      <c r="A157" s="821"/>
      <c r="B157" s="822"/>
      <c r="C157" s="823"/>
      <c r="D157" s="823"/>
      <c r="E157" s="823"/>
      <c r="F157" s="820"/>
      <c r="G157" s="2787" t="s">
        <v>2477</v>
      </c>
      <c r="H157" s="2787"/>
      <c r="I157" s="2787"/>
      <c r="J157" s="2787"/>
      <c r="K157" s="2787"/>
      <c r="L157" s="2763"/>
      <c r="M157" s="19"/>
      <c r="N157" s="20"/>
      <c r="O157" s="24"/>
      <c r="P157" s="24"/>
      <c r="Q157" s="24"/>
      <c r="R157" s="129"/>
      <c r="S157" s="71"/>
      <c r="T157" s="312"/>
      <c r="U157" s="69"/>
      <c r="V157" s="62"/>
      <c r="W157" s="62"/>
    </row>
    <row r="158" spans="1:23" ht="36" customHeight="1" x14ac:dyDescent="0.25">
      <c r="A158" s="821"/>
      <c r="B158" s="822"/>
      <c r="C158" s="823"/>
      <c r="D158" s="823"/>
      <c r="E158" s="823"/>
      <c r="F158" s="820"/>
      <c r="G158" s="1" t="s">
        <v>2878</v>
      </c>
      <c r="H158" s="1" t="s">
        <v>2879</v>
      </c>
      <c r="I158" s="1" t="s">
        <v>2925</v>
      </c>
      <c r="J158" s="1">
        <v>1.9E-2</v>
      </c>
      <c r="K158" s="1"/>
      <c r="L158" s="22"/>
      <c r="M158" s="19"/>
      <c r="N158" s="20"/>
      <c r="O158" s="24"/>
      <c r="P158" s="24"/>
      <c r="Q158" s="24"/>
      <c r="R158" s="129"/>
      <c r="S158" s="71"/>
      <c r="T158" s="312"/>
      <c r="U158" s="69"/>
      <c r="V158" s="62"/>
      <c r="W158" s="62"/>
    </row>
    <row r="159" spans="1:23" ht="15.75" customHeight="1" thickBot="1" x14ac:dyDescent="0.3">
      <c r="A159" s="406"/>
      <c r="B159" s="395"/>
      <c r="C159" s="396"/>
      <c r="D159" s="396"/>
      <c r="E159" s="396"/>
      <c r="F159" s="397"/>
      <c r="G159" s="2578" t="s">
        <v>1833</v>
      </c>
      <c r="H159" s="2578"/>
      <c r="I159" s="2579"/>
      <c r="J159" s="13">
        <f>SUM(0)</f>
        <v>0</v>
      </c>
      <c r="K159" s="14">
        <v>0.92</v>
      </c>
      <c r="L159" s="13">
        <f>J159/K159</f>
        <v>0</v>
      </c>
      <c r="M159" s="2577" t="s">
        <v>1834</v>
      </c>
      <c r="N159" s="2579"/>
      <c r="O159" s="13">
        <f>SUM(O154:O156)</f>
        <v>2.5000000000000001E-2</v>
      </c>
      <c r="P159" s="14">
        <v>0.92</v>
      </c>
      <c r="Q159" s="13">
        <f>O159/P159</f>
        <v>2.717391304347826E-2</v>
      </c>
      <c r="R159" s="2587" t="s">
        <v>1833</v>
      </c>
      <c r="S159" s="2588"/>
      <c r="T159" s="2589"/>
      <c r="U159" s="21">
        <f>SUM(U156:U156)</f>
        <v>0</v>
      </c>
      <c r="V159" s="24">
        <v>0.92</v>
      </c>
      <c r="W159" s="21">
        <f>U159/V159</f>
        <v>0</v>
      </c>
    </row>
    <row r="160" spans="1:23" x14ac:dyDescent="0.25">
      <c r="A160" s="2776" t="str">
        <f>Итоговая!C268</f>
        <v xml:space="preserve">ПС 110/35/10кВ Ржев </v>
      </c>
      <c r="B160" s="2630">
        <f>Итоговая!D268</f>
        <v>40.5</v>
      </c>
      <c r="C160" s="2632" t="str">
        <f>Итоговая!E268</f>
        <v>+</v>
      </c>
      <c r="D160" s="2632">
        <f>Итоговая!F268</f>
        <v>40</v>
      </c>
      <c r="E160" s="400"/>
      <c r="F160" s="401"/>
      <c r="G160" s="2648" t="s">
        <v>1960</v>
      </c>
      <c r="H160" s="2648"/>
      <c r="I160" s="2648"/>
      <c r="J160" s="2648"/>
      <c r="K160" s="2648"/>
      <c r="L160" s="2649"/>
      <c r="M160" s="131"/>
      <c r="N160" s="132"/>
      <c r="O160" s="73"/>
      <c r="P160" s="73"/>
      <c r="Q160" s="73"/>
      <c r="R160" s="2650"/>
      <c r="S160" s="2650"/>
      <c r="T160" s="2650"/>
      <c r="U160" s="2650"/>
      <c r="V160" s="2650"/>
      <c r="W160" s="2650"/>
    </row>
    <row r="161" spans="1:23" ht="105" x14ac:dyDescent="0.25">
      <c r="A161" s="2777"/>
      <c r="B161" s="2631"/>
      <c r="C161" s="2633"/>
      <c r="D161" s="2633"/>
      <c r="E161" s="404"/>
      <c r="F161" s="405"/>
      <c r="G161" s="41" t="s">
        <v>2069</v>
      </c>
      <c r="H161" s="128" t="s">
        <v>2070</v>
      </c>
      <c r="I161" s="128" t="s">
        <v>2071</v>
      </c>
      <c r="J161" s="128">
        <v>0.1</v>
      </c>
      <c r="K161" s="128"/>
      <c r="L161" s="69"/>
      <c r="M161" s="651" t="s">
        <v>2072</v>
      </c>
      <c r="N161" s="651" t="s">
        <v>2073</v>
      </c>
      <c r="O161" s="9">
        <v>0.02</v>
      </c>
      <c r="P161" s="9"/>
      <c r="Q161" s="9"/>
      <c r="R161" s="22"/>
      <c r="S161" s="22"/>
      <c r="T161" s="22"/>
      <c r="U161" s="22"/>
      <c r="V161" s="22"/>
      <c r="W161" s="22"/>
    </row>
    <row r="162" spans="1:23" x14ac:dyDescent="0.25">
      <c r="A162" s="402"/>
      <c r="B162" s="403"/>
      <c r="C162" s="404"/>
      <c r="D162" s="404"/>
      <c r="E162" s="404"/>
      <c r="F162" s="405"/>
      <c r="G162" s="2759" t="s">
        <v>1959</v>
      </c>
      <c r="H162" s="2759"/>
      <c r="I162" s="2759"/>
      <c r="J162" s="2759"/>
      <c r="K162" s="2759"/>
      <c r="L162" s="2759"/>
      <c r="M162" s="163"/>
      <c r="N162" s="163"/>
      <c r="O162" s="9"/>
      <c r="P162" s="9"/>
      <c r="Q162" s="9"/>
      <c r="R162" s="2650"/>
      <c r="S162" s="2650"/>
      <c r="T162" s="2650"/>
      <c r="U162" s="2650"/>
      <c r="V162" s="2650"/>
      <c r="W162" s="2650"/>
    </row>
    <row r="163" spans="1:23" s="114" customFormat="1" ht="89.25" x14ac:dyDescent="0.25">
      <c r="A163" s="545"/>
      <c r="B163" s="546"/>
      <c r="C163" s="547"/>
      <c r="D163" s="547"/>
      <c r="E163" s="547"/>
      <c r="F163" s="548"/>
      <c r="G163" s="542" t="s">
        <v>1414</v>
      </c>
      <c r="H163" s="112" t="s">
        <v>1415</v>
      </c>
      <c r="I163" s="210" t="s">
        <v>2299</v>
      </c>
      <c r="J163" s="10">
        <v>9.9000000000000005E-2</v>
      </c>
      <c r="K163" s="10"/>
      <c r="L163" s="78"/>
      <c r="M163" s="11" t="s">
        <v>3068</v>
      </c>
      <c r="N163" s="11" t="s">
        <v>3069</v>
      </c>
      <c r="O163" s="11">
        <v>1</v>
      </c>
      <c r="P163" s="10"/>
      <c r="Q163" s="10"/>
      <c r="R163" s="356"/>
      <c r="S163" s="356"/>
      <c r="T163" s="350"/>
      <c r="U163" s="35"/>
      <c r="V163" s="35"/>
      <c r="W163" s="35"/>
    </row>
    <row r="164" spans="1:23" s="114" customFormat="1" ht="27" customHeight="1" x14ac:dyDescent="0.25">
      <c r="A164" s="545"/>
      <c r="B164" s="546"/>
      <c r="C164" s="547"/>
      <c r="D164" s="547"/>
      <c r="E164" s="547"/>
      <c r="F164" s="548"/>
      <c r="G164" s="2759" t="s">
        <v>2032</v>
      </c>
      <c r="H164" s="2759"/>
      <c r="I164" s="2759"/>
      <c r="J164" s="2759"/>
      <c r="K164" s="2759"/>
      <c r="L164" s="2759"/>
      <c r="M164" s="11"/>
      <c r="N164" s="11"/>
      <c r="O164" s="11"/>
      <c r="P164" s="10"/>
      <c r="Q164" s="39"/>
      <c r="R164" s="356"/>
      <c r="S164" s="356"/>
      <c r="T164" s="350"/>
      <c r="U164" s="35"/>
      <c r="V164" s="35"/>
      <c r="W164" s="35"/>
    </row>
    <row r="165" spans="1:23" s="114" customFormat="1" ht="85.5" customHeight="1" x14ac:dyDescent="0.25">
      <c r="A165" s="545"/>
      <c r="B165" s="546"/>
      <c r="C165" s="547"/>
      <c r="D165" s="547"/>
      <c r="E165" s="547"/>
      <c r="F165" s="548"/>
      <c r="G165" s="268" t="s">
        <v>2385</v>
      </c>
      <c r="H165" s="11" t="s">
        <v>2386</v>
      </c>
      <c r="I165" s="210" t="s">
        <v>2387</v>
      </c>
      <c r="J165" s="11">
        <v>0.04</v>
      </c>
      <c r="K165" s="11"/>
      <c r="L165" s="35"/>
      <c r="M165" s="11"/>
      <c r="N165" s="11"/>
      <c r="O165" s="1819"/>
      <c r="P165" s="11"/>
      <c r="Q165" s="39"/>
      <c r="R165" s="35"/>
      <c r="S165" s="35"/>
      <c r="T165" s="350"/>
      <c r="U165" s="35"/>
      <c r="V165" s="35"/>
      <c r="W165" s="35"/>
    </row>
    <row r="166" spans="1:23" s="114" customFormat="1" ht="15" customHeight="1" x14ac:dyDescent="0.25">
      <c r="A166" s="545"/>
      <c r="B166" s="546"/>
      <c r="C166" s="547"/>
      <c r="D166" s="547"/>
      <c r="E166" s="547"/>
      <c r="F166" s="548"/>
      <c r="G166" s="2759" t="s">
        <v>3019</v>
      </c>
      <c r="H166" s="2759"/>
      <c r="I166" s="2759"/>
      <c r="J166" s="2759"/>
      <c r="K166" s="2759"/>
      <c r="L166" s="2759"/>
      <c r="M166" s="876"/>
      <c r="N166" s="877"/>
      <c r="O166" s="34"/>
      <c r="P166" s="34"/>
      <c r="Q166" s="39"/>
      <c r="R166" s="1031"/>
      <c r="S166" s="1032"/>
      <c r="T166" s="1208"/>
      <c r="U166" s="731"/>
      <c r="V166" s="731"/>
      <c r="W166" s="731"/>
    </row>
    <row r="167" spans="1:23" s="114" customFormat="1" ht="20.25" customHeight="1" x14ac:dyDescent="0.25">
      <c r="A167" s="545"/>
      <c r="B167" s="546"/>
      <c r="C167" s="547"/>
      <c r="D167" s="547"/>
      <c r="E167" s="547"/>
      <c r="F167" s="548"/>
      <c r="G167" s="2760"/>
      <c r="H167" s="2761"/>
      <c r="I167" s="2762"/>
      <c r="J167" s="731"/>
      <c r="K167" s="731"/>
      <c r="L167" s="731"/>
      <c r="M167" s="876"/>
      <c r="N167" s="877"/>
      <c r="O167" s="34"/>
      <c r="P167" s="34"/>
      <c r="Q167" s="39"/>
      <c r="R167" s="1031"/>
      <c r="S167" s="1032"/>
      <c r="T167" s="1208"/>
      <c r="U167" s="731"/>
      <c r="V167" s="731"/>
      <c r="W167" s="731"/>
    </row>
    <row r="168" spans="1:23" s="114" customFormat="1" ht="20.25" customHeight="1" x14ac:dyDescent="0.25">
      <c r="A168" s="545"/>
      <c r="B168" s="546"/>
      <c r="C168" s="547"/>
      <c r="D168" s="547"/>
      <c r="E168" s="547"/>
      <c r="F168" s="548"/>
      <c r="G168" s="2759" t="s">
        <v>17005</v>
      </c>
      <c r="H168" s="2759"/>
      <c r="I168" s="2759"/>
      <c r="J168" s="2759"/>
      <c r="K168" s="2759"/>
      <c r="L168" s="2759"/>
      <c r="M168" s="1879"/>
      <c r="N168" s="1880"/>
      <c r="O168" s="34"/>
      <c r="P168" s="34"/>
      <c r="Q168" s="39"/>
      <c r="R168" s="1031"/>
      <c r="S168" s="1032"/>
      <c r="T168" s="1208"/>
      <c r="U168" s="731"/>
      <c r="V168" s="731"/>
      <c r="W168" s="731"/>
    </row>
    <row r="169" spans="1:23" s="114" customFormat="1" ht="20.25" customHeight="1" x14ac:dyDescent="0.25">
      <c r="A169" s="545"/>
      <c r="B169" s="546"/>
      <c r="C169" s="547"/>
      <c r="D169" s="547"/>
      <c r="E169" s="547"/>
      <c r="F169" s="548"/>
      <c r="G169" s="35" t="s">
        <v>3247</v>
      </c>
      <c r="H169" s="35" t="s">
        <v>16920</v>
      </c>
      <c r="I169" s="1213" t="s">
        <v>17017</v>
      </c>
      <c r="J169" s="731">
        <v>3.5000000000000003E-2</v>
      </c>
      <c r="K169" s="731"/>
      <c r="L169" s="731"/>
      <c r="M169" s="1879"/>
      <c r="N169" s="1880"/>
      <c r="O169" s="34"/>
      <c r="P169" s="34"/>
      <c r="Q169" s="39"/>
      <c r="R169" s="1031"/>
      <c r="S169" s="1032"/>
      <c r="T169" s="1208"/>
      <c r="U169" s="731"/>
      <c r="V169" s="731"/>
      <c r="W169" s="731"/>
    </row>
    <row r="170" spans="1:23" ht="15.75" customHeight="1" thickBot="1" x14ac:dyDescent="0.3">
      <c r="A170" s="406"/>
      <c r="B170" s="395"/>
      <c r="C170" s="396"/>
      <c r="D170" s="396"/>
      <c r="E170" s="396"/>
      <c r="F170" s="397"/>
      <c r="G170" s="2578" t="s">
        <v>1833</v>
      </c>
      <c r="H170" s="2578"/>
      <c r="I170" s="2579"/>
      <c r="J170" s="13">
        <f>SUM(J169)</f>
        <v>3.5000000000000003E-2</v>
      </c>
      <c r="K170" s="14">
        <v>0.92</v>
      </c>
      <c r="L170" s="13">
        <f>J170/K170</f>
        <v>3.8043478260869568E-2</v>
      </c>
      <c r="M170" s="2577" t="s">
        <v>1834</v>
      </c>
      <c r="N170" s="2579"/>
      <c r="O170" s="13">
        <f>SUM(O161:O165)</f>
        <v>1.02</v>
      </c>
      <c r="P170" s="14">
        <v>0.92</v>
      </c>
      <c r="Q170" s="13">
        <f>O170/P170</f>
        <v>1.1086956521739131</v>
      </c>
      <c r="R170" s="2587" t="s">
        <v>1833</v>
      </c>
      <c r="S170" s="2588"/>
      <c r="T170" s="2589"/>
      <c r="U170" s="21">
        <f>SUM(U161:U165)</f>
        <v>0</v>
      </c>
      <c r="V170" s="24">
        <v>0.92</v>
      </c>
      <c r="W170" s="21">
        <f>U170/V170</f>
        <v>0</v>
      </c>
    </row>
    <row r="171" spans="1:23" x14ac:dyDescent="0.25">
      <c r="A171" s="2776" t="str">
        <f>Итоговая!C271</f>
        <v>ПС  110/35/10 кВ Чертолино</v>
      </c>
      <c r="B171" s="2630">
        <f>Итоговая!D271</f>
        <v>5.6</v>
      </c>
      <c r="C171" s="2632" t="str">
        <f>Итоговая!E271</f>
        <v>+</v>
      </c>
      <c r="D171" s="2632">
        <f>Итоговая!F271</f>
        <v>6.3</v>
      </c>
      <c r="E171" s="400"/>
      <c r="F171" s="401"/>
      <c r="G171" s="2778" t="s">
        <v>1959</v>
      </c>
      <c r="H171" s="2778"/>
      <c r="I171" s="2778"/>
      <c r="J171" s="2778"/>
      <c r="K171" s="2778"/>
      <c r="L171" s="2779"/>
      <c r="M171" s="51"/>
      <c r="N171" s="51"/>
      <c r="O171" s="51"/>
      <c r="P171" s="51"/>
      <c r="Q171" s="51"/>
      <c r="R171" s="2650"/>
      <c r="S171" s="2650"/>
      <c r="T171" s="2650"/>
      <c r="U171" s="2650"/>
      <c r="V171" s="2650"/>
      <c r="W171" s="2650"/>
    </row>
    <row r="172" spans="1:23" ht="120" x14ac:dyDescent="0.25">
      <c r="A172" s="2777"/>
      <c r="B172" s="2631"/>
      <c r="C172" s="2633"/>
      <c r="D172" s="2633"/>
      <c r="E172" s="404"/>
      <c r="F172" s="405"/>
      <c r="G172" s="41" t="s">
        <v>2088</v>
      </c>
      <c r="H172" s="128" t="s">
        <v>2089</v>
      </c>
      <c r="I172" s="128" t="s">
        <v>2012</v>
      </c>
      <c r="J172" s="128">
        <v>0.01</v>
      </c>
      <c r="K172" s="128"/>
      <c r="L172" s="69"/>
      <c r="M172" s="22" t="s">
        <v>2883</v>
      </c>
      <c r="N172" s="22" t="s">
        <v>2884</v>
      </c>
      <c r="O172" s="145">
        <f>0.3-0.015</f>
        <v>0.28499999999999998</v>
      </c>
      <c r="P172" s="22"/>
      <c r="Q172" s="22"/>
      <c r="R172" s="22"/>
      <c r="S172" s="22"/>
      <c r="T172" s="22"/>
      <c r="U172" s="22"/>
      <c r="V172" s="22"/>
      <c r="W172" s="22"/>
    </row>
    <row r="173" spans="1:23" x14ac:dyDescent="0.25">
      <c r="A173" s="402"/>
      <c r="B173" s="403"/>
      <c r="C173" s="404"/>
      <c r="D173" s="404"/>
      <c r="E173" s="404"/>
      <c r="F173" s="405"/>
      <c r="G173" s="2759" t="s">
        <v>2032</v>
      </c>
      <c r="H173" s="2759"/>
      <c r="I173" s="2759"/>
      <c r="J173" s="2759"/>
      <c r="K173" s="2759"/>
      <c r="L173" s="2759"/>
      <c r="M173" s="145"/>
      <c r="N173" s="145"/>
      <c r="O173" s="145"/>
      <c r="P173" s="22"/>
      <c r="Q173" s="22"/>
      <c r="R173" s="2650"/>
      <c r="S173" s="2650"/>
      <c r="T173" s="2650"/>
      <c r="U173" s="2650"/>
      <c r="V173" s="2650"/>
      <c r="W173" s="2650"/>
    </row>
    <row r="174" spans="1:23" ht="51" x14ac:dyDescent="0.25">
      <c r="A174" s="402"/>
      <c r="B174" s="403"/>
      <c r="C174" s="404"/>
      <c r="D174" s="404"/>
      <c r="E174" s="404"/>
      <c r="F174" s="405"/>
      <c r="G174" s="543" t="s">
        <v>1412</v>
      </c>
      <c r="H174" s="115" t="s">
        <v>1413</v>
      </c>
      <c r="I174" s="114" t="s">
        <v>2225</v>
      </c>
      <c r="J174" s="1">
        <v>0.09</v>
      </c>
      <c r="K174" s="1"/>
      <c r="L174" s="22"/>
      <c r="M174" s="9"/>
      <c r="N174" s="9"/>
      <c r="O174" s="22"/>
      <c r="P174" s="22"/>
      <c r="Q174" s="22"/>
      <c r="R174" s="357"/>
      <c r="S174" s="357"/>
      <c r="T174" s="35"/>
      <c r="U174" s="22"/>
      <c r="V174" s="22"/>
      <c r="W174" s="22"/>
    </row>
    <row r="175" spans="1:23" x14ac:dyDescent="0.25">
      <c r="A175" s="1185"/>
      <c r="B175" s="1183"/>
      <c r="C175" s="1187"/>
      <c r="D175" s="1187"/>
      <c r="E175" s="1187"/>
      <c r="F175" s="1184"/>
      <c r="G175" s="2759" t="s">
        <v>3019</v>
      </c>
      <c r="H175" s="2759"/>
      <c r="I175" s="2759"/>
      <c r="J175" s="2759"/>
      <c r="K175" s="2759"/>
      <c r="L175" s="2759"/>
      <c r="M175" s="581"/>
      <c r="N175" s="41"/>
      <c r="O175" s="62"/>
      <c r="P175" s="62"/>
      <c r="Q175" s="62"/>
      <c r="R175" s="1211"/>
      <c r="S175" s="1212"/>
      <c r="T175" s="1213"/>
      <c r="U175" s="62"/>
      <c r="V175" s="62"/>
      <c r="W175" s="62"/>
    </row>
    <row r="176" spans="1:23" ht="25.5" customHeight="1" x14ac:dyDescent="0.25">
      <c r="A176" s="1185"/>
      <c r="B176" s="1183"/>
      <c r="C176" s="1187"/>
      <c r="D176" s="1187"/>
      <c r="E176" s="1187"/>
      <c r="F176" s="1184"/>
      <c r="G176" s="2760"/>
      <c r="H176" s="2761"/>
      <c r="I176" s="2762"/>
      <c r="J176" s="731"/>
      <c r="K176" s="731"/>
      <c r="L176" s="731"/>
      <c r="M176" s="581"/>
      <c r="N176" s="41"/>
      <c r="O176" s="62"/>
      <c r="P176" s="62"/>
      <c r="Q176" s="62"/>
      <c r="R176" s="1211"/>
      <c r="S176" s="1212"/>
      <c r="T176" s="1213"/>
      <c r="U176" s="62"/>
      <c r="V176" s="62"/>
      <c r="W176" s="62"/>
    </row>
    <row r="177" spans="1:23" ht="15.75" customHeight="1" thickBot="1" x14ac:dyDescent="0.3">
      <c r="A177" s="406"/>
      <c r="B177" s="395"/>
      <c r="C177" s="396"/>
      <c r="D177" s="396"/>
      <c r="E177" s="396"/>
      <c r="F177" s="397"/>
      <c r="G177" s="2578" t="s">
        <v>1833</v>
      </c>
      <c r="H177" s="2578"/>
      <c r="I177" s="2579"/>
      <c r="J177" s="13">
        <f>SUM(J176)</f>
        <v>0</v>
      </c>
      <c r="K177" s="14">
        <v>0.92</v>
      </c>
      <c r="L177" s="13">
        <f>J177/K177</f>
        <v>0</v>
      </c>
      <c r="M177" s="2577" t="s">
        <v>1834</v>
      </c>
      <c r="N177" s="2579"/>
      <c r="O177" s="13">
        <f>SUM(O172:O174)</f>
        <v>0.28499999999999998</v>
      </c>
      <c r="P177" s="14">
        <v>0.92</v>
      </c>
      <c r="Q177" s="13">
        <f>O177/P177</f>
        <v>0.30978260869565211</v>
      </c>
      <c r="R177" s="2577" t="s">
        <v>1833</v>
      </c>
      <c r="S177" s="2578"/>
      <c r="T177" s="2579"/>
      <c r="U177" s="13">
        <f>SUM(U172:U174)</f>
        <v>0</v>
      </c>
      <c r="V177" s="14">
        <v>0.92</v>
      </c>
      <c r="W177" s="13">
        <f>U177/V177</f>
        <v>0</v>
      </c>
    </row>
    <row r="178" spans="1:23" ht="16.5" customHeight="1" x14ac:dyDescent="0.25">
      <c r="A178" s="407" t="str">
        <f>Итоговая!C274</f>
        <v xml:space="preserve">ПС 110/35/10 кВ Оленино </v>
      </c>
      <c r="B178" s="399">
        <f>Итоговая!D274</f>
        <v>16</v>
      </c>
      <c r="C178" s="400" t="str">
        <f>Итоговая!E274</f>
        <v>+</v>
      </c>
      <c r="D178" s="400">
        <f>Итоговая!F274</f>
        <v>10</v>
      </c>
      <c r="E178" s="400"/>
      <c r="F178" s="401"/>
      <c r="G178" s="2759" t="s">
        <v>2477</v>
      </c>
      <c r="H178" s="2759"/>
      <c r="I178" s="2769"/>
      <c r="J178" s="2759"/>
      <c r="K178" s="2759"/>
      <c r="L178" s="2759"/>
      <c r="M178" s="1258" t="s">
        <v>2400</v>
      </c>
      <c r="N178" s="1" t="s">
        <v>2401</v>
      </c>
      <c r="O178" s="1">
        <v>6.5000000000000002E-2</v>
      </c>
      <c r="P178" s="17"/>
      <c r="Q178" s="17"/>
      <c r="R178" s="17"/>
      <c r="S178" s="17"/>
      <c r="T178" s="17"/>
      <c r="U178" s="17"/>
      <c r="V178" s="17"/>
      <c r="W178" s="73"/>
    </row>
    <row r="179" spans="1:23" ht="33" customHeight="1" x14ac:dyDescent="0.25">
      <c r="A179" s="623"/>
      <c r="B179" s="624"/>
      <c r="C179" s="625"/>
      <c r="D179" s="625"/>
      <c r="E179" s="625"/>
      <c r="F179" s="622"/>
      <c r="G179" s="1" t="s">
        <v>2511</v>
      </c>
      <c r="H179" s="1" t="s">
        <v>2565</v>
      </c>
      <c r="I179" s="1" t="s">
        <v>2743</v>
      </c>
      <c r="J179" s="1">
        <v>2.3E-2</v>
      </c>
      <c r="K179" s="1"/>
      <c r="L179" s="22"/>
      <c r="M179" s="1" t="s">
        <v>2437</v>
      </c>
      <c r="N179" s="1" t="s">
        <v>2525</v>
      </c>
      <c r="O179" s="1">
        <v>3.5000000000000003E-2</v>
      </c>
      <c r="P179" s="1"/>
      <c r="Q179" s="1"/>
      <c r="R179" s="1"/>
      <c r="S179" s="1"/>
      <c r="T179" s="1"/>
      <c r="U179" s="1"/>
      <c r="V179" s="1"/>
      <c r="W179" s="22"/>
    </row>
    <row r="180" spans="1:23" ht="33" customHeight="1" x14ac:dyDescent="0.25">
      <c r="A180" s="608"/>
      <c r="B180" s="609"/>
      <c r="C180" s="610"/>
      <c r="D180" s="610"/>
      <c r="E180" s="610"/>
      <c r="F180" s="607"/>
      <c r="G180" s="1" t="s">
        <v>2878</v>
      </c>
      <c r="H180" s="1" t="s">
        <v>2891</v>
      </c>
      <c r="I180" s="1" t="s">
        <v>2924</v>
      </c>
      <c r="J180" s="1">
        <v>1.9E-2</v>
      </c>
      <c r="K180" s="1"/>
      <c r="L180" s="22"/>
      <c r="M180" s="1" t="s">
        <v>3335</v>
      </c>
      <c r="N180" s="1" t="s">
        <v>3336</v>
      </c>
      <c r="O180" s="1">
        <f>0.025-0.015</f>
        <v>1.0000000000000002E-2</v>
      </c>
      <c r="P180" s="1"/>
      <c r="Q180" s="1"/>
      <c r="R180" s="1"/>
      <c r="S180" s="1"/>
      <c r="T180" s="1"/>
      <c r="U180" s="1"/>
      <c r="V180" s="1"/>
      <c r="W180" s="22"/>
    </row>
    <row r="181" spans="1:23" ht="33" customHeight="1" x14ac:dyDescent="0.25">
      <c r="A181" s="1118"/>
      <c r="B181" s="1119"/>
      <c r="C181" s="1121"/>
      <c r="D181" s="1121"/>
      <c r="E181" s="1121"/>
      <c r="F181" s="1120"/>
      <c r="G181" s="2759" t="s">
        <v>3020</v>
      </c>
      <c r="H181" s="2759"/>
      <c r="I181" s="2769"/>
      <c r="J181" s="2759"/>
      <c r="K181" s="2759"/>
      <c r="L181" s="2759"/>
      <c r="M181" s="1547" t="s">
        <v>3297</v>
      </c>
      <c r="N181" s="1547" t="s">
        <v>3478</v>
      </c>
      <c r="O181" s="1547">
        <v>2.3E-2</v>
      </c>
      <c r="P181" s="24"/>
      <c r="Q181" s="24"/>
      <c r="R181" s="19"/>
      <c r="S181" s="265"/>
      <c r="T181" s="20"/>
      <c r="U181" s="24"/>
      <c r="V181" s="24"/>
      <c r="W181" s="62"/>
    </row>
    <row r="182" spans="1:23" ht="33" customHeight="1" x14ac:dyDescent="0.25">
      <c r="A182" s="1118"/>
      <c r="B182" s="1119"/>
      <c r="C182" s="1121"/>
      <c r="D182" s="1121"/>
      <c r="E182" s="1121"/>
      <c r="F182" s="1120"/>
      <c r="G182" s="1" t="s">
        <v>3209</v>
      </c>
      <c r="H182" s="1" t="s">
        <v>3210</v>
      </c>
      <c r="I182" s="20" t="s">
        <v>3265</v>
      </c>
      <c r="J182" s="1">
        <f>0.05*0.9</f>
        <v>4.5000000000000005E-2</v>
      </c>
      <c r="K182" s="24"/>
      <c r="L182" s="62"/>
      <c r="M182" s="1547"/>
      <c r="N182" s="1547"/>
      <c r="O182" s="1547"/>
      <c r="P182" s="24"/>
      <c r="Q182" s="24"/>
      <c r="R182" s="19"/>
      <c r="S182" s="265"/>
      <c r="T182" s="20"/>
      <c r="U182" s="24"/>
      <c r="V182" s="24"/>
      <c r="W182" s="62"/>
    </row>
    <row r="183" spans="1:23" ht="33" customHeight="1" x14ac:dyDescent="0.25">
      <c r="A183" s="1686"/>
      <c r="B183" s="1673"/>
      <c r="C183" s="1674"/>
      <c r="D183" s="1674"/>
      <c r="E183" s="1674"/>
      <c r="F183" s="1675"/>
      <c r="G183" s="2759" t="s">
        <v>3447</v>
      </c>
      <c r="H183" s="2759"/>
      <c r="I183" s="2769"/>
      <c r="J183" s="2759"/>
      <c r="K183" s="2759"/>
      <c r="L183" s="2759"/>
      <c r="M183" s="1667" t="s">
        <v>16751</v>
      </c>
      <c r="N183" s="1667" t="s">
        <v>16752</v>
      </c>
      <c r="O183" s="1667">
        <v>0.23</v>
      </c>
      <c r="P183" s="1667"/>
      <c r="Q183" s="1667"/>
      <c r="R183" s="1667"/>
      <c r="S183" s="1667"/>
      <c r="T183" s="1667"/>
      <c r="U183" s="1667"/>
      <c r="V183" s="1667"/>
      <c r="W183" s="1677"/>
    </row>
    <row r="184" spans="1:23" ht="33" customHeight="1" x14ac:dyDescent="0.25">
      <c r="A184" s="1720"/>
      <c r="B184" s="1706"/>
      <c r="C184" s="1707"/>
      <c r="D184" s="1707"/>
      <c r="E184" s="1707"/>
      <c r="F184" s="1711"/>
      <c r="G184" s="1732" t="s">
        <v>2916</v>
      </c>
      <c r="H184" s="1732" t="s">
        <v>16687</v>
      </c>
      <c r="I184" s="1737" t="s">
        <v>16872</v>
      </c>
      <c r="J184" s="1732">
        <v>1.7000000000000001E-2</v>
      </c>
      <c r="K184" s="1702"/>
      <c r="L184" s="62"/>
      <c r="M184" s="1700"/>
      <c r="N184" s="1699"/>
      <c r="O184" s="1702"/>
      <c r="P184" s="1702"/>
      <c r="Q184" s="1702"/>
      <c r="R184" s="1700"/>
      <c r="S184" s="1698"/>
      <c r="T184" s="1699"/>
      <c r="U184" s="1702"/>
      <c r="V184" s="1702"/>
      <c r="W184" s="62"/>
    </row>
    <row r="185" spans="1:23" ht="33" customHeight="1" x14ac:dyDescent="0.25">
      <c r="A185" s="1791"/>
      <c r="B185" s="1782"/>
      <c r="C185" s="1783"/>
      <c r="D185" s="1783"/>
      <c r="E185" s="1783"/>
      <c r="F185" s="1784"/>
      <c r="G185" s="1779" t="s">
        <v>16828</v>
      </c>
      <c r="H185" s="1781" t="s">
        <v>16829</v>
      </c>
      <c r="I185" s="1781" t="s">
        <v>16891</v>
      </c>
      <c r="J185" s="1778">
        <f>(0.024-0.015)*0.9</f>
        <v>8.1000000000000013E-3</v>
      </c>
      <c r="K185" s="1778"/>
      <c r="L185" s="62"/>
      <c r="M185" s="1779" t="s">
        <v>16828</v>
      </c>
      <c r="N185" s="1781" t="s">
        <v>16968</v>
      </c>
      <c r="O185" s="1778">
        <f>0.024-0.015</f>
        <v>9.0000000000000011E-3</v>
      </c>
      <c r="P185" s="1778"/>
      <c r="Q185" s="1778"/>
      <c r="R185" s="1779"/>
      <c r="S185" s="1780"/>
      <c r="T185" s="1781"/>
      <c r="U185" s="1778"/>
      <c r="V185" s="1778"/>
      <c r="W185" s="62"/>
    </row>
    <row r="186" spans="1:23" ht="33" customHeight="1" x14ac:dyDescent="0.25">
      <c r="A186" s="1935"/>
      <c r="B186" s="1919"/>
      <c r="C186" s="1920"/>
      <c r="D186" s="1920"/>
      <c r="E186" s="1920"/>
      <c r="F186" s="1923"/>
      <c r="G186" s="1915" t="s">
        <v>16954</v>
      </c>
      <c r="H186" s="1914" t="s">
        <v>16967</v>
      </c>
      <c r="I186" s="1914" t="s">
        <v>17042</v>
      </c>
      <c r="J186" s="1916">
        <f>0.03*0.75</f>
        <v>2.2499999999999999E-2</v>
      </c>
      <c r="K186" s="1916"/>
      <c r="L186" s="62"/>
      <c r="M186" s="1915"/>
      <c r="N186" s="1914"/>
      <c r="O186" s="1916"/>
      <c r="P186" s="1916"/>
      <c r="Q186" s="1916"/>
      <c r="R186" s="1915"/>
      <c r="S186" s="1913"/>
      <c r="T186" s="1914"/>
      <c r="U186" s="1916"/>
      <c r="V186" s="1916"/>
      <c r="W186" s="62"/>
    </row>
    <row r="187" spans="1:23" ht="33" customHeight="1" x14ac:dyDescent="0.25">
      <c r="A187" s="2091"/>
      <c r="B187" s="2073"/>
      <c r="C187" s="2074"/>
      <c r="D187" s="2074"/>
      <c r="E187" s="2074"/>
      <c r="F187" s="2077"/>
      <c r="G187" s="2759" t="s">
        <v>17005</v>
      </c>
      <c r="H187" s="2759"/>
      <c r="I187" s="2769"/>
      <c r="J187" s="2759"/>
      <c r="K187" s="2759"/>
      <c r="L187" s="2759"/>
      <c r="M187" s="2060"/>
      <c r="N187" s="2061"/>
      <c r="O187" s="2070"/>
      <c r="P187" s="2070"/>
      <c r="Q187" s="2070"/>
      <c r="R187" s="2060"/>
      <c r="S187" s="2062"/>
      <c r="T187" s="2061"/>
      <c r="U187" s="2070"/>
      <c r="V187" s="2070"/>
      <c r="W187" s="62"/>
    </row>
    <row r="188" spans="1:23" ht="33" customHeight="1" x14ac:dyDescent="0.25">
      <c r="A188" s="2091"/>
      <c r="B188" s="2073"/>
      <c r="C188" s="2074"/>
      <c r="D188" s="2074"/>
      <c r="E188" s="2074"/>
      <c r="F188" s="2077"/>
      <c r="G188" s="2060" t="s">
        <v>19915</v>
      </c>
      <c r="H188" s="2062" t="s">
        <v>19916</v>
      </c>
      <c r="I188" s="2061" t="s">
        <v>19917</v>
      </c>
      <c r="J188" s="2070">
        <f>(0.245-0.005)*0.9</f>
        <v>0.216</v>
      </c>
      <c r="K188" s="2070"/>
      <c r="L188" s="62"/>
      <c r="M188" s="2060"/>
      <c r="N188" s="2061"/>
      <c r="O188" s="2070"/>
      <c r="P188" s="2070"/>
      <c r="Q188" s="2070"/>
      <c r="R188" s="2060"/>
      <c r="S188" s="2062"/>
      <c r="T188" s="2061"/>
      <c r="U188" s="2070"/>
      <c r="V188" s="2070"/>
      <c r="W188" s="62"/>
    </row>
    <row r="189" spans="1:23" ht="15.75" customHeight="1" thickBot="1" x14ac:dyDescent="0.3">
      <c r="A189" s="620"/>
      <c r="B189" s="619"/>
      <c r="C189" s="618"/>
      <c r="D189" s="618"/>
      <c r="E189" s="618"/>
      <c r="F189" s="397"/>
      <c r="G189" s="2577" t="s">
        <v>1833</v>
      </c>
      <c r="H189" s="2578"/>
      <c r="I189" s="2579"/>
      <c r="J189" s="21">
        <f>SUM(J182:J188)</f>
        <v>0.30859999999999999</v>
      </c>
      <c r="K189" s="24">
        <v>0.92</v>
      </c>
      <c r="L189" s="21">
        <f>J189/K189</f>
        <v>0.33543478260869564</v>
      </c>
      <c r="M189" s="2577"/>
      <c r="N189" s="2579"/>
      <c r="O189" s="21">
        <f>SUM(O178:O185)</f>
        <v>0.372</v>
      </c>
      <c r="P189" s="24">
        <v>0.92</v>
      </c>
      <c r="Q189" s="21">
        <f>O189/P189</f>
        <v>0.40434782608695652</v>
      </c>
      <c r="R189" s="2577" t="s">
        <v>1833</v>
      </c>
      <c r="S189" s="2578"/>
      <c r="T189" s="2579"/>
      <c r="U189" s="21">
        <f>SUM(U178:U178)</f>
        <v>0</v>
      </c>
      <c r="V189" s="24">
        <v>0.92</v>
      </c>
      <c r="W189" s="21">
        <f>U189/V189</f>
        <v>0</v>
      </c>
    </row>
    <row r="190" spans="1:23" x14ac:dyDescent="0.25">
      <c r="A190" s="2776" t="str">
        <f>Итоговая!C277</f>
        <v xml:space="preserve">ПС 110/35/10 кВ Старица </v>
      </c>
      <c r="B190" s="2630">
        <f>Итоговая!D277</f>
        <v>16</v>
      </c>
      <c r="C190" s="2632" t="str">
        <f>Итоговая!E277</f>
        <v>+</v>
      </c>
      <c r="D190" s="2632">
        <f>Итоговая!F277</f>
        <v>16</v>
      </c>
      <c r="E190" s="400"/>
      <c r="F190" s="401"/>
      <c r="G190" s="2648" t="s">
        <v>1961</v>
      </c>
      <c r="H190" s="2648"/>
      <c r="I190" s="2648"/>
      <c r="J190" s="2648"/>
      <c r="K190" s="2648"/>
      <c r="L190" s="2649"/>
      <c r="M190" s="131"/>
      <c r="N190" s="132"/>
      <c r="O190" s="73"/>
      <c r="P190" s="73"/>
      <c r="Q190" s="270"/>
      <c r="R190" s="2645"/>
      <c r="S190" s="2645"/>
      <c r="T190" s="2645"/>
      <c r="U190" s="2645"/>
      <c r="V190" s="2645"/>
      <c r="W190" s="2646"/>
    </row>
    <row r="191" spans="1:23" ht="43.5" customHeight="1" x14ac:dyDescent="0.25">
      <c r="A191" s="2777"/>
      <c r="B191" s="2631"/>
      <c r="C191" s="2633"/>
      <c r="D191" s="2633"/>
      <c r="E191" s="404"/>
      <c r="F191" s="405"/>
      <c r="G191" s="41" t="s">
        <v>1864</v>
      </c>
      <c r="H191" s="128" t="s">
        <v>818</v>
      </c>
      <c r="I191" s="128" t="s">
        <v>819</v>
      </c>
      <c r="J191" s="128">
        <v>0.18099999999999999</v>
      </c>
      <c r="K191" s="128"/>
      <c r="L191" s="69"/>
      <c r="M191" s="128" t="s">
        <v>625</v>
      </c>
      <c r="N191" s="69" t="s">
        <v>820</v>
      </c>
      <c r="O191" s="128">
        <v>8.1000000000000003E-2</v>
      </c>
      <c r="P191" s="128"/>
      <c r="Q191" s="189"/>
      <c r="R191" s="312"/>
      <c r="S191" s="69"/>
      <c r="T191" s="69"/>
      <c r="U191" s="69"/>
      <c r="V191" s="69"/>
      <c r="W191" s="69"/>
    </row>
    <row r="192" spans="1:23" ht="66.75" customHeight="1" x14ac:dyDescent="0.25">
      <c r="A192" s="402"/>
      <c r="B192" s="403"/>
      <c r="C192" s="404"/>
      <c r="D192" s="404"/>
      <c r="E192" s="404"/>
      <c r="F192" s="405"/>
      <c r="G192" s="152" t="s">
        <v>1864</v>
      </c>
      <c r="H192" s="1" t="s">
        <v>821</v>
      </c>
      <c r="I192" s="1" t="s">
        <v>822</v>
      </c>
      <c r="J192" s="1">
        <v>0.77200000000000002</v>
      </c>
      <c r="K192" s="1"/>
      <c r="L192" s="22"/>
      <c r="M192" s="1" t="s">
        <v>625</v>
      </c>
      <c r="N192" s="1" t="s">
        <v>823</v>
      </c>
      <c r="O192" s="1">
        <v>0.22</v>
      </c>
      <c r="P192" s="1"/>
      <c r="Q192" s="12"/>
      <c r="R192" s="272"/>
      <c r="S192" s="22"/>
      <c r="T192" s="22"/>
      <c r="U192" s="22"/>
      <c r="V192" s="22"/>
      <c r="W192" s="22"/>
    </row>
    <row r="193" spans="1:23" ht="18.75" customHeight="1" x14ac:dyDescent="0.25">
      <c r="A193" s="402"/>
      <c r="B193" s="403"/>
      <c r="C193" s="404"/>
      <c r="D193" s="404"/>
      <c r="E193" s="404"/>
      <c r="F193" s="405"/>
      <c r="G193" s="2763" t="s">
        <v>1959</v>
      </c>
      <c r="H193" s="2759"/>
      <c r="I193" s="2759"/>
      <c r="J193" s="2759"/>
      <c r="K193" s="2759"/>
      <c r="L193" s="2759"/>
      <c r="M193" s="1" t="s">
        <v>625</v>
      </c>
      <c r="N193" s="11" t="s">
        <v>1416</v>
      </c>
      <c r="O193" s="1">
        <v>1.0349999999999999</v>
      </c>
      <c r="P193" s="1"/>
      <c r="Q193" s="12"/>
      <c r="R193" s="2600"/>
      <c r="S193" s="2650"/>
      <c r="T193" s="2650"/>
      <c r="U193" s="2650"/>
      <c r="V193" s="2650"/>
      <c r="W193" s="2650"/>
    </row>
    <row r="194" spans="1:23" ht="45" customHeight="1" x14ac:dyDescent="0.25">
      <c r="A194" s="402"/>
      <c r="B194" s="403"/>
      <c r="C194" s="404"/>
      <c r="D194" s="404"/>
      <c r="E194" s="404"/>
      <c r="F194" s="405"/>
      <c r="G194" s="272" t="s">
        <v>2311</v>
      </c>
      <c r="H194" s="22" t="s">
        <v>2312</v>
      </c>
      <c r="I194" s="22" t="s">
        <v>2313</v>
      </c>
      <c r="J194" s="22">
        <v>0.1</v>
      </c>
      <c r="K194" s="22"/>
      <c r="L194" s="22"/>
      <c r="M194" s="8"/>
      <c r="N194" s="8"/>
      <c r="O194" s="8"/>
      <c r="P194" s="1"/>
      <c r="Q194" s="12"/>
      <c r="R194" s="272"/>
      <c r="S194" s="22"/>
      <c r="T194" s="22"/>
      <c r="U194" s="22"/>
      <c r="V194" s="22"/>
      <c r="W194" s="22"/>
    </row>
    <row r="195" spans="1:23" ht="43.5" customHeight="1" x14ac:dyDescent="0.25">
      <c r="A195" s="402"/>
      <c r="B195" s="403"/>
      <c r="C195" s="404"/>
      <c r="D195" s="404"/>
      <c r="E195" s="404"/>
      <c r="F195" s="405"/>
      <c r="G195" s="152" t="s">
        <v>824</v>
      </c>
      <c r="H195" s="1" t="s">
        <v>825</v>
      </c>
      <c r="I195" s="1" t="s">
        <v>826</v>
      </c>
      <c r="J195" s="1">
        <v>0.05</v>
      </c>
      <c r="K195" s="1"/>
      <c r="L195" s="22"/>
      <c r="M195" s="1" t="s">
        <v>2330</v>
      </c>
      <c r="N195" s="1" t="s">
        <v>2331</v>
      </c>
      <c r="O195" s="8">
        <v>0.05</v>
      </c>
      <c r="P195" s="1"/>
      <c r="Q195" s="12"/>
      <c r="R195" s="272"/>
      <c r="S195" s="22"/>
      <c r="T195" s="22"/>
      <c r="U195" s="22"/>
      <c r="V195" s="22"/>
      <c r="W195" s="22"/>
    </row>
    <row r="196" spans="1:23" ht="17.25" customHeight="1" thickBot="1" x14ac:dyDescent="0.3">
      <c r="A196" s="402"/>
      <c r="B196" s="403"/>
      <c r="C196" s="404"/>
      <c r="D196" s="404"/>
      <c r="E196" s="404"/>
      <c r="F196" s="405"/>
      <c r="G196" s="2763" t="s">
        <v>2032</v>
      </c>
      <c r="H196" s="2759"/>
      <c r="I196" s="2759"/>
      <c r="J196" s="2759"/>
      <c r="K196" s="2759"/>
      <c r="L196" s="2759"/>
      <c r="M196" s="1"/>
      <c r="N196" s="1"/>
      <c r="O196" s="8"/>
      <c r="P196" s="1"/>
      <c r="Q196" s="12"/>
      <c r="R196" s="2600"/>
      <c r="S196" s="2650"/>
      <c r="T196" s="2650"/>
      <c r="U196" s="2650"/>
      <c r="V196" s="2650"/>
      <c r="W196" s="2650"/>
    </row>
    <row r="197" spans="1:23" ht="62.25" customHeight="1" x14ac:dyDescent="0.25">
      <c r="A197" s="402"/>
      <c r="B197" s="403"/>
      <c r="C197" s="404"/>
      <c r="D197" s="404"/>
      <c r="E197" s="404"/>
      <c r="F197" s="405"/>
      <c r="G197" s="152" t="s">
        <v>827</v>
      </c>
      <c r="H197" s="1" t="s">
        <v>106</v>
      </c>
      <c r="I197" s="1" t="s">
        <v>2288</v>
      </c>
      <c r="J197" s="1">
        <v>0.2</v>
      </c>
      <c r="K197" s="1"/>
      <c r="L197" s="22"/>
      <c r="M197" s="9" t="s">
        <v>2511</v>
      </c>
      <c r="N197" s="9" t="s">
        <v>3550</v>
      </c>
      <c r="O197" s="17">
        <v>0</v>
      </c>
      <c r="P197" s="1"/>
      <c r="Q197" s="12"/>
      <c r="R197" s="272"/>
      <c r="S197" s="22"/>
      <c r="T197" s="22"/>
      <c r="U197" s="22"/>
      <c r="V197" s="22"/>
      <c r="W197" s="22"/>
    </row>
    <row r="198" spans="1:23" ht="68.25" customHeight="1" x14ac:dyDescent="0.25">
      <c r="A198" s="402"/>
      <c r="B198" s="403"/>
      <c r="C198" s="404"/>
      <c r="D198" s="404"/>
      <c r="E198" s="404"/>
      <c r="F198" s="405"/>
      <c r="G198" s="272" t="s">
        <v>29</v>
      </c>
      <c r="H198" s="1" t="s">
        <v>30</v>
      </c>
      <c r="I198" s="1" t="s">
        <v>2276</v>
      </c>
      <c r="J198" s="1">
        <v>0.05</v>
      </c>
      <c r="K198" s="1"/>
      <c r="L198" s="22"/>
      <c r="M198" s="1512"/>
      <c r="N198" s="1495"/>
      <c r="O198" s="1"/>
      <c r="P198" s="1"/>
      <c r="Q198" s="12"/>
      <c r="R198" s="272"/>
      <c r="S198" s="22"/>
      <c r="T198" s="22"/>
      <c r="U198" s="22"/>
      <c r="V198" s="22"/>
      <c r="W198" s="22"/>
    </row>
    <row r="199" spans="1:23" ht="136.5" customHeight="1" x14ac:dyDescent="0.25">
      <c r="A199" s="402"/>
      <c r="B199" s="403"/>
      <c r="C199" s="404"/>
      <c r="D199" s="404"/>
      <c r="E199" s="404"/>
      <c r="F199" s="405"/>
      <c r="G199" s="20" t="s">
        <v>2197</v>
      </c>
      <c r="H199" s="24" t="s">
        <v>2198</v>
      </c>
      <c r="I199" s="24" t="s">
        <v>2455</v>
      </c>
      <c r="J199" s="24">
        <v>0.03</v>
      </c>
      <c r="K199" s="24"/>
      <c r="L199" s="62"/>
      <c r="M199" s="62" t="s">
        <v>15307</v>
      </c>
      <c r="N199" s="1506" t="s">
        <v>15318</v>
      </c>
      <c r="O199" s="24">
        <v>2.5000000000000001E-2</v>
      </c>
      <c r="P199" s="128"/>
      <c r="Q199" s="189"/>
      <c r="R199" s="62"/>
      <c r="S199" s="62"/>
      <c r="T199" s="62"/>
      <c r="U199" s="62"/>
      <c r="V199" s="62"/>
      <c r="W199" s="62"/>
    </row>
    <row r="200" spans="1:23" ht="19.5" customHeight="1" x14ac:dyDescent="0.25">
      <c r="A200" s="402"/>
      <c r="B200" s="403"/>
      <c r="C200" s="404"/>
      <c r="D200" s="404"/>
      <c r="E200" s="404"/>
      <c r="F200" s="405"/>
      <c r="G200" s="2763" t="s">
        <v>2477</v>
      </c>
      <c r="H200" s="2759"/>
      <c r="I200" s="2759"/>
      <c r="J200" s="2759"/>
      <c r="K200" s="2759"/>
      <c r="L200" s="2759"/>
      <c r="M200" s="1558"/>
      <c r="N200" s="1547"/>
      <c r="O200" s="1"/>
      <c r="P200" s="1"/>
      <c r="Q200" s="12"/>
      <c r="R200" s="2600"/>
      <c r="S200" s="2650"/>
      <c r="T200" s="2650"/>
      <c r="U200" s="2650"/>
      <c r="V200" s="2650"/>
      <c r="W200" s="2650"/>
    </row>
    <row r="201" spans="1:23" ht="90" customHeight="1" x14ac:dyDescent="0.25">
      <c r="A201" s="402"/>
      <c r="B201" s="403"/>
      <c r="C201" s="404"/>
      <c r="D201" s="404"/>
      <c r="E201" s="404"/>
      <c r="F201" s="405"/>
      <c r="G201" s="152" t="s">
        <v>2197</v>
      </c>
      <c r="H201" s="1" t="s">
        <v>2475</v>
      </c>
      <c r="I201" s="1" t="s">
        <v>2476</v>
      </c>
      <c r="J201" s="1">
        <v>0.25</v>
      </c>
      <c r="K201" s="1"/>
      <c r="L201" s="22"/>
      <c r="M201" s="1710"/>
      <c r="N201" s="1696"/>
      <c r="O201" s="1"/>
      <c r="P201" s="1"/>
      <c r="Q201" s="12"/>
      <c r="R201" s="22"/>
      <c r="S201" s="22"/>
      <c r="T201" s="22"/>
      <c r="U201" s="22"/>
      <c r="V201" s="22"/>
      <c r="W201" s="22"/>
    </row>
    <row r="202" spans="1:23" ht="90" customHeight="1" x14ac:dyDescent="0.25">
      <c r="A202" s="623"/>
      <c r="B202" s="624"/>
      <c r="C202" s="625"/>
      <c r="D202" s="625"/>
      <c r="E202" s="625"/>
      <c r="F202" s="622"/>
      <c r="G202" s="1" t="s">
        <v>2398</v>
      </c>
      <c r="H202" s="1" t="s">
        <v>2399</v>
      </c>
      <c r="I202" s="1" t="s">
        <v>2548</v>
      </c>
      <c r="J202" s="8">
        <f>0.025-0.015</f>
        <v>1.0000000000000002E-2</v>
      </c>
      <c r="K202" s="1"/>
      <c r="L202" s="22"/>
      <c r="M202" s="22"/>
      <c r="N202" s="1"/>
      <c r="O202" s="1"/>
      <c r="P202" s="1"/>
      <c r="Q202" s="12"/>
      <c r="R202" s="22"/>
      <c r="S202" s="22"/>
      <c r="T202" s="22"/>
      <c r="U202" s="22"/>
      <c r="V202" s="22"/>
      <c r="W202" s="22"/>
    </row>
    <row r="203" spans="1:23" ht="90" customHeight="1" x14ac:dyDescent="0.25">
      <c r="A203" s="723"/>
      <c r="B203" s="724"/>
      <c r="C203" s="725"/>
      <c r="D203" s="725"/>
      <c r="E203" s="725"/>
      <c r="F203" s="722"/>
      <c r="G203" s="1" t="s">
        <v>2511</v>
      </c>
      <c r="H203" s="1" t="s">
        <v>2564</v>
      </c>
      <c r="I203" s="1" t="s">
        <v>2741</v>
      </c>
      <c r="J203" s="8">
        <v>2.3E-2</v>
      </c>
      <c r="K203" s="1"/>
      <c r="L203" s="22"/>
      <c r="M203" s="22"/>
      <c r="N203" s="1"/>
      <c r="O203" s="1"/>
      <c r="P203" s="1"/>
      <c r="Q203" s="1"/>
      <c r="R203" s="71"/>
      <c r="S203" s="71"/>
      <c r="T203" s="312"/>
      <c r="U203" s="69"/>
      <c r="V203" s="69"/>
      <c r="W203" s="69"/>
    </row>
    <row r="204" spans="1:23" ht="25.5" customHeight="1" x14ac:dyDescent="0.25">
      <c r="A204" s="1185"/>
      <c r="B204" s="1183"/>
      <c r="C204" s="1187"/>
      <c r="D204" s="1187"/>
      <c r="E204" s="1187"/>
      <c r="F204" s="1184"/>
      <c r="G204" s="2763" t="s">
        <v>3020</v>
      </c>
      <c r="H204" s="2759"/>
      <c r="I204" s="2759"/>
      <c r="J204" s="2759"/>
      <c r="K204" s="2759"/>
      <c r="L204" s="2759"/>
      <c r="M204" s="22"/>
      <c r="N204" s="1"/>
      <c r="O204" s="1"/>
      <c r="P204" s="1"/>
      <c r="Q204" s="1"/>
      <c r="R204" s="71"/>
      <c r="S204" s="71"/>
      <c r="T204" s="312"/>
      <c r="U204" s="69"/>
      <c r="V204" s="69"/>
      <c r="W204" s="69"/>
    </row>
    <row r="205" spans="1:23" ht="30.75" customHeight="1" x14ac:dyDescent="0.25">
      <c r="A205" s="1185"/>
      <c r="B205" s="1183"/>
      <c r="C205" s="1187"/>
      <c r="D205" s="1187"/>
      <c r="E205" s="1187"/>
      <c r="F205" s="1184"/>
      <c r="G205" s="2624"/>
      <c r="H205" s="2599"/>
      <c r="I205" s="2600"/>
      <c r="J205" s="1944"/>
      <c r="K205" s="1921"/>
      <c r="L205" s="1921"/>
      <c r="M205" s="22"/>
      <c r="N205" s="1"/>
      <c r="O205" s="1"/>
      <c r="P205" s="1"/>
      <c r="Q205" s="1"/>
      <c r="R205" s="71"/>
      <c r="S205" s="71"/>
      <c r="T205" s="312"/>
      <c r="U205" s="69"/>
      <c r="V205" s="69"/>
      <c r="W205" s="69"/>
    </row>
    <row r="206" spans="1:23" ht="30.75" customHeight="1" x14ac:dyDescent="0.25">
      <c r="A206" s="1237"/>
      <c r="B206" s="1231"/>
      <c r="C206" s="1239"/>
      <c r="D206" s="1239"/>
      <c r="E206" s="1239"/>
      <c r="F206" s="1232"/>
      <c r="G206" s="2763" t="s">
        <v>3447</v>
      </c>
      <c r="H206" s="2759"/>
      <c r="I206" s="2759"/>
      <c r="J206" s="2759"/>
      <c r="K206" s="2759"/>
      <c r="L206" s="2759"/>
      <c r="M206" s="1240"/>
      <c r="N206" s="1229"/>
      <c r="O206" s="1229"/>
      <c r="P206" s="1229"/>
      <c r="Q206" s="1229"/>
      <c r="R206" s="71"/>
      <c r="S206" s="71"/>
      <c r="T206" s="312"/>
      <c r="U206" s="69"/>
      <c r="V206" s="69"/>
      <c r="W206" s="69"/>
    </row>
    <row r="207" spans="1:23" ht="30.75" customHeight="1" x14ac:dyDescent="0.25">
      <c r="A207" s="1237"/>
      <c r="B207" s="1231"/>
      <c r="C207" s="1239"/>
      <c r="D207" s="1239"/>
      <c r="E207" s="1239"/>
      <c r="F207" s="1232"/>
      <c r="G207" s="1240" t="s">
        <v>3341</v>
      </c>
      <c r="H207" s="1229" t="s">
        <v>3342</v>
      </c>
      <c r="I207" s="1240" t="s">
        <v>3448</v>
      </c>
      <c r="J207" s="1252">
        <f>0.05*0.9</f>
        <v>4.5000000000000005E-2</v>
      </c>
      <c r="K207" s="1240"/>
      <c r="L207" s="1240"/>
      <c r="M207" s="1240"/>
      <c r="N207" s="1229"/>
      <c r="O207" s="1229"/>
      <c r="P207" s="1229"/>
      <c r="Q207" s="1229"/>
      <c r="R207" s="71"/>
      <c r="S207" s="71"/>
      <c r="T207" s="312"/>
      <c r="U207" s="69"/>
      <c r="V207" s="69"/>
      <c r="W207" s="69"/>
    </row>
    <row r="208" spans="1:23" ht="30.75" customHeight="1" x14ac:dyDescent="0.25">
      <c r="A208" s="1256"/>
      <c r="B208" s="1263"/>
      <c r="C208" s="1267"/>
      <c r="D208" s="1267"/>
      <c r="E208" s="1267"/>
      <c r="F208" s="1264"/>
      <c r="G208" s="1258" t="s">
        <v>3339</v>
      </c>
      <c r="H208" s="1258" t="s">
        <v>3340</v>
      </c>
      <c r="I208" s="1574" t="s">
        <v>3490</v>
      </c>
      <c r="J208" s="1281">
        <f>0.05*0.9</f>
        <v>4.5000000000000005E-2</v>
      </c>
      <c r="K208" s="1268"/>
      <c r="L208" s="1268"/>
      <c r="M208" s="1268"/>
      <c r="N208" s="1258"/>
      <c r="O208" s="1258"/>
      <c r="P208" s="1258"/>
      <c r="Q208" s="1258"/>
      <c r="R208" s="71"/>
      <c r="S208" s="71"/>
      <c r="T208" s="312"/>
      <c r="U208" s="69"/>
      <c r="V208" s="69"/>
      <c r="W208" s="69"/>
    </row>
    <row r="209" spans="1:23" ht="30.75" customHeight="1" x14ac:dyDescent="0.25">
      <c r="A209" s="1572"/>
      <c r="B209" s="1567"/>
      <c r="C209" s="1573"/>
      <c r="D209" s="1573"/>
      <c r="E209" s="1573"/>
      <c r="F209" s="1568"/>
      <c r="G209" s="1574" t="s">
        <v>15303</v>
      </c>
      <c r="H209" s="1564" t="s">
        <v>15304</v>
      </c>
      <c r="I209" s="1574" t="s">
        <v>16735</v>
      </c>
      <c r="J209" s="1583">
        <f>0.45*0.75</f>
        <v>0.33750000000000002</v>
      </c>
      <c r="K209" s="1574"/>
      <c r="L209" s="1574"/>
      <c r="M209" s="1574"/>
      <c r="N209" s="1564"/>
      <c r="O209" s="1564"/>
      <c r="P209" s="1564"/>
      <c r="Q209" s="1564"/>
      <c r="R209" s="71"/>
      <c r="S209" s="71"/>
      <c r="T209" s="312"/>
      <c r="U209" s="69"/>
      <c r="V209" s="69"/>
      <c r="W209" s="69"/>
    </row>
    <row r="210" spans="1:23" ht="30.75" customHeight="1" x14ac:dyDescent="0.25">
      <c r="A210" s="1648"/>
      <c r="B210" s="1631"/>
      <c r="C210" s="1635"/>
      <c r="D210" s="1635"/>
      <c r="E210" s="1635"/>
      <c r="F210" s="1637"/>
      <c r="G210" s="2679" t="s">
        <v>3401</v>
      </c>
      <c r="H210" s="2680"/>
      <c r="I210" s="2681"/>
      <c r="J210" s="1200">
        <f>0.1885*0.9</f>
        <v>0.16965</v>
      </c>
      <c r="K210" s="1636"/>
      <c r="L210" s="1636"/>
      <c r="M210" s="1636"/>
      <c r="N210" s="1626"/>
      <c r="O210" s="1626"/>
      <c r="P210" s="1626"/>
      <c r="Q210" s="1626"/>
      <c r="R210" s="71"/>
      <c r="S210" s="71"/>
      <c r="T210" s="312"/>
      <c r="U210" s="69"/>
      <c r="V210" s="69"/>
      <c r="W210" s="69"/>
    </row>
    <row r="211" spans="1:23" ht="30.75" customHeight="1" x14ac:dyDescent="0.25">
      <c r="A211" s="1756"/>
      <c r="B211" s="1741"/>
      <c r="C211" s="1742"/>
      <c r="D211" s="1742"/>
      <c r="E211" s="1742"/>
      <c r="F211" s="1743"/>
      <c r="G211" s="1744" t="s">
        <v>16700</v>
      </c>
      <c r="H211" s="1732" t="s">
        <v>16701</v>
      </c>
      <c r="I211" s="1732" t="s">
        <v>16875</v>
      </c>
      <c r="J211" s="1764">
        <f>0.41*0.75</f>
        <v>0.3075</v>
      </c>
      <c r="K211" s="1744"/>
      <c r="L211" s="1744"/>
      <c r="M211" s="1744"/>
      <c r="N211" s="1732"/>
      <c r="O211" s="1732"/>
      <c r="P211" s="1732"/>
      <c r="Q211" s="1732"/>
      <c r="R211" s="71"/>
      <c r="S211" s="71"/>
      <c r="T211" s="312"/>
      <c r="U211" s="69"/>
      <c r="V211" s="69"/>
      <c r="W211" s="69"/>
    </row>
    <row r="212" spans="1:23" ht="30.75" customHeight="1" x14ac:dyDescent="0.25">
      <c r="A212" s="1935"/>
      <c r="B212" s="1919"/>
      <c r="C212" s="1920"/>
      <c r="D212" s="1920"/>
      <c r="E212" s="1920"/>
      <c r="F212" s="1923"/>
      <c r="G212" s="1921" t="s">
        <v>16799</v>
      </c>
      <c r="H212" s="1911" t="s">
        <v>16800</v>
      </c>
      <c r="I212" s="1911" t="s">
        <v>17040</v>
      </c>
      <c r="J212" s="1944">
        <f>0.5*0.75</f>
        <v>0.375</v>
      </c>
      <c r="K212" s="1921"/>
      <c r="L212" s="1921"/>
      <c r="M212" s="1921"/>
      <c r="N212" s="1911"/>
      <c r="O212" s="1911"/>
      <c r="P212" s="1911"/>
      <c r="Q212" s="1911"/>
      <c r="R212" s="71"/>
      <c r="S212" s="71"/>
      <c r="T212" s="312"/>
      <c r="U212" s="69"/>
      <c r="V212" s="69"/>
      <c r="W212" s="69"/>
    </row>
    <row r="213" spans="1:23" ht="30.75" customHeight="1" x14ac:dyDescent="0.25">
      <c r="A213" s="2091"/>
      <c r="B213" s="2073"/>
      <c r="C213" s="2074"/>
      <c r="D213" s="2074"/>
      <c r="E213" s="2074"/>
      <c r="F213" s="2077"/>
      <c r="G213" s="2763" t="s">
        <v>17005</v>
      </c>
      <c r="H213" s="2759"/>
      <c r="I213" s="2759"/>
      <c r="J213" s="2759"/>
      <c r="K213" s="2759"/>
      <c r="L213" s="2759"/>
      <c r="M213" s="2076"/>
      <c r="N213" s="2066"/>
      <c r="O213" s="2066"/>
      <c r="P213" s="2066"/>
      <c r="Q213" s="2066"/>
      <c r="R213" s="71"/>
      <c r="S213" s="71"/>
      <c r="T213" s="312"/>
      <c r="U213" s="69"/>
      <c r="V213" s="69"/>
      <c r="W213" s="69"/>
    </row>
    <row r="214" spans="1:23" ht="30.75" customHeight="1" x14ac:dyDescent="0.25">
      <c r="A214" s="2091"/>
      <c r="B214" s="2073"/>
      <c r="C214" s="2074"/>
      <c r="D214" s="2074"/>
      <c r="E214" s="2074"/>
      <c r="F214" s="2077"/>
      <c r="G214" s="2076" t="s">
        <v>19858</v>
      </c>
      <c r="H214" s="2066" t="s">
        <v>19859</v>
      </c>
      <c r="I214" s="2066" t="s">
        <v>19860</v>
      </c>
      <c r="J214" s="2097">
        <f>0.03*0.9</f>
        <v>2.7E-2</v>
      </c>
      <c r="K214" s="2076"/>
      <c r="L214" s="2076"/>
      <c r="M214" s="2076"/>
      <c r="N214" s="2066"/>
      <c r="O214" s="2066"/>
      <c r="P214" s="2066"/>
      <c r="Q214" s="2066"/>
      <c r="R214" s="71"/>
      <c r="S214" s="71"/>
      <c r="T214" s="312"/>
      <c r="U214" s="69"/>
      <c r="V214" s="69"/>
      <c r="W214" s="69"/>
    </row>
    <row r="215" spans="1:23" ht="30.75" customHeight="1" x14ac:dyDescent="0.25">
      <c r="A215" s="2091"/>
      <c r="B215" s="2073"/>
      <c r="C215" s="2074"/>
      <c r="D215" s="2074"/>
      <c r="E215" s="2074"/>
      <c r="F215" s="2077"/>
      <c r="G215" s="2076" t="s">
        <v>19912</v>
      </c>
      <c r="H215" s="2066" t="s">
        <v>19913</v>
      </c>
      <c r="I215" s="2066" t="s">
        <v>19914</v>
      </c>
      <c r="J215" s="2097">
        <f>(0.03)*0.15</f>
        <v>4.4999999999999997E-3</v>
      </c>
      <c r="K215" s="2076"/>
      <c r="L215" s="2076"/>
      <c r="M215" s="2076"/>
      <c r="N215" s="2066"/>
      <c r="O215" s="2066"/>
      <c r="P215" s="2066"/>
      <c r="Q215" s="2066"/>
      <c r="R215" s="71"/>
      <c r="S215" s="71"/>
      <c r="T215" s="312"/>
      <c r="U215" s="69"/>
      <c r="V215" s="69"/>
      <c r="W215" s="69"/>
    </row>
    <row r="216" spans="1:23" ht="30.75" customHeight="1" x14ac:dyDescent="0.25">
      <c r="A216" s="2236"/>
      <c r="B216" s="2214"/>
      <c r="C216" s="2215"/>
      <c r="D216" s="2215"/>
      <c r="E216" s="2215"/>
      <c r="F216" s="2219"/>
      <c r="G216" s="2679" t="s">
        <v>3401</v>
      </c>
      <c r="H216" s="2680"/>
      <c r="I216" s="2681"/>
      <c r="J216" s="1200">
        <f>0.228*0.9</f>
        <v>0.20520000000000002</v>
      </c>
      <c r="K216" s="2218"/>
      <c r="L216" s="2218"/>
      <c r="M216" s="2218"/>
      <c r="N216" s="2205"/>
      <c r="O216" s="2205"/>
      <c r="P216" s="2205"/>
      <c r="Q216" s="2205"/>
      <c r="R216" s="71"/>
      <c r="S216" s="71"/>
      <c r="T216" s="312"/>
      <c r="U216" s="69"/>
      <c r="V216" s="69"/>
      <c r="W216" s="69"/>
    </row>
    <row r="217" spans="1:23" ht="15.75" customHeight="1" thickBot="1" x14ac:dyDescent="0.3">
      <c r="A217" s="406"/>
      <c r="B217" s="395"/>
      <c r="C217" s="396"/>
      <c r="D217" s="396"/>
      <c r="E217" s="396"/>
      <c r="F217" s="397"/>
      <c r="G217" s="2580" t="s">
        <v>1833</v>
      </c>
      <c r="H217" s="2580"/>
      <c r="I217" s="2580"/>
      <c r="J217" s="235">
        <f>SUM(J205:J216)</f>
        <v>1.5163500000000001</v>
      </c>
      <c r="K217" s="1">
        <v>0.92</v>
      </c>
      <c r="L217" s="235">
        <f>J217/K217</f>
        <v>1.6482065217391304</v>
      </c>
      <c r="M217" s="2580" t="s">
        <v>1834</v>
      </c>
      <c r="N217" s="2580"/>
      <c r="O217" s="235">
        <f>SUM(O191:O210)</f>
        <v>1.4109999999999998</v>
      </c>
      <c r="P217" s="1">
        <v>0.92</v>
      </c>
      <c r="Q217" s="235">
        <f>O217/P217</f>
        <v>1.5336956521739127</v>
      </c>
      <c r="R217" s="2643" t="s">
        <v>1833</v>
      </c>
      <c r="S217" s="2643"/>
      <c r="T217" s="2603"/>
      <c r="U217" s="140">
        <f>SUM(U194:U195,U197:U199,U201)</f>
        <v>0</v>
      </c>
      <c r="V217" s="141">
        <v>0.92</v>
      </c>
      <c r="W217" s="140">
        <f>U217/V217</f>
        <v>0</v>
      </c>
    </row>
    <row r="218" spans="1:23" x14ac:dyDescent="0.25">
      <c r="A218" s="2776" t="str">
        <f>Итоговая!C280</f>
        <v xml:space="preserve">ПС 110/35/10 кВ З.Поле </v>
      </c>
      <c r="B218" s="2630">
        <f>Итоговая!D280</f>
        <v>6.3</v>
      </c>
      <c r="C218" s="2632" t="str">
        <f>Итоговая!E280</f>
        <v>+</v>
      </c>
      <c r="D218" s="2632">
        <f>Итоговая!F280</f>
        <v>6.3</v>
      </c>
      <c r="E218" s="400"/>
      <c r="F218" s="401"/>
      <c r="G218" s="2778" t="s">
        <v>1959</v>
      </c>
      <c r="H218" s="2778"/>
      <c r="I218" s="2778"/>
      <c r="J218" s="2778"/>
      <c r="K218" s="2778"/>
      <c r="L218" s="2779"/>
      <c r="M218" s="126"/>
      <c r="N218" s="127"/>
      <c r="O218" s="162"/>
      <c r="P218" s="51"/>
      <c r="Q218" s="51"/>
      <c r="R218" s="2770"/>
      <c r="S218" s="2653"/>
      <c r="T218" s="2653"/>
      <c r="U218" s="2653"/>
      <c r="V218" s="2653"/>
      <c r="W218" s="2654"/>
    </row>
    <row r="219" spans="1:23" ht="135" x14ac:dyDescent="0.25">
      <c r="A219" s="2777"/>
      <c r="B219" s="2631"/>
      <c r="C219" s="2633"/>
      <c r="D219" s="2633"/>
      <c r="E219" s="404"/>
      <c r="F219" s="405"/>
      <c r="G219" s="152" t="s">
        <v>830</v>
      </c>
      <c r="H219" s="1" t="s">
        <v>831</v>
      </c>
      <c r="I219" s="1" t="s">
        <v>832</v>
      </c>
      <c r="J219" s="1">
        <v>0.06</v>
      </c>
      <c r="K219" s="1"/>
      <c r="L219" s="22"/>
      <c r="M219" s="62" t="s">
        <v>15307</v>
      </c>
      <c r="N219" s="1506" t="s">
        <v>15319</v>
      </c>
      <c r="O219" s="1506">
        <v>2.5000000000000001E-2</v>
      </c>
      <c r="P219" s="1"/>
      <c r="Q219" s="1"/>
      <c r="R219" s="22"/>
      <c r="S219" s="22"/>
      <c r="T219" s="22"/>
      <c r="U219" s="22"/>
      <c r="V219" s="22"/>
      <c r="W219" s="22"/>
    </row>
    <row r="220" spans="1:23" ht="42.75" customHeight="1" x14ac:dyDescent="0.25">
      <c r="A220" s="402"/>
      <c r="B220" s="403"/>
      <c r="C220" s="404"/>
      <c r="D220" s="404"/>
      <c r="E220" s="404"/>
      <c r="F220" s="405"/>
      <c r="G220" s="2763" t="s">
        <v>2032</v>
      </c>
      <c r="H220" s="2759"/>
      <c r="I220" s="2759"/>
      <c r="J220" s="2759"/>
      <c r="K220" s="2759"/>
      <c r="L220" s="2759"/>
      <c r="M220" s="62" t="s">
        <v>15307</v>
      </c>
      <c r="N220" s="1702" t="s">
        <v>16801</v>
      </c>
      <c r="O220" s="1702">
        <v>2.5000000000000001E-2</v>
      </c>
      <c r="P220" s="1"/>
      <c r="Q220" s="1"/>
      <c r="R220" s="2650"/>
      <c r="S220" s="2650"/>
      <c r="T220" s="2650"/>
      <c r="U220" s="2650"/>
      <c r="V220" s="2650"/>
      <c r="W220" s="2650"/>
    </row>
    <row r="221" spans="1:23" ht="135" x14ac:dyDescent="0.25">
      <c r="A221" s="402"/>
      <c r="B221" s="403"/>
      <c r="C221" s="404"/>
      <c r="D221" s="404"/>
      <c r="E221" s="404"/>
      <c r="F221" s="405"/>
      <c r="G221" s="152" t="s">
        <v>833</v>
      </c>
      <c r="H221" s="1" t="s">
        <v>834</v>
      </c>
      <c r="I221" s="1" t="s">
        <v>2291</v>
      </c>
      <c r="J221" s="1">
        <v>0.17</v>
      </c>
      <c r="K221" s="1"/>
      <c r="L221" s="22"/>
      <c r="M221" s="62" t="s">
        <v>15307</v>
      </c>
      <c r="N221" s="1702" t="s">
        <v>16802</v>
      </c>
      <c r="O221" s="1702">
        <v>2.5000000000000001E-2</v>
      </c>
      <c r="P221" s="1"/>
      <c r="Q221" s="1"/>
      <c r="R221" s="22"/>
      <c r="S221" s="22"/>
      <c r="T221" s="22"/>
      <c r="U221" s="22"/>
      <c r="V221" s="22"/>
      <c r="W221" s="22"/>
    </row>
    <row r="222" spans="1:23" ht="60" x14ac:dyDescent="0.25">
      <c r="A222" s="402"/>
      <c r="B222" s="403"/>
      <c r="C222" s="404"/>
      <c r="D222" s="404"/>
      <c r="E222" s="404"/>
      <c r="F222" s="405"/>
      <c r="G222" s="268" t="s">
        <v>1</v>
      </c>
      <c r="H222" s="11" t="s">
        <v>2</v>
      </c>
      <c r="I222" s="1" t="s">
        <v>2255</v>
      </c>
      <c r="J222" s="11">
        <v>0.09</v>
      </c>
      <c r="K222" s="1"/>
      <c r="L222" s="22"/>
      <c r="M222" s="11"/>
      <c r="N222" s="11"/>
      <c r="O222" s="11"/>
      <c r="P222" s="1"/>
      <c r="Q222" s="1"/>
      <c r="R222" s="35"/>
      <c r="S222" s="35"/>
      <c r="T222" s="22"/>
      <c r="U222" s="35"/>
      <c r="V222" s="22"/>
      <c r="W222" s="22"/>
    </row>
    <row r="223" spans="1:23" ht="105" x14ac:dyDescent="0.25">
      <c r="A223" s="402"/>
      <c r="B223" s="403"/>
      <c r="C223" s="404"/>
      <c r="D223" s="404"/>
      <c r="E223" s="404"/>
      <c r="F223" s="405"/>
      <c r="G223" s="152" t="s">
        <v>797</v>
      </c>
      <c r="H223" s="1" t="s">
        <v>798</v>
      </c>
      <c r="I223" s="1" t="s">
        <v>2278</v>
      </c>
      <c r="J223" s="11">
        <v>0.25</v>
      </c>
      <c r="K223" s="1"/>
      <c r="L223" s="22"/>
      <c r="M223" s="11"/>
      <c r="N223" s="11"/>
      <c r="O223" s="11"/>
      <c r="P223" s="1"/>
      <c r="Q223" s="1"/>
      <c r="R223" s="22"/>
      <c r="S223" s="22"/>
      <c r="T223" s="346"/>
      <c r="U223" s="35"/>
      <c r="V223" s="22"/>
      <c r="W223" s="22"/>
    </row>
    <row r="224" spans="1:23" x14ac:dyDescent="0.25">
      <c r="A224" s="723"/>
      <c r="B224" s="724"/>
      <c r="C224" s="725"/>
      <c r="D224" s="725"/>
      <c r="E224" s="725"/>
      <c r="F224" s="722"/>
      <c r="G224" s="2763" t="s">
        <v>2477</v>
      </c>
      <c r="H224" s="2759"/>
      <c r="I224" s="2759"/>
      <c r="J224" s="2759"/>
      <c r="K224" s="2759"/>
      <c r="L224" s="2759"/>
      <c r="M224" s="11"/>
      <c r="N224" s="11"/>
      <c r="O224" s="11"/>
      <c r="P224" s="24"/>
      <c r="Q224" s="24"/>
      <c r="R224" s="129"/>
      <c r="S224" s="652"/>
      <c r="T224" s="730"/>
      <c r="U224" s="731"/>
      <c r="V224" s="62"/>
      <c r="W224" s="62"/>
    </row>
    <row r="225" spans="1:23" ht="150" x14ac:dyDescent="0.25">
      <c r="A225" s="723"/>
      <c r="B225" s="724"/>
      <c r="C225" s="725"/>
      <c r="D225" s="725"/>
      <c r="E225" s="725"/>
      <c r="F225" s="722"/>
      <c r="G225" s="1" t="s">
        <v>2511</v>
      </c>
      <c r="H225" s="1" t="s">
        <v>2626</v>
      </c>
      <c r="I225" s="1" t="s">
        <v>2742</v>
      </c>
      <c r="J225" s="11">
        <v>2.3E-2</v>
      </c>
      <c r="K225" s="1"/>
      <c r="L225" s="22"/>
      <c r="M225" s="11"/>
      <c r="N225" s="11"/>
      <c r="O225" s="11"/>
      <c r="P225" s="24"/>
      <c r="Q225" s="24"/>
      <c r="R225" s="129"/>
      <c r="S225" s="652"/>
      <c r="T225" s="730"/>
      <c r="U225" s="731"/>
      <c r="V225" s="62"/>
      <c r="W225" s="62"/>
    </row>
    <row r="226" spans="1:23" x14ac:dyDescent="0.25">
      <c r="A226" s="1173"/>
      <c r="B226" s="1174"/>
      <c r="C226" s="1176"/>
      <c r="D226" s="1176"/>
      <c r="E226" s="1176"/>
      <c r="F226" s="1175"/>
      <c r="G226" s="2763" t="s">
        <v>3020</v>
      </c>
      <c r="H226" s="2759"/>
      <c r="I226" s="2759"/>
      <c r="J226" s="2759"/>
      <c r="K226" s="2759"/>
      <c r="L226" s="2759"/>
      <c r="M226" s="876"/>
      <c r="N226" s="877"/>
      <c r="O226" s="34"/>
      <c r="P226" s="24"/>
      <c r="Q226" s="24"/>
      <c r="R226" s="129"/>
      <c r="S226" s="652"/>
      <c r="T226" s="730"/>
      <c r="U226" s="731"/>
      <c r="V226" s="62"/>
      <c r="W226" s="62"/>
    </row>
    <row r="227" spans="1:23" ht="19.5" customHeight="1" x14ac:dyDescent="0.25">
      <c r="A227" s="1173"/>
      <c r="B227" s="1174"/>
      <c r="C227" s="1176"/>
      <c r="D227" s="1176"/>
      <c r="E227" s="1176"/>
      <c r="F227" s="1175"/>
      <c r="G227" s="2624"/>
      <c r="H227" s="2599"/>
      <c r="I227" s="2600"/>
      <c r="J227" s="731"/>
      <c r="K227" s="62"/>
      <c r="L227" s="62"/>
      <c r="M227" s="876"/>
      <c r="N227" s="877"/>
      <c r="O227" s="34"/>
      <c r="P227" s="24"/>
      <c r="Q227" s="24"/>
      <c r="R227" s="129"/>
      <c r="S227" s="652"/>
      <c r="T227" s="730"/>
      <c r="U227" s="731"/>
      <c r="V227" s="62"/>
      <c r="W227" s="62"/>
    </row>
    <row r="228" spans="1:23" ht="49.5" customHeight="1" x14ac:dyDescent="0.25">
      <c r="A228" s="1648"/>
      <c r="B228" s="1631"/>
      <c r="C228" s="1635"/>
      <c r="D228" s="1635"/>
      <c r="E228" s="1635"/>
      <c r="F228" s="1637"/>
      <c r="G228" s="2763" t="s">
        <v>3447</v>
      </c>
      <c r="H228" s="2759"/>
      <c r="I228" s="2759"/>
      <c r="J228" s="2759"/>
      <c r="K228" s="2759"/>
      <c r="L228" s="2759"/>
      <c r="M228" s="1641"/>
      <c r="N228" s="1642"/>
      <c r="O228" s="34"/>
      <c r="P228" s="1629"/>
      <c r="Q228" s="1629"/>
      <c r="R228" s="129"/>
      <c r="S228" s="652"/>
      <c r="T228" s="730"/>
      <c r="U228" s="731"/>
      <c r="V228" s="62"/>
      <c r="W228" s="62"/>
    </row>
    <row r="229" spans="1:23" ht="49.5" customHeight="1" x14ac:dyDescent="0.25">
      <c r="A229" s="1648"/>
      <c r="B229" s="1631"/>
      <c r="C229" s="1635"/>
      <c r="D229" s="1635"/>
      <c r="E229" s="1635"/>
      <c r="F229" s="1637"/>
      <c r="G229" s="2679" t="s">
        <v>3401</v>
      </c>
      <c r="H229" s="2680"/>
      <c r="I229" s="2681"/>
      <c r="J229" s="1198">
        <f>0.23*0.9</f>
        <v>0.20700000000000002</v>
      </c>
      <c r="K229" s="1197"/>
      <c r="L229" s="1197"/>
      <c r="M229" s="1641"/>
      <c r="N229" s="1642"/>
      <c r="O229" s="34"/>
      <c r="P229" s="1629"/>
      <c r="Q229" s="1629"/>
      <c r="R229" s="129"/>
      <c r="S229" s="652"/>
      <c r="T229" s="730"/>
      <c r="U229" s="731"/>
      <c r="V229" s="62"/>
      <c r="W229" s="62"/>
    </row>
    <row r="230" spans="1:23" ht="49.5" customHeight="1" x14ac:dyDescent="0.25">
      <c r="A230" s="1935"/>
      <c r="B230" s="1919"/>
      <c r="C230" s="1920"/>
      <c r="D230" s="1920"/>
      <c r="E230" s="1920"/>
      <c r="F230" s="1923"/>
      <c r="G230" s="1928" t="s">
        <v>16927</v>
      </c>
      <c r="H230" s="1928" t="s">
        <v>16928</v>
      </c>
      <c r="I230" s="130" t="s">
        <v>17044</v>
      </c>
      <c r="J230" s="731">
        <f>0.38*0.9</f>
        <v>0.34200000000000003</v>
      </c>
      <c r="K230" s="62"/>
      <c r="L230" s="62"/>
      <c r="M230" s="1926"/>
      <c r="N230" s="1927"/>
      <c r="O230" s="34"/>
      <c r="P230" s="1916"/>
      <c r="Q230" s="1916"/>
      <c r="R230" s="129"/>
      <c r="S230" s="652"/>
      <c r="T230" s="730"/>
      <c r="U230" s="731"/>
      <c r="V230" s="62"/>
      <c r="W230" s="62"/>
    </row>
    <row r="231" spans="1:23" ht="49.5" customHeight="1" x14ac:dyDescent="0.25">
      <c r="A231" s="2091"/>
      <c r="B231" s="2073"/>
      <c r="C231" s="2074"/>
      <c r="D231" s="2074"/>
      <c r="E231" s="2074"/>
      <c r="F231" s="2077"/>
      <c r="G231" s="2763" t="s">
        <v>17005</v>
      </c>
      <c r="H231" s="2759"/>
      <c r="I231" s="2759"/>
      <c r="J231" s="2759"/>
      <c r="K231" s="2759"/>
      <c r="L231" s="2759"/>
      <c r="M231" s="2081"/>
      <c r="N231" s="2082"/>
      <c r="O231" s="34"/>
      <c r="P231" s="2070"/>
      <c r="Q231" s="2070"/>
      <c r="R231" s="2086"/>
      <c r="S231" s="2087"/>
      <c r="T231" s="730"/>
      <c r="U231" s="731"/>
      <c r="V231" s="62"/>
      <c r="W231" s="62"/>
    </row>
    <row r="232" spans="1:23" ht="49.5" customHeight="1" x14ac:dyDescent="0.25">
      <c r="A232" s="2091"/>
      <c r="B232" s="2073"/>
      <c r="C232" s="2074"/>
      <c r="D232" s="2074"/>
      <c r="E232" s="2074"/>
      <c r="F232" s="2077"/>
      <c r="G232" s="2129" t="s">
        <v>19909</v>
      </c>
      <c r="H232" s="2129" t="s">
        <v>19910</v>
      </c>
      <c r="I232" s="2088" t="s">
        <v>19911</v>
      </c>
      <c r="J232" s="731">
        <f>(0.02-0.01)*0.9</f>
        <v>9.0000000000000011E-3</v>
      </c>
      <c r="K232" s="62"/>
      <c r="L232" s="62"/>
      <c r="M232" s="2081"/>
      <c r="N232" s="2082"/>
      <c r="O232" s="34"/>
      <c r="P232" s="2070"/>
      <c r="Q232" s="2070"/>
      <c r="R232" s="2086"/>
      <c r="S232" s="2087"/>
      <c r="T232" s="730"/>
      <c r="U232" s="731"/>
      <c r="V232" s="62"/>
      <c r="W232" s="62"/>
    </row>
    <row r="233" spans="1:23" ht="49.5" customHeight="1" x14ac:dyDescent="0.25">
      <c r="A233" s="2236"/>
      <c r="B233" s="2214"/>
      <c r="C233" s="2215"/>
      <c r="D233" s="2215"/>
      <c r="E233" s="2215"/>
      <c r="F233" s="2219"/>
      <c r="G233" s="2679" t="s">
        <v>3401</v>
      </c>
      <c r="H233" s="2680"/>
      <c r="I233" s="2681"/>
      <c r="J233" s="1198">
        <f>0.16*0.9</f>
        <v>0.14400000000000002</v>
      </c>
      <c r="K233" s="1197"/>
      <c r="L233" s="1197"/>
      <c r="M233" s="2225"/>
      <c r="N233" s="2226"/>
      <c r="O233" s="34"/>
      <c r="P233" s="2210"/>
      <c r="Q233" s="2210"/>
      <c r="R233" s="2231"/>
      <c r="S233" s="2232"/>
      <c r="T233" s="730"/>
      <c r="U233" s="731"/>
      <c r="V233" s="62"/>
      <c r="W233" s="62"/>
    </row>
    <row r="234" spans="1:23" ht="15.75" customHeight="1" thickBot="1" x14ac:dyDescent="0.3">
      <c r="A234" s="406"/>
      <c r="B234" s="395"/>
      <c r="C234" s="396"/>
      <c r="D234" s="396"/>
      <c r="E234" s="396"/>
      <c r="F234" s="397"/>
      <c r="G234" s="2588" t="s">
        <v>1833</v>
      </c>
      <c r="H234" s="2588"/>
      <c r="I234" s="2589"/>
      <c r="J234" s="21">
        <f>SUM(J227:J233)</f>
        <v>0.70200000000000007</v>
      </c>
      <c r="K234" s="24">
        <v>0.92</v>
      </c>
      <c r="L234" s="21">
        <f>J234/K234</f>
        <v>0.7630434782608696</v>
      </c>
      <c r="M234" s="2587" t="s">
        <v>1834</v>
      </c>
      <c r="N234" s="2589"/>
      <c r="O234" s="21">
        <f>SUM(O219:O222)</f>
        <v>7.5000000000000011E-2</v>
      </c>
      <c r="P234" s="24">
        <v>0.92</v>
      </c>
      <c r="Q234" s="21">
        <f>O234/P234</f>
        <v>8.1521739130434798E-2</v>
      </c>
      <c r="R234" s="2587" t="s">
        <v>1833</v>
      </c>
      <c r="S234" s="2588"/>
      <c r="T234" s="2589"/>
      <c r="U234" s="21">
        <f>SUM(U219:U223)</f>
        <v>0</v>
      </c>
      <c r="V234" s="24">
        <v>0.92</v>
      </c>
      <c r="W234" s="21">
        <f>U234/V234</f>
        <v>0</v>
      </c>
    </row>
    <row r="235" spans="1:23" ht="19.5" thickBot="1" x14ac:dyDescent="0.3">
      <c r="A235" s="2756" t="s">
        <v>1962</v>
      </c>
      <c r="B235" s="2757"/>
      <c r="C235" s="498"/>
      <c r="D235" s="498"/>
      <c r="E235" s="498"/>
      <c r="F235" s="498"/>
      <c r="G235" s="190"/>
      <c r="H235" s="191"/>
      <c r="I235" s="191"/>
      <c r="J235" s="191">
        <f>J11+J13+J18+J36+J41+J43+J45+J47+J49+J56+J68+J70+J82+J92+J120+J137+J142+J144+J152+J159+J177+J189+J217+J234</f>
        <v>6.7179400000000005</v>
      </c>
      <c r="K235" s="191"/>
      <c r="L235" s="191">
        <f>L11+L13+L18+L36+L41+L43+L45+L47+L49+L56+L68+L70+L82+L92+L120+L137+L142+L144+L152+L159+L177+L189+L217+L234</f>
        <v>7.2886479663394104</v>
      </c>
      <c r="M235" s="191"/>
      <c r="N235" s="191"/>
      <c r="O235" s="191"/>
      <c r="P235" s="190"/>
      <c r="Q235" s="190"/>
      <c r="R235" s="352"/>
      <c r="S235" s="353"/>
      <c r="T235" s="353"/>
      <c r="U235" s="353"/>
      <c r="V235" s="353"/>
      <c r="W235" s="354"/>
    </row>
    <row r="236" spans="1:23" x14ac:dyDescent="0.25">
      <c r="A236" s="153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71"/>
      <c r="M236" s="40"/>
      <c r="N236" s="40"/>
      <c r="O236" s="40"/>
      <c r="P236" s="40"/>
      <c r="Q236" s="40"/>
    </row>
    <row r="237" spans="1:23" x14ac:dyDescent="0.25">
      <c r="A237" s="153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71"/>
      <c r="M237" s="40"/>
      <c r="N237" s="40"/>
      <c r="O237" s="40"/>
      <c r="P237" s="40"/>
      <c r="Q237" s="40"/>
    </row>
    <row r="238" spans="1:23" x14ac:dyDescent="0.25">
      <c r="A238" s="153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71"/>
      <c r="M238" s="40"/>
      <c r="N238" s="40"/>
      <c r="O238" s="40"/>
      <c r="P238" s="40"/>
      <c r="Q238" s="40"/>
    </row>
    <row r="239" spans="1:23" x14ac:dyDescent="0.25">
      <c r="A239" s="153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71"/>
      <c r="M239" s="40"/>
      <c r="N239" s="40"/>
      <c r="O239" s="40"/>
      <c r="P239" s="40"/>
      <c r="Q239" s="40"/>
    </row>
    <row r="240" spans="1:23" x14ac:dyDescent="0.25">
      <c r="A240" s="153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87"/>
      <c r="M240" s="98"/>
      <c r="N240" s="98"/>
      <c r="O240" s="98"/>
      <c r="P240" s="98"/>
      <c r="Q240" s="98"/>
    </row>
    <row r="241" spans="1:17" x14ac:dyDescent="0.25">
      <c r="A241" s="153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87"/>
      <c r="M241" s="98"/>
      <c r="N241" s="98"/>
      <c r="O241" s="98"/>
      <c r="P241" s="98"/>
      <c r="Q241" s="98"/>
    </row>
    <row r="242" spans="1:17" x14ac:dyDescent="0.25">
      <c r="A242" s="153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87"/>
      <c r="M242" s="98"/>
      <c r="N242" s="98"/>
      <c r="O242" s="98"/>
      <c r="P242" s="98"/>
      <c r="Q242" s="98"/>
    </row>
    <row r="243" spans="1:17" x14ac:dyDescent="0.25">
      <c r="A243" s="153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87"/>
      <c r="M243" s="98"/>
      <c r="N243" s="98"/>
      <c r="O243" s="98"/>
      <c r="P243" s="98"/>
      <c r="Q243" s="98"/>
    </row>
    <row r="244" spans="1:17" x14ac:dyDescent="0.25">
      <c r="A244" s="153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87"/>
      <c r="M244" s="98"/>
      <c r="N244" s="98"/>
      <c r="O244" s="98"/>
      <c r="P244" s="98"/>
      <c r="Q244" s="98"/>
    </row>
    <row r="245" spans="1:17" x14ac:dyDescent="0.25">
      <c r="A245" s="153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87"/>
      <c r="M245" s="98"/>
      <c r="N245" s="98"/>
      <c r="O245" s="98"/>
      <c r="P245" s="98"/>
      <c r="Q245" s="98"/>
    </row>
    <row r="246" spans="1:17" x14ac:dyDescent="0.25">
      <c r="A246" s="2610"/>
      <c r="B246" s="2610"/>
      <c r="C246" s="2610"/>
      <c r="D246" s="2610"/>
      <c r="E246" s="2610"/>
      <c r="F246" s="2610"/>
      <c r="G246" s="2610"/>
      <c r="H246" s="2610"/>
      <c r="I246" s="2610"/>
      <c r="J246" s="2610"/>
      <c r="K246" s="2610"/>
      <c r="L246" s="2610"/>
      <c r="M246" s="2610"/>
      <c r="N246" s="2610"/>
      <c r="O246" s="2610"/>
      <c r="P246" s="2610"/>
      <c r="Q246" s="2610"/>
    </row>
    <row r="247" spans="1:17" x14ac:dyDescent="0.25">
      <c r="A247" s="153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</row>
    <row r="248" spans="1:17" x14ac:dyDescent="0.25">
      <c r="A248" s="153"/>
      <c r="B248" s="98"/>
      <c r="C248" s="98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</row>
    <row r="249" spans="1:17" x14ac:dyDescent="0.25">
      <c r="A249" s="153"/>
      <c r="B249" s="98"/>
      <c r="C249" s="98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</row>
    <row r="250" spans="1:17" x14ac:dyDescent="0.25">
      <c r="A250" s="153"/>
      <c r="B250" s="98"/>
      <c r="C250" s="98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</row>
    <row r="251" spans="1:17" x14ac:dyDescent="0.25">
      <c r="A251" s="153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</row>
    <row r="252" spans="1:17" x14ac:dyDescent="0.25">
      <c r="A252" s="153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</row>
    <row r="253" spans="1:17" x14ac:dyDescent="0.25">
      <c r="A253" s="153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</row>
    <row r="254" spans="1:17" x14ac:dyDescent="0.25">
      <c r="A254" s="153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</row>
    <row r="255" spans="1:17" x14ac:dyDescent="0.25">
      <c r="A255" s="153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</row>
    <row r="256" spans="1:17" x14ac:dyDescent="0.25">
      <c r="A256" s="153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</row>
    <row r="257" spans="1:17" x14ac:dyDescent="0.25">
      <c r="A257" s="153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</row>
    <row r="258" spans="1:17" x14ac:dyDescent="0.25">
      <c r="A258" s="153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</row>
    <row r="259" spans="1:17" x14ac:dyDescent="0.25">
      <c r="A259" s="153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</row>
    <row r="260" spans="1:17" x14ac:dyDescent="0.25">
      <c r="A260" s="153"/>
      <c r="B260" s="98"/>
      <c r="C260" s="98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</row>
    <row r="261" spans="1:17" x14ac:dyDescent="0.25">
      <c r="A261" s="153"/>
      <c r="B261" s="98"/>
      <c r="C261" s="98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</row>
    <row r="262" spans="1:17" x14ac:dyDescent="0.25">
      <c r="A262" s="153"/>
      <c r="B262" s="98"/>
      <c r="C262" s="98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</row>
    <row r="263" spans="1:17" x14ac:dyDescent="0.25">
      <c r="A263" s="153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</row>
    <row r="264" spans="1:17" x14ac:dyDescent="0.25">
      <c r="A264" s="153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</row>
    <row r="265" spans="1:17" x14ac:dyDescent="0.25">
      <c r="A265" s="153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</row>
    <row r="266" spans="1:17" x14ac:dyDescent="0.25">
      <c r="A266" s="153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</row>
    <row r="267" spans="1:17" x14ac:dyDescent="0.25">
      <c r="A267" s="153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</row>
    <row r="268" spans="1:17" x14ac:dyDescent="0.25">
      <c r="A268" s="153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</row>
    <row r="269" spans="1:17" x14ac:dyDescent="0.25">
      <c r="A269" s="153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</row>
    <row r="270" spans="1:17" x14ac:dyDescent="0.25">
      <c r="A270" s="153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</row>
    <row r="271" spans="1:17" x14ac:dyDescent="0.25">
      <c r="A271" s="153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</row>
    <row r="272" spans="1:17" x14ac:dyDescent="0.25">
      <c r="A272" s="153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</row>
    <row r="273" spans="1:17" x14ac:dyDescent="0.25">
      <c r="A273" s="153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</row>
    <row r="274" spans="1:17" x14ac:dyDescent="0.25">
      <c r="A274" s="153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</row>
    <row r="275" spans="1:17" x14ac:dyDescent="0.25">
      <c r="A275" s="2780"/>
      <c r="B275" s="2780"/>
      <c r="C275" s="2780"/>
      <c r="D275" s="2780"/>
      <c r="E275" s="2780"/>
      <c r="F275" s="2780"/>
      <c r="G275" s="2780"/>
      <c r="H275" s="2780"/>
      <c r="I275" s="2780"/>
      <c r="J275" s="2780"/>
      <c r="K275" s="2780"/>
      <c r="L275" s="2780"/>
      <c r="M275" s="2780"/>
      <c r="N275" s="2780"/>
      <c r="O275" s="2780"/>
      <c r="P275" s="2780"/>
      <c r="Q275" s="2780"/>
    </row>
    <row r="276" spans="1:17" x14ac:dyDescent="0.25">
      <c r="A276" s="2610"/>
      <c r="B276" s="2610"/>
      <c r="C276" s="2610"/>
      <c r="D276" s="2610"/>
      <c r="E276" s="2610"/>
      <c r="F276" s="2610"/>
      <c r="G276" s="2610"/>
      <c r="H276" s="2610"/>
      <c r="I276" s="2610"/>
      <c r="J276" s="2610"/>
      <c r="K276" s="2610"/>
      <c r="L276" s="2610"/>
      <c r="M276" s="2610"/>
      <c r="N276" s="2610"/>
      <c r="O276" s="2610"/>
      <c r="P276" s="2610"/>
      <c r="Q276" s="2610"/>
    </row>
    <row r="277" spans="1:17" x14ac:dyDescent="0.25">
      <c r="A277" s="153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87"/>
      <c r="M277" s="98"/>
      <c r="N277" s="98"/>
      <c r="O277" s="98"/>
      <c r="P277" s="98"/>
      <c r="Q277" s="98"/>
    </row>
    <row r="278" spans="1:17" x14ac:dyDescent="0.25">
      <c r="A278" s="153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87"/>
      <c r="M278" s="98"/>
      <c r="N278" s="98"/>
      <c r="O278" s="98"/>
      <c r="P278" s="98"/>
      <c r="Q278" s="98"/>
    </row>
    <row r="279" spans="1:17" x14ac:dyDescent="0.25">
      <c r="A279" s="153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87"/>
      <c r="M279" s="98"/>
      <c r="N279" s="98"/>
      <c r="O279" s="98"/>
      <c r="P279" s="98"/>
      <c r="Q279" s="98"/>
    </row>
    <row r="280" spans="1:17" x14ac:dyDescent="0.25">
      <c r="A280" s="153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87"/>
      <c r="M280" s="98"/>
      <c r="N280" s="98"/>
      <c r="O280" s="98"/>
      <c r="P280" s="98"/>
      <c r="Q280" s="98"/>
    </row>
    <row r="281" spans="1:17" x14ac:dyDescent="0.25">
      <c r="A281" s="153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87"/>
      <c r="M281" s="98"/>
      <c r="N281" s="98"/>
      <c r="O281" s="98"/>
      <c r="P281" s="98"/>
      <c r="Q281" s="98"/>
    </row>
    <row r="282" spans="1:17" x14ac:dyDescent="0.25">
      <c r="A282" s="153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87"/>
      <c r="M282" s="98"/>
      <c r="N282" s="98"/>
      <c r="O282" s="98"/>
      <c r="P282" s="98"/>
      <c r="Q282" s="98"/>
    </row>
    <row r="283" spans="1:17" x14ac:dyDescent="0.25">
      <c r="A283" s="153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87"/>
      <c r="M283" s="98"/>
      <c r="N283" s="98"/>
      <c r="O283" s="98"/>
      <c r="P283" s="98"/>
      <c r="Q283" s="98"/>
    </row>
    <row r="284" spans="1:17" x14ac:dyDescent="0.25">
      <c r="A284" s="153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87"/>
      <c r="M284" s="98"/>
      <c r="N284" s="98"/>
      <c r="O284" s="98"/>
      <c r="P284" s="98"/>
      <c r="Q284" s="98"/>
    </row>
    <row r="285" spans="1:17" x14ac:dyDescent="0.25">
      <c r="A285" s="153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87"/>
      <c r="M285" s="98"/>
      <c r="N285" s="98"/>
      <c r="O285" s="98"/>
      <c r="P285" s="98"/>
      <c r="Q285" s="98"/>
    </row>
    <row r="286" spans="1:17" x14ac:dyDescent="0.25">
      <c r="A286" s="153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87"/>
      <c r="M286" s="98"/>
      <c r="N286" s="98"/>
      <c r="O286" s="98"/>
      <c r="P286" s="98"/>
      <c r="Q286" s="98"/>
    </row>
    <row r="287" spans="1:17" x14ac:dyDescent="0.25">
      <c r="A287" s="153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87"/>
      <c r="M287" s="98"/>
      <c r="N287" s="98"/>
      <c r="O287" s="98"/>
      <c r="P287" s="98"/>
      <c r="Q287" s="98"/>
    </row>
    <row r="288" spans="1:17" x14ac:dyDescent="0.25">
      <c r="A288" s="2610"/>
      <c r="B288" s="2610"/>
      <c r="C288" s="2610"/>
      <c r="D288" s="2610"/>
      <c r="E288" s="2610"/>
      <c r="F288" s="2610"/>
      <c r="G288" s="2610"/>
      <c r="H288" s="2610"/>
      <c r="I288" s="2610"/>
      <c r="J288" s="2610"/>
      <c r="K288" s="2610"/>
      <c r="L288" s="2610"/>
      <c r="M288" s="2610"/>
      <c r="N288" s="2610"/>
      <c r="O288" s="2610"/>
      <c r="P288" s="2610"/>
      <c r="Q288" s="2610"/>
    </row>
    <row r="289" spans="1:17" x14ac:dyDescent="0.25">
      <c r="A289" s="153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</row>
    <row r="290" spans="1:17" x14ac:dyDescent="0.25">
      <c r="A290" s="153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</row>
    <row r="291" spans="1:17" x14ac:dyDescent="0.25">
      <c r="A291" s="153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</row>
    <row r="292" spans="1:17" x14ac:dyDescent="0.25">
      <c r="A292" s="153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</row>
    <row r="293" spans="1:17" x14ac:dyDescent="0.25">
      <c r="A293" s="153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</row>
    <row r="294" spans="1:17" x14ac:dyDescent="0.25">
      <c r="A294" s="153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</row>
    <row r="295" spans="1:17" x14ac:dyDescent="0.25">
      <c r="A295" s="153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</row>
    <row r="296" spans="1:17" x14ac:dyDescent="0.25">
      <c r="A296" s="153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</row>
    <row r="297" spans="1:17" x14ac:dyDescent="0.25">
      <c r="A297" s="153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</row>
    <row r="298" spans="1:17" x14ac:dyDescent="0.25">
      <c r="A298" s="153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</row>
    <row r="299" spans="1:17" x14ac:dyDescent="0.25">
      <c r="A299" s="153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</row>
    <row r="300" spans="1:17" x14ac:dyDescent="0.25">
      <c r="A300" s="153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</row>
    <row r="301" spans="1:17" x14ac:dyDescent="0.25">
      <c r="A301" s="2780"/>
      <c r="B301" s="2780"/>
      <c r="C301" s="2780"/>
      <c r="D301" s="2780"/>
      <c r="E301" s="2780"/>
      <c r="F301" s="2780"/>
      <c r="G301" s="2780"/>
      <c r="H301" s="2780"/>
      <c r="I301" s="2780"/>
      <c r="J301" s="2780"/>
      <c r="K301" s="2780"/>
      <c r="L301" s="2780"/>
      <c r="M301" s="2780"/>
      <c r="N301" s="2780"/>
      <c r="O301" s="2780"/>
      <c r="P301" s="2780"/>
      <c r="Q301" s="2780"/>
    </row>
    <row r="302" spans="1:17" x14ac:dyDescent="0.25">
      <c r="A302" s="2610"/>
      <c r="B302" s="2610"/>
      <c r="C302" s="2610"/>
      <c r="D302" s="2610"/>
      <c r="E302" s="2610"/>
      <c r="F302" s="2610"/>
      <c r="G302" s="2610"/>
      <c r="H302" s="2610"/>
      <c r="I302" s="2610"/>
      <c r="J302" s="2610"/>
      <c r="K302" s="2610"/>
      <c r="L302" s="2610"/>
      <c r="M302" s="2610"/>
      <c r="N302" s="2610"/>
      <c r="O302" s="2610"/>
      <c r="P302" s="2610"/>
      <c r="Q302" s="2610"/>
    </row>
    <row r="303" spans="1:17" x14ac:dyDescent="0.25">
      <c r="A303" s="153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87"/>
      <c r="M303" s="98"/>
      <c r="N303" s="98"/>
      <c r="O303" s="98"/>
      <c r="P303" s="98"/>
      <c r="Q303" s="98"/>
    </row>
    <row r="304" spans="1:17" x14ac:dyDescent="0.25">
      <c r="A304" s="153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87"/>
      <c r="M304" s="98"/>
      <c r="N304" s="98"/>
      <c r="O304" s="98"/>
      <c r="P304" s="98"/>
      <c r="Q304" s="98"/>
    </row>
    <row r="305" spans="1:17" x14ac:dyDescent="0.25">
      <c r="A305" s="153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87"/>
      <c r="M305" s="98"/>
      <c r="N305" s="98"/>
      <c r="O305" s="98"/>
      <c r="P305" s="98"/>
      <c r="Q305" s="98"/>
    </row>
    <row r="306" spans="1:17" x14ac:dyDescent="0.25">
      <c r="A306" s="153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87"/>
      <c r="M306" s="98"/>
      <c r="N306" s="98"/>
      <c r="O306" s="98"/>
      <c r="P306" s="98"/>
      <c r="Q306" s="98"/>
    </row>
    <row r="307" spans="1:17" x14ac:dyDescent="0.25">
      <c r="A307" s="153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87"/>
      <c r="M307" s="98"/>
      <c r="N307" s="98"/>
      <c r="O307" s="98"/>
      <c r="P307" s="98"/>
      <c r="Q307" s="98"/>
    </row>
    <row r="308" spans="1:17" x14ac:dyDescent="0.25">
      <c r="A308" s="153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87"/>
      <c r="M308" s="98"/>
      <c r="N308" s="98"/>
      <c r="O308" s="98"/>
      <c r="P308" s="98"/>
      <c r="Q308" s="98"/>
    </row>
    <row r="309" spans="1:17" x14ac:dyDescent="0.25">
      <c r="A309" s="153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87"/>
      <c r="M309" s="98"/>
      <c r="N309" s="98"/>
      <c r="O309" s="98"/>
      <c r="P309" s="98"/>
      <c r="Q309" s="98"/>
    </row>
    <row r="310" spans="1:17" x14ac:dyDescent="0.25">
      <c r="A310" s="153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87"/>
      <c r="M310" s="98"/>
      <c r="N310" s="98"/>
      <c r="O310" s="98"/>
      <c r="P310" s="98"/>
      <c r="Q310" s="98"/>
    </row>
    <row r="311" spans="1:17" x14ac:dyDescent="0.25">
      <c r="A311" s="153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87"/>
      <c r="M311" s="98"/>
      <c r="N311" s="98"/>
      <c r="O311" s="98"/>
      <c r="P311" s="98"/>
      <c r="Q311" s="98"/>
    </row>
    <row r="312" spans="1:17" x14ac:dyDescent="0.25">
      <c r="A312" s="153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87"/>
      <c r="M312" s="98"/>
      <c r="N312" s="98"/>
      <c r="O312" s="98"/>
      <c r="P312" s="98"/>
      <c r="Q312" s="98"/>
    </row>
    <row r="313" spans="1:17" x14ac:dyDescent="0.25">
      <c r="A313" s="153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87"/>
      <c r="M313" s="98"/>
      <c r="N313" s="98"/>
      <c r="O313" s="98"/>
      <c r="P313" s="98"/>
      <c r="Q313" s="98"/>
    </row>
    <row r="314" spans="1:17" x14ac:dyDescent="0.25">
      <c r="A314" s="153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87"/>
      <c r="M314" s="98"/>
      <c r="N314" s="98"/>
      <c r="O314" s="98"/>
      <c r="P314" s="98"/>
      <c r="Q314" s="98"/>
    </row>
    <row r="315" spans="1:17" x14ac:dyDescent="0.25">
      <c r="A315" s="2610"/>
      <c r="B315" s="2610"/>
      <c r="C315" s="2610"/>
      <c r="D315" s="2610"/>
      <c r="E315" s="2610"/>
      <c r="F315" s="2610"/>
      <c r="G315" s="2610"/>
      <c r="H315" s="2610"/>
      <c r="I315" s="2610"/>
      <c r="J315" s="2610"/>
      <c r="K315" s="2610"/>
      <c r="L315" s="2610"/>
      <c r="M315" s="2610"/>
      <c r="N315" s="2610"/>
      <c r="O315" s="2610"/>
      <c r="P315" s="2610"/>
      <c r="Q315" s="2610"/>
    </row>
    <row r="316" spans="1:17" x14ac:dyDescent="0.25">
      <c r="A316" s="153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</row>
    <row r="317" spans="1:17" x14ac:dyDescent="0.25">
      <c r="A317" s="153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</row>
    <row r="318" spans="1:17" x14ac:dyDescent="0.25">
      <c r="A318" s="153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</row>
    <row r="319" spans="1:17" x14ac:dyDescent="0.25">
      <c r="A319" s="153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</row>
    <row r="320" spans="1:17" x14ac:dyDescent="0.25">
      <c r="A320" s="153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</row>
    <row r="321" spans="1:17" x14ac:dyDescent="0.25">
      <c r="A321" s="153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</row>
    <row r="322" spans="1:17" x14ac:dyDescent="0.25">
      <c r="A322" s="2780"/>
      <c r="B322" s="2780"/>
      <c r="C322" s="2780"/>
      <c r="D322" s="2780"/>
      <c r="E322" s="2780"/>
      <c r="F322" s="2780"/>
      <c r="G322" s="2780"/>
      <c r="H322" s="2780"/>
      <c r="I322" s="2780"/>
      <c r="J322" s="2780"/>
      <c r="K322" s="2780"/>
      <c r="L322" s="2780"/>
      <c r="M322" s="2780"/>
      <c r="N322" s="2780"/>
      <c r="O322" s="2780"/>
      <c r="P322" s="2780"/>
      <c r="Q322" s="2780"/>
    </row>
    <row r="323" spans="1:17" x14ac:dyDescent="0.25">
      <c r="A323" s="2610"/>
      <c r="B323" s="2610"/>
      <c r="C323" s="2610"/>
      <c r="D323" s="2610"/>
      <c r="E323" s="2610"/>
      <c r="F323" s="2610"/>
      <c r="G323" s="2610"/>
      <c r="H323" s="2610"/>
      <c r="I323" s="2610"/>
      <c r="J323" s="2610"/>
      <c r="K323" s="2610"/>
      <c r="L323" s="2610"/>
      <c r="M323" s="2610"/>
      <c r="N323" s="2610"/>
      <c r="O323" s="2610"/>
      <c r="P323" s="2610"/>
      <c r="Q323" s="2610"/>
    </row>
    <row r="324" spans="1:17" x14ac:dyDescent="0.25">
      <c r="A324" s="153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87"/>
      <c r="M324" s="98"/>
      <c r="N324" s="98"/>
      <c r="O324" s="98"/>
      <c r="P324" s="98"/>
      <c r="Q324" s="98"/>
    </row>
    <row r="325" spans="1:17" x14ac:dyDescent="0.25">
      <c r="A325" s="153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87"/>
      <c r="M325" s="98"/>
      <c r="N325" s="98"/>
      <c r="O325" s="98"/>
      <c r="P325" s="98"/>
      <c r="Q325" s="98"/>
    </row>
    <row r="326" spans="1:17" x14ac:dyDescent="0.25">
      <c r="A326" s="153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87"/>
      <c r="M326" s="98"/>
      <c r="N326" s="98"/>
      <c r="O326" s="98"/>
      <c r="P326" s="98"/>
      <c r="Q326" s="98"/>
    </row>
    <row r="327" spans="1:17" x14ac:dyDescent="0.25">
      <c r="A327" s="153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87"/>
      <c r="M327" s="98"/>
      <c r="N327" s="98"/>
      <c r="O327" s="98"/>
      <c r="P327" s="98"/>
      <c r="Q327" s="98"/>
    </row>
    <row r="328" spans="1:17" x14ac:dyDescent="0.25">
      <c r="A328" s="153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87"/>
      <c r="M328" s="98"/>
      <c r="N328" s="98"/>
      <c r="O328" s="98"/>
      <c r="P328" s="98"/>
      <c r="Q328" s="98"/>
    </row>
    <row r="329" spans="1:17" x14ac:dyDescent="0.25">
      <c r="A329" s="153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</row>
    <row r="330" spans="1:17" x14ac:dyDescent="0.25">
      <c r="A330" s="153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</row>
    <row r="331" spans="1:17" x14ac:dyDescent="0.25">
      <c r="A331" s="153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</row>
    <row r="332" spans="1:17" x14ac:dyDescent="0.25">
      <c r="A332" s="2610"/>
      <c r="B332" s="2610"/>
      <c r="C332" s="2610"/>
      <c r="D332" s="2610"/>
      <c r="E332" s="2610"/>
      <c r="F332" s="2610"/>
      <c r="G332" s="2610"/>
      <c r="H332" s="2610"/>
      <c r="I332" s="2610"/>
      <c r="J332" s="2610"/>
      <c r="K332" s="2610"/>
      <c r="L332" s="2610"/>
      <c r="M332" s="2610"/>
      <c r="N332" s="2610"/>
      <c r="O332" s="2610"/>
      <c r="P332" s="2610"/>
      <c r="Q332" s="2610"/>
    </row>
    <row r="333" spans="1:17" x14ac:dyDescent="0.25">
      <c r="A333" s="153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</row>
    <row r="334" spans="1:17" x14ac:dyDescent="0.25">
      <c r="A334" s="153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</row>
    <row r="335" spans="1:17" x14ac:dyDescent="0.25">
      <c r="A335" s="153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</row>
    <row r="336" spans="1:17" x14ac:dyDescent="0.25">
      <c r="A336" s="153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</row>
    <row r="337" spans="1:17" x14ac:dyDescent="0.25">
      <c r="A337" s="153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</row>
    <row r="338" spans="1:17" x14ac:dyDescent="0.25">
      <c r="A338" s="153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</row>
    <row r="339" spans="1:17" x14ac:dyDescent="0.25">
      <c r="A339" s="153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</row>
    <row r="340" spans="1:17" x14ac:dyDescent="0.25">
      <c r="A340" s="153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</row>
    <row r="341" spans="1:17" x14ac:dyDescent="0.25">
      <c r="A341" s="153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</row>
    <row r="342" spans="1:17" x14ac:dyDescent="0.25">
      <c r="A342" s="153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</row>
    <row r="343" spans="1:17" x14ac:dyDescent="0.25">
      <c r="L343" s="3"/>
    </row>
    <row r="344" spans="1:17" x14ac:dyDescent="0.25">
      <c r="L344" s="3"/>
    </row>
    <row r="345" spans="1:17" x14ac:dyDescent="0.25">
      <c r="L345" s="3"/>
    </row>
    <row r="346" spans="1:17" x14ac:dyDescent="0.25">
      <c r="L346" s="3"/>
    </row>
    <row r="347" spans="1:17" x14ac:dyDescent="0.25">
      <c r="L347" s="3"/>
    </row>
    <row r="348" spans="1:17" x14ac:dyDescent="0.25">
      <c r="L348" s="3"/>
    </row>
    <row r="349" spans="1:17" x14ac:dyDescent="0.25">
      <c r="L349" s="3"/>
    </row>
    <row r="350" spans="1:17" x14ac:dyDescent="0.25">
      <c r="L350" s="3"/>
    </row>
    <row r="351" spans="1:17" x14ac:dyDescent="0.25">
      <c r="L351" s="3"/>
    </row>
    <row r="352" spans="1:17" x14ac:dyDescent="0.25">
      <c r="L352" s="3"/>
    </row>
    <row r="353" spans="12:12" x14ac:dyDescent="0.25">
      <c r="L353" s="3"/>
    </row>
    <row r="354" spans="12:12" x14ac:dyDescent="0.25">
      <c r="L354" s="3"/>
    </row>
  </sheetData>
  <mergeCells count="270">
    <mergeCell ref="M152:N152"/>
    <mergeCell ref="G152:I152"/>
    <mergeCell ref="M142:N142"/>
    <mergeCell ref="A19:A20"/>
    <mergeCell ref="B19:B20"/>
    <mergeCell ref="A37:A38"/>
    <mergeCell ref="B37:B38"/>
    <mergeCell ref="G216:I216"/>
    <mergeCell ref="M49:N49"/>
    <mergeCell ref="G36:I36"/>
    <mergeCell ref="G22:L22"/>
    <mergeCell ref="M137:N137"/>
    <mergeCell ref="M36:N36"/>
    <mergeCell ref="G47:I47"/>
    <mergeCell ref="G43:I43"/>
    <mergeCell ref="M45:N45"/>
    <mergeCell ref="G109:L109"/>
    <mergeCell ref="G110:I110"/>
    <mergeCell ref="M92:N92"/>
    <mergeCell ref="M56:N56"/>
    <mergeCell ref="M70:N70"/>
    <mergeCell ref="G83:L83"/>
    <mergeCell ref="G56:I56"/>
    <mergeCell ref="G70:I70"/>
    <mergeCell ref="A301:Q301"/>
    <mergeCell ref="A323:Q323"/>
    <mergeCell ref="A322:Q322"/>
    <mergeCell ref="G210:I210"/>
    <mergeCell ref="G228:L228"/>
    <mergeCell ref="G229:I229"/>
    <mergeCell ref="A153:A154"/>
    <mergeCell ref="G153:L153"/>
    <mergeCell ref="D171:D172"/>
    <mergeCell ref="C190:C191"/>
    <mergeCell ref="D190:D191"/>
    <mergeCell ref="E153:E154"/>
    <mergeCell ref="M159:N159"/>
    <mergeCell ref="G157:L157"/>
    <mergeCell ref="G155:L155"/>
    <mergeCell ref="G206:L206"/>
    <mergeCell ref="G168:L168"/>
    <mergeCell ref="G213:L213"/>
    <mergeCell ref="G231:L231"/>
    <mergeCell ref="G187:L187"/>
    <mergeCell ref="G189:I189"/>
    <mergeCell ref="G233:I233"/>
    <mergeCell ref="G183:L183"/>
    <mergeCell ref="G159:I159"/>
    <mergeCell ref="A2:A5"/>
    <mergeCell ref="G2:L2"/>
    <mergeCell ref="M2:Q2"/>
    <mergeCell ref="G3:L4"/>
    <mergeCell ref="M3:Q4"/>
    <mergeCell ref="M43:N43"/>
    <mergeCell ref="G37:L37"/>
    <mergeCell ref="M18:N18"/>
    <mergeCell ref="G7:L7"/>
    <mergeCell ref="G24:L24"/>
    <mergeCell ref="G19:L19"/>
    <mergeCell ref="G41:I41"/>
    <mergeCell ref="G9:L9"/>
    <mergeCell ref="G33:L33"/>
    <mergeCell ref="G34:I34"/>
    <mergeCell ref="G29:L29"/>
    <mergeCell ref="A14:A15"/>
    <mergeCell ref="B14:B15"/>
    <mergeCell ref="G32:I32"/>
    <mergeCell ref="A332:Q332"/>
    <mergeCell ref="G217:I217"/>
    <mergeCell ref="M217:N217"/>
    <mergeCell ref="A275:Q275"/>
    <mergeCell ref="A235:B235"/>
    <mergeCell ref="G200:L200"/>
    <mergeCell ref="C218:C219"/>
    <mergeCell ref="G218:L218"/>
    <mergeCell ref="M177:N177"/>
    <mergeCell ref="G190:L190"/>
    <mergeCell ref="M189:N189"/>
    <mergeCell ref="A315:Q315"/>
    <mergeCell ref="G196:L196"/>
    <mergeCell ref="G220:L220"/>
    <mergeCell ref="A218:A219"/>
    <mergeCell ref="B218:B219"/>
    <mergeCell ref="G204:L204"/>
    <mergeCell ref="G234:I234"/>
    <mergeCell ref="A288:Q288"/>
    <mergeCell ref="M234:N234"/>
    <mergeCell ref="A276:Q276"/>
    <mergeCell ref="G226:L226"/>
    <mergeCell ref="G227:I227"/>
    <mergeCell ref="G224:L224"/>
    <mergeCell ref="M120:N120"/>
    <mergeCell ref="A160:A161"/>
    <mergeCell ref="B160:B161"/>
    <mergeCell ref="A246:Q246"/>
    <mergeCell ref="A302:Q302"/>
    <mergeCell ref="A190:A191"/>
    <mergeCell ref="B190:B191"/>
    <mergeCell ref="G162:L162"/>
    <mergeCell ref="D218:D219"/>
    <mergeCell ref="G178:L178"/>
    <mergeCell ref="M170:N170"/>
    <mergeCell ref="G173:L173"/>
    <mergeCell ref="G170:I170"/>
    <mergeCell ref="G177:I177"/>
    <mergeCell ref="A171:A172"/>
    <mergeCell ref="B171:B172"/>
    <mergeCell ref="G171:L171"/>
    <mergeCell ref="G160:L160"/>
    <mergeCell ref="C160:C161"/>
    <mergeCell ref="D160:D161"/>
    <mergeCell ref="G205:I205"/>
    <mergeCell ref="A121:A122"/>
    <mergeCell ref="G137:I137"/>
    <mergeCell ref="B153:B154"/>
    <mergeCell ref="B50:B51"/>
    <mergeCell ref="B93:B94"/>
    <mergeCell ref="B121:B122"/>
    <mergeCell ref="B71:B72"/>
    <mergeCell ref="A148:A149"/>
    <mergeCell ref="B148:B149"/>
    <mergeCell ref="A71:A72"/>
    <mergeCell ref="A50:A51"/>
    <mergeCell ref="A83:A84"/>
    <mergeCell ref="B83:B84"/>
    <mergeCell ref="A93:A94"/>
    <mergeCell ref="R2:W2"/>
    <mergeCell ref="R3:W4"/>
    <mergeCell ref="R11:T11"/>
    <mergeCell ref="R13:T13"/>
    <mergeCell ref="R14:W14"/>
    <mergeCell ref="R18:T18"/>
    <mergeCell ref="C93:C94"/>
    <mergeCell ref="D93:D94"/>
    <mergeCell ref="G99:L99"/>
    <mergeCell ref="G45:I45"/>
    <mergeCell ref="M41:N41"/>
    <mergeCell ref="M47:N47"/>
    <mergeCell ref="M11:N11"/>
    <mergeCell ref="G18:I18"/>
    <mergeCell ref="M13:N13"/>
    <mergeCell ref="G14:L14"/>
    <mergeCell ref="G26:L26"/>
    <mergeCell ref="G16:L16"/>
    <mergeCell ref="B2:F5"/>
    <mergeCell ref="G11:I11"/>
    <mergeCell ref="G13:I13"/>
    <mergeCell ref="G49:I49"/>
    <mergeCell ref="G58:I58"/>
    <mergeCell ref="G10:I10"/>
    <mergeCell ref="R43:T43"/>
    <mergeCell ref="R45:T45"/>
    <mergeCell ref="R47:T47"/>
    <mergeCell ref="R49:T49"/>
    <mergeCell ref="R50:W50"/>
    <mergeCell ref="R56:T56"/>
    <mergeCell ref="R19:W19"/>
    <mergeCell ref="R22:W22"/>
    <mergeCell ref="R24:W24"/>
    <mergeCell ref="R36:T36"/>
    <mergeCell ref="R37:W37"/>
    <mergeCell ref="R41:T41"/>
    <mergeCell ref="R58:T58"/>
    <mergeCell ref="R68:T68"/>
    <mergeCell ref="R70:T70"/>
    <mergeCell ref="R71:W71"/>
    <mergeCell ref="R82:T82"/>
    <mergeCell ref="R83:W83"/>
    <mergeCell ref="R92:T92"/>
    <mergeCell ref="G102:L102"/>
    <mergeCell ref="G77:L77"/>
    <mergeCell ref="G61:L61"/>
    <mergeCell ref="G59:L59"/>
    <mergeCell ref="G62:I62"/>
    <mergeCell ref="M82:N82"/>
    <mergeCell ref="G68:I68"/>
    <mergeCell ref="G65:L65"/>
    <mergeCell ref="G63:L63"/>
    <mergeCell ref="G64:I64"/>
    <mergeCell ref="G80:L80"/>
    <mergeCell ref="G67:I67"/>
    <mergeCell ref="G93:L93"/>
    <mergeCell ref="G92:I92"/>
    <mergeCell ref="M68:N68"/>
    <mergeCell ref="G71:L71"/>
    <mergeCell ref="M58:N58"/>
    <mergeCell ref="A1:W1"/>
    <mergeCell ref="R200:W200"/>
    <mergeCell ref="R217:T217"/>
    <mergeCell ref="R218:W218"/>
    <mergeCell ref="B6:F6"/>
    <mergeCell ref="C71:C72"/>
    <mergeCell ref="D71:D72"/>
    <mergeCell ref="C83:C84"/>
    <mergeCell ref="G164:L164"/>
    <mergeCell ref="R190:W190"/>
    <mergeCell ref="R150:W150"/>
    <mergeCell ref="G193:L193"/>
    <mergeCell ref="R144:T144"/>
    <mergeCell ref="R147:T147"/>
    <mergeCell ref="R148:W148"/>
    <mergeCell ref="R193:W193"/>
    <mergeCell ref="R152:T152"/>
    <mergeCell ref="R153:W153"/>
    <mergeCell ref="G181:L181"/>
    <mergeCell ref="R93:W93"/>
    <mergeCell ref="R99:W99"/>
    <mergeCell ref="R102:W102"/>
    <mergeCell ref="R120:T120"/>
    <mergeCell ref="G120:I120"/>
    <mergeCell ref="R220:W220"/>
    <mergeCell ref="R234:T234"/>
    <mergeCell ref="G73:L73"/>
    <mergeCell ref="R173:W173"/>
    <mergeCell ref="R177:T177"/>
    <mergeCell ref="R189:T189"/>
    <mergeCell ref="R170:T170"/>
    <mergeCell ref="R171:W171"/>
    <mergeCell ref="G86:L86"/>
    <mergeCell ref="R196:W196"/>
    <mergeCell ref="R155:W155"/>
    <mergeCell ref="R159:T159"/>
    <mergeCell ref="R160:W160"/>
    <mergeCell ref="R162:W162"/>
    <mergeCell ref="R123:W123"/>
    <mergeCell ref="R137:T137"/>
    <mergeCell ref="R142:T142"/>
    <mergeCell ref="M147:N147"/>
    <mergeCell ref="G142:I142"/>
    <mergeCell ref="G144:I144"/>
    <mergeCell ref="M144:N144"/>
    <mergeCell ref="G126:L126"/>
    <mergeCell ref="M121:P121"/>
    <mergeCell ref="R121:W121"/>
    <mergeCell ref="G50:L50"/>
    <mergeCell ref="G39:L39"/>
    <mergeCell ref="G107:L107"/>
    <mergeCell ref="C148:C149"/>
    <mergeCell ref="D148:D149"/>
    <mergeCell ref="C121:C122"/>
    <mergeCell ref="D121:D122"/>
    <mergeCell ref="G104:L104"/>
    <mergeCell ref="G123:L123"/>
    <mergeCell ref="G111:L111"/>
    <mergeCell ref="G112:I112"/>
    <mergeCell ref="G132:I132"/>
    <mergeCell ref="G145:L145"/>
    <mergeCell ref="D83:D84"/>
    <mergeCell ref="G138:L138"/>
    <mergeCell ref="G75:L75"/>
    <mergeCell ref="G76:I76"/>
    <mergeCell ref="G129:I129"/>
    <mergeCell ref="G82:I82"/>
    <mergeCell ref="G53:L53"/>
    <mergeCell ref="C171:C172"/>
    <mergeCell ref="G175:L175"/>
    <mergeCell ref="G176:I176"/>
    <mergeCell ref="G166:L166"/>
    <mergeCell ref="G167:I167"/>
    <mergeCell ref="G150:L150"/>
    <mergeCell ref="G115:L115"/>
    <mergeCell ref="G121:L121"/>
    <mergeCell ref="G147:I147"/>
    <mergeCell ref="G130:L130"/>
    <mergeCell ref="D153:D154"/>
    <mergeCell ref="C153:C154"/>
    <mergeCell ref="G148:L148"/>
    <mergeCell ref="G117:I117"/>
    <mergeCell ref="G135:L135"/>
    <mergeCell ref="G136:I136"/>
  </mergeCells>
  <phoneticPr fontId="4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W596"/>
  <sheetViews>
    <sheetView topLeftCell="A112" zoomScale="55" zoomScaleNormal="55" workbookViewId="0">
      <selection activeCell="J131" sqref="J131"/>
    </sheetView>
  </sheetViews>
  <sheetFormatPr defaultRowHeight="15" x14ac:dyDescent="0.25"/>
  <cols>
    <col min="1" max="1" width="26.7109375" style="135" customWidth="1"/>
    <col min="2" max="2" width="6.7109375" style="18" customWidth="1"/>
    <col min="3" max="3" width="3.7109375" style="18" customWidth="1"/>
    <col min="4" max="4" width="6.7109375" style="18" customWidth="1"/>
    <col min="5" max="5" width="3.7109375" style="18" customWidth="1"/>
    <col min="6" max="6" width="15.7109375" style="18" customWidth="1"/>
    <col min="7" max="7" width="24.140625" style="18" customWidth="1"/>
    <col min="8" max="8" width="25.7109375" style="18" customWidth="1"/>
    <col min="9" max="11" width="15.7109375" style="18" customWidth="1"/>
    <col min="12" max="12" width="15.7109375" style="106" customWidth="1"/>
    <col min="13" max="13" width="16.85546875" style="18" customWidth="1"/>
    <col min="14" max="14" width="25.42578125" style="18" customWidth="1"/>
    <col min="15" max="17" width="15.7109375" style="18" customWidth="1"/>
    <col min="18" max="18" width="22.85546875" style="68" customWidth="1"/>
    <col min="19" max="19" width="23.28515625" style="44" customWidth="1"/>
    <col min="20" max="16384" width="9.140625" style="44"/>
  </cols>
  <sheetData>
    <row r="1" spans="1:23" ht="15.75" customHeight="1" x14ac:dyDescent="0.25">
      <c r="A1" s="2605" t="s">
        <v>2204</v>
      </c>
      <c r="B1" s="2605"/>
      <c r="C1" s="2605"/>
      <c r="D1" s="2605"/>
      <c r="E1" s="2605"/>
      <c r="F1" s="2605"/>
      <c r="G1" s="2605"/>
      <c r="H1" s="2605"/>
      <c r="I1" s="2605"/>
      <c r="J1" s="2605"/>
      <c r="K1" s="2605"/>
      <c r="L1" s="2605"/>
      <c r="M1" s="2605"/>
      <c r="N1" s="2605"/>
      <c r="O1" s="2605"/>
      <c r="P1" s="2605"/>
      <c r="Q1" s="2605"/>
      <c r="R1" s="2605"/>
      <c r="S1" s="2605"/>
      <c r="T1" s="2605"/>
      <c r="U1" s="2605"/>
      <c r="V1" s="2605"/>
      <c r="W1" s="2605"/>
    </row>
    <row r="2" spans="1:23" ht="15" customHeight="1" x14ac:dyDescent="0.25">
      <c r="A2" s="2781" t="s">
        <v>330</v>
      </c>
      <c r="B2" s="2715" t="s">
        <v>1762</v>
      </c>
      <c r="C2" s="2716"/>
      <c r="D2" s="2716"/>
      <c r="E2" s="2716"/>
      <c r="F2" s="2717"/>
      <c r="G2" s="2723" t="s">
        <v>1814</v>
      </c>
      <c r="H2" s="2724"/>
      <c r="I2" s="2724"/>
      <c r="J2" s="2724"/>
      <c r="K2" s="2724"/>
      <c r="L2" s="2619"/>
      <c r="M2" s="2580" t="s">
        <v>1815</v>
      </c>
      <c r="N2" s="2580"/>
      <c r="O2" s="2580"/>
      <c r="P2" s="2580"/>
      <c r="Q2" s="2580"/>
      <c r="R2" s="2580" t="s">
        <v>2500</v>
      </c>
      <c r="S2" s="2580"/>
      <c r="T2" s="2580"/>
      <c r="U2" s="2580"/>
      <c r="V2" s="2580"/>
      <c r="W2" s="2580"/>
    </row>
    <row r="3" spans="1:23" ht="15" customHeight="1" x14ac:dyDescent="0.25">
      <c r="A3" s="2782"/>
      <c r="B3" s="2718"/>
      <c r="C3" s="2610"/>
      <c r="D3" s="2610"/>
      <c r="E3" s="2610"/>
      <c r="F3" s="2719"/>
      <c r="G3" s="2581" t="s">
        <v>1818</v>
      </c>
      <c r="H3" s="2580"/>
      <c r="I3" s="2580"/>
      <c r="J3" s="2580"/>
      <c r="K3" s="2580"/>
      <c r="L3" s="2580"/>
      <c r="M3" s="2581" t="s">
        <v>1819</v>
      </c>
      <c r="N3" s="2580"/>
      <c r="O3" s="2580"/>
      <c r="P3" s="2580"/>
      <c r="Q3" s="2580"/>
      <c r="R3" s="2581" t="s">
        <v>2501</v>
      </c>
      <c r="S3" s="2580"/>
      <c r="T3" s="2580"/>
      <c r="U3" s="2580"/>
      <c r="V3" s="2580"/>
      <c r="W3" s="2580"/>
    </row>
    <row r="4" spans="1:23" x14ac:dyDescent="0.25">
      <c r="A4" s="2782"/>
      <c r="B4" s="2718"/>
      <c r="C4" s="2610"/>
      <c r="D4" s="2610"/>
      <c r="E4" s="2610"/>
      <c r="F4" s="2719"/>
      <c r="G4" s="2580"/>
      <c r="H4" s="2580"/>
      <c r="I4" s="2580"/>
      <c r="J4" s="2580"/>
      <c r="K4" s="2580"/>
      <c r="L4" s="2580"/>
      <c r="M4" s="2580"/>
      <c r="N4" s="2580"/>
      <c r="O4" s="2580"/>
      <c r="P4" s="2580"/>
      <c r="Q4" s="2580"/>
      <c r="R4" s="2580"/>
      <c r="S4" s="2580"/>
      <c r="T4" s="2580"/>
      <c r="U4" s="2580"/>
      <c r="V4" s="2580"/>
      <c r="W4" s="2580"/>
    </row>
    <row r="5" spans="1:23" ht="45" x14ac:dyDescent="0.25">
      <c r="A5" s="2783"/>
      <c r="B5" s="2720"/>
      <c r="C5" s="2721"/>
      <c r="D5" s="2721"/>
      <c r="E5" s="2721"/>
      <c r="F5" s="2722"/>
      <c r="G5" s="1" t="s">
        <v>1822</v>
      </c>
      <c r="H5" s="1" t="s">
        <v>1828</v>
      </c>
      <c r="I5" s="1" t="s">
        <v>1824</v>
      </c>
      <c r="J5" s="1" t="s">
        <v>1825</v>
      </c>
      <c r="K5" s="1" t="s">
        <v>1826</v>
      </c>
      <c r="L5" s="22" t="s">
        <v>1827</v>
      </c>
      <c r="M5" s="1" t="s">
        <v>1822</v>
      </c>
      <c r="N5" s="1" t="s">
        <v>1828</v>
      </c>
      <c r="O5" s="1" t="s">
        <v>1825</v>
      </c>
      <c r="P5" s="1" t="s">
        <v>1826</v>
      </c>
      <c r="Q5" s="1" t="s">
        <v>1827</v>
      </c>
      <c r="R5" s="1" t="s">
        <v>1822</v>
      </c>
      <c r="S5" s="1" t="s">
        <v>1828</v>
      </c>
      <c r="T5" s="1" t="s">
        <v>1824</v>
      </c>
      <c r="U5" s="1" t="s">
        <v>1825</v>
      </c>
      <c r="V5" s="1" t="s">
        <v>1826</v>
      </c>
      <c r="W5" s="22" t="s">
        <v>1827</v>
      </c>
    </row>
    <row r="6" spans="1:23" ht="15.75" thickBot="1" x14ac:dyDescent="0.3">
      <c r="A6" s="183">
        <v>1</v>
      </c>
      <c r="B6" s="2577">
        <v>2</v>
      </c>
      <c r="C6" s="2578"/>
      <c r="D6" s="2578"/>
      <c r="E6" s="2578"/>
      <c r="F6" s="2579"/>
      <c r="G6" s="14">
        <v>3</v>
      </c>
      <c r="H6" s="14">
        <v>4</v>
      </c>
      <c r="I6" s="14">
        <v>5</v>
      </c>
      <c r="J6" s="14">
        <v>6</v>
      </c>
      <c r="K6" s="14">
        <v>7</v>
      </c>
      <c r="L6" s="271">
        <v>8</v>
      </c>
      <c r="M6" s="14">
        <v>9</v>
      </c>
      <c r="N6" s="14">
        <v>10</v>
      </c>
      <c r="O6" s="14">
        <v>11</v>
      </c>
      <c r="P6" s="14">
        <v>12</v>
      </c>
      <c r="Q6" s="14">
        <v>13</v>
      </c>
      <c r="R6" s="14">
        <v>14</v>
      </c>
      <c r="S6" s="14">
        <v>15</v>
      </c>
      <c r="T6" s="14">
        <v>16</v>
      </c>
      <c r="U6" s="14">
        <v>17</v>
      </c>
      <c r="V6" s="14">
        <v>18</v>
      </c>
      <c r="W6" s="271">
        <v>19</v>
      </c>
    </row>
    <row r="7" spans="1:23" ht="56.25" customHeight="1" x14ac:dyDescent="0.25">
      <c r="A7" s="412" t="str">
        <f>Итоговая!C207</f>
        <v>ПС 110/10 кВ Бибирево</v>
      </c>
      <c r="B7" s="399">
        <f>Итоговая!D207</f>
        <v>2.5</v>
      </c>
      <c r="C7" s="400"/>
      <c r="D7" s="400"/>
      <c r="E7" s="400"/>
      <c r="F7" s="401"/>
      <c r="G7" s="9"/>
      <c r="H7" s="9"/>
      <c r="I7" s="9"/>
      <c r="J7" s="9"/>
      <c r="K7" s="9"/>
      <c r="L7" s="51"/>
      <c r="M7" s="9" t="s">
        <v>754</v>
      </c>
      <c r="N7" s="9" t="s">
        <v>755</v>
      </c>
      <c r="O7" s="9">
        <v>3.5000000000000003E-2</v>
      </c>
      <c r="P7" s="9"/>
      <c r="Q7" s="9"/>
      <c r="R7" s="9"/>
      <c r="S7" s="9"/>
      <c r="T7" s="104"/>
      <c r="U7" s="9"/>
      <c r="V7" s="9"/>
      <c r="W7" s="51"/>
    </row>
    <row r="8" spans="1:23" ht="56.25" customHeight="1" x14ac:dyDescent="0.25">
      <c r="A8" s="409"/>
      <c r="B8" s="609"/>
      <c r="C8" s="610"/>
      <c r="D8" s="610"/>
      <c r="E8" s="610"/>
      <c r="F8" s="607"/>
      <c r="G8" s="1"/>
      <c r="H8" s="1"/>
      <c r="I8" s="1"/>
      <c r="J8" s="1"/>
      <c r="K8" s="1"/>
      <c r="L8" s="22"/>
      <c r="M8" s="1" t="s">
        <v>2437</v>
      </c>
      <c r="N8" s="1" t="s">
        <v>2512</v>
      </c>
      <c r="O8" s="1">
        <v>2.5000000000000001E-2</v>
      </c>
      <c r="P8" s="1"/>
      <c r="Q8" s="1"/>
      <c r="R8" s="1"/>
      <c r="S8" s="1"/>
      <c r="T8" s="41"/>
      <c r="U8" s="128"/>
      <c r="V8" s="128"/>
      <c r="W8" s="69"/>
    </row>
    <row r="9" spans="1:23" ht="15.75" customHeight="1" thickBot="1" x14ac:dyDescent="0.3">
      <c r="A9" s="410"/>
      <c r="B9" s="395"/>
      <c r="C9" s="396"/>
      <c r="D9" s="396"/>
      <c r="E9" s="396"/>
      <c r="F9" s="397"/>
      <c r="G9" s="2578" t="s">
        <v>1833</v>
      </c>
      <c r="H9" s="2578"/>
      <c r="I9" s="2579"/>
      <c r="J9" s="13">
        <f>SUM(J7:J7)</f>
        <v>0</v>
      </c>
      <c r="K9" s="14">
        <v>0.92</v>
      </c>
      <c r="L9" s="13">
        <f>J9/K9</f>
        <v>0</v>
      </c>
      <c r="M9" s="2577" t="s">
        <v>1834</v>
      </c>
      <c r="N9" s="2579"/>
      <c r="O9" s="13">
        <f>SUM(O7:O8)</f>
        <v>6.0000000000000005E-2</v>
      </c>
      <c r="P9" s="14">
        <v>0.92</v>
      </c>
      <c r="Q9" s="13">
        <f>O9/P9</f>
        <v>6.5217391304347824E-2</v>
      </c>
      <c r="R9" s="2577" t="s">
        <v>1833</v>
      </c>
      <c r="S9" s="2578"/>
      <c r="T9" s="2579"/>
      <c r="U9" s="13">
        <f>SUM(U7:U7)</f>
        <v>0</v>
      </c>
      <c r="V9" s="14">
        <v>0.92</v>
      </c>
      <c r="W9" s="13">
        <f>U9/V9</f>
        <v>0</v>
      </c>
    </row>
    <row r="10" spans="1:23" x14ac:dyDescent="0.25">
      <c r="A10" s="407" t="str">
        <f>Итоговая!C208</f>
        <v>ПС 35/10 кВ Бор</v>
      </c>
      <c r="B10" s="399">
        <f>Итоговая!D208</f>
        <v>1.6</v>
      </c>
      <c r="C10" s="400"/>
      <c r="D10" s="400"/>
      <c r="E10" s="400"/>
      <c r="F10" s="401"/>
      <c r="G10" s="267"/>
      <c r="H10" s="142"/>
      <c r="I10" s="1"/>
      <c r="J10" s="17"/>
      <c r="K10" s="17"/>
      <c r="L10" s="73"/>
      <c r="M10" s="17"/>
      <c r="N10" s="17"/>
      <c r="O10" s="17"/>
      <c r="P10" s="17"/>
      <c r="Q10" s="17"/>
      <c r="R10" s="142"/>
      <c r="S10" s="142"/>
      <c r="T10" s="1"/>
      <c r="U10" s="17"/>
      <c r="V10" s="17"/>
      <c r="W10" s="73"/>
    </row>
    <row r="11" spans="1:23" ht="15.75" customHeight="1" thickBot="1" x14ac:dyDescent="0.3">
      <c r="A11" s="406"/>
      <c r="B11" s="395"/>
      <c r="C11" s="396"/>
      <c r="D11" s="396"/>
      <c r="E11" s="396"/>
      <c r="F11" s="397"/>
      <c r="G11" s="2578" t="s">
        <v>1833</v>
      </c>
      <c r="H11" s="2578"/>
      <c r="I11" s="2579"/>
      <c r="J11" s="13">
        <f>SUM(J10:J10)</f>
        <v>0</v>
      </c>
      <c r="K11" s="14">
        <v>0.92</v>
      </c>
      <c r="L11" s="13">
        <f>J11/K11</f>
        <v>0</v>
      </c>
      <c r="M11" s="2577" t="s">
        <v>1834</v>
      </c>
      <c r="N11" s="2579"/>
      <c r="O11" s="13">
        <f>SUM(O10:O10)</f>
        <v>0</v>
      </c>
      <c r="P11" s="14">
        <v>0.92</v>
      </c>
      <c r="Q11" s="13">
        <f>O11/P11</f>
        <v>0</v>
      </c>
      <c r="R11" s="2577" t="s">
        <v>1833</v>
      </c>
      <c r="S11" s="2578"/>
      <c r="T11" s="2579"/>
      <c r="U11" s="13">
        <f>SUM(U10:U10)</f>
        <v>0</v>
      </c>
      <c r="V11" s="14">
        <v>0.92</v>
      </c>
      <c r="W11" s="13">
        <f>U11/V11</f>
        <v>0</v>
      </c>
    </row>
    <row r="12" spans="1:23" x14ac:dyDescent="0.25">
      <c r="A12" s="407" t="str">
        <f>Итоговая!C209</f>
        <v>ПС 110/10 кВ Воробьи</v>
      </c>
      <c r="B12" s="399">
        <f>Итоговая!D209</f>
        <v>2.5</v>
      </c>
      <c r="C12" s="400"/>
      <c r="D12" s="400"/>
      <c r="E12" s="400"/>
      <c r="F12" s="401"/>
      <c r="G12" s="267"/>
      <c r="H12" s="142"/>
      <c r="I12" s="1"/>
      <c r="J12" s="1"/>
      <c r="K12" s="17"/>
      <c r="L12" s="73"/>
      <c r="M12" s="17"/>
      <c r="N12" s="17"/>
      <c r="O12" s="17"/>
      <c r="P12" s="17"/>
      <c r="Q12" s="17"/>
      <c r="R12" s="142"/>
      <c r="S12" s="142"/>
      <c r="T12" s="1"/>
      <c r="U12" s="1"/>
      <c r="V12" s="17"/>
      <c r="W12" s="73"/>
    </row>
    <row r="13" spans="1:23" ht="15.75" customHeight="1" thickBot="1" x14ac:dyDescent="0.3">
      <c r="A13" s="406"/>
      <c r="B13" s="395"/>
      <c r="C13" s="396"/>
      <c r="D13" s="396"/>
      <c r="E13" s="396"/>
      <c r="F13" s="397"/>
      <c r="G13" s="2578" t="s">
        <v>1833</v>
      </c>
      <c r="H13" s="2578"/>
      <c r="I13" s="2579"/>
      <c r="J13" s="13">
        <f>SUM(J12:J12)</f>
        <v>0</v>
      </c>
      <c r="K13" s="14">
        <v>0.92</v>
      </c>
      <c r="L13" s="13">
        <f>J13/K13</f>
        <v>0</v>
      </c>
      <c r="M13" s="2577" t="s">
        <v>1834</v>
      </c>
      <c r="N13" s="2579"/>
      <c r="O13" s="13">
        <f>SUM(O12:O12)</f>
        <v>0</v>
      </c>
      <c r="P13" s="14">
        <v>0.92</v>
      </c>
      <c r="Q13" s="13">
        <f>O13/P13</f>
        <v>0</v>
      </c>
      <c r="R13" s="2577" t="s">
        <v>1833</v>
      </c>
      <c r="S13" s="2578"/>
      <c r="T13" s="2579"/>
      <c r="U13" s="13">
        <f>SUM(U12:U12)</f>
        <v>0</v>
      </c>
      <c r="V13" s="14">
        <v>0.92</v>
      </c>
      <c r="W13" s="13">
        <f>U13/V13</f>
        <v>0</v>
      </c>
    </row>
    <row r="14" spans="1:23" x14ac:dyDescent="0.25">
      <c r="A14" s="407" t="str">
        <f>Итоговая!C210</f>
        <v>ПС 35/10 кВ Глазомичи</v>
      </c>
      <c r="B14" s="399">
        <f>Итоговая!D210</f>
        <v>2.5</v>
      </c>
      <c r="C14" s="400"/>
      <c r="D14" s="400"/>
      <c r="E14" s="400"/>
      <c r="F14" s="401"/>
      <c r="G14" s="43"/>
      <c r="H14" s="17"/>
      <c r="I14" s="17"/>
      <c r="J14" s="17"/>
      <c r="K14" s="17"/>
      <c r="L14" s="73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73"/>
    </row>
    <row r="15" spans="1:23" ht="15.75" customHeight="1" thickBot="1" x14ac:dyDescent="0.3">
      <c r="A15" s="406"/>
      <c r="B15" s="395"/>
      <c r="C15" s="396"/>
      <c r="D15" s="396"/>
      <c r="E15" s="396"/>
      <c r="F15" s="397"/>
      <c r="G15" s="2578" t="s">
        <v>1833</v>
      </c>
      <c r="H15" s="2578"/>
      <c r="I15" s="2579"/>
      <c r="J15" s="13">
        <f>SUM(J14:J14)</f>
        <v>0</v>
      </c>
      <c r="K15" s="14">
        <v>0.92</v>
      </c>
      <c r="L15" s="13">
        <f>J15/K15</f>
        <v>0</v>
      </c>
      <c r="M15" s="2577" t="s">
        <v>1834</v>
      </c>
      <c r="N15" s="2579"/>
      <c r="O15" s="13">
        <f>SUM(O14:O14)</f>
        <v>0</v>
      </c>
      <c r="P15" s="14">
        <v>0.92</v>
      </c>
      <c r="Q15" s="13">
        <f>O15/P15</f>
        <v>0</v>
      </c>
      <c r="R15" s="2577" t="s">
        <v>1833</v>
      </c>
      <c r="S15" s="2578"/>
      <c r="T15" s="2579"/>
      <c r="U15" s="13">
        <f>SUM(U14:U14)</f>
        <v>0</v>
      </c>
      <c r="V15" s="14">
        <v>0.92</v>
      </c>
      <c r="W15" s="13">
        <f>U15/V15</f>
        <v>0</v>
      </c>
    </row>
    <row r="16" spans="1:23" ht="21.75" customHeight="1" x14ac:dyDescent="0.25">
      <c r="A16" s="2776" t="str">
        <f>Итоговая!C211</f>
        <v>ПС 35/10 кВ Жарки</v>
      </c>
      <c r="B16" s="2630">
        <f>Итоговая!D211</f>
        <v>2.5</v>
      </c>
      <c r="C16" s="400"/>
      <c r="D16" s="400"/>
      <c r="E16" s="400"/>
      <c r="F16" s="401"/>
      <c r="G16" s="2788" t="s">
        <v>2320</v>
      </c>
      <c r="H16" s="2789"/>
      <c r="I16" s="2789"/>
      <c r="J16" s="2789"/>
      <c r="K16" s="2789"/>
      <c r="L16" s="2789"/>
      <c r="M16" s="9" t="s">
        <v>2066</v>
      </c>
      <c r="N16" s="9" t="s">
        <v>2067</v>
      </c>
      <c r="O16" s="9">
        <v>2.8000000000000001E-2</v>
      </c>
      <c r="P16" s="1"/>
      <c r="Q16" s="1"/>
      <c r="R16" s="2773"/>
      <c r="S16" s="2773"/>
      <c r="T16" s="2773"/>
      <c r="U16" s="2773"/>
      <c r="V16" s="2773"/>
      <c r="W16" s="2773"/>
    </row>
    <row r="17" spans="1:23" ht="120" x14ac:dyDescent="0.25">
      <c r="A17" s="2777"/>
      <c r="B17" s="2631"/>
      <c r="C17" s="404"/>
      <c r="D17" s="404"/>
      <c r="E17" s="404"/>
      <c r="F17" s="405"/>
      <c r="G17" s="152" t="s">
        <v>1864</v>
      </c>
      <c r="H17" s="1" t="s">
        <v>2064</v>
      </c>
      <c r="I17" s="1" t="s">
        <v>2065</v>
      </c>
      <c r="J17" s="1">
        <v>5.1999999999999998E-2</v>
      </c>
      <c r="K17" s="1"/>
      <c r="L17" s="22"/>
      <c r="M17" s="1" t="s">
        <v>2019</v>
      </c>
      <c r="N17" s="1" t="s">
        <v>2020</v>
      </c>
      <c r="O17" s="1">
        <v>0.03</v>
      </c>
      <c r="P17" s="1"/>
      <c r="Q17" s="1"/>
      <c r="R17" s="22"/>
      <c r="S17" s="22"/>
      <c r="T17" s="22"/>
      <c r="U17" s="22"/>
      <c r="V17" s="22"/>
      <c r="W17" s="22"/>
    </row>
    <row r="18" spans="1:23" ht="27.75" customHeight="1" thickBot="1" x14ac:dyDescent="0.3">
      <c r="A18" s="681"/>
      <c r="B18" s="682"/>
      <c r="C18" s="683"/>
      <c r="D18" s="683"/>
      <c r="E18" s="683"/>
      <c r="F18" s="680"/>
      <c r="G18" s="2788" t="s">
        <v>3019</v>
      </c>
      <c r="H18" s="2789"/>
      <c r="I18" s="2789"/>
      <c r="J18" s="2789"/>
      <c r="K18" s="2789"/>
      <c r="L18" s="2789"/>
      <c r="M18" s="1" t="s">
        <v>2658</v>
      </c>
      <c r="N18" s="1" t="s">
        <v>2659</v>
      </c>
      <c r="O18" s="1">
        <v>0.05</v>
      </c>
      <c r="P18" s="1"/>
      <c r="Q18" s="1"/>
      <c r="R18" s="22"/>
      <c r="S18" s="22"/>
      <c r="T18" s="22"/>
      <c r="U18" s="22"/>
      <c r="V18" s="22"/>
      <c r="W18" s="22"/>
    </row>
    <row r="19" spans="1:23" ht="180" x14ac:dyDescent="0.25">
      <c r="A19" s="1016"/>
      <c r="B19" s="1014"/>
      <c r="C19" s="1018"/>
      <c r="D19" s="1018"/>
      <c r="E19" s="1018"/>
      <c r="F19" s="1015"/>
      <c r="G19" s="1" t="s">
        <v>3103</v>
      </c>
      <c r="H19" s="1" t="s">
        <v>3104</v>
      </c>
      <c r="I19" s="1" t="s">
        <v>3136</v>
      </c>
      <c r="J19" s="1">
        <f>0.03*0.9</f>
        <v>2.7E-2</v>
      </c>
      <c r="K19" s="1"/>
      <c r="L19" s="22"/>
      <c r="M19" s="9" t="s">
        <v>2511</v>
      </c>
      <c r="N19" s="9" t="s">
        <v>3549</v>
      </c>
      <c r="O19" s="17">
        <v>0</v>
      </c>
      <c r="P19" s="24"/>
      <c r="Q19" s="24"/>
      <c r="R19" s="129"/>
      <c r="S19" s="652"/>
      <c r="T19" s="130"/>
      <c r="U19" s="62"/>
      <c r="V19" s="62"/>
      <c r="W19" s="62"/>
    </row>
    <row r="20" spans="1:23" x14ac:dyDescent="0.25">
      <c r="A20" s="2294"/>
      <c r="B20" s="2279"/>
      <c r="C20" s="2280"/>
      <c r="D20" s="2280"/>
      <c r="E20" s="2280"/>
      <c r="F20" s="2281"/>
      <c r="G20" s="2788" t="s">
        <v>17067</v>
      </c>
      <c r="H20" s="2789"/>
      <c r="I20" s="2789"/>
      <c r="J20" s="2789"/>
      <c r="K20" s="2789"/>
      <c r="L20" s="2789"/>
      <c r="M20" s="2283"/>
      <c r="N20" s="2284"/>
      <c r="O20" s="2277"/>
      <c r="P20" s="2273"/>
      <c r="Q20" s="2273"/>
      <c r="R20" s="2289"/>
      <c r="S20" s="2290"/>
      <c r="T20" s="2291"/>
      <c r="U20" s="62"/>
      <c r="V20" s="62"/>
      <c r="W20" s="62"/>
    </row>
    <row r="21" spans="1:23" ht="90" x14ac:dyDescent="0.25">
      <c r="A21" s="2294"/>
      <c r="B21" s="2279"/>
      <c r="C21" s="2280"/>
      <c r="D21" s="2280"/>
      <c r="E21" s="2280"/>
      <c r="F21" s="2281"/>
      <c r="G21" s="2275" t="s">
        <v>20235</v>
      </c>
      <c r="H21" s="2275" t="s">
        <v>20236</v>
      </c>
      <c r="I21" s="2276" t="s">
        <v>20237</v>
      </c>
      <c r="J21" s="2273">
        <f>0.1*0.75</f>
        <v>7.5000000000000011E-2</v>
      </c>
      <c r="K21" s="2273"/>
      <c r="L21" s="62"/>
      <c r="M21" s="2283"/>
      <c r="N21" s="2284"/>
      <c r="O21" s="2277"/>
      <c r="P21" s="2273"/>
      <c r="Q21" s="2273"/>
      <c r="R21" s="2289"/>
      <c r="S21" s="2290"/>
      <c r="T21" s="2291"/>
      <c r="U21" s="62"/>
      <c r="V21" s="62"/>
      <c r="W21" s="62"/>
    </row>
    <row r="22" spans="1:23" ht="15.75" customHeight="1" thickBot="1" x14ac:dyDescent="0.3">
      <c r="A22" s="406"/>
      <c r="B22" s="395"/>
      <c r="C22" s="396"/>
      <c r="D22" s="396"/>
      <c r="E22" s="396"/>
      <c r="F22" s="397"/>
      <c r="G22" s="2578" t="s">
        <v>1833</v>
      </c>
      <c r="H22" s="2578"/>
      <c r="I22" s="2579"/>
      <c r="J22" s="13">
        <f>SUM(J19:J21)</f>
        <v>0.10200000000000001</v>
      </c>
      <c r="K22" s="14">
        <v>0.92</v>
      </c>
      <c r="L22" s="13">
        <f>J22/K22</f>
        <v>0.1108695652173913</v>
      </c>
      <c r="M22" s="2577"/>
      <c r="N22" s="2579"/>
      <c r="O22" s="13">
        <f>SUM(O16:O19)</f>
        <v>0.108</v>
      </c>
      <c r="P22" s="14">
        <v>0.92</v>
      </c>
      <c r="Q22" s="13">
        <f>O22/P22</f>
        <v>0.11739130434782608</v>
      </c>
      <c r="R22" s="2577" t="s">
        <v>1833</v>
      </c>
      <c r="S22" s="2578"/>
      <c r="T22" s="2579"/>
      <c r="U22" s="13">
        <f>SUM(U17:U17)</f>
        <v>0</v>
      </c>
      <c r="V22" s="14">
        <v>0.92</v>
      </c>
      <c r="W22" s="13">
        <f>U22/V22</f>
        <v>0</v>
      </c>
    </row>
    <row r="23" spans="1:23" ht="20.25" customHeight="1" x14ac:dyDescent="0.25">
      <c r="A23" s="2776" t="str">
        <f>Итоговая!C212</f>
        <v>ПС 35/10 кВ Земцы</v>
      </c>
      <c r="B23" s="2630">
        <f>Итоговая!D212</f>
        <v>2.5</v>
      </c>
      <c r="C23" s="400"/>
      <c r="D23" s="400"/>
      <c r="E23" s="400"/>
      <c r="F23" s="401"/>
      <c r="G23" s="2788" t="s">
        <v>2033</v>
      </c>
      <c r="H23" s="2789"/>
      <c r="I23" s="2789"/>
      <c r="J23" s="2789"/>
      <c r="K23" s="2789"/>
      <c r="L23" s="2789"/>
      <c r="M23" s="51" t="s">
        <v>1289</v>
      </c>
      <c r="N23" s="51" t="s">
        <v>1290</v>
      </c>
      <c r="O23" s="51">
        <v>2.1999999999999999E-2</v>
      </c>
      <c r="P23" s="51"/>
      <c r="Q23" s="51"/>
      <c r="R23" s="2795"/>
      <c r="S23" s="2773"/>
      <c r="T23" s="2773"/>
      <c r="U23" s="2773"/>
      <c r="V23" s="2773"/>
      <c r="W23" s="2773"/>
    </row>
    <row r="24" spans="1:23" ht="53.25" customHeight="1" x14ac:dyDescent="0.25">
      <c r="A24" s="2777"/>
      <c r="B24" s="2631"/>
      <c r="C24" s="404"/>
      <c r="D24" s="404"/>
      <c r="E24" s="404"/>
      <c r="F24" s="405"/>
      <c r="G24" s="268" t="s">
        <v>1408</v>
      </c>
      <c r="H24" s="11" t="s">
        <v>1409</v>
      </c>
      <c r="I24" s="210" t="s">
        <v>2215</v>
      </c>
      <c r="J24" s="1">
        <v>9.9000000000000005E-2</v>
      </c>
      <c r="K24" s="1"/>
      <c r="L24" s="22"/>
      <c r="M24" s="22"/>
      <c r="N24" s="22"/>
      <c r="O24" s="22"/>
      <c r="P24" s="22"/>
      <c r="Q24" s="22"/>
      <c r="R24" s="349"/>
      <c r="S24" s="35"/>
      <c r="T24" s="350"/>
      <c r="U24" s="22"/>
      <c r="V24" s="22"/>
      <c r="W24" s="22"/>
    </row>
    <row r="25" spans="1:23" ht="15.75" customHeight="1" thickBot="1" x14ac:dyDescent="0.3">
      <c r="A25" s="406"/>
      <c r="B25" s="395"/>
      <c r="C25" s="396"/>
      <c r="D25" s="396"/>
      <c r="E25" s="396"/>
      <c r="F25" s="397"/>
      <c r="G25" s="2579" t="s">
        <v>1833</v>
      </c>
      <c r="H25" s="2601"/>
      <c r="I25" s="2601"/>
      <c r="J25" s="13">
        <f>SUM(0)</f>
        <v>0</v>
      </c>
      <c r="K25" s="14">
        <v>0.92</v>
      </c>
      <c r="L25" s="13">
        <f>J25/K25</f>
        <v>0</v>
      </c>
      <c r="M25" s="2601" t="s">
        <v>1834</v>
      </c>
      <c r="N25" s="2601"/>
      <c r="O25" s="13">
        <f>SUM(O23:O23)</f>
        <v>2.1999999999999999E-2</v>
      </c>
      <c r="P25" s="14">
        <v>0.92</v>
      </c>
      <c r="Q25" s="13">
        <f>O25/P25</f>
        <v>2.3913043478260867E-2</v>
      </c>
      <c r="R25" s="2579" t="s">
        <v>1833</v>
      </c>
      <c r="S25" s="2601"/>
      <c r="T25" s="2601"/>
      <c r="U25" s="13">
        <f>SUM(U24:U24)</f>
        <v>0</v>
      </c>
      <c r="V25" s="14">
        <v>0.92</v>
      </c>
      <c r="W25" s="13">
        <f>U25/V25</f>
        <v>0</v>
      </c>
    </row>
    <row r="26" spans="1:23" x14ac:dyDescent="0.25">
      <c r="A26" s="407" t="str">
        <f>Итоговая!C213</f>
        <v>ПС 35/10 кВ Ковалево</v>
      </c>
      <c r="B26" s="399">
        <f>Итоговая!D213</f>
        <v>2.5</v>
      </c>
      <c r="C26" s="400"/>
      <c r="D26" s="400"/>
      <c r="E26" s="400"/>
      <c r="F26" s="401"/>
      <c r="G26" s="264"/>
      <c r="H26" s="42"/>
      <c r="I26" s="42"/>
      <c r="J26" s="9"/>
      <c r="K26" s="9"/>
      <c r="L26" s="51"/>
      <c r="M26" s="9"/>
      <c r="N26" s="9"/>
      <c r="O26" s="9"/>
      <c r="P26" s="9"/>
      <c r="Q26" s="9"/>
      <c r="R26" s="42"/>
      <c r="S26" s="42"/>
      <c r="T26" s="42"/>
      <c r="U26" s="9"/>
      <c r="V26" s="9"/>
      <c r="W26" s="51"/>
    </row>
    <row r="27" spans="1:23" ht="15.75" customHeight="1" thickBot="1" x14ac:dyDescent="0.3">
      <c r="A27" s="406"/>
      <c r="B27" s="395"/>
      <c r="C27" s="396"/>
      <c r="D27" s="396"/>
      <c r="E27" s="396"/>
      <c r="F27" s="397"/>
      <c r="G27" s="2578" t="s">
        <v>1833</v>
      </c>
      <c r="H27" s="2578"/>
      <c r="I27" s="2579"/>
      <c r="J27" s="13">
        <f>SUM(J26:J26)</f>
        <v>0</v>
      </c>
      <c r="K27" s="14">
        <v>0.92</v>
      </c>
      <c r="L27" s="13">
        <f>J27/K27</f>
        <v>0</v>
      </c>
      <c r="M27" s="2577" t="s">
        <v>1834</v>
      </c>
      <c r="N27" s="2579"/>
      <c r="O27" s="13">
        <f>SUM(O26:O26)</f>
        <v>0</v>
      </c>
      <c r="P27" s="14">
        <v>0.92</v>
      </c>
      <c r="Q27" s="13">
        <f>O27/P27</f>
        <v>0</v>
      </c>
      <c r="R27" s="2577" t="s">
        <v>1833</v>
      </c>
      <c r="S27" s="2578"/>
      <c r="T27" s="2579"/>
      <c r="U27" s="13">
        <f>SUM(U26:U26)</f>
        <v>0</v>
      </c>
      <c r="V27" s="14">
        <v>0.92</v>
      </c>
      <c r="W27" s="13">
        <f>U27/V27</f>
        <v>0</v>
      </c>
    </row>
    <row r="28" spans="1:23" x14ac:dyDescent="0.25">
      <c r="A28" s="407" t="str">
        <f>Итоговая!C214</f>
        <v>ПС 35/10 кВ Коротыши</v>
      </c>
      <c r="B28" s="399">
        <f>Итоговая!D214</f>
        <v>1.6</v>
      </c>
      <c r="C28" s="400"/>
      <c r="D28" s="400"/>
      <c r="E28" s="400"/>
      <c r="F28" s="401"/>
      <c r="G28" s="43"/>
      <c r="H28" s="17"/>
      <c r="I28" s="17"/>
      <c r="J28" s="17"/>
      <c r="K28" s="17"/>
      <c r="L28" s="73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73"/>
    </row>
    <row r="29" spans="1:23" ht="15.75" customHeight="1" thickBot="1" x14ac:dyDescent="0.3">
      <c r="A29" s="406"/>
      <c r="B29" s="395"/>
      <c r="C29" s="396"/>
      <c r="D29" s="396"/>
      <c r="E29" s="396"/>
      <c r="F29" s="397"/>
      <c r="G29" s="2578" t="s">
        <v>1833</v>
      </c>
      <c r="H29" s="2578"/>
      <c r="I29" s="2579"/>
      <c r="J29" s="13">
        <f>SUM(J28:J28)</f>
        <v>0</v>
      </c>
      <c r="K29" s="14">
        <v>0.92</v>
      </c>
      <c r="L29" s="13">
        <f>J29/K29</f>
        <v>0</v>
      </c>
      <c r="M29" s="2577" t="s">
        <v>1834</v>
      </c>
      <c r="N29" s="2579"/>
      <c r="O29" s="13">
        <f>SUM(O28:O28)</f>
        <v>0</v>
      </c>
      <c r="P29" s="14">
        <v>0.92</v>
      </c>
      <c r="Q29" s="13">
        <f>O29/P29</f>
        <v>0</v>
      </c>
      <c r="R29" s="2577" t="s">
        <v>1833</v>
      </c>
      <c r="S29" s="2578"/>
      <c r="T29" s="2579"/>
      <c r="U29" s="13">
        <f>SUM(U28:U28)</f>
        <v>0</v>
      </c>
      <c r="V29" s="14">
        <v>0.92</v>
      </c>
      <c r="W29" s="13">
        <f>U29/V29</f>
        <v>0</v>
      </c>
    </row>
    <row r="30" spans="1:23" x14ac:dyDescent="0.25">
      <c r="A30" s="2776" t="str">
        <f>Итоговая!C215</f>
        <v>ПС 110/10 кВ Монино</v>
      </c>
      <c r="B30" s="2630">
        <f>Итоговая!D215</f>
        <v>6.3</v>
      </c>
      <c r="C30" s="400"/>
      <c r="D30" s="400"/>
      <c r="E30" s="400"/>
      <c r="F30" s="401"/>
      <c r="G30" s="2788" t="s">
        <v>2320</v>
      </c>
      <c r="H30" s="2789"/>
      <c r="I30" s="2789"/>
      <c r="J30" s="2789"/>
      <c r="K30" s="2789"/>
      <c r="L30" s="2789"/>
      <c r="M30" s="51"/>
      <c r="N30" s="51"/>
      <c r="O30" s="51"/>
      <c r="P30" s="51"/>
      <c r="Q30" s="51"/>
      <c r="R30" s="2795"/>
      <c r="S30" s="2773"/>
      <c r="T30" s="2773"/>
      <c r="U30" s="2773"/>
      <c r="V30" s="2773"/>
      <c r="W30" s="2773"/>
    </row>
    <row r="31" spans="1:23" ht="105" x14ac:dyDescent="0.25">
      <c r="A31" s="2777"/>
      <c r="B31" s="2631"/>
      <c r="C31" s="404"/>
      <c r="D31" s="404"/>
      <c r="E31" s="404"/>
      <c r="F31" s="405"/>
      <c r="G31" s="152" t="s">
        <v>1281</v>
      </c>
      <c r="H31" s="1" t="s">
        <v>1282</v>
      </c>
      <c r="I31" s="1" t="s">
        <v>1283</v>
      </c>
      <c r="J31" s="1">
        <v>3.2000000000000001E-2</v>
      </c>
      <c r="K31" s="1"/>
      <c r="L31" s="22"/>
      <c r="M31" s="22" t="s">
        <v>1284</v>
      </c>
      <c r="N31" s="22" t="s">
        <v>1285</v>
      </c>
      <c r="O31" s="22">
        <v>0.1</v>
      </c>
      <c r="P31" s="22"/>
      <c r="Q31" s="22"/>
      <c r="R31" s="2208" t="s">
        <v>1286</v>
      </c>
      <c r="S31" s="2205" t="s">
        <v>1287</v>
      </c>
      <c r="T31" s="2205" t="s">
        <v>20043</v>
      </c>
      <c r="U31" s="2205">
        <v>0.1</v>
      </c>
      <c r="V31" s="22"/>
      <c r="W31" s="22"/>
    </row>
    <row r="32" spans="1:23" ht="39" customHeight="1" x14ac:dyDescent="0.25">
      <c r="A32" s="402"/>
      <c r="B32" s="403"/>
      <c r="C32" s="404"/>
      <c r="D32" s="404"/>
      <c r="E32" s="404"/>
      <c r="F32" s="405"/>
      <c r="G32" s="152"/>
      <c r="H32" s="1"/>
      <c r="I32" s="1"/>
      <c r="J32" s="1"/>
      <c r="K32" s="1"/>
      <c r="L32" s="22"/>
      <c r="M32" s="22" t="s">
        <v>3244</v>
      </c>
      <c r="N32" s="22" t="s">
        <v>3245</v>
      </c>
      <c r="O32" s="22">
        <v>0.04</v>
      </c>
      <c r="P32" s="22"/>
      <c r="Q32" s="22"/>
      <c r="R32" s="272"/>
      <c r="S32" s="22"/>
      <c r="T32" s="22"/>
      <c r="U32" s="22"/>
      <c r="V32" s="22"/>
      <c r="W32" s="22"/>
    </row>
    <row r="33" spans="1:23" ht="15.75" customHeight="1" thickBot="1" x14ac:dyDescent="0.3">
      <c r="A33" s="406"/>
      <c r="B33" s="395"/>
      <c r="C33" s="396"/>
      <c r="D33" s="396"/>
      <c r="E33" s="396"/>
      <c r="F33" s="397"/>
      <c r="G33" s="2579" t="s">
        <v>1833</v>
      </c>
      <c r="H33" s="2601"/>
      <c r="I33" s="2601"/>
      <c r="J33" s="13">
        <f>SUM(0)</f>
        <v>0</v>
      </c>
      <c r="K33" s="14">
        <v>0.92</v>
      </c>
      <c r="L33" s="13">
        <f>J33/K33</f>
        <v>0</v>
      </c>
      <c r="M33" s="2601" t="s">
        <v>1834</v>
      </c>
      <c r="N33" s="2601"/>
      <c r="O33" s="13">
        <f>SUM(O31:O32)</f>
        <v>0.14000000000000001</v>
      </c>
      <c r="P33" s="14">
        <v>0.92</v>
      </c>
      <c r="Q33" s="13">
        <f>O33/P33</f>
        <v>0.15217391304347827</v>
      </c>
      <c r="R33" s="2579" t="s">
        <v>1833</v>
      </c>
      <c r="S33" s="2601"/>
      <c r="T33" s="2601"/>
      <c r="U33" s="13">
        <f>SUM(U31:U32)</f>
        <v>0.1</v>
      </c>
      <c r="V33" s="14">
        <v>0.92</v>
      </c>
      <c r="W33" s="13">
        <f>U33/V33</f>
        <v>0.10869565217391304</v>
      </c>
    </row>
    <row r="34" spans="1:23" x14ac:dyDescent="0.25">
      <c r="A34" s="407" t="str">
        <f>Итоговая!C216</f>
        <v>ПС 35/10 кВ Озерец</v>
      </c>
      <c r="B34" s="399">
        <f>Итоговая!D216</f>
        <v>1</v>
      </c>
      <c r="C34" s="400"/>
      <c r="D34" s="400"/>
      <c r="E34" s="400"/>
      <c r="F34" s="401"/>
      <c r="G34" s="104"/>
      <c r="H34" s="9"/>
      <c r="I34" s="9"/>
      <c r="J34" s="9"/>
      <c r="K34" s="9"/>
      <c r="L34" s="51"/>
      <c r="M34" s="9"/>
      <c r="N34" s="9"/>
      <c r="O34" s="9"/>
      <c r="P34" s="9"/>
      <c r="Q34" s="9"/>
      <c r="R34" s="9"/>
      <c r="S34" s="9"/>
      <c r="T34" s="9"/>
      <c r="U34" s="9"/>
      <c r="V34" s="9"/>
      <c r="W34" s="51"/>
    </row>
    <row r="35" spans="1:23" ht="15.75" customHeight="1" thickBot="1" x14ac:dyDescent="0.3">
      <c r="A35" s="406"/>
      <c r="B35" s="395"/>
      <c r="C35" s="396"/>
      <c r="D35" s="396"/>
      <c r="E35" s="396"/>
      <c r="F35" s="397"/>
      <c r="G35" s="2578" t="s">
        <v>1833</v>
      </c>
      <c r="H35" s="2578"/>
      <c r="I35" s="2579"/>
      <c r="J35" s="13">
        <f>SUM(J34:J34)</f>
        <v>0</v>
      </c>
      <c r="K35" s="14">
        <v>0.92</v>
      </c>
      <c r="L35" s="13">
        <f>J35/K35</f>
        <v>0</v>
      </c>
      <c r="M35" s="2587" t="s">
        <v>1834</v>
      </c>
      <c r="N35" s="2589"/>
      <c r="O35" s="21">
        <f>SUM(O34:O34)</f>
        <v>0</v>
      </c>
      <c r="P35" s="14">
        <v>0.92</v>
      </c>
      <c r="Q35" s="13">
        <f>O35/P35</f>
        <v>0</v>
      </c>
      <c r="R35" s="2577" t="s">
        <v>1833</v>
      </c>
      <c r="S35" s="2578"/>
      <c r="T35" s="2579"/>
      <c r="U35" s="13">
        <f>SUM(U34:U34)</f>
        <v>0</v>
      </c>
      <c r="V35" s="14">
        <v>0.92</v>
      </c>
      <c r="W35" s="13">
        <f>U35/V35</f>
        <v>0</v>
      </c>
    </row>
    <row r="36" spans="1:23" x14ac:dyDescent="0.25">
      <c r="A36" s="407" t="str">
        <f>Итоговая!C217</f>
        <v>ПС 35/10 кВ Пожня</v>
      </c>
      <c r="B36" s="399">
        <f>Итоговая!D217</f>
        <v>1.6</v>
      </c>
      <c r="C36" s="400"/>
      <c r="D36" s="400"/>
      <c r="E36" s="400"/>
      <c r="F36" s="401"/>
      <c r="G36" s="272"/>
      <c r="H36" s="143"/>
      <c r="I36" s="143"/>
      <c r="J36" s="9"/>
      <c r="L36" s="73"/>
      <c r="M36" s="1"/>
      <c r="N36" s="1"/>
      <c r="O36" s="1"/>
      <c r="P36" s="17"/>
      <c r="Q36" s="17"/>
      <c r="R36" s="22"/>
      <c r="S36" s="143"/>
      <c r="T36" s="143"/>
      <c r="U36" s="9"/>
      <c r="V36" s="18"/>
      <c r="W36" s="73"/>
    </row>
    <row r="37" spans="1:23" ht="15.75" customHeight="1" thickBot="1" x14ac:dyDescent="0.3">
      <c r="A37" s="406"/>
      <c r="B37" s="395"/>
      <c r="C37" s="396"/>
      <c r="D37" s="396"/>
      <c r="E37" s="396"/>
      <c r="F37" s="397"/>
      <c r="G37" s="2578" t="s">
        <v>1833</v>
      </c>
      <c r="H37" s="2578"/>
      <c r="I37" s="2579"/>
      <c r="J37" s="13">
        <f>SUM(J36:J36)</f>
        <v>0</v>
      </c>
      <c r="K37" s="14">
        <v>0.92</v>
      </c>
      <c r="L37" s="13">
        <f>J37/K37</f>
        <v>0</v>
      </c>
      <c r="M37" s="2577" t="s">
        <v>1834</v>
      </c>
      <c r="N37" s="2579"/>
      <c r="O37" s="13">
        <f>SUM(O36:O36)</f>
        <v>0</v>
      </c>
      <c r="P37" s="14">
        <v>0.92</v>
      </c>
      <c r="Q37" s="13">
        <f>O37/P37</f>
        <v>0</v>
      </c>
      <c r="R37" s="2577" t="s">
        <v>1833</v>
      </c>
      <c r="S37" s="2578"/>
      <c r="T37" s="2579"/>
      <c r="U37" s="13">
        <f>SUM(U36:U36)</f>
        <v>0</v>
      </c>
      <c r="V37" s="14">
        <v>0.92</v>
      </c>
      <c r="W37" s="13">
        <f>U37/V37</f>
        <v>0</v>
      </c>
    </row>
    <row r="38" spans="1:23" x14ac:dyDescent="0.25">
      <c r="A38" s="407" t="str">
        <f>Итоговая!C218</f>
        <v>ПС 35/10 кВ Половцово</v>
      </c>
      <c r="B38" s="399">
        <f>Итоговая!D218</f>
        <v>1.6</v>
      </c>
      <c r="C38" s="400"/>
      <c r="D38" s="400"/>
      <c r="E38" s="400"/>
      <c r="F38" s="401"/>
      <c r="G38" s="272"/>
      <c r="H38" s="142"/>
      <c r="I38" s="143"/>
      <c r="J38" s="1"/>
      <c r="K38" s="17"/>
      <c r="L38" s="73"/>
      <c r="M38" s="17"/>
      <c r="N38" s="17"/>
      <c r="O38" s="17"/>
      <c r="P38" s="17"/>
      <c r="Q38" s="17"/>
      <c r="R38" s="22"/>
      <c r="S38" s="142"/>
      <c r="T38" s="143"/>
      <c r="U38" s="1"/>
      <c r="V38" s="17"/>
      <c r="W38" s="73"/>
    </row>
    <row r="39" spans="1:23" ht="15.75" customHeight="1" thickBot="1" x14ac:dyDescent="0.3">
      <c r="A39" s="406"/>
      <c r="B39" s="395"/>
      <c r="C39" s="396"/>
      <c r="D39" s="396"/>
      <c r="E39" s="396"/>
      <c r="F39" s="397"/>
      <c r="G39" s="2578" t="s">
        <v>1833</v>
      </c>
      <c r="H39" s="2578"/>
      <c r="I39" s="2579"/>
      <c r="J39" s="13">
        <f>SUM(J38:J38)</f>
        <v>0</v>
      </c>
      <c r="K39" s="14">
        <v>0.92</v>
      </c>
      <c r="L39" s="13">
        <f>J39/K39</f>
        <v>0</v>
      </c>
      <c r="M39" s="2577" t="s">
        <v>1834</v>
      </c>
      <c r="N39" s="2579"/>
      <c r="O39" s="13">
        <f>SUM(O38:O38)</f>
        <v>0</v>
      </c>
      <c r="P39" s="14">
        <v>0.92</v>
      </c>
      <c r="Q39" s="13">
        <f>O39/P39</f>
        <v>0</v>
      </c>
      <c r="R39" s="2577" t="s">
        <v>1833</v>
      </c>
      <c r="S39" s="2578"/>
      <c r="T39" s="2579"/>
      <c r="U39" s="13">
        <f>SUM(U38:U38)</f>
        <v>0</v>
      </c>
      <c r="V39" s="14">
        <v>0.92</v>
      </c>
      <c r="W39" s="13">
        <f>U39/V39</f>
        <v>0</v>
      </c>
    </row>
    <row r="40" spans="1:23" x14ac:dyDescent="0.25">
      <c r="A40" s="407" t="str">
        <f>Итоговая!C219</f>
        <v>ПС 110/10 кВ Понизовье</v>
      </c>
      <c r="B40" s="399">
        <f>Итоговая!D219</f>
        <v>2.5</v>
      </c>
      <c r="C40" s="400"/>
      <c r="D40" s="400"/>
      <c r="E40" s="400"/>
      <c r="F40" s="401"/>
      <c r="G40" s="184"/>
      <c r="H40" s="143"/>
      <c r="I40" s="9"/>
      <c r="J40" s="9"/>
      <c r="K40" s="17"/>
      <c r="L40" s="73"/>
      <c r="M40" s="17"/>
      <c r="N40" s="17"/>
      <c r="O40" s="17"/>
      <c r="P40" s="17"/>
      <c r="Q40" s="17"/>
      <c r="R40" s="143"/>
      <c r="S40" s="143"/>
      <c r="T40" s="9"/>
      <c r="U40" s="9"/>
      <c r="V40" s="17"/>
      <c r="W40" s="73"/>
    </row>
    <row r="41" spans="1:23" ht="15.75" customHeight="1" thickBot="1" x14ac:dyDescent="0.3">
      <c r="A41" s="406"/>
      <c r="B41" s="395"/>
      <c r="C41" s="396"/>
      <c r="D41" s="396"/>
      <c r="E41" s="396"/>
      <c r="F41" s="397"/>
      <c r="G41" s="2797" t="s">
        <v>1833</v>
      </c>
      <c r="H41" s="2797"/>
      <c r="I41" s="2797"/>
      <c r="J41" s="13">
        <f>SUM(J40:J40)</f>
        <v>0</v>
      </c>
      <c r="K41" s="14">
        <v>0.92</v>
      </c>
      <c r="L41" s="13">
        <f>J41/K41</f>
        <v>0</v>
      </c>
      <c r="M41" s="2577" t="s">
        <v>1834</v>
      </c>
      <c r="N41" s="2579"/>
      <c r="O41" s="13">
        <f>SUM(O40:O40)</f>
        <v>0</v>
      </c>
      <c r="P41" s="14">
        <v>0.92</v>
      </c>
      <c r="Q41" s="13">
        <f>O41/P41</f>
        <v>0</v>
      </c>
      <c r="R41" s="2577" t="s">
        <v>1833</v>
      </c>
      <c r="S41" s="2578"/>
      <c r="T41" s="2579"/>
      <c r="U41" s="13">
        <f>SUM(U40:U40)</f>
        <v>0</v>
      </c>
      <c r="V41" s="14">
        <v>0.92</v>
      </c>
      <c r="W41" s="13">
        <f>U41/V41</f>
        <v>0</v>
      </c>
    </row>
    <row r="42" spans="1:23" ht="17.25" customHeight="1" x14ac:dyDescent="0.25">
      <c r="A42" s="2776" t="str">
        <f>Итоговая!C220</f>
        <v>ПС 35/10 кВ Синьково</v>
      </c>
      <c r="B42" s="2630">
        <f>Итоговая!D220</f>
        <v>1</v>
      </c>
      <c r="C42" s="400"/>
      <c r="D42" s="400"/>
      <c r="E42" s="400"/>
      <c r="F42" s="401"/>
      <c r="G42" s="2788" t="s">
        <v>2033</v>
      </c>
      <c r="H42" s="2789"/>
      <c r="I42" s="2789"/>
      <c r="J42" s="2789"/>
      <c r="K42" s="2789"/>
      <c r="L42" s="2789"/>
      <c r="M42" s="51" t="s">
        <v>785</v>
      </c>
      <c r="N42" s="51" t="s">
        <v>786</v>
      </c>
      <c r="O42" s="51">
        <v>0.03</v>
      </c>
      <c r="P42" s="51"/>
      <c r="Q42" s="51"/>
      <c r="R42" s="2773"/>
      <c r="S42" s="2773"/>
      <c r="T42" s="2773"/>
      <c r="U42" s="2773"/>
      <c r="V42" s="2773"/>
      <c r="W42" s="2773"/>
    </row>
    <row r="43" spans="1:23" ht="84" customHeight="1" x14ac:dyDescent="0.25">
      <c r="A43" s="2777"/>
      <c r="B43" s="2631"/>
      <c r="C43" s="404"/>
      <c r="D43" s="404"/>
      <c r="E43" s="404"/>
      <c r="F43" s="405"/>
      <c r="G43" s="152" t="s">
        <v>1995</v>
      </c>
      <c r="H43" s="1" t="s">
        <v>1996</v>
      </c>
      <c r="I43" s="1" t="s">
        <v>2230</v>
      </c>
      <c r="J43" s="143">
        <v>0.08</v>
      </c>
      <c r="K43" s="1"/>
      <c r="L43" s="22"/>
      <c r="M43" s="22"/>
      <c r="N43" s="22"/>
      <c r="O43" s="22"/>
      <c r="P43" s="22"/>
      <c r="Q43" s="22"/>
      <c r="R43" s="22"/>
      <c r="S43" s="22"/>
      <c r="T43" s="22"/>
      <c r="U43" s="142"/>
      <c r="V43" s="22"/>
      <c r="W43" s="22"/>
    </row>
    <row r="44" spans="1:23" ht="16.5" customHeight="1" x14ac:dyDescent="0.25">
      <c r="A44" s="1016"/>
      <c r="B44" s="1014"/>
      <c r="C44" s="1018"/>
      <c r="D44" s="1018"/>
      <c r="E44" s="1018"/>
      <c r="F44" s="1015"/>
      <c r="G44" s="2788" t="s">
        <v>3019</v>
      </c>
      <c r="H44" s="2789"/>
      <c r="I44" s="2789"/>
      <c r="J44" s="2789"/>
      <c r="K44" s="2789"/>
      <c r="L44" s="2789"/>
      <c r="M44" s="646"/>
      <c r="N44" s="312"/>
      <c r="O44" s="69"/>
      <c r="P44" s="69"/>
      <c r="Q44" s="69"/>
      <c r="R44" s="646"/>
      <c r="S44" s="71"/>
      <c r="T44" s="312"/>
      <c r="U44" s="157"/>
      <c r="V44" s="69"/>
      <c r="W44" s="69"/>
    </row>
    <row r="45" spans="1:23" ht="66" customHeight="1" x14ac:dyDescent="0.25">
      <c r="A45" s="1016"/>
      <c r="B45" s="1014"/>
      <c r="C45" s="1018"/>
      <c r="D45" s="1018"/>
      <c r="E45" s="1018"/>
      <c r="F45" s="1015"/>
      <c r="G45" s="1" t="s">
        <v>3080</v>
      </c>
      <c r="H45" s="1" t="s">
        <v>3081</v>
      </c>
      <c r="I45" s="1" t="s">
        <v>3082</v>
      </c>
      <c r="J45" s="143">
        <f>0.06*0.9</f>
        <v>5.3999999999999999E-2</v>
      </c>
      <c r="K45" s="1"/>
      <c r="L45" s="22"/>
      <c r="M45" s="646"/>
      <c r="N45" s="312"/>
      <c r="O45" s="69"/>
      <c r="P45" s="69"/>
      <c r="Q45" s="69"/>
      <c r="R45" s="646"/>
      <c r="S45" s="71"/>
      <c r="T45" s="312"/>
      <c r="U45" s="157"/>
      <c r="V45" s="69"/>
      <c r="W45" s="69"/>
    </row>
    <row r="46" spans="1:23" ht="15.75" customHeight="1" thickBot="1" x14ac:dyDescent="0.3">
      <c r="A46" s="406"/>
      <c r="B46" s="395"/>
      <c r="C46" s="396"/>
      <c r="D46" s="396"/>
      <c r="E46" s="396"/>
      <c r="F46" s="397"/>
      <c r="G46" s="2643" t="s">
        <v>1833</v>
      </c>
      <c r="H46" s="2643"/>
      <c r="I46" s="2603"/>
      <c r="J46" s="140">
        <f>SUM(J45)</f>
        <v>5.3999999999999999E-2</v>
      </c>
      <c r="K46" s="141">
        <v>0.92</v>
      </c>
      <c r="L46" s="140">
        <f>J46/K46</f>
        <v>5.8695652173913038E-2</v>
      </c>
      <c r="M46" s="2613" t="s">
        <v>1834</v>
      </c>
      <c r="N46" s="2603"/>
      <c r="O46" s="140">
        <f>SUM(O42)</f>
        <v>0.03</v>
      </c>
      <c r="P46" s="141">
        <v>0.92</v>
      </c>
      <c r="Q46" s="140">
        <f>O46/P46</f>
        <v>3.2608695652173912E-2</v>
      </c>
      <c r="R46" s="2613" t="s">
        <v>1833</v>
      </c>
      <c r="S46" s="2643"/>
      <c r="T46" s="2603"/>
      <c r="U46" s="140">
        <f>SUM(U43:U43)</f>
        <v>0</v>
      </c>
      <c r="V46" s="141">
        <v>0.92</v>
      </c>
      <c r="W46" s="140">
        <f>U46/V46</f>
        <v>0</v>
      </c>
    </row>
    <row r="47" spans="1:23" x14ac:dyDescent="0.25">
      <c r="A47" s="407" t="str">
        <f>Итоговая!C221</f>
        <v>ПС 35/10 кВ Улин</v>
      </c>
      <c r="B47" s="399">
        <f>Итоговая!D221</f>
        <v>1.6</v>
      </c>
      <c r="C47" s="400"/>
      <c r="D47" s="400"/>
      <c r="E47" s="400"/>
      <c r="F47" s="401"/>
      <c r="G47" s="43"/>
      <c r="H47" s="17"/>
      <c r="I47" s="17"/>
      <c r="J47" s="17"/>
      <c r="K47" s="17"/>
      <c r="L47" s="73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73"/>
    </row>
    <row r="48" spans="1:23" x14ac:dyDescent="0.25">
      <c r="A48" s="402"/>
      <c r="B48" s="403"/>
      <c r="C48" s="404"/>
      <c r="D48" s="404"/>
      <c r="E48" s="404"/>
      <c r="F48" s="405"/>
      <c r="G48" s="152"/>
      <c r="H48" s="1"/>
      <c r="I48" s="1"/>
      <c r="J48" s="1"/>
      <c r="K48" s="1"/>
      <c r="L48" s="22"/>
      <c r="M48" s="1"/>
      <c r="N48" s="1"/>
      <c r="O48" s="1"/>
      <c r="P48" s="1"/>
      <c r="Q48" s="1"/>
      <c r="R48" s="1"/>
      <c r="S48" s="1"/>
      <c r="T48" s="1"/>
      <c r="U48" s="1"/>
      <c r="V48" s="1"/>
      <c r="W48" s="22"/>
    </row>
    <row r="49" spans="1:23" ht="15.75" customHeight="1" thickBot="1" x14ac:dyDescent="0.3">
      <c r="A49" s="406"/>
      <c r="B49" s="395"/>
      <c r="C49" s="396"/>
      <c r="D49" s="396"/>
      <c r="E49" s="396"/>
      <c r="F49" s="397"/>
      <c r="G49" s="2578" t="s">
        <v>1833</v>
      </c>
      <c r="H49" s="2578"/>
      <c r="I49" s="2579"/>
      <c r="J49" s="13">
        <f>SUM(J47:J48)</f>
        <v>0</v>
      </c>
      <c r="K49" s="14">
        <v>0.92</v>
      </c>
      <c r="L49" s="13">
        <f>J49/K49</f>
        <v>0</v>
      </c>
      <c r="M49" s="2577" t="s">
        <v>1834</v>
      </c>
      <c r="N49" s="2579"/>
      <c r="O49" s="13">
        <f>SUM(O47:O48)</f>
        <v>0</v>
      </c>
      <c r="P49" s="14">
        <v>0.92</v>
      </c>
      <c r="Q49" s="13">
        <f>O49/P49</f>
        <v>0</v>
      </c>
      <c r="R49" s="2577" t="s">
        <v>1833</v>
      </c>
      <c r="S49" s="2578"/>
      <c r="T49" s="2579"/>
      <c r="U49" s="13">
        <f>SUM(U47:U48)</f>
        <v>0</v>
      </c>
      <c r="V49" s="14">
        <v>0.92</v>
      </c>
      <c r="W49" s="13">
        <f>U49/V49</f>
        <v>0</v>
      </c>
    </row>
    <row r="50" spans="1:23" x14ac:dyDescent="0.25">
      <c r="A50" s="407" t="str">
        <f>Итоговая!C222</f>
        <v>ПС 35/10 кВ Кавельщино</v>
      </c>
      <c r="B50" s="399">
        <f>Итоговая!D222</f>
        <v>2.5</v>
      </c>
      <c r="C50" s="400"/>
      <c r="D50" s="400"/>
      <c r="E50" s="400"/>
      <c r="F50" s="401"/>
      <c r="G50" s="184"/>
      <c r="H50" s="143"/>
      <c r="I50" s="1"/>
      <c r="J50" s="17"/>
      <c r="K50" s="17"/>
      <c r="L50" s="73"/>
      <c r="M50" s="17"/>
      <c r="N50" s="17"/>
      <c r="O50" s="17"/>
      <c r="P50" s="17"/>
      <c r="Q50" s="17"/>
      <c r="R50" s="143"/>
      <c r="S50" s="143"/>
      <c r="T50" s="1"/>
      <c r="U50" s="17"/>
      <c r="V50" s="17"/>
      <c r="W50" s="73"/>
    </row>
    <row r="51" spans="1:23" ht="15.75" customHeight="1" thickBot="1" x14ac:dyDescent="0.3">
      <c r="A51" s="406"/>
      <c r="B51" s="395"/>
      <c r="C51" s="396"/>
      <c r="D51" s="396"/>
      <c r="E51" s="396"/>
      <c r="F51" s="397"/>
      <c r="G51" s="2578" t="s">
        <v>1833</v>
      </c>
      <c r="H51" s="2578"/>
      <c r="I51" s="2579"/>
      <c r="J51" s="13">
        <f>SUM(J50:J50)</f>
        <v>0</v>
      </c>
      <c r="K51" s="14">
        <v>0.92</v>
      </c>
      <c r="L51" s="13">
        <f>J51/K51</f>
        <v>0</v>
      </c>
      <c r="M51" s="2577" t="s">
        <v>1834</v>
      </c>
      <c r="N51" s="2579"/>
      <c r="O51" s="13">
        <f>SUM(O50:O50)</f>
        <v>0</v>
      </c>
      <c r="P51" s="14">
        <v>0.92</v>
      </c>
      <c r="Q51" s="13">
        <f>O51/P51</f>
        <v>0</v>
      </c>
      <c r="R51" s="2577" t="s">
        <v>1833</v>
      </c>
      <c r="S51" s="2578"/>
      <c r="T51" s="2579"/>
      <c r="U51" s="13">
        <f>SUM(U50:U50)</f>
        <v>0</v>
      </c>
      <c r="V51" s="14">
        <v>0.92</v>
      </c>
      <c r="W51" s="13">
        <f>U51/V51</f>
        <v>0</v>
      </c>
    </row>
    <row r="52" spans="1:23" x14ac:dyDescent="0.25">
      <c r="A52" s="2776" t="str">
        <f>Итоговая!C223</f>
        <v>ПС 35/10 кВ Бологово</v>
      </c>
      <c r="B52" s="2630">
        <f>Итоговая!D223</f>
        <v>1.6</v>
      </c>
      <c r="C52" s="2632" t="str">
        <f>Итоговая!E223</f>
        <v>+</v>
      </c>
      <c r="D52" s="2632">
        <f>Итоговая!F223</f>
        <v>2.5</v>
      </c>
      <c r="E52" s="2632"/>
      <c r="F52" s="2634"/>
      <c r="G52" s="2788" t="s">
        <v>2320</v>
      </c>
      <c r="H52" s="2789"/>
      <c r="I52" s="2789"/>
      <c r="J52" s="2789"/>
      <c r="K52" s="2789"/>
      <c r="L52" s="2789"/>
      <c r="M52" s="131"/>
      <c r="N52" s="132"/>
      <c r="O52" s="73"/>
      <c r="P52" s="73"/>
      <c r="Q52" s="73"/>
      <c r="R52" s="2791"/>
      <c r="S52" s="2791"/>
      <c r="T52" s="2791"/>
      <c r="U52" s="2791"/>
      <c r="V52" s="2791"/>
      <c r="W52" s="2792"/>
    </row>
    <row r="53" spans="1:23" ht="48" customHeight="1" x14ac:dyDescent="0.25">
      <c r="A53" s="2777"/>
      <c r="B53" s="2631"/>
      <c r="C53" s="2633"/>
      <c r="D53" s="2633"/>
      <c r="E53" s="2633"/>
      <c r="F53" s="2635"/>
      <c r="G53" s="104" t="s">
        <v>1302</v>
      </c>
      <c r="H53" s="9" t="s">
        <v>1303</v>
      </c>
      <c r="I53" s="9" t="s">
        <v>1304</v>
      </c>
      <c r="J53" s="9">
        <v>9.9000000000000005E-2</v>
      </c>
      <c r="K53" s="9"/>
      <c r="L53" s="51"/>
      <c r="M53" s="9" t="s">
        <v>2417</v>
      </c>
      <c r="N53" s="9" t="s">
        <v>2418</v>
      </c>
      <c r="O53" s="9">
        <v>0.05</v>
      </c>
      <c r="P53" s="9"/>
      <c r="Q53" s="9"/>
      <c r="R53" s="51"/>
      <c r="S53" s="51"/>
      <c r="T53" s="51"/>
      <c r="U53" s="51"/>
      <c r="V53" s="51"/>
      <c r="W53" s="51"/>
    </row>
    <row r="54" spans="1:23" ht="21.75" customHeight="1" x14ac:dyDescent="0.25">
      <c r="A54" s="402"/>
      <c r="B54" s="403"/>
      <c r="C54" s="404"/>
      <c r="D54" s="404"/>
      <c r="E54" s="404"/>
      <c r="F54" s="405"/>
      <c r="G54" s="152" t="s">
        <v>748</v>
      </c>
      <c r="H54" s="9" t="s">
        <v>749</v>
      </c>
      <c r="I54" s="9" t="s">
        <v>750</v>
      </c>
      <c r="J54" s="1">
        <v>9.5000000000000001E-2</v>
      </c>
      <c r="K54" s="9"/>
      <c r="L54" s="51"/>
      <c r="M54" s="9"/>
      <c r="N54" s="9"/>
      <c r="O54" s="9"/>
      <c r="P54" s="9"/>
      <c r="Q54" s="9"/>
      <c r="R54" s="22"/>
      <c r="S54" s="51"/>
      <c r="T54" s="51"/>
      <c r="U54" s="22"/>
      <c r="V54" s="51"/>
      <c r="W54" s="51"/>
    </row>
    <row r="55" spans="1:23" ht="21.75" customHeight="1" x14ac:dyDescent="0.25">
      <c r="A55" s="402"/>
      <c r="B55" s="403"/>
      <c r="C55" s="404"/>
      <c r="D55" s="404"/>
      <c r="E55" s="404"/>
      <c r="F55" s="405"/>
      <c r="G55" s="152"/>
      <c r="H55" s="1"/>
      <c r="I55" s="1"/>
      <c r="J55" s="1"/>
      <c r="K55" s="1"/>
      <c r="L55" s="22"/>
      <c r="M55" s="1"/>
      <c r="N55" s="1"/>
      <c r="O55" s="1"/>
      <c r="P55" s="1"/>
      <c r="Q55" s="1"/>
      <c r="R55" s="22"/>
      <c r="S55" s="22"/>
      <c r="T55" s="22"/>
      <c r="U55" s="22"/>
      <c r="V55" s="22"/>
      <c r="W55" s="22"/>
    </row>
    <row r="56" spans="1:23" ht="21.75" customHeight="1" x14ac:dyDescent="0.25">
      <c r="A56" s="402"/>
      <c r="B56" s="403"/>
      <c r="C56" s="404"/>
      <c r="D56" s="404"/>
      <c r="E56" s="404"/>
      <c r="F56" s="405"/>
      <c r="G56" s="152"/>
      <c r="H56" s="1"/>
      <c r="I56" s="1"/>
      <c r="J56" s="1"/>
      <c r="K56" s="1"/>
      <c r="L56" s="22"/>
      <c r="M56" s="1"/>
      <c r="N56" s="1"/>
      <c r="O56" s="1"/>
      <c r="P56" s="1"/>
      <c r="Q56" s="1"/>
      <c r="R56" s="22"/>
      <c r="S56" s="22"/>
      <c r="T56" s="22"/>
      <c r="U56" s="22"/>
      <c r="V56" s="22"/>
      <c r="W56" s="22"/>
    </row>
    <row r="57" spans="1:23" ht="15.75" customHeight="1" thickBot="1" x14ac:dyDescent="0.3">
      <c r="A57" s="406"/>
      <c r="B57" s="395"/>
      <c r="C57" s="396"/>
      <c r="D57" s="396"/>
      <c r="E57" s="396"/>
      <c r="F57" s="397"/>
      <c r="G57" s="2578" t="s">
        <v>1833</v>
      </c>
      <c r="H57" s="2578"/>
      <c r="I57" s="2579"/>
      <c r="J57" s="13">
        <f>SUM(0)</f>
        <v>0</v>
      </c>
      <c r="K57" s="14">
        <v>0.92</v>
      </c>
      <c r="L57" s="13">
        <f>J57/K57</f>
        <v>0</v>
      </c>
      <c r="M57" s="2577" t="s">
        <v>1834</v>
      </c>
      <c r="N57" s="2579"/>
      <c r="O57" s="13">
        <f>SUM(O53:O54)</f>
        <v>0.05</v>
      </c>
      <c r="P57" s="14">
        <v>0.92</v>
      </c>
      <c r="Q57" s="13">
        <f>O57/P57</f>
        <v>5.434782608695652E-2</v>
      </c>
      <c r="R57" s="2577" t="s">
        <v>1833</v>
      </c>
      <c r="S57" s="2578"/>
      <c r="T57" s="2579"/>
      <c r="U57" s="13">
        <f>SUM(U55:U56)</f>
        <v>0</v>
      </c>
      <c r="V57" s="14">
        <v>0.92</v>
      </c>
      <c r="W57" s="13">
        <f>U57/V57</f>
        <v>0</v>
      </c>
    </row>
    <row r="58" spans="1:23" x14ac:dyDescent="0.25">
      <c r="A58" s="407" t="str">
        <f>Итоговая!C224</f>
        <v>ПС 35/10 кВ Верховье</v>
      </c>
      <c r="B58" s="399">
        <f>Итоговая!D224</f>
        <v>1</v>
      </c>
      <c r="C58" s="400" t="str">
        <f>Итоговая!E224</f>
        <v>+</v>
      </c>
      <c r="D58" s="400">
        <f>Итоговая!F224</f>
        <v>2.5</v>
      </c>
      <c r="E58" s="400"/>
      <c r="F58" s="401"/>
      <c r="G58" s="43"/>
      <c r="H58" s="17"/>
      <c r="I58" s="17"/>
      <c r="J58" s="17"/>
      <c r="K58" s="17"/>
      <c r="L58" s="73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73"/>
    </row>
    <row r="59" spans="1:23" ht="15.75" customHeight="1" thickBot="1" x14ac:dyDescent="0.3">
      <c r="A59" s="406"/>
      <c r="B59" s="395"/>
      <c r="C59" s="396"/>
      <c r="D59" s="396"/>
      <c r="E59" s="396"/>
      <c r="F59" s="397"/>
      <c r="G59" s="2578" t="s">
        <v>1833</v>
      </c>
      <c r="H59" s="2578"/>
      <c r="I59" s="2579"/>
      <c r="J59" s="13">
        <f>SUM(J58:J58)</f>
        <v>0</v>
      </c>
      <c r="K59" s="14">
        <v>0.92</v>
      </c>
      <c r="L59" s="13">
        <f>J59/K59</f>
        <v>0</v>
      </c>
      <c r="M59" s="2577" t="s">
        <v>1834</v>
      </c>
      <c r="N59" s="2579"/>
      <c r="O59" s="13">
        <f>SUM(O58:O58)</f>
        <v>0</v>
      </c>
      <c r="P59" s="14">
        <v>0.92</v>
      </c>
      <c r="Q59" s="13">
        <f>O59/P59</f>
        <v>0</v>
      </c>
      <c r="R59" s="2577" t="s">
        <v>1833</v>
      </c>
      <c r="S59" s="2578"/>
      <c r="T59" s="2579"/>
      <c r="U59" s="13">
        <f>SUM(U58:U58)</f>
        <v>0</v>
      </c>
      <c r="V59" s="14">
        <v>0.92</v>
      </c>
      <c r="W59" s="13">
        <f>U59/V59</f>
        <v>0</v>
      </c>
    </row>
    <row r="60" spans="1:23" ht="30" x14ac:dyDescent="0.25">
      <c r="A60" s="407" t="str">
        <f>Итоговая!C225</f>
        <v>ПС 35/10 кВ Воскресенское</v>
      </c>
      <c r="B60" s="399">
        <f>Итоговая!D225</f>
        <v>1.6</v>
      </c>
      <c r="C60" s="400" t="str">
        <f>Итоговая!E225</f>
        <v>+</v>
      </c>
      <c r="D60" s="400">
        <f>Итоговая!F225</f>
        <v>1.6</v>
      </c>
      <c r="E60" s="400"/>
      <c r="F60" s="401"/>
      <c r="G60" s="267"/>
      <c r="H60" s="142"/>
      <c r="I60" s="9"/>
      <c r="J60" s="9"/>
      <c r="K60" s="17"/>
      <c r="L60" s="73"/>
      <c r="M60" s="17"/>
      <c r="N60" s="17"/>
      <c r="O60" s="17"/>
      <c r="P60" s="17"/>
      <c r="Q60" s="17"/>
      <c r="R60" s="142"/>
      <c r="S60" s="142"/>
      <c r="T60" s="9"/>
      <c r="U60" s="9"/>
      <c r="V60" s="17"/>
      <c r="W60" s="73"/>
    </row>
    <row r="61" spans="1:23" ht="15.75" customHeight="1" thickBot="1" x14ac:dyDescent="0.3">
      <c r="A61" s="406"/>
      <c r="B61" s="395"/>
      <c r="C61" s="396"/>
      <c r="D61" s="396"/>
      <c r="E61" s="396"/>
      <c r="F61" s="397"/>
      <c r="G61" s="2578" t="s">
        <v>1833</v>
      </c>
      <c r="H61" s="2578"/>
      <c r="I61" s="2579"/>
      <c r="J61" s="13">
        <f>SUM(J60:J60)</f>
        <v>0</v>
      </c>
      <c r="K61" s="14">
        <v>0.92</v>
      </c>
      <c r="L61" s="13">
        <f>J61/K61</f>
        <v>0</v>
      </c>
      <c r="M61" s="2577" t="s">
        <v>1834</v>
      </c>
      <c r="N61" s="2579"/>
      <c r="O61" s="13">
        <f>SUM(O60:O60)</f>
        <v>0</v>
      </c>
      <c r="P61" s="14">
        <v>0.92</v>
      </c>
      <c r="Q61" s="13">
        <f>O61/P61</f>
        <v>0</v>
      </c>
      <c r="R61" s="2577" t="s">
        <v>1833</v>
      </c>
      <c r="S61" s="2578"/>
      <c r="T61" s="2579"/>
      <c r="U61" s="13">
        <f>SUM(U60:U60)</f>
        <v>0</v>
      </c>
      <c r="V61" s="14">
        <v>0.92</v>
      </c>
      <c r="W61" s="13">
        <f>U61/V61</f>
        <v>0</v>
      </c>
    </row>
    <row r="62" spans="1:23" ht="75" x14ac:dyDescent="0.25">
      <c r="A62" s="407" t="str">
        <f>Итоговая!C226</f>
        <v>ПС 35/10 кВ Дашково</v>
      </c>
      <c r="B62" s="399">
        <f>Итоговая!D226</f>
        <v>4</v>
      </c>
      <c r="C62" s="400" t="str">
        <f>Итоговая!E226</f>
        <v>+</v>
      </c>
      <c r="D62" s="400">
        <f>Итоговая!F226</f>
        <v>4</v>
      </c>
      <c r="E62" s="400"/>
      <c r="F62" s="401"/>
      <c r="G62" s="43"/>
      <c r="H62" s="17"/>
      <c r="I62" s="17"/>
      <c r="J62" s="17"/>
      <c r="K62" s="17"/>
      <c r="L62" s="73"/>
      <c r="M62" s="17" t="s">
        <v>2624</v>
      </c>
      <c r="N62" s="17" t="s">
        <v>2625</v>
      </c>
      <c r="O62" s="17">
        <f>0.5</f>
        <v>0.5</v>
      </c>
      <c r="P62" s="17"/>
      <c r="Q62" s="17"/>
      <c r="R62" s="17"/>
      <c r="S62" s="17"/>
      <c r="T62" s="17"/>
      <c r="U62" s="17"/>
      <c r="V62" s="17"/>
      <c r="W62" s="73"/>
    </row>
    <row r="63" spans="1:23" ht="15.75" customHeight="1" thickBot="1" x14ac:dyDescent="0.3">
      <c r="A63" s="406"/>
      <c r="B63" s="395"/>
      <c r="C63" s="396"/>
      <c r="D63" s="396"/>
      <c r="E63" s="396"/>
      <c r="F63" s="397"/>
      <c r="G63" s="2578" t="s">
        <v>1833</v>
      </c>
      <c r="H63" s="2578"/>
      <c r="I63" s="2579"/>
      <c r="J63" s="13">
        <f>SUM(J62:J62)</f>
        <v>0</v>
      </c>
      <c r="K63" s="14">
        <v>0.92</v>
      </c>
      <c r="L63" s="13">
        <f>J63/K63</f>
        <v>0</v>
      </c>
      <c r="M63" s="2577" t="s">
        <v>1834</v>
      </c>
      <c r="N63" s="2579"/>
      <c r="O63" s="13">
        <f>SUM(O62:O62)</f>
        <v>0.5</v>
      </c>
      <c r="P63" s="14">
        <v>0.92</v>
      </c>
      <c r="Q63" s="13">
        <f>O63/P63</f>
        <v>0.54347826086956519</v>
      </c>
      <c r="R63" s="2577" t="s">
        <v>1833</v>
      </c>
      <c r="S63" s="2578"/>
      <c r="T63" s="2579"/>
      <c r="U63" s="13">
        <f>SUM(U62:U62)</f>
        <v>0</v>
      </c>
      <c r="V63" s="14">
        <v>0.92</v>
      </c>
      <c r="W63" s="13">
        <f>U63/V63</f>
        <v>0</v>
      </c>
    </row>
    <row r="64" spans="1:23" ht="15.75" customHeight="1" x14ac:dyDescent="0.25">
      <c r="A64" s="735" t="s">
        <v>2748</v>
      </c>
      <c r="B64" s="734">
        <v>25</v>
      </c>
      <c r="C64" s="733" t="s">
        <v>773</v>
      </c>
      <c r="D64" s="733">
        <v>25</v>
      </c>
      <c r="E64" s="733"/>
      <c r="F64" s="732"/>
      <c r="G64" s="43"/>
      <c r="H64" s="17"/>
      <c r="I64" s="17"/>
      <c r="J64" s="17"/>
      <c r="K64" s="17"/>
      <c r="L64" s="73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73"/>
    </row>
    <row r="65" spans="1:23" ht="15.75" customHeight="1" thickBot="1" x14ac:dyDescent="0.3">
      <c r="A65" s="737"/>
      <c r="B65" s="736"/>
      <c r="C65" s="639"/>
      <c r="D65" s="639"/>
      <c r="E65" s="639"/>
      <c r="F65" s="397"/>
      <c r="G65" s="2578" t="s">
        <v>1833</v>
      </c>
      <c r="H65" s="2578"/>
      <c r="I65" s="2579"/>
      <c r="J65" s="13">
        <f>SUM(J64)</f>
        <v>0</v>
      </c>
      <c r="K65" s="14">
        <v>0.92</v>
      </c>
      <c r="L65" s="13">
        <f>J65/K65</f>
        <v>0</v>
      </c>
      <c r="M65" s="2577" t="s">
        <v>1834</v>
      </c>
      <c r="N65" s="2579"/>
      <c r="O65" s="13">
        <f>SUM(O64:O64)</f>
        <v>0</v>
      </c>
      <c r="P65" s="14">
        <v>0.92</v>
      </c>
      <c r="Q65" s="13">
        <f>O65/P65</f>
        <v>0</v>
      </c>
      <c r="R65" s="2577" t="s">
        <v>1833</v>
      </c>
      <c r="S65" s="2578"/>
      <c r="T65" s="2579"/>
      <c r="U65" s="13">
        <f>SUM(U64:U64)</f>
        <v>0</v>
      </c>
      <c r="V65" s="14">
        <v>0.92</v>
      </c>
      <c r="W65" s="13">
        <f>U65/V65</f>
        <v>0</v>
      </c>
    </row>
    <row r="66" spans="1:23" ht="57" customHeight="1" x14ac:dyDescent="0.25">
      <c r="A66" s="407" t="str">
        <f>Итоговая!C228</f>
        <v>ПС 35/10 кВ Ильино</v>
      </c>
      <c r="B66" s="399">
        <f>Итоговая!D228</f>
        <v>1.6</v>
      </c>
      <c r="C66" s="400" t="str">
        <f>Итоговая!E228</f>
        <v>+</v>
      </c>
      <c r="D66" s="400">
        <f>Итоговая!F228</f>
        <v>2.5</v>
      </c>
      <c r="E66" s="400"/>
      <c r="F66" s="401"/>
      <c r="G66" s="267"/>
      <c r="H66" s="142"/>
      <c r="I66" s="142"/>
      <c r="J66" s="17"/>
      <c r="K66" s="17"/>
      <c r="L66" s="73"/>
      <c r="M66" s="9" t="s">
        <v>2511</v>
      </c>
      <c r="N66" s="9" t="s">
        <v>2545</v>
      </c>
      <c r="O66" s="17">
        <v>1.6E-2</v>
      </c>
      <c r="P66" s="17"/>
      <c r="Q66" s="17"/>
      <c r="R66" s="142"/>
      <c r="S66" s="142"/>
      <c r="T66" s="142"/>
      <c r="U66" s="17"/>
      <c r="V66" s="17"/>
      <c r="W66" s="73"/>
    </row>
    <row r="67" spans="1:23" ht="15.75" customHeight="1" thickBot="1" x14ac:dyDescent="0.3">
      <c r="A67" s="406"/>
      <c r="B67" s="395"/>
      <c r="C67" s="396"/>
      <c r="D67" s="396"/>
      <c r="E67" s="396"/>
      <c r="F67" s="397"/>
      <c r="G67" s="2577" t="s">
        <v>1833</v>
      </c>
      <c r="H67" s="2578"/>
      <c r="I67" s="2579"/>
      <c r="J67" s="13">
        <f>SUM(J66:J66)</f>
        <v>0</v>
      </c>
      <c r="K67" s="14">
        <v>0.92</v>
      </c>
      <c r="L67" s="13">
        <f>J67/K67</f>
        <v>0</v>
      </c>
      <c r="M67" s="2587" t="s">
        <v>1834</v>
      </c>
      <c r="N67" s="2589"/>
      <c r="O67" s="21">
        <f>SUM(O66:O66)</f>
        <v>1.6E-2</v>
      </c>
      <c r="P67" s="24">
        <v>0.92</v>
      </c>
      <c r="Q67" s="21">
        <f>O67/P67</f>
        <v>1.7391304347826087E-2</v>
      </c>
      <c r="R67" s="2587" t="s">
        <v>1833</v>
      </c>
      <c r="S67" s="2588"/>
      <c r="T67" s="2589"/>
      <c r="U67" s="21">
        <f>SUM(U66:U66)</f>
        <v>0</v>
      </c>
      <c r="V67" s="24">
        <v>0.92</v>
      </c>
      <c r="W67" s="21">
        <f>U67/V67</f>
        <v>0</v>
      </c>
    </row>
    <row r="68" spans="1:23" x14ac:dyDescent="0.25">
      <c r="A68" s="2776" t="str">
        <f>Итоговая!C229</f>
        <v>ПС 35/10 кВ Плоскошь</v>
      </c>
      <c r="B68" s="2630">
        <f>Итоговая!D229</f>
        <v>3.2</v>
      </c>
      <c r="C68" s="2632" t="str">
        <f>Итоговая!E229</f>
        <v>+</v>
      </c>
      <c r="D68" s="2632">
        <f>Итоговая!F229</f>
        <v>4</v>
      </c>
      <c r="E68" s="2632"/>
      <c r="F68" s="2634"/>
      <c r="G68" s="2788" t="s">
        <v>2033</v>
      </c>
      <c r="H68" s="2789"/>
      <c r="I68" s="2789"/>
      <c r="J68" s="2789"/>
      <c r="K68" s="2789"/>
      <c r="L68" s="2789"/>
      <c r="M68" s="73"/>
      <c r="N68" s="73"/>
      <c r="O68" s="73"/>
      <c r="P68" s="73"/>
      <c r="Q68" s="270"/>
      <c r="R68" s="2790"/>
      <c r="S68" s="2790"/>
      <c r="T68" s="2790"/>
      <c r="U68" s="2790"/>
      <c r="V68" s="2790"/>
      <c r="W68" s="2790"/>
    </row>
    <row r="69" spans="1:23" ht="30" customHeight="1" x14ac:dyDescent="0.25">
      <c r="A69" s="2777"/>
      <c r="B69" s="2631"/>
      <c r="C69" s="2633"/>
      <c r="D69" s="2633"/>
      <c r="E69" s="2633"/>
      <c r="F69" s="2635"/>
      <c r="G69" s="152" t="s">
        <v>2021</v>
      </c>
      <c r="H69" s="1" t="s">
        <v>2022</v>
      </c>
      <c r="I69" s="1" t="s">
        <v>2258</v>
      </c>
      <c r="J69" s="1">
        <v>0.17</v>
      </c>
      <c r="K69" s="1"/>
      <c r="L69" s="22"/>
      <c r="M69" s="9" t="s">
        <v>2511</v>
      </c>
      <c r="N69" s="9" t="s">
        <v>2804</v>
      </c>
      <c r="O69" s="22">
        <v>2.3E-2</v>
      </c>
      <c r="P69" s="22"/>
      <c r="Q69" s="22"/>
      <c r="R69" s="22"/>
      <c r="S69" s="22"/>
      <c r="T69" s="22"/>
      <c r="U69" s="22"/>
      <c r="V69" s="22"/>
      <c r="W69" s="22"/>
    </row>
    <row r="70" spans="1:23" ht="30" customHeight="1" x14ac:dyDescent="0.25">
      <c r="A70" s="739"/>
      <c r="B70" s="740"/>
      <c r="C70" s="741"/>
      <c r="D70" s="741"/>
      <c r="E70" s="741"/>
      <c r="F70" s="738"/>
      <c r="G70" s="1"/>
      <c r="H70" s="1"/>
      <c r="I70" s="1"/>
      <c r="J70" s="1"/>
      <c r="K70" s="1"/>
      <c r="L70" s="22"/>
      <c r="M70" s="1"/>
      <c r="N70" s="1"/>
      <c r="O70" s="22"/>
      <c r="P70" s="22"/>
      <c r="Q70" s="22"/>
      <c r="R70" s="22"/>
      <c r="S70" s="22"/>
      <c r="T70" s="22"/>
      <c r="U70" s="22"/>
      <c r="V70" s="22"/>
      <c r="W70" s="22"/>
    </row>
    <row r="71" spans="1:23" ht="15.75" customHeight="1" thickBot="1" x14ac:dyDescent="0.3">
      <c r="A71" s="406"/>
      <c r="B71" s="395"/>
      <c r="C71" s="396"/>
      <c r="D71" s="396"/>
      <c r="E71" s="396"/>
      <c r="F71" s="397"/>
      <c r="G71" s="2578" t="s">
        <v>1833</v>
      </c>
      <c r="H71" s="2578"/>
      <c r="I71" s="2579"/>
      <c r="J71" s="13">
        <f>SUM(0)</f>
        <v>0</v>
      </c>
      <c r="K71" s="14">
        <v>0.92</v>
      </c>
      <c r="L71" s="13">
        <f>J71/K71</f>
        <v>0</v>
      </c>
      <c r="M71" s="2577" t="s">
        <v>1834</v>
      </c>
      <c r="N71" s="2579"/>
      <c r="O71" s="13">
        <f>SUM(O68:O69)</f>
        <v>2.3E-2</v>
      </c>
      <c r="P71" s="14">
        <v>0.92</v>
      </c>
      <c r="Q71" s="15">
        <f>O71/P71</f>
        <v>2.4999999999999998E-2</v>
      </c>
      <c r="R71" s="2577" t="s">
        <v>1833</v>
      </c>
      <c r="S71" s="2578"/>
      <c r="T71" s="2579"/>
      <c r="U71" s="13">
        <f>SUM(U69)</f>
        <v>0</v>
      </c>
      <c r="V71" s="14">
        <v>0.92</v>
      </c>
      <c r="W71" s="13">
        <f>U71/V71</f>
        <v>0</v>
      </c>
    </row>
    <row r="72" spans="1:23" x14ac:dyDescent="0.25">
      <c r="A72" s="407" t="str">
        <f>Итоговая!C230</f>
        <v>ПС 35/6 кВ Половцово</v>
      </c>
      <c r="B72" s="399">
        <f>Итоговая!D230</f>
        <v>5.6</v>
      </c>
      <c r="C72" s="400" t="str">
        <f>Итоговая!E230</f>
        <v>+</v>
      </c>
      <c r="D72" s="400">
        <f>Итоговая!F230</f>
        <v>5.6</v>
      </c>
      <c r="E72" s="400"/>
      <c r="F72" s="401"/>
      <c r="G72" s="2750" t="s">
        <v>17067</v>
      </c>
      <c r="H72" s="2750"/>
      <c r="I72" s="2750"/>
      <c r="J72" s="2750"/>
      <c r="K72" s="2750"/>
      <c r="L72" s="2751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73"/>
    </row>
    <row r="73" spans="1:23" ht="105" x14ac:dyDescent="0.25">
      <c r="A73" s="402"/>
      <c r="B73" s="403"/>
      <c r="C73" s="404"/>
      <c r="D73" s="404"/>
      <c r="E73" s="404"/>
      <c r="F73" s="405"/>
      <c r="G73" s="152" t="s">
        <v>19925</v>
      </c>
      <c r="H73" s="1" t="s">
        <v>19926</v>
      </c>
      <c r="I73" s="1" t="s">
        <v>19927</v>
      </c>
      <c r="J73" s="1">
        <f>0.155*0.15</f>
        <v>2.325E-2</v>
      </c>
      <c r="K73" s="1"/>
      <c r="L73" s="22"/>
      <c r="M73" s="1"/>
      <c r="N73" s="1"/>
      <c r="O73" s="1"/>
      <c r="P73" s="1"/>
      <c r="Q73" s="1"/>
      <c r="R73" s="1"/>
      <c r="S73" s="1"/>
      <c r="T73" s="1"/>
      <c r="U73" s="1"/>
      <c r="V73" s="1"/>
      <c r="W73" s="22"/>
    </row>
    <row r="74" spans="1:23" ht="60" x14ac:dyDescent="0.25">
      <c r="A74" s="2189"/>
      <c r="B74" s="2175"/>
      <c r="C74" s="2176"/>
      <c r="D74" s="2176"/>
      <c r="E74" s="2176"/>
      <c r="F74" s="2177"/>
      <c r="G74" s="2170" t="s">
        <v>20029</v>
      </c>
      <c r="H74" s="2170" t="s">
        <v>20030</v>
      </c>
      <c r="I74" s="2171" t="s">
        <v>20031</v>
      </c>
      <c r="J74" s="2168">
        <f>0.1*0.9</f>
        <v>9.0000000000000011E-2</v>
      </c>
      <c r="K74" s="2168"/>
      <c r="L74" s="62"/>
      <c r="M74" s="2169"/>
      <c r="N74" s="2171"/>
      <c r="O74" s="2168"/>
      <c r="P74" s="2168"/>
      <c r="Q74" s="2168"/>
      <c r="R74" s="2169"/>
      <c r="S74" s="2170"/>
      <c r="T74" s="2171"/>
      <c r="U74" s="2168"/>
      <c r="V74" s="2168"/>
      <c r="W74" s="62"/>
    </row>
    <row r="75" spans="1:23" ht="15.75" customHeight="1" thickBot="1" x14ac:dyDescent="0.3">
      <c r="A75" s="406"/>
      <c r="B75" s="395"/>
      <c r="C75" s="396"/>
      <c r="D75" s="396"/>
      <c r="E75" s="396"/>
      <c r="F75" s="397"/>
      <c r="G75" s="2578" t="s">
        <v>1833</v>
      </c>
      <c r="H75" s="2578"/>
      <c r="I75" s="2579"/>
      <c r="J75" s="13">
        <f>SUM(J72:J74)</f>
        <v>0.11325000000000002</v>
      </c>
      <c r="K75" s="14">
        <v>0.92</v>
      </c>
      <c r="L75" s="13">
        <f>J75/K75</f>
        <v>0.12309782608695653</v>
      </c>
      <c r="M75" s="2577" t="s">
        <v>1834</v>
      </c>
      <c r="N75" s="2579"/>
      <c r="O75" s="13">
        <f>SUM(O72:O73)</f>
        <v>0</v>
      </c>
      <c r="P75" s="14">
        <v>0.92</v>
      </c>
      <c r="Q75" s="13">
        <f>O75/P75</f>
        <v>0</v>
      </c>
      <c r="R75" s="2577" t="s">
        <v>1833</v>
      </c>
      <c r="S75" s="2578"/>
      <c r="T75" s="2579"/>
      <c r="U75" s="13">
        <f>SUM(U72:U73)</f>
        <v>0</v>
      </c>
      <c r="V75" s="14">
        <v>0.92</v>
      </c>
      <c r="W75" s="13">
        <f>U75/V75</f>
        <v>0</v>
      </c>
    </row>
    <row r="76" spans="1:23" x14ac:dyDescent="0.25">
      <c r="A76" s="407" t="str">
        <f>Итоговая!C231</f>
        <v>ПС 35/10 кВ Ст. Торопа</v>
      </c>
      <c r="B76" s="399">
        <f>Итоговая!D231</f>
        <v>4</v>
      </c>
      <c r="C76" s="400" t="str">
        <f>Итоговая!E231</f>
        <v>+</v>
      </c>
      <c r="D76" s="400">
        <f>Итоговая!F231</f>
        <v>4</v>
      </c>
      <c r="E76" s="400"/>
      <c r="F76" s="401"/>
      <c r="G76" s="2750" t="s">
        <v>19928</v>
      </c>
      <c r="H76" s="2750"/>
      <c r="I76" s="2750"/>
      <c r="J76" s="2750"/>
      <c r="K76" s="2750"/>
      <c r="L76" s="2751"/>
      <c r="M76" s="1676"/>
      <c r="N76" s="1676"/>
      <c r="O76" s="1676"/>
      <c r="P76" s="9"/>
      <c r="Q76" s="9"/>
      <c r="R76" s="42"/>
      <c r="S76" s="42"/>
      <c r="T76" s="269"/>
      <c r="U76" s="9"/>
      <c r="V76" s="9"/>
      <c r="W76" s="51"/>
    </row>
    <row r="77" spans="1:23" ht="45" customHeight="1" x14ac:dyDescent="0.25">
      <c r="A77" s="608"/>
      <c r="B77" s="609"/>
      <c r="C77" s="610"/>
      <c r="D77" s="610"/>
      <c r="E77" s="610"/>
      <c r="F77" s="607"/>
      <c r="G77" s="2771"/>
      <c r="H77" s="2772"/>
      <c r="I77" s="2468"/>
      <c r="J77" s="1956"/>
      <c r="K77" s="1956"/>
      <c r="L77" s="1956"/>
      <c r="M77" s="1" t="s">
        <v>2023</v>
      </c>
      <c r="N77" s="1" t="s">
        <v>2024</v>
      </c>
      <c r="O77" s="1">
        <v>8.5000000000000006E-2</v>
      </c>
      <c r="P77" s="9"/>
      <c r="Q77" s="9"/>
      <c r="R77" s="42"/>
      <c r="S77" s="42"/>
      <c r="T77" s="269"/>
      <c r="U77" s="9"/>
      <c r="V77" s="9"/>
      <c r="W77" s="51"/>
    </row>
    <row r="78" spans="1:23" ht="39.75" customHeight="1" x14ac:dyDescent="0.25">
      <c r="A78" s="402"/>
      <c r="B78" s="403"/>
      <c r="C78" s="404"/>
      <c r="D78" s="404"/>
      <c r="E78" s="404"/>
      <c r="F78" s="405"/>
      <c r="G78" s="2750" t="s">
        <v>3405</v>
      </c>
      <c r="H78" s="2750"/>
      <c r="I78" s="2750"/>
      <c r="J78" s="2750"/>
      <c r="K78" s="2750"/>
      <c r="L78" s="2751"/>
      <c r="M78" s="9" t="s">
        <v>2511</v>
      </c>
      <c r="N78" s="9" t="s">
        <v>2540</v>
      </c>
      <c r="O78" s="1">
        <v>1.6E-2</v>
      </c>
      <c r="P78" s="1"/>
      <c r="Q78" s="1"/>
      <c r="R78" s="143"/>
      <c r="S78" s="143"/>
      <c r="T78" s="105"/>
      <c r="U78" s="1"/>
      <c r="V78" s="1"/>
      <c r="W78" s="22"/>
    </row>
    <row r="79" spans="1:23" ht="71.25" customHeight="1" x14ac:dyDescent="0.25">
      <c r="A79" s="1686"/>
      <c r="B79" s="1673"/>
      <c r="C79" s="1674"/>
      <c r="D79" s="1674"/>
      <c r="E79" s="1674"/>
      <c r="F79" s="1675"/>
      <c r="G79" s="1922" t="s">
        <v>767</v>
      </c>
      <c r="H79" s="1922" t="s">
        <v>16764</v>
      </c>
      <c r="I79" s="1728" t="s">
        <v>17035</v>
      </c>
      <c r="J79" s="1669">
        <f>(1-0.15)*0.85</f>
        <v>0.72249999999999992</v>
      </c>
      <c r="K79" s="1669"/>
      <c r="L79" s="62"/>
      <c r="M79" s="1676"/>
      <c r="N79" s="1676"/>
      <c r="O79" s="1676"/>
      <c r="P79" s="1669"/>
      <c r="Q79" s="1669"/>
      <c r="R79" s="1681"/>
      <c r="S79" s="1682"/>
      <c r="T79" s="1728"/>
      <c r="U79" s="1669"/>
      <c r="V79" s="1669"/>
      <c r="W79" s="62"/>
    </row>
    <row r="80" spans="1:23" ht="15.75" customHeight="1" thickBot="1" x14ac:dyDescent="0.3">
      <c r="A80" s="406"/>
      <c r="B80" s="395"/>
      <c r="C80" s="396"/>
      <c r="D80" s="396"/>
      <c r="E80" s="396"/>
      <c r="F80" s="397"/>
      <c r="G80" s="2578" t="s">
        <v>1833</v>
      </c>
      <c r="H80" s="2578"/>
      <c r="I80" s="2579"/>
      <c r="J80" s="13">
        <f>SUM(J79)</f>
        <v>0.72249999999999992</v>
      </c>
      <c r="K80" s="14">
        <v>0.92</v>
      </c>
      <c r="L80" s="13">
        <f>J80/K80</f>
        <v>0.78532608695652162</v>
      </c>
      <c r="M80" s="2577" t="s">
        <v>1834</v>
      </c>
      <c r="N80" s="2579"/>
      <c r="O80" s="13">
        <f>SUM(O76:O79)</f>
        <v>0.10100000000000001</v>
      </c>
      <c r="P80" s="14">
        <v>0.92</v>
      </c>
      <c r="Q80" s="13">
        <f>O80/P80</f>
        <v>0.10978260869565218</v>
      </c>
      <c r="R80" s="2577" t="s">
        <v>1833</v>
      </c>
      <c r="S80" s="2578"/>
      <c r="T80" s="2579"/>
      <c r="U80" s="13">
        <f>SUM(U76:U76)</f>
        <v>0</v>
      </c>
      <c r="V80" s="14">
        <v>0.92</v>
      </c>
      <c r="W80" s="13">
        <f>U80/V80</f>
        <v>0</v>
      </c>
    </row>
    <row r="81" spans="1:23" x14ac:dyDescent="0.25">
      <c r="A81" s="2776" t="str">
        <f>Итоговая!C232</f>
        <v>ПС 110/35/10 кВ Андреаполь</v>
      </c>
      <c r="B81" s="2630">
        <f>Итоговая!D232</f>
        <v>10</v>
      </c>
      <c r="C81" s="2632" t="str">
        <f>Итоговая!E232</f>
        <v>+</v>
      </c>
      <c r="D81" s="2632">
        <f>Итоговая!F232</f>
        <v>10</v>
      </c>
      <c r="E81" s="2632"/>
      <c r="F81" s="2634"/>
      <c r="G81" s="2585" t="s">
        <v>2320</v>
      </c>
      <c r="H81" s="2585"/>
      <c r="I81" s="2585"/>
      <c r="J81" s="2585"/>
      <c r="K81" s="2585"/>
      <c r="L81" s="2586"/>
      <c r="M81" s="131"/>
      <c r="N81" s="132"/>
      <c r="O81" s="73"/>
      <c r="P81" s="73"/>
      <c r="Q81" s="73"/>
      <c r="R81" s="2791"/>
      <c r="S81" s="2791"/>
      <c r="T81" s="2791"/>
      <c r="U81" s="2791"/>
      <c r="V81" s="2791"/>
      <c r="W81" s="2792"/>
    </row>
    <row r="82" spans="1:23" ht="90" x14ac:dyDescent="0.25">
      <c r="A82" s="2777"/>
      <c r="B82" s="2631"/>
      <c r="C82" s="2633"/>
      <c r="D82" s="2633"/>
      <c r="E82" s="2633"/>
      <c r="F82" s="2635"/>
      <c r="G82" s="442"/>
      <c r="H82" s="443"/>
      <c r="I82" s="443"/>
      <c r="J82" s="414"/>
      <c r="K82" s="413"/>
      <c r="L82" s="413"/>
      <c r="M82" s="22"/>
      <c r="N82" s="22"/>
      <c r="O82" s="51"/>
      <c r="P82" s="51"/>
      <c r="Q82" s="51"/>
      <c r="R82" s="2223" t="s">
        <v>1295</v>
      </c>
      <c r="S82" s="2224" t="s">
        <v>1296</v>
      </c>
      <c r="T82" s="2224" t="s">
        <v>20042</v>
      </c>
      <c r="U82" s="2227">
        <v>0.74099999999999999</v>
      </c>
      <c r="V82" s="142"/>
      <c r="W82" s="142"/>
    </row>
    <row r="83" spans="1:23" ht="57.75" customHeight="1" x14ac:dyDescent="0.25">
      <c r="A83" s="402"/>
      <c r="B83" s="403"/>
      <c r="C83" s="404"/>
      <c r="D83" s="404"/>
      <c r="E83" s="404"/>
      <c r="F83" s="405"/>
      <c r="G83" s="495" t="s">
        <v>1297</v>
      </c>
      <c r="H83" s="413" t="s">
        <v>1298</v>
      </c>
      <c r="I83" s="414" t="s">
        <v>1299</v>
      </c>
      <c r="J83" s="443">
        <v>0.1</v>
      </c>
      <c r="K83" s="414"/>
      <c r="L83" s="414"/>
      <c r="M83" s="9" t="s">
        <v>1199</v>
      </c>
      <c r="N83" s="9" t="s">
        <v>1294</v>
      </c>
      <c r="O83" s="9">
        <v>5.3999999999999999E-2</v>
      </c>
      <c r="P83" s="9"/>
      <c r="Q83" s="9"/>
      <c r="R83" s="142"/>
      <c r="S83" s="142"/>
      <c r="T83" s="22"/>
      <c r="U83" s="51"/>
      <c r="V83" s="22"/>
      <c r="W83" s="22"/>
    </row>
    <row r="84" spans="1:23" ht="18.75" customHeight="1" x14ac:dyDescent="0.25">
      <c r="A84" s="402"/>
      <c r="B84" s="403"/>
      <c r="C84" s="404"/>
      <c r="D84" s="404"/>
      <c r="E84" s="404"/>
      <c r="F84" s="405"/>
      <c r="G84" s="2750" t="s">
        <v>2321</v>
      </c>
      <c r="H84" s="2750"/>
      <c r="I84" s="2750"/>
      <c r="J84" s="2750"/>
      <c r="K84" s="2750"/>
      <c r="L84" s="2751"/>
      <c r="M84" s="9"/>
      <c r="N84" s="9"/>
      <c r="O84" s="9"/>
      <c r="P84" s="9"/>
      <c r="Q84" s="9"/>
      <c r="R84" s="2772"/>
      <c r="S84" s="2772"/>
      <c r="T84" s="2772"/>
      <c r="U84" s="2772"/>
      <c r="V84" s="2772"/>
      <c r="W84" s="2468"/>
    </row>
    <row r="85" spans="1:23" ht="150" x14ac:dyDescent="0.25">
      <c r="A85" s="402"/>
      <c r="B85" s="403"/>
      <c r="C85" s="404"/>
      <c r="D85" s="404"/>
      <c r="E85" s="404"/>
      <c r="F85" s="405"/>
      <c r="G85" s="436" t="s">
        <v>1291</v>
      </c>
      <c r="H85" s="435" t="s">
        <v>1292</v>
      </c>
      <c r="I85" s="435" t="s">
        <v>1293</v>
      </c>
      <c r="J85" s="450">
        <v>3</v>
      </c>
      <c r="K85" s="435"/>
      <c r="L85" s="435"/>
      <c r="M85" s="9" t="s">
        <v>2437</v>
      </c>
      <c r="N85" s="9" t="s">
        <v>2524</v>
      </c>
      <c r="O85" s="9">
        <v>5.5E-2</v>
      </c>
      <c r="P85" s="9"/>
      <c r="Q85" s="9"/>
      <c r="R85" s="69"/>
      <c r="S85" s="69"/>
      <c r="T85" s="69"/>
      <c r="U85" s="62"/>
      <c r="V85" s="69"/>
      <c r="W85" s="69"/>
    </row>
    <row r="86" spans="1:23" x14ac:dyDescent="0.25">
      <c r="A86" s="402"/>
      <c r="B86" s="403"/>
      <c r="C86" s="404"/>
      <c r="D86" s="404"/>
      <c r="E86" s="404"/>
      <c r="F86" s="405"/>
      <c r="G86" s="2751" t="s">
        <v>2322</v>
      </c>
      <c r="H86" s="2793"/>
      <c r="I86" s="2793"/>
      <c r="J86" s="2793"/>
      <c r="K86" s="2793"/>
      <c r="L86" s="2793"/>
      <c r="M86" s="9"/>
      <c r="N86" s="9"/>
      <c r="O86" s="9"/>
      <c r="P86" s="9"/>
      <c r="Q86" s="9"/>
      <c r="R86" s="2794"/>
      <c r="S86" s="2794"/>
      <c r="T86" s="2794"/>
      <c r="U86" s="2794"/>
      <c r="V86" s="2794"/>
      <c r="W86" s="2794"/>
    </row>
    <row r="87" spans="1:23" ht="55.5" customHeight="1" x14ac:dyDescent="0.25">
      <c r="A87" s="402"/>
      <c r="B87" s="403"/>
      <c r="C87" s="404"/>
      <c r="D87" s="404"/>
      <c r="E87" s="404"/>
      <c r="F87" s="405"/>
      <c r="G87" s="442" t="s">
        <v>1300</v>
      </c>
      <c r="H87" s="443" t="s">
        <v>1300</v>
      </c>
      <c r="I87" s="443" t="s">
        <v>1301</v>
      </c>
      <c r="J87" s="443">
        <v>0.03</v>
      </c>
      <c r="K87" s="443"/>
      <c r="L87" s="443"/>
      <c r="M87" s="9" t="s">
        <v>2511</v>
      </c>
      <c r="N87" s="9" t="s">
        <v>2520</v>
      </c>
      <c r="O87" s="9">
        <v>2.5000000000000001E-2</v>
      </c>
      <c r="P87" s="9"/>
      <c r="Q87" s="9"/>
      <c r="R87" s="51"/>
      <c r="S87" s="51"/>
      <c r="T87" s="51"/>
      <c r="U87" s="51"/>
      <c r="V87" s="51"/>
      <c r="W87" s="51"/>
    </row>
    <row r="88" spans="1:23" ht="55.5" customHeight="1" x14ac:dyDescent="0.25">
      <c r="A88" s="623"/>
      <c r="B88" s="624"/>
      <c r="C88" s="625"/>
      <c r="D88" s="625"/>
      <c r="E88" s="625"/>
      <c r="F88" s="622"/>
      <c r="G88" s="450"/>
      <c r="H88" s="450"/>
      <c r="I88" s="450"/>
      <c r="J88" s="450"/>
      <c r="K88" s="450"/>
      <c r="L88" s="450"/>
      <c r="M88" s="128" t="s">
        <v>2511</v>
      </c>
      <c r="N88" s="128" t="s">
        <v>2578</v>
      </c>
      <c r="O88" s="128">
        <v>3.5000000000000003E-2</v>
      </c>
      <c r="P88" s="1"/>
      <c r="Q88" s="1"/>
      <c r="R88" s="22"/>
      <c r="S88" s="22"/>
      <c r="T88" s="22"/>
      <c r="U88" s="22"/>
      <c r="V88" s="22"/>
      <c r="W88" s="22"/>
    </row>
    <row r="89" spans="1:23" ht="55.5" customHeight="1" x14ac:dyDescent="0.25">
      <c r="A89" s="1143"/>
      <c r="B89" s="1144"/>
      <c r="C89" s="1146"/>
      <c r="D89" s="1146"/>
      <c r="E89" s="1146"/>
      <c r="F89" s="1145"/>
      <c r="G89" s="1150"/>
      <c r="H89" s="1150"/>
      <c r="I89" s="1150"/>
      <c r="J89" s="1150"/>
      <c r="K89" s="1150"/>
      <c r="L89" s="1150"/>
      <c r="M89" s="1" t="s">
        <v>3331</v>
      </c>
      <c r="N89" s="1" t="s">
        <v>3332</v>
      </c>
      <c r="O89" s="1">
        <v>0.13750000000000001</v>
      </c>
      <c r="P89" s="1"/>
      <c r="Q89" s="1"/>
      <c r="R89" s="22"/>
      <c r="S89" s="22"/>
      <c r="T89" s="22"/>
      <c r="U89" s="22"/>
      <c r="V89" s="22"/>
      <c r="W89" s="22"/>
    </row>
    <row r="90" spans="1:23" ht="15.75" customHeight="1" thickBot="1" x14ac:dyDescent="0.3">
      <c r="A90" s="406"/>
      <c r="B90" s="395"/>
      <c r="C90" s="396"/>
      <c r="D90" s="396"/>
      <c r="E90" s="396"/>
      <c r="F90" s="397"/>
      <c r="G90" s="2588" t="s">
        <v>1833</v>
      </c>
      <c r="H90" s="2588"/>
      <c r="I90" s="2589"/>
      <c r="J90" s="21">
        <f>SUM(0)</f>
        <v>0</v>
      </c>
      <c r="K90" s="24">
        <v>0.92</v>
      </c>
      <c r="L90" s="21">
        <f>J90/K90</f>
        <v>0</v>
      </c>
      <c r="M90" s="2587" t="s">
        <v>1834</v>
      </c>
      <c r="N90" s="2589"/>
      <c r="O90" s="21">
        <f>SUM(O83:O89)</f>
        <v>0.30649999999999999</v>
      </c>
      <c r="P90" s="24">
        <v>0.92</v>
      </c>
      <c r="Q90" s="21">
        <f>O90/P90</f>
        <v>0.33315217391304347</v>
      </c>
      <c r="R90" s="2587" t="s">
        <v>1833</v>
      </c>
      <c r="S90" s="2588"/>
      <c r="T90" s="2589"/>
      <c r="U90" s="21">
        <f>SUM(U82:U89)</f>
        <v>0.74099999999999999</v>
      </c>
      <c r="V90" s="24">
        <v>0.92</v>
      </c>
      <c r="W90" s="21">
        <f>U90/V90</f>
        <v>0.80543478260869561</v>
      </c>
    </row>
    <row r="91" spans="1:23" ht="15.75" customHeight="1" x14ac:dyDescent="0.25">
      <c r="A91" s="2776" t="str">
        <f>Итоговая!C235</f>
        <v>ПС 110/35/10 кВ Белый</v>
      </c>
      <c r="B91" s="2630">
        <f>Итоговая!D235</f>
        <v>16</v>
      </c>
      <c r="C91" s="2632" t="str">
        <f>Итоговая!E235</f>
        <v>+</v>
      </c>
      <c r="D91" s="2632">
        <f>Итоговая!F235</f>
        <v>10</v>
      </c>
      <c r="E91" s="2632"/>
      <c r="F91" s="2634"/>
      <c r="G91" s="2585" t="s">
        <v>2320</v>
      </c>
      <c r="H91" s="2585"/>
      <c r="I91" s="2585"/>
      <c r="J91" s="2585"/>
      <c r="K91" s="2585"/>
      <c r="L91" s="2586"/>
      <c r="M91" s="131"/>
      <c r="N91" s="132"/>
      <c r="O91" s="73"/>
      <c r="P91" s="73"/>
      <c r="Q91" s="73"/>
      <c r="R91" s="2791"/>
      <c r="S91" s="2791"/>
      <c r="T91" s="2791"/>
      <c r="U91" s="2791"/>
      <c r="V91" s="2791"/>
      <c r="W91" s="2792"/>
    </row>
    <row r="92" spans="1:23" ht="30" x14ac:dyDescent="0.25">
      <c r="A92" s="2777"/>
      <c r="B92" s="2631"/>
      <c r="C92" s="2633"/>
      <c r="D92" s="2633"/>
      <c r="E92" s="2633"/>
      <c r="F92" s="2635"/>
      <c r="G92" s="448" t="s">
        <v>751</v>
      </c>
      <c r="H92" s="414" t="s">
        <v>752</v>
      </c>
      <c r="I92" s="414" t="s">
        <v>753</v>
      </c>
      <c r="J92" s="414">
        <v>2.5000000000000001E-2</v>
      </c>
      <c r="K92" s="414"/>
      <c r="L92" s="414"/>
      <c r="M92" s="11"/>
      <c r="N92" s="11"/>
      <c r="O92" s="11"/>
      <c r="P92" s="1"/>
      <c r="Q92" s="1"/>
      <c r="R92" s="22"/>
      <c r="S92" s="22"/>
      <c r="T92" s="22"/>
      <c r="U92" s="22"/>
      <c r="V92" s="22"/>
      <c r="W92" s="22"/>
    </row>
    <row r="93" spans="1:23" ht="30.75" customHeight="1" x14ac:dyDescent="0.25">
      <c r="A93" s="402"/>
      <c r="B93" s="403"/>
      <c r="C93" s="404"/>
      <c r="D93" s="404"/>
      <c r="E93" s="404"/>
      <c r="F93" s="405"/>
      <c r="G93" s="2751" t="s">
        <v>2033</v>
      </c>
      <c r="H93" s="2793"/>
      <c r="I93" s="2793"/>
      <c r="J93" s="2793"/>
      <c r="K93" s="2793"/>
      <c r="L93" s="2793"/>
      <c r="M93" s="9"/>
      <c r="N93" s="9"/>
      <c r="O93" s="11"/>
      <c r="P93" s="1"/>
      <c r="Q93" s="1"/>
      <c r="R93" s="2794"/>
      <c r="S93" s="2794"/>
      <c r="T93" s="2794"/>
      <c r="U93" s="2794"/>
      <c r="V93" s="2794"/>
      <c r="W93" s="2794"/>
    </row>
    <row r="94" spans="1:23" ht="135" x14ac:dyDescent="0.25">
      <c r="A94" s="402"/>
      <c r="B94" s="403"/>
      <c r="C94" s="404"/>
      <c r="D94" s="404"/>
      <c r="E94" s="404"/>
      <c r="F94" s="405"/>
      <c r="G94" s="301" t="s">
        <v>1501</v>
      </c>
      <c r="H94" s="301" t="s">
        <v>1406</v>
      </c>
      <c r="I94" s="769" t="s">
        <v>2216</v>
      </c>
      <c r="J94" s="769">
        <f>0.0995-0.005</f>
        <v>9.4500000000000001E-2</v>
      </c>
      <c r="K94" s="769"/>
      <c r="L94" s="769"/>
      <c r="M94" s="1" t="s">
        <v>2651</v>
      </c>
      <c r="N94" s="1" t="s">
        <v>2652</v>
      </c>
      <c r="O94" s="11">
        <v>0.17</v>
      </c>
      <c r="P94" s="1"/>
      <c r="Q94" s="1"/>
      <c r="R94" s="35"/>
      <c r="S94" s="35"/>
      <c r="T94" s="22"/>
      <c r="U94" s="22"/>
      <c r="V94" s="22"/>
      <c r="W94" s="22"/>
    </row>
    <row r="95" spans="1:23" ht="22.5" customHeight="1" x14ac:dyDescent="0.25">
      <c r="A95" s="763"/>
      <c r="B95" s="764"/>
      <c r="C95" s="766"/>
      <c r="D95" s="766"/>
      <c r="E95" s="766"/>
      <c r="F95" s="762"/>
      <c r="G95" s="2751" t="s">
        <v>2640</v>
      </c>
      <c r="H95" s="2793"/>
      <c r="I95" s="2793"/>
      <c r="J95" s="2793"/>
      <c r="K95" s="2793"/>
      <c r="L95" s="2793"/>
      <c r="P95" s="1"/>
      <c r="Q95" s="1"/>
      <c r="R95" s="35"/>
      <c r="S95" s="35"/>
      <c r="T95" s="22"/>
      <c r="U95" s="22"/>
      <c r="V95" s="22"/>
      <c r="W95" s="22"/>
    </row>
    <row r="96" spans="1:23" ht="120" x14ac:dyDescent="0.25">
      <c r="A96" s="816"/>
      <c r="B96" s="817"/>
      <c r="C96" s="818"/>
      <c r="D96" s="818"/>
      <c r="E96" s="818"/>
      <c r="F96" s="815"/>
      <c r="G96" s="1" t="s">
        <v>2911</v>
      </c>
      <c r="H96" s="1" t="s">
        <v>2912</v>
      </c>
      <c r="I96" s="854" t="s">
        <v>3006</v>
      </c>
      <c r="J96" s="11">
        <f>0.025-0.008</f>
        <v>1.7000000000000001E-2</v>
      </c>
      <c r="K96" s="819"/>
      <c r="L96" s="819"/>
      <c r="M96" s="1" t="s">
        <v>2840</v>
      </c>
      <c r="N96" s="1" t="s">
        <v>2841</v>
      </c>
      <c r="O96" s="11">
        <v>0.03</v>
      </c>
      <c r="P96" s="1"/>
      <c r="Q96" s="1"/>
      <c r="R96" s="35"/>
      <c r="S96" s="35"/>
      <c r="T96" s="22"/>
      <c r="U96" s="22"/>
      <c r="V96" s="22"/>
      <c r="W96" s="22"/>
    </row>
    <row r="97" spans="1:23" x14ac:dyDescent="0.25">
      <c r="A97" s="1016"/>
      <c r="B97" s="1014"/>
      <c r="C97" s="1018"/>
      <c r="D97" s="1018"/>
      <c r="E97" s="1018"/>
      <c r="F97" s="1015"/>
      <c r="G97" s="2751" t="s">
        <v>3019</v>
      </c>
      <c r="H97" s="2793"/>
      <c r="I97" s="2793"/>
      <c r="J97" s="2793"/>
      <c r="K97" s="2793"/>
      <c r="L97" s="2793"/>
      <c r="M97" s="19"/>
      <c r="N97" s="20"/>
      <c r="O97" s="34"/>
      <c r="P97" s="24"/>
      <c r="Q97" s="24"/>
      <c r="R97" s="1031"/>
      <c r="S97" s="1032"/>
      <c r="T97" s="130"/>
      <c r="U97" s="62"/>
      <c r="V97" s="62"/>
      <c r="W97" s="62"/>
    </row>
    <row r="98" spans="1:23" ht="120" x14ac:dyDescent="0.25">
      <c r="A98" s="1016"/>
      <c r="B98" s="1014"/>
      <c r="C98" s="1018"/>
      <c r="D98" s="1018"/>
      <c r="E98" s="1018"/>
      <c r="F98" s="1015"/>
      <c r="G98" s="9" t="s">
        <v>2511</v>
      </c>
      <c r="H98" s="9" t="s">
        <v>2594</v>
      </c>
      <c r="I98" s="455" t="s">
        <v>3087</v>
      </c>
      <c r="J98" s="11">
        <f>(0.032-0.01234)</f>
        <v>1.966E-2</v>
      </c>
      <c r="K98" s="450"/>
      <c r="L98" s="450"/>
      <c r="M98" s="1667"/>
      <c r="N98" s="1667"/>
      <c r="O98" s="1684"/>
      <c r="P98" s="24"/>
      <c r="Q98" s="24"/>
      <c r="R98" s="1031"/>
      <c r="S98" s="1032"/>
      <c r="T98" s="130"/>
      <c r="U98" s="62"/>
      <c r="V98" s="62"/>
      <c r="W98" s="62"/>
    </row>
    <row r="99" spans="1:23" x14ac:dyDescent="0.25">
      <c r="A99" s="1173"/>
      <c r="B99" s="1174"/>
      <c r="C99" s="1176"/>
      <c r="D99" s="1176"/>
      <c r="E99" s="1176"/>
      <c r="F99" s="1175"/>
      <c r="G99" s="2624"/>
      <c r="H99" s="2599"/>
      <c r="I99" s="2600"/>
      <c r="J99" s="731"/>
      <c r="K99" s="62"/>
      <c r="L99" s="62"/>
      <c r="M99" s="19"/>
      <c r="N99" s="20"/>
      <c r="O99" s="34"/>
      <c r="P99" s="24"/>
      <c r="Q99" s="24"/>
      <c r="R99" s="1031"/>
      <c r="S99" s="1032"/>
      <c r="T99" s="130"/>
      <c r="U99" s="62"/>
      <c r="V99" s="62"/>
      <c r="W99" s="62"/>
    </row>
    <row r="100" spans="1:23" x14ac:dyDescent="0.25">
      <c r="A100" s="1811"/>
      <c r="B100" s="1806"/>
      <c r="C100" s="1807"/>
      <c r="D100" s="1807"/>
      <c r="E100" s="1807"/>
      <c r="F100" s="1808"/>
      <c r="G100" s="2751" t="s">
        <v>3405</v>
      </c>
      <c r="H100" s="2793"/>
      <c r="I100" s="2793"/>
      <c r="J100" s="2793"/>
      <c r="K100" s="2793"/>
      <c r="L100" s="2793"/>
      <c r="M100" s="1804"/>
      <c r="N100" s="1805"/>
      <c r="O100" s="34"/>
      <c r="P100" s="1803"/>
      <c r="Q100" s="1803"/>
      <c r="R100" s="1031"/>
      <c r="S100" s="1032"/>
      <c r="T100" s="130"/>
      <c r="U100" s="62"/>
      <c r="V100" s="62"/>
      <c r="W100" s="62"/>
    </row>
    <row r="101" spans="1:23" ht="120" x14ac:dyDescent="0.25">
      <c r="A101" s="1811"/>
      <c r="B101" s="1806"/>
      <c r="C101" s="1807"/>
      <c r="D101" s="1807"/>
      <c r="E101" s="1807"/>
      <c r="F101" s="1808"/>
      <c r="G101" s="1802" t="s">
        <v>16767</v>
      </c>
      <c r="H101" s="1802" t="s">
        <v>16768</v>
      </c>
      <c r="I101" s="130" t="s">
        <v>16907</v>
      </c>
      <c r="J101" s="731">
        <f>0.025*0.9</f>
        <v>2.2500000000000003E-2</v>
      </c>
      <c r="K101" s="62"/>
      <c r="L101" s="62"/>
      <c r="M101" s="1804"/>
      <c r="N101" s="1805"/>
      <c r="O101" s="34"/>
      <c r="P101" s="1803"/>
      <c r="Q101" s="1803"/>
      <c r="R101" s="1031"/>
      <c r="S101" s="1032"/>
      <c r="T101" s="130"/>
      <c r="U101" s="62"/>
      <c r="V101" s="62"/>
      <c r="W101" s="62"/>
    </row>
    <row r="102" spans="1:23" ht="15.75" customHeight="1" thickBot="1" x14ac:dyDescent="0.3">
      <c r="A102" s="406"/>
      <c r="B102" s="395"/>
      <c r="C102" s="396"/>
      <c r="D102" s="396"/>
      <c r="E102" s="396"/>
      <c r="F102" s="397"/>
      <c r="G102" s="2578" t="s">
        <v>1833</v>
      </c>
      <c r="H102" s="2578"/>
      <c r="I102" s="2579"/>
      <c r="J102" s="21">
        <f>SUM(J98:J101)</f>
        <v>4.2160000000000003E-2</v>
      </c>
      <c r="K102" s="14">
        <v>0.92</v>
      </c>
      <c r="L102" s="13">
        <f>J102/K102</f>
        <v>4.5826086956521739E-2</v>
      </c>
      <c r="M102" s="2577" t="s">
        <v>1834</v>
      </c>
      <c r="N102" s="2579"/>
      <c r="O102" s="13">
        <f>SUM(O92:O98)</f>
        <v>0.2</v>
      </c>
      <c r="P102" s="14">
        <v>0.92</v>
      </c>
      <c r="Q102" s="13">
        <f>O102/P102</f>
        <v>0.21739130434782608</v>
      </c>
      <c r="R102" s="2577" t="s">
        <v>1833</v>
      </c>
      <c r="S102" s="2578"/>
      <c r="T102" s="2579"/>
      <c r="U102" s="21">
        <f>SUM(U94:U94)</f>
        <v>0</v>
      </c>
      <c r="V102" s="14">
        <v>0.92</v>
      </c>
      <c r="W102" s="13">
        <f>U102/V102</f>
        <v>0</v>
      </c>
    </row>
    <row r="103" spans="1:23" x14ac:dyDescent="0.25">
      <c r="A103" s="2776" t="str">
        <f>Итоговая!C238</f>
        <v>ПС 110/35/10 кВ Западная Двина</v>
      </c>
      <c r="B103" s="2630">
        <f>Итоговая!D238</f>
        <v>10</v>
      </c>
      <c r="C103" s="2632" t="str">
        <f>Итоговая!E238</f>
        <v>+</v>
      </c>
      <c r="D103" s="2632">
        <f>Итоговая!F238</f>
        <v>10</v>
      </c>
      <c r="E103" s="2632"/>
      <c r="F103" s="2634"/>
      <c r="G103" s="2585" t="s">
        <v>2321</v>
      </c>
      <c r="H103" s="2585"/>
      <c r="I103" s="2585"/>
      <c r="J103" s="2585"/>
      <c r="K103" s="2585"/>
      <c r="L103" s="2586"/>
      <c r="M103" s="131"/>
      <c r="N103" s="132"/>
      <c r="O103" s="73"/>
      <c r="P103" s="73"/>
      <c r="Q103" s="73"/>
      <c r="R103" s="2791"/>
      <c r="S103" s="2791"/>
      <c r="T103" s="2791"/>
      <c r="U103" s="2791"/>
      <c r="V103" s="2791"/>
      <c r="W103" s="2792"/>
    </row>
    <row r="104" spans="1:23" x14ac:dyDescent="0.25">
      <c r="A104" s="2777"/>
      <c r="B104" s="2631"/>
      <c r="C104" s="2633"/>
      <c r="D104" s="2633"/>
      <c r="E104" s="2633"/>
      <c r="F104" s="2635"/>
      <c r="G104" s="436" t="s">
        <v>756</v>
      </c>
      <c r="H104" s="435" t="s">
        <v>757</v>
      </c>
      <c r="I104" s="435" t="s">
        <v>758</v>
      </c>
      <c r="J104" s="435">
        <v>7.4999999999999997E-2</v>
      </c>
      <c r="K104" s="435"/>
      <c r="L104" s="435"/>
      <c r="M104" s="1"/>
      <c r="N104" s="1"/>
      <c r="O104" s="1"/>
      <c r="P104" s="1"/>
      <c r="Q104" s="1"/>
      <c r="R104" s="51"/>
      <c r="S104" s="51"/>
      <c r="T104" s="51"/>
      <c r="U104" s="51"/>
      <c r="V104" s="51"/>
      <c r="W104" s="51"/>
    </row>
    <row r="105" spans="1:23" x14ac:dyDescent="0.25">
      <c r="A105" s="578"/>
      <c r="B105" s="579"/>
      <c r="C105" s="580"/>
      <c r="D105" s="580"/>
      <c r="E105" s="580"/>
      <c r="F105" s="577"/>
      <c r="G105" s="2793" t="s">
        <v>2322</v>
      </c>
      <c r="H105" s="2793"/>
      <c r="I105" s="2793"/>
      <c r="J105" s="2793"/>
      <c r="K105" s="2793"/>
      <c r="L105" s="2793"/>
      <c r="M105" s="1"/>
      <c r="N105" s="1"/>
      <c r="O105" s="1"/>
      <c r="P105" s="1"/>
      <c r="Q105" s="1"/>
      <c r="R105" s="51"/>
      <c r="S105" s="51"/>
      <c r="T105" s="51"/>
      <c r="U105" s="71"/>
      <c r="V105" s="51"/>
      <c r="W105" s="51"/>
    </row>
    <row r="106" spans="1:23" ht="60" x14ac:dyDescent="0.25">
      <c r="A106" s="402"/>
      <c r="B106" s="403"/>
      <c r="C106" s="404"/>
      <c r="D106" s="404"/>
      <c r="E106" s="404"/>
      <c r="F106" s="405"/>
      <c r="G106" s="442" t="s">
        <v>759</v>
      </c>
      <c r="H106" s="443" t="s">
        <v>760</v>
      </c>
      <c r="I106" s="539" t="s">
        <v>2298</v>
      </c>
      <c r="J106" s="540">
        <v>9.9000000000000005E-2</v>
      </c>
      <c r="K106" s="443"/>
      <c r="L106" s="443"/>
      <c r="M106" s="1" t="s">
        <v>761</v>
      </c>
      <c r="N106" s="1" t="s">
        <v>762</v>
      </c>
      <c r="O106" s="1">
        <v>4.2000000000000003E-2</v>
      </c>
      <c r="P106" s="1"/>
      <c r="Q106" s="1"/>
      <c r="R106" s="51"/>
      <c r="S106" s="51"/>
      <c r="T106" s="351"/>
      <c r="U106" s="106"/>
      <c r="V106" s="51"/>
      <c r="W106" s="51"/>
    </row>
    <row r="107" spans="1:23" ht="20.25" customHeight="1" x14ac:dyDescent="0.25">
      <c r="A107" s="402"/>
      <c r="B107" s="403"/>
      <c r="C107" s="404"/>
      <c r="D107" s="404"/>
      <c r="E107" s="404"/>
      <c r="F107" s="405"/>
      <c r="G107" s="2793" t="s">
        <v>2640</v>
      </c>
      <c r="H107" s="2793"/>
      <c r="I107" s="2793"/>
      <c r="J107" s="2793"/>
      <c r="K107" s="2793"/>
      <c r="L107" s="2793"/>
      <c r="M107" s="1" t="s">
        <v>763</v>
      </c>
      <c r="N107" s="1" t="s">
        <v>764</v>
      </c>
      <c r="O107" s="1">
        <v>0.04</v>
      </c>
      <c r="P107" s="1"/>
      <c r="Q107" s="1"/>
      <c r="R107" s="108"/>
      <c r="S107" s="142"/>
      <c r="T107" s="142"/>
      <c r="U107" s="22"/>
      <c r="V107" s="22"/>
      <c r="W107" s="22"/>
    </row>
    <row r="108" spans="1:23" ht="150" x14ac:dyDescent="0.25">
      <c r="A108" s="402"/>
      <c r="B108" s="403"/>
      <c r="C108" s="404"/>
      <c r="D108" s="404"/>
      <c r="E108" s="404"/>
      <c r="F108" s="405"/>
      <c r="G108" s="1" t="s">
        <v>2732</v>
      </c>
      <c r="H108" s="1" t="s">
        <v>2733</v>
      </c>
      <c r="I108" s="1" t="s">
        <v>2757</v>
      </c>
      <c r="J108" s="301">
        <v>0.03</v>
      </c>
      <c r="K108" s="24"/>
      <c r="L108" s="62"/>
      <c r="M108" s="1" t="s">
        <v>765</v>
      </c>
      <c r="N108" s="1" t="s">
        <v>766</v>
      </c>
      <c r="O108" s="1">
        <v>2.5000000000000001E-2</v>
      </c>
      <c r="P108" s="1"/>
      <c r="Q108" s="1"/>
      <c r="R108" s="22"/>
      <c r="S108" s="22"/>
      <c r="T108" s="22"/>
      <c r="U108" s="62"/>
      <c r="V108" s="62"/>
      <c r="W108" s="62"/>
    </row>
    <row r="109" spans="1:23" ht="38.25" x14ac:dyDescent="0.25">
      <c r="A109" s="402"/>
      <c r="B109" s="403"/>
      <c r="C109" s="404"/>
      <c r="D109" s="404"/>
      <c r="E109" s="404"/>
      <c r="F109" s="405"/>
      <c r="G109" s="152"/>
      <c r="H109" s="1"/>
      <c r="I109" s="1"/>
      <c r="J109" s="1"/>
      <c r="K109" s="1"/>
      <c r="L109" s="22"/>
      <c r="M109" s="11" t="s">
        <v>1864</v>
      </c>
      <c r="N109" s="11" t="s">
        <v>1407</v>
      </c>
      <c r="O109" s="301">
        <v>0.15</v>
      </c>
      <c r="P109" s="1"/>
      <c r="Q109" s="1"/>
      <c r="R109" s="22"/>
      <c r="S109" s="22"/>
      <c r="T109" s="22"/>
      <c r="U109" s="22"/>
      <c r="V109" s="22"/>
      <c r="W109" s="22"/>
    </row>
    <row r="110" spans="1:23" ht="76.5" x14ac:dyDescent="0.25">
      <c r="A110" s="402"/>
      <c r="B110" s="403"/>
      <c r="C110" s="404"/>
      <c r="D110" s="404"/>
      <c r="E110" s="404"/>
      <c r="F110" s="405"/>
      <c r="G110" s="152"/>
      <c r="H110" s="1"/>
      <c r="I110" s="1"/>
      <c r="J110" s="1"/>
      <c r="K110" s="1"/>
      <c r="L110" s="22"/>
      <c r="M110" s="11" t="s">
        <v>2199</v>
      </c>
      <c r="N110" s="11" t="s">
        <v>2200</v>
      </c>
      <c r="O110" s="301">
        <v>0.16900000000000001</v>
      </c>
      <c r="P110" s="1"/>
      <c r="Q110" s="1"/>
      <c r="R110" s="22"/>
      <c r="S110" s="22"/>
      <c r="T110" s="22"/>
      <c r="U110" s="22"/>
      <c r="V110" s="22"/>
      <c r="W110" s="22"/>
    </row>
    <row r="111" spans="1:23" ht="180" x14ac:dyDescent="0.25">
      <c r="A111" s="623"/>
      <c r="B111" s="624"/>
      <c r="C111" s="625"/>
      <c r="D111" s="625"/>
      <c r="E111" s="625"/>
      <c r="F111" s="622"/>
      <c r="G111" s="152"/>
      <c r="H111" s="1"/>
      <c r="I111" s="1"/>
      <c r="J111" s="1"/>
      <c r="K111" s="1"/>
      <c r="L111" s="22"/>
      <c r="M111" s="9" t="s">
        <v>2511</v>
      </c>
      <c r="N111" s="9" t="s">
        <v>2592</v>
      </c>
      <c r="O111" s="453">
        <f>0.037-0.0156</f>
        <v>2.1399999999999999E-2</v>
      </c>
      <c r="P111" s="24"/>
      <c r="Q111" s="24"/>
      <c r="R111" s="129"/>
      <c r="S111" s="652"/>
      <c r="T111" s="130"/>
      <c r="U111" s="62"/>
      <c r="V111" s="62"/>
      <c r="W111" s="62"/>
    </row>
    <row r="112" spans="1:23" ht="135" x14ac:dyDescent="0.25">
      <c r="A112" s="623"/>
      <c r="B112" s="624"/>
      <c r="C112" s="625"/>
      <c r="D112" s="625"/>
      <c r="E112" s="625"/>
      <c r="F112" s="622"/>
      <c r="G112" s="1"/>
      <c r="H112" s="1"/>
      <c r="I112" s="1"/>
      <c r="J112" s="1"/>
      <c r="K112" s="1"/>
      <c r="L112" s="22"/>
      <c r="M112" s="128" t="s">
        <v>2437</v>
      </c>
      <c r="N112" s="128" t="s">
        <v>2593</v>
      </c>
      <c r="O112" s="453">
        <v>4.4999999999999998E-2</v>
      </c>
      <c r="P112" s="24"/>
      <c r="Q112" s="24"/>
      <c r="R112" s="129"/>
      <c r="S112" s="652"/>
      <c r="T112" s="130"/>
      <c r="U112" s="62"/>
      <c r="V112" s="62"/>
      <c r="W112" s="62"/>
    </row>
    <row r="113" spans="1:23" ht="68.25" customHeight="1" x14ac:dyDescent="0.25">
      <c r="A113" s="710"/>
      <c r="B113" s="711"/>
      <c r="C113" s="712"/>
      <c r="D113" s="712"/>
      <c r="E113" s="712"/>
      <c r="F113" s="709"/>
      <c r="G113" s="265"/>
      <c r="H113" s="265"/>
      <c r="I113" s="20"/>
      <c r="J113" s="24"/>
      <c r="K113" s="24"/>
      <c r="L113" s="62"/>
      <c r="M113" s="128" t="s">
        <v>2437</v>
      </c>
      <c r="N113" s="128" t="s">
        <v>3060</v>
      </c>
      <c r="O113" s="1">
        <v>2.2200000000000001E-2</v>
      </c>
      <c r="P113" s="1"/>
      <c r="Q113" s="1"/>
      <c r="R113" s="22"/>
      <c r="S113" s="22"/>
      <c r="T113" s="22"/>
      <c r="U113" s="22"/>
      <c r="V113" s="22"/>
      <c r="W113" s="22"/>
    </row>
    <row r="114" spans="1:23" ht="15.75" customHeight="1" thickBot="1" x14ac:dyDescent="0.3">
      <c r="A114" s="406"/>
      <c r="B114" s="395"/>
      <c r="C114" s="396"/>
      <c r="D114" s="396"/>
      <c r="E114" s="396"/>
      <c r="F114" s="397"/>
      <c r="G114" s="2578" t="s">
        <v>1833</v>
      </c>
      <c r="H114" s="2578"/>
      <c r="I114" s="2579"/>
      <c r="J114" s="13">
        <f>SUM(0)</f>
        <v>0</v>
      </c>
      <c r="K114" s="14">
        <v>0.92</v>
      </c>
      <c r="L114" s="13">
        <f>J114/K114</f>
        <v>0</v>
      </c>
      <c r="M114" s="2577"/>
      <c r="N114" s="2579"/>
      <c r="O114" s="13">
        <f>SUM(O104:O113)</f>
        <v>0.51460000000000006</v>
      </c>
      <c r="P114" s="14">
        <v>0.92</v>
      </c>
      <c r="Q114" s="13">
        <f>O114/P114</f>
        <v>0.55934782608695655</v>
      </c>
      <c r="R114" s="2577" t="s">
        <v>1833</v>
      </c>
      <c r="S114" s="2578"/>
      <c r="T114" s="2579"/>
      <c r="U114" s="13">
        <f>SUM(U104:U109)</f>
        <v>0</v>
      </c>
      <c r="V114" s="14">
        <v>0.92</v>
      </c>
      <c r="W114" s="13">
        <f>U114/V114</f>
        <v>0</v>
      </c>
    </row>
    <row r="115" spans="1:23" ht="22.5" customHeight="1" x14ac:dyDescent="0.25">
      <c r="A115" s="2776" t="str">
        <f>Итоговая!C241</f>
        <v>ПС 110/35/10 кВ Торопец</v>
      </c>
      <c r="B115" s="2630">
        <f>Итоговая!D241</f>
        <v>25</v>
      </c>
      <c r="C115" s="2632" t="str">
        <f>Итоговая!E241</f>
        <v>+</v>
      </c>
      <c r="D115" s="2632">
        <f>Итоговая!F241</f>
        <v>25</v>
      </c>
      <c r="E115" s="2632"/>
      <c r="F115" s="2634"/>
      <c r="G115" s="2585" t="s">
        <v>2320</v>
      </c>
      <c r="H115" s="2585"/>
      <c r="I115" s="2585"/>
      <c r="J115" s="2585"/>
      <c r="K115" s="2585"/>
      <c r="L115" s="2586"/>
      <c r="M115" s="22" t="s">
        <v>2059</v>
      </c>
      <c r="N115" s="22" t="s">
        <v>2060</v>
      </c>
      <c r="O115" s="9">
        <v>0.06</v>
      </c>
      <c r="P115" s="73"/>
      <c r="Q115" s="73"/>
      <c r="R115" s="2791"/>
      <c r="S115" s="2791"/>
      <c r="T115" s="2791"/>
      <c r="U115" s="2791"/>
      <c r="V115" s="2791"/>
      <c r="W115" s="2792"/>
    </row>
    <row r="116" spans="1:23" ht="44.25" customHeight="1" x14ac:dyDescent="0.25">
      <c r="A116" s="2777"/>
      <c r="B116" s="2631"/>
      <c r="C116" s="2633"/>
      <c r="D116" s="2633"/>
      <c r="E116" s="2633"/>
      <c r="F116" s="2635"/>
      <c r="G116" s="448" t="s">
        <v>768</v>
      </c>
      <c r="H116" s="414" t="s">
        <v>769</v>
      </c>
      <c r="I116" s="414" t="s">
        <v>1288</v>
      </c>
      <c r="J116" s="414">
        <v>0.06</v>
      </c>
      <c r="K116" s="414"/>
      <c r="L116" s="414"/>
      <c r="M116" s="1" t="s">
        <v>2149</v>
      </c>
      <c r="N116" s="1" t="s">
        <v>2150</v>
      </c>
      <c r="O116" s="1" t="s">
        <v>2151</v>
      </c>
      <c r="P116" s="9"/>
      <c r="Q116" s="9"/>
      <c r="R116" s="22"/>
      <c r="S116" s="22"/>
      <c r="T116" s="22"/>
      <c r="U116" s="22"/>
      <c r="V116" s="22"/>
      <c r="W116" s="22"/>
    </row>
    <row r="117" spans="1:23" ht="43.5" customHeight="1" x14ac:dyDescent="0.25">
      <c r="A117" s="402"/>
      <c r="B117" s="403"/>
      <c r="C117" s="404"/>
      <c r="D117" s="404"/>
      <c r="E117" s="404"/>
      <c r="F117" s="405"/>
      <c r="G117" s="448" t="s">
        <v>770</v>
      </c>
      <c r="H117" s="414" t="s">
        <v>771</v>
      </c>
      <c r="I117" s="414" t="s">
        <v>2058</v>
      </c>
      <c r="J117" s="414">
        <v>1.5</v>
      </c>
      <c r="K117" s="414"/>
      <c r="L117" s="414"/>
      <c r="M117" s="9" t="s">
        <v>2511</v>
      </c>
      <c r="N117" s="9" t="s">
        <v>2591</v>
      </c>
      <c r="O117" s="241">
        <f>0.03-0.00915</f>
        <v>2.085E-2</v>
      </c>
      <c r="P117" s="1"/>
      <c r="Q117" s="1"/>
      <c r="R117" s="22"/>
      <c r="S117" s="22"/>
      <c r="T117" s="22"/>
      <c r="U117" s="22"/>
      <c r="V117" s="22"/>
      <c r="W117" s="22"/>
    </row>
    <row r="118" spans="1:23" ht="42" customHeight="1" x14ac:dyDescent="0.25">
      <c r="A118" s="402"/>
      <c r="B118" s="403"/>
      <c r="C118" s="404"/>
      <c r="D118" s="404"/>
      <c r="E118" s="404"/>
      <c r="F118" s="405"/>
      <c r="G118" s="448" t="s">
        <v>2061</v>
      </c>
      <c r="H118" s="414" t="s">
        <v>2062</v>
      </c>
      <c r="I118" s="414" t="s">
        <v>2063</v>
      </c>
      <c r="J118" s="414">
        <v>0.65</v>
      </c>
      <c r="K118" s="414"/>
      <c r="L118" s="414"/>
      <c r="M118" s="9" t="s">
        <v>3469</v>
      </c>
      <c r="N118" s="9" t="s">
        <v>3470</v>
      </c>
      <c r="O118" s="241">
        <f>0.045-0.015</f>
        <v>0.03</v>
      </c>
      <c r="P118" s="1"/>
      <c r="Q118" s="1"/>
      <c r="R118" s="22"/>
      <c r="S118" s="22"/>
      <c r="T118" s="22"/>
      <c r="U118" s="22"/>
      <c r="V118" s="22"/>
      <c r="W118" s="22"/>
    </row>
    <row r="119" spans="1:23" ht="21.75" customHeight="1" x14ac:dyDescent="0.25">
      <c r="A119" s="402"/>
      <c r="B119" s="403"/>
      <c r="C119" s="404"/>
      <c r="D119" s="404"/>
      <c r="E119" s="404"/>
      <c r="F119" s="405"/>
      <c r="G119" s="2751" t="s">
        <v>2033</v>
      </c>
      <c r="H119" s="2793"/>
      <c r="I119" s="2793"/>
      <c r="J119" s="2793"/>
      <c r="K119" s="2793"/>
      <c r="L119" s="2793"/>
      <c r="M119" s="9" t="s">
        <v>16918</v>
      </c>
      <c r="N119" s="9" t="s">
        <v>16919</v>
      </c>
      <c r="O119" s="241">
        <v>3.2</v>
      </c>
      <c r="P119" s="1"/>
      <c r="Q119" s="1"/>
      <c r="R119" s="2794"/>
      <c r="S119" s="2794"/>
      <c r="T119" s="2794"/>
      <c r="U119" s="2794"/>
      <c r="V119" s="2794"/>
      <c r="W119" s="2794"/>
    </row>
    <row r="120" spans="1:23" ht="75" customHeight="1" x14ac:dyDescent="0.25">
      <c r="A120" s="402"/>
      <c r="B120" s="403"/>
      <c r="C120" s="404"/>
      <c r="D120" s="404"/>
      <c r="E120" s="404"/>
      <c r="F120" s="405"/>
      <c r="G120" s="448" t="s">
        <v>2025</v>
      </c>
      <c r="H120" s="414" t="s">
        <v>2026</v>
      </c>
      <c r="I120" s="630" t="s">
        <v>2259</v>
      </c>
      <c r="J120" s="414">
        <v>3</v>
      </c>
      <c r="K120" s="414"/>
      <c r="L120" s="414"/>
      <c r="M120" s="9"/>
      <c r="N120" s="9"/>
      <c r="O120" s="241"/>
      <c r="P120" s="1"/>
      <c r="Q120" s="1"/>
      <c r="R120" s="22"/>
      <c r="S120" s="22"/>
      <c r="T120" s="22"/>
      <c r="U120" s="22"/>
      <c r="V120" s="22"/>
      <c r="W120" s="22"/>
    </row>
    <row r="121" spans="1:23" ht="18" customHeight="1" x14ac:dyDescent="0.25">
      <c r="A121" s="705"/>
      <c r="B121" s="706"/>
      <c r="C121" s="707"/>
      <c r="D121" s="707"/>
      <c r="E121" s="707"/>
      <c r="F121" s="704"/>
      <c r="G121" s="2751" t="s">
        <v>2640</v>
      </c>
      <c r="H121" s="2793"/>
      <c r="I121" s="2793"/>
      <c r="J121" s="2793"/>
      <c r="K121" s="2793"/>
      <c r="L121" s="2793"/>
      <c r="M121" s="19"/>
      <c r="N121" s="20"/>
      <c r="O121" s="24"/>
      <c r="P121" s="24"/>
      <c r="Q121" s="24"/>
      <c r="R121" s="129"/>
      <c r="S121" s="652"/>
      <c r="T121" s="130"/>
      <c r="U121" s="62"/>
      <c r="V121" s="62"/>
      <c r="W121" s="62"/>
    </row>
    <row r="122" spans="1:23" ht="76.5" customHeight="1" x14ac:dyDescent="0.25">
      <c r="A122" s="705"/>
      <c r="B122" s="706"/>
      <c r="C122" s="707"/>
      <c r="D122" s="707"/>
      <c r="E122" s="707"/>
      <c r="F122" s="704"/>
      <c r="G122" s="1" t="s">
        <v>2557</v>
      </c>
      <c r="H122" s="1" t="s">
        <v>2558</v>
      </c>
      <c r="I122" s="455" t="s">
        <v>2700</v>
      </c>
      <c r="J122" s="450">
        <v>0.02</v>
      </c>
      <c r="K122" s="450"/>
      <c r="L122" s="450"/>
      <c r="M122" s="19"/>
      <c r="N122" s="20"/>
      <c r="O122" s="24"/>
      <c r="P122" s="24"/>
      <c r="Q122" s="24"/>
      <c r="R122" s="129"/>
      <c r="S122" s="652"/>
      <c r="T122" s="130"/>
      <c r="U122" s="62"/>
      <c r="V122" s="62"/>
      <c r="W122" s="62"/>
    </row>
    <row r="123" spans="1:23" ht="26.25" customHeight="1" x14ac:dyDescent="0.25">
      <c r="A123" s="1185"/>
      <c r="B123" s="1183"/>
      <c r="C123" s="1187"/>
      <c r="D123" s="1187"/>
      <c r="E123" s="1187"/>
      <c r="F123" s="1184"/>
      <c r="G123" s="2751" t="s">
        <v>3019</v>
      </c>
      <c r="H123" s="2793"/>
      <c r="I123" s="2793"/>
      <c r="J123" s="2793"/>
      <c r="K123" s="2793"/>
      <c r="L123" s="2793"/>
      <c r="M123" s="19"/>
      <c r="N123" s="20"/>
      <c r="O123" s="24"/>
      <c r="P123" s="24"/>
      <c r="Q123" s="24"/>
      <c r="R123" s="129"/>
      <c r="S123" s="652"/>
      <c r="T123" s="130"/>
      <c r="U123" s="62"/>
      <c r="V123" s="62"/>
      <c r="W123" s="62"/>
    </row>
    <row r="124" spans="1:23" ht="56.25" customHeight="1" x14ac:dyDescent="0.25">
      <c r="A124" s="1185"/>
      <c r="B124" s="1183"/>
      <c r="C124" s="1187"/>
      <c r="D124" s="1187"/>
      <c r="E124" s="1187"/>
      <c r="F124" s="1184"/>
      <c r="G124" s="9" t="s">
        <v>3366</v>
      </c>
      <c r="H124" s="9" t="s">
        <v>3367</v>
      </c>
      <c r="I124" s="267" t="s">
        <v>3418</v>
      </c>
      <c r="J124" s="149">
        <f>0.02*0.9</f>
        <v>1.8000000000000002E-2</v>
      </c>
      <c r="K124" s="149"/>
      <c r="L124" s="149"/>
      <c r="M124" s="19"/>
      <c r="N124" s="20"/>
      <c r="O124" s="24"/>
      <c r="P124" s="24"/>
      <c r="Q124" s="24"/>
      <c r="R124" s="129"/>
      <c r="S124" s="652"/>
      <c r="T124" s="130"/>
      <c r="U124" s="62"/>
      <c r="V124" s="62"/>
      <c r="W124" s="62"/>
    </row>
    <row r="125" spans="1:23" ht="26.25" customHeight="1" x14ac:dyDescent="0.25">
      <c r="A125" s="1185"/>
      <c r="B125" s="1183"/>
      <c r="C125" s="1187"/>
      <c r="D125" s="1187"/>
      <c r="E125" s="1187"/>
      <c r="F125" s="1184"/>
      <c r="G125" s="9" t="s">
        <v>3366</v>
      </c>
      <c r="H125" s="9" t="s">
        <v>3368</v>
      </c>
      <c r="I125" s="267" t="s">
        <v>3419</v>
      </c>
      <c r="J125" s="149">
        <f>0.01*0.9</f>
        <v>9.0000000000000011E-3</v>
      </c>
      <c r="K125" s="149"/>
      <c r="L125" s="149"/>
      <c r="M125" s="19"/>
      <c r="N125" s="20"/>
      <c r="O125" s="24"/>
      <c r="P125" s="24"/>
      <c r="Q125" s="24"/>
      <c r="R125" s="129"/>
      <c r="S125" s="652"/>
      <c r="T125" s="130"/>
      <c r="U125" s="62"/>
      <c r="V125" s="62"/>
      <c r="W125" s="62"/>
    </row>
    <row r="126" spans="1:23" ht="26.25" customHeight="1" x14ac:dyDescent="0.25">
      <c r="A126" s="1964"/>
      <c r="B126" s="1952"/>
      <c r="C126" s="1953"/>
      <c r="D126" s="1953"/>
      <c r="E126" s="1953"/>
      <c r="F126" s="1957"/>
      <c r="G126" s="2751" t="s">
        <v>3405</v>
      </c>
      <c r="H126" s="2793"/>
      <c r="I126" s="2793"/>
      <c r="J126" s="2793"/>
      <c r="K126" s="2793"/>
      <c r="L126" s="2793"/>
      <c r="M126" s="1950"/>
      <c r="N126" s="1949"/>
      <c r="O126" s="1951"/>
      <c r="P126" s="1951"/>
      <c r="Q126" s="1951"/>
      <c r="R126" s="129"/>
      <c r="S126" s="652"/>
      <c r="T126" s="130"/>
      <c r="U126" s="62"/>
      <c r="V126" s="62"/>
      <c r="W126" s="62"/>
    </row>
    <row r="127" spans="1:23" ht="41.25" customHeight="1" x14ac:dyDescent="0.25">
      <c r="A127" s="1185"/>
      <c r="B127" s="1183"/>
      <c r="C127" s="1187"/>
      <c r="D127" s="1187"/>
      <c r="E127" s="1187"/>
      <c r="F127" s="1184"/>
      <c r="G127" s="2679" t="s">
        <v>3402</v>
      </c>
      <c r="H127" s="2680"/>
      <c r="I127" s="2681"/>
      <c r="J127" s="1197">
        <f>0.152*0.9</f>
        <v>0.1368</v>
      </c>
      <c r="K127" s="450"/>
      <c r="L127" s="450"/>
      <c r="M127" s="19"/>
      <c r="N127" s="20"/>
      <c r="O127" s="24"/>
      <c r="P127" s="24"/>
      <c r="Q127" s="24"/>
      <c r="R127" s="129"/>
      <c r="S127" s="652"/>
      <c r="T127" s="130"/>
      <c r="U127" s="62"/>
      <c r="V127" s="62"/>
      <c r="W127" s="62"/>
    </row>
    <row r="128" spans="1:23" ht="41.25" customHeight="1" x14ac:dyDescent="0.25">
      <c r="A128" s="2091"/>
      <c r="B128" s="2073"/>
      <c r="C128" s="2074"/>
      <c r="D128" s="2074"/>
      <c r="E128" s="2074"/>
      <c r="F128" s="2077"/>
      <c r="G128" s="2751" t="s">
        <v>17067</v>
      </c>
      <c r="H128" s="2793"/>
      <c r="I128" s="2793"/>
      <c r="J128" s="2793"/>
      <c r="K128" s="2793"/>
      <c r="L128" s="2793"/>
      <c r="M128" s="2060"/>
      <c r="N128" s="2061"/>
      <c r="O128" s="2070"/>
      <c r="P128" s="2070"/>
      <c r="Q128" s="2070"/>
      <c r="R128" s="2086"/>
      <c r="S128" s="2087"/>
      <c r="T128" s="2088"/>
      <c r="U128" s="62"/>
      <c r="V128" s="62"/>
      <c r="W128" s="62"/>
    </row>
    <row r="129" spans="1:23" ht="41.25" customHeight="1" x14ac:dyDescent="0.25">
      <c r="A129" s="2091"/>
      <c r="B129" s="2073"/>
      <c r="C129" s="2074"/>
      <c r="D129" s="2074"/>
      <c r="E129" s="2074"/>
      <c r="F129" s="2077"/>
      <c r="G129" s="2087" t="s">
        <v>16918</v>
      </c>
      <c r="H129" s="2087" t="s">
        <v>19846</v>
      </c>
      <c r="I129" s="2088" t="s">
        <v>19847</v>
      </c>
      <c r="J129" s="62">
        <f>3.2*0.15</f>
        <v>0.48</v>
      </c>
      <c r="K129" s="62"/>
      <c r="L129" s="62"/>
      <c r="M129" s="2060"/>
      <c r="N129" s="2061"/>
      <c r="O129" s="2070"/>
      <c r="P129" s="2070"/>
      <c r="Q129" s="2070"/>
      <c r="R129" s="2086"/>
      <c r="S129" s="2087"/>
      <c r="T129" s="2088"/>
      <c r="U129" s="62"/>
      <c r="V129" s="62"/>
      <c r="W129" s="62"/>
    </row>
    <row r="130" spans="1:23" ht="15.75" customHeight="1" thickBot="1" x14ac:dyDescent="0.3">
      <c r="A130" s="406"/>
      <c r="B130" s="395"/>
      <c r="C130" s="396"/>
      <c r="D130" s="396"/>
      <c r="E130" s="396"/>
      <c r="F130" s="397"/>
      <c r="G130" s="2588" t="s">
        <v>1833</v>
      </c>
      <c r="H130" s="2588"/>
      <c r="I130" s="2589"/>
      <c r="J130" s="21">
        <f>SUM(J124:J129)</f>
        <v>0.64379999999999993</v>
      </c>
      <c r="K130" s="24">
        <v>0.92</v>
      </c>
      <c r="L130" s="21">
        <f>J130/K130</f>
        <v>0.69978260869565212</v>
      </c>
      <c r="M130" s="2587" t="s">
        <v>1834</v>
      </c>
      <c r="N130" s="2589"/>
      <c r="O130" s="21">
        <f>SUM(O115:O122)</f>
        <v>3.3108500000000003</v>
      </c>
      <c r="P130" s="24">
        <v>0.92</v>
      </c>
      <c r="Q130" s="21">
        <f>O130/P130</f>
        <v>3.5987500000000003</v>
      </c>
      <c r="R130" s="2587" t="s">
        <v>1833</v>
      </c>
      <c r="S130" s="2588"/>
      <c r="T130" s="2589"/>
      <c r="U130" s="21">
        <f>SUM(U120:U120)</f>
        <v>0</v>
      </c>
      <c r="V130" s="24">
        <v>0.92</v>
      </c>
      <c r="W130" s="21">
        <f>U130/V130</f>
        <v>0</v>
      </c>
    </row>
    <row r="131" spans="1:23" ht="19.5" thickBot="1" x14ac:dyDescent="0.3">
      <c r="A131" s="2756" t="s">
        <v>1962</v>
      </c>
      <c r="B131" s="2757"/>
      <c r="C131" s="498"/>
      <c r="D131" s="498"/>
      <c r="E131" s="498"/>
      <c r="F131" s="498"/>
      <c r="G131" s="190"/>
      <c r="H131" s="191"/>
      <c r="I131" s="191"/>
      <c r="J131" s="191">
        <f>J9+J11+J13+J15+J22+J25++J27+J29+J33+J35+J37+J39+J41+J46+J49+J51+J57+J59+J61+J63+J67+J71+J75+J80+J90+J102+J114+J130</f>
        <v>1.6777099999999998</v>
      </c>
      <c r="K131" s="191"/>
      <c r="L131" s="191">
        <f>L9+L11+L13+L15+L22+L25++L27+L29+L33+L35+L37+L39+L41+L46+L49+L51+L57+L59+L61+L63+L67+L71+L75+L80+L90+L102+L114+L130</f>
        <v>1.8235978260869565</v>
      </c>
      <c r="M131" s="191"/>
      <c r="N131" s="191"/>
      <c r="O131" s="191"/>
      <c r="P131" s="190"/>
      <c r="Q131" s="190"/>
      <c r="R131" s="352"/>
      <c r="S131" s="353"/>
      <c r="T131" s="353"/>
      <c r="U131" s="353"/>
      <c r="V131" s="353"/>
      <c r="W131" s="354"/>
    </row>
    <row r="132" spans="1:23" x14ac:dyDescent="0.25">
      <c r="A132" s="153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71"/>
      <c r="M132" s="40"/>
      <c r="N132" s="40"/>
      <c r="O132" s="40"/>
      <c r="P132" s="40"/>
      <c r="Q132" s="40"/>
      <c r="R132" s="99"/>
    </row>
    <row r="133" spans="1:23" x14ac:dyDescent="0.25">
      <c r="A133" s="153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71"/>
      <c r="M133" s="40"/>
      <c r="N133" s="40"/>
      <c r="O133" s="40"/>
      <c r="P133" s="40"/>
      <c r="Q133" s="40"/>
      <c r="R133" s="99"/>
    </row>
    <row r="134" spans="1:23" x14ac:dyDescent="0.25">
      <c r="A134" s="153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71"/>
      <c r="M134" s="40"/>
      <c r="N134" s="40"/>
      <c r="O134" s="40"/>
      <c r="P134" s="40"/>
      <c r="Q134" s="40"/>
      <c r="R134" s="99"/>
    </row>
    <row r="135" spans="1:23" x14ac:dyDescent="0.25">
      <c r="A135" s="153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71"/>
      <c r="M135" s="40"/>
      <c r="N135" s="40"/>
      <c r="O135" s="40"/>
      <c r="P135" s="40"/>
      <c r="Q135" s="40"/>
      <c r="R135" s="99"/>
    </row>
    <row r="136" spans="1:23" x14ac:dyDescent="0.25">
      <c r="A136" s="153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71"/>
      <c r="M136" s="40"/>
      <c r="N136" s="40"/>
      <c r="O136" s="40"/>
      <c r="P136" s="40"/>
      <c r="Q136" s="40"/>
      <c r="R136" s="99"/>
    </row>
    <row r="137" spans="1:23" x14ac:dyDescent="0.25">
      <c r="A137" s="153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71"/>
      <c r="M137" s="40"/>
      <c r="N137" s="40"/>
      <c r="O137" s="40"/>
      <c r="P137" s="40"/>
      <c r="Q137" s="40"/>
      <c r="R137" s="99"/>
    </row>
    <row r="138" spans="1:23" x14ac:dyDescent="0.25">
      <c r="A138" s="153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71"/>
      <c r="M138" s="40"/>
      <c r="N138" s="40"/>
      <c r="O138" s="40"/>
      <c r="P138" s="40"/>
      <c r="Q138" s="40"/>
      <c r="R138" s="99"/>
    </row>
    <row r="139" spans="1:23" x14ac:dyDescent="0.25">
      <c r="A139" s="153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71"/>
      <c r="M139" s="40"/>
      <c r="N139" s="40"/>
      <c r="O139" s="40"/>
      <c r="P139" s="40"/>
      <c r="Q139" s="40"/>
      <c r="R139" s="99"/>
    </row>
    <row r="140" spans="1:23" x14ac:dyDescent="0.25">
      <c r="A140" s="153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71"/>
      <c r="M140" s="40"/>
      <c r="N140" s="40"/>
      <c r="O140" s="40"/>
      <c r="P140" s="40"/>
      <c r="Q140" s="40"/>
      <c r="R140" s="99"/>
    </row>
    <row r="141" spans="1:23" x14ac:dyDescent="0.25">
      <c r="A141" s="153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71"/>
      <c r="M141" s="40"/>
      <c r="N141" s="40"/>
      <c r="O141" s="40"/>
      <c r="P141" s="40"/>
      <c r="Q141" s="40"/>
      <c r="R141" s="99"/>
    </row>
    <row r="142" spans="1:23" x14ac:dyDescent="0.25">
      <c r="A142" s="153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71"/>
      <c r="M142" s="40"/>
      <c r="N142" s="40"/>
      <c r="O142" s="40"/>
      <c r="P142" s="40"/>
      <c r="Q142" s="40"/>
      <c r="R142" s="99"/>
    </row>
    <row r="143" spans="1:23" x14ac:dyDescent="0.25">
      <c r="A143" s="153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99"/>
    </row>
    <row r="144" spans="1:23" x14ac:dyDescent="0.25">
      <c r="A144" s="153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99"/>
    </row>
    <row r="145" spans="1:18" x14ac:dyDescent="0.25">
      <c r="A145" s="153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99"/>
    </row>
    <row r="146" spans="1:18" x14ac:dyDescent="0.25">
      <c r="A146" s="153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99"/>
    </row>
    <row r="147" spans="1:18" x14ac:dyDescent="0.25">
      <c r="A147" s="153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99"/>
    </row>
    <row r="148" spans="1:18" x14ac:dyDescent="0.25">
      <c r="A148" s="153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99"/>
    </row>
    <row r="149" spans="1:18" x14ac:dyDescent="0.25">
      <c r="A149" s="153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99"/>
    </row>
    <row r="150" spans="1:18" x14ac:dyDescent="0.25">
      <c r="A150" s="153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99"/>
    </row>
    <row r="151" spans="1:18" x14ac:dyDescent="0.25">
      <c r="A151" s="153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99"/>
    </row>
    <row r="152" spans="1:18" x14ac:dyDescent="0.25">
      <c r="A152" s="153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99"/>
    </row>
    <row r="153" spans="1:18" x14ac:dyDescent="0.25">
      <c r="A153" s="153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99"/>
    </row>
    <row r="154" spans="1:18" x14ac:dyDescent="0.25">
      <c r="A154" s="153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99"/>
    </row>
    <row r="155" spans="1:18" x14ac:dyDescent="0.25">
      <c r="A155" s="153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99"/>
    </row>
    <row r="156" spans="1:18" x14ac:dyDescent="0.25">
      <c r="A156" s="2610"/>
      <c r="B156" s="2610"/>
      <c r="C156" s="2610"/>
      <c r="D156" s="2610"/>
      <c r="E156" s="2610"/>
      <c r="F156" s="2610"/>
      <c r="G156" s="2610"/>
      <c r="H156" s="2610"/>
      <c r="I156" s="2610"/>
      <c r="J156" s="2610"/>
      <c r="K156" s="2610"/>
      <c r="L156" s="2610"/>
      <c r="M156" s="2610"/>
      <c r="N156" s="2610"/>
      <c r="O156" s="2610"/>
      <c r="P156" s="2610"/>
      <c r="Q156" s="2610"/>
      <c r="R156" s="99"/>
    </row>
    <row r="157" spans="1:18" x14ac:dyDescent="0.25">
      <c r="A157" s="153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99"/>
    </row>
    <row r="158" spans="1:18" x14ac:dyDescent="0.25">
      <c r="A158" s="153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99"/>
    </row>
    <row r="159" spans="1:18" x14ac:dyDescent="0.25">
      <c r="A159" s="153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99"/>
    </row>
    <row r="160" spans="1:18" x14ac:dyDescent="0.25">
      <c r="A160" s="2609"/>
      <c r="B160" s="2609"/>
      <c r="C160" s="2609"/>
      <c r="D160" s="2609"/>
      <c r="E160" s="2609"/>
      <c r="F160" s="2609"/>
      <c r="G160" s="2609"/>
      <c r="H160" s="2609"/>
      <c r="I160" s="2609"/>
      <c r="J160" s="2609"/>
      <c r="K160" s="2609"/>
      <c r="L160" s="2609"/>
      <c r="M160" s="2609"/>
      <c r="N160" s="2609"/>
      <c r="O160" s="2609"/>
      <c r="P160" s="2609"/>
      <c r="Q160" s="2609"/>
      <c r="R160" s="99"/>
    </row>
    <row r="161" spans="1:18" x14ac:dyDescent="0.25">
      <c r="A161" s="2796"/>
      <c r="B161" s="2796"/>
      <c r="C161" s="2796"/>
      <c r="D161" s="2796"/>
      <c r="E161" s="2796"/>
      <c r="F161" s="2796"/>
      <c r="G161" s="2796"/>
      <c r="H161" s="2796"/>
      <c r="I161" s="2796"/>
      <c r="J161" s="2796"/>
      <c r="K161" s="2796"/>
      <c r="L161" s="2796"/>
      <c r="M161" s="2796"/>
      <c r="N161" s="2796"/>
      <c r="O161" s="2796"/>
      <c r="P161" s="2796"/>
      <c r="Q161" s="2796"/>
      <c r="R161" s="99"/>
    </row>
    <row r="162" spans="1:18" x14ac:dyDescent="0.25">
      <c r="A162" s="153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99"/>
    </row>
    <row r="163" spans="1:18" x14ac:dyDescent="0.25">
      <c r="A163" s="153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99"/>
    </row>
    <row r="164" spans="1:18" x14ac:dyDescent="0.25">
      <c r="A164" s="153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99"/>
    </row>
    <row r="165" spans="1:18" x14ac:dyDescent="0.25">
      <c r="A165" s="2610"/>
      <c r="B165" s="2610"/>
      <c r="C165" s="2610"/>
      <c r="D165" s="2610"/>
      <c r="E165" s="2610"/>
      <c r="F165" s="2610"/>
      <c r="G165" s="2610"/>
      <c r="H165" s="2610"/>
      <c r="I165" s="2610"/>
      <c r="J165" s="2610"/>
      <c r="K165" s="2610"/>
      <c r="L165" s="2610"/>
      <c r="M165" s="2610"/>
      <c r="N165" s="2610"/>
      <c r="O165" s="2610"/>
      <c r="P165" s="2610"/>
      <c r="Q165" s="2610"/>
      <c r="R165" s="99"/>
    </row>
    <row r="166" spans="1:18" x14ac:dyDescent="0.25">
      <c r="A166" s="153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99"/>
    </row>
    <row r="167" spans="1:18" x14ac:dyDescent="0.25">
      <c r="A167" s="153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99"/>
    </row>
    <row r="168" spans="1:18" x14ac:dyDescent="0.25">
      <c r="A168" s="153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99"/>
    </row>
    <row r="169" spans="1:18" x14ac:dyDescent="0.25">
      <c r="A169" s="153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99"/>
    </row>
    <row r="170" spans="1:18" x14ac:dyDescent="0.25">
      <c r="A170" s="153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99"/>
    </row>
    <row r="171" spans="1:18" x14ac:dyDescent="0.25">
      <c r="A171" s="153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99"/>
    </row>
    <row r="172" spans="1:18" x14ac:dyDescent="0.25">
      <c r="A172" s="153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99"/>
    </row>
    <row r="173" spans="1:18" x14ac:dyDescent="0.25">
      <c r="A173" s="153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99"/>
    </row>
    <row r="174" spans="1:18" x14ac:dyDescent="0.25">
      <c r="A174" s="153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99"/>
    </row>
    <row r="175" spans="1:18" x14ac:dyDescent="0.25">
      <c r="A175" s="153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99"/>
    </row>
    <row r="176" spans="1:18" x14ac:dyDescent="0.25">
      <c r="A176" s="2609"/>
      <c r="B176" s="2609"/>
      <c r="C176" s="2609"/>
      <c r="D176" s="2609"/>
      <c r="E176" s="2609"/>
      <c r="F176" s="2609"/>
      <c r="G176" s="2609"/>
      <c r="H176" s="2609"/>
      <c r="I176" s="2609"/>
      <c r="J176" s="2609"/>
      <c r="K176" s="2609"/>
      <c r="L176" s="2609"/>
      <c r="M176" s="2609"/>
      <c r="N176" s="2609"/>
      <c r="O176" s="2609"/>
      <c r="P176" s="2609"/>
      <c r="Q176" s="2609"/>
      <c r="R176" s="99"/>
    </row>
    <row r="177" spans="1:18" x14ac:dyDescent="0.25">
      <c r="A177" s="2796"/>
      <c r="B177" s="2796"/>
      <c r="C177" s="2796"/>
      <c r="D177" s="2796"/>
      <c r="E177" s="2796"/>
      <c r="F177" s="2796"/>
      <c r="G177" s="2796"/>
      <c r="H177" s="2796"/>
      <c r="I177" s="2796"/>
      <c r="J177" s="2796"/>
      <c r="K177" s="2796"/>
      <c r="L177" s="2796"/>
      <c r="M177" s="2796"/>
      <c r="N177" s="2796"/>
      <c r="O177" s="2796"/>
      <c r="P177" s="2796"/>
      <c r="Q177" s="2796"/>
      <c r="R177" s="99"/>
    </row>
    <row r="178" spans="1:18" x14ac:dyDescent="0.25">
      <c r="A178" s="153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99"/>
    </row>
    <row r="179" spans="1:18" x14ac:dyDescent="0.25">
      <c r="A179" s="153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99"/>
    </row>
    <row r="180" spans="1:18" x14ac:dyDescent="0.25">
      <c r="A180" s="153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99"/>
    </row>
    <row r="181" spans="1:18" x14ac:dyDescent="0.25">
      <c r="A181" s="2610"/>
      <c r="B181" s="2610"/>
      <c r="C181" s="2610"/>
      <c r="D181" s="2610"/>
      <c r="E181" s="2610"/>
      <c r="F181" s="2610"/>
      <c r="G181" s="2610"/>
      <c r="H181" s="2610"/>
      <c r="I181" s="2610"/>
      <c r="J181" s="2610"/>
      <c r="K181" s="2610"/>
      <c r="L181" s="2610"/>
      <c r="M181" s="2610"/>
      <c r="N181" s="2610"/>
      <c r="O181" s="2610"/>
      <c r="P181" s="2610"/>
      <c r="Q181" s="2610"/>
      <c r="R181" s="99"/>
    </row>
    <row r="182" spans="1:18" x14ac:dyDescent="0.25">
      <c r="A182" s="153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99"/>
    </row>
    <row r="183" spans="1:18" x14ac:dyDescent="0.25">
      <c r="A183" s="153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99"/>
    </row>
    <row r="184" spans="1:18" x14ac:dyDescent="0.25">
      <c r="A184" s="153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99"/>
    </row>
    <row r="185" spans="1:18" x14ac:dyDescent="0.25">
      <c r="A185" s="153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99"/>
    </row>
    <row r="186" spans="1:18" x14ac:dyDescent="0.25">
      <c r="A186" s="153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99"/>
    </row>
    <row r="187" spans="1:18" x14ac:dyDescent="0.25">
      <c r="A187" s="153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99"/>
    </row>
    <row r="188" spans="1:18" x14ac:dyDescent="0.25">
      <c r="A188" s="153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99"/>
    </row>
    <row r="189" spans="1:18" x14ac:dyDescent="0.25">
      <c r="A189" s="153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99"/>
    </row>
    <row r="190" spans="1:18" x14ac:dyDescent="0.25">
      <c r="A190" s="153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99"/>
    </row>
    <row r="191" spans="1:18" x14ac:dyDescent="0.25">
      <c r="A191" s="153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99"/>
    </row>
    <row r="192" spans="1:18" x14ac:dyDescent="0.25">
      <c r="A192" s="153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99"/>
    </row>
    <row r="193" spans="1:18" x14ac:dyDescent="0.25">
      <c r="A193" s="2609"/>
      <c r="B193" s="2609"/>
      <c r="C193" s="2609"/>
      <c r="D193" s="2609"/>
      <c r="E193" s="2609"/>
      <c r="F193" s="2609"/>
      <c r="G193" s="2609"/>
      <c r="H193" s="2609"/>
      <c r="I193" s="2609"/>
      <c r="J193" s="2609"/>
      <c r="K193" s="2609"/>
      <c r="L193" s="2609"/>
      <c r="M193" s="2609"/>
      <c r="N193" s="2609"/>
      <c r="O193" s="2609"/>
      <c r="P193" s="2609"/>
      <c r="Q193" s="2609"/>
      <c r="R193" s="99"/>
    </row>
    <row r="194" spans="1:18" x14ac:dyDescent="0.25">
      <c r="A194" s="2796"/>
      <c r="B194" s="2796"/>
      <c r="C194" s="2796"/>
      <c r="D194" s="2796"/>
      <c r="E194" s="2796"/>
      <c r="F194" s="2796"/>
      <c r="G194" s="2796"/>
      <c r="H194" s="2796"/>
      <c r="I194" s="2796"/>
      <c r="J194" s="2796"/>
      <c r="K194" s="2796"/>
      <c r="L194" s="2796"/>
      <c r="M194" s="2796"/>
      <c r="N194" s="2796"/>
      <c r="O194" s="2796"/>
      <c r="P194" s="2796"/>
      <c r="Q194" s="2796"/>
      <c r="R194" s="99"/>
    </row>
    <row r="195" spans="1:18" x14ac:dyDescent="0.25">
      <c r="A195" s="153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99"/>
    </row>
    <row r="196" spans="1:18" x14ac:dyDescent="0.25">
      <c r="A196" s="153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99"/>
    </row>
    <row r="197" spans="1:18" x14ac:dyDescent="0.25">
      <c r="A197" s="153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99"/>
    </row>
    <row r="198" spans="1:18" x14ac:dyDescent="0.25">
      <c r="A198" s="153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99"/>
    </row>
    <row r="199" spans="1:18" x14ac:dyDescent="0.25">
      <c r="A199" s="153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99"/>
    </row>
    <row r="200" spans="1:18" x14ac:dyDescent="0.25">
      <c r="A200" s="153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99"/>
    </row>
    <row r="201" spans="1:18" x14ac:dyDescent="0.25">
      <c r="A201" s="153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99"/>
    </row>
    <row r="202" spans="1:18" x14ac:dyDescent="0.25">
      <c r="A202" s="153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99"/>
    </row>
    <row r="203" spans="1:18" x14ac:dyDescent="0.25">
      <c r="A203" s="153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99"/>
    </row>
    <row r="204" spans="1:18" x14ac:dyDescent="0.25">
      <c r="A204" s="153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99"/>
    </row>
    <row r="205" spans="1:18" x14ac:dyDescent="0.25">
      <c r="A205" s="153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99"/>
    </row>
    <row r="206" spans="1:18" x14ac:dyDescent="0.25">
      <c r="A206" s="153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99"/>
    </row>
    <row r="207" spans="1:18" x14ac:dyDescent="0.25">
      <c r="A207" s="2610"/>
      <c r="B207" s="2610"/>
      <c r="C207" s="2610"/>
      <c r="D207" s="2610"/>
      <c r="E207" s="2610"/>
      <c r="F207" s="2610"/>
      <c r="G207" s="2610"/>
      <c r="H207" s="2610"/>
      <c r="I207" s="2610"/>
      <c r="J207" s="2610"/>
      <c r="K207" s="2610"/>
      <c r="L207" s="2610"/>
      <c r="M207" s="2610"/>
      <c r="N207" s="2610"/>
      <c r="O207" s="2610"/>
      <c r="P207" s="2610"/>
      <c r="Q207" s="2610"/>
      <c r="R207" s="99"/>
    </row>
    <row r="208" spans="1:18" x14ac:dyDescent="0.25">
      <c r="A208" s="153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99"/>
    </row>
    <row r="209" spans="1:18" x14ac:dyDescent="0.25">
      <c r="A209" s="153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99"/>
    </row>
    <row r="210" spans="1:18" x14ac:dyDescent="0.25">
      <c r="A210" s="153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99"/>
    </row>
    <row r="211" spans="1:18" x14ac:dyDescent="0.25">
      <c r="A211" s="153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99"/>
    </row>
    <row r="212" spans="1:18" x14ac:dyDescent="0.25">
      <c r="A212" s="153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99"/>
    </row>
    <row r="213" spans="1:18" x14ac:dyDescent="0.25">
      <c r="A213" s="153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99"/>
    </row>
    <row r="214" spans="1:18" x14ac:dyDescent="0.25">
      <c r="A214" s="153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99"/>
    </row>
    <row r="215" spans="1:18" x14ac:dyDescent="0.25">
      <c r="A215" s="153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99"/>
    </row>
    <row r="216" spans="1:18" x14ac:dyDescent="0.25">
      <c r="A216" s="153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99"/>
    </row>
    <row r="217" spans="1:18" x14ac:dyDescent="0.25">
      <c r="A217" s="153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99"/>
    </row>
    <row r="218" spans="1:18" x14ac:dyDescent="0.25">
      <c r="A218" s="153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99"/>
    </row>
    <row r="219" spans="1:18" x14ac:dyDescent="0.25">
      <c r="A219" s="2609"/>
      <c r="B219" s="2609"/>
      <c r="C219" s="2609"/>
      <c r="D219" s="2609"/>
      <c r="E219" s="2609"/>
      <c r="F219" s="2609"/>
      <c r="G219" s="2609"/>
      <c r="H219" s="2609"/>
      <c r="I219" s="2609"/>
      <c r="J219" s="2609"/>
      <c r="K219" s="2609"/>
      <c r="L219" s="2609"/>
      <c r="M219" s="2609"/>
      <c r="N219" s="2609"/>
      <c r="O219" s="2609"/>
      <c r="P219" s="2609"/>
      <c r="Q219" s="2609"/>
      <c r="R219" s="99"/>
    </row>
    <row r="220" spans="1:18" x14ac:dyDescent="0.25">
      <c r="A220" s="2796"/>
      <c r="B220" s="2796"/>
      <c r="C220" s="2796"/>
      <c r="D220" s="2796"/>
      <c r="E220" s="2796"/>
      <c r="F220" s="2796"/>
      <c r="G220" s="2796"/>
      <c r="H220" s="2796"/>
      <c r="I220" s="2796"/>
      <c r="J220" s="2796"/>
      <c r="K220" s="2796"/>
      <c r="L220" s="2796"/>
      <c r="M220" s="2796"/>
      <c r="N220" s="2796"/>
      <c r="O220" s="2796"/>
      <c r="P220" s="2796"/>
      <c r="Q220" s="2796"/>
      <c r="R220" s="99"/>
    </row>
    <row r="221" spans="1:18" x14ac:dyDescent="0.25">
      <c r="A221" s="153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99"/>
    </row>
    <row r="222" spans="1:18" x14ac:dyDescent="0.25">
      <c r="A222" s="153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99"/>
    </row>
    <row r="223" spans="1:18" x14ac:dyDescent="0.25">
      <c r="A223" s="153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99"/>
    </row>
    <row r="224" spans="1:18" x14ac:dyDescent="0.25">
      <c r="A224" s="153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99"/>
    </row>
    <row r="225" spans="1:18" x14ac:dyDescent="0.25">
      <c r="A225" s="153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99"/>
    </row>
    <row r="226" spans="1:18" x14ac:dyDescent="0.25">
      <c r="A226" s="153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99"/>
    </row>
    <row r="227" spans="1:18" x14ac:dyDescent="0.25">
      <c r="A227" s="153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99"/>
    </row>
    <row r="228" spans="1:18" x14ac:dyDescent="0.25">
      <c r="A228" s="153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99"/>
    </row>
    <row r="229" spans="1:18" x14ac:dyDescent="0.25">
      <c r="A229" s="153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99"/>
    </row>
    <row r="230" spans="1:18" x14ac:dyDescent="0.25">
      <c r="A230" s="153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99"/>
    </row>
    <row r="231" spans="1:18" x14ac:dyDescent="0.25">
      <c r="A231" s="153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99"/>
    </row>
    <row r="232" spans="1:18" x14ac:dyDescent="0.25">
      <c r="A232" s="153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99"/>
    </row>
    <row r="233" spans="1:18" x14ac:dyDescent="0.25">
      <c r="A233" s="153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99"/>
    </row>
    <row r="234" spans="1:18" x14ac:dyDescent="0.25">
      <c r="A234" s="153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99"/>
    </row>
    <row r="235" spans="1:18" x14ac:dyDescent="0.25">
      <c r="A235" s="153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99"/>
    </row>
    <row r="236" spans="1:18" x14ac:dyDescent="0.25">
      <c r="A236" s="2610"/>
      <c r="B236" s="2610"/>
      <c r="C236" s="2610"/>
      <c r="D236" s="2610"/>
      <c r="E236" s="2610"/>
      <c r="F236" s="2610"/>
      <c r="G236" s="2610"/>
      <c r="H236" s="2610"/>
      <c r="I236" s="2610"/>
      <c r="J236" s="2610"/>
      <c r="K236" s="2610"/>
      <c r="L236" s="2610"/>
      <c r="M236" s="2610"/>
      <c r="N236" s="2610"/>
      <c r="O236" s="2610"/>
      <c r="P236" s="2610"/>
      <c r="Q236" s="2610"/>
      <c r="R236" s="99"/>
    </row>
    <row r="237" spans="1:18" x14ac:dyDescent="0.25">
      <c r="A237" s="153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99"/>
    </row>
    <row r="238" spans="1:18" x14ac:dyDescent="0.25">
      <c r="A238" s="153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99"/>
    </row>
    <row r="239" spans="1:18" x14ac:dyDescent="0.25">
      <c r="A239" s="153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99"/>
    </row>
    <row r="240" spans="1:18" x14ac:dyDescent="0.25">
      <c r="A240" s="153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99"/>
    </row>
    <row r="241" spans="1:18" x14ac:dyDescent="0.25">
      <c r="A241" s="153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99"/>
    </row>
    <row r="242" spans="1:18" x14ac:dyDescent="0.25">
      <c r="A242" s="153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99"/>
    </row>
    <row r="243" spans="1:18" x14ac:dyDescent="0.25">
      <c r="A243" s="153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99"/>
    </row>
    <row r="244" spans="1:18" x14ac:dyDescent="0.25">
      <c r="A244" s="153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99"/>
    </row>
    <row r="245" spans="1:18" x14ac:dyDescent="0.25">
      <c r="A245" s="153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99"/>
    </row>
    <row r="246" spans="1:18" x14ac:dyDescent="0.25">
      <c r="A246" s="153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99"/>
    </row>
    <row r="247" spans="1:18" x14ac:dyDescent="0.25">
      <c r="A247" s="153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99"/>
    </row>
    <row r="248" spans="1:18" x14ac:dyDescent="0.25">
      <c r="A248" s="153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99"/>
    </row>
    <row r="249" spans="1:18" x14ac:dyDescent="0.25">
      <c r="A249" s="153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99"/>
    </row>
    <row r="250" spans="1:18" x14ac:dyDescent="0.25">
      <c r="A250" s="153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99"/>
    </row>
    <row r="251" spans="1:18" x14ac:dyDescent="0.25">
      <c r="A251" s="2609"/>
      <c r="B251" s="2609"/>
      <c r="C251" s="2609"/>
      <c r="D251" s="2609"/>
      <c r="E251" s="2609"/>
      <c r="F251" s="2609"/>
      <c r="G251" s="2609"/>
      <c r="H251" s="2609"/>
      <c r="I251" s="2609"/>
      <c r="J251" s="2609"/>
      <c r="K251" s="2609"/>
      <c r="L251" s="2609"/>
      <c r="M251" s="2609"/>
      <c r="N251" s="2609"/>
      <c r="O251" s="2609"/>
      <c r="P251" s="2609"/>
      <c r="Q251" s="2609"/>
      <c r="R251" s="99"/>
    </row>
    <row r="252" spans="1:18" x14ac:dyDescent="0.25">
      <c r="A252" s="2796"/>
      <c r="B252" s="2796"/>
      <c r="C252" s="2796"/>
      <c r="D252" s="2796"/>
      <c r="E252" s="2796"/>
      <c r="F252" s="2796"/>
      <c r="G252" s="2796"/>
      <c r="H252" s="2796"/>
      <c r="I252" s="2796"/>
      <c r="J252" s="2796"/>
      <c r="K252" s="2796"/>
      <c r="L252" s="2796"/>
      <c r="M252" s="2796"/>
      <c r="N252" s="2796"/>
      <c r="O252" s="2796"/>
      <c r="P252" s="2796"/>
      <c r="Q252" s="2796"/>
      <c r="R252" s="99"/>
    </row>
    <row r="253" spans="1:18" x14ac:dyDescent="0.25">
      <c r="A253" s="153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99"/>
    </row>
    <row r="254" spans="1:18" x14ac:dyDescent="0.25">
      <c r="A254" s="153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99"/>
    </row>
    <row r="255" spans="1:18" x14ac:dyDescent="0.25">
      <c r="A255" s="153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99"/>
    </row>
    <row r="256" spans="1:18" x14ac:dyDescent="0.25">
      <c r="A256" s="153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71"/>
      <c r="M256" s="40"/>
      <c r="N256" s="40"/>
      <c r="O256" s="40"/>
      <c r="P256" s="40"/>
      <c r="Q256" s="40"/>
      <c r="R256" s="99"/>
    </row>
    <row r="257" spans="1:18" x14ac:dyDescent="0.25">
      <c r="A257" s="153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71"/>
      <c r="M257" s="40"/>
      <c r="N257" s="40"/>
      <c r="O257" s="40"/>
      <c r="P257" s="40"/>
      <c r="Q257" s="40"/>
      <c r="R257" s="99"/>
    </row>
    <row r="258" spans="1:18" x14ac:dyDescent="0.25">
      <c r="A258" s="153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71"/>
      <c r="M258" s="40"/>
      <c r="N258" s="40"/>
      <c r="O258" s="40"/>
      <c r="P258" s="40"/>
      <c r="Q258" s="40"/>
      <c r="R258" s="99"/>
    </row>
    <row r="259" spans="1:18" x14ac:dyDescent="0.25">
      <c r="A259" s="153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71"/>
      <c r="M259" s="40"/>
      <c r="N259" s="40"/>
      <c r="O259" s="40"/>
      <c r="P259" s="40"/>
      <c r="Q259" s="40"/>
      <c r="R259" s="99"/>
    </row>
    <row r="260" spans="1:18" x14ac:dyDescent="0.25">
      <c r="A260" s="153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71"/>
      <c r="M260" s="40"/>
      <c r="N260" s="40"/>
      <c r="O260" s="40"/>
      <c r="P260" s="40"/>
      <c r="Q260" s="40"/>
      <c r="R260" s="99"/>
    </row>
    <row r="261" spans="1:18" x14ac:dyDescent="0.25">
      <c r="A261" s="153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71"/>
      <c r="M261" s="40"/>
      <c r="N261" s="40"/>
      <c r="O261" s="40"/>
      <c r="P261" s="40"/>
      <c r="Q261" s="40"/>
      <c r="R261" s="99"/>
    </row>
    <row r="262" spans="1:18" x14ac:dyDescent="0.25">
      <c r="A262" s="153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71"/>
      <c r="M262" s="40"/>
      <c r="N262" s="40"/>
      <c r="O262" s="40"/>
      <c r="P262" s="40"/>
      <c r="Q262" s="40"/>
      <c r="R262" s="99"/>
    </row>
    <row r="263" spans="1:18" x14ac:dyDescent="0.25">
      <c r="A263" s="153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71"/>
      <c r="M263" s="40"/>
      <c r="N263" s="40"/>
      <c r="O263" s="40"/>
      <c r="P263" s="40"/>
      <c r="Q263" s="40"/>
      <c r="R263" s="99"/>
    </row>
    <row r="264" spans="1:18" x14ac:dyDescent="0.25">
      <c r="A264" s="153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71"/>
      <c r="M264" s="40"/>
      <c r="N264" s="40"/>
      <c r="O264" s="40"/>
      <c r="P264" s="40"/>
      <c r="Q264" s="40"/>
      <c r="R264" s="99"/>
    </row>
    <row r="265" spans="1:18" x14ac:dyDescent="0.25">
      <c r="A265" s="153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71"/>
      <c r="M265" s="40"/>
      <c r="N265" s="40"/>
      <c r="O265" s="40"/>
      <c r="P265" s="40"/>
      <c r="Q265" s="40"/>
      <c r="R265" s="99"/>
    </row>
    <row r="266" spans="1:18" x14ac:dyDescent="0.25">
      <c r="A266" s="153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71"/>
      <c r="M266" s="40"/>
      <c r="N266" s="40"/>
      <c r="O266" s="40"/>
      <c r="P266" s="40"/>
      <c r="Q266" s="40"/>
      <c r="R266" s="99"/>
    </row>
    <row r="267" spans="1:18" x14ac:dyDescent="0.25">
      <c r="A267" s="153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71"/>
      <c r="M267" s="40"/>
      <c r="N267" s="40"/>
      <c r="O267" s="40"/>
      <c r="P267" s="40"/>
      <c r="Q267" s="40"/>
      <c r="R267" s="99"/>
    </row>
    <row r="268" spans="1:18" x14ac:dyDescent="0.25">
      <c r="A268" s="153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71"/>
      <c r="M268" s="40"/>
      <c r="N268" s="40"/>
      <c r="O268" s="40"/>
      <c r="P268" s="40"/>
      <c r="Q268" s="40"/>
      <c r="R268" s="99"/>
    </row>
    <row r="269" spans="1:18" x14ac:dyDescent="0.25">
      <c r="A269" s="153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71"/>
      <c r="M269" s="40"/>
      <c r="N269" s="40"/>
      <c r="O269" s="40"/>
      <c r="P269" s="40"/>
      <c r="Q269" s="40"/>
      <c r="R269" s="99"/>
    </row>
    <row r="270" spans="1:18" x14ac:dyDescent="0.25">
      <c r="A270" s="153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71"/>
      <c r="M270" s="40"/>
      <c r="N270" s="40"/>
      <c r="O270" s="40"/>
      <c r="P270" s="40"/>
      <c r="Q270" s="40"/>
      <c r="R270" s="99"/>
    </row>
    <row r="271" spans="1:18" x14ac:dyDescent="0.25">
      <c r="A271" s="153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71"/>
      <c r="M271" s="40"/>
      <c r="N271" s="40"/>
      <c r="O271" s="40"/>
      <c r="P271" s="40"/>
      <c r="Q271" s="40"/>
      <c r="R271" s="99"/>
    </row>
    <row r="272" spans="1:18" x14ac:dyDescent="0.25">
      <c r="A272" s="153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71"/>
      <c r="M272" s="40"/>
      <c r="N272" s="40"/>
      <c r="O272" s="40"/>
      <c r="P272" s="40"/>
      <c r="Q272" s="40"/>
      <c r="R272" s="99"/>
    </row>
    <row r="273" spans="1:18" x14ac:dyDescent="0.25">
      <c r="A273" s="153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71"/>
      <c r="M273" s="40"/>
      <c r="N273" s="40"/>
      <c r="O273" s="40"/>
      <c r="P273" s="40"/>
      <c r="Q273" s="40"/>
      <c r="R273" s="99"/>
    </row>
    <row r="274" spans="1:18" x14ac:dyDescent="0.25">
      <c r="A274" s="153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71"/>
      <c r="M274" s="40"/>
      <c r="N274" s="40"/>
      <c r="O274" s="40"/>
      <c r="P274" s="40"/>
      <c r="Q274" s="40"/>
      <c r="R274" s="99"/>
    </row>
    <row r="275" spans="1:18" x14ac:dyDescent="0.25">
      <c r="A275" s="153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71"/>
      <c r="M275" s="40"/>
      <c r="N275" s="40"/>
      <c r="O275" s="40"/>
      <c r="P275" s="40"/>
      <c r="Q275" s="40"/>
      <c r="R275" s="99"/>
    </row>
    <row r="276" spans="1:18" x14ac:dyDescent="0.25">
      <c r="A276" s="153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71"/>
      <c r="M276" s="40"/>
      <c r="N276" s="40"/>
      <c r="O276" s="40"/>
      <c r="P276" s="40"/>
      <c r="Q276" s="40"/>
      <c r="R276" s="99"/>
    </row>
    <row r="277" spans="1:18" x14ac:dyDescent="0.25">
      <c r="A277" s="153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71"/>
      <c r="M277" s="40"/>
      <c r="N277" s="40"/>
      <c r="O277" s="40"/>
      <c r="P277" s="40"/>
      <c r="Q277" s="40"/>
      <c r="R277" s="99"/>
    </row>
    <row r="278" spans="1:18" x14ac:dyDescent="0.25">
      <c r="A278" s="153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71"/>
      <c r="M278" s="40"/>
      <c r="N278" s="40"/>
      <c r="O278" s="40"/>
      <c r="P278" s="40"/>
      <c r="Q278" s="40"/>
      <c r="R278" s="99"/>
    </row>
    <row r="279" spans="1:18" x14ac:dyDescent="0.25">
      <c r="A279" s="153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71"/>
      <c r="M279" s="40"/>
      <c r="N279" s="40"/>
      <c r="O279" s="40"/>
      <c r="P279" s="40"/>
      <c r="Q279" s="40"/>
      <c r="R279" s="99"/>
    </row>
    <row r="280" spans="1:18" x14ac:dyDescent="0.25">
      <c r="A280" s="153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71"/>
      <c r="M280" s="40"/>
      <c r="N280" s="40"/>
      <c r="O280" s="40"/>
      <c r="P280" s="40"/>
      <c r="Q280" s="40"/>
      <c r="R280" s="99"/>
    </row>
    <row r="281" spans="1:18" x14ac:dyDescent="0.25">
      <c r="A281" s="153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71"/>
      <c r="M281" s="40"/>
      <c r="N281" s="40"/>
      <c r="O281" s="40"/>
      <c r="P281" s="40"/>
      <c r="Q281" s="40"/>
      <c r="R281" s="99"/>
    </row>
    <row r="282" spans="1:18" x14ac:dyDescent="0.25">
      <c r="A282" s="153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71"/>
      <c r="M282" s="40"/>
      <c r="N282" s="40"/>
      <c r="O282" s="40"/>
      <c r="P282" s="40"/>
      <c r="Q282" s="40"/>
      <c r="R282" s="99"/>
    </row>
    <row r="283" spans="1:18" x14ac:dyDescent="0.25">
      <c r="A283" s="153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71"/>
      <c r="M283" s="40"/>
      <c r="N283" s="40"/>
      <c r="O283" s="40"/>
      <c r="P283" s="40"/>
      <c r="Q283" s="40"/>
      <c r="R283" s="99"/>
    </row>
    <row r="284" spans="1:18" x14ac:dyDescent="0.25">
      <c r="A284" s="153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71"/>
      <c r="M284" s="40"/>
      <c r="N284" s="40"/>
      <c r="O284" s="40"/>
      <c r="P284" s="40"/>
      <c r="Q284" s="40"/>
      <c r="R284" s="99"/>
    </row>
    <row r="285" spans="1:18" x14ac:dyDescent="0.25">
      <c r="A285" s="153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71"/>
      <c r="M285" s="40"/>
      <c r="N285" s="40"/>
      <c r="O285" s="40"/>
      <c r="P285" s="40"/>
      <c r="Q285" s="40"/>
      <c r="R285" s="99"/>
    </row>
    <row r="286" spans="1:18" x14ac:dyDescent="0.25">
      <c r="A286" s="153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71"/>
      <c r="M286" s="40"/>
      <c r="N286" s="40"/>
      <c r="O286" s="40"/>
      <c r="P286" s="40"/>
      <c r="Q286" s="40"/>
      <c r="R286" s="99"/>
    </row>
    <row r="287" spans="1:18" x14ac:dyDescent="0.25">
      <c r="A287" s="153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71"/>
      <c r="M287" s="40"/>
      <c r="N287" s="40"/>
      <c r="O287" s="40"/>
      <c r="P287" s="40"/>
      <c r="Q287" s="40"/>
      <c r="R287" s="99"/>
    </row>
    <row r="288" spans="1:18" x14ac:dyDescent="0.25">
      <c r="A288" s="153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71"/>
      <c r="M288" s="40"/>
      <c r="N288" s="40"/>
      <c r="O288" s="40"/>
      <c r="P288" s="40"/>
      <c r="Q288" s="40"/>
      <c r="R288" s="99"/>
    </row>
    <row r="289" spans="1:18" x14ac:dyDescent="0.25">
      <c r="A289" s="153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71"/>
      <c r="M289" s="40"/>
      <c r="N289" s="40"/>
      <c r="O289" s="40"/>
      <c r="P289" s="40"/>
      <c r="Q289" s="40"/>
      <c r="R289" s="99"/>
    </row>
    <row r="290" spans="1:18" x14ac:dyDescent="0.25">
      <c r="A290" s="153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71"/>
      <c r="M290" s="40"/>
      <c r="N290" s="40"/>
      <c r="O290" s="40"/>
      <c r="P290" s="40"/>
      <c r="Q290" s="40"/>
      <c r="R290" s="99"/>
    </row>
    <row r="291" spans="1:18" x14ac:dyDescent="0.25">
      <c r="A291" s="153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71"/>
      <c r="M291" s="40"/>
      <c r="N291" s="40"/>
      <c r="O291" s="40"/>
      <c r="P291" s="40"/>
      <c r="Q291" s="40"/>
      <c r="R291" s="99"/>
    </row>
    <row r="292" spans="1:18" x14ac:dyDescent="0.25">
      <c r="A292" s="153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71"/>
      <c r="M292" s="40"/>
      <c r="N292" s="40"/>
      <c r="O292" s="40"/>
      <c r="P292" s="40"/>
      <c r="Q292" s="40"/>
      <c r="R292" s="99"/>
    </row>
    <row r="293" spans="1:18" x14ac:dyDescent="0.25">
      <c r="A293" s="153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71"/>
      <c r="M293" s="40"/>
      <c r="N293" s="40"/>
      <c r="O293" s="40"/>
      <c r="P293" s="40"/>
      <c r="Q293" s="40"/>
      <c r="R293" s="99"/>
    </row>
    <row r="294" spans="1:18" x14ac:dyDescent="0.25">
      <c r="A294" s="153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71"/>
      <c r="M294" s="40"/>
      <c r="N294" s="40"/>
      <c r="O294" s="40"/>
      <c r="P294" s="40"/>
      <c r="Q294" s="40"/>
      <c r="R294" s="99"/>
    </row>
    <row r="295" spans="1:18" x14ac:dyDescent="0.25">
      <c r="A295" s="153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71"/>
      <c r="M295" s="40"/>
      <c r="N295" s="40"/>
      <c r="O295" s="40"/>
      <c r="P295" s="40"/>
      <c r="Q295" s="40"/>
      <c r="R295" s="99"/>
    </row>
    <row r="296" spans="1:18" x14ac:dyDescent="0.25">
      <c r="A296" s="153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71"/>
      <c r="M296" s="40"/>
      <c r="N296" s="40"/>
      <c r="O296" s="40"/>
      <c r="P296" s="40"/>
      <c r="Q296" s="40"/>
      <c r="R296" s="99"/>
    </row>
    <row r="297" spans="1:18" x14ac:dyDescent="0.25">
      <c r="A297" s="153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71"/>
      <c r="M297" s="40"/>
      <c r="N297" s="40"/>
      <c r="O297" s="40"/>
      <c r="P297" s="40"/>
      <c r="Q297" s="40"/>
      <c r="R297" s="99"/>
    </row>
    <row r="298" spans="1:18" x14ac:dyDescent="0.25">
      <c r="A298" s="153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71"/>
      <c r="M298" s="40"/>
      <c r="N298" s="40"/>
      <c r="O298" s="40"/>
      <c r="P298" s="40"/>
      <c r="Q298" s="40"/>
      <c r="R298" s="99"/>
    </row>
    <row r="299" spans="1:18" x14ac:dyDescent="0.25">
      <c r="A299" s="153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71"/>
      <c r="M299" s="40"/>
      <c r="N299" s="40"/>
      <c r="O299" s="40"/>
      <c r="P299" s="40"/>
      <c r="Q299" s="40"/>
      <c r="R299" s="99"/>
    </row>
    <row r="300" spans="1:18" x14ac:dyDescent="0.25">
      <c r="A300" s="153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71"/>
      <c r="M300" s="40"/>
      <c r="N300" s="40"/>
      <c r="O300" s="40"/>
      <c r="P300" s="40"/>
      <c r="Q300" s="40"/>
      <c r="R300" s="99"/>
    </row>
    <row r="301" spans="1:18" x14ac:dyDescent="0.25">
      <c r="A301" s="153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71"/>
      <c r="M301" s="40"/>
      <c r="N301" s="40"/>
      <c r="O301" s="40"/>
      <c r="P301" s="40"/>
      <c r="Q301" s="40"/>
      <c r="R301" s="99"/>
    </row>
    <row r="302" spans="1:18" x14ac:dyDescent="0.25">
      <c r="A302" s="153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71"/>
      <c r="M302" s="40"/>
      <c r="N302" s="40"/>
      <c r="O302" s="40"/>
      <c r="P302" s="40"/>
      <c r="Q302" s="40"/>
      <c r="R302" s="99"/>
    </row>
    <row r="303" spans="1:18" x14ac:dyDescent="0.25">
      <c r="A303" s="153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71"/>
      <c r="M303" s="40"/>
      <c r="N303" s="40"/>
      <c r="O303" s="40"/>
      <c r="P303" s="40"/>
      <c r="Q303" s="40"/>
      <c r="R303" s="99"/>
    </row>
    <row r="304" spans="1:18" x14ac:dyDescent="0.25">
      <c r="A304" s="153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71"/>
      <c r="M304" s="40"/>
      <c r="N304" s="40"/>
      <c r="O304" s="40"/>
      <c r="P304" s="40"/>
      <c r="Q304" s="40"/>
      <c r="R304" s="99"/>
    </row>
    <row r="305" spans="1:18" x14ac:dyDescent="0.25">
      <c r="A305" s="153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71"/>
      <c r="M305" s="40"/>
      <c r="N305" s="40"/>
      <c r="O305" s="40"/>
      <c r="P305" s="40"/>
      <c r="Q305" s="40"/>
      <c r="R305" s="99"/>
    </row>
    <row r="306" spans="1:18" x14ac:dyDescent="0.25">
      <c r="A306" s="153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71"/>
      <c r="M306" s="40"/>
      <c r="N306" s="40"/>
      <c r="O306" s="40"/>
      <c r="P306" s="40"/>
      <c r="Q306" s="40"/>
      <c r="R306" s="99"/>
    </row>
    <row r="307" spans="1:18" x14ac:dyDescent="0.25">
      <c r="A307" s="153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71"/>
      <c r="M307" s="40"/>
      <c r="N307" s="40"/>
      <c r="O307" s="40"/>
      <c r="P307" s="40"/>
      <c r="Q307" s="40"/>
      <c r="R307" s="99"/>
    </row>
    <row r="308" spans="1:18" x14ac:dyDescent="0.25">
      <c r="A308" s="153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71"/>
      <c r="M308" s="40"/>
      <c r="N308" s="40"/>
      <c r="O308" s="40"/>
      <c r="P308" s="40"/>
      <c r="Q308" s="40"/>
      <c r="R308" s="99"/>
    </row>
    <row r="309" spans="1:18" x14ac:dyDescent="0.25">
      <c r="A309" s="153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71"/>
      <c r="M309" s="40"/>
      <c r="N309" s="40"/>
      <c r="O309" s="40"/>
      <c r="P309" s="40"/>
      <c r="Q309" s="40"/>
      <c r="R309" s="99"/>
    </row>
    <row r="310" spans="1:18" x14ac:dyDescent="0.25">
      <c r="A310" s="153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71"/>
      <c r="M310" s="40"/>
      <c r="N310" s="40"/>
      <c r="O310" s="40"/>
      <c r="P310" s="40"/>
      <c r="Q310" s="40"/>
      <c r="R310" s="99"/>
    </row>
    <row r="311" spans="1:18" x14ac:dyDescent="0.25">
      <c r="A311" s="153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71"/>
      <c r="M311" s="40"/>
      <c r="N311" s="40"/>
      <c r="O311" s="40"/>
      <c r="P311" s="40"/>
      <c r="Q311" s="40"/>
      <c r="R311" s="99"/>
    </row>
    <row r="312" spans="1:18" x14ac:dyDescent="0.25">
      <c r="A312" s="153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71"/>
      <c r="M312" s="40"/>
      <c r="N312" s="40"/>
      <c r="O312" s="40"/>
      <c r="P312" s="40"/>
      <c r="Q312" s="40"/>
      <c r="R312" s="99"/>
    </row>
    <row r="313" spans="1:18" x14ac:dyDescent="0.25">
      <c r="A313" s="153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71"/>
      <c r="M313" s="40"/>
      <c r="N313" s="40"/>
      <c r="O313" s="40"/>
      <c r="P313" s="40"/>
      <c r="Q313" s="40"/>
      <c r="R313" s="99"/>
    </row>
    <row r="314" spans="1:18" x14ac:dyDescent="0.25">
      <c r="A314" s="153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71"/>
      <c r="M314" s="40"/>
      <c r="N314" s="40"/>
      <c r="O314" s="40"/>
      <c r="P314" s="40"/>
      <c r="Q314" s="40"/>
      <c r="R314" s="99"/>
    </row>
    <row r="315" spans="1:18" x14ac:dyDescent="0.25">
      <c r="A315" s="153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71"/>
      <c r="M315" s="40"/>
      <c r="N315" s="40"/>
      <c r="O315" s="40"/>
      <c r="P315" s="40"/>
      <c r="Q315" s="40"/>
      <c r="R315" s="99"/>
    </row>
    <row r="316" spans="1:18" x14ac:dyDescent="0.25">
      <c r="A316" s="153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71"/>
      <c r="M316" s="40"/>
      <c r="N316" s="40"/>
      <c r="O316" s="40"/>
      <c r="P316" s="40"/>
      <c r="Q316" s="40"/>
      <c r="R316" s="99"/>
    </row>
    <row r="317" spans="1:18" x14ac:dyDescent="0.25">
      <c r="A317" s="153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71"/>
      <c r="M317" s="40"/>
      <c r="N317" s="40"/>
      <c r="O317" s="40"/>
      <c r="P317" s="40"/>
      <c r="Q317" s="40"/>
      <c r="R317" s="99"/>
    </row>
    <row r="318" spans="1:18" x14ac:dyDescent="0.25">
      <c r="A318" s="153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71"/>
      <c r="M318" s="40"/>
      <c r="N318" s="40"/>
      <c r="O318" s="40"/>
      <c r="P318" s="40"/>
      <c r="Q318" s="40"/>
      <c r="R318" s="99"/>
    </row>
    <row r="319" spans="1:18" x14ac:dyDescent="0.25">
      <c r="A319" s="153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71"/>
      <c r="M319" s="40"/>
      <c r="N319" s="40"/>
      <c r="O319" s="40"/>
      <c r="P319" s="40"/>
      <c r="Q319" s="40"/>
      <c r="R319" s="99"/>
    </row>
    <row r="320" spans="1:18" x14ac:dyDescent="0.25">
      <c r="A320" s="153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71"/>
      <c r="M320" s="40"/>
      <c r="N320" s="40"/>
      <c r="O320" s="40"/>
      <c r="P320" s="40"/>
      <c r="Q320" s="40"/>
      <c r="R320" s="99"/>
    </row>
    <row r="321" spans="1:18" x14ac:dyDescent="0.25">
      <c r="A321" s="153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71"/>
      <c r="M321" s="40"/>
      <c r="N321" s="40"/>
      <c r="O321" s="40"/>
      <c r="P321" s="40"/>
      <c r="Q321" s="40"/>
      <c r="R321" s="99"/>
    </row>
    <row r="322" spans="1:18" x14ac:dyDescent="0.25">
      <c r="A322" s="153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71"/>
      <c r="M322" s="40"/>
      <c r="N322" s="40"/>
      <c r="O322" s="40"/>
      <c r="P322" s="40"/>
      <c r="Q322" s="40"/>
      <c r="R322" s="99"/>
    </row>
    <row r="323" spans="1:18" x14ac:dyDescent="0.25">
      <c r="A323" s="153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71"/>
      <c r="M323" s="40"/>
      <c r="N323" s="40"/>
      <c r="O323" s="40"/>
      <c r="P323" s="40"/>
      <c r="Q323" s="40"/>
      <c r="R323" s="99"/>
    </row>
    <row r="324" spans="1:18" x14ac:dyDescent="0.25">
      <c r="A324" s="153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71"/>
      <c r="M324" s="40"/>
      <c r="N324" s="40"/>
      <c r="O324" s="40"/>
      <c r="P324" s="40"/>
      <c r="Q324" s="40"/>
      <c r="R324" s="99"/>
    </row>
    <row r="325" spans="1:18" x14ac:dyDescent="0.25">
      <c r="A325" s="153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71"/>
      <c r="M325" s="40"/>
      <c r="N325" s="40"/>
      <c r="O325" s="40"/>
      <c r="P325" s="40"/>
      <c r="Q325" s="40"/>
      <c r="R325" s="99"/>
    </row>
    <row r="326" spans="1:18" x14ac:dyDescent="0.25">
      <c r="A326" s="153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71"/>
      <c r="M326" s="40"/>
      <c r="N326" s="40"/>
      <c r="O326" s="40"/>
      <c r="P326" s="40"/>
      <c r="Q326" s="40"/>
      <c r="R326" s="99"/>
    </row>
    <row r="327" spans="1:18" x14ac:dyDescent="0.25">
      <c r="A327" s="153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71"/>
      <c r="M327" s="40"/>
      <c r="N327" s="40"/>
      <c r="O327" s="40"/>
      <c r="P327" s="40"/>
      <c r="Q327" s="40"/>
      <c r="R327" s="99"/>
    </row>
    <row r="328" spans="1:18" x14ac:dyDescent="0.25">
      <c r="A328" s="153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71"/>
      <c r="M328" s="40"/>
      <c r="N328" s="40"/>
      <c r="O328" s="40"/>
      <c r="P328" s="40"/>
      <c r="Q328" s="40"/>
      <c r="R328" s="99"/>
    </row>
    <row r="329" spans="1:18" x14ac:dyDescent="0.25">
      <c r="A329" s="153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71"/>
      <c r="M329" s="40"/>
      <c r="N329" s="40"/>
      <c r="O329" s="40"/>
      <c r="P329" s="40"/>
      <c r="Q329" s="40"/>
      <c r="R329" s="99"/>
    </row>
    <row r="330" spans="1:18" x14ac:dyDescent="0.25">
      <c r="A330" s="153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71"/>
      <c r="M330" s="40"/>
      <c r="N330" s="40"/>
      <c r="O330" s="40"/>
      <c r="P330" s="40"/>
      <c r="Q330" s="40"/>
      <c r="R330" s="99"/>
    </row>
    <row r="331" spans="1:18" x14ac:dyDescent="0.25">
      <c r="A331" s="153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71"/>
      <c r="M331" s="40"/>
      <c r="N331" s="40"/>
      <c r="O331" s="40"/>
      <c r="P331" s="40"/>
      <c r="Q331" s="40"/>
      <c r="R331" s="99"/>
    </row>
    <row r="332" spans="1:18" x14ac:dyDescent="0.25">
      <c r="A332" s="153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71"/>
      <c r="M332" s="40"/>
      <c r="N332" s="40"/>
      <c r="O332" s="40"/>
      <c r="P332" s="40"/>
      <c r="Q332" s="40"/>
      <c r="R332" s="99"/>
    </row>
    <row r="333" spans="1:18" x14ac:dyDescent="0.25">
      <c r="A333" s="153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71"/>
      <c r="M333" s="40"/>
      <c r="N333" s="40"/>
      <c r="O333" s="40"/>
      <c r="P333" s="40"/>
      <c r="Q333" s="40"/>
      <c r="R333" s="99"/>
    </row>
    <row r="334" spans="1:18" x14ac:dyDescent="0.25">
      <c r="A334" s="153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71"/>
      <c r="M334" s="40"/>
      <c r="N334" s="40"/>
      <c r="O334" s="40"/>
      <c r="P334" s="40"/>
      <c r="Q334" s="40"/>
      <c r="R334" s="99"/>
    </row>
    <row r="335" spans="1:18" x14ac:dyDescent="0.25">
      <c r="A335" s="153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71"/>
      <c r="M335" s="40"/>
      <c r="N335" s="40"/>
      <c r="O335" s="40"/>
      <c r="P335" s="40"/>
      <c r="Q335" s="40"/>
      <c r="R335" s="99"/>
    </row>
    <row r="336" spans="1:18" x14ac:dyDescent="0.25">
      <c r="A336" s="153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71"/>
      <c r="M336" s="40"/>
      <c r="N336" s="40"/>
      <c r="O336" s="40"/>
      <c r="P336" s="40"/>
      <c r="Q336" s="40"/>
      <c r="R336" s="99"/>
    </row>
    <row r="337" spans="1:18" x14ac:dyDescent="0.25">
      <c r="A337" s="153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71"/>
      <c r="M337" s="40"/>
      <c r="N337" s="40"/>
      <c r="O337" s="40"/>
      <c r="P337" s="40"/>
      <c r="Q337" s="40"/>
      <c r="R337" s="99"/>
    </row>
    <row r="338" spans="1:18" x14ac:dyDescent="0.25">
      <c r="A338" s="153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71"/>
      <c r="M338" s="40"/>
      <c r="N338" s="40"/>
      <c r="O338" s="40"/>
      <c r="P338" s="40"/>
      <c r="Q338" s="40"/>
      <c r="R338" s="99"/>
    </row>
    <row r="339" spans="1:18" x14ac:dyDescent="0.25">
      <c r="A339" s="153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71"/>
      <c r="M339" s="40"/>
      <c r="N339" s="40"/>
      <c r="O339" s="40"/>
      <c r="P339" s="40"/>
      <c r="Q339" s="40"/>
      <c r="R339" s="99"/>
    </row>
    <row r="340" spans="1:18" x14ac:dyDescent="0.25">
      <c r="A340" s="153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71"/>
      <c r="M340" s="40"/>
      <c r="N340" s="40"/>
      <c r="O340" s="40"/>
      <c r="P340" s="40"/>
      <c r="Q340" s="40"/>
      <c r="R340" s="99"/>
    </row>
    <row r="341" spans="1:18" x14ac:dyDescent="0.25">
      <c r="A341" s="153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71"/>
      <c r="M341" s="40"/>
      <c r="N341" s="40"/>
      <c r="O341" s="40"/>
      <c r="P341" s="40"/>
      <c r="Q341" s="40"/>
      <c r="R341" s="99"/>
    </row>
    <row r="342" spans="1:18" x14ac:dyDescent="0.25">
      <c r="A342" s="153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71"/>
      <c r="M342" s="40"/>
      <c r="N342" s="40"/>
      <c r="O342" s="40"/>
      <c r="P342" s="40"/>
      <c r="Q342" s="40"/>
      <c r="R342" s="99"/>
    </row>
    <row r="343" spans="1:18" x14ac:dyDescent="0.25">
      <c r="A343" s="153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71"/>
      <c r="M343" s="40"/>
      <c r="N343" s="40"/>
      <c r="O343" s="40"/>
      <c r="P343" s="40"/>
      <c r="Q343" s="40"/>
      <c r="R343" s="99"/>
    </row>
    <row r="344" spans="1:18" x14ac:dyDescent="0.25">
      <c r="A344" s="153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71"/>
      <c r="M344" s="40"/>
      <c r="N344" s="40"/>
      <c r="O344" s="40"/>
      <c r="P344" s="40"/>
      <c r="Q344" s="40"/>
      <c r="R344" s="99"/>
    </row>
    <row r="345" spans="1:18" x14ac:dyDescent="0.25">
      <c r="A345" s="153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71"/>
      <c r="M345" s="40"/>
      <c r="N345" s="40"/>
      <c r="O345" s="40"/>
      <c r="P345" s="40"/>
      <c r="Q345" s="40"/>
      <c r="R345" s="99"/>
    </row>
    <row r="346" spans="1:18" x14ac:dyDescent="0.25">
      <c r="A346" s="153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71"/>
      <c r="M346" s="40"/>
      <c r="N346" s="40"/>
      <c r="O346" s="40"/>
      <c r="P346" s="40"/>
      <c r="Q346" s="40"/>
      <c r="R346" s="99"/>
    </row>
    <row r="347" spans="1:18" x14ac:dyDescent="0.25">
      <c r="A347" s="153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71"/>
      <c r="M347" s="40"/>
      <c r="N347" s="40"/>
      <c r="O347" s="40"/>
      <c r="P347" s="40"/>
      <c r="Q347" s="40"/>
      <c r="R347" s="99"/>
    </row>
    <row r="348" spans="1:18" x14ac:dyDescent="0.25">
      <c r="A348" s="153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71"/>
      <c r="M348" s="40"/>
      <c r="N348" s="40"/>
      <c r="O348" s="40"/>
      <c r="P348" s="40"/>
      <c r="Q348" s="40"/>
      <c r="R348" s="99"/>
    </row>
    <row r="349" spans="1:18" x14ac:dyDescent="0.25">
      <c r="A349" s="153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71"/>
      <c r="M349" s="40"/>
      <c r="N349" s="40"/>
      <c r="O349" s="40"/>
      <c r="P349" s="40"/>
      <c r="Q349" s="40"/>
      <c r="R349" s="99"/>
    </row>
    <row r="350" spans="1:18" x14ac:dyDescent="0.25">
      <c r="A350" s="153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71"/>
      <c r="M350" s="40"/>
      <c r="N350" s="40"/>
      <c r="O350" s="40"/>
      <c r="P350" s="40"/>
      <c r="Q350" s="40"/>
      <c r="R350" s="99"/>
    </row>
    <row r="351" spans="1:18" x14ac:dyDescent="0.25">
      <c r="A351" s="153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71"/>
      <c r="M351" s="40"/>
      <c r="N351" s="40"/>
      <c r="O351" s="40"/>
      <c r="P351" s="40"/>
      <c r="Q351" s="40"/>
      <c r="R351" s="99"/>
    </row>
    <row r="352" spans="1:18" x14ac:dyDescent="0.25">
      <c r="A352" s="153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71"/>
      <c r="M352" s="40"/>
      <c r="N352" s="40"/>
      <c r="O352" s="40"/>
      <c r="P352" s="40"/>
      <c r="Q352" s="40"/>
      <c r="R352" s="99"/>
    </row>
    <row r="353" spans="1:18" x14ac:dyDescent="0.25">
      <c r="A353" s="153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71"/>
      <c r="M353" s="40"/>
      <c r="N353" s="40"/>
      <c r="O353" s="40"/>
      <c r="P353" s="40"/>
      <c r="Q353" s="40"/>
      <c r="R353" s="99"/>
    </row>
    <row r="354" spans="1:18" x14ac:dyDescent="0.25">
      <c r="A354" s="153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71"/>
      <c r="M354" s="40"/>
      <c r="N354" s="40"/>
      <c r="O354" s="40"/>
      <c r="P354" s="40"/>
      <c r="Q354" s="40"/>
      <c r="R354" s="99"/>
    </row>
    <row r="355" spans="1:18" x14ac:dyDescent="0.25">
      <c r="A355" s="153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71"/>
      <c r="M355" s="40"/>
      <c r="N355" s="40"/>
      <c r="O355" s="40"/>
      <c r="P355" s="40"/>
      <c r="Q355" s="40"/>
      <c r="R355" s="99"/>
    </row>
    <row r="356" spans="1:18" x14ac:dyDescent="0.25">
      <c r="A356" s="153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71"/>
      <c r="M356" s="40"/>
      <c r="N356" s="40"/>
      <c r="O356" s="40"/>
      <c r="P356" s="40"/>
      <c r="Q356" s="40"/>
      <c r="R356" s="99"/>
    </row>
    <row r="357" spans="1:18" x14ac:dyDescent="0.25">
      <c r="A357" s="153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71"/>
      <c r="M357" s="40"/>
      <c r="N357" s="40"/>
      <c r="O357" s="40"/>
      <c r="P357" s="40"/>
      <c r="Q357" s="40"/>
      <c r="R357" s="99"/>
    </row>
    <row r="358" spans="1:18" x14ac:dyDescent="0.25">
      <c r="A358" s="153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71"/>
      <c r="M358" s="40"/>
      <c r="N358" s="40"/>
      <c r="O358" s="40"/>
      <c r="P358" s="40"/>
      <c r="Q358" s="40"/>
      <c r="R358" s="99"/>
    </row>
    <row r="359" spans="1:18" x14ac:dyDescent="0.25">
      <c r="A359" s="153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71"/>
      <c r="M359" s="40"/>
      <c r="N359" s="40"/>
      <c r="O359" s="40"/>
      <c r="P359" s="40"/>
      <c r="Q359" s="40"/>
      <c r="R359" s="99"/>
    </row>
    <row r="360" spans="1:18" x14ac:dyDescent="0.25">
      <c r="A360" s="153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71"/>
      <c r="M360" s="40"/>
      <c r="N360" s="40"/>
      <c r="O360" s="40"/>
      <c r="P360" s="40"/>
      <c r="Q360" s="40"/>
      <c r="R360" s="99"/>
    </row>
    <row r="361" spans="1:18" x14ac:dyDescent="0.25">
      <c r="A361" s="153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71"/>
      <c r="M361" s="40"/>
      <c r="N361" s="40"/>
      <c r="O361" s="40"/>
      <c r="P361" s="40"/>
      <c r="Q361" s="40"/>
      <c r="R361" s="99"/>
    </row>
    <row r="362" spans="1:18" x14ac:dyDescent="0.25">
      <c r="A362" s="153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71"/>
      <c r="M362" s="40"/>
      <c r="N362" s="40"/>
      <c r="O362" s="40"/>
      <c r="P362" s="40"/>
      <c r="Q362" s="40"/>
      <c r="R362" s="99"/>
    </row>
    <row r="363" spans="1:18" x14ac:dyDescent="0.25">
      <c r="A363" s="153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71"/>
      <c r="M363" s="40"/>
      <c r="N363" s="40"/>
      <c r="O363" s="40"/>
      <c r="P363" s="40"/>
      <c r="Q363" s="40"/>
      <c r="R363" s="99"/>
    </row>
    <row r="364" spans="1:18" x14ac:dyDescent="0.25">
      <c r="A364" s="153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71"/>
      <c r="M364" s="40"/>
      <c r="N364" s="40"/>
      <c r="O364" s="40"/>
      <c r="P364" s="40"/>
      <c r="Q364" s="40"/>
      <c r="R364" s="99"/>
    </row>
    <row r="365" spans="1:18" x14ac:dyDescent="0.25">
      <c r="A365" s="153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71"/>
      <c r="M365" s="40"/>
      <c r="N365" s="40"/>
      <c r="O365" s="40"/>
      <c r="P365" s="40"/>
      <c r="Q365" s="40"/>
      <c r="R365" s="99"/>
    </row>
    <row r="366" spans="1:18" x14ac:dyDescent="0.25">
      <c r="A366" s="153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71"/>
      <c r="M366" s="40"/>
      <c r="N366" s="40"/>
      <c r="O366" s="40"/>
      <c r="P366" s="40"/>
      <c r="Q366" s="40"/>
      <c r="R366" s="99"/>
    </row>
    <row r="367" spans="1:18" x14ac:dyDescent="0.25">
      <c r="A367" s="153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71"/>
      <c r="M367" s="40"/>
      <c r="N367" s="40"/>
      <c r="O367" s="40"/>
      <c r="P367" s="40"/>
      <c r="Q367" s="40"/>
      <c r="R367" s="99"/>
    </row>
    <row r="368" spans="1:18" x14ac:dyDescent="0.25">
      <c r="A368" s="153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71"/>
      <c r="M368" s="40"/>
      <c r="N368" s="40"/>
      <c r="O368" s="40"/>
      <c r="P368" s="40"/>
      <c r="Q368" s="40"/>
      <c r="R368" s="99"/>
    </row>
    <row r="369" spans="1:18" x14ac:dyDescent="0.25">
      <c r="A369" s="153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71"/>
      <c r="M369" s="40"/>
      <c r="N369" s="40"/>
      <c r="O369" s="40"/>
      <c r="P369" s="40"/>
      <c r="Q369" s="40"/>
      <c r="R369" s="99"/>
    </row>
    <row r="370" spans="1:18" x14ac:dyDescent="0.25">
      <c r="A370" s="153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71"/>
      <c r="M370" s="40"/>
      <c r="N370" s="40"/>
      <c r="O370" s="40"/>
      <c r="P370" s="40"/>
      <c r="Q370" s="40"/>
      <c r="R370" s="99"/>
    </row>
    <row r="371" spans="1:18" x14ac:dyDescent="0.25">
      <c r="A371" s="153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71"/>
      <c r="M371" s="40"/>
      <c r="N371" s="40"/>
      <c r="O371" s="40"/>
      <c r="P371" s="40"/>
      <c r="Q371" s="40"/>
      <c r="R371" s="99"/>
    </row>
    <row r="372" spans="1:18" x14ac:dyDescent="0.25">
      <c r="A372" s="153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71"/>
      <c r="M372" s="40"/>
      <c r="N372" s="40"/>
      <c r="O372" s="40"/>
      <c r="P372" s="40"/>
      <c r="Q372" s="40"/>
      <c r="R372" s="99"/>
    </row>
    <row r="373" spans="1:18" x14ac:dyDescent="0.25">
      <c r="A373" s="153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71"/>
      <c r="M373" s="40"/>
      <c r="N373" s="40"/>
      <c r="O373" s="40"/>
      <c r="P373" s="40"/>
      <c r="Q373" s="40"/>
      <c r="R373" s="99"/>
    </row>
    <row r="374" spans="1:18" x14ac:dyDescent="0.25">
      <c r="A374" s="153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71"/>
      <c r="M374" s="40"/>
      <c r="N374" s="40"/>
      <c r="O374" s="40"/>
      <c r="P374" s="40"/>
      <c r="Q374" s="40"/>
      <c r="R374" s="99"/>
    </row>
    <row r="375" spans="1:18" x14ac:dyDescent="0.25">
      <c r="A375" s="153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71"/>
      <c r="M375" s="40"/>
      <c r="N375" s="40"/>
      <c r="O375" s="40"/>
      <c r="P375" s="40"/>
      <c r="Q375" s="40"/>
      <c r="R375" s="99"/>
    </row>
    <row r="376" spans="1:18" x14ac:dyDescent="0.25">
      <c r="A376" s="153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71"/>
      <c r="M376" s="40"/>
      <c r="N376" s="40"/>
      <c r="O376" s="40"/>
      <c r="P376" s="40"/>
      <c r="Q376" s="40"/>
      <c r="R376" s="99"/>
    </row>
    <row r="377" spans="1:18" x14ac:dyDescent="0.25">
      <c r="A377" s="153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71"/>
      <c r="M377" s="40"/>
      <c r="N377" s="40"/>
      <c r="O377" s="40"/>
      <c r="P377" s="40"/>
      <c r="Q377" s="40"/>
      <c r="R377" s="99"/>
    </row>
    <row r="378" spans="1:18" x14ac:dyDescent="0.25">
      <c r="A378" s="153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71"/>
      <c r="M378" s="40"/>
      <c r="N378" s="40"/>
      <c r="O378" s="40"/>
      <c r="P378" s="40"/>
      <c r="Q378" s="40"/>
      <c r="R378" s="99"/>
    </row>
    <row r="379" spans="1:18" x14ac:dyDescent="0.25">
      <c r="A379" s="153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71"/>
      <c r="M379" s="40"/>
      <c r="N379" s="40"/>
      <c r="O379" s="40"/>
      <c r="P379" s="40"/>
      <c r="Q379" s="40"/>
      <c r="R379" s="99"/>
    </row>
    <row r="380" spans="1:18" x14ac:dyDescent="0.25">
      <c r="A380" s="153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71"/>
      <c r="M380" s="40"/>
      <c r="N380" s="40"/>
      <c r="O380" s="40"/>
      <c r="P380" s="40"/>
      <c r="Q380" s="40"/>
      <c r="R380" s="99"/>
    </row>
    <row r="381" spans="1:18" x14ac:dyDescent="0.25">
      <c r="A381" s="153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71"/>
      <c r="M381" s="40"/>
      <c r="N381" s="40"/>
      <c r="O381" s="40"/>
      <c r="P381" s="40"/>
      <c r="Q381" s="40"/>
      <c r="R381" s="99"/>
    </row>
    <row r="382" spans="1:18" x14ac:dyDescent="0.25">
      <c r="A382" s="153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71"/>
      <c r="M382" s="40"/>
      <c r="N382" s="40"/>
      <c r="O382" s="40"/>
      <c r="P382" s="40"/>
      <c r="Q382" s="40"/>
      <c r="R382" s="99"/>
    </row>
    <row r="383" spans="1:18" x14ac:dyDescent="0.25">
      <c r="A383" s="153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71"/>
      <c r="M383" s="40"/>
      <c r="N383" s="40"/>
      <c r="O383" s="40"/>
      <c r="P383" s="40"/>
      <c r="Q383" s="40"/>
      <c r="R383" s="99"/>
    </row>
    <row r="384" spans="1:18" x14ac:dyDescent="0.25">
      <c r="A384" s="153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71"/>
      <c r="M384" s="40"/>
      <c r="N384" s="40"/>
      <c r="O384" s="40"/>
      <c r="P384" s="40"/>
      <c r="Q384" s="40"/>
      <c r="R384" s="99"/>
    </row>
    <row r="385" spans="1:18" x14ac:dyDescent="0.25">
      <c r="A385" s="153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71"/>
      <c r="M385" s="40"/>
      <c r="N385" s="40"/>
      <c r="O385" s="40"/>
      <c r="P385" s="40"/>
      <c r="Q385" s="40"/>
      <c r="R385" s="99"/>
    </row>
    <row r="386" spans="1:18" x14ac:dyDescent="0.25">
      <c r="A386" s="153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71"/>
      <c r="M386" s="40"/>
      <c r="N386" s="40"/>
      <c r="O386" s="40"/>
      <c r="P386" s="40"/>
      <c r="Q386" s="40"/>
      <c r="R386" s="99"/>
    </row>
    <row r="387" spans="1:18" x14ac:dyDescent="0.25">
      <c r="A387" s="153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71"/>
      <c r="M387" s="40"/>
      <c r="N387" s="40"/>
      <c r="O387" s="40"/>
      <c r="P387" s="40"/>
      <c r="Q387" s="40"/>
      <c r="R387" s="99"/>
    </row>
    <row r="388" spans="1:18" x14ac:dyDescent="0.25">
      <c r="A388" s="153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71"/>
      <c r="M388" s="40"/>
      <c r="N388" s="40"/>
      <c r="O388" s="40"/>
      <c r="P388" s="40"/>
      <c r="Q388" s="40"/>
      <c r="R388" s="99"/>
    </row>
    <row r="389" spans="1:18" x14ac:dyDescent="0.25">
      <c r="A389" s="153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71"/>
      <c r="M389" s="40"/>
      <c r="N389" s="40"/>
      <c r="O389" s="40"/>
      <c r="P389" s="40"/>
      <c r="Q389" s="40"/>
      <c r="R389" s="99"/>
    </row>
    <row r="390" spans="1:18" x14ac:dyDescent="0.25">
      <c r="A390" s="153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71"/>
      <c r="M390" s="40"/>
      <c r="N390" s="40"/>
      <c r="O390" s="40"/>
      <c r="P390" s="40"/>
      <c r="Q390" s="40"/>
      <c r="R390" s="99"/>
    </row>
    <row r="391" spans="1:18" x14ac:dyDescent="0.25">
      <c r="A391" s="153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71"/>
      <c r="M391" s="40"/>
      <c r="N391" s="40"/>
      <c r="O391" s="40"/>
      <c r="P391" s="40"/>
      <c r="Q391" s="40"/>
      <c r="R391" s="99"/>
    </row>
    <row r="392" spans="1:18" x14ac:dyDescent="0.25">
      <c r="A392" s="153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71"/>
      <c r="M392" s="40"/>
      <c r="N392" s="40"/>
      <c r="O392" s="40"/>
      <c r="P392" s="40"/>
      <c r="Q392" s="40"/>
      <c r="R392" s="99"/>
    </row>
    <row r="393" spans="1:18" x14ac:dyDescent="0.25">
      <c r="A393" s="153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71"/>
      <c r="M393" s="40"/>
      <c r="N393" s="40"/>
      <c r="O393" s="40"/>
      <c r="P393" s="40"/>
      <c r="Q393" s="40"/>
      <c r="R393" s="99"/>
    </row>
    <row r="394" spans="1:18" x14ac:dyDescent="0.25">
      <c r="A394" s="153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71"/>
      <c r="M394" s="40"/>
      <c r="N394" s="40"/>
      <c r="O394" s="40"/>
      <c r="P394" s="40"/>
      <c r="Q394" s="40"/>
      <c r="R394" s="99"/>
    </row>
    <row r="395" spans="1:18" x14ac:dyDescent="0.25">
      <c r="A395" s="153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71"/>
      <c r="M395" s="40"/>
      <c r="N395" s="40"/>
      <c r="O395" s="40"/>
      <c r="P395" s="40"/>
      <c r="Q395" s="40"/>
      <c r="R395" s="99"/>
    </row>
    <row r="396" spans="1:18" x14ac:dyDescent="0.25">
      <c r="A396" s="153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71"/>
      <c r="M396" s="40"/>
      <c r="N396" s="40"/>
      <c r="O396" s="40"/>
      <c r="P396" s="40"/>
      <c r="Q396" s="40"/>
      <c r="R396" s="99"/>
    </row>
    <row r="397" spans="1:18" x14ac:dyDescent="0.25">
      <c r="A397" s="153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71"/>
      <c r="M397" s="40"/>
      <c r="N397" s="40"/>
      <c r="O397" s="40"/>
      <c r="P397" s="40"/>
      <c r="Q397" s="40"/>
      <c r="R397" s="99"/>
    </row>
    <row r="398" spans="1:18" x14ac:dyDescent="0.25">
      <c r="A398" s="153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71"/>
      <c r="M398" s="40"/>
      <c r="N398" s="40"/>
      <c r="O398" s="40"/>
      <c r="P398" s="40"/>
      <c r="Q398" s="40"/>
      <c r="R398" s="99"/>
    </row>
    <row r="399" spans="1:18" x14ac:dyDescent="0.25">
      <c r="A399" s="153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71"/>
      <c r="M399" s="40"/>
      <c r="N399" s="40"/>
      <c r="O399" s="40"/>
      <c r="P399" s="40"/>
      <c r="Q399" s="40"/>
      <c r="R399" s="99"/>
    </row>
    <row r="400" spans="1:18" x14ac:dyDescent="0.25">
      <c r="A400" s="153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71"/>
      <c r="M400" s="40"/>
      <c r="N400" s="40"/>
      <c r="O400" s="40"/>
      <c r="P400" s="40"/>
      <c r="Q400" s="40"/>
      <c r="R400" s="99"/>
    </row>
    <row r="401" spans="1:18" x14ac:dyDescent="0.25">
      <c r="A401" s="153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71"/>
      <c r="M401" s="40"/>
      <c r="N401" s="40"/>
      <c r="O401" s="40"/>
      <c r="P401" s="40"/>
      <c r="Q401" s="40"/>
      <c r="R401" s="99"/>
    </row>
    <row r="402" spans="1:18" x14ac:dyDescent="0.25">
      <c r="A402" s="153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71"/>
      <c r="M402" s="40"/>
      <c r="N402" s="40"/>
      <c r="O402" s="40"/>
      <c r="P402" s="40"/>
      <c r="Q402" s="40"/>
      <c r="R402" s="99"/>
    </row>
    <row r="403" spans="1:18" x14ac:dyDescent="0.25">
      <c r="A403" s="153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71"/>
      <c r="M403" s="40"/>
      <c r="N403" s="40"/>
      <c r="O403" s="40"/>
      <c r="P403" s="40"/>
      <c r="Q403" s="40"/>
      <c r="R403" s="99"/>
    </row>
    <row r="404" spans="1:18" x14ac:dyDescent="0.25">
      <c r="A404" s="153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71"/>
      <c r="M404" s="40"/>
      <c r="N404" s="40"/>
      <c r="O404" s="40"/>
      <c r="P404" s="40"/>
      <c r="Q404" s="40"/>
      <c r="R404" s="99"/>
    </row>
    <row r="405" spans="1:18" x14ac:dyDescent="0.25">
      <c r="A405" s="153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71"/>
      <c r="M405" s="40"/>
      <c r="N405" s="40"/>
      <c r="O405" s="40"/>
      <c r="P405" s="40"/>
      <c r="Q405" s="40"/>
      <c r="R405" s="99"/>
    </row>
    <row r="406" spans="1:18" x14ac:dyDescent="0.25">
      <c r="A406" s="153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71"/>
      <c r="M406" s="40"/>
      <c r="N406" s="40"/>
      <c r="O406" s="40"/>
      <c r="P406" s="40"/>
      <c r="Q406" s="40"/>
      <c r="R406" s="99"/>
    </row>
    <row r="407" spans="1:18" x14ac:dyDescent="0.25">
      <c r="A407" s="153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71"/>
      <c r="M407" s="40"/>
      <c r="N407" s="40"/>
      <c r="O407" s="40"/>
      <c r="P407" s="40"/>
      <c r="Q407" s="40"/>
      <c r="R407" s="99"/>
    </row>
    <row r="408" spans="1:18" x14ac:dyDescent="0.25">
      <c r="A408" s="153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71"/>
      <c r="M408" s="40"/>
      <c r="N408" s="40"/>
      <c r="O408" s="40"/>
      <c r="P408" s="40"/>
      <c r="Q408" s="40"/>
      <c r="R408" s="99"/>
    </row>
    <row r="409" spans="1:18" x14ac:dyDescent="0.25">
      <c r="A409" s="153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71"/>
      <c r="M409" s="40"/>
      <c r="N409" s="40"/>
      <c r="O409" s="40"/>
      <c r="P409" s="40"/>
      <c r="Q409" s="40"/>
      <c r="R409" s="99"/>
    </row>
    <row r="410" spans="1:18" x14ac:dyDescent="0.25">
      <c r="A410" s="153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71"/>
      <c r="M410" s="40"/>
      <c r="N410" s="40"/>
      <c r="O410" s="40"/>
      <c r="P410" s="40"/>
      <c r="Q410" s="40"/>
      <c r="R410" s="99"/>
    </row>
    <row r="411" spans="1:18" x14ac:dyDescent="0.25">
      <c r="A411" s="153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71"/>
      <c r="M411" s="40"/>
      <c r="N411" s="40"/>
      <c r="O411" s="40"/>
      <c r="P411" s="40"/>
      <c r="Q411" s="40"/>
      <c r="R411" s="99"/>
    </row>
    <row r="412" spans="1:18" x14ac:dyDescent="0.25">
      <c r="A412" s="153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71"/>
      <c r="M412" s="40"/>
      <c r="N412" s="40"/>
      <c r="O412" s="40"/>
      <c r="P412" s="40"/>
      <c r="Q412" s="40"/>
      <c r="R412" s="99"/>
    </row>
    <row r="413" spans="1:18" x14ac:dyDescent="0.25">
      <c r="A413" s="153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71"/>
      <c r="M413" s="40"/>
      <c r="N413" s="40"/>
      <c r="O413" s="40"/>
      <c r="P413" s="40"/>
      <c r="Q413" s="40"/>
      <c r="R413" s="99"/>
    </row>
    <row r="414" spans="1:18" x14ac:dyDescent="0.25">
      <c r="A414" s="153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71"/>
      <c r="M414" s="40"/>
      <c r="N414" s="40"/>
      <c r="O414" s="40"/>
      <c r="P414" s="40"/>
      <c r="Q414" s="40"/>
      <c r="R414" s="99"/>
    </row>
    <row r="415" spans="1:18" x14ac:dyDescent="0.25">
      <c r="A415" s="153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71"/>
      <c r="M415" s="40"/>
      <c r="N415" s="40"/>
      <c r="O415" s="40"/>
      <c r="P415" s="40"/>
      <c r="Q415" s="40"/>
      <c r="R415" s="99"/>
    </row>
    <row r="416" spans="1:18" x14ac:dyDescent="0.25">
      <c r="A416" s="153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71"/>
      <c r="M416" s="40"/>
      <c r="N416" s="40"/>
      <c r="O416" s="40"/>
      <c r="P416" s="40"/>
      <c r="Q416" s="40"/>
      <c r="R416" s="99"/>
    </row>
    <row r="417" spans="1:18" x14ac:dyDescent="0.25">
      <c r="A417" s="153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71"/>
      <c r="M417" s="40"/>
      <c r="N417" s="40"/>
      <c r="O417" s="40"/>
      <c r="P417" s="40"/>
      <c r="Q417" s="40"/>
      <c r="R417" s="99"/>
    </row>
    <row r="418" spans="1:18" x14ac:dyDescent="0.25">
      <c r="A418" s="153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71"/>
      <c r="M418" s="40"/>
      <c r="N418" s="40"/>
      <c r="O418" s="40"/>
      <c r="P418" s="40"/>
      <c r="Q418" s="40"/>
      <c r="R418" s="99"/>
    </row>
    <row r="419" spans="1:18" x14ac:dyDescent="0.25">
      <c r="A419" s="153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71"/>
      <c r="M419" s="40"/>
      <c r="N419" s="40"/>
      <c r="O419" s="40"/>
      <c r="P419" s="40"/>
      <c r="Q419" s="40"/>
      <c r="R419" s="99"/>
    </row>
    <row r="420" spans="1:18" x14ac:dyDescent="0.25">
      <c r="A420" s="153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71"/>
      <c r="M420" s="40"/>
      <c r="N420" s="40"/>
      <c r="O420" s="40"/>
      <c r="P420" s="40"/>
      <c r="Q420" s="40"/>
      <c r="R420" s="99"/>
    </row>
    <row r="421" spans="1:18" x14ac:dyDescent="0.25">
      <c r="A421" s="153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71"/>
      <c r="M421" s="40"/>
      <c r="N421" s="40"/>
      <c r="O421" s="40"/>
      <c r="P421" s="40"/>
      <c r="Q421" s="40"/>
      <c r="R421" s="99"/>
    </row>
    <row r="422" spans="1:18" x14ac:dyDescent="0.25">
      <c r="A422" s="153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71"/>
      <c r="M422" s="40"/>
      <c r="N422" s="40"/>
      <c r="O422" s="40"/>
      <c r="P422" s="40"/>
      <c r="Q422" s="40"/>
      <c r="R422" s="99"/>
    </row>
    <row r="423" spans="1:18" x14ac:dyDescent="0.25">
      <c r="A423" s="153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71"/>
      <c r="M423" s="40"/>
      <c r="N423" s="40"/>
      <c r="O423" s="40"/>
      <c r="P423" s="40"/>
      <c r="Q423" s="40"/>
      <c r="R423" s="99"/>
    </row>
    <row r="424" spans="1:18" x14ac:dyDescent="0.25">
      <c r="A424" s="153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71"/>
      <c r="M424" s="40"/>
      <c r="N424" s="40"/>
      <c r="O424" s="40"/>
      <c r="P424" s="40"/>
      <c r="Q424" s="40"/>
      <c r="R424" s="99"/>
    </row>
    <row r="425" spans="1:18" x14ac:dyDescent="0.25">
      <c r="A425" s="153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71"/>
      <c r="M425" s="40"/>
      <c r="N425" s="40"/>
      <c r="O425" s="40"/>
      <c r="P425" s="40"/>
      <c r="Q425" s="40"/>
      <c r="R425" s="99"/>
    </row>
    <row r="426" spans="1:18" x14ac:dyDescent="0.25">
      <c r="A426" s="153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71"/>
      <c r="M426" s="40"/>
      <c r="N426" s="40"/>
      <c r="O426" s="40"/>
      <c r="P426" s="40"/>
      <c r="Q426" s="40"/>
      <c r="R426" s="99"/>
    </row>
    <row r="427" spans="1:18" x14ac:dyDescent="0.25">
      <c r="A427" s="153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71"/>
      <c r="M427" s="40"/>
      <c r="N427" s="40"/>
      <c r="O427" s="40"/>
      <c r="P427" s="40"/>
      <c r="Q427" s="40"/>
      <c r="R427" s="99"/>
    </row>
    <row r="428" spans="1:18" x14ac:dyDescent="0.25">
      <c r="A428" s="153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71"/>
      <c r="M428" s="40"/>
      <c r="N428" s="40"/>
      <c r="O428" s="40"/>
      <c r="P428" s="40"/>
      <c r="Q428" s="40"/>
      <c r="R428" s="99"/>
    </row>
    <row r="429" spans="1:18" x14ac:dyDescent="0.25">
      <c r="A429" s="153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71"/>
      <c r="M429" s="40"/>
      <c r="N429" s="40"/>
      <c r="O429" s="40"/>
      <c r="P429" s="40"/>
      <c r="Q429" s="40"/>
      <c r="R429" s="99"/>
    </row>
    <row r="430" spans="1:18" x14ac:dyDescent="0.25">
      <c r="A430" s="153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71"/>
      <c r="M430" s="40"/>
      <c r="N430" s="40"/>
      <c r="O430" s="40"/>
      <c r="P430" s="40"/>
      <c r="Q430" s="40"/>
      <c r="R430" s="99"/>
    </row>
    <row r="431" spans="1:18" x14ac:dyDescent="0.25">
      <c r="A431" s="153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71"/>
      <c r="M431" s="40"/>
      <c r="N431" s="40"/>
      <c r="O431" s="40"/>
      <c r="P431" s="40"/>
      <c r="Q431" s="40"/>
      <c r="R431" s="99"/>
    </row>
    <row r="432" spans="1:18" x14ac:dyDescent="0.25">
      <c r="A432" s="153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71"/>
      <c r="M432" s="40"/>
      <c r="N432" s="40"/>
      <c r="O432" s="40"/>
      <c r="P432" s="40"/>
      <c r="Q432" s="40"/>
      <c r="R432" s="99"/>
    </row>
    <row r="433" spans="1:18" x14ac:dyDescent="0.25">
      <c r="A433" s="153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71"/>
      <c r="M433" s="40"/>
      <c r="N433" s="40"/>
      <c r="O433" s="40"/>
      <c r="P433" s="40"/>
      <c r="Q433" s="40"/>
      <c r="R433" s="99"/>
    </row>
    <row r="434" spans="1:18" x14ac:dyDescent="0.25">
      <c r="A434" s="153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71"/>
      <c r="M434" s="40"/>
      <c r="N434" s="40"/>
      <c r="O434" s="40"/>
      <c r="P434" s="40"/>
      <c r="Q434" s="40"/>
      <c r="R434" s="99"/>
    </row>
    <row r="435" spans="1:18" x14ac:dyDescent="0.25">
      <c r="A435" s="153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71"/>
      <c r="M435" s="40"/>
      <c r="N435" s="40"/>
      <c r="O435" s="40"/>
      <c r="P435" s="40"/>
      <c r="Q435" s="40"/>
      <c r="R435" s="99"/>
    </row>
    <row r="436" spans="1:18" x14ac:dyDescent="0.25">
      <c r="A436" s="153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71"/>
      <c r="M436" s="40"/>
      <c r="N436" s="40"/>
      <c r="O436" s="40"/>
      <c r="P436" s="40"/>
      <c r="Q436" s="40"/>
      <c r="R436" s="99"/>
    </row>
    <row r="437" spans="1:18" x14ac:dyDescent="0.25">
      <c r="A437" s="153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71"/>
      <c r="M437" s="40"/>
      <c r="N437" s="40"/>
      <c r="O437" s="40"/>
      <c r="P437" s="40"/>
      <c r="Q437" s="40"/>
      <c r="R437" s="99"/>
    </row>
    <row r="438" spans="1:18" x14ac:dyDescent="0.25">
      <c r="A438" s="153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71"/>
      <c r="M438" s="40"/>
      <c r="N438" s="40"/>
      <c r="O438" s="40"/>
      <c r="P438" s="40"/>
      <c r="Q438" s="40"/>
      <c r="R438" s="99"/>
    </row>
    <row r="439" spans="1:18" x14ac:dyDescent="0.25">
      <c r="A439" s="153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71"/>
      <c r="M439" s="40"/>
      <c r="N439" s="40"/>
      <c r="O439" s="40"/>
      <c r="P439" s="40"/>
      <c r="Q439" s="40"/>
      <c r="R439" s="99"/>
    </row>
    <row r="440" spans="1:18" x14ac:dyDescent="0.25">
      <c r="A440" s="153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71"/>
      <c r="M440" s="40"/>
      <c r="N440" s="40"/>
      <c r="O440" s="40"/>
      <c r="P440" s="40"/>
      <c r="Q440" s="40"/>
      <c r="R440" s="99"/>
    </row>
    <row r="441" spans="1:18" x14ac:dyDescent="0.25">
      <c r="A441" s="153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71"/>
      <c r="M441" s="40"/>
      <c r="N441" s="40"/>
      <c r="O441" s="40"/>
      <c r="P441" s="40"/>
      <c r="Q441" s="40"/>
      <c r="R441" s="99"/>
    </row>
    <row r="442" spans="1:18" x14ac:dyDescent="0.25">
      <c r="A442" s="153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71"/>
      <c r="M442" s="40"/>
      <c r="N442" s="40"/>
      <c r="O442" s="40"/>
      <c r="P442" s="40"/>
      <c r="Q442" s="40"/>
      <c r="R442" s="99"/>
    </row>
    <row r="443" spans="1:18" x14ac:dyDescent="0.25">
      <c r="A443" s="153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71"/>
      <c r="M443" s="40"/>
      <c r="N443" s="40"/>
      <c r="O443" s="40"/>
      <c r="P443" s="40"/>
      <c r="Q443" s="40"/>
      <c r="R443" s="99"/>
    </row>
    <row r="444" spans="1:18" x14ac:dyDescent="0.25">
      <c r="A444" s="153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71"/>
      <c r="M444" s="40"/>
      <c r="N444" s="40"/>
      <c r="O444" s="40"/>
      <c r="P444" s="40"/>
      <c r="Q444" s="40"/>
      <c r="R444" s="99"/>
    </row>
    <row r="445" spans="1:18" x14ac:dyDescent="0.25">
      <c r="A445" s="153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71"/>
      <c r="M445" s="40"/>
      <c r="N445" s="40"/>
      <c r="O445" s="40"/>
      <c r="P445" s="40"/>
      <c r="Q445" s="40"/>
      <c r="R445" s="99"/>
    </row>
    <row r="446" spans="1:18" x14ac:dyDescent="0.25">
      <c r="A446" s="153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71"/>
      <c r="M446" s="40"/>
      <c r="N446" s="40"/>
      <c r="O446" s="40"/>
      <c r="P446" s="40"/>
      <c r="Q446" s="40"/>
      <c r="R446" s="99"/>
    </row>
    <row r="447" spans="1:18" x14ac:dyDescent="0.25">
      <c r="A447" s="153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71"/>
      <c r="M447" s="40"/>
      <c r="N447" s="40"/>
      <c r="O447" s="40"/>
      <c r="P447" s="40"/>
      <c r="Q447" s="40"/>
      <c r="R447" s="99"/>
    </row>
    <row r="448" spans="1:18" x14ac:dyDescent="0.25">
      <c r="A448" s="153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71"/>
      <c r="M448" s="40"/>
      <c r="N448" s="40"/>
      <c r="O448" s="40"/>
      <c r="P448" s="40"/>
      <c r="Q448" s="40"/>
      <c r="R448" s="99"/>
    </row>
    <row r="449" spans="1:18" x14ac:dyDescent="0.25">
      <c r="A449" s="153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71"/>
      <c r="M449" s="40"/>
      <c r="N449" s="40"/>
      <c r="O449" s="40"/>
      <c r="P449" s="40"/>
      <c r="Q449" s="40"/>
      <c r="R449" s="99"/>
    </row>
    <row r="450" spans="1:18" x14ac:dyDescent="0.25">
      <c r="A450" s="153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71"/>
      <c r="M450" s="40"/>
      <c r="N450" s="40"/>
      <c r="O450" s="40"/>
      <c r="P450" s="40"/>
      <c r="Q450" s="40"/>
      <c r="R450" s="99"/>
    </row>
    <row r="451" spans="1:18" x14ac:dyDescent="0.25">
      <c r="A451" s="153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71"/>
      <c r="M451" s="40"/>
      <c r="N451" s="40"/>
      <c r="O451" s="40"/>
      <c r="P451" s="40"/>
      <c r="Q451" s="40"/>
      <c r="R451" s="99"/>
    </row>
    <row r="452" spans="1:18" x14ac:dyDescent="0.25">
      <c r="A452" s="153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71"/>
      <c r="M452" s="40"/>
      <c r="N452" s="40"/>
      <c r="O452" s="40"/>
      <c r="P452" s="40"/>
      <c r="Q452" s="40"/>
      <c r="R452" s="99"/>
    </row>
    <row r="453" spans="1:18" x14ac:dyDescent="0.25">
      <c r="A453" s="153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71"/>
      <c r="M453" s="40"/>
      <c r="N453" s="40"/>
      <c r="O453" s="40"/>
      <c r="P453" s="40"/>
      <c r="Q453" s="40"/>
      <c r="R453" s="99"/>
    </row>
    <row r="454" spans="1:18" x14ac:dyDescent="0.25">
      <c r="A454" s="153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71"/>
      <c r="M454" s="40"/>
      <c r="N454" s="40"/>
      <c r="O454" s="40"/>
      <c r="P454" s="40"/>
      <c r="Q454" s="40"/>
      <c r="R454" s="99"/>
    </row>
    <row r="455" spans="1:18" x14ac:dyDescent="0.25">
      <c r="A455" s="153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71"/>
      <c r="M455" s="40"/>
      <c r="N455" s="40"/>
      <c r="O455" s="40"/>
      <c r="P455" s="40"/>
      <c r="Q455" s="40"/>
      <c r="R455" s="99"/>
    </row>
    <row r="456" spans="1:18" x14ac:dyDescent="0.25">
      <c r="A456" s="153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71"/>
      <c r="M456" s="40"/>
      <c r="N456" s="40"/>
      <c r="O456" s="40"/>
      <c r="P456" s="40"/>
      <c r="Q456" s="40"/>
      <c r="R456" s="99"/>
    </row>
    <row r="457" spans="1:18" x14ac:dyDescent="0.25">
      <c r="A457" s="153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71"/>
      <c r="M457" s="40"/>
      <c r="N457" s="40"/>
      <c r="O457" s="40"/>
      <c r="P457" s="40"/>
      <c r="Q457" s="40"/>
      <c r="R457" s="99"/>
    </row>
    <row r="458" spans="1:18" x14ac:dyDescent="0.25">
      <c r="A458" s="153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71"/>
      <c r="M458" s="40"/>
      <c r="N458" s="40"/>
      <c r="O458" s="40"/>
      <c r="P458" s="40"/>
      <c r="Q458" s="40"/>
      <c r="R458" s="99"/>
    </row>
    <row r="459" spans="1:18" x14ac:dyDescent="0.25">
      <c r="A459" s="153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71"/>
      <c r="M459" s="40"/>
      <c r="N459" s="40"/>
      <c r="O459" s="40"/>
      <c r="P459" s="40"/>
      <c r="Q459" s="40"/>
      <c r="R459" s="99"/>
    </row>
    <row r="460" spans="1:18" x14ac:dyDescent="0.25">
      <c r="A460" s="153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71"/>
      <c r="M460" s="40"/>
      <c r="N460" s="40"/>
      <c r="O460" s="40"/>
      <c r="P460" s="40"/>
      <c r="Q460" s="40"/>
      <c r="R460" s="99"/>
    </row>
    <row r="461" spans="1:18" x14ac:dyDescent="0.25">
      <c r="A461" s="153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71"/>
      <c r="M461" s="40"/>
      <c r="N461" s="40"/>
      <c r="O461" s="40"/>
      <c r="P461" s="40"/>
      <c r="Q461" s="40"/>
      <c r="R461" s="99"/>
    </row>
    <row r="462" spans="1:18" x14ac:dyDescent="0.25">
      <c r="A462" s="153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71"/>
      <c r="M462" s="40"/>
      <c r="N462" s="40"/>
      <c r="O462" s="40"/>
      <c r="P462" s="40"/>
      <c r="Q462" s="40"/>
      <c r="R462" s="99"/>
    </row>
    <row r="463" spans="1:18" x14ac:dyDescent="0.25">
      <c r="A463" s="153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71"/>
      <c r="M463" s="40"/>
      <c r="N463" s="40"/>
      <c r="O463" s="40"/>
      <c r="P463" s="40"/>
      <c r="Q463" s="40"/>
      <c r="R463" s="99"/>
    </row>
    <row r="464" spans="1:18" x14ac:dyDescent="0.25">
      <c r="A464" s="153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71"/>
      <c r="M464" s="40"/>
      <c r="N464" s="40"/>
      <c r="O464" s="40"/>
      <c r="P464" s="40"/>
      <c r="Q464" s="40"/>
      <c r="R464" s="99"/>
    </row>
    <row r="465" spans="1:18" x14ac:dyDescent="0.25">
      <c r="A465" s="153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71"/>
      <c r="M465" s="40"/>
      <c r="N465" s="40"/>
      <c r="O465" s="40"/>
      <c r="P465" s="40"/>
      <c r="Q465" s="40"/>
      <c r="R465" s="99"/>
    </row>
    <row r="466" spans="1:18" x14ac:dyDescent="0.25">
      <c r="A466" s="153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71"/>
      <c r="M466" s="40"/>
      <c r="N466" s="40"/>
      <c r="O466" s="40"/>
      <c r="P466" s="40"/>
      <c r="Q466" s="40"/>
      <c r="R466" s="99"/>
    </row>
    <row r="467" spans="1:18" x14ac:dyDescent="0.25">
      <c r="A467" s="153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71"/>
      <c r="M467" s="40"/>
      <c r="N467" s="40"/>
      <c r="O467" s="40"/>
      <c r="P467" s="40"/>
      <c r="Q467" s="40"/>
      <c r="R467" s="99"/>
    </row>
    <row r="468" spans="1:18" x14ac:dyDescent="0.25">
      <c r="A468" s="153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71"/>
      <c r="M468" s="40"/>
      <c r="N468" s="40"/>
      <c r="O468" s="40"/>
      <c r="P468" s="40"/>
      <c r="Q468" s="40"/>
      <c r="R468" s="99"/>
    </row>
    <row r="469" spans="1:18" x14ac:dyDescent="0.25">
      <c r="A469" s="153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71"/>
      <c r="M469" s="40"/>
      <c r="N469" s="40"/>
      <c r="O469" s="40"/>
      <c r="P469" s="40"/>
      <c r="Q469" s="40"/>
      <c r="R469" s="99"/>
    </row>
    <row r="470" spans="1:18" x14ac:dyDescent="0.25">
      <c r="A470" s="153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71"/>
      <c r="M470" s="40"/>
      <c r="N470" s="40"/>
      <c r="O470" s="40"/>
      <c r="P470" s="40"/>
      <c r="Q470" s="40"/>
      <c r="R470" s="99"/>
    </row>
    <row r="471" spans="1:18" x14ac:dyDescent="0.25">
      <c r="A471" s="153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71"/>
      <c r="M471" s="40"/>
      <c r="N471" s="40"/>
      <c r="O471" s="40"/>
      <c r="P471" s="40"/>
      <c r="Q471" s="40"/>
      <c r="R471" s="99"/>
    </row>
    <row r="472" spans="1:18" x14ac:dyDescent="0.25">
      <c r="A472" s="153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71"/>
      <c r="M472" s="40"/>
      <c r="N472" s="40"/>
      <c r="O472" s="40"/>
      <c r="P472" s="40"/>
      <c r="Q472" s="40"/>
      <c r="R472" s="99"/>
    </row>
    <row r="473" spans="1:18" x14ac:dyDescent="0.25">
      <c r="A473" s="153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71"/>
      <c r="M473" s="40"/>
      <c r="N473" s="40"/>
      <c r="O473" s="40"/>
      <c r="P473" s="40"/>
      <c r="Q473" s="40"/>
      <c r="R473" s="99"/>
    </row>
    <row r="474" spans="1:18" x14ac:dyDescent="0.25">
      <c r="A474" s="153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71"/>
      <c r="M474" s="40"/>
      <c r="N474" s="40"/>
      <c r="O474" s="40"/>
      <c r="P474" s="40"/>
      <c r="Q474" s="40"/>
      <c r="R474" s="99"/>
    </row>
    <row r="475" spans="1:18" x14ac:dyDescent="0.25">
      <c r="A475" s="153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71"/>
      <c r="M475" s="40"/>
      <c r="N475" s="40"/>
      <c r="O475" s="40"/>
      <c r="P475" s="40"/>
      <c r="Q475" s="40"/>
      <c r="R475" s="99"/>
    </row>
    <row r="476" spans="1:18" x14ac:dyDescent="0.25">
      <c r="A476" s="153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71"/>
      <c r="M476" s="40"/>
      <c r="N476" s="40"/>
      <c r="O476" s="40"/>
      <c r="P476" s="40"/>
      <c r="Q476" s="40"/>
      <c r="R476" s="99"/>
    </row>
    <row r="477" spans="1:18" x14ac:dyDescent="0.25">
      <c r="A477" s="153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71"/>
      <c r="M477" s="40"/>
      <c r="N477" s="40"/>
      <c r="O477" s="40"/>
      <c r="P477" s="40"/>
      <c r="Q477" s="40"/>
      <c r="R477" s="99"/>
    </row>
    <row r="478" spans="1:18" x14ac:dyDescent="0.25">
      <c r="A478" s="153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71"/>
      <c r="M478" s="40"/>
      <c r="N478" s="40"/>
      <c r="O478" s="40"/>
      <c r="P478" s="40"/>
      <c r="Q478" s="40"/>
      <c r="R478" s="99"/>
    </row>
    <row r="479" spans="1:18" x14ac:dyDescent="0.25">
      <c r="A479" s="153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71"/>
      <c r="M479" s="40"/>
      <c r="N479" s="40"/>
      <c r="O479" s="40"/>
      <c r="P479" s="40"/>
      <c r="Q479" s="40"/>
      <c r="R479" s="99"/>
    </row>
    <row r="480" spans="1:18" x14ac:dyDescent="0.25">
      <c r="A480" s="153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71"/>
      <c r="M480" s="40"/>
      <c r="N480" s="40"/>
      <c r="O480" s="40"/>
      <c r="P480" s="40"/>
      <c r="Q480" s="40"/>
      <c r="R480" s="99"/>
    </row>
    <row r="481" spans="1:18" x14ac:dyDescent="0.25">
      <c r="A481" s="153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71"/>
      <c r="M481" s="40"/>
      <c r="N481" s="40"/>
      <c r="O481" s="40"/>
      <c r="P481" s="40"/>
      <c r="Q481" s="40"/>
      <c r="R481" s="99"/>
    </row>
    <row r="482" spans="1:18" x14ac:dyDescent="0.25">
      <c r="A482" s="153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71"/>
      <c r="M482" s="40"/>
      <c r="N482" s="40"/>
      <c r="O482" s="40"/>
      <c r="P482" s="40"/>
      <c r="Q482" s="40"/>
      <c r="R482" s="99"/>
    </row>
    <row r="483" spans="1:18" x14ac:dyDescent="0.25">
      <c r="A483" s="153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71"/>
      <c r="M483" s="40"/>
      <c r="N483" s="40"/>
      <c r="O483" s="40"/>
      <c r="P483" s="40"/>
      <c r="Q483" s="40"/>
      <c r="R483" s="99"/>
    </row>
    <row r="484" spans="1:18" x14ac:dyDescent="0.25">
      <c r="A484" s="153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71"/>
      <c r="M484" s="40"/>
      <c r="N484" s="40"/>
      <c r="O484" s="40"/>
      <c r="P484" s="40"/>
      <c r="Q484" s="40"/>
      <c r="R484" s="99"/>
    </row>
    <row r="485" spans="1:18" x14ac:dyDescent="0.25">
      <c r="A485" s="153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71"/>
      <c r="M485" s="40"/>
      <c r="N485" s="40"/>
      <c r="O485" s="40"/>
      <c r="P485" s="40"/>
      <c r="Q485" s="40"/>
      <c r="R485" s="99"/>
    </row>
    <row r="486" spans="1:18" x14ac:dyDescent="0.25">
      <c r="A486" s="153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71"/>
      <c r="M486" s="40"/>
      <c r="N486" s="40"/>
      <c r="O486" s="40"/>
      <c r="P486" s="40"/>
      <c r="Q486" s="40"/>
      <c r="R486" s="99"/>
    </row>
    <row r="487" spans="1:18" x14ac:dyDescent="0.25">
      <c r="A487" s="153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71"/>
      <c r="M487" s="40"/>
      <c r="N487" s="40"/>
      <c r="O487" s="40"/>
      <c r="P487" s="40"/>
      <c r="Q487" s="40"/>
      <c r="R487" s="99"/>
    </row>
    <row r="488" spans="1:18" x14ac:dyDescent="0.25">
      <c r="A488" s="153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71"/>
      <c r="M488" s="40"/>
      <c r="N488" s="40"/>
      <c r="O488" s="40"/>
      <c r="P488" s="40"/>
      <c r="Q488" s="40"/>
      <c r="R488" s="99"/>
    </row>
    <row r="489" spans="1:18" x14ac:dyDescent="0.25">
      <c r="A489" s="153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71"/>
      <c r="M489" s="40"/>
      <c r="N489" s="40"/>
      <c r="O489" s="40"/>
      <c r="P489" s="40"/>
      <c r="Q489" s="40"/>
      <c r="R489" s="99"/>
    </row>
    <row r="490" spans="1:18" x14ac:dyDescent="0.25">
      <c r="A490" s="153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71"/>
      <c r="M490" s="40"/>
      <c r="N490" s="40"/>
      <c r="O490" s="40"/>
      <c r="P490" s="40"/>
      <c r="Q490" s="40"/>
      <c r="R490" s="99"/>
    </row>
    <row r="491" spans="1:18" x14ac:dyDescent="0.25">
      <c r="A491" s="153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71"/>
      <c r="M491" s="40"/>
      <c r="N491" s="40"/>
      <c r="O491" s="40"/>
      <c r="P491" s="40"/>
      <c r="Q491" s="40"/>
      <c r="R491" s="99"/>
    </row>
    <row r="492" spans="1:18" x14ac:dyDescent="0.25">
      <c r="A492" s="153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71"/>
      <c r="M492" s="40"/>
      <c r="N492" s="40"/>
      <c r="O492" s="40"/>
      <c r="P492" s="40"/>
      <c r="Q492" s="40"/>
      <c r="R492" s="99"/>
    </row>
    <row r="493" spans="1:18" x14ac:dyDescent="0.25">
      <c r="A493" s="153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71"/>
      <c r="M493" s="40"/>
      <c r="N493" s="40"/>
      <c r="O493" s="40"/>
      <c r="P493" s="40"/>
      <c r="Q493" s="40"/>
      <c r="R493" s="99"/>
    </row>
    <row r="494" spans="1:18" x14ac:dyDescent="0.25">
      <c r="A494" s="153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71"/>
      <c r="M494" s="40"/>
      <c r="N494" s="40"/>
      <c r="O494" s="40"/>
      <c r="P494" s="40"/>
      <c r="Q494" s="40"/>
      <c r="R494" s="99"/>
    </row>
    <row r="495" spans="1:18" x14ac:dyDescent="0.25">
      <c r="A495" s="153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71"/>
      <c r="M495" s="40"/>
      <c r="N495" s="40"/>
      <c r="O495" s="40"/>
      <c r="P495" s="40"/>
      <c r="Q495" s="40"/>
      <c r="R495" s="99"/>
    </row>
    <row r="496" spans="1:18" x14ac:dyDescent="0.25">
      <c r="A496" s="153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71"/>
      <c r="M496" s="40"/>
      <c r="N496" s="40"/>
      <c r="O496" s="40"/>
      <c r="P496" s="40"/>
      <c r="Q496" s="40"/>
      <c r="R496" s="99"/>
    </row>
    <row r="497" spans="1:18" x14ac:dyDescent="0.25">
      <c r="A497" s="153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71"/>
      <c r="M497" s="40"/>
      <c r="N497" s="40"/>
      <c r="O497" s="40"/>
      <c r="P497" s="40"/>
      <c r="Q497" s="40"/>
      <c r="R497" s="99"/>
    </row>
    <row r="498" spans="1:18" x14ac:dyDescent="0.25">
      <c r="A498" s="153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71"/>
      <c r="M498" s="40"/>
      <c r="N498" s="40"/>
      <c r="O498" s="40"/>
      <c r="P498" s="40"/>
      <c r="Q498" s="40"/>
      <c r="R498" s="99"/>
    </row>
    <row r="499" spans="1:18" x14ac:dyDescent="0.25">
      <c r="A499" s="153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71"/>
      <c r="M499" s="40"/>
      <c r="N499" s="40"/>
      <c r="O499" s="40"/>
      <c r="P499" s="40"/>
      <c r="Q499" s="40"/>
      <c r="R499" s="99"/>
    </row>
    <row r="500" spans="1:18" x14ac:dyDescent="0.25">
      <c r="A500" s="153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71"/>
      <c r="M500" s="40"/>
      <c r="N500" s="40"/>
      <c r="O500" s="40"/>
      <c r="P500" s="40"/>
      <c r="Q500" s="40"/>
      <c r="R500" s="99"/>
    </row>
    <row r="501" spans="1:18" x14ac:dyDescent="0.25">
      <c r="A501" s="153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71"/>
      <c r="M501" s="40"/>
      <c r="N501" s="40"/>
      <c r="O501" s="40"/>
      <c r="P501" s="40"/>
      <c r="Q501" s="40"/>
      <c r="R501" s="99"/>
    </row>
    <row r="502" spans="1:18" x14ac:dyDescent="0.25">
      <c r="A502" s="153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71"/>
      <c r="M502" s="40"/>
      <c r="N502" s="40"/>
      <c r="O502" s="40"/>
      <c r="P502" s="40"/>
      <c r="Q502" s="40"/>
      <c r="R502" s="99"/>
    </row>
    <row r="503" spans="1:18" x14ac:dyDescent="0.25">
      <c r="A503" s="153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71"/>
      <c r="M503" s="40"/>
      <c r="N503" s="40"/>
      <c r="O503" s="40"/>
      <c r="P503" s="40"/>
      <c r="Q503" s="40"/>
      <c r="R503" s="99"/>
    </row>
    <row r="504" spans="1:18" x14ac:dyDescent="0.25">
      <c r="A504" s="153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71"/>
      <c r="M504" s="40"/>
      <c r="N504" s="40"/>
      <c r="O504" s="40"/>
      <c r="P504" s="40"/>
      <c r="Q504" s="40"/>
      <c r="R504" s="99"/>
    </row>
    <row r="505" spans="1:18" x14ac:dyDescent="0.25">
      <c r="A505" s="153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71"/>
      <c r="M505" s="40"/>
      <c r="N505" s="40"/>
      <c r="O505" s="40"/>
      <c r="P505" s="40"/>
      <c r="Q505" s="40"/>
      <c r="R505" s="99"/>
    </row>
    <row r="506" spans="1:18" x14ac:dyDescent="0.25">
      <c r="A506" s="153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71"/>
      <c r="M506" s="40"/>
      <c r="N506" s="40"/>
      <c r="O506" s="40"/>
      <c r="P506" s="40"/>
      <c r="Q506" s="40"/>
      <c r="R506" s="99"/>
    </row>
    <row r="507" spans="1:18" x14ac:dyDescent="0.25">
      <c r="A507" s="153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71"/>
      <c r="M507" s="40"/>
      <c r="N507" s="40"/>
      <c r="O507" s="40"/>
      <c r="P507" s="40"/>
      <c r="Q507" s="40"/>
      <c r="R507" s="99"/>
    </row>
    <row r="508" spans="1:18" x14ac:dyDescent="0.25">
      <c r="A508" s="153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71"/>
      <c r="M508" s="40"/>
      <c r="N508" s="40"/>
      <c r="O508" s="40"/>
      <c r="P508" s="40"/>
      <c r="Q508" s="40"/>
      <c r="R508" s="99"/>
    </row>
    <row r="509" spans="1:18" x14ac:dyDescent="0.25">
      <c r="A509" s="153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71"/>
      <c r="M509" s="40"/>
      <c r="N509" s="40"/>
      <c r="O509" s="40"/>
      <c r="P509" s="40"/>
      <c r="Q509" s="40"/>
      <c r="R509" s="99"/>
    </row>
    <row r="510" spans="1:18" x14ac:dyDescent="0.25">
      <c r="A510" s="153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71"/>
      <c r="M510" s="40"/>
      <c r="N510" s="40"/>
      <c r="O510" s="40"/>
      <c r="P510" s="40"/>
      <c r="Q510" s="40"/>
      <c r="R510" s="99"/>
    </row>
    <row r="511" spans="1:18" x14ac:dyDescent="0.25">
      <c r="A511" s="153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71"/>
      <c r="M511" s="40"/>
      <c r="N511" s="40"/>
      <c r="O511" s="40"/>
      <c r="P511" s="40"/>
      <c r="Q511" s="40"/>
      <c r="R511" s="99"/>
    </row>
    <row r="512" spans="1:18" x14ac:dyDescent="0.25">
      <c r="A512" s="153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71"/>
      <c r="M512" s="40"/>
      <c r="N512" s="40"/>
      <c r="O512" s="40"/>
      <c r="P512" s="40"/>
      <c r="Q512" s="40"/>
      <c r="R512" s="99"/>
    </row>
    <row r="513" spans="1:18" x14ac:dyDescent="0.25">
      <c r="A513" s="153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71"/>
      <c r="M513" s="40"/>
      <c r="N513" s="40"/>
      <c r="O513" s="40"/>
      <c r="P513" s="40"/>
      <c r="Q513" s="40"/>
      <c r="R513" s="99"/>
    </row>
    <row r="514" spans="1:18" x14ac:dyDescent="0.25">
      <c r="A514" s="153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71"/>
      <c r="M514" s="40"/>
      <c r="N514" s="40"/>
      <c r="O514" s="40"/>
      <c r="P514" s="40"/>
      <c r="Q514" s="40"/>
      <c r="R514" s="99"/>
    </row>
    <row r="515" spans="1:18" x14ac:dyDescent="0.25">
      <c r="A515" s="153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71"/>
      <c r="M515" s="40"/>
      <c r="N515" s="40"/>
      <c r="O515" s="40"/>
      <c r="P515" s="40"/>
      <c r="Q515" s="40"/>
      <c r="R515" s="99"/>
    </row>
    <row r="516" spans="1:18" x14ac:dyDescent="0.25">
      <c r="A516" s="153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71"/>
      <c r="M516" s="40"/>
      <c r="N516" s="40"/>
      <c r="O516" s="40"/>
      <c r="P516" s="40"/>
      <c r="Q516" s="40"/>
      <c r="R516" s="99"/>
    </row>
    <row r="517" spans="1:18" x14ac:dyDescent="0.25">
      <c r="A517" s="153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71"/>
      <c r="M517" s="40"/>
      <c r="N517" s="40"/>
      <c r="O517" s="40"/>
      <c r="P517" s="40"/>
      <c r="Q517" s="40"/>
      <c r="R517" s="99"/>
    </row>
    <row r="518" spans="1:18" x14ac:dyDescent="0.25">
      <c r="A518" s="153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71"/>
      <c r="M518" s="40"/>
      <c r="N518" s="40"/>
      <c r="O518" s="40"/>
      <c r="P518" s="40"/>
      <c r="Q518" s="40"/>
      <c r="R518" s="99"/>
    </row>
    <row r="519" spans="1:18" x14ac:dyDescent="0.25">
      <c r="A519" s="153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71"/>
      <c r="M519" s="40"/>
      <c r="N519" s="40"/>
      <c r="O519" s="40"/>
      <c r="P519" s="40"/>
      <c r="Q519" s="40"/>
      <c r="R519" s="99"/>
    </row>
    <row r="520" spans="1:18" x14ac:dyDescent="0.25">
      <c r="A520" s="153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71"/>
      <c r="M520" s="40"/>
      <c r="N520" s="40"/>
      <c r="O520" s="40"/>
      <c r="P520" s="40"/>
      <c r="Q520" s="40"/>
      <c r="R520" s="99"/>
    </row>
    <row r="521" spans="1:18" x14ac:dyDescent="0.25">
      <c r="A521" s="153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71"/>
      <c r="M521" s="40"/>
      <c r="N521" s="40"/>
      <c r="O521" s="40"/>
      <c r="P521" s="40"/>
      <c r="Q521" s="40"/>
      <c r="R521" s="99"/>
    </row>
    <row r="522" spans="1:18" x14ac:dyDescent="0.25">
      <c r="A522" s="153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71"/>
      <c r="M522" s="40"/>
      <c r="N522" s="40"/>
      <c r="O522" s="40"/>
      <c r="P522" s="40"/>
      <c r="Q522" s="40"/>
      <c r="R522" s="99"/>
    </row>
    <row r="523" spans="1:18" x14ac:dyDescent="0.25">
      <c r="A523" s="153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71"/>
      <c r="M523" s="40"/>
      <c r="N523" s="40"/>
      <c r="O523" s="40"/>
      <c r="P523" s="40"/>
      <c r="Q523" s="40"/>
      <c r="R523" s="99"/>
    </row>
    <row r="524" spans="1:18" x14ac:dyDescent="0.25">
      <c r="A524" s="153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71"/>
      <c r="M524" s="40"/>
      <c r="N524" s="40"/>
      <c r="O524" s="40"/>
      <c r="P524" s="40"/>
      <c r="Q524" s="40"/>
      <c r="R524" s="99"/>
    </row>
    <row r="525" spans="1:18" x14ac:dyDescent="0.25">
      <c r="A525" s="153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71"/>
      <c r="M525" s="40"/>
      <c r="N525" s="40"/>
      <c r="O525" s="40"/>
      <c r="P525" s="40"/>
      <c r="Q525" s="40"/>
      <c r="R525" s="99"/>
    </row>
    <row r="526" spans="1:18" x14ac:dyDescent="0.25">
      <c r="A526" s="153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71"/>
      <c r="M526" s="40"/>
      <c r="N526" s="40"/>
      <c r="O526" s="40"/>
      <c r="P526" s="40"/>
      <c r="Q526" s="40"/>
      <c r="R526" s="99"/>
    </row>
    <row r="527" spans="1:18" x14ac:dyDescent="0.25">
      <c r="A527" s="153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71"/>
      <c r="M527" s="40"/>
      <c r="N527" s="40"/>
      <c r="O527" s="40"/>
      <c r="P527" s="40"/>
      <c r="Q527" s="40"/>
      <c r="R527" s="99"/>
    </row>
    <row r="528" spans="1:18" x14ac:dyDescent="0.25">
      <c r="A528" s="153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71"/>
      <c r="M528" s="40"/>
      <c r="N528" s="40"/>
      <c r="O528" s="40"/>
      <c r="P528" s="40"/>
      <c r="Q528" s="40"/>
      <c r="R528" s="99"/>
    </row>
    <row r="529" spans="1:18" x14ac:dyDescent="0.25">
      <c r="A529" s="153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71"/>
      <c r="M529" s="40"/>
      <c r="N529" s="40"/>
      <c r="O529" s="40"/>
      <c r="P529" s="40"/>
      <c r="Q529" s="40"/>
      <c r="R529" s="99"/>
    </row>
    <row r="530" spans="1:18" x14ac:dyDescent="0.25">
      <c r="A530" s="153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71"/>
      <c r="M530" s="40"/>
      <c r="N530" s="40"/>
      <c r="O530" s="40"/>
      <c r="P530" s="40"/>
      <c r="Q530" s="40"/>
      <c r="R530" s="99"/>
    </row>
    <row r="531" spans="1:18" x14ac:dyDescent="0.25">
      <c r="A531" s="153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71"/>
      <c r="M531" s="40"/>
      <c r="N531" s="40"/>
      <c r="O531" s="40"/>
      <c r="P531" s="40"/>
      <c r="Q531" s="40"/>
      <c r="R531" s="99"/>
    </row>
    <row r="532" spans="1:18" x14ac:dyDescent="0.25">
      <c r="A532" s="153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71"/>
      <c r="M532" s="40"/>
      <c r="N532" s="40"/>
      <c r="O532" s="40"/>
      <c r="P532" s="40"/>
      <c r="Q532" s="40"/>
      <c r="R532" s="99"/>
    </row>
    <row r="533" spans="1:18" x14ac:dyDescent="0.25">
      <c r="A533" s="153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71"/>
      <c r="M533" s="40"/>
      <c r="N533" s="40"/>
      <c r="O533" s="40"/>
      <c r="P533" s="40"/>
      <c r="Q533" s="40"/>
      <c r="R533" s="99"/>
    </row>
    <row r="534" spans="1:18" x14ac:dyDescent="0.25">
      <c r="A534" s="153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71"/>
      <c r="M534" s="40"/>
      <c r="N534" s="40"/>
      <c r="O534" s="40"/>
      <c r="P534" s="40"/>
      <c r="Q534" s="40"/>
      <c r="R534" s="99"/>
    </row>
    <row r="535" spans="1:18" x14ac:dyDescent="0.25">
      <c r="A535" s="153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71"/>
      <c r="M535" s="40"/>
      <c r="N535" s="40"/>
      <c r="O535" s="40"/>
      <c r="P535" s="40"/>
      <c r="Q535" s="40"/>
      <c r="R535" s="99"/>
    </row>
    <row r="536" spans="1:18" x14ac:dyDescent="0.25">
      <c r="A536" s="153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71"/>
      <c r="M536" s="40"/>
      <c r="N536" s="40"/>
      <c r="O536" s="40"/>
      <c r="P536" s="40"/>
      <c r="Q536" s="40"/>
      <c r="R536" s="99"/>
    </row>
    <row r="537" spans="1:18" x14ac:dyDescent="0.25">
      <c r="A537" s="153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71"/>
      <c r="M537" s="40"/>
      <c r="N537" s="40"/>
      <c r="O537" s="40"/>
      <c r="P537" s="40"/>
      <c r="Q537" s="40"/>
      <c r="R537" s="99"/>
    </row>
    <row r="538" spans="1:18" x14ac:dyDescent="0.25">
      <c r="A538" s="153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71"/>
      <c r="M538" s="40"/>
      <c r="N538" s="40"/>
      <c r="O538" s="40"/>
      <c r="P538" s="40"/>
      <c r="Q538" s="40"/>
      <c r="R538" s="99"/>
    </row>
    <row r="539" spans="1:18" x14ac:dyDescent="0.25">
      <c r="A539" s="153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71"/>
      <c r="M539" s="40"/>
      <c r="N539" s="40"/>
      <c r="O539" s="40"/>
      <c r="P539" s="40"/>
      <c r="Q539" s="40"/>
      <c r="R539" s="99"/>
    </row>
    <row r="540" spans="1:18" x14ac:dyDescent="0.25">
      <c r="A540" s="153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71"/>
      <c r="M540" s="40"/>
      <c r="N540" s="40"/>
      <c r="O540" s="40"/>
      <c r="P540" s="40"/>
      <c r="Q540" s="40"/>
      <c r="R540" s="99"/>
    </row>
    <row r="541" spans="1:18" x14ac:dyDescent="0.25">
      <c r="A541" s="153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71"/>
      <c r="M541" s="40"/>
      <c r="N541" s="40"/>
      <c r="O541" s="40"/>
      <c r="P541" s="40"/>
      <c r="Q541" s="40"/>
      <c r="R541" s="99"/>
    </row>
    <row r="542" spans="1:18" x14ac:dyDescent="0.25">
      <c r="A542" s="153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71"/>
      <c r="M542" s="40"/>
      <c r="N542" s="40"/>
      <c r="O542" s="40"/>
      <c r="P542" s="40"/>
      <c r="Q542" s="40"/>
      <c r="R542" s="99"/>
    </row>
    <row r="543" spans="1:18" x14ac:dyDescent="0.25">
      <c r="A543" s="153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71"/>
      <c r="M543" s="40"/>
      <c r="N543" s="40"/>
      <c r="O543" s="40"/>
      <c r="P543" s="40"/>
      <c r="Q543" s="40"/>
      <c r="R543" s="99"/>
    </row>
    <row r="544" spans="1:18" x14ac:dyDescent="0.25">
      <c r="A544" s="153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71"/>
      <c r="M544" s="40"/>
      <c r="N544" s="40"/>
      <c r="O544" s="40"/>
      <c r="P544" s="40"/>
      <c r="Q544" s="40"/>
      <c r="R544" s="99"/>
    </row>
    <row r="545" spans="1:18" x14ac:dyDescent="0.25">
      <c r="A545" s="153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71"/>
      <c r="M545" s="40"/>
      <c r="N545" s="40"/>
      <c r="O545" s="40"/>
      <c r="P545" s="40"/>
      <c r="Q545" s="40"/>
      <c r="R545" s="99"/>
    </row>
    <row r="546" spans="1:18" x14ac:dyDescent="0.25">
      <c r="A546" s="153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71"/>
      <c r="M546" s="40"/>
      <c r="N546" s="40"/>
      <c r="O546" s="40"/>
      <c r="P546" s="40"/>
      <c r="Q546" s="40"/>
      <c r="R546" s="99"/>
    </row>
    <row r="547" spans="1:18" x14ac:dyDescent="0.25">
      <c r="A547" s="153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71"/>
      <c r="M547" s="40"/>
      <c r="N547" s="40"/>
      <c r="O547" s="40"/>
      <c r="P547" s="40"/>
      <c r="Q547" s="40"/>
      <c r="R547" s="99"/>
    </row>
    <row r="548" spans="1:18" x14ac:dyDescent="0.25">
      <c r="A548" s="153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71"/>
      <c r="M548" s="40"/>
      <c r="N548" s="40"/>
      <c r="O548" s="40"/>
      <c r="P548" s="40"/>
      <c r="Q548" s="40"/>
      <c r="R548" s="99"/>
    </row>
    <row r="549" spans="1:18" x14ac:dyDescent="0.25">
      <c r="A549" s="153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71"/>
      <c r="M549" s="40"/>
      <c r="N549" s="40"/>
      <c r="O549" s="40"/>
      <c r="P549" s="40"/>
      <c r="Q549" s="40"/>
      <c r="R549" s="99"/>
    </row>
    <row r="550" spans="1:18" x14ac:dyDescent="0.25">
      <c r="A550" s="153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71"/>
      <c r="M550" s="40"/>
      <c r="N550" s="40"/>
      <c r="O550" s="40"/>
      <c r="P550" s="40"/>
      <c r="Q550" s="40"/>
      <c r="R550" s="99"/>
    </row>
    <row r="551" spans="1:18" x14ac:dyDescent="0.25">
      <c r="A551" s="153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71"/>
      <c r="M551" s="40"/>
      <c r="N551" s="40"/>
      <c r="O551" s="40"/>
      <c r="P551" s="40"/>
      <c r="Q551" s="40"/>
      <c r="R551" s="99"/>
    </row>
    <row r="552" spans="1:18" x14ac:dyDescent="0.25">
      <c r="A552" s="153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71"/>
      <c r="M552" s="40"/>
      <c r="N552" s="40"/>
      <c r="O552" s="40"/>
      <c r="P552" s="40"/>
      <c r="Q552" s="40"/>
      <c r="R552" s="99"/>
    </row>
    <row r="553" spans="1:18" x14ac:dyDescent="0.25">
      <c r="A553" s="153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71"/>
      <c r="M553" s="40"/>
      <c r="N553" s="40"/>
      <c r="O553" s="40"/>
      <c r="P553" s="40"/>
      <c r="Q553" s="40"/>
      <c r="R553" s="99"/>
    </row>
    <row r="554" spans="1:18" x14ac:dyDescent="0.25">
      <c r="A554" s="153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71"/>
      <c r="M554" s="40"/>
      <c r="N554" s="40"/>
      <c r="O554" s="40"/>
      <c r="P554" s="40"/>
      <c r="Q554" s="40"/>
      <c r="R554" s="99"/>
    </row>
    <row r="555" spans="1:18" x14ac:dyDescent="0.25">
      <c r="A555" s="153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71"/>
      <c r="M555" s="40"/>
      <c r="N555" s="40"/>
      <c r="O555" s="40"/>
      <c r="P555" s="40"/>
      <c r="Q555" s="40"/>
      <c r="R555" s="99"/>
    </row>
    <row r="556" spans="1:18" x14ac:dyDescent="0.25">
      <c r="A556" s="153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71"/>
      <c r="M556" s="40"/>
      <c r="N556" s="40"/>
      <c r="O556" s="40"/>
      <c r="P556" s="40"/>
      <c r="Q556" s="40"/>
      <c r="R556" s="99"/>
    </row>
    <row r="557" spans="1:18" x14ac:dyDescent="0.25">
      <c r="A557" s="153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71"/>
      <c r="M557" s="40"/>
      <c r="N557" s="40"/>
      <c r="O557" s="40"/>
      <c r="P557" s="40"/>
      <c r="Q557" s="40"/>
      <c r="R557" s="99"/>
    </row>
    <row r="558" spans="1:18" x14ac:dyDescent="0.25">
      <c r="A558" s="153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71"/>
      <c r="M558" s="40"/>
      <c r="N558" s="40"/>
      <c r="O558" s="40"/>
      <c r="P558" s="40"/>
      <c r="Q558" s="40"/>
      <c r="R558" s="99"/>
    </row>
    <row r="559" spans="1:18" x14ac:dyDescent="0.25">
      <c r="A559" s="153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71"/>
      <c r="M559" s="40"/>
      <c r="N559" s="40"/>
      <c r="O559" s="40"/>
      <c r="P559" s="40"/>
      <c r="Q559" s="40"/>
      <c r="R559" s="99"/>
    </row>
    <row r="560" spans="1:18" x14ac:dyDescent="0.25">
      <c r="A560" s="153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71"/>
      <c r="M560" s="40"/>
      <c r="N560" s="40"/>
      <c r="O560" s="40"/>
      <c r="P560" s="40"/>
      <c r="Q560" s="40"/>
      <c r="R560" s="99"/>
    </row>
    <row r="561" spans="1:18" x14ac:dyDescent="0.25">
      <c r="A561" s="153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71"/>
      <c r="M561" s="40"/>
      <c r="N561" s="40"/>
      <c r="O561" s="40"/>
      <c r="P561" s="40"/>
      <c r="Q561" s="40"/>
      <c r="R561" s="99"/>
    </row>
    <row r="562" spans="1:18" x14ac:dyDescent="0.25">
      <c r="A562" s="153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71"/>
      <c r="M562" s="40"/>
      <c r="N562" s="40"/>
      <c r="O562" s="40"/>
      <c r="P562" s="40"/>
      <c r="Q562" s="40"/>
      <c r="R562" s="99"/>
    </row>
    <row r="563" spans="1:18" x14ac:dyDescent="0.25">
      <c r="A563" s="153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71"/>
      <c r="M563" s="40"/>
      <c r="N563" s="40"/>
      <c r="O563" s="40"/>
      <c r="P563" s="40"/>
      <c r="Q563" s="40"/>
      <c r="R563" s="99"/>
    </row>
    <row r="564" spans="1:18" x14ac:dyDescent="0.25">
      <c r="A564" s="153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71"/>
      <c r="M564" s="40"/>
      <c r="N564" s="40"/>
      <c r="O564" s="40"/>
      <c r="P564" s="40"/>
      <c r="Q564" s="40"/>
      <c r="R564" s="99"/>
    </row>
    <row r="565" spans="1:18" x14ac:dyDescent="0.25">
      <c r="A565" s="153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71"/>
      <c r="M565" s="40"/>
      <c r="N565" s="40"/>
      <c r="O565" s="40"/>
      <c r="P565" s="40"/>
      <c r="Q565" s="40"/>
      <c r="R565" s="99"/>
    </row>
    <row r="566" spans="1:18" x14ac:dyDescent="0.25">
      <c r="A566" s="153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71"/>
      <c r="M566" s="40"/>
      <c r="N566" s="40"/>
      <c r="O566" s="40"/>
      <c r="P566" s="40"/>
      <c r="Q566" s="40"/>
      <c r="R566" s="99"/>
    </row>
    <row r="567" spans="1:18" x14ac:dyDescent="0.25">
      <c r="A567" s="153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71"/>
      <c r="M567" s="40"/>
      <c r="N567" s="40"/>
      <c r="O567" s="40"/>
      <c r="P567" s="40"/>
      <c r="Q567" s="40"/>
      <c r="R567" s="99"/>
    </row>
    <row r="568" spans="1:18" x14ac:dyDescent="0.25">
      <c r="A568" s="153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71"/>
      <c r="M568" s="40"/>
      <c r="N568" s="40"/>
      <c r="O568" s="40"/>
      <c r="P568" s="40"/>
      <c r="Q568" s="40"/>
      <c r="R568" s="99"/>
    </row>
    <row r="569" spans="1:18" x14ac:dyDescent="0.25">
      <c r="A569" s="153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71"/>
      <c r="M569" s="40"/>
      <c r="N569" s="40"/>
      <c r="O569" s="40"/>
      <c r="P569" s="40"/>
      <c r="Q569" s="40"/>
      <c r="R569" s="99"/>
    </row>
    <row r="570" spans="1:18" x14ac:dyDescent="0.25">
      <c r="A570" s="153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71"/>
      <c r="M570" s="40"/>
      <c r="N570" s="40"/>
      <c r="O570" s="40"/>
      <c r="P570" s="40"/>
      <c r="Q570" s="40"/>
      <c r="R570" s="99"/>
    </row>
    <row r="571" spans="1:18" x14ac:dyDescent="0.25">
      <c r="A571" s="153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71"/>
      <c r="M571" s="40"/>
      <c r="N571" s="40"/>
      <c r="O571" s="40"/>
      <c r="P571" s="40"/>
      <c r="Q571" s="40"/>
      <c r="R571" s="99"/>
    </row>
    <row r="572" spans="1:18" x14ac:dyDescent="0.25">
      <c r="A572" s="153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71"/>
      <c r="M572" s="40"/>
      <c r="N572" s="40"/>
      <c r="O572" s="40"/>
      <c r="P572" s="40"/>
      <c r="Q572" s="40"/>
      <c r="R572" s="99"/>
    </row>
    <row r="573" spans="1:18" x14ac:dyDescent="0.25">
      <c r="A573" s="153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71"/>
      <c r="M573" s="40"/>
      <c r="N573" s="40"/>
      <c r="O573" s="40"/>
      <c r="P573" s="40"/>
      <c r="Q573" s="40"/>
      <c r="R573" s="99"/>
    </row>
    <row r="574" spans="1:18" x14ac:dyDescent="0.25">
      <c r="A574" s="153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71"/>
      <c r="M574" s="40"/>
      <c r="N574" s="40"/>
      <c r="O574" s="40"/>
      <c r="P574" s="40"/>
      <c r="Q574" s="40"/>
      <c r="R574" s="99"/>
    </row>
    <row r="575" spans="1:18" x14ac:dyDescent="0.25">
      <c r="A575" s="153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71"/>
      <c r="M575" s="40"/>
      <c r="N575" s="40"/>
      <c r="O575" s="40"/>
      <c r="P575" s="40"/>
      <c r="Q575" s="40"/>
      <c r="R575" s="99"/>
    </row>
    <row r="576" spans="1:18" x14ac:dyDescent="0.25">
      <c r="A576" s="153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71"/>
      <c r="M576" s="40"/>
      <c r="N576" s="40"/>
      <c r="O576" s="40"/>
      <c r="P576" s="40"/>
      <c r="Q576" s="40"/>
      <c r="R576" s="99"/>
    </row>
    <row r="577" spans="1:18" x14ac:dyDescent="0.25">
      <c r="A577" s="153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71"/>
      <c r="M577" s="40"/>
      <c r="N577" s="40"/>
      <c r="O577" s="40"/>
      <c r="P577" s="40"/>
      <c r="Q577" s="40"/>
      <c r="R577" s="99"/>
    </row>
    <row r="578" spans="1:18" x14ac:dyDescent="0.25">
      <c r="A578" s="153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71"/>
      <c r="M578" s="40"/>
      <c r="N578" s="40"/>
      <c r="O578" s="40"/>
      <c r="P578" s="40"/>
      <c r="Q578" s="40"/>
      <c r="R578" s="99"/>
    </row>
    <row r="579" spans="1:18" x14ac:dyDescent="0.25">
      <c r="A579" s="153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71"/>
      <c r="M579" s="40"/>
      <c r="N579" s="40"/>
      <c r="O579" s="40"/>
      <c r="P579" s="40"/>
      <c r="Q579" s="40"/>
      <c r="R579" s="99"/>
    </row>
    <row r="580" spans="1:18" x14ac:dyDescent="0.25">
      <c r="A580" s="153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71"/>
      <c r="M580" s="40"/>
      <c r="N580" s="40"/>
      <c r="O580" s="40"/>
      <c r="P580" s="40"/>
      <c r="Q580" s="40"/>
      <c r="R580" s="99"/>
    </row>
    <row r="581" spans="1:18" x14ac:dyDescent="0.25">
      <c r="A581" s="153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71"/>
      <c r="M581" s="40"/>
      <c r="N581" s="40"/>
      <c r="O581" s="40"/>
      <c r="P581" s="40"/>
      <c r="Q581" s="40"/>
      <c r="R581" s="99"/>
    </row>
    <row r="582" spans="1:18" x14ac:dyDescent="0.25">
      <c r="A582" s="153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71"/>
      <c r="M582" s="40"/>
      <c r="N582" s="40"/>
      <c r="O582" s="40"/>
      <c r="P582" s="40"/>
      <c r="Q582" s="40"/>
      <c r="R582" s="99"/>
    </row>
    <row r="583" spans="1:18" x14ac:dyDescent="0.25">
      <c r="A583" s="153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71"/>
      <c r="M583" s="40"/>
      <c r="N583" s="40"/>
      <c r="O583" s="40"/>
      <c r="P583" s="40"/>
      <c r="Q583" s="40"/>
      <c r="R583" s="99"/>
    </row>
    <row r="584" spans="1:18" x14ac:dyDescent="0.25">
      <c r="A584" s="153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71"/>
      <c r="M584" s="40"/>
      <c r="N584" s="40"/>
      <c r="O584" s="40"/>
      <c r="P584" s="40"/>
      <c r="Q584" s="40"/>
      <c r="R584" s="99"/>
    </row>
    <row r="585" spans="1:18" x14ac:dyDescent="0.25">
      <c r="A585" s="153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71"/>
      <c r="M585" s="40"/>
      <c r="N585" s="40"/>
      <c r="O585" s="40"/>
      <c r="P585" s="40"/>
      <c r="Q585" s="40"/>
      <c r="R585" s="99"/>
    </row>
    <row r="586" spans="1:18" x14ac:dyDescent="0.25">
      <c r="A586" s="153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71"/>
      <c r="M586" s="40"/>
      <c r="N586" s="40"/>
      <c r="O586" s="40"/>
      <c r="P586" s="40"/>
      <c r="Q586" s="40"/>
      <c r="R586" s="99"/>
    </row>
    <row r="587" spans="1:18" x14ac:dyDescent="0.25">
      <c r="A587" s="153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71"/>
      <c r="M587" s="40"/>
      <c r="N587" s="40"/>
      <c r="O587" s="40"/>
      <c r="P587" s="40"/>
      <c r="Q587" s="40"/>
      <c r="R587" s="99"/>
    </row>
    <row r="588" spans="1:18" x14ac:dyDescent="0.25">
      <c r="A588" s="153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71"/>
      <c r="M588" s="40"/>
      <c r="N588" s="40"/>
      <c r="O588" s="40"/>
      <c r="P588" s="40"/>
      <c r="Q588" s="40"/>
      <c r="R588" s="99"/>
    </row>
    <row r="589" spans="1:18" x14ac:dyDescent="0.25">
      <c r="A589" s="153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71"/>
      <c r="M589" s="40"/>
      <c r="N589" s="40"/>
      <c r="O589" s="40"/>
      <c r="P589" s="40"/>
      <c r="Q589" s="40"/>
      <c r="R589" s="99"/>
    </row>
    <row r="590" spans="1:18" x14ac:dyDescent="0.25">
      <c r="A590" s="153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71"/>
      <c r="M590" s="40"/>
      <c r="N590" s="40"/>
      <c r="O590" s="40"/>
      <c r="P590" s="40"/>
      <c r="Q590" s="40"/>
      <c r="R590" s="99"/>
    </row>
    <row r="591" spans="1:18" x14ac:dyDescent="0.25">
      <c r="A591" s="153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71"/>
      <c r="M591" s="40"/>
      <c r="N591" s="40"/>
      <c r="O591" s="40"/>
      <c r="P591" s="40"/>
      <c r="Q591" s="40"/>
      <c r="R591" s="99"/>
    </row>
    <row r="592" spans="1:18" x14ac:dyDescent="0.25">
      <c r="A592" s="153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71"/>
      <c r="M592" s="40"/>
      <c r="N592" s="40"/>
      <c r="O592" s="40"/>
      <c r="P592" s="40"/>
      <c r="Q592" s="40"/>
      <c r="R592" s="99"/>
    </row>
    <row r="593" spans="1:18" x14ac:dyDescent="0.25">
      <c r="A593" s="153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71"/>
      <c r="M593" s="40"/>
      <c r="N593" s="40"/>
      <c r="O593" s="40"/>
      <c r="P593" s="40"/>
      <c r="Q593" s="40"/>
      <c r="R593" s="99"/>
    </row>
    <row r="594" spans="1:18" x14ac:dyDescent="0.25">
      <c r="A594" s="153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71"/>
      <c r="M594" s="40"/>
      <c r="N594" s="40"/>
      <c r="O594" s="40"/>
      <c r="P594" s="40"/>
      <c r="Q594" s="40"/>
      <c r="R594" s="99"/>
    </row>
    <row r="595" spans="1:18" x14ac:dyDescent="0.25">
      <c r="A595" s="153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71"/>
      <c r="M595" s="40"/>
      <c r="N595" s="40"/>
      <c r="O595" s="40"/>
      <c r="P595" s="40"/>
      <c r="Q595" s="40"/>
      <c r="R595" s="99"/>
    </row>
    <row r="596" spans="1:18" x14ac:dyDescent="0.25">
      <c r="A596" s="153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71"/>
      <c r="M596" s="40"/>
      <c r="N596" s="40"/>
      <c r="O596" s="40"/>
      <c r="P596" s="40"/>
      <c r="Q596" s="40"/>
      <c r="R596" s="99"/>
    </row>
  </sheetData>
  <mergeCells count="203">
    <mergeCell ref="A42:A43"/>
    <mergeCell ref="M67:N67"/>
    <mergeCell ref="G65:I65"/>
    <mergeCell ref="M41:N41"/>
    <mergeCell ref="M29:N29"/>
    <mergeCell ref="B42:B43"/>
    <mergeCell ref="G41:I41"/>
    <mergeCell ref="G44:L44"/>
    <mergeCell ref="M46:N46"/>
    <mergeCell ref="M37:N37"/>
    <mergeCell ref="G37:I37"/>
    <mergeCell ref="A30:A31"/>
    <mergeCell ref="B30:B31"/>
    <mergeCell ref="G51:I51"/>
    <mergeCell ref="G52:L52"/>
    <mergeCell ref="M59:N59"/>
    <mergeCell ref="G49:I49"/>
    <mergeCell ref="G59:I59"/>
    <mergeCell ref="A52:A53"/>
    <mergeCell ref="B52:B53"/>
    <mergeCell ref="G67:I67"/>
    <mergeCell ref="G46:I46"/>
    <mergeCell ref="M49:N49"/>
    <mergeCell ref="M51:N51"/>
    <mergeCell ref="A2:A5"/>
    <mergeCell ref="M39:N39"/>
    <mergeCell ref="G30:L30"/>
    <mergeCell ref="G27:I27"/>
    <mergeCell ref="B16:B17"/>
    <mergeCell ref="M13:N13"/>
    <mergeCell ref="G35:I35"/>
    <mergeCell ref="G39:I39"/>
    <mergeCell ref="G29:I29"/>
    <mergeCell ref="G2:L2"/>
    <mergeCell ref="G3:L4"/>
    <mergeCell ref="G13:I13"/>
    <mergeCell ref="G15:I15"/>
    <mergeCell ref="G16:L16"/>
    <mergeCell ref="G33:I33"/>
    <mergeCell ref="G22:I22"/>
    <mergeCell ref="G9:I9"/>
    <mergeCell ref="G18:L18"/>
    <mergeCell ref="A16:A17"/>
    <mergeCell ref="M25:N25"/>
    <mergeCell ref="M35:N35"/>
    <mergeCell ref="M33:N33"/>
    <mergeCell ref="G23:L23"/>
    <mergeCell ref="A23:A24"/>
    <mergeCell ref="B23:B24"/>
    <mergeCell ref="G25:I25"/>
    <mergeCell ref="M3:Q4"/>
    <mergeCell ref="A252:Q252"/>
    <mergeCell ref="A236:Q236"/>
    <mergeCell ref="A207:Q207"/>
    <mergeCell ref="M130:N130"/>
    <mergeCell ref="G115:L115"/>
    <mergeCell ref="A160:Q160"/>
    <mergeCell ref="A219:Q219"/>
    <mergeCell ref="A194:Q194"/>
    <mergeCell ref="A251:Q251"/>
    <mergeCell ref="A220:Q220"/>
    <mergeCell ref="C115:C116"/>
    <mergeCell ref="D115:D116"/>
    <mergeCell ref="A193:Q193"/>
    <mergeCell ref="G68:L68"/>
    <mergeCell ref="G93:L93"/>
    <mergeCell ref="G114:I114"/>
    <mergeCell ref="G103:L103"/>
    <mergeCell ref="G130:I130"/>
    <mergeCell ref="A115:A116"/>
    <mergeCell ref="A161:Q161"/>
    <mergeCell ref="A181:Q181"/>
    <mergeCell ref="A177:Q177"/>
    <mergeCell ref="A176:Q176"/>
    <mergeCell ref="A165:Q165"/>
    <mergeCell ref="B91:B92"/>
    <mergeCell ref="A103:A104"/>
    <mergeCell ref="B103:B104"/>
    <mergeCell ref="G91:L91"/>
    <mergeCell ref="A156:Q156"/>
    <mergeCell ref="G95:L95"/>
    <mergeCell ref="M102:N102"/>
    <mergeCell ref="D103:D104"/>
    <mergeCell ref="E103:E104"/>
    <mergeCell ref="F103:F104"/>
    <mergeCell ref="A131:B131"/>
    <mergeCell ref="G99:I99"/>
    <mergeCell ref="C103:C104"/>
    <mergeCell ref="B115:B116"/>
    <mergeCell ref="G126:L126"/>
    <mergeCell ref="G128:L128"/>
    <mergeCell ref="B68:B69"/>
    <mergeCell ref="A81:A82"/>
    <mergeCell ref="C68:C69"/>
    <mergeCell ref="D68:D69"/>
    <mergeCell ref="E68:E69"/>
    <mergeCell ref="A91:A92"/>
    <mergeCell ref="A68:A69"/>
    <mergeCell ref="G80:I80"/>
    <mergeCell ref="C91:C92"/>
    <mergeCell ref="D91:D92"/>
    <mergeCell ref="E91:E92"/>
    <mergeCell ref="F91:F92"/>
    <mergeCell ref="G86:L86"/>
    <mergeCell ref="G78:L78"/>
    <mergeCell ref="G72:L72"/>
    <mergeCell ref="A1:W1"/>
    <mergeCell ref="R71:T71"/>
    <mergeCell ref="R75:T75"/>
    <mergeCell ref="E52:E53"/>
    <mergeCell ref="F52:F53"/>
    <mergeCell ref="F68:F69"/>
    <mergeCell ref="R59:T59"/>
    <mergeCell ref="R16:W16"/>
    <mergeCell ref="R22:T22"/>
    <mergeCell ref="R23:W23"/>
    <mergeCell ref="R25:T25"/>
    <mergeCell ref="R27:T27"/>
    <mergeCell ref="R29:T29"/>
    <mergeCell ref="M27:N27"/>
    <mergeCell ref="M22:N22"/>
    <mergeCell ref="C52:C53"/>
    <mergeCell ref="D52:D53"/>
    <mergeCell ref="R15:T15"/>
    <mergeCell ref="R37:T37"/>
    <mergeCell ref="R39:T39"/>
    <mergeCell ref="R41:T41"/>
    <mergeCell ref="R42:W42"/>
    <mergeCell ref="R30:W30"/>
    <mergeCell ref="R33:T33"/>
    <mergeCell ref="B2:F5"/>
    <mergeCell ref="B6:F6"/>
    <mergeCell ref="R51:T51"/>
    <mergeCell ref="R52:W52"/>
    <mergeCell ref="R57:T57"/>
    <mergeCell ref="C81:C82"/>
    <mergeCell ref="D81:D82"/>
    <mergeCell ref="E81:E82"/>
    <mergeCell ref="R46:T46"/>
    <mergeCell ref="R49:T49"/>
    <mergeCell ref="R35:T35"/>
    <mergeCell ref="B81:B82"/>
    <mergeCell ref="R2:W2"/>
    <mergeCell ref="R3:W4"/>
    <mergeCell ref="R9:T9"/>
    <mergeCell ref="R11:T11"/>
    <mergeCell ref="R13:T13"/>
    <mergeCell ref="G42:L42"/>
    <mergeCell ref="M80:N80"/>
    <mergeCell ref="M2:Q2"/>
    <mergeCell ref="G11:I11"/>
    <mergeCell ref="M11:N11"/>
    <mergeCell ref="M15:N15"/>
    <mergeCell ref="M9:N9"/>
    <mergeCell ref="R130:T130"/>
    <mergeCell ref="R103:W103"/>
    <mergeCell ref="R102:T102"/>
    <mergeCell ref="G119:L119"/>
    <mergeCell ref="G107:L107"/>
    <mergeCell ref="G121:L121"/>
    <mergeCell ref="R93:W93"/>
    <mergeCell ref="R80:T80"/>
    <mergeCell ref="R81:W81"/>
    <mergeCell ref="G123:L123"/>
    <mergeCell ref="G127:I127"/>
    <mergeCell ref="R119:W119"/>
    <mergeCell ref="G84:L84"/>
    <mergeCell ref="G90:I90"/>
    <mergeCell ref="G81:L81"/>
    <mergeCell ref="R68:W68"/>
    <mergeCell ref="F81:F82"/>
    <mergeCell ref="E115:E116"/>
    <mergeCell ref="F115:F116"/>
    <mergeCell ref="G102:I102"/>
    <mergeCell ref="R115:W115"/>
    <mergeCell ref="R114:T114"/>
    <mergeCell ref="M90:N90"/>
    <mergeCell ref="R90:T90"/>
    <mergeCell ref="M114:N114"/>
    <mergeCell ref="G97:L97"/>
    <mergeCell ref="R91:W91"/>
    <mergeCell ref="R84:W84"/>
    <mergeCell ref="G105:L105"/>
    <mergeCell ref="R86:W86"/>
    <mergeCell ref="M71:N71"/>
    <mergeCell ref="M75:N75"/>
    <mergeCell ref="G75:I75"/>
    <mergeCell ref="G76:L76"/>
    <mergeCell ref="G77:I77"/>
    <mergeCell ref="G71:I71"/>
    <mergeCell ref="G100:L100"/>
    <mergeCell ref="G20:L20"/>
    <mergeCell ref="R61:T61"/>
    <mergeCell ref="R63:T63"/>
    <mergeCell ref="R67:T67"/>
    <mergeCell ref="R65:T65"/>
    <mergeCell ref="M63:N63"/>
    <mergeCell ref="M65:N65"/>
    <mergeCell ref="M57:N57"/>
    <mergeCell ref="G57:I57"/>
    <mergeCell ref="M61:N61"/>
    <mergeCell ref="G63:I63"/>
    <mergeCell ref="G61:I61"/>
  </mergeCells>
  <phoneticPr fontId="4" type="noConversion"/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W1624"/>
  <sheetViews>
    <sheetView zoomScale="70" zoomScaleNormal="70" workbookViewId="0">
      <pane xSplit="1" ySplit="6" topLeftCell="B956" activePane="bottomRight" state="frozen"/>
      <selection pane="topRight" activeCell="B1" sqref="B1"/>
      <selection pane="bottomLeft" activeCell="A7" sqref="A7"/>
      <selection pane="bottomRight" activeCell="G971" sqref="G971:L971"/>
    </sheetView>
  </sheetViews>
  <sheetFormatPr defaultColWidth="13.7109375" defaultRowHeight="15" x14ac:dyDescent="0.25"/>
  <cols>
    <col min="1" max="1" width="31.28515625" style="135" customWidth="1"/>
    <col min="2" max="2" width="8.85546875" style="135" customWidth="1"/>
    <col min="3" max="3" width="5.5703125" style="135" customWidth="1"/>
    <col min="4" max="5" width="6.7109375" style="135" customWidth="1"/>
    <col min="6" max="6" width="6.42578125" style="135" customWidth="1"/>
    <col min="7" max="11" width="13.7109375" style="135" customWidth="1"/>
    <col min="12" max="12" width="13.7109375" style="185" customWidth="1"/>
    <col min="13" max="13" width="27.7109375" style="135" customWidth="1"/>
    <col min="14" max="14" width="18.5703125" style="135" customWidth="1"/>
    <col min="15" max="17" width="13.7109375" style="135" customWidth="1"/>
    <col min="18" max="18" width="13.7109375" style="67" customWidth="1"/>
    <col min="19" max="16384" width="13.7109375" style="3"/>
  </cols>
  <sheetData>
    <row r="1" spans="1:23" ht="15.75" customHeight="1" x14ac:dyDescent="0.25">
      <c r="A1" s="2818"/>
      <c r="B1" s="2819"/>
      <c r="C1" s="2819"/>
      <c r="D1" s="2819"/>
      <c r="E1" s="2819"/>
      <c r="F1" s="2819"/>
      <c r="G1" s="2819"/>
      <c r="H1" s="2819"/>
      <c r="I1" s="2819"/>
      <c r="J1" s="2819"/>
      <c r="K1" s="2819"/>
      <c r="L1" s="2819"/>
      <c r="M1" s="2819"/>
      <c r="N1" s="2819"/>
      <c r="O1" s="2819"/>
      <c r="P1" s="2819"/>
      <c r="Q1" s="2819"/>
      <c r="R1" s="2819"/>
      <c r="S1" s="2819"/>
      <c r="T1" s="2819"/>
      <c r="U1" s="2819"/>
      <c r="V1" s="2819"/>
      <c r="W1" s="2819"/>
    </row>
    <row r="2" spans="1:23" ht="15" customHeight="1" x14ac:dyDescent="0.25">
      <c r="A2" s="2836" t="s">
        <v>330</v>
      </c>
      <c r="B2" s="2715" t="s">
        <v>1762</v>
      </c>
      <c r="C2" s="2716"/>
      <c r="D2" s="2716"/>
      <c r="E2" s="2716"/>
      <c r="F2" s="2717"/>
      <c r="G2" s="2839" t="s">
        <v>1814</v>
      </c>
      <c r="H2" s="2840"/>
      <c r="I2" s="2840"/>
      <c r="J2" s="2840"/>
      <c r="K2" s="2840"/>
      <c r="L2" s="2618"/>
      <c r="M2" s="2839" t="s">
        <v>1815</v>
      </c>
      <c r="N2" s="2840"/>
      <c r="O2" s="2840"/>
      <c r="P2" s="2840"/>
      <c r="Q2" s="2618"/>
      <c r="R2" s="2580" t="s">
        <v>2500</v>
      </c>
      <c r="S2" s="2580"/>
      <c r="T2" s="2580"/>
      <c r="U2" s="2580"/>
      <c r="V2" s="2580"/>
      <c r="W2" s="2580"/>
    </row>
    <row r="3" spans="1:23" ht="15" customHeight="1" x14ac:dyDescent="0.25">
      <c r="A3" s="2837"/>
      <c r="B3" s="2718"/>
      <c r="C3" s="2610"/>
      <c r="D3" s="2610"/>
      <c r="E3" s="2610"/>
      <c r="F3" s="2719"/>
      <c r="G3" s="2715" t="s">
        <v>1818</v>
      </c>
      <c r="H3" s="2716"/>
      <c r="I3" s="2716"/>
      <c r="J3" s="2716"/>
      <c r="K3" s="2716"/>
      <c r="L3" s="2717"/>
      <c r="M3" s="2715" t="s">
        <v>1819</v>
      </c>
      <c r="N3" s="2716"/>
      <c r="O3" s="2716"/>
      <c r="P3" s="2716"/>
      <c r="Q3" s="2717"/>
      <c r="R3" s="2581" t="s">
        <v>2501</v>
      </c>
      <c r="S3" s="2580"/>
      <c r="T3" s="2580"/>
      <c r="U3" s="2580"/>
      <c r="V3" s="2580"/>
      <c r="W3" s="2580"/>
    </row>
    <row r="4" spans="1:23" x14ac:dyDescent="0.25">
      <c r="A4" s="2837"/>
      <c r="B4" s="2718"/>
      <c r="C4" s="2610"/>
      <c r="D4" s="2610"/>
      <c r="E4" s="2610"/>
      <c r="F4" s="2719"/>
      <c r="G4" s="2720"/>
      <c r="H4" s="2721"/>
      <c r="I4" s="2721"/>
      <c r="J4" s="2721"/>
      <c r="K4" s="2721"/>
      <c r="L4" s="2722"/>
      <c r="M4" s="2720"/>
      <c r="N4" s="2721"/>
      <c r="O4" s="2721"/>
      <c r="P4" s="2721"/>
      <c r="Q4" s="2722"/>
      <c r="R4" s="2580"/>
      <c r="S4" s="2580"/>
      <c r="T4" s="2580"/>
      <c r="U4" s="2580"/>
      <c r="V4" s="2580"/>
      <c r="W4" s="2580"/>
    </row>
    <row r="5" spans="1:23" ht="58.5" customHeight="1" x14ac:dyDescent="0.25">
      <c r="A5" s="2838"/>
      <c r="B5" s="2720"/>
      <c r="C5" s="2721"/>
      <c r="D5" s="2721"/>
      <c r="E5" s="2721"/>
      <c r="F5" s="2722"/>
      <c r="G5" s="143" t="s">
        <v>1822</v>
      </c>
      <c r="H5" s="143" t="s">
        <v>1828</v>
      </c>
      <c r="I5" s="143" t="s">
        <v>1824</v>
      </c>
      <c r="J5" s="143" t="s">
        <v>1825</v>
      </c>
      <c r="K5" s="143" t="s">
        <v>1826</v>
      </c>
      <c r="L5" s="142" t="s">
        <v>1827</v>
      </c>
      <c r="M5" s="143" t="s">
        <v>1822</v>
      </c>
      <c r="N5" s="143" t="s">
        <v>1828</v>
      </c>
      <c r="O5" s="143" t="s">
        <v>1825</v>
      </c>
      <c r="P5" s="143" t="s">
        <v>1826</v>
      </c>
      <c r="Q5" s="143" t="s">
        <v>1827</v>
      </c>
      <c r="R5" s="143" t="s">
        <v>1822</v>
      </c>
      <c r="S5" s="143" t="s">
        <v>1828</v>
      </c>
      <c r="T5" s="143" t="s">
        <v>1824</v>
      </c>
      <c r="U5" s="143" t="s">
        <v>1825</v>
      </c>
      <c r="V5" s="143" t="s">
        <v>1826</v>
      </c>
      <c r="W5" s="142" t="s">
        <v>1827</v>
      </c>
    </row>
    <row r="6" spans="1:23" ht="15.75" thickBot="1" x14ac:dyDescent="0.3">
      <c r="A6" s="204">
        <v>1</v>
      </c>
      <c r="B6" s="2715">
        <v>2</v>
      </c>
      <c r="C6" s="2716"/>
      <c r="D6" s="2716"/>
      <c r="E6" s="2716"/>
      <c r="F6" s="2717"/>
      <c r="G6" s="183">
        <v>3</v>
      </c>
      <c r="H6" s="183">
        <v>4</v>
      </c>
      <c r="I6" s="183">
        <v>5</v>
      </c>
      <c r="J6" s="183">
        <v>6</v>
      </c>
      <c r="K6" s="183">
        <v>7</v>
      </c>
      <c r="L6" s="91">
        <v>8</v>
      </c>
      <c r="M6" s="183">
        <v>9</v>
      </c>
      <c r="N6" s="183">
        <v>10</v>
      </c>
      <c r="O6" s="183">
        <v>11</v>
      </c>
      <c r="P6" s="183">
        <v>12</v>
      </c>
      <c r="Q6" s="183">
        <v>13</v>
      </c>
      <c r="R6" s="183">
        <v>3</v>
      </c>
      <c r="S6" s="183">
        <v>4</v>
      </c>
      <c r="T6" s="183">
        <v>5</v>
      </c>
      <c r="U6" s="183">
        <v>6</v>
      </c>
      <c r="V6" s="183">
        <v>7</v>
      </c>
      <c r="W6" s="91">
        <v>8</v>
      </c>
    </row>
    <row r="7" spans="1:23" ht="20.100000000000001" customHeight="1" x14ac:dyDescent="0.25">
      <c r="A7" s="2843" t="str">
        <f>Итоговая!C283</f>
        <v xml:space="preserve">ПС 110/10 кВ Золоотвал </v>
      </c>
      <c r="B7" s="2844">
        <f>Итоговая!D283</f>
        <v>2.5</v>
      </c>
      <c r="C7" s="392"/>
      <c r="D7" s="392"/>
      <c r="E7" s="392"/>
      <c r="F7" s="393"/>
      <c r="G7" s="2809" t="s">
        <v>1961</v>
      </c>
      <c r="H7" s="2809"/>
      <c r="I7" s="2809"/>
      <c r="J7" s="2809"/>
      <c r="K7" s="2809"/>
      <c r="L7" s="2774"/>
      <c r="M7" s="42"/>
      <c r="N7" s="42"/>
      <c r="O7" s="42"/>
      <c r="P7" s="42"/>
      <c r="Q7" s="42"/>
      <c r="R7" s="2813"/>
      <c r="S7" s="2813"/>
      <c r="T7" s="2813"/>
      <c r="U7" s="2813"/>
      <c r="V7" s="2813"/>
      <c r="W7" s="2795"/>
    </row>
    <row r="8" spans="1:23" ht="20.100000000000001" customHeight="1" x14ac:dyDescent="0.25">
      <c r="A8" s="2777"/>
      <c r="B8" s="2631"/>
      <c r="C8" s="404"/>
      <c r="D8" s="404"/>
      <c r="E8" s="404"/>
      <c r="F8" s="405"/>
      <c r="G8" s="184" t="s">
        <v>1647</v>
      </c>
      <c r="H8" s="143" t="s">
        <v>1648</v>
      </c>
      <c r="I8" s="42" t="s">
        <v>1649</v>
      </c>
      <c r="J8" s="143">
        <v>1.5</v>
      </c>
      <c r="K8" s="142"/>
      <c r="L8" s="142"/>
      <c r="M8" s="42" t="s">
        <v>1645</v>
      </c>
      <c r="N8" s="42" t="s">
        <v>1646</v>
      </c>
      <c r="O8" s="42">
        <v>0.6</v>
      </c>
      <c r="P8" s="42"/>
      <c r="Q8" s="42"/>
      <c r="R8" s="264" t="s">
        <v>1643</v>
      </c>
      <c r="S8" s="42" t="s">
        <v>1644</v>
      </c>
      <c r="T8" s="42" t="s">
        <v>3259</v>
      </c>
      <c r="U8" s="42">
        <v>0.6</v>
      </c>
      <c r="V8" s="142"/>
      <c r="W8" s="142"/>
    </row>
    <row r="9" spans="1:23" ht="17.25" customHeight="1" x14ac:dyDescent="0.25">
      <c r="A9" s="402"/>
      <c r="B9" s="2631"/>
      <c r="C9" s="404"/>
      <c r="D9" s="404"/>
      <c r="E9" s="404"/>
      <c r="F9" s="405"/>
      <c r="G9" s="2767" t="s">
        <v>1960</v>
      </c>
      <c r="H9" s="2767"/>
      <c r="I9" s="2767"/>
      <c r="J9" s="2767"/>
      <c r="K9" s="2767"/>
      <c r="L9" s="2768"/>
      <c r="M9" s="2"/>
      <c r="N9" s="2"/>
      <c r="O9" s="2"/>
      <c r="P9" s="42"/>
      <c r="Q9" s="42"/>
      <c r="R9" s="295"/>
      <c r="S9" s="295"/>
      <c r="T9" s="295"/>
      <c r="U9" s="295"/>
      <c r="V9" s="295"/>
      <c r="W9" s="295"/>
    </row>
    <row r="10" spans="1:23" ht="20.100000000000001" customHeight="1" x14ac:dyDescent="0.25">
      <c r="A10" s="402"/>
      <c r="B10" s="2631"/>
      <c r="C10" s="404"/>
      <c r="D10" s="404"/>
      <c r="E10" s="404"/>
      <c r="F10" s="405"/>
      <c r="G10" s="264"/>
      <c r="H10" s="42"/>
      <c r="I10" s="42"/>
      <c r="J10" s="42"/>
      <c r="K10" s="143"/>
      <c r="L10" s="142"/>
      <c r="M10" s="143" t="s">
        <v>1650</v>
      </c>
      <c r="N10" s="143" t="s">
        <v>1651</v>
      </c>
      <c r="O10" s="143">
        <v>0.4</v>
      </c>
      <c r="P10" s="143"/>
      <c r="Q10" s="143"/>
      <c r="R10" s="142"/>
      <c r="S10" s="142"/>
      <c r="T10" s="142"/>
      <c r="U10" s="142"/>
      <c r="V10" s="142"/>
      <c r="W10" s="142"/>
    </row>
    <row r="11" spans="1:23" ht="20.100000000000001" customHeight="1" x14ac:dyDescent="0.25">
      <c r="A11" s="402"/>
      <c r="B11" s="2631"/>
      <c r="C11" s="404"/>
      <c r="D11" s="404"/>
      <c r="E11" s="404"/>
      <c r="F11" s="405"/>
      <c r="G11" s="2767" t="s">
        <v>2477</v>
      </c>
      <c r="H11" s="2767"/>
      <c r="I11" s="2767"/>
      <c r="J11" s="2767"/>
      <c r="K11" s="2767"/>
      <c r="L11" s="2768"/>
      <c r="M11" s="143" t="s">
        <v>1652</v>
      </c>
      <c r="N11" s="143" t="s">
        <v>1653</v>
      </c>
      <c r="O11" s="143">
        <v>4.2000000000000003E-2</v>
      </c>
      <c r="P11" s="143"/>
      <c r="Q11" s="143"/>
      <c r="R11" s="142"/>
      <c r="S11" s="142"/>
      <c r="T11" s="364"/>
      <c r="U11" s="142"/>
      <c r="V11" s="142"/>
      <c r="W11" s="142"/>
    </row>
    <row r="12" spans="1:23" ht="20.100000000000001" customHeight="1" x14ac:dyDescent="0.25">
      <c r="A12" s="623"/>
      <c r="B12" s="624"/>
      <c r="C12" s="625"/>
      <c r="D12" s="625"/>
      <c r="E12" s="625"/>
      <c r="F12" s="622"/>
      <c r="G12" s="2" t="s">
        <v>2574</v>
      </c>
      <c r="H12" s="2" t="s">
        <v>2575</v>
      </c>
      <c r="I12" s="143" t="s">
        <v>2638</v>
      </c>
      <c r="J12" s="2">
        <v>0.27654000000000001</v>
      </c>
      <c r="K12" s="2"/>
      <c r="L12" s="142"/>
      <c r="M12" s="154" t="s">
        <v>308</v>
      </c>
      <c r="N12" s="154" t="s">
        <v>1470</v>
      </c>
      <c r="O12" s="151">
        <v>0.55000000000000004</v>
      </c>
      <c r="P12" s="151"/>
      <c r="Q12" s="151"/>
      <c r="R12" s="142"/>
      <c r="S12" s="142"/>
      <c r="T12" s="364"/>
      <c r="U12" s="142"/>
      <c r="V12" s="142"/>
      <c r="W12" s="142"/>
    </row>
    <row r="13" spans="1:23" ht="20.100000000000001" customHeight="1" x14ac:dyDescent="0.25">
      <c r="A13" s="623"/>
      <c r="B13" s="624"/>
      <c r="C13" s="625"/>
      <c r="D13" s="625"/>
      <c r="E13" s="625"/>
      <c r="F13" s="622"/>
      <c r="G13" s="2" t="s">
        <v>2576</v>
      </c>
      <c r="H13" s="2" t="s">
        <v>2577</v>
      </c>
      <c r="I13" s="143" t="s">
        <v>2639</v>
      </c>
      <c r="J13" s="143">
        <v>0.1</v>
      </c>
      <c r="K13" s="151"/>
      <c r="L13" s="149"/>
      <c r="M13" s="2"/>
      <c r="N13" s="2"/>
      <c r="O13" s="2"/>
      <c r="P13" s="151"/>
      <c r="Q13" s="151"/>
      <c r="R13" s="142"/>
      <c r="S13" s="142"/>
      <c r="T13" s="364"/>
      <c r="U13" s="142"/>
      <c r="V13" s="142"/>
      <c r="W13" s="142"/>
    </row>
    <row r="14" spans="1:23" ht="20.100000000000001" customHeight="1" x14ac:dyDescent="0.25">
      <c r="A14" s="402"/>
      <c r="B14" s="403"/>
      <c r="C14" s="404"/>
      <c r="D14" s="404"/>
      <c r="E14" s="404"/>
      <c r="F14" s="405"/>
      <c r="G14" s="179"/>
      <c r="H14" s="179"/>
      <c r="I14" s="198"/>
      <c r="J14" s="151"/>
      <c r="K14" s="151"/>
      <c r="L14" s="149"/>
      <c r="M14" s="2"/>
      <c r="N14" s="2"/>
      <c r="O14" s="2"/>
      <c r="P14" s="151"/>
      <c r="Q14" s="151"/>
      <c r="R14" s="142"/>
      <c r="S14" s="142"/>
      <c r="T14" s="364"/>
      <c r="U14" s="142"/>
      <c r="V14" s="142"/>
      <c r="W14" s="142"/>
    </row>
    <row r="15" spans="1:23" ht="20.100000000000001" customHeight="1" thickBot="1" x14ac:dyDescent="0.3">
      <c r="A15" s="406"/>
      <c r="B15" s="395"/>
      <c r="C15" s="396"/>
      <c r="D15" s="396"/>
      <c r="E15" s="396"/>
      <c r="F15" s="397"/>
      <c r="G15" s="2636" t="s">
        <v>1833</v>
      </c>
      <c r="H15" s="2636"/>
      <c r="I15" s="2637"/>
      <c r="J15" s="136">
        <f>SUM(0)</f>
        <v>0</v>
      </c>
      <c r="K15" s="183">
        <v>0.92</v>
      </c>
      <c r="L15" s="136">
        <f>J15/K15</f>
        <v>0</v>
      </c>
      <c r="M15" s="2652" t="s">
        <v>1834</v>
      </c>
      <c r="N15" s="2637"/>
      <c r="O15" s="136">
        <f>SUM(O8:O14)</f>
        <v>1.5920000000000001</v>
      </c>
      <c r="P15" s="183">
        <v>0.92</v>
      </c>
      <c r="Q15" s="136">
        <f>O15/P15</f>
        <v>1.7304347826086957</v>
      </c>
      <c r="R15" s="2636" t="s">
        <v>1833</v>
      </c>
      <c r="S15" s="2636"/>
      <c r="T15" s="2637"/>
      <c r="U15" s="136">
        <f>SUM(U8:U14)</f>
        <v>0.6</v>
      </c>
      <c r="V15" s="183">
        <v>0.92</v>
      </c>
      <c r="W15" s="136">
        <f>U15/V15</f>
        <v>0.65217391304347816</v>
      </c>
    </row>
    <row r="16" spans="1:23" ht="20.100000000000001" customHeight="1" x14ac:dyDescent="0.25">
      <c r="A16" s="2776" t="str">
        <f>Итоговая!C284</f>
        <v xml:space="preserve">ПС 35/10 кВ Красногорская </v>
      </c>
      <c r="B16" s="2630">
        <f>Итоговая!D284</f>
        <v>1.6</v>
      </c>
      <c r="C16" s="400"/>
      <c r="D16" s="400"/>
      <c r="E16" s="400"/>
      <c r="F16" s="401"/>
      <c r="G16" s="2809" t="s">
        <v>2477</v>
      </c>
      <c r="H16" s="2809"/>
      <c r="I16" s="2809"/>
      <c r="J16" s="2809"/>
      <c r="K16" s="2809"/>
      <c r="L16" s="2774"/>
      <c r="M16" s="42" t="s">
        <v>348</v>
      </c>
      <c r="N16" s="42" t="s">
        <v>349</v>
      </c>
      <c r="O16" s="153">
        <v>0.28499999999999998</v>
      </c>
      <c r="P16" s="42"/>
      <c r="Q16" s="42"/>
      <c r="R16" s="72"/>
      <c r="S16" s="72"/>
      <c r="T16" s="72"/>
      <c r="U16" s="72"/>
      <c r="V16" s="42"/>
      <c r="W16" s="72"/>
    </row>
    <row r="17" spans="1:23" ht="20.100000000000001" customHeight="1" x14ac:dyDescent="0.25">
      <c r="A17" s="2777"/>
      <c r="B17" s="2631"/>
      <c r="C17" s="404"/>
      <c r="D17" s="404"/>
      <c r="E17" s="404"/>
      <c r="F17" s="405"/>
      <c r="G17" s="42" t="s">
        <v>508</v>
      </c>
      <c r="H17" s="180" t="s">
        <v>2538</v>
      </c>
      <c r="I17" s="142" t="s">
        <v>2549</v>
      </c>
      <c r="J17" s="151">
        <f>0.045-0.005</f>
        <v>0.04</v>
      </c>
      <c r="K17" s="143"/>
      <c r="L17" s="142"/>
      <c r="M17" s="143" t="s">
        <v>350</v>
      </c>
      <c r="N17" s="143" t="s">
        <v>351</v>
      </c>
      <c r="O17" s="143">
        <v>1.8499999999999999E-2</v>
      </c>
      <c r="P17" s="143"/>
      <c r="Q17" s="143"/>
      <c r="R17" s="142"/>
      <c r="S17" s="142"/>
      <c r="T17" s="142"/>
      <c r="U17" s="142"/>
      <c r="V17" s="143"/>
      <c r="W17" s="142"/>
    </row>
    <row r="18" spans="1:23" ht="20.100000000000001" customHeight="1" x14ac:dyDescent="0.25">
      <c r="A18" s="2777"/>
      <c r="B18" s="2631"/>
      <c r="C18" s="404"/>
      <c r="D18" s="404"/>
      <c r="E18" s="404"/>
      <c r="F18" s="405"/>
      <c r="G18" s="1222"/>
      <c r="H18" s="1223"/>
      <c r="I18" s="1223"/>
      <c r="J18" s="1223"/>
      <c r="K18" s="1223"/>
      <c r="L18" s="1223"/>
      <c r="M18" s="143" t="s">
        <v>2001</v>
      </c>
      <c r="N18" s="143" t="s">
        <v>2002</v>
      </c>
      <c r="O18" s="143">
        <v>0.216</v>
      </c>
      <c r="P18" s="143"/>
      <c r="Q18" s="143"/>
      <c r="R18" s="142"/>
      <c r="S18" s="142"/>
      <c r="T18" s="142"/>
      <c r="U18" s="142"/>
      <c r="V18" s="143"/>
      <c r="W18" s="142"/>
    </row>
    <row r="19" spans="1:23" ht="20.100000000000001" customHeight="1" x14ac:dyDescent="0.25">
      <c r="A19" s="608"/>
      <c r="B19" s="609"/>
      <c r="C19" s="610"/>
      <c r="D19" s="610"/>
      <c r="E19" s="610"/>
      <c r="F19" s="607"/>
      <c r="G19" s="143" t="s">
        <v>508</v>
      </c>
      <c r="H19" s="143" t="s">
        <v>2954</v>
      </c>
      <c r="I19" s="142" t="s">
        <v>3005</v>
      </c>
      <c r="J19" s="143">
        <f>0.16-0.045</f>
        <v>0.115</v>
      </c>
      <c r="K19" s="143"/>
      <c r="L19" s="142"/>
      <c r="M19" s="42" t="s">
        <v>2668</v>
      </c>
      <c r="N19" s="180" t="s">
        <v>2669</v>
      </c>
      <c r="O19" s="151">
        <v>0.1</v>
      </c>
      <c r="P19" s="151"/>
      <c r="Q19" s="151"/>
      <c r="R19" s="147"/>
      <c r="S19" s="365"/>
      <c r="T19" s="176"/>
      <c r="U19" s="149"/>
      <c r="V19" s="151"/>
      <c r="W19" s="149"/>
    </row>
    <row r="20" spans="1:23" ht="20.100000000000001" customHeight="1" x14ac:dyDescent="0.25">
      <c r="A20" s="739"/>
      <c r="B20" s="740"/>
      <c r="C20" s="741"/>
      <c r="D20" s="741"/>
      <c r="E20" s="741"/>
      <c r="F20" s="738"/>
      <c r="G20" s="2767" t="s">
        <v>3447</v>
      </c>
      <c r="H20" s="2767"/>
      <c r="I20" s="2767"/>
      <c r="J20" s="2767"/>
      <c r="K20" s="2767"/>
      <c r="L20" s="2768"/>
      <c r="M20" s="143"/>
      <c r="N20" s="143"/>
      <c r="O20" s="143"/>
      <c r="P20" s="143"/>
      <c r="Q20" s="143"/>
      <c r="R20" s="142"/>
      <c r="S20" s="142"/>
      <c r="T20" s="142"/>
      <c r="U20" s="142"/>
      <c r="V20" s="143"/>
      <c r="W20" s="142"/>
    </row>
    <row r="21" spans="1:23" ht="20.100000000000001" customHeight="1" x14ac:dyDescent="0.25">
      <c r="A21" s="1185"/>
      <c r="B21" s="1183"/>
      <c r="C21" s="1187"/>
      <c r="D21" s="1187"/>
      <c r="E21" s="1187"/>
      <c r="F21" s="1184"/>
      <c r="G21" s="2842" t="s">
        <v>3401</v>
      </c>
      <c r="H21" s="2842"/>
      <c r="I21" s="2842"/>
      <c r="J21" s="2345">
        <f>0.454*0.9</f>
        <v>0.40860000000000002</v>
      </c>
      <c r="K21" s="2342"/>
      <c r="L21" s="2344"/>
      <c r="M21" s="146"/>
      <c r="N21" s="180"/>
      <c r="O21" s="151"/>
      <c r="P21" s="151"/>
      <c r="Q21" s="151"/>
      <c r="R21" s="147"/>
      <c r="S21" s="365"/>
      <c r="T21" s="176"/>
      <c r="U21" s="149"/>
      <c r="V21" s="151"/>
      <c r="W21" s="149"/>
    </row>
    <row r="22" spans="1:23" ht="20.100000000000001" customHeight="1" x14ac:dyDescent="0.25">
      <c r="A22" s="2236"/>
      <c r="B22" s="2214"/>
      <c r="C22" s="2215"/>
      <c r="D22" s="2215"/>
      <c r="E22" s="2215"/>
      <c r="F22" s="2219"/>
      <c r="G22" s="2804" t="s">
        <v>17005</v>
      </c>
      <c r="H22" s="2804"/>
      <c r="I22" s="2804"/>
      <c r="J22" s="2804"/>
      <c r="K22" s="2804"/>
      <c r="L22" s="2804"/>
      <c r="M22" s="2228"/>
      <c r="N22" s="2230"/>
      <c r="O22" s="2235"/>
      <c r="P22" s="2235"/>
      <c r="Q22" s="2235"/>
      <c r="R22" s="2242"/>
      <c r="S22" s="2243"/>
      <c r="T22" s="2244"/>
      <c r="U22" s="149"/>
      <c r="V22" s="2235"/>
      <c r="W22" s="149"/>
    </row>
    <row r="23" spans="1:23" ht="20.100000000000001" customHeight="1" x14ac:dyDescent="0.25">
      <c r="A23" s="2236"/>
      <c r="B23" s="2214"/>
      <c r="C23" s="2215"/>
      <c r="D23" s="2215"/>
      <c r="E23" s="2215"/>
      <c r="F23" s="2219"/>
      <c r="G23" s="2842" t="s">
        <v>3401</v>
      </c>
      <c r="H23" s="2842"/>
      <c r="I23" s="2842"/>
      <c r="J23" s="2345">
        <f>0.375*0.9</f>
        <v>0.33750000000000002</v>
      </c>
      <c r="K23" s="2342"/>
      <c r="L23" s="2344"/>
      <c r="M23" s="2228"/>
      <c r="N23" s="2230"/>
      <c r="O23" s="2235"/>
      <c r="P23" s="2235"/>
      <c r="Q23" s="2235"/>
      <c r="R23" s="2242"/>
      <c r="S23" s="2243"/>
      <c r="T23" s="2244"/>
      <c r="U23" s="149"/>
      <c r="V23" s="2235"/>
      <c r="W23" s="149"/>
    </row>
    <row r="24" spans="1:23" ht="20.100000000000001" customHeight="1" x14ac:dyDescent="0.25">
      <c r="A24" s="2331"/>
      <c r="B24" s="2316"/>
      <c r="C24" s="2317"/>
      <c r="D24" s="2317"/>
      <c r="E24" s="2317"/>
      <c r="F24" s="2320"/>
      <c r="G24" s="2344" t="s">
        <v>20283</v>
      </c>
      <c r="H24" s="2344" t="s">
        <v>20284</v>
      </c>
      <c r="I24" s="2344" t="s">
        <v>20285</v>
      </c>
      <c r="J24" s="2344">
        <f>0.406*0.9</f>
        <v>0.36540000000000006</v>
      </c>
      <c r="K24" s="2342"/>
      <c r="L24" s="2344"/>
      <c r="M24" s="2323"/>
      <c r="N24" s="2325"/>
      <c r="O24" s="2332"/>
      <c r="P24" s="2332"/>
      <c r="Q24" s="2332"/>
      <c r="R24" s="2335"/>
      <c r="S24" s="2336"/>
      <c r="T24" s="2337"/>
      <c r="U24" s="149"/>
      <c r="V24" s="2332"/>
      <c r="W24" s="149"/>
    </row>
    <row r="25" spans="1:23" ht="20.100000000000001" customHeight="1" thickBot="1" x14ac:dyDescent="0.3">
      <c r="A25" s="406"/>
      <c r="B25" s="395"/>
      <c r="C25" s="396"/>
      <c r="D25" s="396"/>
      <c r="E25" s="396"/>
      <c r="F25" s="397"/>
      <c r="G25" s="2636" t="s">
        <v>1833</v>
      </c>
      <c r="H25" s="2636"/>
      <c r="I25" s="2637"/>
      <c r="J25" s="136">
        <f>SUM(J21:J24)</f>
        <v>1.1114999999999999</v>
      </c>
      <c r="K25" s="183">
        <v>0.92</v>
      </c>
      <c r="L25" s="136">
        <f>J25/K25</f>
        <v>1.2081521739130434</v>
      </c>
      <c r="M25" s="2652" t="s">
        <v>1834</v>
      </c>
      <c r="N25" s="2637"/>
      <c r="O25" s="136">
        <f>SUM(O16:O20)</f>
        <v>0.61949999999999994</v>
      </c>
      <c r="P25" s="183">
        <v>0.92</v>
      </c>
      <c r="Q25" s="136">
        <f>O25/P25</f>
        <v>0.67336956521739122</v>
      </c>
      <c r="R25" s="2652" t="s">
        <v>1833</v>
      </c>
      <c r="S25" s="2636"/>
      <c r="T25" s="2637"/>
      <c r="U25" s="136">
        <f>SUM(U16:U18)</f>
        <v>0</v>
      </c>
      <c r="V25" s="183">
        <v>0.92</v>
      </c>
      <c r="W25" s="136">
        <f>U25/V25</f>
        <v>0</v>
      </c>
    </row>
    <row r="26" spans="1:23" ht="20.100000000000001" customHeight="1" x14ac:dyDescent="0.25">
      <c r="A26" s="2776" t="str">
        <f>Итоговая!C285</f>
        <v xml:space="preserve">ПС 35/10 кВ Лисицкий Бор </v>
      </c>
      <c r="B26" s="2630">
        <f>Итоговая!D285</f>
        <v>2.5</v>
      </c>
      <c r="C26" s="400"/>
      <c r="D26" s="400"/>
      <c r="E26" s="400"/>
      <c r="F26" s="401"/>
      <c r="G26" s="2808" t="s">
        <v>1959</v>
      </c>
      <c r="H26" s="2808"/>
      <c r="I26" s="2808"/>
      <c r="J26" s="2808"/>
      <c r="K26" s="2808"/>
      <c r="L26" s="2800"/>
      <c r="M26" s="143" t="s">
        <v>355</v>
      </c>
      <c r="N26" s="143" t="s">
        <v>356</v>
      </c>
      <c r="O26" s="143">
        <v>0.45400000000000001</v>
      </c>
      <c r="P26" s="149"/>
      <c r="Q26" s="149"/>
      <c r="R26" s="2811"/>
      <c r="S26" s="2791"/>
      <c r="T26" s="2791"/>
      <c r="U26" s="2791"/>
      <c r="V26" s="2791"/>
      <c r="W26" s="2792"/>
    </row>
    <row r="27" spans="1:23" ht="20.100000000000001" customHeight="1" x14ac:dyDescent="0.25">
      <c r="A27" s="2777"/>
      <c r="B27" s="2631"/>
      <c r="C27" s="404"/>
      <c r="D27" s="404"/>
      <c r="E27" s="404"/>
      <c r="F27" s="405"/>
      <c r="G27" s="184" t="s">
        <v>352</v>
      </c>
      <c r="H27" s="143" t="s">
        <v>353</v>
      </c>
      <c r="I27" s="143" t="s">
        <v>354</v>
      </c>
      <c r="J27" s="143">
        <v>0.124</v>
      </c>
      <c r="K27" s="143"/>
      <c r="L27" s="142"/>
      <c r="M27" s="143" t="s">
        <v>357</v>
      </c>
      <c r="N27" s="143" t="s">
        <v>358</v>
      </c>
      <c r="O27" s="143">
        <v>0.24778</v>
      </c>
      <c r="P27" s="143"/>
      <c r="Q27" s="143"/>
      <c r="R27" s="142"/>
      <c r="S27" s="142"/>
      <c r="T27" s="142"/>
      <c r="U27" s="142"/>
      <c r="V27" s="142"/>
      <c r="W27" s="142"/>
    </row>
    <row r="28" spans="1:23" ht="17.25" customHeight="1" x14ac:dyDescent="0.25">
      <c r="A28" s="402"/>
      <c r="B28" s="403"/>
      <c r="C28" s="404"/>
      <c r="D28" s="404"/>
      <c r="E28" s="404"/>
      <c r="F28" s="405"/>
      <c r="G28" s="2768" t="s">
        <v>2032</v>
      </c>
      <c r="H28" s="2804"/>
      <c r="I28" s="2804"/>
      <c r="J28" s="2804"/>
      <c r="K28" s="2804"/>
      <c r="L28" s="2804"/>
      <c r="M28" s="143" t="s">
        <v>4</v>
      </c>
      <c r="N28" s="143" t="s">
        <v>5</v>
      </c>
      <c r="O28" s="143">
        <v>0.38</v>
      </c>
      <c r="P28" s="143"/>
      <c r="Q28" s="143"/>
      <c r="R28" s="2794"/>
      <c r="S28" s="2794"/>
      <c r="T28" s="2794"/>
      <c r="U28" s="2794"/>
      <c r="V28" s="2794"/>
      <c r="W28" s="2794"/>
    </row>
    <row r="29" spans="1:23" ht="29.25" customHeight="1" x14ac:dyDescent="0.25">
      <c r="A29" s="402"/>
      <c r="B29" s="403"/>
      <c r="C29" s="404"/>
      <c r="D29" s="404"/>
      <c r="E29" s="404"/>
      <c r="F29" s="405"/>
      <c r="G29" s="184" t="s">
        <v>359</v>
      </c>
      <c r="H29" s="143" t="s">
        <v>360</v>
      </c>
      <c r="I29" s="214">
        <v>40253</v>
      </c>
      <c r="J29" s="143">
        <v>0.6</v>
      </c>
      <c r="K29" s="143"/>
      <c r="L29" s="142"/>
      <c r="M29" s="143" t="s">
        <v>2138</v>
      </c>
      <c r="N29" s="143" t="s">
        <v>2139</v>
      </c>
      <c r="O29" s="143">
        <v>0.28000000000000003</v>
      </c>
      <c r="P29" s="143"/>
      <c r="Q29" s="143"/>
      <c r="R29" s="142"/>
      <c r="S29" s="142"/>
      <c r="T29" s="215"/>
      <c r="U29" s="142"/>
      <c r="V29" s="142"/>
      <c r="W29" s="142"/>
    </row>
    <row r="30" spans="1:23" ht="20.100000000000001" customHeight="1" x14ac:dyDescent="0.25">
      <c r="A30" s="402"/>
      <c r="B30" s="403"/>
      <c r="C30" s="404"/>
      <c r="D30" s="404"/>
      <c r="E30" s="404"/>
      <c r="F30" s="405"/>
      <c r="G30" s="184" t="s">
        <v>792</v>
      </c>
      <c r="H30" s="143" t="s">
        <v>793</v>
      </c>
      <c r="I30" s="143" t="s">
        <v>2243</v>
      </c>
      <c r="J30" s="143">
        <v>0.1</v>
      </c>
      <c r="K30" s="143"/>
      <c r="L30" s="142"/>
      <c r="M30" s="8"/>
      <c r="N30" s="8"/>
      <c r="O30" s="8"/>
      <c r="P30" s="143"/>
      <c r="Q30" s="143"/>
      <c r="R30" s="142"/>
      <c r="S30" s="142"/>
      <c r="T30" s="142"/>
      <c r="U30" s="142"/>
      <c r="V30" s="142"/>
      <c r="W30" s="142"/>
    </row>
    <row r="31" spans="1:23" ht="20.100000000000001" customHeight="1" x14ac:dyDescent="0.25">
      <c r="A31" s="402"/>
      <c r="B31" s="403"/>
      <c r="C31" s="404"/>
      <c r="D31" s="404"/>
      <c r="E31" s="404"/>
      <c r="F31" s="405"/>
      <c r="G31" s="184" t="s">
        <v>792</v>
      </c>
      <c r="H31" s="143" t="s">
        <v>794</v>
      </c>
      <c r="I31" s="143" t="s">
        <v>2244</v>
      </c>
      <c r="J31" s="143">
        <v>0.1</v>
      </c>
      <c r="K31" s="143"/>
      <c r="L31" s="142"/>
      <c r="M31" s="143"/>
      <c r="N31" s="143"/>
      <c r="O31" s="143"/>
      <c r="P31" s="143"/>
      <c r="Q31" s="143"/>
      <c r="R31" s="142"/>
      <c r="S31" s="142"/>
      <c r="T31" s="142"/>
      <c r="U31" s="142"/>
      <c r="V31" s="142"/>
      <c r="W31" s="142"/>
    </row>
    <row r="32" spans="1:23" ht="20.100000000000001" customHeight="1" x14ac:dyDescent="0.25">
      <c r="A32" s="1185"/>
      <c r="B32" s="1183"/>
      <c r="C32" s="1187"/>
      <c r="D32" s="1187"/>
      <c r="E32" s="1187"/>
      <c r="F32" s="1184"/>
      <c r="G32" s="2768" t="s">
        <v>3020</v>
      </c>
      <c r="H32" s="2804"/>
      <c r="I32" s="2804"/>
      <c r="J32" s="2804"/>
      <c r="K32" s="2804"/>
      <c r="L32" s="2804"/>
      <c r="M32" s="146"/>
      <c r="N32" s="180"/>
      <c r="O32" s="151"/>
      <c r="P32" s="151"/>
      <c r="Q32" s="151"/>
      <c r="R32" s="147"/>
      <c r="S32" s="365"/>
      <c r="T32" s="176"/>
      <c r="U32" s="149"/>
      <c r="V32" s="149"/>
      <c r="W32" s="149"/>
    </row>
    <row r="33" spans="1:23" ht="20.100000000000001" customHeight="1" x14ac:dyDescent="0.25">
      <c r="A33" s="1185"/>
      <c r="B33" s="1183"/>
      <c r="C33" s="1187"/>
      <c r="D33" s="1187"/>
      <c r="E33" s="1187"/>
      <c r="F33" s="1184"/>
      <c r="G33" s="2771"/>
      <c r="H33" s="2772"/>
      <c r="I33" s="2468"/>
      <c r="J33" s="149"/>
      <c r="K33" s="149"/>
      <c r="L33" s="149"/>
      <c r="M33" s="146"/>
      <c r="N33" s="180"/>
      <c r="O33" s="151"/>
      <c r="P33" s="151"/>
      <c r="Q33" s="151"/>
      <c r="R33" s="147"/>
      <c r="S33" s="365"/>
      <c r="T33" s="176"/>
      <c r="U33" s="149"/>
      <c r="V33" s="149"/>
      <c r="W33" s="149"/>
    </row>
    <row r="34" spans="1:23" ht="20.100000000000001" customHeight="1" x14ac:dyDescent="0.25">
      <c r="A34" s="1592"/>
      <c r="B34" s="1598"/>
      <c r="C34" s="1601"/>
      <c r="D34" s="1601"/>
      <c r="E34" s="1601"/>
      <c r="F34" s="1599"/>
      <c r="G34" s="2768" t="s">
        <v>17005</v>
      </c>
      <c r="H34" s="2804"/>
      <c r="I34" s="2804"/>
      <c r="J34" s="2804"/>
      <c r="K34" s="2804"/>
      <c r="L34" s="2804"/>
      <c r="M34" s="1595"/>
      <c r="N34" s="1597"/>
      <c r="O34" s="1593"/>
      <c r="P34" s="1593"/>
      <c r="Q34" s="1593"/>
      <c r="R34" s="1610"/>
      <c r="S34" s="1611"/>
      <c r="T34" s="1612"/>
      <c r="U34" s="149"/>
      <c r="V34" s="149"/>
      <c r="W34" s="149"/>
    </row>
    <row r="35" spans="1:23" ht="20.100000000000001" customHeight="1" x14ac:dyDescent="0.25">
      <c r="A35" s="1592"/>
      <c r="B35" s="1598"/>
      <c r="C35" s="1601"/>
      <c r="D35" s="1601"/>
      <c r="E35" s="1601"/>
      <c r="F35" s="1599"/>
      <c r="G35" s="2784" t="s">
        <v>3401</v>
      </c>
      <c r="H35" s="2785"/>
      <c r="I35" s="2786"/>
      <c r="J35" s="775">
        <f>0.143*0.9</f>
        <v>0.12869999999999998</v>
      </c>
      <c r="K35" s="2235"/>
      <c r="L35" s="149"/>
      <c r="M35" s="1595"/>
      <c r="N35" s="1597"/>
      <c r="O35" s="1593"/>
      <c r="P35" s="1593"/>
      <c r="Q35" s="1593"/>
      <c r="R35" s="1610"/>
      <c r="S35" s="1611"/>
      <c r="T35" s="1612"/>
      <c r="U35" s="149"/>
      <c r="V35" s="149"/>
      <c r="W35" s="149"/>
    </row>
    <row r="36" spans="1:23" ht="20.100000000000001" customHeight="1" thickBot="1" x14ac:dyDescent="0.3">
      <c r="A36" s="406"/>
      <c r="B36" s="395"/>
      <c r="C36" s="396"/>
      <c r="D36" s="396"/>
      <c r="E36" s="396"/>
      <c r="F36" s="397"/>
      <c r="G36" s="2636" t="s">
        <v>1833</v>
      </c>
      <c r="H36" s="2636"/>
      <c r="I36" s="2637"/>
      <c r="J36" s="136">
        <f>SUM(J35)</f>
        <v>0.12869999999999998</v>
      </c>
      <c r="K36" s="183">
        <v>0.92</v>
      </c>
      <c r="L36" s="136">
        <f>J36/K36</f>
        <v>0.13989130434782607</v>
      </c>
      <c r="M36" s="2652" t="s">
        <v>1834</v>
      </c>
      <c r="N36" s="2637"/>
      <c r="O36" s="136">
        <f>SUM(O26:O29)</f>
        <v>1.3617800000000002</v>
      </c>
      <c r="P36" s="183">
        <v>0.92</v>
      </c>
      <c r="Q36" s="136">
        <f>O36/P36</f>
        <v>1.4801956521739132</v>
      </c>
      <c r="R36" s="2652" t="s">
        <v>1833</v>
      </c>
      <c r="S36" s="2636"/>
      <c r="T36" s="2637"/>
      <c r="U36" s="136">
        <f>SUM(U27:U31)</f>
        <v>0</v>
      </c>
      <c r="V36" s="183">
        <v>0.92</v>
      </c>
      <c r="W36" s="136">
        <f>U36/V36</f>
        <v>0</v>
      </c>
    </row>
    <row r="37" spans="1:23" ht="20.100000000000001" customHeight="1" x14ac:dyDescent="0.25">
      <c r="A37" s="407" t="str">
        <f>Итоговая!C286</f>
        <v xml:space="preserve">ПС  35/3 кВ №6 </v>
      </c>
      <c r="B37" s="399">
        <f>Итоговая!D286</f>
        <v>1</v>
      </c>
      <c r="C37" s="400"/>
      <c r="D37" s="400"/>
      <c r="E37" s="400"/>
      <c r="F37" s="401"/>
      <c r="G37" s="422"/>
      <c r="H37" s="4"/>
      <c r="I37" s="4"/>
      <c r="J37" s="4"/>
      <c r="K37" s="4"/>
      <c r="L37" s="77"/>
      <c r="M37" s="4"/>
      <c r="N37" s="4"/>
      <c r="O37" s="4"/>
      <c r="P37" s="4"/>
      <c r="Q37" s="274"/>
      <c r="R37" s="4"/>
      <c r="S37" s="4"/>
      <c r="T37" s="4"/>
      <c r="U37" s="4"/>
      <c r="V37" s="4"/>
      <c r="W37" s="77"/>
    </row>
    <row r="38" spans="1:23" ht="20.100000000000001" customHeight="1" thickBot="1" x14ac:dyDescent="0.3">
      <c r="A38" s="406"/>
      <c r="B38" s="395"/>
      <c r="C38" s="396"/>
      <c r="D38" s="396"/>
      <c r="E38" s="396"/>
      <c r="F38" s="397"/>
      <c r="G38" s="2636" t="s">
        <v>1833</v>
      </c>
      <c r="H38" s="2636"/>
      <c r="I38" s="2637"/>
      <c r="J38" s="136">
        <f>SUM(J37:J37)</f>
        <v>0</v>
      </c>
      <c r="K38" s="183">
        <v>0.92</v>
      </c>
      <c r="L38" s="136">
        <f>J38/K38</f>
        <v>0</v>
      </c>
      <c r="M38" s="2652" t="s">
        <v>1834</v>
      </c>
      <c r="N38" s="2637"/>
      <c r="O38" s="136">
        <f>SUM(O37:O37)</f>
        <v>0</v>
      </c>
      <c r="P38" s="183">
        <v>0.92</v>
      </c>
      <c r="Q38" s="275">
        <f>O38/P38</f>
        <v>0</v>
      </c>
      <c r="R38" s="2652" t="s">
        <v>1833</v>
      </c>
      <c r="S38" s="2636"/>
      <c r="T38" s="2637"/>
      <c r="U38" s="136">
        <f>SUM(U37:U37)</f>
        <v>0</v>
      </c>
      <c r="V38" s="183">
        <v>0.92</v>
      </c>
      <c r="W38" s="136">
        <f>U38/V38</f>
        <v>0</v>
      </c>
    </row>
    <row r="39" spans="1:23" ht="20.100000000000001" customHeight="1" x14ac:dyDescent="0.25">
      <c r="A39" s="2776" t="str">
        <f>Итоговая!C287</f>
        <v xml:space="preserve">ПС 35/6 кВ №1 </v>
      </c>
      <c r="B39" s="2630">
        <f>Итоговая!D287</f>
        <v>1</v>
      </c>
      <c r="C39" s="400"/>
      <c r="D39" s="400"/>
      <c r="E39" s="400"/>
      <c r="F39" s="401"/>
      <c r="G39" s="2768" t="s">
        <v>2032</v>
      </c>
      <c r="H39" s="2804"/>
      <c r="I39" s="2804"/>
      <c r="J39" s="2804"/>
      <c r="K39" s="2804"/>
      <c r="L39" s="2804"/>
      <c r="M39" s="72"/>
      <c r="N39" s="72"/>
      <c r="O39" s="72"/>
      <c r="P39" s="72"/>
      <c r="Q39" s="72"/>
      <c r="R39" s="2804" t="s">
        <v>2032</v>
      </c>
      <c r="S39" s="2804"/>
      <c r="T39" s="2804"/>
      <c r="U39" s="2804"/>
      <c r="V39" s="2804"/>
      <c r="W39" s="2804"/>
    </row>
    <row r="40" spans="1:23" ht="80.25" customHeight="1" x14ac:dyDescent="0.25">
      <c r="A40" s="2777"/>
      <c r="B40" s="2631"/>
      <c r="C40" s="404"/>
      <c r="D40" s="404"/>
      <c r="E40" s="404"/>
      <c r="F40" s="405"/>
      <c r="G40" s="184" t="s">
        <v>2183</v>
      </c>
      <c r="H40" s="143" t="s">
        <v>2184</v>
      </c>
      <c r="I40" s="143" t="s">
        <v>2285</v>
      </c>
      <c r="J40" s="151">
        <v>0.2</v>
      </c>
      <c r="K40" s="305"/>
      <c r="L40" s="307"/>
      <c r="M40" s="2" t="s">
        <v>1864</v>
      </c>
      <c r="N40" s="2" t="s">
        <v>2041</v>
      </c>
      <c r="O40" s="2">
        <v>2.2499999999999999E-2</v>
      </c>
      <c r="P40" s="142"/>
      <c r="Q40" s="142"/>
      <c r="R40" s="340" t="s">
        <v>1864</v>
      </c>
      <c r="S40" s="340" t="s">
        <v>2046</v>
      </c>
      <c r="T40" s="340" t="s">
        <v>2492</v>
      </c>
      <c r="U40" s="340">
        <v>4.5999999999999999E-2</v>
      </c>
      <c r="V40" s="340"/>
      <c r="W40" s="348"/>
    </row>
    <row r="41" spans="1:23" ht="72" customHeight="1" x14ac:dyDescent="0.25">
      <c r="A41" s="402"/>
      <c r="B41" s="403"/>
      <c r="C41" s="404"/>
      <c r="D41" s="404"/>
      <c r="E41" s="404"/>
      <c r="F41" s="405"/>
      <c r="G41" s="2" t="s">
        <v>1864</v>
      </c>
      <c r="H41" s="2" t="s">
        <v>2041</v>
      </c>
      <c r="I41" s="143" t="s">
        <v>2450</v>
      </c>
      <c r="J41" s="2">
        <v>2.2499999999999999E-2</v>
      </c>
      <c r="K41" s="143"/>
      <c r="L41" s="142"/>
      <c r="M41" s="66" t="s">
        <v>2186</v>
      </c>
      <c r="N41" s="2" t="s">
        <v>2770</v>
      </c>
      <c r="O41" s="180">
        <v>7.0000000000000007E-2</v>
      </c>
      <c r="P41" s="2"/>
      <c r="Q41" s="305"/>
      <c r="R41" s="142"/>
      <c r="S41" s="142"/>
      <c r="T41" s="142"/>
      <c r="U41" s="149"/>
      <c r="V41" s="149"/>
      <c r="W41" s="149"/>
    </row>
    <row r="42" spans="1:23" ht="19.5" customHeight="1" x14ac:dyDescent="0.25">
      <c r="A42" s="870"/>
      <c r="B42" s="872"/>
      <c r="C42" s="873"/>
      <c r="D42" s="873"/>
      <c r="E42" s="873"/>
      <c r="F42" s="868"/>
      <c r="G42" s="2768" t="s">
        <v>3447</v>
      </c>
      <c r="H42" s="2804"/>
      <c r="I42" s="2804"/>
      <c r="J42" s="2804"/>
      <c r="K42" s="2804"/>
      <c r="L42" s="2804"/>
      <c r="M42" s="2"/>
      <c r="N42" s="2"/>
      <c r="O42" s="143"/>
      <c r="P42" s="2"/>
      <c r="Q42" s="303"/>
      <c r="R42" s="147"/>
      <c r="S42" s="365"/>
      <c r="T42" s="176"/>
      <c r="U42" s="149"/>
      <c r="V42" s="149"/>
      <c r="W42" s="149"/>
    </row>
    <row r="43" spans="1:23" ht="29.25" customHeight="1" x14ac:dyDescent="0.25">
      <c r="A43" s="870"/>
      <c r="B43" s="872"/>
      <c r="C43" s="873"/>
      <c r="D43" s="873"/>
      <c r="E43" s="873"/>
      <c r="F43" s="868"/>
      <c r="G43" s="2" t="s">
        <v>3378</v>
      </c>
      <c r="H43" s="2" t="s">
        <v>3379</v>
      </c>
      <c r="I43" s="2" t="s">
        <v>3497</v>
      </c>
      <c r="J43" s="143">
        <f>0.49*0.9</f>
        <v>0.441</v>
      </c>
      <c r="K43" s="143"/>
      <c r="L43" s="142"/>
      <c r="M43" s="2"/>
      <c r="N43" s="2"/>
      <c r="O43" s="143"/>
      <c r="P43" s="2"/>
      <c r="Q43" s="303"/>
      <c r="R43" s="147"/>
      <c r="S43" s="365"/>
      <c r="T43" s="176"/>
      <c r="U43" s="149"/>
      <c r="V43" s="149"/>
      <c r="W43" s="149"/>
    </row>
    <row r="44" spans="1:23" ht="20.100000000000001" customHeight="1" thickBot="1" x14ac:dyDescent="0.3">
      <c r="A44" s="406"/>
      <c r="B44" s="395"/>
      <c r="C44" s="396"/>
      <c r="D44" s="396"/>
      <c r="E44" s="396"/>
      <c r="F44" s="397"/>
      <c r="G44" s="2636" t="s">
        <v>1833</v>
      </c>
      <c r="H44" s="2636"/>
      <c r="I44" s="2637"/>
      <c r="J44" s="136">
        <f>SUM(J43)</f>
        <v>0.441</v>
      </c>
      <c r="K44" s="183">
        <v>0.92</v>
      </c>
      <c r="L44" s="136">
        <f>J44/K44</f>
        <v>0.47934782608695653</v>
      </c>
      <c r="M44" s="2652" t="s">
        <v>1834</v>
      </c>
      <c r="N44" s="2637"/>
      <c r="O44" s="136">
        <f>SUM(O39:O43)</f>
        <v>9.2499999999999999E-2</v>
      </c>
      <c r="P44" s="183">
        <v>0.92</v>
      </c>
      <c r="Q44" s="136">
        <f>O44/P44</f>
        <v>0.10054347826086955</v>
      </c>
      <c r="R44" s="2652" t="s">
        <v>1833</v>
      </c>
      <c r="S44" s="2636"/>
      <c r="T44" s="2637"/>
      <c r="U44" s="136">
        <f>SUM(U40:U41)</f>
        <v>4.5999999999999999E-2</v>
      </c>
      <c r="V44" s="183">
        <v>0.92</v>
      </c>
      <c r="W44" s="136">
        <f>U44/V44</f>
        <v>4.9999999999999996E-2</v>
      </c>
    </row>
    <row r="45" spans="1:23" ht="20.100000000000001" customHeight="1" x14ac:dyDescent="0.25">
      <c r="A45" s="2776" t="str">
        <f>Итоговая!C288</f>
        <v xml:space="preserve">  ПС  35/10 кВ №1 </v>
      </c>
      <c r="B45" s="2630">
        <f>Итоговая!D288</f>
        <v>4</v>
      </c>
      <c r="C45" s="400"/>
      <c r="D45" s="400"/>
      <c r="E45" s="400"/>
      <c r="F45" s="401"/>
      <c r="G45" s="2808" t="s">
        <v>1963</v>
      </c>
      <c r="H45" s="2808"/>
      <c r="I45" s="2808"/>
      <c r="J45" s="2808"/>
      <c r="K45" s="2808"/>
      <c r="L45" s="2800"/>
      <c r="M45" s="147"/>
      <c r="N45" s="176"/>
      <c r="O45" s="149"/>
      <c r="P45" s="149"/>
      <c r="Q45" s="149"/>
      <c r="R45" s="2811"/>
      <c r="S45" s="2791"/>
      <c r="T45" s="2791"/>
      <c r="U45" s="2791"/>
      <c r="V45" s="2791"/>
      <c r="W45" s="2792"/>
    </row>
    <row r="46" spans="1:23" ht="20.100000000000001" customHeight="1" x14ac:dyDescent="0.25">
      <c r="A46" s="2777"/>
      <c r="B46" s="2631"/>
      <c r="C46" s="404"/>
      <c r="D46" s="404"/>
      <c r="E46" s="404"/>
      <c r="F46" s="405"/>
      <c r="G46" s="184" t="s">
        <v>374</v>
      </c>
      <c r="H46" s="143" t="s">
        <v>375</v>
      </c>
      <c r="I46" s="143" t="s">
        <v>376</v>
      </c>
      <c r="J46" s="142">
        <v>0.495</v>
      </c>
      <c r="K46" s="143"/>
      <c r="L46" s="142"/>
      <c r="M46" s="146" t="s">
        <v>377</v>
      </c>
      <c r="N46" s="143" t="s">
        <v>378</v>
      </c>
      <c r="O46" s="143">
        <v>0.24</v>
      </c>
      <c r="P46" s="143"/>
      <c r="Q46" s="143"/>
      <c r="R46" s="142"/>
      <c r="S46" s="142"/>
      <c r="T46" s="142"/>
      <c r="U46" s="142"/>
      <c r="V46" s="142"/>
      <c r="W46" s="142"/>
    </row>
    <row r="47" spans="1:23" ht="20.100000000000001" customHeight="1" x14ac:dyDescent="0.25">
      <c r="A47" s="402"/>
      <c r="B47" s="403"/>
      <c r="C47" s="404"/>
      <c r="D47" s="404"/>
      <c r="E47" s="404"/>
      <c r="F47" s="405"/>
      <c r="G47" s="2767" t="s">
        <v>1960</v>
      </c>
      <c r="H47" s="2767"/>
      <c r="I47" s="2767"/>
      <c r="J47" s="2767"/>
      <c r="K47" s="2767"/>
      <c r="L47" s="2768"/>
      <c r="M47" s="146"/>
      <c r="N47" s="143"/>
      <c r="O47" s="143"/>
      <c r="P47" s="143"/>
      <c r="Q47" s="143"/>
      <c r="R47" s="2771"/>
      <c r="S47" s="2772"/>
      <c r="T47" s="2772"/>
      <c r="U47" s="2772"/>
      <c r="V47" s="2772"/>
      <c r="W47" s="2468"/>
    </row>
    <row r="48" spans="1:23" ht="20.100000000000001" customHeight="1" x14ac:dyDescent="0.25">
      <c r="A48" s="402"/>
      <c r="B48" s="403"/>
      <c r="C48" s="404"/>
      <c r="D48" s="404"/>
      <c r="E48" s="404"/>
      <c r="F48" s="405"/>
      <c r="G48" s="184" t="s">
        <v>379</v>
      </c>
      <c r="H48" s="143" t="s">
        <v>380</v>
      </c>
      <c r="I48" s="143" t="s">
        <v>381</v>
      </c>
      <c r="J48" s="143">
        <v>0.18</v>
      </c>
      <c r="K48" s="143"/>
      <c r="L48" s="142"/>
      <c r="M48" s="143" t="s">
        <v>382</v>
      </c>
      <c r="N48" s="143" t="s">
        <v>383</v>
      </c>
      <c r="O48" s="143">
        <v>0.1</v>
      </c>
      <c r="P48" s="143"/>
      <c r="Q48" s="143"/>
      <c r="R48" s="142"/>
      <c r="S48" s="142"/>
      <c r="T48" s="142"/>
      <c r="U48" s="142"/>
      <c r="V48" s="142"/>
      <c r="W48" s="142"/>
    </row>
    <row r="49" spans="1:23" ht="20.100000000000001" customHeight="1" x14ac:dyDescent="0.25">
      <c r="A49" s="402"/>
      <c r="B49" s="403"/>
      <c r="C49" s="404"/>
      <c r="D49" s="404"/>
      <c r="E49" s="404"/>
      <c r="F49" s="405"/>
      <c r="G49" s="2767" t="s">
        <v>1959</v>
      </c>
      <c r="H49" s="2767"/>
      <c r="I49" s="2767"/>
      <c r="J49" s="2767"/>
      <c r="K49" s="2767"/>
      <c r="L49" s="2768"/>
      <c r="P49" s="143"/>
      <c r="Q49" s="143"/>
      <c r="R49" s="2771"/>
      <c r="S49" s="2772"/>
      <c r="T49" s="2772"/>
      <c r="U49" s="2772"/>
      <c r="V49" s="2772"/>
      <c r="W49" s="2468"/>
    </row>
    <row r="50" spans="1:23" ht="20.100000000000001" customHeight="1" x14ac:dyDescent="0.25">
      <c r="A50" s="402"/>
      <c r="B50" s="403"/>
      <c r="C50" s="404"/>
      <c r="D50" s="404"/>
      <c r="E50" s="404"/>
      <c r="F50" s="405"/>
      <c r="G50" s="184" t="s">
        <v>1486</v>
      </c>
      <c r="H50" s="205" t="s">
        <v>1487</v>
      </c>
      <c r="I50" s="142" t="s">
        <v>1488</v>
      </c>
      <c r="J50" s="143">
        <v>0.1</v>
      </c>
      <c r="K50" s="143"/>
      <c r="L50" s="142"/>
      <c r="M50" s="143"/>
      <c r="N50" s="143"/>
      <c r="O50" s="143"/>
      <c r="P50" s="143"/>
      <c r="Q50" s="143"/>
      <c r="R50" s="142"/>
      <c r="S50" s="367"/>
      <c r="T50" s="142"/>
      <c r="U50" s="142"/>
      <c r="V50" s="142"/>
      <c r="W50" s="142"/>
    </row>
    <row r="51" spans="1:23" ht="20.100000000000001" customHeight="1" x14ac:dyDescent="0.25">
      <c r="A51" s="402"/>
      <c r="B51" s="403"/>
      <c r="C51" s="404"/>
      <c r="D51" s="404"/>
      <c r="E51" s="404"/>
      <c r="F51" s="405"/>
      <c r="G51" s="184" t="s">
        <v>384</v>
      </c>
      <c r="H51" s="143" t="s">
        <v>385</v>
      </c>
      <c r="I51" s="143" t="s">
        <v>2297</v>
      </c>
      <c r="J51" s="143">
        <v>7.0000000000000007E-2</v>
      </c>
      <c r="K51" s="143"/>
      <c r="L51" s="142"/>
      <c r="M51" s="143" t="s">
        <v>386</v>
      </c>
      <c r="N51" s="143" t="s">
        <v>387</v>
      </c>
      <c r="O51" s="143">
        <v>0.35</v>
      </c>
      <c r="P51" s="143"/>
      <c r="Q51" s="143"/>
      <c r="R51" s="142"/>
      <c r="S51" s="142"/>
      <c r="T51" s="142"/>
      <c r="U51" s="142"/>
      <c r="V51" s="142"/>
      <c r="W51" s="142"/>
    </row>
    <row r="52" spans="1:23" ht="20.100000000000001" customHeight="1" x14ac:dyDescent="0.25">
      <c r="A52" s="402"/>
      <c r="B52" s="403"/>
      <c r="C52" s="404"/>
      <c r="D52" s="404"/>
      <c r="E52" s="404"/>
      <c r="F52" s="405"/>
      <c r="G52" s="2768" t="s">
        <v>2032</v>
      </c>
      <c r="H52" s="2804"/>
      <c r="I52" s="2804"/>
      <c r="J52" s="2804"/>
      <c r="K52" s="2804"/>
      <c r="L52" s="2804"/>
      <c r="M52" s="143"/>
      <c r="N52" s="143"/>
      <c r="O52" s="143"/>
      <c r="P52" s="143"/>
      <c r="Q52" s="143"/>
      <c r="R52" s="2768" t="s">
        <v>3020</v>
      </c>
      <c r="S52" s="2804"/>
      <c r="T52" s="2804"/>
      <c r="U52" s="2804"/>
      <c r="V52" s="2804"/>
      <c r="W52" s="2804"/>
    </row>
    <row r="53" spans="1:23" ht="86.25" customHeight="1" x14ac:dyDescent="0.25">
      <c r="A53" s="402"/>
      <c r="B53" s="403"/>
      <c r="C53" s="404"/>
      <c r="D53" s="404"/>
      <c r="E53" s="404"/>
      <c r="F53" s="405"/>
      <c r="G53" s="280" t="s">
        <v>1484</v>
      </c>
      <c r="H53" s="154" t="s">
        <v>1485</v>
      </c>
      <c r="I53" s="143" t="s">
        <v>2210</v>
      </c>
      <c r="J53" s="143">
        <v>0.01</v>
      </c>
      <c r="K53" s="143"/>
      <c r="L53" s="142"/>
      <c r="M53" s="143" t="s">
        <v>1059</v>
      </c>
      <c r="N53" s="143" t="s">
        <v>388</v>
      </c>
      <c r="O53" s="143">
        <v>0.40500000000000003</v>
      </c>
      <c r="P53" s="143"/>
      <c r="Q53" s="143"/>
      <c r="R53" s="184" t="s">
        <v>2186</v>
      </c>
      <c r="S53" s="143" t="s">
        <v>2187</v>
      </c>
      <c r="T53" s="143" t="s">
        <v>3400</v>
      </c>
      <c r="U53" s="143">
        <f>0.275-0.22</f>
        <v>5.5000000000000021E-2</v>
      </c>
      <c r="V53" s="142"/>
      <c r="W53" s="142"/>
    </row>
    <row r="54" spans="1:23" ht="76.5" customHeight="1" x14ac:dyDescent="0.25">
      <c r="A54" s="402"/>
      <c r="B54" s="403"/>
      <c r="C54" s="404"/>
      <c r="D54" s="404"/>
      <c r="E54" s="404"/>
      <c r="F54" s="405"/>
      <c r="G54" s="184"/>
      <c r="H54" s="143"/>
      <c r="I54" s="143"/>
      <c r="J54" s="143"/>
      <c r="K54" s="143"/>
      <c r="L54" s="142"/>
      <c r="M54" s="143" t="s">
        <v>389</v>
      </c>
      <c r="N54" s="143" t="s">
        <v>390</v>
      </c>
      <c r="O54" s="143">
        <v>0.1</v>
      </c>
      <c r="P54" s="143"/>
      <c r="Q54" s="143"/>
      <c r="R54" s="1627" t="s">
        <v>3519</v>
      </c>
      <c r="S54" s="1627" t="s">
        <v>3520</v>
      </c>
      <c r="T54" s="1627" t="s">
        <v>16749</v>
      </c>
      <c r="U54" s="2">
        <v>2.5000000000000001E-2</v>
      </c>
      <c r="V54" s="142"/>
      <c r="W54" s="142"/>
    </row>
    <row r="55" spans="1:23" ht="20.100000000000001" customHeight="1" x14ac:dyDescent="0.25">
      <c r="A55" s="402"/>
      <c r="B55" s="403"/>
      <c r="C55" s="404"/>
      <c r="D55" s="404"/>
      <c r="E55" s="404"/>
      <c r="F55" s="405"/>
      <c r="G55" s="2768" t="s">
        <v>2477</v>
      </c>
      <c r="H55" s="2804"/>
      <c r="I55" s="2804"/>
      <c r="J55" s="2804"/>
      <c r="K55" s="2804"/>
      <c r="L55" s="2804"/>
      <c r="M55" s="143" t="s">
        <v>391</v>
      </c>
      <c r="N55" s="143" t="s">
        <v>392</v>
      </c>
      <c r="O55" s="143">
        <v>0.03</v>
      </c>
      <c r="P55" s="143"/>
      <c r="Q55" s="143"/>
      <c r="R55" s="142"/>
      <c r="S55" s="142"/>
      <c r="T55" s="142"/>
      <c r="U55" s="142"/>
      <c r="V55" s="142"/>
      <c r="W55" s="142"/>
    </row>
    <row r="56" spans="1:23" ht="18.75" customHeight="1" x14ac:dyDescent="0.25">
      <c r="A56" s="793"/>
      <c r="B56" s="794"/>
      <c r="C56" s="796"/>
      <c r="D56" s="796"/>
      <c r="E56" s="796"/>
      <c r="F56" s="792"/>
      <c r="G56" s="143" t="s">
        <v>2569</v>
      </c>
      <c r="H56" s="143" t="s">
        <v>2619</v>
      </c>
      <c r="I56" s="143" t="s">
        <v>2867</v>
      </c>
      <c r="J56" s="143">
        <v>0.3</v>
      </c>
      <c r="K56" s="149"/>
      <c r="L56" s="149"/>
      <c r="M56" s="143" t="s">
        <v>3110</v>
      </c>
      <c r="N56" s="142" t="s">
        <v>3111</v>
      </c>
      <c r="O56" s="143">
        <v>0.05</v>
      </c>
      <c r="P56" s="151"/>
      <c r="Q56" s="151"/>
      <c r="R56" s="147"/>
      <c r="S56" s="365"/>
      <c r="T56" s="176"/>
      <c r="U56" s="149"/>
      <c r="V56" s="149"/>
      <c r="W56" s="149"/>
    </row>
    <row r="57" spans="1:23" ht="18.75" customHeight="1" x14ac:dyDescent="0.25">
      <c r="A57" s="998"/>
      <c r="B57" s="999"/>
      <c r="C57" s="1001"/>
      <c r="D57" s="1001"/>
      <c r="E57" s="1001"/>
      <c r="F57" s="1000"/>
      <c r="G57" s="2" t="s">
        <v>3022</v>
      </c>
      <c r="H57" s="2" t="s">
        <v>3023</v>
      </c>
      <c r="I57" s="1333" t="s">
        <v>2806</v>
      </c>
      <c r="J57" s="2">
        <v>1.1120000000000001</v>
      </c>
      <c r="K57" s="149"/>
      <c r="L57" s="149"/>
      <c r="M57" s="1314" t="s">
        <v>16941</v>
      </c>
      <c r="N57" s="1316" t="s">
        <v>16942</v>
      </c>
      <c r="O57" s="151">
        <v>7.0000000000000007E-2</v>
      </c>
      <c r="P57" s="151"/>
      <c r="Q57" s="151"/>
      <c r="R57" s="147"/>
      <c r="S57" s="365"/>
      <c r="T57" s="176"/>
      <c r="U57" s="149"/>
      <c r="V57" s="149"/>
      <c r="W57" s="149"/>
    </row>
    <row r="58" spans="1:23" ht="18.75" customHeight="1" x14ac:dyDescent="0.25">
      <c r="A58" s="1330"/>
      <c r="B58" s="1336"/>
      <c r="C58" s="1339"/>
      <c r="D58" s="1339"/>
      <c r="E58" s="1339"/>
      <c r="F58" s="1337"/>
      <c r="G58" s="2768" t="s">
        <v>3447</v>
      </c>
      <c r="H58" s="2804"/>
      <c r="I58" s="2804"/>
      <c r="J58" s="2804"/>
      <c r="K58" s="2804"/>
      <c r="L58" s="2804"/>
      <c r="M58" s="1334"/>
      <c r="N58" s="1335"/>
      <c r="O58" s="1331"/>
      <c r="P58" s="1331"/>
      <c r="Q58" s="1331"/>
      <c r="R58" s="1349"/>
      <c r="S58" s="1347"/>
      <c r="T58" s="1348"/>
      <c r="U58" s="149"/>
      <c r="V58" s="149"/>
      <c r="W58" s="149"/>
    </row>
    <row r="59" spans="1:23" ht="41.25" customHeight="1" x14ac:dyDescent="0.25">
      <c r="A59" s="1592"/>
      <c r="B59" s="1598"/>
      <c r="C59" s="1601"/>
      <c r="D59" s="1601"/>
      <c r="E59" s="1601"/>
      <c r="F59" s="1599"/>
      <c r="G59" s="2784" t="s">
        <v>3401</v>
      </c>
      <c r="H59" s="2785"/>
      <c r="I59" s="2786"/>
      <c r="J59" s="775">
        <f>0.54*0.9</f>
        <v>0.48600000000000004</v>
      </c>
      <c r="K59" s="149"/>
      <c r="L59" s="149"/>
      <c r="M59" s="1595"/>
      <c r="N59" s="1597"/>
      <c r="O59" s="1593"/>
      <c r="P59" s="1593"/>
      <c r="Q59" s="1593"/>
      <c r="R59" s="1610"/>
      <c r="S59" s="1611"/>
      <c r="T59" s="1612"/>
      <c r="U59" s="149"/>
      <c r="V59" s="149"/>
      <c r="W59" s="149"/>
    </row>
    <row r="60" spans="1:23" ht="41.25" customHeight="1" x14ac:dyDescent="0.25">
      <c r="A60" s="2236"/>
      <c r="B60" s="2214"/>
      <c r="C60" s="2215"/>
      <c r="D60" s="2215"/>
      <c r="E60" s="2215"/>
      <c r="F60" s="2219"/>
      <c r="G60" s="2768" t="s">
        <v>17005</v>
      </c>
      <c r="H60" s="2804"/>
      <c r="I60" s="2804"/>
      <c r="J60" s="2804"/>
      <c r="K60" s="2804"/>
      <c r="L60" s="2804"/>
      <c r="M60" s="2228"/>
      <c r="N60" s="2230"/>
      <c r="O60" s="2235"/>
      <c r="P60" s="2235"/>
      <c r="Q60" s="2235"/>
      <c r="R60" s="2242"/>
      <c r="S60" s="2243"/>
      <c r="T60" s="2244"/>
      <c r="U60" s="149"/>
      <c r="V60" s="149"/>
      <c r="W60" s="149"/>
    </row>
    <row r="61" spans="1:23" ht="41.25" customHeight="1" x14ac:dyDescent="0.25">
      <c r="A61" s="2236"/>
      <c r="B61" s="2214"/>
      <c r="C61" s="2215"/>
      <c r="D61" s="2215"/>
      <c r="E61" s="2215"/>
      <c r="F61" s="2219"/>
      <c r="G61" s="2784" t="s">
        <v>3401</v>
      </c>
      <c r="H61" s="2785"/>
      <c r="I61" s="2786"/>
      <c r="J61" s="775">
        <f>1.661*0.9</f>
        <v>1.4949000000000001</v>
      </c>
      <c r="K61" s="149"/>
      <c r="L61" s="149"/>
      <c r="M61" s="2228"/>
      <c r="N61" s="2230"/>
      <c r="O61" s="2235"/>
      <c r="P61" s="2235"/>
      <c r="Q61" s="2235"/>
      <c r="R61" s="2242"/>
      <c r="S61" s="2243"/>
      <c r="T61" s="2244"/>
      <c r="U61" s="149"/>
      <c r="V61" s="149"/>
      <c r="W61" s="149"/>
    </row>
    <row r="62" spans="1:23" ht="20.100000000000001" customHeight="1" thickBot="1" x14ac:dyDescent="0.3">
      <c r="A62" s="406"/>
      <c r="B62" s="395"/>
      <c r="C62" s="396"/>
      <c r="D62" s="396"/>
      <c r="E62" s="396"/>
      <c r="F62" s="397"/>
      <c r="G62" s="2636" t="s">
        <v>1833</v>
      </c>
      <c r="H62" s="2636"/>
      <c r="I62" s="2637"/>
      <c r="J62" s="136">
        <f>SUM(J59:J61)</f>
        <v>1.9809000000000001</v>
      </c>
      <c r="K62" s="183">
        <v>0.92</v>
      </c>
      <c r="L62" s="136">
        <f>J62/K62</f>
        <v>2.1531521739130435</v>
      </c>
      <c r="M62" s="2652" t="s">
        <v>1834</v>
      </c>
      <c r="N62" s="2637"/>
      <c r="O62" s="136">
        <f>SUM(O46:O57)</f>
        <v>1.3450000000000002</v>
      </c>
      <c r="P62" s="183">
        <v>0.92</v>
      </c>
      <c r="Q62" s="136">
        <f>O62/P62</f>
        <v>1.4619565217391306</v>
      </c>
      <c r="R62" s="2652" t="s">
        <v>1833</v>
      </c>
      <c r="S62" s="2636"/>
      <c r="T62" s="2637"/>
      <c r="U62" s="136">
        <f>SUM(U53:U55)</f>
        <v>8.0000000000000016E-2</v>
      </c>
      <c r="V62" s="183">
        <v>0.92</v>
      </c>
      <c r="W62" s="136">
        <f>U62/V62</f>
        <v>8.6956521739130446E-2</v>
      </c>
    </row>
    <row r="63" spans="1:23" ht="20.100000000000001" customHeight="1" x14ac:dyDescent="0.25">
      <c r="A63" s="407" t="str">
        <f>Итоговая!C289</f>
        <v>ПС  35/6 кВ №16</v>
      </c>
      <c r="B63" s="399">
        <f>Итоговая!D289</f>
        <v>1</v>
      </c>
      <c r="C63" s="400"/>
      <c r="D63" s="400"/>
      <c r="E63" s="400"/>
      <c r="F63" s="401"/>
      <c r="G63" s="2767" t="s">
        <v>2477</v>
      </c>
      <c r="H63" s="2767"/>
      <c r="I63" s="2767"/>
      <c r="J63" s="2767"/>
      <c r="K63" s="2767"/>
      <c r="L63" s="2768"/>
      <c r="M63" s="73"/>
      <c r="N63" s="73"/>
      <c r="O63" s="73"/>
      <c r="P63" s="143"/>
      <c r="Q63" s="143"/>
      <c r="R63" s="143"/>
      <c r="S63" s="143"/>
      <c r="T63" s="143"/>
      <c r="U63" s="143"/>
      <c r="V63" s="143"/>
      <c r="W63" s="142"/>
    </row>
    <row r="64" spans="1:23" ht="20.100000000000001" customHeight="1" x14ac:dyDescent="0.25">
      <c r="A64" s="841"/>
      <c r="B64" s="842"/>
      <c r="C64" s="843"/>
      <c r="D64" s="843"/>
      <c r="E64" s="843"/>
      <c r="F64" s="840"/>
      <c r="G64" s="143" t="s">
        <v>2750</v>
      </c>
      <c r="H64" s="143" t="s">
        <v>2937</v>
      </c>
      <c r="I64" s="180" t="s">
        <v>2985</v>
      </c>
      <c r="J64" s="151">
        <v>0.52</v>
      </c>
      <c r="K64" s="151"/>
      <c r="L64" s="149"/>
      <c r="M64" s="1697" t="s">
        <v>16783</v>
      </c>
      <c r="N64" s="1697" t="s">
        <v>16784</v>
      </c>
      <c r="O64" s="1496">
        <v>0.02</v>
      </c>
      <c r="P64" s="151"/>
      <c r="Q64" s="151"/>
      <c r="R64" s="146"/>
      <c r="S64" s="179"/>
      <c r="T64" s="180"/>
      <c r="U64" s="151"/>
      <c r="V64" s="151"/>
      <c r="W64" s="149"/>
    </row>
    <row r="65" spans="1:23" ht="20.100000000000001" customHeight="1" x14ac:dyDescent="0.25">
      <c r="A65" s="1853"/>
      <c r="B65" s="1841"/>
      <c r="C65" s="1842"/>
      <c r="D65" s="1842"/>
      <c r="E65" s="1842"/>
      <c r="F65" s="1844"/>
      <c r="G65" s="2768" t="s">
        <v>17005</v>
      </c>
      <c r="H65" s="2804"/>
      <c r="I65" s="2804"/>
      <c r="J65" s="2804"/>
      <c r="K65" s="2804"/>
      <c r="L65" s="2804"/>
      <c r="M65" s="1840"/>
      <c r="N65" s="1840"/>
      <c r="O65" s="1840"/>
      <c r="P65" s="1840"/>
      <c r="Q65" s="1840"/>
      <c r="R65" s="1840"/>
      <c r="S65" s="1840"/>
      <c r="T65" s="1840"/>
      <c r="U65" s="1840"/>
      <c r="V65" s="1840"/>
      <c r="W65" s="1854"/>
    </row>
    <row r="66" spans="1:23" ht="20.100000000000001" customHeight="1" x14ac:dyDescent="0.25">
      <c r="A66" s="2236"/>
      <c r="B66" s="2214"/>
      <c r="C66" s="2215"/>
      <c r="D66" s="2215"/>
      <c r="E66" s="2215"/>
      <c r="F66" s="2219"/>
      <c r="G66" s="2784" t="s">
        <v>3401</v>
      </c>
      <c r="H66" s="2785"/>
      <c r="I66" s="2786"/>
      <c r="J66" s="775">
        <f>0.13*0.9</f>
        <v>0.11700000000000001</v>
      </c>
      <c r="K66" s="149"/>
      <c r="L66" s="149"/>
      <c r="M66" s="2228"/>
      <c r="N66" s="2230"/>
      <c r="O66" s="2235"/>
      <c r="P66" s="2235"/>
      <c r="Q66" s="2235"/>
      <c r="R66" s="2228"/>
      <c r="S66" s="2229"/>
      <c r="T66" s="2230"/>
      <c r="U66" s="2235"/>
      <c r="V66" s="2235"/>
      <c r="W66" s="149"/>
    </row>
    <row r="67" spans="1:23" ht="20.100000000000001" customHeight="1" thickBot="1" x14ac:dyDescent="0.3">
      <c r="A67" s="406"/>
      <c r="B67" s="395"/>
      <c r="C67" s="396"/>
      <c r="D67" s="396"/>
      <c r="E67" s="396"/>
      <c r="F67" s="397"/>
      <c r="G67" s="2636" t="s">
        <v>1833</v>
      </c>
      <c r="H67" s="2636"/>
      <c r="I67" s="2637"/>
      <c r="J67" s="136">
        <f>SUM(J66)</f>
        <v>0.11700000000000001</v>
      </c>
      <c r="K67" s="183">
        <v>0.92</v>
      </c>
      <c r="L67" s="136">
        <f>J67/K67</f>
        <v>0.12717391304347828</v>
      </c>
      <c r="M67" s="2652" t="s">
        <v>1834</v>
      </c>
      <c r="N67" s="2637"/>
      <c r="O67" s="136">
        <f>SUM(O63:O64)</f>
        <v>0.02</v>
      </c>
      <c r="P67" s="183">
        <v>0.92</v>
      </c>
      <c r="Q67" s="136">
        <f>O67/P67</f>
        <v>2.1739130434782608E-2</v>
      </c>
      <c r="R67" s="2652" t="s">
        <v>1833</v>
      </c>
      <c r="S67" s="2636"/>
      <c r="T67" s="2637"/>
      <c r="U67" s="136">
        <f>SUM(U63:U63)</f>
        <v>0</v>
      </c>
      <c r="V67" s="183">
        <v>0.92</v>
      </c>
      <c r="W67" s="136">
        <f>U67/V67</f>
        <v>0</v>
      </c>
    </row>
    <row r="68" spans="1:23" ht="61.5" customHeight="1" thickBot="1" x14ac:dyDescent="0.3">
      <c r="A68" s="407" t="str">
        <f>Итоговая!C290</f>
        <v>ПС  35/10 кВ №16</v>
      </c>
      <c r="B68" s="399">
        <f>Итоговая!D290</f>
        <v>2.5</v>
      </c>
      <c r="C68" s="400"/>
      <c r="D68" s="400"/>
      <c r="E68" s="400"/>
      <c r="F68" s="401"/>
      <c r="G68" s="2767" t="s">
        <v>17005</v>
      </c>
      <c r="H68" s="2767"/>
      <c r="I68" s="2767"/>
      <c r="J68" s="2767"/>
      <c r="K68" s="2767"/>
      <c r="L68" s="2768"/>
      <c r="M68" s="1259" t="s">
        <v>2437</v>
      </c>
      <c r="N68" s="1697" t="s">
        <v>16812</v>
      </c>
      <c r="O68" s="143">
        <v>2.5000000000000001E-2</v>
      </c>
      <c r="P68" s="143"/>
      <c r="Q68" s="143"/>
      <c r="R68" s="143" t="s">
        <v>2750</v>
      </c>
      <c r="S68" s="143"/>
      <c r="T68" s="143"/>
      <c r="U68" s="143"/>
      <c r="V68" s="143"/>
      <c r="W68" s="142"/>
    </row>
    <row r="69" spans="1:23" ht="61.5" customHeight="1" x14ac:dyDescent="0.25">
      <c r="A69" s="1720"/>
      <c r="B69" s="1706"/>
      <c r="C69" s="1707"/>
      <c r="D69" s="1707"/>
      <c r="E69" s="1707"/>
      <c r="F69" s="1711"/>
      <c r="G69" s="1840" t="s">
        <v>19827</v>
      </c>
      <c r="H69" s="1840" t="s">
        <v>19828</v>
      </c>
      <c r="I69" s="1840" t="s">
        <v>19829</v>
      </c>
      <c r="J69" s="1840">
        <v>0.05</v>
      </c>
      <c r="K69" s="1840"/>
      <c r="L69" s="1854"/>
      <c r="M69" s="73" t="s">
        <v>15307</v>
      </c>
      <c r="N69" s="73" t="s">
        <v>16811</v>
      </c>
      <c r="O69" s="73">
        <v>2.5000000000000001E-2</v>
      </c>
      <c r="P69" s="1719"/>
      <c r="Q69" s="1719"/>
      <c r="R69" s="73"/>
      <c r="S69" s="73"/>
      <c r="T69" s="73"/>
      <c r="U69" s="1719"/>
      <c r="V69" s="1719"/>
      <c r="W69" s="149"/>
    </row>
    <row r="70" spans="1:23" ht="61.5" customHeight="1" thickBot="1" x14ac:dyDescent="0.3">
      <c r="A70" s="1492"/>
      <c r="B70" s="1504"/>
      <c r="C70" s="1511"/>
      <c r="D70" s="1511"/>
      <c r="E70" s="1511"/>
      <c r="F70" s="1505"/>
      <c r="G70" s="1855"/>
      <c r="H70" s="1855"/>
      <c r="I70" s="1855"/>
      <c r="J70" s="1840"/>
      <c r="K70" s="1840"/>
      <c r="L70" s="1854"/>
      <c r="M70" s="1496" t="s">
        <v>3546</v>
      </c>
      <c r="N70" s="1697" t="s">
        <v>15340</v>
      </c>
      <c r="O70" s="1496">
        <v>0.23100000000000001</v>
      </c>
      <c r="P70" s="1493"/>
      <c r="Q70" s="1493"/>
      <c r="R70" s="1497"/>
      <c r="S70" s="1498"/>
      <c r="T70" s="1499"/>
      <c r="U70" s="1493"/>
      <c r="V70" s="1493"/>
      <c r="W70" s="149"/>
    </row>
    <row r="71" spans="1:23" ht="61.5" customHeight="1" x14ac:dyDescent="0.25">
      <c r="A71" s="1853"/>
      <c r="B71" s="1841"/>
      <c r="C71" s="1842"/>
      <c r="D71" s="1842"/>
      <c r="E71" s="1842"/>
      <c r="F71" s="1844"/>
      <c r="G71" s="1843"/>
      <c r="H71" s="1843"/>
      <c r="I71" s="1843"/>
      <c r="J71" s="1840"/>
      <c r="K71" s="1840"/>
      <c r="L71" s="1854"/>
      <c r="M71" s="73" t="s">
        <v>15307</v>
      </c>
      <c r="N71" s="73" t="s">
        <v>16931</v>
      </c>
      <c r="O71" s="73">
        <v>2.5000000000000001E-2</v>
      </c>
      <c r="P71" s="1852"/>
      <c r="Q71" s="1852"/>
      <c r="R71" s="1848"/>
      <c r="S71" s="1849"/>
      <c r="T71" s="1850"/>
      <c r="U71" s="1852"/>
      <c r="V71" s="1852"/>
      <c r="W71" s="149"/>
    </row>
    <row r="72" spans="1:23" ht="20.100000000000001" customHeight="1" thickBot="1" x14ac:dyDescent="0.3">
      <c r="A72" s="406"/>
      <c r="B72" s="395"/>
      <c r="C72" s="396"/>
      <c r="D72" s="396"/>
      <c r="E72" s="396"/>
      <c r="F72" s="397"/>
      <c r="G72" s="2636" t="s">
        <v>1833</v>
      </c>
      <c r="H72" s="2636"/>
      <c r="I72" s="2637"/>
      <c r="J72" s="136">
        <f>SUM(J68:J69)</f>
        <v>0.05</v>
      </c>
      <c r="K72" s="183">
        <v>0.92</v>
      </c>
      <c r="L72" s="136">
        <f>J72/K72</f>
        <v>5.434782608695652E-2</v>
      </c>
      <c r="M72" s="2652" t="s">
        <v>1834</v>
      </c>
      <c r="N72" s="2637"/>
      <c r="O72" s="136">
        <f>SUM(O68:O71)</f>
        <v>0.30600000000000005</v>
      </c>
      <c r="P72" s="183">
        <v>0.92</v>
      </c>
      <c r="Q72" s="136">
        <f>O72/P72</f>
        <v>0.33260869565217394</v>
      </c>
      <c r="R72" s="2652" t="s">
        <v>1833</v>
      </c>
      <c r="S72" s="2636"/>
      <c r="T72" s="2637"/>
      <c r="U72" s="136">
        <f>SUM(U68:U68)</f>
        <v>0</v>
      </c>
      <c r="V72" s="183">
        <v>0.92</v>
      </c>
      <c r="W72" s="136">
        <f>U72/V72</f>
        <v>0</v>
      </c>
    </row>
    <row r="73" spans="1:23" ht="56.25" customHeight="1" x14ac:dyDescent="0.25">
      <c r="A73" s="407" t="str">
        <f>Итоговая!C291</f>
        <v xml:space="preserve">ПС 35/10 кВ Золотиха </v>
      </c>
      <c r="B73" s="399">
        <f>Итоговая!D291</f>
        <v>2.5</v>
      </c>
      <c r="C73" s="400"/>
      <c r="D73" s="400"/>
      <c r="E73" s="400"/>
      <c r="F73" s="401"/>
      <c r="G73" s="2767" t="s">
        <v>17005</v>
      </c>
      <c r="H73" s="2767"/>
      <c r="I73" s="2767"/>
      <c r="J73" s="2767"/>
      <c r="K73" s="2767"/>
      <c r="L73" s="2768"/>
      <c r="M73" s="143" t="s">
        <v>2337</v>
      </c>
      <c r="N73" s="143" t="s">
        <v>2338</v>
      </c>
      <c r="O73" s="4">
        <v>0.1</v>
      </c>
      <c r="P73" s="4"/>
      <c r="Q73" s="4"/>
      <c r="R73" s="4"/>
      <c r="S73" s="4"/>
      <c r="T73" s="4"/>
      <c r="U73" s="4"/>
      <c r="V73" s="4"/>
      <c r="W73" s="77"/>
    </row>
    <row r="74" spans="1:23" ht="56.25" customHeight="1" x14ac:dyDescent="0.25">
      <c r="A74" s="2159"/>
      <c r="B74" s="2142"/>
      <c r="C74" s="2143"/>
      <c r="D74" s="2143"/>
      <c r="E74" s="2143"/>
      <c r="F74" s="2144"/>
      <c r="G74" s="2139" t="s">
        <v>19971</v>
      </c>
      <c r="H74" s="2139" t="s">
        <v>19972</v>
      </c>
      <c r="I74" s="2152" t="s">
        <v>19973</v>
      </c>
      <c r="J74" s="2158">
        <f>0.07*0.9</f>
        <v>6.3000000000000014E-2</v>
      </c>
      <c r="K74" s="2158"/>
      <c r="L74" s="157"/>
      <c r="M74" s="2148"/>
      <c r="N74" s="2150"/>
      <c r="O74" s="2158"/>
      <c r="P74" s="2158"/>
      <c r="Q74" s="2158"/>
      <c r="R74" s="2151"/>
      <c r="S74" s="2139"/>
      <c r="T74" s="2152"/>
      <c r="U74" s="2158"/>
      <c r="V74" s="2158"/>
      <c r="W74" s="157"/>
    </row>
    <row r="75" spans="1:23" ht="20.100000000000001" customHeight="1" thickBot="1" x14ac:dyDescent="0.3">
      <c r="A75" s="406"/>
      <c r="B75" s="395"/>
      <c r="C75" s="396"/>
      <c r="D75" s="396"/>
      <c r="E75" s="396"/>
      <c r="F75" s="397"/>
      <c r="G75" s="2636" t="s">
        <v>1833</v>
      </c>
      <c r="H75" s="2636"/>
      <c r="I75" s="2637"/>
      <c r="J75" s="136">
        <f>SUM(J74)</f>
        <v>6.3000000000000014E-2</v>
      </c>
      <c r="K75" s="183">
        <v>0.92</v>
      </c>
      <c r="L75" s="136">
        <f>J75/K75</f>
        <v>6.8478260869565225E-2</v>
      </c>
      <c r="M75" s="2652" t="s">
        <v>1834</v>
      </c>
      <c r="N75" s="2637"/>
      <c r="O75" s="136">
        <f>SUM(O73:O73)</f>
        <v>0.1</v>
      </c>
      <c r="P75" s="183">
        <v>0.92</v>
      </c>
      <c r="Q75" s="136">
        <f>O75/P75</f>
        <v>0.10869565217391304</v>
      </c>
      <c r="R75" s="2652" t="s">
        <v>1833</v>
      </c>
      <c r="S75" s="2636"/>
      <c r="T75" s="2637"/>
      <c r="U75" s="136">
        <f>SUM(U73:U73)</f>
        <v>0</v>
      </c>
      <c r="V75" s="183">
        <v>0.92</v>
      </c>
      <c r="W75" s="136">
        <f>U75/V75</f>
        <v>0</v>
      </c>
    </row>
    <row r="76" spans="1:23" ht="20.100000000000001" customHeight="1" x14ac:dyDescent="0.25">
      <c r="A76" s="407" t="str">
        <f>Итоговая!C292</f>
        <v>ПС  35/10 кВ Новый Стан</v>
      </c>
      <c r="B76" s="399">
        <f>Итоговая!D292</f>
        <v>2.5</v>
      </c>
      <c r="C76" s="400"/>
      <c r="D76" s="400"/>
      <c r="E76" s="400"/>
      <c r="F76" s="401"/>
      <c r="G76" s="184"/>
      <c r="H76" s="143"/>
      <c r="I76" s="143"/>
      <c r="J76" s="143"/>
      <c r="K76" s="143"/>
      <c r="L76" s="142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2"/>
    </row>
    <row r="77" spans="1:23" ht="20.100000000000001" customHeight="1" thickBot="1" x14ac:dyDescent="0.3">
      <c r="A77" s="406"/>
      <c r="B77" s="395"/>
      <c r="C77" s="396"/>
      <c r="D77" s="396"/>
      <c r="E77" s="396"/>
      <c r="F77" s="397"/>
      <c r="G77" s="2636" t="s">
        <v>1833</v>
      </c>
      <c r="H77" s="2636"/>
      <c r="I77" s="2637"/>
      <c r="J77" s="136">
        <f>SUM(J76:J76)</f>
        <v>0</v>
      </c>
      <c r="K77" s="183">
        <v>0.92</v>
      </c>
      <c r="L77" s="136">
        <f>J77/K77</f>
        <v>0</v>
      </c>
      <c r="M77" s="2715" t="s">
        <v>1834</v>
      </c>
      <c r="N77" s="2717"/>
      <c r="O77" s="136">
        <f>SUM(O76:O76)</f>
        <v>0</v>
      </c>
      <c r="P77" s="183">
        <v>0.92</v>
      </c>
      <c r="Q77" s="136">
        <f>O77/P77</f>
        <v>0</v>
      </c>
      <c r="R77" s="2652" t="s">
        <v>1833</v>
      </c>
      <c r="S77" s="2636"/>
      <c r="T77" s="2637"/>
      <c r="U77" s="136">
        <f>SUM(U76:U76)</f>
        <v>0</v>
      </c>
      <c r="V77" s="183">
        <v>0.92</v>
      </c>
      <c r="W77" s="136">
        <f>U77/V77</f>
        <v>0</v>
      </c>
    </row>
    <row r="78" spans="1:23" ht="20.100000000000001" customHeight="1" x14ac:dyDescent="0.25">
      <c r="A78" s="407" t="str">
        <f>Итоговая!C293</f>
        <v>ПС  35/10 кВ Романово</v>
      </c>
      <c r="B78" s="399">
        <f>Итоговая!D293</f>
        <v>2.5</v>
      </c>
      <c r="C78" s="400"/>
      <c r="D78" s="400"/>
      <c r="E78" s="400"/>
      <c r="F78" s="401"/>
      <c r="G78" s="184"/>
      <c r="H78" s="143"/>
      <c r="I78" s="143"/>
      <c r="J78" s="143"/>
      <c r="K78" s="143"/>
      <c r="L78" s="142"/>
      <c r="M78" s="143" t="s">
        <v>393</v>
      </c>
      <c r="N78" s="143" t="s">
        <v>394</v>
      </c>
      <c r="O78" s="143">
        <v>0.49149999999999999</v>
      </c>
      <c r="P78" s="143"/>
      <c r="Q78" s="143"/>
      <c r="R78" s="143"/>
      <c r="S78" s="143"/>
      <c r="T78" s="143"/>
      <c r="U78" s="143"/>
      <c r="V78" s="143"/>
      <c r="W78" s="142"/>
    </row>
    <row r="79" spans="1:23" ht="20.100000000000001" customHeight="1" x14ac:dyDescent="0.25">
      <c r="A79" s="402"/>
      <c r="B79" s="403"/>
      <c r="C79" s="404"/>
      <c r="D79" s="404"/>
      <c r="E79" s="404"/>
      <c r="F79" s="405"/>
      <c r="G79" s="143"/>
      <c r="H79" s="143"/>
      <c r="I79" s="143"/>
      <c r="J79" s="151"/>
      <c r="K79" s="151"/>
      <c r="L79" s="149"/>
      <c r="M79" s="143" t="s">
        <v>2038</v>
      </c>
      <c r="N79" s="143" t="s">
        <v>2039</v>
      </c>
      <c r="O79" s="151">
        <v>0.02</v>
      </c>
      <c r="P79" s="151"/>
      <c r="Q79" s="151"/>
      <c r="R79" s="146"/>
      <c r="S79" s="179"/>
      <c r="T79" s="180"/>
      <c r="U79" s="151"/>
      <c r="V79" s="151"/>
      <c r="W79" s="149"/>
    </row>
    <row r="80" spans="1:23" ht="20.100000000000001" customHeight="1" x14ac:dyDescent="0.25">
      <c r="A80" s="681"/>
      <c r="B80" s="682"/>
      <c r="C80" s="683"/>
      <c r="D80" s="683"/>
      <c r="E80" s="683"/>
      <c r="F80" s="680"/>
      <c r="G80" s="143"/>
      <c r="H80" s="143"/>
      <c r="I80" s="143"/>
      <c r="J80" s="151"/>
      <c r="K80" s="151"/>
      <c r="L80" s="149"/>
      <c r="M80" s="143" t="s">
        <v>2147</v>
      </c>
      <c r="N80" s="143" t="s">
        <v>2656</v>
      </c>
      <c r="O80" s="151">
        <f>0.078-0.04</f>
        <v>3.7999999999999999E-2</v>
      </c>
      <c r="P80" s="151"/>
      <c r="Q80" s="151"/>
      <c r="R80" s="146"/>
      <c r="S80" s="179"/>
      <c r="T80" s="180"/>
      <c r="U80" s="151"/>
      <c r="V80" s="151"/>
      <c r="W80" s="149"/>
    </row>
    <row r="81" spans="1:23" ht="20.100000000000001" customHeight="1" x14ac:dyDescent="0.25">
      <c r="A81" s="821"/>
      <c r="B81" s="822"/>
      <c r="C81" s="823"/>
      <c r="D81" s="823"/>
      <c r="E81" s="823"/>
      <c r="F81" s="820"/>
      <c r="G81" s="179"/>
      <c r="H81" s="179"/>
      <c r="I81" s="180"/>
      <c r="J81" s="151"/>
      <c r="K81" s="151"/>
      <c r="L81" s="149"/>
      <c r="M81" s="143" t="s">
        <v>2147</v>
      </c>
      <c r="N81" s="143" t="s">
        <v>2919</v>
      </c>
      <c r="O81" s="151">
        <f>0.065-0.01</f>
        <v>5.5E-2</v>
      </c>
      <c r="P81" s="151"/>
      <c r="Q81" s="151"/>
      <c r="R81" s="146"/>
      <c r="S81" s="179"/>
      <c r="T81" s="180"/>
      <c r="U81" s="151"/>
      <c r="V81" s="151"/>
      <c r="W81" s="149"/>
    </row>
    <row r="82" spans="1:23" ht="20.100000000000001" customHeight="1" thickBot="1" x14ac:dyDescent="0.3">
      <c r="A82" s="406"/>
      <c r="B82" s="395"/>
      <c r="C82" s="396"/>
      <c r="D82" s="396"/>
      <c r="E82" s="396"/>
      <c r="F82" s="397"/>
      <c r="G82" s="2636" t="s">
        <v>1833</v>
      </c>
      <c r="H82" s="2636"/>
      <c r="I82" s="2637"/>
      <c r="J82" s="136">
        <f>SUM(J78:J78)</f>
        <v>0</v>
      </c>
      <c r="K82" s="183">
        <v>0.92</v>
      </c>
      <c r="L82" s="136">
        <f>J82/K82</f>
        <v>0</v>
      </c>
      <c r="M82" s="2652" t="s">
        <v>1834</v>
      </c>
      <c r="N82" s="2637"/>
      <c r="O82" s="136">
        <f>SUM(O78:O81)</f>
        <v>0.60450000000000004</v>
      </c>
      <c r="P82" s="183">
        <v>0.92</v>
      </c>
      <c r="Q82" s="136">
        <f>O82/P82</f>
        <v>0.65706521739130441</v>
      </c>
      <c r="R82" s="2652" t="s">
        <v>1833</v>
      </c>
      <c r="S82" s="2636"/>
      <c r="T82" s="2637"/>
      <c r="U82" s="136">
        <f>SUM(U78:U78)</f>
        <v>0</v>
      </c>
      <c r="V82" s="183">
        <v>0.92</v>
      </c>
      <c r="W82" s="136">
        <f>U82/V82</f>
        <v>0</v>
      </c>
    </row>
    <row r="83" spans="1:23" ht="20.100000000000001" customHeight="1" x14ac:dyDescent="0.25">
      <c r="A83" s="407" t="str">
        <f>Итоговая!C294</f>
        <v xml:space="preserve">ПС 35/10 кВ Первитино </v>
      </c>
      <c r="B83" s="399">
        <f>Итоговая!D294</f>
        <v>1.6</v>
      </c>
      <c r="C83" s="400"/>
      <c r="D83" s="400"/>
      <c r="E83" s="400"/>
      <c r="F83" s="401"/>
      <c r="G83" s="184"/>
      <c r="H83" s="143"/>
      <c r="I83" s="143"/>
      <c r="J83" s="143"/>
      <c r="K83" s="143"/>
      <c r="L83" s="142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2"/>
    </row>
    <row r="84" spans="1:23" ht="20.100000000000001" customHeight="1" x14ac:dyDescent="0.25">
      <c r="A84" s="402"/>
      <c r="B84" s="403"/>
      <c r="C84" s="404"/>
      <c r="D84" s="404"/>
      <c r="E84" s="404"/>
      <c r="F84" s="405"/>
      <c r="G84" s="184"/>
      <c r="H84" s="143"/>
      <c r="I84" s="143"/>
      <c r="J84" s="143"/>
      <c r="K84" s="143"/>
      <c r="L84" s="142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2"/>
    </row>
    <row r="85" spans="1:23" ht="20.100000000000001" customHeight="1" thickBot="1" x14ac:dyDescent="0.3">
      <c r="A85" s="406"/>
      <c r="B85" s="395"/>
      <c r="C85" s="396"/>
      <c r="D85" s="396"/>
      <c r="E85" s="396"/>
      <c r="F85" s="397"/>
      <c r="G85" s="2636" t="s">
        <v>1833</v>
      </c>
      <c r="H85" s="2636"/>
      <c r="I85" s="2637"/>
      <c r="J85" s="136">
        <f>SUM(J83:J84)</f>
        <v>0</v>
      </c>
      <c r="K85" s="183">
        <v>0.92</v>
      </c>
      <c r="L85" s="136">
        <f>J85/K85</f>
        <v>0</v>
      </c>
      <c r="M85" s="2652" t="s">
        <v>1834</v>
      </c>
      <c r="N85" s="2637"/>
      <c r="O85" s="136">
        <f>SUM(O83:O84)</f>
        <v>0</v>
      </c>
      <c r="P85" s="183">
        <v>0.92</v>
      </c>
      <c r="Q85" s="136">
        <f>O85/P85</f>
        <v>0</v>
      </c>
      <c r="R85" s="2652" t="s">
        <v>1833</v>
      </c>
      <c r="S85" s="2636"/>
      <c r="T85" s="2637"/>
      <c r="U85" s="136">
        <f>SUM(U83:U84)</f>
        <v>0</v>
      </c>
      <c r="V85" s="183">
        <v>0.92</v>
      </c>
      <c r="W85" s="136">
        <f>U85/V85</f>
        <v>0</v>
      </c>
    </row>
    <row r="86" spans="1:23" ht="20.100000000000001" customHeight="1" x14ac:dyDescent="0.25">
      <c r="A86" s="407" t="str">
        <f>Итоговая!C295</f>
        <v xml:space="preserve">ПС 35/10 кВ № 8  </v>
      </c>
      <c r="B86" s="399">
        <f>Итоговая!D295</f>
        <v>2.5</v>
      </c>
      <c r="C86" s="400"/>
      <c r="D86" s="400"/>
      <c r="E86" s="400"/>
      <c r="F86" s="401"/>
      <c r="G86" s="2809" t="s">
        <v>3020</v>
      </c>
      <c r="H86" s="2809"/>
      <c r="I86" s="2809"/>
      <c r="J86" s="2809"/>
      <c r="K86" s="2809"/>
      <c r="L86" s="2774"/>
      <c r="M86" s="4" t="s">
        <v>2359</v>
      </c>
      <c r="N86" s="4" t="s">
        <v>2360</v>
      </c>
      <c r="O86" s="4">
        <v>0.09</v>
      </c>
      <c r="P86" s="4"/>
      <c r="Q86" s="4"/>
      <c r="R86" s="143"/>
      <c r="S86" s="143"/>
      <c r="T86" s="143"/>
      <c r="U86" s="143"/>
      <c r="V86" s="4"/>
      <c r="W86" s="77"/>
    </row>
    <row r="87" spans="1:23" ht="20.100000000000001" customHeight="1" x14ac:dyDescent="0.25">
      <c r="A87" s="1173"/>
      <c r="B87" s="1174"/>
      <c r="C87" s="1176"/>
      <c r="D87" s="1176"/>
      <c r="E87" s="1176"/>
      <c r="F87" s="1175"/>
      <c r="G87" s="2771"/>
      <c r="H87" s="2772"/>
      <c r="I87" s="2468"/>
      <c r="J87" s="149"/>
      <c r="K87" s="157"/>
      <c r="L87" s="157"/>
      <c r="M87" s="156"/>
      <c r="N87" s="263"/>
      <c r="O87" s="159"/>
      <c r="P87" s="159"/>
      <c r="Q87" s="159"/>
      <c r="R87" s="146"/>
      <c r="S87" s="179"/>
      <c r="T87" s="180"/>
      <c r="U87" s="151"/>
      <c r="V87" s="159"/>
      <c r="W87" s="157"/>
    </row>
    <row r="88" spans="1:23" ht="20.100000000000001" customHeight="1" thickBot="1" x14ac:dyDescent="0.3">
      <c r="A88" s="406"/>
      <c r="B88" s="395"/>
      <c r="C88" s="396"/>
      <c r="D88" s="396"/>
      <c r="E88" s="396"/>
      <c r="F88" s="397"/>
      <c r="G88" s="2636" t="s">
        <v>1833</v>
      </c>
      <c r="H88" s="2636"/>
      <c r="I88" s="2637"/>
      <c r="J88" s="136">
        <f>SUM(J86:J87)</f>
        <v>0</v>
      </c>
      <c r="K88" s="183">
        <v>0.92</v>
      </c>
      <c r="L88" s="136">
        <f>J88/K88</f>
        <v>0</v>
      </c>
      <c r="M88" s="2652" t="s">
        <v>1834</v>
      </c>
      <c r="N88" s="2637"/>
      <c r="O88" s="136">
        <f>SUM(O86:O86)</f>
        <v>0.09</v>
      </c>
      <c r="P88" s="183">
        <v>0.92</v>
      </c>
      <c r="Q88" s="136">
        <f>O88/P88</f>
        <v>9.7826086956521729E-2</v>
      </c>
      <c r="R88" s="2652" t="s">
        <v>1833</v>
      </c>
      <c r="S88" s="2636"/>
      <c r="T88" s="2637"/>
      <c r="U88" s="136">
        <f>SUM(U86:U86)</f>
        <v>0</v>
      </c>
      <c r="V88" s="183">
        <v>0.92</v>
      </c>
      <c r="W88" s="136">
        <f>U88/V88</f>
        <v>0</v>
      </c>
    </row>
    <row r="89" spans="1:23" ht="20.100000000000001" customHeight="1" x14ac:dyDescent="0.25">
      <c r="A89" s="2776" t="str">
        <f>Итоговая!C296</f>
        <v xml:space="preserve">ПС 35/6 кВ Алексино </v>
      </c>
      <c r="B89" s="2630">
        <f>Итоговая!D296</f>
        <v>2.5</v>
      </c>
      <c r="C89" s="400"/>
      <c r="D89" s="400"/>
      <c r="E89" s="400"/>
      <c r="F89" s="401"/>
      <c r="G89" s="2809" t="s">
        <v>1960</v>
      </c>
      <c r="H89" s="2809"/>
      <c r="I89" s="2809"/>
      <c r="J89" s="2809"/>
      <c r="K89" s="2809"/>
      <c r="L89" s="2774"/>
      <c r="M89" s="278"/>
      <c r="N89" s="278"/>
      <c r="O89" s="278"/>
      <c r="P89" s="72"/>
      <c r="Q89" s="72"/>
      <c r="R89" s="2813"/>
      <c r="S89" s="2813"/>
      <c r="T89" s="2813"/>
      <c r="U89" s="2813"/>
      <c r="V89" s="2813"/>
      <c r="W89" s="2795"/>
    </row>
    <row r="90" spans="1:23" ht="39" customHeight="1" x14ac:dyDescent="0.25">
      <c r="A90" s="2777"/>
      <c r="B90" s="2631"/>
      <c r="C90" s="404"/>
      <c r="D90" s="404"/>
      <c r="E90" s="404"/>
      <c r="F90" s="405"/>
      <c r="G90" s="263" t="s">
        <v>518</v>
      </c>
      <c r="H90" s="159" t="s">
        <v>519</v>
      </c>
      <c r="I90" s="42" t="s">
        <v>520</v>
      </c>
      <c r="J90" s="159">
        <v>8.4000000000000005E-2</v>
      </c>
      <c r="K90" s="159"/>
      <c r="L90" s="157"/>
      <c r="M90" s="143"/>
      <c r="N90" s="143"/>
      <c r="O90" s="153"/>
      <c r="P90" s="42"/>
      <c r="Q90" s="42"/>
      <c r="R90" s="199"/>
      <c r="S90" s="157"/>
      <c r="T90" s="72"/>
      <c r="U90" s="157"/>
      <c r="V90" s="157"/>
      <c r="W90" s="157"/>
    </row>
    <row r="91" spans="1:23" ht="20.100000000000001" customHeight="1" x14ac:dyDescent="0.25">
      <c r="A91" s="402"/>
      <c r="B91" s="566"/>
      <c r="C91" s="404"/>
      <c r="D91" s="404"/>
      <c r="E91" s="404"/>
      <c r="F91" s="405"/>
      <c r="G91" s="184" t="s">
        <v>521</v>
      </c>
      <c r="H91" s="143" t="s">
        <v>522</v>
      </c>
      <c r="I91" s="143" t="s">
        <v>523</v>
      </c>
      <c r="J91" s="53">
        <v>0.17499999999999999</v>
      </c>
      <c r="K91" s="143"/>
      <c r="L91" s="142"/>
      <c r="M91" s="143"/>
      <c r="N91" s="143"/>
      <c r="O91" s="143"/>
      <c r="P91" s="143"/>
      <c r="Q91" s="143"/>
      <c r="R91" s="267"/>
      <c r="S91" s="142"/>
      <c r="T91" s="142"/>
      <c r="U91" s="285"/>
      <c r="V91" s="142"/>
      <c r="W91" s="142"/>
    </row>
    <row r="92" spans="1:23" ht="20.100000000000001" customHeight="1" x14ac:dyDescent="0.25">
      <c r="A92" s="402"/>
      <c r="B92" s="403"/>
      <c r="C92" s="404"/>
      <c r="D92" s="404"/>
      <c r="E92" s="404"/>
      <c r="F92" s="405"/>
      <c r="G92" s="2767" t="s">
        <v>1959</v>
      </c>
      <c r="H92" s="2767"/>
      <c r="I92" s="2767"/>
      <c r="J92" s="2767"/>
      <c r="K92" s="2767"/>
      <c r="L92" s="2768"/>
      <c r="M92" s="143"/>
      <c r="N92" s="143"/>
      <c r="O92" s="143"/>
      <c r="P92" s="143"/>
      <c r="Q92" s="143"/>
      <c r="R92" s="2772"/>
      <c r="S92" s="2772"/>
      <c r="T92" s="2772"/>
      <c r="U92" s="2772"/>
      <c r="V92" s="2772"/>
      <c r="W92" s="2468"/>
    </row>
    <row r="93" spans="1:23" ht="20.100000000000001" customHeight="1" x14ac:dyDescent="0.25">
      <c r="A93" s="402"/>
      <c r="B93" s="403"/>
      <c r="C93" s="404"/>
      <c r="D93" s="404"/>
      <c r="E93" s="404"/>
      <c r="F93" s="405"/>
      <c r="G93" s="264" t="s">
        <v>524</v>
      </c>
      <c r="H93" s="42" t="s">
        <v>525</v>
      </c>
      <c r="I93" s="143" t="s">
        <v>526</v>
      </c>
      <c r="J93" s="42">
        <v>0.90500000000000003</v>
      </c>
      <c r="K93" s="42"/>
      <c r="L93" s="72"/>
      <c r="M93" s="143" t="s">
        <v>2583</v>
      </c>
      <c r="N93" s="143" t="s">
        <v>2584</v>
      </c>
      <c r="O93" s="143">
        <v>0.4</v>
      </c>
      <c r="P93" s="143"/>
      <c r="Q93" s="143"/>
      <c r="R93" s="273"/>
      <c r="S93" s="72"/>
      <c r="T93" s="142"/>
      <c r="U93" s="72"/>
      <c r="V93" s="72"/>
      <c r="W93" s="72"/>
    </row>
    <row r="94" spans="1:23" ht="20.100000000000001" customHeight="1" x14ac:dyDescent="0.25">
      <c r="A94" s="821"/>
      <c r="B94" s="822"/>
      <c r="C94" s="823"/>
      <c r="D94" s="823"/>
      <c r="E94" s="823"/>
      <c r="F94" s="820"/>
      <c r="G94" s="2767" t="s">
        <v>2477</v>
      </c>
      <c r="H94" s="2767"/>
      <c r="I94" s="2767"/>
      <c r="J94" s="2767"/>
      <c r="K94" s="2767"/>
      <c r="L94" s="2768"/>
      <c r="M94" s="143"/>
      <c r="N94" s="143"/>
      <c r="O94" s="143"/>
      <c r="P94" s="143"/>
      <c r="Q94" s="143"/>
      <c r="R94" s="142"/>
      <c r="S94" s="142"/>
      <c r="T94" s="142"/>
      <c r="U94" s="142"/>
      <c r="V94" s="142"/>
      <c r="W94" s="142"/>
    </row>
    <row r="95" spans="1:23" ht="20.100000000000001" customHeight="1" x14ac:dyDescent="0.25">
      <c r="A95" s="821"/>
      <c r="B95" s="822"/>
      <c r="C95" s="823"/>
      <c r="D95" s="823"/>
      <c r="E95" s="823"/>
      <c r="F95" s="820"/>
      <c r="G95" s="143" t="s">
        <v>2916</v>
      </c>
      <c r="H95" s="143" t="s">
        <v>2917</v>
      </c>
      <c r="I95" s="180" t="s">
        <v>2975</v>
      </c>
      <c r="J95" s="151">
        <v>1.84E-2</v>
      </c>
      <c r="K95" s="151"/>
      <c r="L95" s="149"/>
      <c r="M95" s="143"/>
      <c r="N95" s="180"/>
      <c r="O95" s="151"/>
      <c r="P95" s="151"/>
      <c r="Q95" s="151"/>
      <c r="R95" s="365"/>
      <c r="S95" s="365"/>
      <c r="T95" s="176"/>
      <c r="U95" s="149"/>
      <c r="V95" s="149"/>
      <c r="W95" s="149"/>
    </row>
    <row r="96" spans="1:23" ht="20.100000000000001" customHeight="1" x14ac:dyDescent="0.25">
      <c r="A96" s="841"/>
      <c r="B96" s="842"/>
      <c r="C96" s="843"/>
      <c r="D96" s="843"/>
      <c r="E96" s="843"/>
      <c r="F96" s="840"/>
      <c r="G96" s="143" t="s">
        <v>2916</v>
      </c>
      <c r="H96" s="180" t="s">
        <v>2918</v>
      </c>
      <c r="I96" s="180" t="s">
        <v>2977</v>
      </c>
      <c r="J96" s="151">
        <v>9.69E-2</v>
      </c>
      <c r="K96" s="151"/>
      <c r="L96" s="149"/>
      <c r="M96" s="146"/>
      <c r="N96" s="180"/>
      <c r="O96" s="151"/>
      <c r="P96" s="151"/>
      <c r="Q96" s="151"/>
      <c r="R96" s="365"/>
      <c r="S96" s="365"/>
      <c r="T96" s="176"/>
      <c r="U96" s="149"/>
      <c r="V96" s="149"/>
      <c r="W96" s="149"/>
    </row>
    <row r="97" spans="1:23" ht="20.100000000000001" customHeight="1" x14ac:dyDescent="0.25">
      <c r="A97" s="870"/>
      <c r="B97" s="872"/>
      <c r="C97" s="873"/>
      <c r="D97" s="873"/>
      <c r="E97" s="873"/>
      <c r="F97" s="868"/>
      <c r="G97" s="2" t="s">
        <v>3022</v>
      </c>
      <c r="H97" s="2" t="s">
        <v>3023</v>
      </c>
      <c r="I97" s="143" t="s">
        <v>2806</v>
      </c>
      <c r="J97" s="151">
        <v>0.53500000000000003</v>
      </c>
      <c r="K97" s="151"/>
      <c r="L97" s="149"/>
      <c r="M97" s="146"/>
      <c r="N97" s="180"/>
      <c r="O97" s="151"/>
      <c r="P97" s="151"/>
      <c r="Q97" s="151"/>
      <c r="R97" s="365"/>
      <c r="S97" s="365"/>
      <c r="T97" s="176"/>
      <c r="U97" s="149"/>
      <c r="V97" s="149"/>
      <c r="W97" s="149"/>
    </row>
    <row r="98" spans="1:23" ht="20.100000000000001" customHeight="1" x14ac:dyDescent="0.25">
      <c r="A98" s="1886"/>
      <c r="B98" s="1871"/>
      <c r="C98" s="1872"/>
      <c r="D98" s="1872"/>
      <c r="E98" s="1872"/>
      <c r="F98" s="1876"/>
      <c r="G98" s="2767" t="s">
        <v>17005</v>
      </c>
      <c r="H98" s="2767"/>
      <c r="I98" s="2767"/>
      <c r="J98" s="2767"/>
      <c r="K98" s="2767"/>
      <c r="L98" s="2768"/>
      <c r="M98" s="1881"/>
      <c r="N98" s="1883"/>
      <c r="O98" s="1885"/>
      <c r="P98" s="1885"/>
      <c r="Q98" s="1885"/>
      <c r="R98" s="1889"/>
      <c r="S98" s="1889"/>
      <c r="T98" s="1890"/>
      <c r="U98" s="149"/>
      <c r="V98" s="149"/>
      <c r="W98" s="149"/>
    </row>
    <row r="99" spans="1:23" ht="23.25" customHeight="1" x14ac:dyDescent="0.25">
      <c r="A99" s="1592"/>
      <c r="B99" s="1598"/>
      <c r="C99" s="1601"/>
      <c r="D99" s="1601"/>
      <c r="E99" s="1601"/>
      <c r="F99" s="1599"/>
      <c r="G99" s="1865" t="s">
        <v>16958</v>
      </c>
      <c r="H99" s="1865" t="s">
        <v>16944</v>
      </c>
      <c r="I99" s="1597" t="s">
        <v>17008</v>
      </c>
      <c r="J99" s="1593">
        <f>0.035*0.9</f>
        <v>3.1500000000000007E-2</v>
      </c>
      <c r="K99" s="1593"/>
      <c r="L99" s="149"/>
      <c r="M99" s="1595"/>
      <c r="N99" s="1597"/>
      <c r="O99" s="1593"/>
      <c r="P99" s="1593"/>
      <c r="Q99" s="1593"/>
      <c r="R99" s="1611"/>
      <c r="S99" s="1611"/>
      <c r="T99" s="1612"/>
      <c r="U99" s="149"/>
      <c r="V99" s="149"/>
      <c r="W99" s="149"/>
    </row>
    <row r="100" spans="1:23" ht="20.100000000000001" customHeight="1" thickBot="1" x14ac:dyDescent="0.3">
      <c r="A100" s="638"/>
      <c r="B100" s="637"/>
      <c r="C100" s="639"/>
      <c r="D100" s="639"/>
      <c r="E100" s="639"/>
      <c r="F100" s="397"/>
      <c r="G100" s="2636" t="s">
        <v>1833</v>
      </c>
      <c r="H100" s="2636"/>
      <c r="I100" s="2637"/>
      <c r="J100" s="136">
        <f>SUM(J99)</f>
        <v>3.1500000000000007E-2</v>
      </c>
      <c r="K100" s="183">
        <v>0.92</v>
      </c>
      <c r="L100" s="136">
        <f>J100/K100</f>
        <v>3.4239130434782612E-2</v>
      </c>
      <c r="M100" s="2652" t="s">
        <v>1834</v>
      </c>
      <c r="N100" s="2637"/>
      <c r="O100" s="136">
        <f>SUM(O90:O95)</f>
        <v>0.4</v>
      </c>
      <c r="P100" s="183">
        <v>0.92</v>
      </c>
      <c r="Q100" s="136">
        <f>O100/P100</f>
        <v>0.43478260869565216</v>
      </c>
      <c r="R100" s="2636" t="s">
        <v>1833</v>
      </c>
      <c r="S100" s="2636"/>
      <c r="T100" s="2637"/>
      <c r="U100" s="136">
        <f>SUM(U90:U93)</f>
        <v>0</v>
      </c>
      <c r="V100" s="183">
        <v>0.92</v>
      </c>
      <c r="W100" s="136">
        <f>U100/V100</f>
        <v>0</v>
      </c>
    </row>
    <row r="101" spans="1:23" ht="20.100000000000001" customHeight="1" x14ac:dyDescent="0.25">
      <c r="A101" s="2777" t="str">
        <f>Итоговая!C297</f>
        <v xml:space="preserve">ПС 35/10 кВ Безбородово </v>
      </c>
      <c r="B101" s="2631">
        <f>Итоговая!D297</f>
        <v>2.5</v>
      </c>
      <c r="C101" s="404"/>
      <c r="D101" s="404"/>
      <c r="E101" s="404"/>
      <c r="F101" s="405"/>
      <c r="G101" s="2809" t="s">
        <v>1961</v>
      </c>
      <c r="H101" s="2809"/>
      <c r="I101" s="2809"/>
      <c r="J101" s="2809"/>
      <c r="K101" s="2809"/>
      <c r="L101" s="2774"/>
      <c r="M101" s="55"/>
      <c r="N101" s="199"/>
      <c r="O101" s="157"/>
      <c r="P101" s="157"/>
      <c r="Q101" s="157"/>
      <c r="R101" s="2812"/>
      <c r="S101" s="2813"/>
      <c r="T101" s="2813"/>
      <c r="U101" s="2813"/>
      <c r="V101" s="2813"/>
      <c r="W101" s="2795"/>
    </row>
    <row r="102" spans="1:23" ht="40.5" customHeight="1" x14ac:dyDescent="0.25">
      <c r="A102" s="2777"/>
      <c r="B102" s="2631"/>
      <c r="C102" s="404"/>
      <c r="D102" s="404"/>
      <c r="E102" s="404"/>
      <c r="F102" s="405"/>
      <c r="G102" s="267" t="s">
        <v>527</v>
      </c>
      <c r="H102" s="142" t="s">
        <v>528</v>
      </c>
      <c r="I102" s="142" t="s">
        <v>529</v>
      </c>
      <c r="J102" s="60">
        <v>0.4</v>
      </c>
      <c r="K102" s="143"/>
      <c r="L102" s="142"/>
      <c r="M102" s="143" t="s">
        <v>530</v>
      </c>
      <c r="N102" s="143" t="s">
        <v>531</v>
      </c>
      <c r="O102" s="143">
        <v>7.2</v>
      </c>
      <c r="P102" s="143"/>
      <c r="Q102" s="143"/>
      <c r="R102" s="142"/>
      <c r="S102" s="142"/>
      <c r="T102" s="142"/>
      <c r="U102" s="49"/>
      <c r="V102" s="142"/>
      <c r="W102" s="142"/>
    </row>
    <row r="103" spans="1:23" ht="40.5" customHeight="1" x14ac:dyDescent="0.25">
      <c r="A103" s="739"/>
      <c r="B103" s="740"/>
      <c r="C103" s="741"/>
      <c r="D103" s="741"/>
      <c r="E103" s="741"/>
      <c r="F103" s="738"/>
      <c r="G103" s="2767" t="s">
        <v>2477</v>
      </c>
      <c r="H103" s="2767"/>
      <c r="I103" s="2767"/>
      <c r="J103" s="2767"/>
      <c r="K103" s="2767"/>
      <c r="L103" s="2768"/>
      <c r="M103" s="1397"/>
      <c r="N103" s="1397"/>
      <c r="O103" s="1397"/>
      <c r="P103" s="1397"/>
      <c r="Q103" s="1397"/>
      <c r="R103" s="1415"/>
      <c r="S103" s="1415"/>
      <c r="T103" s="1415"/>
      <c r="U103" s="49"/>
      <c r="V103" s="1415"/>
      <c r="W103" s="1415"/>
    </row>
    <row r="104" spans="1:23" ht="40.5" customHeight="1" x14ac:dyDescent="0.25">
      <c r="A104" s="821"/>
      <c r="B104" s="822"/>
      <c r="C104" s="823"/>
      <c r="D104" s="823"/>
      <c r="E104" s="823"/>
      <c r="F104" s="820"/>
      <c r="G104" s="143" t="s">
        <v>2916</v>
      </c>
      <c r="H104" s="143" t="s">
        <v>2936</v>
      </c>
      <c r="I104" s="176" t="s">
        <v>2982</v>
      </c>
      <c r="J104" s="143">
        <f>0.0516-0.03</f>
        <v>2.1600000000000001E-2</v>
      </c>
      <c r="K104" s="151"/>
      <c r="L104" s="149"/>
      <c r="M104" s="1397"/>
      <c r="N104" s="1397"/>
      <c r="O104" s="1397"/>
      <c r="P104" s="1397"/>
      <c r="Q104" s="1397"/>
      <c r="R104" s="1415"/>
      <c r="S104" s="1415"/>
      <c r="T104" s="1415"/>
      <c r="U104" s="49"/>
      <c r="V104" s="1415"/>
      <c r="W104" s="1415"/>
    </row>
    <row r="105" spans="1:23" ht="40.5" customHeight="1" x14ac:dyDescent="0.25">
      <c r="A105" s="1256"/>
      <c r="B105" s="1263"/>
      <c r="C105" s="1267"/>
      <c r="D105" s="1267"/>
      <c r="E105" s="1267"/>
      <c r="F105" s="1264"/>
      <c r="G105" s="2767" t="s">
        <v>3447</v>
      </c>
      <c r="H105" s="2767"/>
      <c r="I105" s="2767"/>
      <c r="J105" s="2767"/>
      <c r="K105" s="2767"/>
      <c r="L105" s="2768"/>
      <c r="M105" s="1496" t="s">
        <v>15335</v>
      </c>
      <c r="N105" s="1496" t="s">
        <v>15336</v>
      </c>
      <c r="O105" s="1397">
        <f>0.025-0.014</f>
        <v>1.1000000000000001E-2</v>
      </c>
      <c r="P105" s="1397"/>
      <c r="Q105" s="1397"/>
      <c r="R105" s="1415"/>
      <c r="S105" s="1415"/>
      <c r="T105" s="1415"/>
      <c r="U105" s="49"/>
      <c r="V105" s="1415"/>
      <c r="W105" s="1415"/>
    </row>
    <row r="106" spans="1:23" ht="40.5" customHeight="1" x14ac:dyDescent="0.25">
      <c r="A106" s="1256"/>
      <c r="B106" s="1263"/>
      <c r="C106" s="1267"/>
      <c r="D106" s="1267"/>
      <c r="E106" s="1267"/>
      <c r="F106" s="1264"/>
      <c r="G106" s="1259" t="s">
        <v>3389</v>
      </c>
      <c r="H106" s="1259" t="s">
        <v>3390</v>
      </c>
      <c r="I106" s="1278" t="s">
        <v>3491</v>
      </c>
      <c r="J106" s="1257">
        <f>0.1*0.75</f>
        <v>7.5000000000000011E-2</v>
      </c>
      <c r="K106" s="1257"/>
      <c r="L106" s="149"/>
      <c r="M106" s="1397"/>
      <c r="N106" s="1397"/>
      <c r="O106" s="1397"/>
      <c r="P106" s="1397"/>
      <c r="Q106" s="1397"/>
      <c r="R106" s="1415"/>
      <c r="S106" s="1415"/>
      <c r="T106" s="1415"/>
      <c r="U106" s="49"/>
      <c r="V106" s="1415"/>
      <c r="W106" s="1415"/>
    </row>
    <row r="107" spans="1:23" ht="40.5" customHeight="1" x14ac:dyDescent="0.25">
      <c r="A107" s="1287"/>
      <c r="B107" s="1291"/>
      <c r="C107" s="1296"/>
      <c r="D107" s="1296"/>
      <c r="E107" s="1296"/>
      <c r="F107" s="1292"/>
      <c r="G107" s="1333" t="s">
        <v>2788</v>
      </c>
      <c r="H107" s="1290" t="s">
        <v>2909</v>
      </c>
      <c r="I107" s="1348" t="s">
        <v>3500</v>
      </c>
      <c r="J107" s="1359">
        <f>2.01*0.5</f>
        <v>1.0049999999999999</v>
      </c>
      <c r="K107" s="1288"/>
      <c r="L107" s="149"/>
      <c r="M107" s="1397"/>
      <c r="N107" s="1397"/>
      <c r="O107" s="1397"/>
      <c r="P107" s="1397"/>
      <c r="Q107" s="1397"/>
      <c r="R107" s="1415"/>
      <c r="S107" s="1415"/>
      <c r="T107" s="1415"/>
      <c r="U107" s="49"/>
      <c r="V107" s="1415"/>
      <c r="W107" s="1415"/>
    </row>
    <row r="108" spans="1:23" ht="40.5" customHeight="1" x14ac:dyDescent="0.25">
      <c r="A108" s="1405"/>
      <c r="B108" s="1399"/>
      <c r="C108" s="1407"/>
      <c r="D108" s="1407"/>
      <c r="E108" s="1407"/>
      <c r="F108" s="1400"/>
      <c r="G108" s="1397" t="s">
        <v>3566</v>
      </c>
      <c r="H108" s="1565" t="s">
        <v>3567</v>
      </c>
      <c r="I108" s="1417" t="s">
        <v>3634</v>
      </c>
      <c r="J108" s="1397">
        <f>(0.065-0.015)*0.9</f>
        <v>4.5000000000000005E-2</v>
      </c>
      <c r="K108" s="1401"/>
      <c r="L108" s="149"/>
      <c r="M108" s="1397"/>
      <c r="N108" s="1397"/>
      <c r="O108" s="1397"/>
      <c r="P108" s="1397"/>
      <c r="Q108" s="1397"/>
      <c r="R108" s="1415"/>
      <c r="S108" s="1415"/>
      <c r="T108" s="1415"/>
      <c r="U108" s="49"/>
      <c r="V108" s="1415"/>
      <c r="W108" s="1415"/>
    </row>
    <row r="109" spans="1:23" ht="40.5" customHeight="1" x14ac:dyDescent="0.25">
      <c r="A109" s="2019"/>
      <c r="B109" s="2004"/>
      <c r="C109" s="2005"/>
      <c r="D109" s="2005"/>
      <c r="E109" s="2005"/>
      <c r="F109" s="2006"/>
      <c r="G109" s="2767" t="s">
        <v>17005</v>
      </c>
      <c r="H109" s="2767"/>
      <c r="I109" s="2767"/>
      <c r="J109" s="2767"/>
      <c r="K109" s="2767"/>
      <c r="L109" s="2768"/>
      <c r="M109" s="1995"/>
      <c r="N109" s="1995"/>
      <c r="O109" s="1995"/>
      <c r="P109" s="1995"/>
      <c r="Q109" s="1995"/>
      <c r="R109" s="2022"/>
      <c r="S109" s="2022"/>
      <c r="T109" s="2022"/>
      <c r="U109" s="49"/>
      <c r="V109" s="2022"/>
      <c r="W109" s="2022"/>
    </row>
    <row r="110" spans="1:23" ht="40.5" customHeight="1" x14ac:dyDescent="0.25">
      <c r="A110" s="2019"/>
      <c r="B110" s="2004"/>
      <c r="C110" s="2005"/>
      <c r="D110" s="2005"/>
      <c r="E110" s="2005"/>
      <c r="F110" s="2006"/>
      <c r="G110" s="1995" t="s">
        <v>2788</v>
      </c>
      <c r="H110" s="1995" t="s">
        <v>3593</v>
      </c>
      <c r="I110" s="2024" t="s">
        <v>17078</v>
      </c>
      <c r="J110" s="2020">
        <v>0.86</v>
      </c>
      <c r="K110" s="2020"/>
      <c r="L110" s="149"/>
      <c r="M110" s="1995"/>
      <c r="N110" s="1995"/>
      <c r="O110" s="1995"/>
      <c r="P110" s="1995"/>
      <c r="Q110" s="1995"/>
      <c r="R110" s="2022"/>
      <c r="S110" s="2022"/>
      <c r="T110" s="2022"/>
      <c r="U110" s="49"/>
      <c r="V110" s="2022"/>
      <c r="W110" s="2022"/>
    </row>
    <row r="111" spans="1:23" ht="20.100000000000001" customHeight="1" thickBot="1" x14ac:dyDescent="0.3">
      <c r="A111" s="406"/>
      <c r="B111" s="395"/>
      <c r="C111" s="396"/>
      <c r="D111" s="396"/>
      <c r="E111" s="396"/>
      <c r="F111" s="397"/>
      <c r="G111" s="2636" t="s">
        <v>1833</v>
      </c>
      <c r="H111" s="2636"/>
      <c r="I111" s="2637"/>
      <c r="J111" s="136">
        <f>SUM(J106:J110)</f>
        <v>1.9849999999999999</v>
      </c>
      <c r="K111" s="183">
        <v>0.92</v>
      </c>
      <c r="L111" s="136">
        <f>J111/K111</f>
        <v>2.1576086956521738</v>
      </c>
      <c r="M111" s="2581" t="s">
        <v>1834</v>
      </c>
      <c r="N111" s="2581"/>
      <c r="O111" s="277">
        <f>SUM(O102:O108)</f>
        <v>7.2110000000000003</v>
      </c>
      <c r="P111" s="1397">
        <v>0.92</v>
      </c>
      <c r="Q111" s="277">
        <f>O111/P111</f>
        <v>7.8380434782608699</v>
      </c>
      <c r="R111" s="2794"/>
      <c r="S111" s="2794"/>
      <c r="T111" s="2794"/>
      <c r="U111" s="1415"/>
      <c r="V111" s="1415"/>
      <c r="W111" s="1415"/>
    </row>
    <row r="112" spans="1:23" ht="20.100000000000001" customHeight="1" x14ac:dyDescent="0.25">
      <c r="A112" s="2776" t="str">
        <f>Итоговая!C298</f>
        <v xml:space="preserve">ПС 110/10 кВ Медведиха </v>
      </c>
      <c r="B112" s="2630">
        <f>Итоговая!D298</f>
        <v>2.5</v>
      </c>
      <c r="C112" s="400"/>
      <c r="D112" s="400"/>
      <c r="E112" s="400"/>
      <c r="F112" s="401"/>
      <c r="G112" s="2774" t="s">
        <v>2032</v>
      </c>
      <c r="H112" s="2775"/>
      <c r="I112" s="2775"/>
      <c r="J112" s="2775"/>
      <c r="K112" s="2775"/>
      <c r="L112" s="2775"/>
      <c r="M112" s="72"/>
      <c r="N112" s="72"/>
      <c r="O112" s="72"/>
      <c r="P112" s="72"/>
      <c r="Q112" s="72"/>
      <c r="R112" s="2773"/>
      <c r="S112" s="2773"/>
      <c r="T112" s="2773"/>
      <c r="U112" s="2773"/>
      <c r="V112" s="2773"/>
      <c r="W112" s="2773"/>
    </row>
    <row r="113" spans="1:23" ht="78.75" customHeight="1" x14ac:dyDescent="0.25">
      <c r="A113" s="2777"/>
      <c r="B113" s="2631"/>
      <c r="C113" s="404"/>
      <c r="D113" s="404"/>
      <c r="E113" s="404"/>
      <c r="F113" s="405"/>
      <c r="G113" s="184" t="s">
        <v>1452</v>
      </c>
      <c r="H113" s="143" t="s">
        <v>2004</v>
      </c>
      <c r="I113" s="143" t="s">
        <v>2238</v>
      </c>
      <c r="J113" s="143">
        <v>0.13500000000000001</v>
      </c>
      <c r="K113" s="143"/>
      <c r="L113" s="142"/>
      <c r="M113" s="142" t="s">
        <v>2654</v>
      </c>
      <c r="N113" s="142" t="s">
        <v>2655</v>
      </c>
      <c r="O113" s="142">
        <v>3.5000000000000003E-2</v>
      </c>
      <c r="P113" s="142"/>
      <c r="Q113" s="142"/>
      <c r="R113" s="142"/>
      <c r="S113" s="142"/>
      <c r="T113" s="142"/>
      <c r="U113" s="142"/>
      <c r="V113" s="142"/>
      <c r="W113" s="142"/>
    </row>
    <row r="114" spans="1:23" ht="26.25" customHeight="1" x14ac:dyDescent="0.25">
      <c r="A114" s="2777"/>
      <c r="B114" s="2631"/>
      <c r="C114" s="796"/>
      <c r="D114" s="796"/>
      <c r="E114" s="796"/>
      <c r="F114" s="792"/>
      <c r="G114" s="2774" t="s">
        <v>2477</v>
      </c>
      <c r="H114" s="2775"/>
      <c r="I114" s="2775"/>
      <c r="J114" s="2775"/>
      <c r="K114" s="2775"/>
      <c r="L114" s="2775"/>
      <c r="M114" s="149"/>
      <c r="N114" s="149"/>
      <c r="O114" s="149"/>
      <c r="P114" s="157"/>
      <c r="Q114" s="157"/>
      <c r="R114" s="55"/>
      <c r="S114" s="86"/>
      <c r="T114" s="199"/>
      <c r="U114" s="157"/>
      <c r="V114" s="157"/>
      <c r="W114" s="157"/>
    </row>
    <row r="115" spans="1:23" ht="78.75" customHeight="1" x14ac:dyDescent="0.25">
      <c r="A115" s="2777"/>
      <c r="B115" s="2631"/>
      <c r="C115" s="766"/>
      <c r="D115" s="766"/>
      <c r="E115" s="766"/>
      <c r="F115" s="762"/>
      <c r="G115" s="1437" t="s">
        <v>2654</v>
      </c>
      <c r="H115" s="143" t="s">
        <v>2826</v>
      </c>
      <c r="I115" s="143" t="s">
        <v>2871</v>
      </c>
      <c r="J115" s="143">
        <v>1.4999999999999999E-2</v>
      </c>
      <c r="K115" s="143"/>
      <c r="L115" s="142"/>
      <c r="M115" s="149"/>
      <c r="N115" s="149"/>
      <c r="O115" s="149"/>
      <c r="P115" s="157"/>
      <c r="Q115" s="157"/>
      <c r="R115" s="55"/>
      <c r="S115" s="86"/>
      <c r="T115" s="199"/>
      <c r="U115" s="157"/>
      <c r="V115" s="157"/>
      <c r="W115" s="157"/>
    </row>
    <row r="116" spans="1:23" ht="28.5" customHeight="1" x14ac:dyDescent="0.25">
      <c r="A116" s="2777"/>
      <c r="B116" s="2631"/>
      <c r="C116" s="1187"/>
      <c r="D116" s="1187"/>
      <c r="E116" s="1187"/>
      <c r="F116" s="1184"/>
      <c r="G116" s="2774" t="s">
        <v>3020</v>
      </c>
      <c r="H116" s="2775"/>
      <c r="I116" s="2775"/>
      <c r="J116" s="2775"/>
      <c r="K116" s="2775"/>
      <c r="L116" s="2775"/>
      <c r="M116" s="149"/>
      <c r="N116" s="149"/>
      <c r="O116" s="149"/>
      <c r="P116" s="157"/>
      <c r="Q116" s="157"/>
      <c r="R116" s="55"/>
      <c r="S116" s="86"/>
      <c r="T116" s="199"/>
      <c r="U116" s="157"/>
      <c r="V116" s="157"/>
      <c r="W116" s="157"/>
    </row>
    <row r="117" spans="1:23" ht="43.5" customHeight="1" x14ac:dyDescent="0.25">
      <c r="A117" s="2777"/>
      <c r="B117" s="2631"/>
      <c r="C117" s="1187"/>
      <c r="D117" s="1187"/>
      <c r="E117" s="1187"/>
      <c r="F117" s="1184"/>
      <c r="G117" s="2771"/>
      <c r="H117" s="2772"/>
      <c r="I117" s="2468"/>
      <c r="J117" s="1965"/>
      <c r="K117" s="1965"/>
      <c r="L117" s="1965"/>
      <c r="M117" s="149"/>
      <c r="N117" s="149"/>
      <c r="O117" s="149"/>
      <c r="P117" s="157"/>
      <c r="Q117" s="157"/>
      <c r="R117" s="55"/>
      <c r="S117" s="86"/>
      <c r="T117" s="199"/>
      <c r="U117" s="157"/>
      <c r="V117" s="157"/>
      <c r="W117" s="157"/>
    </row>
    <row r="118" spans="1:23" ht="43.5" customHeight="1" x14ac:dyDescent="0.25">
      <c r="A118" s="2777"/>
      <c r="B118" s="2631"/>
      <c r="C118" s="1339"/>
      <c r="D118" s="1339"/>
      <c r="E118" s="1339"/>
      <c r="F118" s="1337"/>
      <c r="G118" s="2774" t="s">
        <v>3447</v>
      </c>
      <c r="H118" s="2775"/>
      <c r="I118" s="2775"/>
      <c r="J118" s="2775"/>
      <c r="K118" s="2775"/>
      <c r="L118" s="2775"/>
      <c r="M118" s="149"/>
      <c r="N118" s="149"/>
      <c r="O118" s="149"/>
      <c r="P118" s="157"/>
      <c r="Q118" s="157"/>
      <c r="R118" s="55"/>
      <c r="S118" s="1346"/>
      <c r="T118" s="199"/>
      <c r="U118" s="157"/>
      <c r="V118" s="157"/>
      <c r="W118" s="157"/>
    </row>
    <row r="119" spans="1:23" ht="58.5" customHeight="1" x14ac:dyDescent="0.25">
      <c r="A119" s="2777"/>
      <c r="B119" s="2631"/>
      <c r="C119" s="1339"/>
      <c r="D119" s="1339"/>
      <c r="E119" s="1339"/>
      <c r="F119" s="1337"/>
      <c r="G119" s="149" t="s">
        <v>3465</v>
      </c>
      <c r="H119" s="149" t="s">
        <v>3466</v>
      </c>
      <c r="I119" s="1327" t="s">
        <v>3578</v>
      </c>
      <c r="J119" s="1345">
        <f>0.05*0.75</f>
        <v>3.7500000000000006E-2</v>
      </c>
      <c r="K119" s="1345"/>
      <c r="L119" s="1345"/>
      <c r="M119" s="149"/>
      <c r="N119" s="149"/>
      <c r="O119" s="149"/>
      <c r="P119" s="157"/>
      <c r="Q119" s="157"/>
      <c r="R119" s="55"/>
      <c r="S119" s="1346"/>
      <c r="T119" s="199"/>
      <c r="U119" s="157"/>
      <c r="V119" s="157"/>
      <c r="W119" s="157"/>
    </row>
    <row r="120" spans="1:23" ht="20.100000000000001" customHeight="1" thickBot="1" x14ac:dyDescent="0.3">
      <c r="A120" s="2841"/>
      <c r="B120" s="2817"/>
      <c r="C120" s="396"/>
      <c r="D120" s="396"/>
      <c r="E120" s="396"/>
      <c r="F120" s="397"/>
      <c r="G120" s="2581" t="s">
        <v>1833</v>
      </c>
      <c r="H120" s="2581"/>
      <c r="I120" s="2581"/>
      <c r="J120" s="277">
        <f>SUM(J117:J119)</f>
        <v>3.7500000000000006E-2</v>
      </c>
      <c r="K120" s="143">
        <v>0.92</v>
      </c>
      <c r="L120" s="277">
        <f>J120/K120</f>
        <v>4.0760869565217399E-2</v>
      </c>
      <c r="M120" s="2581" t="s">
        <v>1834</v>
      </c>
      <c r="N120" s="2581"/>
      <c r="O120" s="277">
        <f>SUM(O113:O115)</f>
        <v>3.5000000000000003E-2</v>
      </c>
      <c r="P120" s="143">
        <v>0.92</v>
      </c>
      <c r="Q120" s="277">
        <f>O120/P120</f>
        <v>3.8043478260869568E-2</v>
      </c>
      <c r="R120" s="2581" t="s">
        <v>1833</v>
      </c>
      <c r="S120" s="2581"/>
      <c r="T120" s="2581"/>
      <c r="U120" s="277">
        <f>SUM(U113:U113)</f>
        <v>0</v>
      </c>
      <c r="V120" s="143">
        <v>0.92</v>
      </c>
      <c r="W120" s="277">
        <f>U120/V120</f>
        <v>0</v>
      </c>
    </row>
    <row r="121" spans="1:23" ht="39.75" customHeight="1" x14ac:dyDescent="0.25">
      <c r="A121" s="407" t="str">
        <f>Итоговая!C299</f>
        <v xml:space="preserve">ПС 35/10 кВ Киверичи </v>
      </c>
      <c r="B121" s="399">
        <f>Итоговая!D299</f>
        <v>2.5</v>
      </c>
      <c r="C121" s="400"/>
      <c r="D121" s="400"/>
      <c r="E121" s="400"/>
      <c r="F121" s="401"/>
      <c r="G121" s="264"/>
      <c r="H121" s="42"/>
      <c r="I121" s="42"/>
      <c r="J121" s="42"/>
      <c r="K121" s="42"/>
      <c r="L121" s="72"/>
      <c r="M121" s="42" t="s">
        <v>730</v>
      </c>
      <c r="N121" s="42" t="s">
        <v>731</v>
      </c>
      <c r="O121" s="42">
        <v>2.6499999999999999E-2</v>
      </c>
      <c r="P121" s="42"/>
      <c r="Q121" s="42"/>
      <c r="R121" s="42"/>
      <c r="S121" s="42"/>
      <c r="T121" s="42"/>
      <c r="U121" s="42"/>
      <c r="V121" s="42"/>
      <c r="W121" s="72"/>
    </row>
    <row r="122" spans="1:23" ht="20.100000000000001" customHeight="1" thickBot="1" x14ac:dyDescent="0.3">
      <c r="A122" s="406"/>
      <c r="B122" s="395"/>
      <c r="C122" s="396"/>
      <c r="D122" s="396"/>
      <c r="E122" s="396"/>
      <c r="F122" s="397"/>
      <c r="G122" s="2636" t="s">
        <v>1833</v>
      </c>
      <c r="H122" s="2636"/>
      <c r="I122" s="2637"/>
      <c r="J122" s="136">
        <f>SUM(J121:J121)</f>
        <v>0</v>
      </c>
      <c r="K122" s="183">
        <v>0.92</v>
      </c>
      <c r="L122" s="136">
        <f>J122/K122</f>
        <v>0</v>
      </c>
      <c r="M122" s="2652" t="s">
        <v>1834</v>
      </c>
      <c r="N122" s="2637"/>
      <c r="O122" s="136">
        <f>SUM(O121:O121)</f>
        <v>2.6499999999999999E-2</v>
      </c>
      <c r="P122" s="183">
        <v>0.92</v>
      </c>
      <c r="Q122" s="136">
        <f>O122/P122</f>
        <v>2.8804347826086953E-2</v>
      </c>
      <c r="R122" s="2652" t="s">
        <v>1833</v>
      </c>
      <c r="S122" s="2636"/>
      <c r="T122" s="2637"/>
      <c r="U122" s="136">
        <f>SUM(U121:U121)</f>
        <v>0</v>
      </c>
      <c r="V122" s="183">
        <v>0.92</v>
      </c>
      <c r="W122" s="136">
        <f>U122/V122</f>
        <v>0</v>
      </c>
    </row>
    <row r="123" spans="1:23" ht="20.100000000000001" customHeight="1" x14ac:dyDescent="0.25">
      <c r="A123" s="407" t="str">
        <f>Итоговая!C300</f>
        <v xml:space="preserve">ПС 35/10 кВ Диево </v>
      </c>
      <c r="B123" s="399">
        <f>Итоговая!D300</f>
        <v>2.5</v>
      </c>
      <c r="C123" s="400"/>
      <c r="D123" s="400"/>
      <c r="E123" s="400"/>
      <c r="F123" s="401"/>
      <c r="G123" s="184"/>
      <c r="H123" s="143"/>
      <c r="I123" s="143"/>
      <c r="J123" s="143"/>
      <c r="K123" s="143"/>
      <c r="L123" s="142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2"/>
    </row>
    <row r="124" spans="1:23" ht="20.100000000000001" customHeight="1" thickBot="1" x14ac:dyDescent="0.3">
      <c r="A124" s="406"/>
      <c r="B124" s="395"/>
      <c r="C124" s="396"/>
      <c r="D124" s="396"/>
      <c r="E124" s="396"/>
      <c r="F124" s="397"/>
      <c r="G124" s="2636" t="s">
        <v>1833</v>
      </c>
      <c r="H124" s="2636"/>
      <c r="I124" s="2637"/>
      <c r="J124" s="136">
        <f>SUM(J123:J123)</f>
        <v>0</v>
      </c>
      <c r="K124" s="183">
        <v>0.92</v>
      </c>
      <c r="L124" s="136">
        <f>J124/K124</f>
        <v>0</v>
      </c>
      <c r="M124" s="2652" t="s">
        <v>1834</v>
      </c>
      <c r="N124" s="2637"/>
      <c r="O124" s="136">
        <f>SUM(O123:O123)</f>
        <v>0</v>
      </c>
      <c r="P124" s="183">
        <v>0.92</v>
      </c>
      <c r="Q124" s="136">
        <f>O124/P124</f>
        <v>0</v>
      </c>
      <c r="R124" s="2652" t="s">
        <v>1833</v>
      </c>
      <c r="S124" s="2636"/>
      <c r="T124" s="2637"/>
      <c r="U124" s="136">
        <f>SUM(U123:U123)</f>
        <v>0</v>
      </c>
      <c r="V124" s="183">
        <v>0.92</v>
      </c>
      <c r="W124" s="136">
        <f>U124/V124</f>
        <v>0</v>
      </c>
    </row>
    <row r="125" spans="1:23" ht="20.100000000000001" customHeight="1" x14ac:dyDescent="0.25">
      <c r="A125" s="407" t="str">
        <f>Итоговая!C301</f>
        <v xml:space="preserve">ПС 35/10 кВ №17 </v>
      </c>
      <c r="B125" s="399">
        <f>Итоговая!D301</f>
        <v>4</v>
      </c>
      <c r="C125" s="400" t="str">
        <f>Итоговая!E301</f>
        <v>+</v>
      </c>
      <c r="D125" s="400">
        <f>Итоговая!F301</f>
        <v>4</v>
      </c>
      <c r="E125" s="400"/>
      <c r="F125" s="401"/>
      <c r="G125" s="2774" t="s">
        <v>2477</v>
      </c>
      <c r="H125" s="2775"/>
      <c r="I125" s="2775"/>
      <c r="J125" s="2775"/>
      <c r="K125" s="2775"/>
      <c r="L125" s="2775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2"/>
    </row>
    <row r="126" spans="1:23" ht="20.100000000000001" customHeight="1" x14ac:dyDescent="0.25">
      <c r="A126" s="719"/>
      <c r="B126" s="720"/>
      <c r="C126" s="721"/>
      <c r="D126" s="721"/>
      <c r="E126" s="721"/>
      <c r="F126" s="718"/>
      <c r="G126" s="143" t="s">
        <v>2670</v>
      </c>
      <c r="H126" s="143" t="s">
        <v>2671</v>
      </c>
      <c r="I126" s="143" t="s">
        <v>2736</v>
      </c>
      <c r="J126" s="143">
        <v>0.1</v>
      </c>
      <c r="K126" s="143"/>
      <c r="L126" s="142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2"/>
    </row>
    <row r="127" spans="1:23" ht="20.100000000000001" customHeight="1" x14ac:dyDescent="0.25">
      <c r="A127" s="1886"/>
      <c r="B127" s="1871"/>
      <c r="C127" s="1872"/>
      <c r="D127" s="1872"/>
      <c r="E127" s="1872"/>
      <c r="F127" s="1876"/>
      <c r="G127" s="2774" t="s">
        <v>17005</v>
      </c>
      <c r="H127" s="2775"/>
      <c r="I127" s="2775"/>
      <c r="J127" s="2775"/>
      <c r="K127" s="2775"/>
      <c r="L127" s="2775"/>
      <c r="M127" s="1881"/>
      <c r="N127" s="1883"/>
      <c r="O127" s="1885"/>
      <c r="P127" s="1885"/>
      <c r="Q127" s="1885"/>
      <c r="R127" s="1881"/>
      <c r="S127" s="1882"/>
      <c r="T127" s="1883"/>
      <c r="U127" s="1885"/>
      <c r="V127" s="1885"/>
      <c r="W127" s="149"/>
    </row>
    <row r="128" spans="1:23" ht="74.25" customHeight="1" x14ac:dyDescent="0.25">
      <c r="A128" s="1886"/>
      <c r="B128" s="1871"/>
      <c r="C128" s="1872"/>
      <c r="D128" s="1872"/>
      <c r="E128" s="1872"/>
      <c r="F128" s="1876"/>
      <c r="G128" s="1865" t="s">
        <v>16997</v>
      </c>
      <c r="H128" s="1865" t="s">
        <v>16998</v>
      </c>
      <c r="I128" s="1883" t="s">
        <v>17019</v>
      </c>
      <c r="J128" s="1885">
        <f>0.3*0.9</f>
        <v>0.27</v>
      </c>
      <c r="K128" s="1885"/>
      <c r="L128" s="149"/>
      <c r="M128" s="1881"/>
      <c r="N128" s="1883"/>
      <c r="O128" s="1885"/>
      <c r="P128" s="1885"/>
      <c r="Q128" s="1885"/>
      <c r="R128" s="1881"/>
      <c r="S128" s="1882"/>
      <c r="T128" s="1883"/>
      <c r="U128" s="1885"/>
      <c r="V128" s="1885"/>
      <c r="W128" s="149"/>
    </row>
    <row r="129" spans="1:23" ht="20.100000000000001" customHeight="1" thickBot="1" x14ac:dyDescent="0.3">
      <c r="A129" s="406"/>
      <c r="B129" s="395"/>
      <c r="C129" s="396"/>
      <c r="D129" s="396"/>
      <c r="E129" s="396"/>
      <c r="F129" s="397"/>
      <c r="G129" s="2636" t="s">
        <v>1833</v>
      </c>
      <c r="H129" s="2636"/>
      <c r="I129" s="2637"/>
      <c r="J129" s="136">
        <f>SUM(J128)</f>
        <v>0.27</v>
      </c>
      <c r="K129" s="183">
        <v>0.92</v>
      </c>
      <c r="L129" s="136">
        <f>J129/K129</f>
        <v>0.29347826086956524</v>
      </c>
      <c r="M129" s="2652" t="s">
        <v>1834</v>
      </c>
      <c r="N129" s="2637"/>
      <c r="O129" s="136">
        <f>SUM(O125:O125)</f>
        <v>0</v>
      </c>
      <c r="P129" s="183">
        <v>0.92</v>
      </c>
      <c r="Q129" s="136">
        <f>O129/P129</f>
        <v>0</v>
      </c>
      <c r="R129" s="2652" t="s">
        <v>1833</v>
      </c>
      <c r="S129" s="2636"/>
      <c r="T129" s="2637"/>
      <c r="U129" s="136">
        <f>SUM(U125:U125)</f>
        <v>0</v>
      </c>
      <c r="V129" s="183">
        <v>0.92</v>
      </c>
      <c r="W129" s="136">
        <f>U129/V129</f>
        <v>0</v>
      </c>
    </row>
    <row r="130" spans="1:23" ht="20.100000000000001" customHeight="1" x14ac:dyDescent="0.25">
      <c r="A130" s="2776" t="str">
        <f>Итоговая!C302</f>
        <v>ПС  35/6 кВ Даниловская</v>
      </c>
      <c r="B130" s="2630">
        <f>Итоговая!D302</f>
        <v>2.5</v>
      </c>
      <c r="C130" s="2632" t="str">
        <f>Итоговая!E302</f>
        <v>+</v>
      </c>
      <c r="D130" s="2632">
        <f>Итоговая!F302</f>
        <v>6.3</v>
      </c>
      <c r="E130" s="400"/>
      <c r="F130" s="401"/>
      <c r="G130" s="2808" t="s">
        <v>1961</v>
      </c>
      <c r="H130" s="2808"/>
      <c r="I130" s="2808"/>
      <c r="J130" s="2808"/>
      <c r="K130" s="2808"/>
      <c r="L130" s="2800"/>
      <c r="M130" s="147"/>
      <c r="N130" s="176"/>
      <c r="O130" s="149"/>
      <c r="P130" s="149"/>
      <c r="Q130" s="149"/>
      <c r="R130" s="2811"/>
      <c r="S130" s="2791"/>
      <c r="T130" s="2791"/>
      <c r="U130" s="2791"/>
      <c r="V130" s="2791"/>
      <c r="W130" s="2792"/>
    </row>
    <row r="131" spans="1:23" ht="20.100000000000001" customHeight="1" x14ac:dyDescent="0.25">
      <c r="A131" s="2777"/>
      <c r="B131" s="2631"/>
      <c r="C131" s="2633"/>
      <c r="D131" s="2633"/>
      <c r="E131" s="404"/>
      <c r="F131" s="405"/>
      <c r="G131" s="267" t="s">
        <v>361</v>
      </c>
      <c r="H131" s="142" t="s">
        <v>362</v>
      </c>
      <c r="I131" s="142" t="s">
        <v>363</v>
      </c>
      <c r="J131" s="54">
        <v>0.05</v>
      </c>
      <c r="K131" s="143"/>
      <c r="L131" s="142"/>
      <c r="M131" s="142" t="s">
        <v>364</v>
      </c>
      <c r="N131" s="143" t="s">
        <v>365</v>
      </c>
      <c r="O131" s="143">
        <v>5</v>
      </c>
      <c r="P131" s="143"/>
      <c r="Q131" s="143"/>
      <c r="R131" s="184" t="s">
        <v>2372</v>
      </c>
      <c r="S131" s="1230" t="s">
        <v>2373</v>
      </c>
      <c r="T131" s="143" t="s">
        <v>3262</v>
      </c>
      <c r="U131" s="143">
        <v>0.105</v>
      </c>
      <c r="V131" s="142"/>
      <c r="W131" s="142"/>
    </row>
    <row r="132" spans="1:23" ht="20.100000000000001" customHeight="1" x14ac:dyDescent="0.25">
      <c r="A132" s="402"/>
      <c r="B132" s="403"/>
      <c r="C132" s="404"/>
      <c r="D132" s="404"/>
      <c r="E132" s="404"/>
      <c r="F132" s="405"/>
      <c r="G132" s="66" t="s">
        <v>366</v>
      </c>
      <c r="H132" s="2" t="s">
        <v>367</v>
      </c>
      <c r="I132" s="142" t="s">
        <v>368</v>
      </c>
      <c r="J132" s="52">
        <v>0.35</v>
      </c>
      <c r="K132" s="143"/>
      <c r="L132" s="142"/>
      <c r="M132" s="143" t="s">
        <v>369</v>
      </c>
      <c r="N132" s="143" t="s">
        <v>370</v>
      </c>
      <c r="O132" s="143">
        <v>0.3</v>
      </c>
      <c r="P132" s="143"/>
      <c r="Q132" s="143"/>
      <c r="R132" s="142"/>
      <c r="S132" s="142"/>
      <c r="T132" s="142"/>
      <c r="U132" s="366"/>
      <c r="V132" s="142"/>
      <c r="W132" s="142"/>
    </row>
    <row r="133" spans="1:23" ht="20.100000000000001" customHeight="1" x14ac:dyDescent="0.25">
      <c r="A133" s="402"/>
      <c r="B133" s="403"/>
      <c r="C133" s="404"/>
      <c r="D133" s="404"/>
      <c r="E133" s="404"/>
      <c r="F133" s="405"/>
      <c r="G133" s="2768" t="s">
        <v>2032</v>
      </c>
      <c r="H133" s="2804"/>
      <c r="I133" s="2804"/>
      <c r="J133" s="2804"/>
      <c r="K133" s="2804"/>
      <c r="L133" s="2804"/>
      <c r="M133" s="143"/>
      <c r="N133" s="143"/>
      <c r="O133" s="143"/>
      <c r="P133" s="143"/>
      <c r="Q133" s="143"/>
      <c r="R133" s="2794"/>
      <c r="S133" s="2794"/>
      <c r="T133" s="2794"/>
      <c r="U133" s="2794"/>
      <c r="V133" s="2794"/>
      <c r="W133" s="2794"/>
    </row>
    <row r="134" spans="1:23" ht="20.100000000000001" customHeight="1" x14ac:dyDescent="0.25">
      <c r="A134" s="402"/>
      <c r="B134" s="403"/>
      <c r="C134" s="404"/>
      <c r="D134" s="404"/>
      <c r="E134" s="404"/>
      <c r="F134" s="405"/>
      <c r="G134" s="184" t="s">
        <v>371</v>
      </c>
      <c r="H134" s="143" t="s">
        <v>372</v>
      </c>
      <c r="I134" s="143" t="s">
        <v>2250</v>
      </c>
      <c r="J134" s="143">
        <v>0.2</v>
      </c>
      <c r="K134" s="143"/>
      <c r="L134" s="142"/>
      <c r="M134" s="143" t="s">
        <v>1469</v>
      </c>
      <c r="N134" s="143" t="s">
        <v>1468</v>
      </c>
      <c r="O134" s="143">
        <v>0.5</v>
      </c>
      <c r="P134" s="143"/>
      <c r="Q134" s="143"/>
      <c r="R134" s="142"/>
      <c r="S134" s="142"/>
      <c r="T134" s="142"/>
      <c r="U134" s="142"/>
      <c r="V134" s="142"/>
      <c r="W134" s="142"/>
    </row>
    <row r="135" spans="1:23" ht="20.100000000000001" customHeight="1" x14ac:dyDescent="0.25">
      <c r="A135" s="402"/>
      <c r="B135" s="403"/>
      <c r="C135" s="404"/>
      <c r="D135" s="404"/>
      <c r="E135" s="404"/>
      <c r="F135" s="405"/>
      <c r="G135" s="184"/>
      <c r="H135" s="143"/>
      <c r="I135" s="143"/>
      <c r="J135" s="143"/>
      <c r="K135" s="143"/>
      <c r="L135" s="142"/>
      <c r="M135" s="143" t="s">
        <v>371</v>
      </c>
      <c r="N135" s="143" t="s">
        <v>373</v>
      </c>
      <c r="O135" s="184">
        <v>0.15</v>
      </c>
      <c r="P135" s="143"/>
      <c r="Q135" s="143"/>
      <c r="R135" s="142"/>
      <c r="S135" s="142"/>
      <c r="T135" s="142"/>
      <c r="U135" s="142"/>
      <c r="V135" s="142"/>
      <c r="W135" s="142"/>
    </row>
    <row r="136" spans="1:23" ht="20.100000000000001" customHeight="1" x14ac:dyDescent="0.25">
      <c r="A136" s="759"/>
      <c r="B136" s="760"/>
      <c r="C136" s="761"/>
      <c r="D136" s="761"/>
      <c r="E136" s="761"/>
      <c r="F136" s="758"/>
      <c r="G136" s="2768" t="s">
        <v>2477</v>
      </c>
      <c r="H136" s="2804"/>
      <c r="I136" s="2804"/>
      <c r="J136" s="2804"/>
      <c r="K136" s="2804"/>
      <c r="L136" s="2804"/>
      <c r="M136" s="1230" t="s">
        <v>1695</v>
      </c>
      <c r="N136" s="1230" t="s">
        <v>3130</v>
      </c>
      <c r="O136" s="1230">
        <v>3.2000000000000001E-2</v>
      </c>
      <c r="P136" s="151"/>
      <c r="Q136" s="151"/>
      <c r="R136" s="149"/>
      <c r="S136" s="149"/>
      <c r="T136" s="149"/>
      <c r="U136" s="149"/>
      <c r="V136" s="149"/>
      <c r="W136" s="149"/>
    </row>
    <row r="137" spans="1:23" ht="33.75" customHeight="1" x14ac:dyDescent="0.25">
      <c r="A137" s="759"/>
      <c r="B137" s="760"/>
      <c r="C137" s="761"/>
      <c r="D137" s="761"/>
      <c r="E137" s="761"/>
      <c r="F137" s="758"/>
      <c r="G137" s="1220"/>
      <c r="H137" s="149"/>
      <c r="I137" s="149"/>
      <c r="J137" s="149"/>
      <c r="K137" s="149"/>
      <c r="L137" s="149"/>
      <c r="M137" s="1230"/>
      <c r="N137" s="1230"/>
      <c r="O137" s="1230"/>
      <c r="P137" s="151"/>
      <c r="Q137" s="151"/>
      <c r="R137" s="149"/>
      <c r="S137" s="149"/>
      <c r="T137" s="149"/>
      <c r="U137" s="149"/>
      <c r="V137" s="149"/>
      <c r="W137" s="149"/>
    </row>
    <row r="138" spans="1:23" ht="20.100000000000001" customHeight="1" x14ac:dyDescent="0.25">
      <c r="A138" s="1155"/>
      <c r="B138" s="1153"/>
      <c r="C138" s="1156"/>
      <c r="D138" s="1156"/>
      <c r="E138" s="1156"/>
      <c r="F138" s="1154"/>
      <c r="G138" s="176"/>
      <c r="H138" s="149"/>
      <c r="I138" s="149"/>
      <c r="J138" s="149"/>
      <c r="K138" s="149"/>
      <c r="L138" s="149"/>
      <c r="M138" s="1230"/>
      <c r="N138" s="1230"/>
      <c r="O138" s="1230"/>
      <c r="P138" s="151"/>
      <c r="Q138" s="151"/>
      <c r="R138" s="149"/>
      <c r="S138" s="149"/>
      <c r="T138" s="149"/>
      <c r="U138" s="149"/>
      <c r="V138" s="149"/>
      <c r="W138" s="149"/>
    </row>
    <row r="139" spans="1:23" ht="20.100000000000001" customHeight="1" x14ac:dyDescent="0.25">
      <c r="A139" s="1155"/>
      <c r="B139" s="1153"/>
      <c r="C139" s="1156"/>
      <c r="D139" s="1156"/>
      <c r="E139" s="1156"/>
      <c r="F139" s="1154"/>
      <c r="G139" s="2768" t="s">
        <v>3020</v>
      </c>
      <c r="H139" s="2804"/>
      <c r="I139" s="2804"/>
      <c r="J139" s="2804"/>
      <c r="K139" s="2804"/>
      <c r="L139" s="2804"/>
      <c r="M139" s="1259" t="s">
        <v>3457</v>
      </c>
      <c r="N139" s="1259" t="s">
        <v>3458</v>
      </c>
      <c r="O139" s="1230">
        <v>0</v>
      </c>
      <c r="P139" s="151"/>
      <c r="Q139" s="151"/>
      <c r="R139" s="149"/>
      <c r="S139" s="149"/>
      <c r="T139" s="149"/>
      <c r="U139" s="149"/>
      <c r="V139" s="149"/>
      <c r="W139" s="149"/>
    </row>
    <row r="140" spans="1:23" ht="20.100000000000001" customHeight="1" x14ac:dyDescent="0.25">
      <c r="A140" s="1155"/>
      <c r="B140" s="1153"/>
      <c r="C140" s="1156"/>
      <c r="D140" s="1156"/>
      <c r="E140" s="1156"/>
      <c r="F140" s="1154"/>
      <c r="G140" s="146" t="s">
        <v>3358</v>
      </c>
      <c r="H140" s="180" t="s">
        <v>3267</v>
      </c>
      <c r="I140" s="149" t="s">
        <v>3359</v>
      </c>
      <c r="J140" s="149">
        <f>1.7*0.9</f>
        <v>1.53</v>
      </c>
      <c r="K140" s="149"/>
      <c r="L140" s="149"/>
      <c r="M140" s="1333"/>
      <c r="N140" s="1333"/>
      <c r="O140" s="1230"/>
      <c r="P140" s="151"/>
      <c r="Q140" s="151"/>
      <c r="R140" s="149"/>
      <c r="S140" s="149"/>
      <c r="T140" s="149"/>
      <c r="U140" s="149"/>
      <c r="V140" s="149"/>
      <c r="W140" s="149"/>
    </row>
    <row r="141" spans="1:23" ht="20.100000000000001" customHeight="1" x14ac:dyDescent="0.25">
      <c r="A141" s="1173"/>
      <c r="B141" s="1174"/>
      <c r="C141" s="1176"/>
      <c r="D141" s="1176"/>
      <c r="E141" s="1176"/>
      <c r="F141" s="1175"/>
      <c r="G141" s="2771"/>
      <c r="H141" s="2772"/>
      <c r="I141" s="2468"/>
      <c r="J141" s="149"/>
      <c r="K141" s="149"/>
      <c r="L141" s="149"/>
      <c r="M141" s="1310" t="s">
        <v>3535</v>
      </c>
      <c r="N141" s="1333" t="s">
        <v>3536</v>
      </c>
      <c r="O141" s="1230">
        <v>0.05</v>
      </c>
      <c r="P141" s="151"/>
      <c r="Q141" s="151"/>
      <c r="R141" s="149"/>
      <c r="S141" s="149"/>
      <c r="T141" s="149"/>
      <c r="U141" s="149"/>
      <c r="V141" s="149"/>
      <c r="W141" s="149"/>
    </row>
    <row r="142" spans="1:23" ht="20.100000000000001" customHeight="1" x14ac:dyDescent="0.25">
      <c r="A142" s="1237"/>
      <c r="B142" s="1231"/>
      <c r="C142" s="1239"/>
      <c r="D142" s="1239"/>
      <c r="E142" s="1239"/>
      <c r="F142" s="1232"/>
      <c r="G142" s="2768" t="s">
        <v>3447</v>
      </c>
      <c r="H142" s="2804"/>
      <c r="I142" s="2804"/>
      <c r="J142" s="2804"/>
      <c r="K142" s="2804"/>
      <c r="L142" s="2804"/>
      <c r="M142" s="1548"/>
      <c r="N142" s="1548"/>
      <c r="O142" s="1230"/>
      <c r="P142" s="1233"/>
      <c r="Q142" s="1233"/>
      <c r="R142" s="149"/>
      <c r="S142" s="149"/>
      <c r="T142" s="149"/>
      <c r="U142" s="149"/>
      <c r="V142" s="149"/>
      <c r="W142" s="149"/>
    </row>
    <row r="143" spans="1:23" ht="20.100000000000001" customHeight="1" x14ac:dyDescent="0.25">
      <c r="A143" s="1237"/>
      <c r="B143" s="1231"/>
      <c r="C143" s="1239"/>
      <c r="D143" s="1239"/>
      <c r="E143" s="1239"/>
      <c r="F143" s="1232"/>
      <c r="G143" s="1230" t="s">
        <v>3430</v>
      </c>
      <c r="H143" s="1230" t="s">
        <v>3431</v>
      </c>
      <c r="I143" s="1305" t="s">
        <v>3453</v>
      </c>
      <c r="J143" s="2344">
        <f>0.0472*0.9</f>
        <v>4.2479999999999997E-2</v>
      </c>
      <c r="K143" s="1248"/>
      <c r="L143" s="1248"/>
      <c r="M143" s="1721"/>
      <c r="N143" s="1721"/>
      <c r="O143" s="1721"/>
      <c r="P143" s="1233"/>
      <c r="Q143" s="1233"/>
      <c r="R143" s="149"/>
      <c r="S143" s="149"/>
      <c r="T143" s="149"/>
      <c r="U143" s="149"/>
      <c r="V143" s="149"/>
      <c r="W143" s="149"/>
    </row>
    <row r="144" spans="1:23" ht="20.100000000000001" customHeight="1" x14ac:dyDescent="0.25">
      <c r="A144" s="1287"/>
      <c r="B144" s="1291"/>
      <c r="C144" s="1296"/>
      <c r="D144" s="1296"/>
      <c r="E144" s="1296"/>
      <c r="F144" s="1292"/>
      <c r="G144" s="1290" t="s">
        <v>3345</v>
      </c>
      <c r="H144" s="1290" t="s">
        <v>3346</v>
      </c>
      <c r="I144" s="149" t="s">
        <v>3499</v>
      </c>
      <c r="J144" s="149">
        <f>0.06*0.9</f>
        <v>5.3999999999999999E-2</v>
      </c>
      <c r="K144" s="149"/>
      <c r="L144" s="149"/>
      <c r="M144" s="1721"/>
      <c r="N144" s="1721"/>
      <c r="O144" s="149"/>
      <c r="P144" s="1288"/>
      <c r="Q144" s="1288"/>
      <c r="R144" s="149"/>
      <c r="S144" s="149"/>
      <c r="T144" s="149"/>
      <c r="U144" s="149"/>
      <c r="V144" s="149"/>
      <c r="W144" s="149"/>
    </row>
    <row r="145" spans="1:23" ht="20.100000000000001" customHeight="1" x14ac:dyDescent="0.25">
      <c r="A145" s="1405"/>
      <c r="B145" s="1399"/>
      <c r="C145" s="1407"/>
      <c r="D145" s="1407"/>
      <c r="E145" s="1407"/>
      <c r="F145" s="1400"/>
      <c r="G145" s="1397" t="s">
        <v>3485</v>
      </c>
      <c r="H145" s="1397" t="s">
        <v>3557</v>
      </c>
      <c r="I145" s="149" t="s">
        <v>3638</v>
      </c>
      <c r="J145" s="149">
        <f>0.1*0.9</f>
        <v>9.0000000000000011E-2</v>
      </c>
      <c r="K145" s="149"/>
      <c r="L145" s="149"/>
      <c r="M145" s="1721"/>
      <c r="N145" s="1721"/>
      <c r="O145" s="149"/>
      <c r="P145" s="1401"/>
      <c r="Q145" s="1401"/>
      <c r="R145" s="149"/>
      <c r="S145" s="149"/>
      <c r="T145" s="149"/>
      <c r="U145" s="149"/>
      <c r="V145" s="149"/>
      <c r="W145" s="149"/>
    </row>
    <row r="146" spans="1:23" ht="20.100000000000001" customHeight="1" x14ac:dyDescent="0.25">
      <c r="A146" s="1556"/>
      <c r="B146" s="1550"/>
      <c r="C146" s="1557"/>
      <c r="D146" s="1557"/>
      <c r="E146" s="1557"/>
      <c r="F146" s="1551"/>
      <c r="G146" s="1721" t="s">
        <v>3485</v>
      </c>
      <c r="H146" s="1721" t="s">
        <v>16792</v>
      </c>
      <c r="I146" s="1721" t="s">
        <v>16841</v>
      </c>
      <c r="J146" s="2344">
        <f>0.28*0.9</f>
        <v>0.25200000000000006</v>
      </c>
      <c r="K146" s="1660"/>
      <c r="L146" s="1660"/>
      <c r="M146" s="1722"/>
      <c r="N146" s="1721"/>
      <c r="O146" s="149"/>
      <c r="P146" s="1552"/>
      <c r="Q146" s="1552"/>
      <c r="R146" s="149"/>
      <c r="S146" s="149"/>
      <c r="T146" s="149"/>
      <c r="U146" s="149"/>
      <c r="V146" s="149"/>
      <c r="W146" s="149"/>
    </row>
    <row r="147" spans="1:23" ht="20.100000000000001" customHeight="1" x14ac:dyDescent="0.25">
      <c r="A147" s="1556"/>
      <c r="B147" s="1550"/>
      <c r="C147" s="1557"/>
      <c r="D147" s="1557"/>
      <c r="E147" s="1557"/>
      <c r="F147" s="1551"/>
      <c r="G147" s="295" t="s">
        <v>3485</v>
      </c>
      <c r="H147" s="295" t="s">
        <v>16725</v>
      </c>
      <c r="I147" s="295" t="s">
        <v>16842</v>
      </c>
      <c r="J147" s="2344">
        <f>0.1*0.9</f>
        <v>9.0000000000000011E-2</v>
      </c>
      <c r="K147" s="295"/>
      <c r="L147" s="295"/>
      <c r="M147" s="1722"/>
      <c r="N147" s="1721"/>
      <c r="O147" s="149"/>
      <c r="P147" s="1552"/>
      <c r="Q147" s="1552"/>
      <c r="R147" s="149"/>
      <c r="S147" s="149"/>
      <c r="T147" s="149"/>
      <c r="U147" s="149"/>
      <c r="V147" s="149"/>
      <c r="W147" s="149"/>
    </row>
    <row r="148" spans="1:23" ht="20.100000000000001" customHeight="1" x14ac:dyDescent="0.25">
      <c r="A148" s="1720"/>
      <c r="B148" s="1706"/>
      <c r="C148" s="1707"/>
      <c r="D148" s="1707"/>
      <c r="E148" s="1707"/>
      <c r="F148" s="1711"/>
      <c r="G148" s="1721" t="s">
        <v>3485</v>
      </c>
      <c r="H148" s="1721" t="s">
        <v>16793</v>
      </c>
      <c r="I148" s="600" t="s">
        <v>16843</v>
      </c>
      <c r="J148" s="149">
        <f>0.14*0.9</f>
        <v>0.12600000000000003</v>
      </c>
      <c r="K148" s="600"/>
      <c r="L148" s="600"/>
      <c r="M148" s="1715"/>
      <c r="N148" s="1717"/>
      <c r="O148" s="1719"/>
      <c r="P148" s="1719"/>
      <c r="Q148" s="1719"/>
      <c r="R148" s="149"/>
      <c r="S148" s="149"/>
      <c r="T148" s="149"/>
      <c r="U148" s="149"/>
      <c r="V148" s="149"/>
      <c r="W148" s="149"/>
    </row>
    <row r="149" spans="1:23" ht="20.100000000000001" customHeight="1" x14ac:dyDescent="0.25">
      <c r="A149" s="1720"/>
      <c r="B149" s="1706"/>
      <c r="C149" s="1707"/>
      <c r="D149" s="1707"/>
      <c r="E149" s="1707"/>
      <c r="F149" s="1711"/>
      <c r="G149" s="599" t="s">
        <v>16726</v>
      </c>
      <c r="H149" s="600" t="s">
        <v>16727</v>
      </c>
      <c r="I149" s="600" t="s">
        <v>16844</v>
      </c>
      <c r="J149" s="149">
        <f>0.2*0.9</f>
        <v>0.18000000000000002</v>
      </c>
      <c r="K149" s="600"/>
      <c r="L149" s="600"/>
      <c r="M149" s="1715"/>
      <c r="N149" s="1717"/>
      <c r="O149" s="1719"/>
      <c r="P149" s="1719"/>
      <c r="Q149" s="1719"/>
      <c r="R149" s="149"/>
      <c r="S149" s="149"/>
      <c r="T149" s="149"/>
      <c r="U149" s="149"/>
      <c r="V149" s="149"/>
      <c r="W149" s="149"/>
    </row>
    <row r="150" spans="1:23" ht="20.100000000000001" customHeight="1" x14ac:dyDescent="0.25">
      <c r="A150" s="1720"/>
      <c r="B150" s="1706"/>
      <c r="C150" s="1707"/>
      <c r="D150" s="1707"/>
      <c r="E150" s="1707"/>
      <c r="F150" s="1711"/>
      <c r="G150" s="599" t="s">
        <v>16726</v>
      </c>
      <c r="H150" s="600" t="s">
        <v>16728</v>
      </c>
      <c r="I150" s="600" t="s">
        <v>16845</v>
      </c>
      <c r="J150" s="149">
        <f>0.1*0.9</f>
        <v>9.0000000000000011E-2</v>
      </c>
      <c r="K150" s="600"/>
      <c r="L150" s="600"/>
      <c r="M150" s="1715"/>
      <c r="N150" s="1717"/>
      <c r="O150" s="1719"/>
      <c r="P150" s="1719"/>
      <c r="Q150" s="1719"/>
      <c r="R150" s="149"/>
      <c r="S150" s="149"/>
      <c r="T150" s="149"/>
      <c r="U150" s="149"/>
      <c r="V150" s="149"/>
      <c r="W150" s="149"/>
    </row>
    <row r="151" spans="1:23" ht="20.100000000000001" customHeight="1" x14ac:dyDescent="0.25">
      <c r="A151" s="1720"/>
      <c r="B151" s="1706"/>
      <c r="C151" s="1707"/>
      <c r="D151" s="1707"/>
      <c r="E151" s="1707"/>
      <c r="F151" s="1711"/>
      <c r="G151" s="1697" t="s">
        <v>3485</v>
      </c>
      <c r="H151" s="1697" t="s">
        <v>16690</v>
      </c>
      <c r="I151" s="600" t="s">
        <v>16846</v>
      </c>
      <c r="J151" s="149">
        <f>0.08*0.9</f>
        <v>7.2000000000000008E-2</v>
      </c>
      <c r="K151" s="600"/>
      <c r="L151" s="600"/>
      <c r="M151" s="1715"/>
      <c r="N151" s="1717"/>
      <c r="O151" s="1719"/>
      <c r="P151" s="1719"/>
      <c r="Q151" s="1719"/>
      <c r="R151" s="149"/>
      <c r="S151" s="149"/>
      <c r="T151" s="149"/>
      <c r="U151" s="149"/>
      <c r="V151" s="149"/>
      <c r="W151" s="149"/>
    </row>
    <row r="152" spans="1:23" ht="20.100000000000001" customHeight="1" x14ac:dyDescent="0.25">
      <c r="A152" s="1756"/>
      <c r="B152" s="1741"/>
      <c r="C152" s="1742"/>
      <c r="D152" s="1742"/>
      <c r="E152" s="1742"/>
      <c r="F152" s="1743"/>
      <c r="G152" s="1752" t="s">
        <v>16781</v>
      </c>
      <c r="H152" s="1753" t="s">
        <v>16782</v>
      </c>
      <c r="I152" s="600" t="s">
        <v>16869</v>
      </c>
      <c r="J152" s="149">
        <f>0.035*0.9</f>
        <v>3.1500000000000007E-2</v>
      </c>
      <c r="K152" s="600"/>
      <c r="L152" s="600"/>
      <c r="M152" s="1752"/>
      <c r="N152" s="1753"/>
      <c r="O152" s="1757"/>
      <c r="P152" s="1757"/>
      <c r="Q152" s="1757"/>
      <c r="R152" s="149"/>
      <c r="S152" s="149"/>
      <c r="T152" s="149"/>
      <c r="U152" s="149"/>
      <c r="V152" s="149"/>
      <c r="W152" s="149"/>
    </row>
    <row r="153" spans="1:23" ht="20.100000000000001" customHeight="1" x14ac:dyDescent="0.25">
      <c r="A153" s="1935"/>
      <c r="B153" s="1919"/>
      <c r="C153" s="1920"/>
      <c r="D153" s="1920"/>
      <c r="E153" s="1920"/>
      <c r="F153" s="1923"/>
      <c r="G153" s="1912" t="s">
        <v>16925</v>
      </c>
      <c r="H153" s="1912" t="s">
        <v>16926</v>
      </c>
      <c r="I153" s="600" t="s">
        <v>17046</v>
      </c>
      <c r="J153" s="149">
        <v>0.28000000000000003</v>
      </c>
      <c r="K153" s="600"/>
      <c r="L153" s="600"/>
      <c r="M153" s="1931"/>
      <c r="N153" s="1932"/>
      <c r="O153" s="1934"/>
      <c r="P153" s="1934"/>
      <c r="Q153" s="1934"/>
      <c r="R153" s="149"/>
      <c r="S153" s="149"/>
      <c r="T153" s="149"/>
      <c r="U153" s="149"/>
      <c r="V153" s="149"/>
      <c r="W153" s="149"/>
    </row>
    <row r="154" spans="1:23" ht="26.25" customHeight="1" x14ac:dyDescent="0.25">
      <c r="A154" s="1935"/>
      <c r="B154" s="1919"/>
      <c r="C154" s="1920"/>
      <c r="D154" s="1920"/>
      <c r="E154" s="1920"/>
      <c r="F154" s="1923"/>
      <c r="G154" s="2784" t="s">
        <v>3404</v>
      </c>
      <c r="H154" s="2785"/>
      <c r="I154" s="2786"/>
      <c r="J154" s="775">
        <f>0.52*0.9</f>
        <v>0.46800000000000003</v>
      </c>
      <c r="K154" s="600"/>
      <c r="L154" s="600"/>
      <c r="M154" s="1931"/>
      <c r="N154" s="1932"/>
      <c r="O154" s="1934"/>
      <c r="P154" s="1934"/>
      <c r="Q154" s="1934"/>
      <c r="R154" s="149"/>
      <c r="S154" s="149"/>
      <c r="T154" s="149"/>
      <c r="U154" s="149"/>
      <c r="V154" s="149"/>
      <c r="W154" s="149"/>
    </row>
    <row r="155" spans="1:23" ht="26.25" customHeight="1" x14ac:dyDescent="0.25">
      <c r="A155" s="2236"/>
      <c r="B155" s="2214"/>
      <c r="C155" s="2215"/>
      <c r="D155" s="2215"/>
      <c r="E155" s="2215"/>
      <c r="F155" s="2219"/>
      <c r="G155" s="2768" t="s">
        <v>17005</v>
      </c>
      <c r="H155" s="2804"/>
      <c r="I155" s="2804"/>
      <c r="J155" s="2804"/>
      <c r="K155" s="2804"/>
      <c r="L155" s="2804"/>
      <c r="M155" s="2228"/>
      <c r="N155" s="2230"/>
      <c r="O155" s="2235"/>
      <c r="P155" s="2235"/>
      <c r="Q155" s="2235"/>
      <c r="R155" s="149"/>
      <c r="S155" s="149"/>
      <c r="T155" s="149"/>
      <c r="U155" s="149"/>
      <c r="V155" s="149"/>
      <c r="W155" s="149"/>
    </row>
    <row r="156" spans="1:23" ht="26.25" customHeight="1" x14ac:dyDescent="0.25">
      <c r="A156" s="2236"/>
      <c r="B156" s="2214"/>
      <c r="C156" s="2215"/>
      <c r="D156" s="2215"/>
      <c r="E156" s="2215"/>
      <c r="F156" s="2219"/>
      <c r="G156" s="2784" t="s">
        <v>3404</v>
      </c>
      <c r="H156" s="2785"/>
      <c r="I156" s="2786"/>
      <c r="J156" s="775">
        <f>0.277*0.9</f>
        <v>0.24930000000000002</v>
      </c>
      <c r="K156" s="600"/>
      <c r="L156" s="600"/>
      <c r="M156" s="2228"/>
      <c r="N156" s="2230"/>
      <c r="O156" s="2235"/>
      <c r="P156" s="2235"/>
      <c r="Q156" s="2235"/>
      <c r="R156" s="149"/>
      <c r="S156" s="149"/>
      <c r="T156" s="149"/>
      <c r="U156" s="149"/>
      <c r="V156" s="149"/>
      <c r="W156" s="149"/>
    </row>
    <row r="157" spans="1:23" ht="20.100000000000001" customHeight="1" thickBot="1" x14ac:dyDescent="0.3">
      <c r="A157" s="567"/>
      <c r="B157" s="395"/>
      <c r="C157" s="396"/>
      <c r="D157" s="396"/>
      <c r="E157" s="396"/>
      <c r="F157" s="397"/>
      <c r="G157" s="180"/>
      <c r="H157" s="151"/>
      <c r="I157" s="151"/>
      <c r="J157" s="136">
        <f>SUM(J140:J156)</f>
        <v>3.5552799999999998</v>
      </c>
      <c r="K157" s="151">
        <v>0.92</v>
      </c>
      <c r="L157" s="181">
        <f>J157/K157</f>
        <v>3.8644347826086953</v>
      </c>
      <c r="M157" s="2715" t="s">
        <v>1834</v>
      </c>
      <c r="N157" s="2717"/>
      <c r="O157" s="181">
        <f>SUM(O131:O148)</f>
        <v>6.032</v>
      </c>
      <c r="P157" s="151">
        <v>0.92</v>
      </c>
      <c r="Q157" s="181">
        <f>O157/P157</f>
        <v>6.5565217391304342</v>
      </c>
      <c r="R157" s="151"/>
      <c r="S157" s="151"/>
      <c r="T157" s="151"/>
      <c r="U157" s="136">
        <f>SUM(U131:U137)</f>
        <v>0.105</v>
      </c>
      <c r="V157" s="151">
        <v>0.92</v>
      </c>
      <c r="W157" s="181">
        <f>U157/V157</f>
        <v>0.11413043478260869</v>
      </c>
    </row>
    <row r="158" spans="1:23" ht="20.100000000000001" customHeight="1" x14ac:dyDescent="0.25">
      <c r="A158" s="402" t="str">
        <f>Итоговая!C303</f>
        <v>ПС 35/10 кВ Кушалино</v>
      </c>
      <c r="B158" s="403">
        <f>Итоговая!D303</f>
        <v>2.5</v>
      </c>
      <c r="C158" s="404" t="str">
        <f>Итоговая!E303</f>
        <v>+</v>
      </c>
      <c r="D158" s="404">
        <f>Итоговая!F303</f>
        <v>2.5</v>
      </c>
      <c r="E158" s="404"/>
      <c r="F158" s="405"/>
      <c r="G158" s="550"/>
      <c r="H158" s="97"/>
      <c r="I158" s="97"/>
      <c r="J158" s="97"/>
      <c r="K158" s="97"/>
      <c r="L158" s="97"/>
      <c r="M158" s="4"/>
      <c r="N158" s="4"/>
      <c r="O158" s="4"/>
      <c r="P158" s="4"/>
      <c r="Q158" s="143"/>
      <c r="R158" s="74"/>
      <c r="S158" s="74"/>
      <c r="T158" s="74"/>
      <c r="U158" s="74"/>
      <c r="V158" s="74"/>
      <c r="W158" s="74"/>
    </row>
    <row r="159" spans="1:23" ht="19.5" customHeight="1" x14ac:dyDescent="0.25">
      <c r="A159" s="402"/>
      <c r="B159" s="403"/>
      <c r="C159" s="404"/>
      <c r="D159" s="404"/>
      <c r="E159" s="404"/>
      <c r="F159" s="405"/>
      <c r="G159" s="2768" t="s">
        <v>1959</v>
      </c>
      <c r="H159" s="2804"/>
      <c r="I159" s="2804"/>
      <c r="J159" s="2804"/>
      <c r="K159" s="2804"/>
      <c r="L159" s="2804"/>
      <c r="M159" s="143"/>
      <c r="N159" s="143"/>
      <c r="O159" s="143"/>
      <c r="P159" s="143"/>
      <c r="Q159" s="143"/>
      <c r="R159" s="2794"/>
      <c r="S159" s="2794"/>
      <c r="T159" s="2794"/>
      <c r="U159" s="2794"/>
      <c r="V159" s="2794"/>
      <c r="W159" s="2794"/>
    </row>
    <row r="160" spans="1:23" ht="78" customHeight="1" x14ac:dyDescent="0.25">
      <c r="A160" s="402"/>
      <c r="B160" s="403"/>
      <c r="C160" s="404"/>
      <c r="D160" s="404"/>
      <c r="E160" s="404"/>
      <c r="F160" s="405"/>
      <c r="G160" s="184" t="s">
        <v>741</v>
      </c>
      <c r="H160" s="143" t="s">
        <v>742</v>
      </c>
      <c r="I160" s="143" t="s">
        <v>2292</v>
      </c>
      <c r="J160" s="143">
        <v>3.5000000000000003E-2</v>
      </c>
      <c r="K160" s="143"/>
      <c r="L160" s="142"/>
      <c r="M160" s="143" t="s">
        <v>2707</v>
      </c>
      <c r="N160" s="143" t="s">
        <v>2708</v>
      </c>
      <c r="O160" s="143">
        <v>0.05</v>
      </c>
      <c r="P160" s="143"/>
      <c r="Q160" s="143"/>
      <c r="R160" s="142"/>
      <c r="S160" s="142"/>
      <c r="T160" s="142"/>
      <c r="U160" s="142"/>
      <c r="V160" s="142"/>
      <c r="W160" s="142"/>
    </row>
    <row r="161" spans="1:23" ht="20.25" customHeight="1" x14ac:dyDescent="0.25">
      <c r="A161" s="830"/>
      <c r="B161" s="831"/>
      <c r="C161" s="833"/>
      <c r="D161" s="833"/>
      <c r="E161" s="833"/>
      <c r="F161" s="829"/>
      <c r="G161" s="2768" t="s">
        <v>2477</v>
      </c>
      <c r="H161" s="2804"/>
      <c r="I161" s="2804"/>
      <c r="J161" s="2804"/>
      <c r="K161" s="2804"/>
      <c r="L161" s="2804"/>
      <c r="M161" s="1697" t="s">
        <v>16797</v>
      </c>
      <c r="N161" s="1697" t="s">
        <v>16798</v>
      </c>
      <c r="O161" s="143">
        <v>0.15</v>
      </c>
      <c r="P161" s="143"/>
      <c r="Q161" s="143"/>
      <c r="R161" s="142"/>
      <c r="S161" s="142"/>
      <c r="T161" s="142"/>
      <c r="U161" s="142"/>
      <c r="V161" s="142"/>
      <c r="W161" s="142"/>
    </row>
    <row r="162" spans="1:23" ht="78" customHeight="1" x14ac:dyDescent="0.25">
      <c r="A162" s="830"/>
      <c r="B162" s="831"/>
      <c r="C162" s="833"/>
      <c r="D162" s="833"/>
      <c r="E162" s="833"/>
      <c r="F162" s="829"/>
      <c r="G162" s="143" t="s">
        <v>2959</v>
      </c>
      <c r="H162" s="143" t="s">
        <v>2960</v>
      </c>
      <c r="I162" s="180" t="s">
        <v>3017</v>
      </c>
      <c r="J162" s="151">
        <v>9.9000000000000005E-2</v>
      </c>
      <c r="K162" s="151"/>
      <c r="L162" s="149"/>
      <c r="M162" s="143"/>
      <c r="N162" s="143"/>
      <c r="O162" s="143"/>
      <c r="P162" s="143"/>
      <c r="Q162" s="143"/>
      <c r="R162" s="142"/>
      <c r="S162" s="142"/>
      <c r="T162" s="142"/>
      <c r="U162" s="142"/>
      <c r="V162" s="142"/>
      <c r="W162" s="142"/>
    </row>
    <row r="163" spans="1:23" ht="21" customHeight="1" x14ac:dyDescent="0.25">
      <c r="A163" s="870"/>
      <c r="B163" s="872"/>
      <c r="C163" s="873"/>
      <c r="D163" s="873"/>
      <c r="E163" s="873"/>
      <c r="F163" s="868"/>
      <c r="G163" s="2768" t="s">
        <v>3020</v>
      </c>
      <c r="H163" s="2804"/>
      <c r="I163" s="2804"/>
      <c r="J163" s="2804"/>
      <c r="K163" s="2804"/>
      <c r="L163" s="2804"/>
      <c r="M163" s="143"/>
      <c r="N163" s="143"/>
      <c r="O163" s="143"/>
      <c r="P163" s="143"/>
      <c r="Q163" s="143"/>
      <c r="R163" s="142"/>
      <c r="S163" s="142"/>
      <c r="T163" s="142"/>
      <c r="U163" s="142"/>
      <c r="V163" s="142"/>
      <c r="W163" s="142"/>
    </row>
    <row r="164" spans="1:23" ht="78" customHeight="1" x14ac:dyDescent="0.25">
      <c r="A164" s="845"/>
      <c r="B164" s="847"/>
      <c r="C164" s="848"/>
      <c r="D164" s="848"/>
      <c r="E164" s="848"/>
      <c r="F164" s="844"/>
      <c r="G164" s="143" t="s">
        <v>3000</v>
      </c>
      <c r="H164" s="143" t="s">
        <v>3001</v>
      </c>
      <c r="I164" s="180" t="s">
        <v>3021</v>
      </c>
      <c r="J164" s="151">
        <f>0.4*0.75</f>
        <v>0.30000000000000004</v>
      </c>
      <c r="K164" s="151"/>
      <c r="L164" s="149"/>
      <c r="M164" s="143"/>
      <c r="N164" s="143"/>
      <c r="O164" s="143"/>
      <c r="P164" s="143"/>
      <c r="Q164" s="143"/>
      <c r="R164" s="142"/>
      <c r="S164" s="142"/>
      <c r="T164" s="142"/>
      <c r="U164" s="142"/>
      <c r="V164" s="142"/>
      <c r="W164" s="142"/>
    </row>
    <row r="165" spans="1:23" ht="25.5" customHeight="1" x14ac:dyDescent="0.25">
      <c r="A165" s="1016"/>
      <c r="B165" s="1014"/>
      <c r="C165" s="1018"/>
      <c r="D165" s="1018"/>
      <c r="E165" s="1018"/>
      <c r="F165" s="1015"/>
      <c r="G165" s="1437" t="s">
        <v>2952</v>
      </c>
      <c r="H165" s="143" t="s">
        <v>2953</v>
      </c>
      <c r="I165" s="180" t="s">
        <v>3090</v>
      </c>
      <c r="J165" s="143">
        <f>0.52034*0.75</f>
        <v>0.39025500000000002</v>
      </c>
      <c r="K165" s="151"/>
      <c r="L165" s="149"/>
      <c r="M165" s="146"/>
      <c r="N165" s="180"/>
      <c r="O165" s="151"/>
      <c r="P165" s="151"/>
      <c r="Q165" s="151"/>
      <c r="R165" s="147"/>
      <c r="S165" s="365"/>
      <c r="T165" s="176"/>
      <c r="U165" s="149"/>
      <c r="V165" s="149"/>
      <c r="W165" s="149"/>
    </row>
    <row r="166" spans="1:23" ht="25.5" customHeight="1" x14ac:dyDescent="0.25">
      <c r="A166" s="1124"/>
      <c r="B166" s="1122"/>
      <c r="C166" s="1125"/>
      <c r="D166" s="1125"/>
      <c r="E166" s="1125"/>
      <c r="F166" s="1123"/>
      <c r="G166" s="143" t="s">
        <v>3232</v>
      </c>
      <c r="H166" s="143" t="s">
        <v>3233</v>
      </c>
      <c r="I166" s="143" t="s">
        <v>3304</v>
      </c>
      <c r="J166" s="151">
        <f>0.06*0.9</f>
        <v>5.3999999999999999E-2</v>
      </c>
      <c r="K166" s="151"/>
      <c r="L166" s="149"/>
      <c r="M166" s="146"/>
      <c r="N166" s="180"/>
      <c r="O166" s="151"/>
      <c r="P166" s="151"/>
      <c r="Q166" s="151"/>
      <c r="R166" s="147"/>
      <c r="S166" s="365"/>
      <c r="T166" s="176"/>
      <c r="U166" s="149"/>
      <c r="V166" s="149"/>
      <c r="W166" s="149"/>
    </row>
    <row r="167" spans="1:23" ht="25.5" customHeight="1" x14ac:dyDescent="0.25">
      <c r="A167" s="1185"/>
      <c r="B167" s="1183"/>
      <c r="C167" s="1187"/>
      <c r="D167" s="1187"/>
      <c r="E167" s="1187"/>
      <c r="F167" s="1184"/>
      <c r="G167" s="2771"/>
      <c r="H167" s="2772"/>
      <c r="I167" s="2468"/>
      <c r="J167" s="149"/>
      <c r="K167" s="149"/>
      <c r="L167" s="149"/>
      <c r="M167" s="146"/>
      <c r="N167" s="180"/>
      <c r="O167" s="151"/>
      <c r="P167" s="151"/>
      <c r="Q167" s="151"/>
      <c r="R167" s="147"/>
      <c r="S167" s="365"/>
      <c r="T167" s="176"/>
      <c r="U167" s="149"/>
      <c r="V167" s="149"/>
      <c r="W167" s="149"/>
    </row>
    <row r="168" spans="1:23" ht="25.5" customHeight="1" x14ac:dyDescent="0.25">
      <c r="A168" s="1592"/>
      <c r="B168" s="1598"/>
      <c r="C168" s="1601"/>
      <c r="D168" s="1601"/>
      <c r="E168" s="1601"/>
      <c r="F168" s="1599"/>
      <c r="G168" s="2768" t="s">
        <v>3447</v>
      </c>
      <c r="H168" s="2804"/>
      <c r="I168" s="2804"/>
      <c r="J168" s="2804"/>
      <c r="K168" s="2804"/>
      <c r="L168" s="2804"/>
      <c r="M168" s="1595"/>
      <c r="N168" s="1597"/>
      <c r="O168" s="1593"/>
      <c r="P168" s="1593"/>
      <c r="Q168" s="1593"/>
      <c r="R168" s="1610"/>
      <c r="S168" s="1611"/>
      <c r="T168" s="1612"/>
      <c r="U168" s="149"/>
      <c r="V168" s="149"/>
      <c r="W168" s="149"/>
    </row>
    <row r="169" spans="1:23" ht="25.5" customHeight="1" x14ac:dyDescent="0.25">
      <c r="A169" s="1592"/>
      <c r="B169" s="1598"/>
      <c r="C169" s="1601"/>
      <c r="D169" s="1601"/>
      <c r="E169" s="1601"/>
      <c r="F169" s="1599"/>
      <c r="G169" s="2784" t="s">
        <v>3401</v>
      </c>
      <c r="H169" s="2785"/>
      <c r="I169" s="2786"/>
      <c r="J169" s="775">
        <f>0.117*0.9</f>
        <v>0.1053</v>
      </c>
      <c r="K169" s="775"/>
      <c r="L169" s="775"/>
      <c r="M169" s="1595"/>
      <c r="N169" s="1597"/>
      <c r="O169" s="1593"/>
      <c r="P169" s="1593"/>
      <c r="Q169" s="1593"/>
      <c r="R169" s="1610"/>
      <c r="S169" s="1611"/>
      <c r="T169" s="1612"/>
      <c r="U169" s="149"/>
      <c r="V169" s="149"/>
      <c r="W169" s="149"/>
    </row>
    <row r="170" spans="1:23" ht="20.100000000000001" customHeight="1" thickBot="1" x14ac:dyDescent="0.3">
      <c r="A170" s="406"/>
      <c r="B170" s="395"/>
      <c r="C170" s="396"/>
      <c r="D170" s="396"/>
      <c r="E170" s="396"/>
      <c r="F170" s="397"/>
      <c r="G170" s="2636" t="s">
        <v>1833</v>
      </c>
      <c r="H170" s="2636"/>
      <c r="I170" s="2637"/>
      <c r="J170" s="136">
        <f>SUM(J164:J169)</f>
        <v>0.84955500000000006</v>
      </c>
      <c r="K170" s="183">
        <v>0.92</v>
      </c>
      <c r="L170" s="136">
        <f>J170/K170</f>
        <v>0.92342934782608699</v>
      </c>
      <c r="M170" s="2652" t="s">
        <v>1834</v>
      </c>
      <c r="N170" s="2637"/>
      <c r="O170" s="136">
        <f>SUM(O158:O165)</f>
        <v>0.2</v>
      </c>
      <c r="P170" s="183">
        <v>0.92</v>
      </c>
      <c r="Q170" s="136">
        <f>O170/P170</f>
        <v>0.21739130434782608</v>
      </c>
      <c r="R170" s="2652" t="s">
        <v>1833</v>
      </c>
      <c r="S170" s="2636"/>
      <c r="T170" s="2637"/>
      <c r="U170" s="136">
        <f>SUM(U159:U160)</f>
        <v>0</v>
      </c>
      <c r="V170" s="183">
        <v>0.92</v>
      </c>
      <c r="W170" s="136">
        <f>U170/V170</f>
        <v>0</v>
      </c>
    </row>
    <row r="171" spans="1:23" ht="15" customHeight="1" x14ac:dyDescent="0.25">
      <c r="A171" s="2776" t="str">
        <f>Итоговая!C304</f>
        <v xml:space="preserve">ПС 35/6 кВ №4 </v>
      </c>
      <c r="B171" s="2630">
        <f>Итоговая!D304</f>
        <v>5.6</v>
      </c>
      <c r="C171" s="2632" t="str">
        <f>Итоговая!E304</f>
        <v>+</v>
      </c>
      <c r="D171" s="2632">
        <f>Итоговая!F304</f>
        <v>5.6</v>
      </c>
      <c r="E171" s="400"/>
      <c r="F171" s="401"/>
      <c r="G171" s="2809" t="s">
        <v>1961</v>
      </c>
      <c r="H171" s="2809"/>
      <c r="I171" s="2809"/>
      <c r="J171" s="2809"/>
      <c r="K171" s="2809"/>
      <c r="L171" s="2774"/>
      <c r="M171" s="384"/>
      <c r="N171" s="273"/>
      <c r="O171" s="72"/>
      <c r="P171" s="72"/>
      <c r="Q171" s="72"/>
      <c r="R171" s="2812"/>
      <c r="S171" s="2813"/>
      <c r="T171" s="2813"/>
      <c r="U171" s="2813"/>
      <c r="V171" s="2813"/>
      <c r="W171" s="2795"/>
    </row>
    <row r="172" spans="1:23" ht="27.75" customHeight="1" x14ac:dyDescent="0.25">
      <c r="A172" s="2777"/>
      <c r="B172" s="2631"/>
      <c r="C172" s="2633"/>
      <c r="D172" s="2633"/>
      <c r="E172" s="404"/>
      <c r="F172" s="405"/>
      <c r="G172" s="66" t="s">
        <v>625</v>
      </c>
      <c r="H172" s="2" t="s">
        <v>1656</v>
      </c>
      <c r="I172" s="2" t="s">
        <v>1657</v>
      </c>
      <c r="J172" s="2">
        <v>0.77</v>
      </c>
      <c r="K172" s="45"/>
      <c r="L172" s="72"/>
      <c r="M172" s="45" t="s">
        <v>1654</v>
      </c>
      <c r="N172" s="45" t="s">
        <v>1655</v>
      </c>
      <c r="O172" s="45">
        <v>0.26700000000000002</v>
      </c>
      <c r="P172" s="45"/>
      <c r="Q172" s="45"/>
      <c r="R172" s="142"/>
      <c r="S172" s="142"/>
      <c r="T172" s="142"/>
      <c r="U172" s="142"/>
      <c r="V172" s="72"/>
      <c r="W172" s="72"/>
    </row>
    <row r="173" spans="1:23" ht="15" customHeight="1" x14ac:dyDescent="0.25">
      <c r="A173" s="2777"/>
      <c r="B173" s="2631"/>
      <c r="C173" s="2633"/>
      <c r="D173" s="2633"/>
      <c r="E173" s="404"/>
      <c r="F173" s="405"/>
      <c r="G173" s="2767" t="s">
        <v>1959</v>
      </c>
      <c r="H173" s="2767"/>
      <c r="I173" s="2767"/>
      <c r="J173" s="2767"/>
      <c r="K173" s="2767"/>
      <c r="L173" s="2768"/>
      <c r="M173" s="143" t="s">
        <v>625</v>
      </c>
      <c r="N173" s="143" t="s">
        <v>1658</v>
      </c>
      <c r="O173" s="143">
        <v>2</v>
      </c>
      <c r="P173" s="45"/>
      <c r="Q173" s="45"/>
      <c r="R173" s="2771"/>
      <c r="S173" s="2772"/>
      <c r="T173" s="2772"/>
      <c r="U173" s="2772"/>
      <c r="V173" s="2772"/>
      <c r="W173" s="2468"/>
    </row>
    <row r="174" spans="1:23" ht="51" customHeight="1" x14ac:dyDescent="0.25">
      <c r="A174" s="402"/>
      <c r="B174" s="403"/>
      <c r="C174" s="404"/>
      <c r="D174" s="404"/>
      <c r="E174" s="404"/>
      <c r="F174" s="405"/>
      <c r="G174" s="387" t="s">
        <v>625</v>
      </c>
      <c r="H174" s="159" t="s">
        <v>1489</v>
      </c>
      <c r="I174" s="159" t="s">
        <v>2309</v>
      </c>
      <c r="J174" s="120">
        <v>0.2</v>
      </c>
      <c r="K174" s="120"/>
      <c r="L174" s="157"/>
      <c r="M174" s="151" t="s">
        <v>1864</v>
      </c>
      <c r="N174" s="151" t="s">
        <v>2606</v>
      </c>
      <c r="O174" s="151">
        <v>5</v>
      </c>
      <c r="P174" s="120"/>
      <c r="Q174" s="2"/>
      <c r="R174" s="142"/>
      <c r="S174" s="142"/>
      <c r="T174" s="142"/>
      <c r="U174" s="142"/>
      <c r="V174" s="142"/>
      <c r="W174" s="157"/>
    </row>
    <row r="175" spans="1:23" ht="33.75" customHeight="1" x14ac:dyDescent="0.25">
      <c r="A175" s="686"/>
      <c r="B175" s="688"/>
      <c r="C175" s="689"/>
      <c r="D175" s="689"/>
      <c r="E175" s="689"/>
      <c r="F175" s="685"/>
      <c r="G175" s="2767" t="s">
        <v>3020</v>
      </c>
      <c r="H175" s="2767"/>
      <c r="I175" s="2767"/>
      <c r="J175" s="2767"/>
      <c r="K175" s="2767"/>
      <c r="L175" s="2768"/>
      <c r="M175" s="143" t="s">
        <v>2698</v>
      </c>
      <c r="N175" s="143" t="s">
        <v>2720</v>
      </c>
      <c r="O175" s="143">
        <f>0.6-0.4</f>
        <v>0.19999999999999996</v>
      </c>
      <c r="P175" s="2"/>
      <c r="Q175" s="2"/>
      <c r="R175" s="142"/>
      <c r="S175" s="142"/>
      <c r="T175" s="142"/>
      <c r="U175" s="142"/>
      <c r="V175" s="142"/>
      <c r="W175" s="142"/>
    </row>
    <row r="176" spans="1:23" ht="33.75" customHeight="1" x14ac:dyDescent="0.25">
      <c r="A176" s="777"/>
      <c r="B176" s="778"/>
      <c r="C176" s="779"/>
      <c r="D176" s="779"/>
      <c r="E176" s="779"/>
      <c r="F176" s="776"/>
      <c r="G176" s="143" t="s">
        <v>2966</v>
      </c>
      <c r="H176" s="143" t="s">
        <v>2967</v>
      </c>
      <c r="I176" s="180" t="s">
        <v>3078</v>
      </c>
      <c r="J176" s="70">
        <f>0.5*0.9</f>
        <v>0.45</v>
      </c>
      <c r="K176" s="70"/>
      <c r="L176" s="149"/>
      <c r="M176" s="143"/>
      <c r="N176" s="143"/>
      <c r="O176" s="143"/>
      <c r="P176" s="70"/>
      <c r="Q176" s="2"/>
      <c r="R176" s="142"/>
      <c r="S176" s="142"/>
      <c r="T176" s="142"/>
      <c r="U176" s="142"/>
      <c r="V176" s="142"/>
      <c r="W176" s="149"/>
    </row>
    <row r="177" spans="1:23" ht="23.25" customHeight="1" x14ac:dyDescent="0.25">
      <c r="A177" s="830"/>
      <c r="B177" s="831"/>
      <c r="C177" s="833"/>
      <c r="D177" s="833"/>
      <c r="E177" s="833"/>
      <c r="F177" s="829"/>
      <c r="G177" s="2767" t="s">
        <v>3447</v>
      </c>
      <c r="H177" s="2767"/>
      <c r="I177" s="2767"/>
      <c r="J177" s="2767"/>
      <c r="K177" s="2767"/>
      <c r="L177" s="2768"/>
      <c r="M177" s="1697" t="s">
        <v>16832</v>
      </c>
      <c r="N177" s="1697" t="s">
        <v>16833</v>
      </c>
      <c r="O177" s="6">
        <v>0.1</v>
      </c>
      <c r="P177" s="2"/>
      <c r="Q177" s="2"/>
      <c r="R177" s="142"/>
      <c r="S177" s="142"/>
      <c r="T177" s="142"/>
      <c r="U177" s="142"/>
      <c r="V177" s="142"/>
      <c r="W177" s="142"/>
    </row>
    <row r="178" spans="1:23" ht="33.75" customHeight="1" x14ac:dyDescent="0.25">
      <c r="A178" s="1002"/>
      <c r="B178" s="1003"/>
      <c r="C178" s="1005"/>
      <c r="D178" s="1005"/>
      <c r="E178" s="1005"/>
      <c r="F178" s="1004"/>
      <c r="G178" s="1733" t="s">
        <v>2857</v>
      </c>
      <c r="H178" s="1733" t="s">
        <v>3052</v>
      </c>
      <c r="I178" s="1753" t="s">
        <v>16852</v>
      </c>
      <c r="J178" s="1733">
        <f>(0.75-0.533)*0.9</f>
        <v>0.19529999999999997</v>
      </c>
      <c r="K178" s="70"/>
      <c r="L178" s="149"/>
      <c r="M178" s="143"/>
      <c r="N178" s="143"/>
      <c r="O178" s="6"/>
      <c r="P178" s="70"/>
      <c r="Q178" s="70"/>
      <c r="R178" s="147"/>
      <c r="S178" s="365"/>
      <c r="T178" s="176"/>
      <c r="U178" s="149"/>
      <c r="V178" s="149"/>
      <c r="W178" s="149"/>
    </row>
    <row r="179" spans="1:23" ht="20.100000000000001" customHeight="1" thickBot="1" x14ac:dyDescent="0.3">
      <c r="A179" s="406"/>
      <c r="B179" s="395"/>
      <c r="C179" s="396"/>
      <c r="D179" s="396"/>
      <c r="E179" s="396"/>
      <c r="F179" s="397"/>
      <c r="G179" s="2636" t="s">
        <v>1833</v>
      </c>
      <c r="H179" s="2636"/>
      <c r="I179" s="2637"/>
      <c r="J179" s="136">
        <f>SUM(J176:J178)</f>
        <v>0.64529999999999998</v>
      </c>
      <c r="K179" s="183">
        <v>0.92</v>
      </c>
      <c r="L179" s="136">
        <f>J179/K179</f>
        <v>0.70141304347826083</v>
      </c>
      <c r="M179" s="2652" t="s">
        <v>1834</v>
      </c>
      <c r="N179" s="2637"/>
      <c r="O179" s="136">
        <f>SUM(O172:O177)</f>
        <v>7.5669999999999993</v>
      </c>
      <c r="P179" s="183">
        <v>0.92</v>
      </c>
      <c r="Q179" s="136">
        <f>O179/P179</f>
        <v>8.2249999999999996</v>
      </c>
      <c r="R179" s="2652" t="s">
        <v>1833</v>
      </c>
      <c r="S179" s="2636"/>
      <c r="T179" s="2637"/>
      <c r="U179" s="136">
        <f>SUM(U174:U174)</f>
        <v>0</v>
      </c>
      <c r="V179" s="183">
        <v>0.92</v>
      </c>
      <c r="W179" s="136">
        <f>U179/V179</f>
        <v>0</v>
      </c>
    </row>
    <row r="180" spans="1:23" ht="20.100000000000001" customHeight="1" x14ac:dyDescent="0.25">
      <c r="A180" s="2776" t="str">
        <f>Итоговая!C305</f>
        <v>ПС  35/6 кВ №13</v>
      </c>
      <c r="B180" s="2630">
        <f>Итоговая!D305</f>
        <v>3.2</v>
      </c>
      <c r="C180" s="2632" t="str">
        <f>Итоговая!E305</f>
        <v>+</v>
      </c>
      <c r="D180" s="2632">
        <f>Итоговая!F305</f>
        <v>3.2</v>
      </c>
      <c r="E180" s="400"/>
      <c r="F180" s="401"/>
      <c r="G180" s="2809" t="s">
        <v>1959</v>
      </c>
      <c r="H180" s="2809"/>
      <c r="I180" s="2809"/>
      <c r="J180" s="2809"/>
      <c r="K180" s="2809"/>
      <c r="L180" s="2774"/>
      <c r="M180" s="42"/>
      <c r="N180" s="42"/>
      <c r="O180" s="42"/>
      <c r="P180" s="42"/>
      <c r="Q180" s="42"/>
      <c r="R180" s="42" t="s">
        <v>1660</v>
      </c>
      <c r="S180" s="159" t="s">
        <v>1661</v>
      </c>
      <c r="T180" s="153" t="s">
        <v>1975</v>
      </c>
      <c r="U180" s="42">
        <v>0.06</v>
      </c>
      <c r="V180" s="42"/>
      <c r="W180" s="72"/>
    </row>
    <row r="181" spans="1:23" ht="36.75" customHeight="1" x14ac:dyDescent="0.25">
      <c r="A181" s="2777"/>
      <c r="B181" s="2631"/>
      <c r="C181" s="2633"/>
      <c r="D181" s="2633"/>
      <c r="E181" s="404"/>
      <c r="F181" s="405"/>
      <c r="G181" s="264" t="s">
        <v>1660</v>
      </c>
      <c r="H181" s="159" t="s">
        <v>1661</v>
      </c>
      <c r="I181" s="153" t="s">
        <v>1975</v>
      </c>
      <c r="J181" s="42">
        <v>0.06</v>
      </c>
      <c r="K181" s="42"/>
      <c r="L181" s="72"/>
      <c r="M181" s="143" t="s">
        <v>1662</v>
      </c>
      <c r="N181" s="143" t="s">
        <v>1663</v>
      </c>
      <c r="O181" s="143">
        <v>3.1300000000000001E-2</v>
      </c>
      <c r="P181" s="143"/>
      <c r="Q181" s="143"/>
      <c r="R181" s="143"/>
      <c r="S181" s="142"/>
      <c r="T181" s="142"/>
      <c r="U181" s="143"/>
      <c r="V181" s="143"/>
      <c r="W181" s="142"/>
    </row>
    <row r="182" spans="1:23" ht="38.25" customHeight="1" x14ac:dyDescent="0.25">
      <c r="A182" s="2777"/>
      <c r="B182" s="2631"/>
      <c r="C182" s="2633"/>
      <c r="D182" s="2633"/>
      <c r="E182" s="404"/>
      <c r="F182" s="405"/>
      <c r="G182" s="184"/>
      <c r="H182" s="142"/>
      <c r="I182" s="142"/>
      <c r="J182" s="143"/>
      <c r="K182" s="143"/>
      <c r="L182" s="142"/>
      <c r="M182" s="143" t="s">
        <v>1009</v>
      </c>
      <c r="N182" s="143" t="s">
        <v>1010</v>
      </c>
      <c r="O182" s="143">
        <v>0.1</v>
      </c>
      <c r="P182" s="143"/>
      <c r="Q182" s="143"/>
      <c r="R182" s="143"/>
      <c r="S182" s="142"/>
      <c r="T182" s="142"/>
      <c r="U182" s="143"/>
      <c r="V182" s="143"/>
      <c r="W182" s="142"/>
    </row>
    <row r="183" spans="1:23" ht="42.75" customHeight="1" x14ac:dyDescent="0.25">
      <c r="A183" s="2777"/>
      <c r="B183" s="2631"/>
      <c r="C183" s="2633"/>
      <c r="D183" s="2633"/>
      <c r="E183" s="404"/>
      <c r="F183" s="405"/>
      <c r="G183" s="184"/>
      <c r="H183" s="143"/>
      <c r="I183" s="143"/>
      <c r="J183" s="143"/>
      <c r="K183" s="143"/>
      <c r="L183" s="142"/>
      <c r="M183" s="143" t="s">
        <v>1011</v>
      </c>
      <c r="N183" s="143" t="s">
        <v>1010</v>
      </c>
      <c r="O183" s="143">
        <v>0.1</v>
      </c>
      <c r="P183" s="143"/>
      <c r="Q183" s="143"/>
      <c r="R183" s="143"/>
      <c r="S183" s="143"/>
      <c r="T183" s="143"/>
      <c r="U183" s="143"/>
      <c r="V183" s="143"/>
      <c r="W183" s="142"/>
    </row>
    <row r="184" spans="1:23" ht="20.100000000000001" customHeight="1" thickBot="1" x14ac:dyDescent="0.3">
      <c r="A184" s="406"/>
      <c r="B184" s="395"/>
      <c r="C184" s="396"/>
      <c r="D184" s="396"/>
      <c r="E184" s="396"/>
      <c r="F184" s="397"/>
      <c r="G184" s="2636" t="s">
        <v>1833</v>
      </c>
      <c r="H184" s="2636"/>
      <c r="I184" s="2637"/>
      <c r="J184" s="136">
        <f>SUM(0)</f>
        <v>0</v>
      </c>
      <c r="K184" s="183">
        <v>0.92</v>
      </c>
      <c r="L184" s="136">
        <f>J184/K184</f>
        <v>0</v>
      </c>
      <c r="M184" s="2652" t="s">
        <v>1834</v>
      </c>
      <c r="N184" s="2637"/>
      <c r="O184" s="136">
        <f>SUM(O180:O183)</f>
        <v>0.23130000000000001</v>
      </c>
      <c r="P184" s="183">
        <v>0.92</v>
      </c>
      <c r="Q184" s="136">
        <f>O184/P184</f>
        <v>0.25141304347826088</v>
      </c>
      <c r="R184" s="2652" t="s">
        <v>1833</v>
      </c>
      <c r="S184" s="2636"/>
      <c r="T184" s="2637"/>
      <c r="U184" s="136">
        <f>SUM(U180:U183)</f>
        <v>0.06</v>
      </c>
      <c r="V184" s="183">
        <v>0.92</v>
      </c>
      <c r="W184" s="136">
        <f>U184/V184</f>
        <v>6.5217391304347824E-2</v>
      </c>
    </row>
    <row r="185" spans="1:23" ht="20.100000000000001" customHeight="1" x14ac:dyDescent="0.25">
      <c r="A185" s="2776" t="str">
        <f>Итоговая!C306</f>
        <v xml:space="preserve">ПС 35/6 кВ №27 </v>
      </c>
      <c r="B185" s="2630">
        <f>Итоговая!D306</f>
        <v>10</v>
      </c>
      <c r="C185" s="2632" t="str">
        <f>Итоговая!E306</f>
        <v>+</v>
      </c>
      <c r="D185" s="2632">
        <f>Итоговая!F306</f>
        <v>10</v>
      </c>
      <c r="E185" s="400"/>
      <c r="F185" s="401"/>
      <c r="G185" s="2808" t="s">
        <v>1961</v>
      </c>
      <c r="H185" s="2808"/>
      <c r="I185" s="2808"/>
      <c r="J185" s="2808"/>
      <c r="K185" s="2808"/>
      <c r="L185" s="2800"/>
      <c r="M185" s="133"/>
      <c r="N185" s="175"/>
      <c r="O185" s="77"/>
      <c r="P185" s="77"/>
      <c r="Q185" s="77"/>
      <c r="R185" s="2811"/>
      <c r="S185" s="2791"/>
      <c r="T185" s="2791"/>
      <c r="U185" s="2791"/>
      <c r="V185" s="2791"/>
      <c r="W185" s="2792"/>
    </row>
    <row r="186" spans="1:23" ht="55.5" customHeight="1" x14ac:dyDescent="0.25">
      <c r="A186" s="2777"/>
      <c r="B186" s="2631"/>
      <c r="C186" s="2633"/>
      <c r="D186" s="2633"/>
      <c r="E186" s="404"/>
      <c r="F186" s="405"/>
      <c r="G186" s="273"/>
      <c r="H186" s="72"/>
      <c r="I186" s="72"/>
      <c r="J186" s="170"/>
      <c r="K186" s="42"/>
      <c r="L186" s="72"/>
      <c r="M186" s="42" t="s">
        <v>625</v>
      </c>
      <c r="N186" s="42" t="s">
        <v>1014</v>
      </c>
      <c r="O186" s="42">
        <v>0.09</v>
      </c>
      <c r="P186" s="42"/>
      <c r="Q186" s="42"/>
      <c r="R186" s="2238" t="s">
        <v>1012</v>
      </c>
      <c r="S186" s="2237" t="s">
        <v>1013</v>
      </c>
      <c r="T186" s="2237" t="s">
        <v>20032</v>
      </c>
      <c r="U186" s="170">
        <v>3.1E-2</v>
      </c>
      <c r="V186" s="72"/>
      <c r="W186" s="72"/>
    </row>
    <row r="187" spans="1:23" ht="51.75" customHeight="1" x14ac:dyDescent="0.25">
      <c r="A187" s="2777"/>
      <c r="B187" s="2631"/>
      <c r="C187" s="2633"/>
      <c r="D187" s="2633"/>
      <c r="E187" s="404"/>
      <c r="F187" s="405"/>
      <c r="G187" s="184" t="s">
        <v>1015</v>
      </c>
      <c r="H187" s="143" t="s">
        <v>1016</v>
      </c>
      <c r="I187" s="143" t="s">
        <v>1017</v>
      </c>
      <c r="J187" s="6">
        <v>0.02</v>
      </c>
      <c r="K187" s="143"/>
      <c r="L187" s="142"/>
      <c r="M187" s="143" t="s">
        <v>2172</v>
      </c>
      <c r="N187" s="143" t="s">
        <v>2515</v>
      </c>
      <c r="O187" s="143">
        <v>1.4999999999999999E-2</v>
      </c>
      <c r="P187" s="143"/>
      <c r="Q187" s="143"/>
      <c r="R187" s="142"/>
      <c r="S187" s="142"/>
      <c r="T187" s="142"/>
      <c r="U187" s="26"/>
      <c r="V187" s="142"/>
      <c r="W187" s="142"/>
    </row>
    <row r="188" spans="1:23" ht="20.100000000000001" customHeight="1" x14ac:dyDescent="0.25">
      <c r="A188" s="402"/>
      <c r="B188" s="403"/>
      <c r="C188" s="404"/>
      <c r="D188" s="404"/>
      <c r="E188" s="404"/>
      <c r="F188" s="405"/>
      <c r="G188" s="179"/>
      <c r="H188" s="179"/>
      <c r="I188" s="180"/>
      <c r="J188" s="187"/>
      <c r="K188" s="151"/>
      <c r="L188" s="149"/>
      <c r="M188" s="143" t="s">
        <v>2990</v>
      </c>
      <c r="N188" s="143" t="s">
        <v>3057</v>
      </c>
      <c r="O188" s="143">
        <f>0.7-0.45</f>
        <v>0.24999999999999994</v>
      </c>
      <c r="P188" s="151"/>
      <c r="Q188" s="151"/>
      <c r="R188" s="147"/>
      <c r="S188" s="365"/>
      <c r="T188" s="176"/>
      <c r="U188" s="368"/>
      <c r="V188" s="149"/>
      <c r="W188" s="149"/>
    </row>
    <row r="189" spans="1:23" ht="20.100000000000001" customHeight="1" x14ac:dyDescent="0.25">
      <c r="A189" s="402"/>
      <c r="B189" s="403"/>
      <c r="C189" s="404"/>
      <c r="D189" s="404"/>
      <c r="E189" s="404"/>
      <c r="F189" s="405"/>
      <c r="G189" s="179"/>
      <c r="H189" s="179"/>
      <c r="I189" s="180"/>
      <c r="J189" s="187"/>
      <c r="K189" s="151"/>
      <c r="L189" s="149"/>
      <c r="M189" s="143" t="s">
        <v>2990</v>
      </c>
      <c r="N189" s="143" t="s">
        <v>3058</v>
      </c>
      <c r="O189" s="143">
        <f>0.7-0.5</f>
        <v>0.19999999999999996</v>
      </c>
      <c r="P189" s="151"/>
      <c r="Q189" s="151"/>
      <c r="R189" s="147"/>
      <c r="S189" s="365"/>
      <c r="T189" s="176"/>
      <c r="U189" s="368"/>
      <c r="V189" s="149"/>
      <c r="W189" s="149"/>
    </row>
    <row r="190" spans="1:23" ht="20.100000000000001" customHeight="1" x14ac:dyDescent="0.25">
      <c r="A190" s="1002"/>
      <c r="B190" s="1003"/>
      <c r="C190" s="1005"/>
      <c r="D190" s="1005"/>
      <c r="E190" s="1005"/>
      <c r="F190" s="1004"/>
      <c r="G190" s="179"/>
      <c r="H190" s="179"/>
      <c r="I190" s="180"/>
      <c r="J190" s="187"/>
      <c r="K190" s="151"/>
      <c r="L190" s="149"/>
      <c r="M190" s="143" t="s">
        <v>2830</v>
      </c>
      <c r="N190" s="143" t="s">
        <v>3059</v>
      </c>
      <c r="O190" s="143">
        <v>0.13</v>
      </c>
      <c r="P190" s="151"/>
      <c r="Q190" s="151"/>
      <c r="R190" s="147"/>
      <c r="S190" s="365"/>
      <c r="T190" s="176"/>
      <c r="U190" s="368"/>
      <c r="V190" s="149"/>
      <c r="W190" s="149"/>
    </row>
    <row r="191" spans="1:23" ht="20.100000000000001" customHeight="1" thickBot="1" x14ac:dyDescent="0.3">
      <c r="A191" s="406"/>
      <c r="B191" s="395"/>
      <c r="C191" s="396"/>
      <c r="D191" s="396"/>
      <c r="E191" s="396"/>
      <c r="F191" s="397"/>
      <c r="G191" s="2636" t="s">
        <v>1833</v>
      </c>
      <c r="H191" s="2636"/>
      <c r="I191" s="2637"/>
      <c r="J191" s="188">
        <f>SUM(0)</f>
        <v>0</v>
      </c>
      <c r="K191" s="183">
        <v>0.92</v>
      </c>
      <c r="L191" s="136">
        <f>J191/K191</f>
        <v>0</v>
      </c>
      <c r="M191" s="2652" t="s">
        <v>1834</v>
      </c>
      <c r="N191" s="2637"/>
      <c r="O191" s="136">
        <f>SUM(O186:O190)</f>
        <v>0.68499999999999994</v>
      </c>
      <c r="P191" s="183">
        <v>0.92</v>
      </c>
      <c r="Q191" s="136">
        <f>O191/P191</f>
        <v>0.74456521739130421</v>
      </c>
      <c r="R191" s="2652" t="s">
        <v>1833</v>
      </c>
      <c r="S191" s="2636"/>
      <c r="T191" s="2637"/>
      <c r="U191" s="188">
        <f>SUM(U186:U190)</f>
        <v>3.1E-2</v>
      </c>
      <c r="V191" s="183">
        <v>0.92</v>
      </c>
      <c r="W191" s="136">
        <f>U191/V191</f>
        <v>3.3695652173913043E-2</v>
      </c>
    </row>
    <row r="192" spans="1:23" ht="20.100000000000001" customHeight="1" x14ac:dyDescent="0.25">
      <c r="A192" s="2776" t="str">
        <f>Итоговая!C307</f>
        <v xml:space="preserve">ПС 35/6 кВ Вагжановская </v>
      </c>
      <c r="B192" s="2630">
        <f>Итоговая!D307</f>
        <v>16</v>
      </c>
      <c r="C192" s="2632" t="str">
        <f>Итоговая!E307</f>
        <v>+</v>
      </c>
      <c r="D192" s="2632">
        <f>Итоговая!F307</f>
        <v>16</v>
      </c>
      <c r="E192" s="400"/>
      <c r="F192" s="401"/>
      <c r="G192" s="2808" t="s">
        <v>1961</v>
      </c>
      <c r="H192" s="2808"/>
      <c r="I192" s="2808"/>
      <c r="J192" s="2808"/>
      <c r="K192" s="2808"/>
      <c r="L192" s="2800"/>
      <c r="M192" s="133"/>
      <c r="N192" s="175"/>
      <c r="O192" s="77"/>
      <c r="P192" s="77"/>
      <c r="Q192" s="77"/>
      <c r="R192" s="2811"/>
      <c r="S192" s="2791"/>
      <c r="T192" s="2791"/>
      <c r="U192" s="2791"/>
      <c r="V192" s="2791"/>
      <c r="W192" s="2792"/>
    </row>
    <row r="193" spans="1:23" ht="20.100000000000001" customHeight="1" x14ac:dyDescent="0.25">
      <c r="A193" s="2777"/>
      <c r="B193" s="2631"/>
      <c r="C193" s="2633"/>
      <c r="D193" s="2633"/>
      <c r="E193" s="404"/>
      <c r="F193" s="405"/>
      <c r="G193" s="273" t="s">
        <v>1018</v>
      </c>
      <c r="H193" s="72" t="s">
        <v>1019</v>
      </c>
      <c r="I193" s="72" t="s">
        <v>1020</v>
      </c>
      <c r="J193" s="72">
        <v>0.02</v>
      </c>
      <c r="K193" s="42"/>
      <c r="L193" s="72"/>
      <c r="M193" s="42" t="s">
        <v>1021</v>
      </c>
      <c r="N193" s="42" t="s">
        <v>1022</v>
      </c>
      <c r="O193" s="42">
        <v>0.17299999999999999</v>
      </c>
      <c r="P193" s="42"/>
      <c r="Q193" s="42"/>
      <c r="R193" s="72"/>
      <c r="S193" s="72"/>
      <c r="T193" s="72"/>
      <c r="U193" s="72"/>
      <c r="V193" s="72"/>
      <c r="W193" s="72"/>
    </row>
    <row r="194" spans="1:23" ht="20.100000000000001" customHeight="1" x14ac:dyDescent="0.25">
      <c r="A194" s="2777"/>
      <c r="B194" s="2631"/>
      <c r="C194" s="2633"/>
      <c r="D194" s="2633"/>
      <c r="E194" s="404"/>
      <c r="F194" s="405"/>
      <c r="G194" s="2767" t="s">
        <v>1960</v>
      </c>
      <c r="H194" s="2767"/>
      <c r="I194" s="2767"/>
      <c r="J194" s="2767"/>
      <c r="K194" s="2767"/>
      <c r="L194" s="2768"/>
      <c r="M194" s="143"/>
      <c r="N194" s="143"/>
      <c r="O194" s="143"/>
      <c r="P194" s="42"/>
      <c r="Q194" s="42"/>
      <c r="R194" s="2771"/>
      <c r="S194" s="2772"/>
      <c r="T194" s="2772"/>
      <c r="U194" s="2772"/>
      <c r="V194" s="2772"/>
      <c r="W194" s="2468"/>
    </row>
    <row r="195" spans="1:23" ht="54" customHeight="1" x14ac:dyDescent="0.25">
      <c r="A195" s="2777"/>
      <c r="B195" s="2631"/>
      <c r="C195" s="2633"/>
      <c r="D195" s="2633"/>
      <c r="E195" s="404"/>
      <c r="F195" s="405"/>
      <c r="G195" s="267" t="s">
        <v>1023</v>
      </c>
      <c r="H195" s="142" t="s">
        <v>1024</v>
      </c>
      <c r="I195" s="142" t="s">
        <v>1025</v>
      </c>
      <c r="J195" s="142">
        <v>0.05</v>
      </c>
      <c r="K195" s="143"/>
      <c r="L195" s="142"/>
      <c r="M195" s="143" t="s">
        <v>625</v>
      </c>
      <c r="N195" s="143" t="s">
        <v>1026</v>
      </c>
      <c r="O195" s="143">
        <v>3.4345500000000002</v>
      </c>
      <c r="P195" s="143"/>
      <c r="Q195" s="143"/>
      <c r="R195" s="142"/>
      <c r="S195" s="142"/>
      <c r="T195" s="142"/>
      <c r="U195" s="142"/>
      <c r="V195" s="142"/>
      <c r="W195" s="142"/>
    </row>
    <row r="196" spans="1:23" ht="24" customHeight="1" x14ac:dyDescent="0.25">
      <c r="A196" s="2777"/>
      <c r="B196" s="2631"/>
      <c r="C196" s="2633"/>
      <c r="D196" s="2633"/>
      <c r="E196" s="404"/>
      <c r="F196" s="405"/>
      <c r="G196" s="2767" t="s">
        <v>1959</v>
      </c>
      <c r="H196" s="2767"/>
      <c r="I196" s="2767"/>
      <c r="J196" s="2767"/>
      <c r="K196" s="2767"/>
      <c r="L196" s="2768"/>
      <c r="M196" s="143"/>
      <c r="N196" s="143"/>
      <c r="O196" s="143"/>
      <c r="P196" s="143"/>
      <c r="Q196" s="143"/>
      <c r="R196" s="2771"/>
      <c r="S196" s="2772"/>
      <c r="T196" s="2772"/>
      <c r="U196" s="2772"/>
      <c r="V196" s="2772"/>
      <c r="W196" s="2468"/>
    </row>
    <row r="197" spans="1:23" ht="69.75" customHeight="1" x14ac:dyDescent="0.25">
      <c r="A197" s="2777"/>
      <c r="B197" s="2631"/>
      <c r="C197" s="2633"/>
      <c r="D197" s="2633"/>
      <c r="E197" s="404"/>
      <c r="F197" s="405"/>
      <c r="G197" s="184" t="s">
        <v>2304</v>
      </c>
      <c r="H197" s="143" t="s">
        <v>1029</v>
      </c>
      <c r="I197" s="143" t="s">
        <v>2305</v>
      </c>
      <c r="J197" s="142">
        <v>0.05</v>
      </c>
      <c r="K197" s="143"/>
      <c r="L197" s="142"/>
      <c r="M197" s="143" t="s">
        <v>1027</v>
      </c>
      <c r="N197" s="143" t="s">
        <v>1028</v>
      </c>
      <c r="O197" s="143">
        <v>0.05</v>
      </c>
      <c r="P197" s="143"/>
      <c r="Q197" s="143"/>
      <c r="R197" s="142"/>
      <c r="S197" s="142"/>
      <c r="T197" s="142"/>
      <c r="U197" s="142"/>
      <c r="V197" s="142"/>
      <c r="W197" s="142"/>
    </row>
    <row r="198" spans="1:23" ht="91.5" customHeight="1" x14ac:dyDescent="0.25">
      <c r="A198" s="2777"/>
      <c r="B198" s="2631"/>
      <c r="C198" s="2633"/>
      <c r="D198" s="2633"/>
      <c r="E198" s="404"/>
      <c r="F198" s="405"/>
      <c r="G198" s="143" t="s">
        <v>1725</v>
      </c>
      <c r="H198" s="143" t="s">
        <v>2177</v>
      </c>
      <c r="I198" s="143" t="s">
        <v>2642</v>
      </c>
      <c r="J198" s="143">
        <v>0.25</v>
      </c>
      <c r="K198" s="143"/>
      <c r="L198" s="142"/>
      <c r="M198" s="143" t="s">
        <v>2145</v>
      </c>
      <c r="N198" s="143" t="s">
        <v>2146</v>
      </c>
      <c r="O198" s="143">
        <v>0.02</v>
      </c>
      <c r="P198" s="143"/>
      <c r="Q198" s="143"/>
      <c r="R198" s="142"/>
      <c r="S198" s="142"/>
      <c r="T198" s="142"/>
      <c r="U198" s="142"/>
      <c r="V198" s="142"/>
      <c r="W198" s="142"/>
    </row>
    <row r="199" spans="1:23" ht="37.5" customHeight="1" x14ac:dyDescent="0.25">
      <c r="A199" s="402"/>
      <c r="B199" s="403"/>
      <c r="C199" s="404"/>
      <c r="D199" s="404"/>
      <c r="E199" s="404"/>
      <c r="F199" s="405"/>
      <c r="G199" s="143"/>
      <c r="H199" s="143"/>
      <c r="I199" s="143"/>
      <c r="J199" s="143"/>
      <c r="K199" s="143"/>
      <c r="L199" s="142"/>
      <c r="M199" s="143" t="s">
        <v>1725</v>
      </c>
      <c r="N199" s="143" t="s">
        <v>2182</v>
      </c>
      <c r="O199" s="143">
        <f>0.37-0.17</f>
        <v>0.19999999999999998</v>
      </c>
      <c r="P199" s="151"/>
      <c r="Q199" s="151"/>
      <c r="R199" s="142"/>
      <c r="S199" s="142"/>
      <c r="T199" s="142"/>
      <c r="U199" s="142"/>
      <c r="V199" s="142"/>
      <c r="W199" s="149"/>
    </row>
    <row r="200" spans="1:23" ht="51.75" customHeight="1" x14ac:dyDescent="0.25">
      <c r="A200" s="402"/>
      <c r="B200" s="403"/>
      <c r="C200" s="404"/>
      <c r="D200" s="404"/>
      <c r="E200" s="404"/>
      <c r="F200" s="405"/>
      <c r="G200" s="143"/>
      <c r="H200" s="143"/>
      <c r="I200" s="143"/>
      <c r="J200" s="143"/>
      <c r="K200" s="143"/>
      <c r="L200" s="142"/>
      <c r="M200" s="143" t="s">
        <v>2413</v>
      </c>
      <c r="N200" s="143" t="s">
        <v>2414</v>
      </c>
      <c r="O200" s="143">
        <f>0.4-0.1981</f>
        <v>0.20190000000000002</v>
      </c>
      <c r="P200" s="151"/>
      <c r="Q200" s="151"/>
      <c r="R200" s="142"/>
      <c r="S200" s="142"/>
      <c r="T200" s="142"/>
      <c r="U200" s="142"/>
      <c r="V200" s="142"/>
      <c r="W200" s="149"/>
    </row>
    <row r="201" spans="1:23" ht="51.75" customHeight="1" x14ac:dyDescent="0.25">
      <c r="A201" s="608"/>
      <c r="B201" s="609"/>
      <c r="C201" s="610"/>
      <c r="D201" s="610"/>
      <c r="E201" s="610"/>
      <c r="F201" s="607"/>
      <c r="G201" s="143"/>
      <c r="H201" s="143"/>
      <c r="I201" s="143"/>
      <c r="J201" s="143"/>
      <c r="K201" s="143"/>
      <c r="L201" s="142"/>
      <c r="M201" s="143" t="s">
        <v>2413</v>
      </c>
      <c r="N201" s="143" t="s">
        <v>2518</v>
      </c>
      <c r="O201" s="143">
        <f>0.145-0.125</f>
        <v>1.999999999999999E-2</v>
      </c>
      <c r="P201" s="151"/>
      <c r="Q201" s="151"/>
      <c r="R201" s="142"/>
      <c r="S201" s="142"/>
      <c r="T201" s="142"/>
      <c r="U201" s="142"/>
      <c r="V201" s="142"/>
      <c r="W201" s="142"/>
    </row>
    <row r="202" spans="1:23" ht="51.75" customHeight="1" x14ac:dyDescent="0.25">
      <c r="A202" s="608"/>
      <c r="B202" s="609"/>
      <c r="C202" s="610"/>
      <c r="D202" s="610"/>
      <c r="E202" s="610"/>
      <c r="F202" s="607"/>
      <c r="G202" s="143"/>
      <c r="H202" s="143"/>
      <c r="I202" s="143"/>
      <c r="J202" s="143"/>
      <c r="K202" s="143"/>
      <c r="L202" s="142"/>
      <c r="M202" s="143" t="s">
        <v>2413</v>
      </c>
      <c r="N202" s="143" t="s">
        <v>2519</v>
      </c>
      <c r="O202" s="143">
        <f>0.45</f>
        <v>0.45</v>
      </c>
      <c r="P202" s="151"/>
      <c r="Q202" s="151"/>
      <c r="R202" s="142"/>
      <c r="S202" s="142"/>
      <c r="T202" s="142"/>
      <c r="U202" s="142"/>
      <c r="V202" s="142"/>
      <c r="W202" s="142"/>
    </row>
    <row r="203" spans="1:23" ht="51.75" customHeight="1" x14ac:dyDescent="0.25">
      <c r="A203" s="608"/>
      <c r="B203" s="609"/>
      <c r="C203" s="610"/>
      <c r="D203" s="610"/>
      <c r="E203" s="610"/>
      <c r="F203" s="607"/>
      <c r="G203" s="143"/>
      <c r="H203" s="143"/>
      <c r="I203" s="143"/>
      <c r="J203" s="143"/>
      <c r="K203" s="143"/>
      <c r="L203" s="142"/>
      <c r="M203" s="143" t="s">
        <v>2413</v>
      </c>
      <c r="N203" s="143" t="s">
        <v>2536</v>
      </c>
      <c r="O203" s="143">
        <v>0.12</v>
      </c>
      <c r="P203" s="151"/>
      <c r="Q203" s="151"/>
      <c r="R203" s="142"/>
      <c r="S203" s="142"/>
      <c r="T203" s="142"/>
      <c r="U203" s="142"/>
      <c r="V203" s="142"/>
      <c r="W203" s="142"/>
    </row>
    <row r="204" spans="1:23" ht="51.75" customHeight="1" x14ac:dyDescent="0.25">
      <c r="A204" s="623"/>
      <c r="B204" s="624"/>
      <c r="C204" s="625"/>
      <c r="D204" s="625"/>
      <c r="E204" s="625"/>
      <c r="F204" s="622"/>
      <c r="G204" s="143"/>
      <c r="H204" s="143"/>
      <c r="I204" s="143"/>
      <c r="J204" s="143"/>
      <c r="K204" s="143"/>
      <c r="L204" s="142"/>
      <c r="M204" s="143" t="s">
        <v>2172</v>
      </c>
      <c r="N204" s="143" t="s">
        <v>2585</v>
      </c>
      <c r="O204" s="143">
        <f>0.075-0.0224</f>
        <v>5.2599999999999994E-2</v>
      </c>
      <c r="P204" s="151"/>
      <c r="Q204" s="151"/>
      <c r="R204" s="142"/>
      <c r="S204" s="142"/>
      <c r="T204" s="142"/>
      <c r="U204" s="142"/>
      <c r="V204" s="142"/>
      <c r="W204" s="142"/>
    </row>
    <row r="205" spans="1:23" ht="51.75" customHeight="1" x14ac:dyDescent="0.25">
      <c r="A205" s="402"/>
      <c r="B205" s="403"/>
      <c r="C205" s="404"/>
      <c r="D205" s="404"/>
      <c r="E205" s="404"/>
      <c r="F205" s="405"/>
      <c r="G205" s="143"/>
      <c r="H205" s="143"/>
      <c r="I205" s="143"/>
      <c r="J205" s="143"/>
      <c r="K205" s="143"/>
      <c r="L205" s="142"/>
      <c r="M205" s="143" t="s">
        <v>2172</v>
      </c>
      <c r="N205" s="143" t="s">
        <v>2719</v>
      </c>
      <c r="O205" s="143">
        <f>0.2982-0.1896</f>
        <v>0.10860000000000003</v>
      </c>
      <c r="P205" s="151"/>
      <c r="Q205" s="151"/>
      <c r="R205" s="142"/>
      <c r="S205" s="142"/>
      <c r="T205" s="142"/>
      <c r="U205" s="142"/>
      <c r="V205" s="142"/>
      <c r="W205" s="142"/>
    </row>
    <row r="206" spans="1:23" ht="51.75" customHeight="1" x14ac:dyDescent="0.25">
      <c r="A206" s="763"/>
      <c r="B206" s="764"/>
      <c r="C206" s="766"/>
      <c r="D206" s="766"/>
      <c r="E206" s="766"/>
      <c r="F206" s="762"/>
      <c r="G206" s="143"/>
      <c r="H206" s="143"/>
      <c r="I206" s="143"/>
      <c r="J206" s="143"/>
      <c r="K206" s="143"/>
      <c r="L206" s="142"/>
      <c r="M206" s="143" t="s">
        <v>2172</v>
      </c>
      <c r="N206" s="143" t="s">
        <v>2832</v>
      </c>
      <c r="O206" s="143">
        <v>0.15</v>
      </c>
      <c r="P206" s="143"/>
      <c r="Q206" s="143"/>
      <c r="R206" s="142"/>
      <c r="S206" s="142"/>
      <c r="T206" s="142"/>
      <c r="U206" s="142"/>
      <c r="V206" s="142"/>
      <c r="W206" s="142"/>
    </row>
    <row r="207" spans="1:23" ht="51.75" customHeight="1" x14ac:dyDescent="0.25">
      <c r="A207" s="763"/>
      <c r="B207" s="764"/>
      <c r="C207" s="766"/>
      <c r="D207" s="766"/>
      <c r="E207" s="766"/>
      <c r="F207" s="762"/>
      <c r="G207" s="143"/>
      <c r="H207" s="143"/>
      <c r="I207" s="143"/>
      <c r="J207" s="143"/>
      <c r="K207" s="143"/>
      <c r="L207" s="142"/>
      <c r="M207" s="143" t="s">
        <v>2172</v>
      </c>
      <c r="N207" s="143" t="s">
        <v>2835</v>
      </c>
      <c r="O207" s="143">
        <v>5.0000000000000001E-3</v>
      </c>
      <c r="P207" s="151"/>
      <c r="Q207" s="143"/>
      <c r="R207" s="142"/>
      <c r="S207" s="142"/>
      <c r="T207" s="142"/>
      <c r="U207" s="142"/>
      <c r="V207" s="142"/>
      <c r="W207" s="142"/>
    </row>
    <row r="208" spans="1:23" ht="51.75" customHeight="1" x14ac:dyDescent="0.25">
      <c r="A208" s="763"/>
      <c r="B208" s="764"/>
      <c r="C208" s="766"/>
      <c r="D208" s="766"/>
      <c r="E208" s="766"/>
      <c r="F208" s="762"/>
      <c r="G208" s="143"/>
      <c r="H208" s="143"/>
      <c r="I208" s="143"/>
      <c r="J208" s="143"/>
      <c r="K208" s="143"/>
      <c r="L208" s="142"/>
      <c r="M208" s="143" t="s">
        <v>2172</v>
      </c>
      <c r="N208" s="143" t="s">
        <v>2836</v>
      </c>
      <c r="O208" s="143">
        <v>0.05</v>
      </c>
      <c r="P208" s="151"/>
      <c r="Q208" s="143"/>
      <c r="R208" s="142"/>
      <c r="S208" s="142"/>
      <c r="T208" s="142"/>
      <c r="U208" s="142"/>
      <c r="V208" s="142"/>
      <c r="W208" s="142"/>
    </row>
    <row r="209" spans="1:23" ht="51.75" customHeight="1" x14ac:dyDescent="0.25">
      <c r="A209" s="821"/>
      <c r="B209" s="822"/>
      <c r="C209" s="823"/>
      <c r="D209" s="823"/>
      <c r="E209" s="823"/>
      <c r="F209" s="820"/>
      <c r="G209" s="143"/>
      <c r="H209" s="143"/>
      <c r="I209" s="143"/>
      <c r="J209" s="143"/>
      <c r="K209" s="143"/>
      <c r="L209" s="142"/>
      <c r="M209" s="143" t="s">
        <v>2172</v>
      </c>
      <c r="N209" s="143" t="s">
        <v>2940</v>
      </c>
      <c r="O209" s="143">
        <f>0.025-0.01</f>
        <v>1.5000000000000001E-2</v>
      </c>
      <c r="P209" s="151"/>
      <c r="Q209" s="151"/>
      <c r="R209" s="147"/>
      <c r="S209" s="365"/>
      <c r="T209" s="176"/>
      <c r="U209" s="149"/>
      <c r="V209" s="149"/>
      <c r="W209" s="149"/>
    </row>
    <row r="210" spans="1:23" ht="51.75" customHeight="1" x14ac:dyDescent="0.25">
      <c r="A210" s="1002"/>
      <c r="B210" s="1003"/>
      <c r="C210" s="1005"/>
      <c r="D210" s="1005"/>
      <c r="E210" s="1005"/>
      <c r="F210" s="1004"/>
      <c r="G210" s="179"/>
      <c r="H210" s="179"/>
      <c r="I210" s="180"/>
      <c r="J210" s="151"/>
      <c r="K210" s="151"/>
      <c r="L210" s="149"/>
      <c r="M210" s="143" t="s">
        <v>2172</v>
      </c>
      <c r="N210" s="143" t="s">
        <v>3126</v>
      </c>
      <c r="O210" s="143">
        <v>0.1042</v>
      </c>
      <c r="P210" s="151"/>
      <c r="Q210" s="151"/>
      <c r="R210" s="147"/>
      <c r="S210" s="365"/>
      <c r="T210" s="176"/>
      <c r="U210" s="149"/>
      <c r="V210" s="149"/>
      <c r="W210" s="149"/>
    </row>
    <row r="211" spans="1:23" ht="51.75" customHeight="1" x14ac:dyDescent="0.25">
      <c r="A211" s="1035"/>
      <c r="B211" s="1033"/>
      <c r="C211" s="1036"/>
      <c r="D211" s="1036"/>
      <c r="E211" s="1036"/>
      <c r="F211" s="1034"/>
      <c r="G211" s="179"/>
      <c r="H211" s="179"/>
      <c r="I211" s="180"/>
      <c r="J211" s="151"/>
      <c r="K211" s="151"/>
      <c r="L211" s="149"/>
      <c r="M211" s="143" t="s">
        <v>2172</v>
      </c>
      <c r="N211" s="143" t="s">
        <v>3268</v>
      </c>
      <c r="O211" s="143">
        <f>0.3-0.087</f>
        <v>0.21299999999999999</v>
      </c>
      <c r="P211" s="151"/>
      <c r="Q211" s="151"/>
      <c r="R211" s="147"/>
      <c r="S211" s="365"/>
      <c r="T211" s="176"/>
      <c r="U211" s="149"/>
      <c r="V211" s="149"/>
      <c r="W211" s="149"/>
    </row>
    <row r="212" spans="1:23" ht="19.5" customHeight="1" thickBot="1" x14ac:dyDescent="0.3">
      <c r="A212" s="406"/>
      <c r="B212" s="395"/>
      <c r="C212" s="396"/>
      <c r="D212" s="396"/>
      <c r="E212" s="396"/>
      <c r="F212" s="397"/>
      <c r="G212" s="2636" t="s">
        <v>1833</v>
      </c>
      <c r="H212" s="2636"/>
      <c r="I212" s="2637"/>
      <c r="J212" s="136">
        <f>SUM(0)</f>
        <v>0</v>
      </c>
      <c r="K212" s="183">
        <v>0.92</v>
      </c>
      <c r="L212" s="136">
        <f>J212/K212</f>
        <v>0</v>
      </c>
      <c r="M212" s="2652"/>
      <c r="N212" s="2637"/>
      <c r="O212" s="136">
        <f>SUM(O193:O211)</f>
        <v>5.3678499999999998</v>
      </c>
      <c r="P212" s="183">
        <v>0.92</v>
      </c>
      <c r="Q212" s="136">
        <f>O212/P212</f>
        <v>5.8346195652173911</v>
      </c>
      <c r="R212" s="2652" t="s">
        <v>1833</v>
      </c>
      <c r="S212" s="2636"/>
      <c r="T212" s="2637"/>
      <c r="U212" s="136">
        <f>SUM(U195:U198)</f>
        <v>0</v>
      </c>
      <c r="V212" s="183">
        <v>0.92</v>
      </c>
      <c r="W212" s="136">
        <f>U212/V212</f>
        <v>0</v>
      </c>
    </row>
    <row r="213" spans="1:23" ht="61.5" customHeight="1" x14ac:dyDescent="0.25">
      <c r="A213" s="2776" t="str">
        <f>Итоговая!C308</f>
        <v>ПС  35/6 кВ Завод 1 Мая</v>
      </c>
      <c r="B213" s="2630">
        <f>Итоговая!D308</f>
        <v>10</v>
      </c>
      <c r="C213" s="2632" t="str">
        <f>Итоговая!E308</f>
        <v>+</v>
      </c>
      <c r="D213" s="2632">
        <f>Итоговая!F308</f>
        <v>10</v>
      </c>
      <c r="E213" s="400"/>
      <c r="F213" s="401"/>
      <c r="G213" s="264"/>
      <c r="H213" s="42"/>
      <c r="I213" s="42"/>
      <c r="J213" s="42"/>
      <c r="K213" s="42"/>
      <c r="L213" s="72"/>
      <c r="M213" s="42" t="s">
        <v>625</v>
      </c>
      <c r="N213" s="42" t="s">
        <v>1030</v>
      </c>
      <c r="O213" s="42">
        <v>1.0999999999999999E-2</v>
      </c>
      <c r="P213" s="42"/>
      <c r="Q213" s="42"/>
      <c r="R213" s="72"/>
      <c r="S213" s="72"/>
      <c r="T213" s="72"/>
      <c r="U213" s="72"/>
      <c r="V213" s="72"/>
      <c r="W213" s="72"/>
    </row>
    <row r="214" spans="1:23" ht="50.25" customHeight="1" x14ac:dyDescent="0.25">
      <c r="A214" s="2777"/>
      <c r="B214" s="2631"/>
      <c r="C214" s="2633"/>
      <c r="D214" s="2633"/>
      <c r="E214" s="404"/>
      <c r="F214" s="405"/>
      <c r="G214" s="2767" t="s">
        <v>1960</v>
      </c>
      <c r="H214" s="2767"/>
      <c r="I214" s="2767"/>
      <c r="J214" s="2767"/>
      <c r="K214" s="2767"/>
      <c r="L214" s="2768"/>
      <c r="M214" s="42" t="s">
        <v>1999</v>
      </c>
      <c r="N214" s="42" t="s">
        <v>2000</v>
      </c>
      <c r="O214" s="42">
        <v>0.2</v>
      </c>
      <c r="P214" s="42"/>
      <c r="Q214" s="42"/>
      <c r="R214" s="2771"/>
      <c r="S214" s="2772"/>
      <c r="T214" s="2772"/>
      <c r="U214" s="2772"/>
      <c r="V214" s="2772"/>
      <c r="W214" s="2468"/>
    </row>
    <row r="215" spans="1:23" ht="67.5" customHeight="1" x14ac:dyDescent="0.25">
      <c r="A215" s="2777"/>
      <c r="B215" s="2631"/>
      <c r="C215" s="2633"/>
      <c r="D215" s="2633"/>
      <c r="E215" s="404"/>
      <c r="F215" s="405"/>
      <c r="G215" s="184" t="s">
        <v>1031</v>
      </c>
      <c r="H215" s="143" t="s">
        <v>1032</v>
      </c>
      <c r="I215" s="143" t="s">
        <v>1033</v>
      </c>
      <c r="J215" s="143">
        <v>2.0670000000000002</v>
      </c>
      <c r="K215" s="143"/>
      <c r="L215" s="142"/>
      <c r="M215" s="143" t="s">
        <v>2413</v>
      </c>
      <c r="N215" s="143" t="s">
        <v>2536</v>
      </c>
      <c r="O215" s="143">
        <v>0.12</v>
      </c>
      <c r="P215" s="143"/>
      <c r="Q215" s="143"/>
      <c r="R215" s="142"/>
      <c r="S215" s="142"/>
      <c r="T215" s="142"/>
      <c r="U215" s="142"/>
      <c r="V215" s="142"/>
      <c r="W215" s="142"/>
    </row>
    <row r="216" spans="1:23" ht="67.5" customHeight="1" x14ac:dyDescent="0.25">
      <c r="A216" s="1556"/>
      <c r="B216" s="1550"/>
      <c r="C216" s="1557"/>
      <c r="D216" s="1557"/>
      <c r="E216" s="1557"/>
      <c r="F216" s="1551"/>
      <c r="G216" s="1554"/>
      <c r="H216" s="1554"/>
      <c r="I216" s="1555"/>
      <c r="J216" s="1552"/>
      <c r="K216" s="1552"/>
      <c r="L216" s="149"/>
      <c r="M216" s="1553" t="s">
        <v>16712</v>
      </c>
      <c r="N216" s="1555" t="s">
        <v>16713</v>
      </c>
      <c r="O216" s="1552">
        <v>4.5</v>
      </c>
      <c r="P216" s="1552"/>
      <c r="Q216" s="1552"/>
      <c r="R216" s="1563"/>
      <c r="S216" s="1561"/>
      <c r="T216" s="1562"/>
      <c r="U216" s="149"/>
      <c r="V216" s="149"/>
      <c r="W216" s="149"/>
    </row>
    <row r="217" spans="1:23" ht="20.100000000000001" customHeight="1" thickBot="1" x14ac:dyDescent="0.3">
      <c r="A217" s="406"/>
      <c r="B217" s="395"/>
      <c r="C217" s="396"/>
      <c r="D217" s="396"/>
      <c r="E217" s="396"/>
      <c r="F217" s="397"/>
      <c r="G217" s="2636" t="s">
        <v>1833</v>
      </c>
      <c r="H217" s="2636"/>
      <c r="I217" s="2637"/>
      <c r="J217" s="136">
        <f>SUM(0)</f>
        <v>0</v>
      </c>
      <c r="K217" s="183">
        <v>0.92</v>
      </c>
      <c r="L217" s="136">
        <f>J217/K217</f>
        <v>0</v>
      </c>
      <c r="M217" s="2652" t="s">
        <v>1834</v>
      </c>
      <c r="N217" s="2637"/>
      <c r="O217" s="136">
        <f>SUM(O213:O216)</f>
        <v>4.8310000000000004</v>
      </c>
      <c r="P217" s="183">
        <v>0.92</v>
      </c>
      <c r="Q217" s="136">
        <f>O217/P217</f>
        <v>5.2510869565217391</v>
      </c>
      <c r="R217" s="2652" t="s">
        <v>1833</v>
      </c>
      <c r="S217" s="2636"/>
      <c r="T217" s="2637"/>
      <c r="U217" s="136">
        <f>SUM(U213:U215)</f>
        <v>0</v>
      </c>
      <c r="V217" s="183">
        <v>0.92</v>
      </c>
      <c r="W217" s="136">
        <f>U217/V217</f>
        <v>0</v>
      </c>
    </row>
    <row r="218" spans="1:23" ht="20.100000000000001" customHeight="1" x14ac:dyDescent="0.25">
      <c r="A218" s="407"/>
      <c r="B218" s="399"/>
      <c r="C218" s="400"/>
      <c r="D218" s="400"/>
      <c r="E218" s="400"/>
      <c r="F218" s="401"/>
      <c r="G218" s="2808" t="s">
        <v>1960</v>
      </c>
      <c r="H218" s="2808"/>
      <c r="I218" s="2808"/>
      <c r="J218" s="2808"/>
      <c r="K218" s="2808"/>
      <c r="L218" s="2800"/>
      <c r="M218" s="133"/>
      <c r="N218" s="175"/>
      <c r="O218" s="77"/>
      <c r="P218" s="77"/>
      <c r="Q218" s="77"/>
      <c r="R218" s="2811"/>
      <c r="S218" s="2791"/>
      <c r="T218" s="2791"/>
      <c r="U218" s="2791"/>
      <c r="V218" s="2791"/>
      <c r="W218" s="2792"/>
    </row>
    <row r="219" spans="1:23" ht="45.75" customHeight="1" x14ac:dyDescent="0.25">
      <c r="A219" s="2777" t="str">
        <f>Итоговая!C309</f>
        <v xml:space="preserve">ПС 35/6 кВ Стекловолокно </v>
      </c>
      <c r="B219" s="2631">
        <f>Итоговая!D309</f>
        <v>10</v>
      </c>
      <c r="C219" s="2633" t="str">
        <f>Итоговая!E309</f>
        <v>+</v>
      </c>
      <c r="D219" s="2633">
        <f>Итоговая!F309</f>
        <v>10</v>
      </c>
      <c r="E219" s="404"/>
      <c r="F219" s="405"/>
      <c r="G219" s="66" t="s">
        <v>1036</v>
      </c>
      <c r="H219" s="2" t="s">
        <v>1037</v>
      </c>
      <c r="I219" s="2" t="s">
        <v>1038</v>
      </c>
      <c r="J219" s="48">
        <v>8.3000000000000004E-2</v>
      </c>
      <c r="K219" s="45"/>
      <c r="L219" s="72"/>
      <c r="M219" s="42" t="s">
        <v>1034</v>
      </c>
      <c r="N219" s="42" t="s">
        <v>1035</v>
      </c>
      <c r="O219" s="65">
        <v>0.1</v>
      </c>
      <c r="P219" s="45"/>
      <c r="Q219" s="45"/>
      <c r="R219" s="142"/>
      <c r="S219" s="142"/>
      <c r="T219" s="142"/>
      <c r="U219" s="285"/>
      <c r="V219" s="72"/>
      <c r="W219" s="72"/>
    </row>
    <row r="220" spans="1:23" ht="59.25" customHeight="1" x14ac:dyDescent="0.25">
      <c r="A220" s="2777"/>
      <c r="B220" s="2631"/>
      <c r="C220" s="2633"/>
      <c r="D220" s="2633"/>
      <c r="E220" s="404"/>
      <c r="F220" s="405"/>
      <c r="G220" s="66" t="s">
        <v>1040</v>
      </c>
      <c r="H220" s="2" t="s">
        <v>1041</v>
      </c>
      <c r="I220" s="2" t="s">
        <v>1042</v>
      </c>
      <c r="J220" s="2">
        <v>0.16</v>
      </c>
      <c r="K220" s="2"/>
      <c r="L220" s="142"/>
      <c r="P220" s="2"/>
      <c r="Q220" s="2"/>
      <c r="R220" s="142"/>
      <c r="S220" s="142"/>
      <c r="T220" s="142"/>
      <c r="U220" s="142"/>
      <c r="V220" s="142"/>
      <c r="W220" s="142"/>
    </row>
    <row r="221" spans="1:23" ht="41.25" customHeight="1" x14ac:dyDescent="0.25">
      <c r="A221" s="2777"/>
      <c r="B221" s="2631"/>
      <c r="C221" s="2633"/>
      <c r="D221" s="2633"/>
      <c r="E221" s="404"/>
      <c r="F221" s="405"/>
      <c r="G221" s="2767" t="s">
        <v>1959</v>
      </c>
      <c r="H221" s="2767"/>
      <c r="I221" s="2767"/>
      <c r="J221" s="2767"/>
      <c r="K221" s="2767"/>
      <c r="L221" s="2768"/>
      <c r="M221" s="2" t="s">
        <v>1864</v>
      </c>
      <c r="N221" s="2" t="s">
        <v>2041</v>
      </c>
      <c r="O221" s="2">
        <v>0.02</v>
      </c>
      <c r="P221" s="2"/>
      <c r="Q221" s="45"/>
      <c r="R221" s="2771"/>
      <c r="S221" s="2772"/>
      <c r="T221" s="2772"/>
      <c r="U221" s="2772"/>
      <c r="V221" s="2772"/>
      <c r="W221" s="2468"/>
    </row>
    <row r="222" spans="1:23" ht="82.5" customHeight="1" x14ac:dyDescent="0.25">
      <c r="A222" s="2777"/>
      <c r="B222" s="2631"/>
      <c r="C222" s="2633"/>
      <c r="D222" s="2633"/>
      <c r="E222" s="404"/>
      <c r="F222" s="405"/>
      <c r="G222" s="184" t="s">
        <v>1043</v>
      </c>
      <c r="H222" s="143" t="s">
        <v>1044</v>
      </c>
      <c r="I222" s="2" t="s">
        <v>1045</v>
      </c>
      <c r="J222" s="2">
        <v>0.03</v>
      </c>
      <c r="K222" s="2"/>
      <c r="L222" s="142"/>
      <c r="M222" s="143"/>
      <c r="N222" s="143"/>
      <c r="O222" s="143"/>
      <c r="P222" s="70"/>
      <c r="Q222" s="45"/>
      <c r="R222" s="142"/>
      <c r="S222" s="142"/>
      <c r="T222" s="142"/>
      <c r="U222" s="142"/>
      <c r="V222" s="142"/>
      <c r="W222" s="142"/>
    </row>
    <row r="223" spans="1:23" ht="27" customHeight="1" x14ac:dyDescent="0.25">
      <c r="A223" s="402"/>
      <c r="B223" s="403"/>
      <c r="C223" s="404"/>
      <c r="D223" s="404"/>
      <c r="E223" s="404"/>
      <c r="F223" s="405"/>
      <c r="G223" s="2767" t="s">
        <v>2032</v>
      </c>
      <c r="H223" s="2767"/>
      <c r="I223" s="2767"/>
      <c r="J223" s="2767"/>
      <c r="K223" s="2767"/>
      <c r="L223" s="2768"/>
      <c r="M223" s="143"/>
      <c r="N223" s="143"/>
      <c r="O223" s="143"/>
      <c r="P223" s="2"/>
      <c r="Q223" s="120"/>
      <c r="R223" s="2771"/>
      <c r="S223" s="2772"/>
      <c r="T223" s="2772"/>
      <c r="U223" s="2772"/>
      <c r="V223" s="2772"/>
      <c r="W223" s="2468"/>
    </row>
    <row r="224" spans="1:23" ht="68.25" customHeight="1" x14ac:dyDescent="0.25">
      <c r="A224" s="402"/>
      <c r="B224" s="403"/>
      <c r="C224" s="404"/>
      <c r="D224" s="404"/>
      <c r="E224" s="404"/>
      <c r="F224" s="405"/>
      <c r="G224" s="66" t="s">
        <v>1039</v>
      </c>
      <c r="H224" s="2" t="s">
        <v>1307</v>
      </c>
      <c r="I224" s="143" t="s">
        <v>2232</v>
      </c>
      <c r="J224" s="48">
        <v>1</v>
      </c>
      <c r="K224" s="70"/>
      <c r="L224" s="149"/>
      <c r="M224" s="2" t="s">
        <v>2361</v>
      </c>
      <c r="N224" s="2" t="s">
        <v>2431</v>
      </c>
      <c r="O224" s="2">
        <v>0.03</v>
      </c>
      <c r="P224" s="2"/>
      <c r="Q224" s="120"/>
      <c r="R224" s="142"/>
      <c r="S224" s="142"/>
      <c r="T224" s="142"/>
      <c r="U224" s="285"/>
      <c r="V224" s="149"/>
      <c r="W224" s="149"/>
    </row>
    <row r="225" spans="1:23" ht="70.5" customHeight="1" x14ac:dyDescent="0.25">
      <c r="A225" s="402"/>
      <c r="B225" s="403"/>
      <c r="C225" s="404"/>
      <c r="D225" s="404"/>
      <c r="E225" s="404"/>
      <c r="F225" s="405"/>
      <c r="G225" s="66" t="s">
        <v>1039</v>
      </c>
      <c r="H225" s="122" t="s">
        <v>1307</v>
      </c>
      <c r="I225" s="48" t="s">
        <v>2233</v>
      </c>
      <c r="J225" s="223">
        <v>1</v>
      </c>
      <c r="K225" s="70"/>
      <c r="L225" s="149"/>
      <c r="M225" s="143" t="s">
        <v>1864</v>
      </c>
      <c r="N225" s="143" t="s">
        <v>2601</v>
      </c>
      <c r="O225" s="143">
        <v>2.2499999999999999E-2</v>
      </c>
      <c r="P225" s="2"/>
      <c r="Q225" s="120"/>
      <c r="R225" s="142"/>
      <c r="S225" s="55"/>
      <c r="T225" s="285"/>
      <c r="U225" s="344"/>
      <c r="V225" s="149"/>
      <c r="W225" s="149"/>
    </row>
    <row r="226" spans="1:23" ht="85.5" customHeight="1" x14ac:dyDescent="0.25">
      <c r="A226" s="402"/>
      <c r="B226" s="403"/>
      <c r="C226" s="404"/>
      <c r="D226" s="404"/>
      <c r="E226" s="404"/>
      <c r="F226" s="405"/>
      <c r="G226" s="66" t="s">
        <v>2134</v>
      </c>
      <c r="H226" s="2" t="s">
        <v>2135</v>
      </c>
      <c r="I226" s="299" t="s">
        <v>2277</v>
      </c>
      <c r="J226" s="223">
        <v>0.75</v>
      </c>
      <c r="K226" s="70"/>
      <c r="L226" s="149"/>
      <c r="M226" s="2" t="s">
        <v>1864</v>
      </c>
      <c r="N226" s="2" t="s">
        <v>3237</v>
      </c>
      <c r="O226" s="2">
        <v>0.05</v>
      </c>
      <c r="P226" s="2"/>
      <c r="Q226" s="120"/>
      <c r="R226" s="142"/>
      <c r="S226" s="142"/>
      <c r="T226" s="361"/>
      <c r="U226" s="344"/>
      <c r="V226" s="149"/>
      <c r="W226" s="149"/>
    </row>
    <row r="227" spans="1:23" ht="85.5" customHeight="1" x14ac:dyDescent="0.25">
      <c r="A227" s="402"/>
      <c r="B227" s="403"/>
      <c r="C227" s="404"/>
      <c r="D227" s="404"/>
      <c r="E227" s="404"/>
      <c r="F227" s="405"/>
      <c r="G227" s="184" t="s">
        <v>2361</v>
      </c>
      <c r="H227" s="143" t="s">
        <v>2362</v>
      </c>
      <c r="I227" s="143" t="s">
        <v>2388</v>
      </c>
      <c r="J227" s="223">
        <v>0.03</v>
      </c>
      <c r="K227" s="70"/>
      <c r="L227" s="149"/>
      <c r="M227" s="2" t="s">
        <v>3256</v>
      </c>
      <c r="N227" s="2" t="s">
        <v>3329</v>
      </c>
      <c r="O227" s="2">
        <f>0.63-0.256</f>
        <v>0.374</v>
      </c>
      <c r="P227" s="2"/>
      <c r="Q227" s="120"/>
      <c r="R227" s="142"/>
      <c r="S227" s="142"/>
      <c r="T227" s="142"/>
      <c r="U227" s="344"/>
      <c r="V227" s="149"/>
      <c r="W227" s="149"/>
    </row>
    <row r="228" spans="1:23" ht="85.5" customHeight="1" x14ac:dyDescent="0.25">
      <c r="A228" s="402"/>
      <c r="B228" s="403"/>
      <c r="C228" s="404"/>
      <c r="D228" s="404"/>
      <c r="E228" s="404"/>
      <c r="F228" s="405"/>
      <c r="G228" s="66" t="s">
        <v>1864</v>
      </c>
      <c r="H228" s="2" t="s">
        <v>2040</v>
      </c>
      <c r="I228" s="180" t="s">
        <v>2449</v>
      </c>
      <c r="J228" s="223">
        <v>2.3E-2</v>
      </c>
      <c r="K228" s="70"/>
      <c r="L228" s="149"/>
      <c r="M228" s="2" t="s">
        <v>3337</v>
      </c>
      <c r="N228" s="2" t="s">
        <v>3338</v>
      </c>
      <c r="O228" s="2">
        <v>7.0000000000000007E-2</v>
      </c>
      <c r="P228" s="70"/>
      <c r="Q228" s="120"/>
      <c r="R228" s="142"/>
      <c r="S228" s="142"/>
      <c r="T228" s="176"/>
      <c r="U228" s="344"/>
      <c r="V228" s="149"/>
      <c r="W228" s="149"/>
    </row>
    <row r="229" spans="1:23" ht="85.5" customHeight="1" x14ac:dyDescent="0.25">
      <c r="A229" s="402"/>
      <c r="B229" s="403"/>
      <c r="C229" s="404"/>
      <c r="D229" s="404"/>
      <c r="E229" s="404"/>
      <c r="F229" s="405"/>
      <c r="G229" s="66" t="s">
        <v>1864</v>
      </c>
      <c r="H229" s="2" t="s">
        <v>2041</v>
      </c>
      <c r="I229" s="180" t="s">
        <v>2450</v>
      </c>
      <c r="J229" s="2">
        <v>2.2499999999999999E-2</v>
      </c>
      <c r="K229" s="70"/>
      <c r="L229" s="149"/>
      <c r="M229" s="2" t="s">
        <v>1864</v>
      </c>
      <c r="N229" s="142" t="s">
        <v>3385</v>
      </c>
      <c r="O229" s="70">
        <v>6.5000000000000002E-2</v>
      </c>
      <c r="P229" s="70"/>
      <c r="Q229" s="120"/>
      <c r="R229" s="142"/>
      <c r="S229" s="142"/>
      <c r="T229" s="176"/>
      <c r="U229" s="142"/>
      <c r="V229" s="149"/>
      <c r="W229" s="149"/>
    </row>
    <row r="230" spans="1:23" ht="85.5" customHeight="1" x14ac:dyDescent="0.25">
      <c r="A230" s="402"/>
      <c r="B230" s="403"/>
      <c r="C230" s="404"/>
      <c r="D230" s="404"/>
      <c r="E230" s="404"/>
      <c r="F230" s="405"/>
      <c r="G230" s="184" t="s">
        <v>779</v>
      </c>
      <c r="H230" s="143" t="s">
        <v>2415</v>
      </c>
      <c r="I230" s="180" t="s">
        <v>2462</v>
      </c>
      <c r="J230" s="70">
        <v>0.64300000000000002</v>
      </c>
      <c r="K230" s="70"/>
      <c r="L230" s="149"/>
      <c r="M230" s="1248" t="s">
        <v>3297</v>
      </c>
      <c r="N230" s="1248" t="s">
        <v>3433</v>
      </c>
      <c r="O230" s="1230">
        <v>0</v>
      </c>
      <c r="P230" s="2"/>
      <c r="Q230" s="120"/>
      <c r="R230" s="142"/>
      <c r="S230" s="142"/>
      <c r="T230" s="176"/>
      <c r="U230" s="149"/>
      <c r="V230" s="149"/>
      <c r="W230" s="149"/>
    </row>
    <row r="231" spans="1:23" ht="23.25" customHeight="1" x14ac:dyDescent="0.25">
      <c r="A231" s="1052"/>
      <c r="B231" s="1053"/>
      <c r="C231" s="1055"/>
      <c r="D231" s="1055"/>
      <c r="E231" s="1055"/>
      <c r="F231" s="1054"/>
      <c r="G231" s="2767" t="s">
        <v>3020</v>
      </c>
      <c r="H231" s="2767"/>
      <c r="I231" s="2767"/>
      <c r="J231" s="2767"/>
      <c r="K231" s="2767"/>
      <c r="L231" s="2768"/>
      <c r="M231" s="2" t="s">
        <v>16823</v>
      </c>
      <c r="N231" s="2" t="s">
        <v>16824</v>
      </c>
      <c r="O231" s="2">
        <f>0.56-0.22</f>
        <v>0.34000000000000008</v>
      </c>
      <c r="P231" s="2"/>
      <c r="Q231" s="120"/>
      <c r="R231" s="147"/>
      <c r="S231" s="365"/>
      <c r="T231" s="176"/>
      <c r="U231" s="149"/>
      <c r="V231" s="149"/>
      <c r="W231" s="149"/>
    </row>
    <row r="232" spans="1:23" ht="96" customHeight="1" x14ac:dyDescent="0.25">
      <c r="A232" s="1052"/>
      <c r="B232" s="1053"/>
      <c r="C232" s="1055"/>
      <c r="D232" s="1055"/>
      <c r="E232" s="1055"/>
      <c r="F232" s="1054"/>
      <c r="G232" s="143" t="s">
        <v>1725</v>
      </c>
      <c r="H232" s="143" t="s">
        <v>3155</v>
      </c>
      <c r="I232" s="143" t="s">
        <v>3156</v>
      </c>
      <c r="J232" s="2">
        <f>0.894*0.9</f>
        <v>0.80459999999999998</v>
      </c>
      <c r="K232" s="2"/>
      <c r="L232" s="142"/>
      <c r="M232" s="2" t="s">
        <v>17058</v>
      </c>
      <c r="N232" s="2" t="s">
        <v>17059</v>
      </c>
      <c r="O232" s="2">
        <v>0.15</v>
      </c>
      <c r="P232" s="2"/>
      <c r="Q232" s="120"/>
      <c r="R232" s="147"/>
      <c r="S232" s="365"/>
      <c r="T232" s="176"/>
      <c r="U232" s="149"/>
      <c r="V232" s="149"/>
      <c r="W232" s="149"/>
    </row>
    <row r="233" spans="1:23" ht="36" customHeight="1" x14ac:dyDescent="0.25">
      <c r="A233" s="1185"/>
      <c r="B233" s="1183"/>
      <c r="C233" s="1187"/>
      <c r="D233" s="1187"/>
      <c r="E233" s="1187"/>
      <c r="F233" s="1184"/>
      <c r="G233" s="1965" t="s">
        <v>2610</v>
      </c>
      <c r="H233" s="1965" t="s">
        <v>3105</v>
      </c>
      <c r="I233" s="1960" t="s">
        <v>3132</v>
      </c>
      <c r="J233" s="1948">
        <f>(0.08-0.0242)*0.5</f>
        <v>2.7900000000000001E-2</v>
      </c>
      <c r="K233" s="149"/>
      <c r="L233" s="149"/>
      <c r="M233" s="2"/>
      <c r="N233" s="2"/>
      <c r="O233" s="2"/>
      <c r="P233" s="2"/>
      <c r="Q233" s="120"/>
      <c r="R233" s="147"/>
      <c r="S233" s="365"/>
      <c r="T233" s="176"/>
      <c r="U233" s="149"/>
      <c r="V233" s="149"/>
      <c r="W233" s="149"/>
    </row>
    <row r="234" spans="1:23" ht="36" customHeight="1" x14ac:dyDescent="0.25">
      <c r="A234" s="1525"/>
      <c r="B234" s="1532"/>
      <c r="C234" s="1535"/>
      <c r="D234" s="1535"/>
      <c r="E234" s="1535"/>
      <c r="F234" s="1533"/>
      <c r="G234" s="2767" t="s">
        <v>3447</v>
      </c>
      <c r="H234" s="2767"/>
      <c r="I234" s="2767"/>
      <c r="J234" s="2767"/>
      <c r="K234" s="2767"/>
      <c r="L234" s="2768"/>
      <c r="M234" s="2"/>
      <c r="N234" s="2"/>
      <c r="O234" s="2"/>
      <c r="P234" s="2"/>
      <c r="Q234" s="120"/>
      <c r="R234" s="1541"/>
      <c r="S234" s="1542"/>
      <c r="T234" s="1543"/>
      <c r="U234" s="149"/>
      <c r="V234" s="149"/>
      <c r="W234" s="149"/>
    </row>
    <row r="235" spans="1:23" ht="36" customHeight="1" x14ac:dyDescent="0.25">
      <c r="A235" s="1525"/>
      <c r="B235" s="1532"/>
      <c r="C235" s="1535"/>
      <c r="D235" s="1535"/>
      <c r="E235" s="1535"/>
      <c r="F235" s="1533"/>
      <c r="G235" s="2" t="s">
        <v>3572</v>
      </c>
      <c r="H235" s="2" t="s">
        <v>3573</v>
      </c>
      <c r="I235" s="1528" t="s">
        <v>16646</v>
      </c>
      <c r="J235" s="2">
        <f>0.1*0.75</f>
        <v>7.5000000000000011E-2</v>
      </c>
      <c r="K235" s="2"/>
      <c r="L235" s="1540"/>
      <c r="M235" s="2"/>
      <c r="N235" s="2"/>
      <c r="O235" s="2"/>
      <c r="P235" s="2"/>
      <c r="Q235" s="120"/>
      <c r="R235" s="1541"/>
      <c r="S235" s="1542"/>
      <c r="T235" s="1543"/>
      <c r="U235" s="149"/>
      <c r="V235" s="149"/>
      <c r="W235" s="149"/>
    </row>
    <row r="236" spans="1:23" ht="36" customHeight="1" x14ac:dyDescent="0.25">
      <c r="A236" s="1572"/>
      <c r="B236" s="1567"/>
      <c r="C236" s="1573"/>
      <c r="D236" s="1573"/>
      <c r="E236" s="1573"/>
      <c r="F236" s="1568"/>
      <c r="G236" s="2" t="s">
        <v>3238</v>
      </c>
      <c r="H236" s="2" t="s">
        <v>3607</v>
      </c>
      <c r="I236" s="1571" t="s">
        <v>16733</v>
      </c>
      <c r="J236" s="70">
        <f>0.3*0.75</f>
        <v>0.22499999999999998</v>
      </c>
      <c r="K236" s="70"/>
      <c r="L236" s="149"/>
      <c r="M236" s="812"/>
      <c r="N236" s="121"/>
      <c r="O236" s="70"/>
      <c r="P236" s="70"/>
      <c r="Q236" s="120"/>
      <c r="R236" s="1582"/>
      <c r="S236" s="1580"/>
      <c r="T236" s="1581"/>
      <c r="U236" s="149"/>
      <c r="V236" s="149"/>
      <c r="W236" s="149"/>
    </row>
    <row r="237" spans="1:23" ht="36" customHeight="1" x14ac:dyDescent="0.25">
      <c r="A237" s="1572"/>
      <c r="B237" s="1567"/>
      <c r="C237" s="1573"/>
      <c r="D237" s="1573"/>
      <c r="E237" s="1573"/>
      <c r="F237" s="1568"/>
      <c r="G237" s="2" t="s">
        <v>16730</v>
      </c>
      <c r="H237" s="2" t="s">
        <v>16731</v>
      </c>
      <c r="I237" s="1571" t="s">
        <v>16734</v>
      </c>
      <c r="J237" s="70">
        <f>0.65*0.75</f>
        <v>0.48750000000000004</v>
      </c>
      <c r="K237" s="70"/>
      <c r="L237" s="149"/>
      <c r="M237" s="812"/>
      <c r="N237" s="121"/>
      <c r="O237" s="70"/>
      <c r="P237" s="70"/>
      <c r="Q237" s="120"/>
      <c r="R237" s="1582"/>
      <c r="S237" s="1580"/>
      <c r="T237" s="1581"/>
      <c r="U237" s="149"/>
      <c r="V237" s="149"/>
      <c r="W237" s="149"/>
    </row>
    <row r="238" spans="1:23" ht="36" customHeight="1" x14ac:dyDescent="0.25">
      <c r="A238" s="1592"/>
      <c r="B238" s="1598"/>
      <c r="C238" s="1601"/>
      <c r="D238" s="1601"/>
      <c r="E238" s="1601"/>
      <c r="F238" s="1599"/>
      <c r="G238" s="2784" t="s">
        <v>3401</v>
      </c>
      <c r="H238" s="2785"/>
      <c r="I238" s="2786"/>
      <c r="J238" s="775">
        <f>0.32*0.9</f>
        <v>0.28800000000000003</v>
      </c>
      <c r="K238" s="70"/>
      <c r="L238" s="149"/>
      <c r="M238" s="812"/>
      <c r="N238" s="121"/>
      <c r="O238" s="70"/>
      <c r="P238" s="70"/>
      <c r="Q238" s="120"/>
      <c r="R238" s="1610"/>
      <c r="S238" s="1611"/>
      <c r="T238" s="1612"/>
      <c r="U238" s="149"/>
      <c r="V238" s="149"/>
      <c r="W238" s="149"/>
    </row>
    <row r="239" spans="1:23" ht="36" customHeight="1" x14ac:dyDescent="0.25">
      <c r="A239" s="2091"/>
      <c r="B239" s="2073"/>
      <c r="C239" s="2074"/>
      <c r="D239" s="2074"/>
      <c r="E239" s="2074"/>
      <c r="F239" s="2077"/>
      <c r="G239" s="2767" t="s">
        <v>17005</v>
      </c>
      <c r="H239" s="2767"/>
      <c r="I239" s="2767"/>
      <c r="J239" s="2767"/>
      <c r="K239" s="2767"/>
      <c r="L239" s="2768"/>
      <c r="M239" s="812"/>
      <c r="N239" s="121"/>
      <c r="O239" s="70"/>
      <c r="P239" s="70"/>
      <c r="Q239" s="120"/>
      <c r="R239" s="2093"/>
      <c r="S239" s="2094"/>
      <c r="T239" s="2095"/>
      <c r="U239" s="149"/>
      <c r="V239" s="149"/>
      <c r="W239" s="149"/>
    </row>
    <row r="240" spans="1:23" ht="36" customHeight="1" x14ac:dyDescent="0.25">
      <c r="A240" s="2091"/>
      <c r="B240" s="2073"/>
      <c r="C240" s="2074"/>
      <c r="D240" s="2074"/>
      <c r="E240" s="2074"/>
      <c r="F240" s="2077"/>
      <c r="G240" s="2094" t="s">
        <v>17058</v>
      </c>
      <c r="H240" s="2094" t="s">
        <v>17059</v>
      </c>
      <c r="I240" s="2095" t="s">
        <v>19832</v>
      </c>
      <c r="J240" s="149">
        <f>0.15*0.15</f>
        <v>2.2499999999999999E-2</v>
      </c>
      <c r="K240" s="149"/>
      <c r="L240" s="149"/>
      <c r="M240" s="812"/>
      <c r="N240" s="121"/>
      <c r="O240" s="70"/>
      <c r="P240" s="70"/>
      <c r="Q240" s="120"/>
      <c r="R240" s="2093"/>
      <c r="S240" s="2094"/>
      <c r="T240" s="2095"/>
      <c r="U240" s="149"/>
      <c r="V240" s="149"/>
      <c r="W240" s="149"/>
    </row>
    <row r="241" spans="1:23" ht="36" customHeight="1" x14ac:dyDescent="0.25">
      <c r="A241" s="2236"/>
      <c r="B241" s="2214"/>
      <c r="C241" s="2215"/>
      <c r="D241" s="2215"/>
      <c r="E241" s="2215"/>
      <c r="F241" s="2219"/>
      <c r="G241" s="2784" t="s">
        <v>3401</v>
      </c>
      <c r="H241" s="2785"/>
      <c r="I241" s="2786"/>
      <c r="J241" s="775">
        <f>0.242*0.9</f>
        <v>0.21779999999999999</v>
      </c>
      <c r="K241" s="149"/>
      <c r="L241" s="149"/>
      <c r="M241" s="812"/>
      <c r="N241" s="121"/>
      <c r="O241" s="70"/>
      <c r="P241" s="70"/>
      <c r="Q241" s="120"/>
      <c r="R241" s="2242"/>
      <c r="S241" s="2243"/>
      <c r="T241" s="2244"/>
      <c r="U241" s="149"/>
      <c r="V241" s="149"/>
      <c r="W241" s="149"/>
    </row>
    <row r="242" spans="1:23" ht="20.100000000000001" customHeight="1" thickBot="1" x14ac:dyDescent="0.3">
      <c r="A242" s="406"/>
      <c r="B242" s="395"/>
      <c r="C242" s="396"/>
      <c r="D242" s="396"/>
      <c r="E242" s="396"/>
      <c r="F242" s="397"/>
      <c r="G242" s="2636" t="s">
        <v>1833</v>
      </c>
      <c r="H242" s="2636"/>
      <c r="I242" s="2637"/>
      <c r="J242" s="207">
        <f>SUM(J232:J241)</f>
        <v>2.1482999999999999</v>
      </c>
      <c r="K242" s="183">
        <v>0.92</v>
      </c>
      <c r="L242" s="136">
        <f>J242/K242</f>
        <v>2.3351086956521736</v>
      </c>
      <c r="M242" s="2652" t="s">
        <v>1834</v>
      </c>
      <c r="N242" s="2637"/>
      <c r="O242" s="136">
        <f>SUM(O219:O235)</f>
        <v>1.2215</v>
      </c>
      <c r="P242" s="183">
        <v>0.92</v>
      </c>
      <c r="Q242" s="136">
        <f>O242/P242</f>
        <v>1.3277173913043478</v>
      </c>
      <c r="R242" s="2652" t="s">
        <v>1833</v>
      </c>
      <c r="S242" s="2636"/>
      <c r="T242" s="2637"/>
      <c r="U242" s="207">
        <f>SUM(U219:U220,U222:U230)</f>
        <v>0</v>
      </c>
      <c r="V242" s="183">
        <v>0.92</v>
      </c>
      <c r="W242" s="136">
        <f>U242/V242</f>
        <v>0</v>
      </c>
    </row>
    <row r="243" spans="1:23" ht="20.100000000000001" customHeight="1" x14ac:dyDescent="0.25">
      <c r="A243" s="2776" t="str">
        <f>Итоговая!C310</f>
        <v xml:space="preserve">ПС 35/10 кВ Соминка </v>
      </c>
      <c r="B243" s="2630">
        <f>Итоговая!D310</f>
        <v>16</v>
      </c>
      <c r="C243" s="2632" t="str">
        <f>Итоговая!E310</f>
        <v>+</v>
      </c>
      <c r="D243" s="2632">
        <f>Итоговая!F310</f>
        <v>16</v>
      </c>
      <c r="E243" s="400"/>
      <c r="F243" s="401"/>
      <c r="G243" s="2808" t="s">
        <v>1959</v>
      </c>
      <c r="H243" s="2808"/>
      <c r="I243" s="2808"/>
      <c r="J243" s="2808"/>
      <c r="K243" s="2808"/>
      <c r="L243" s="2800"/>
      <c r="M243" s="133"/>
      <c r="N243" s="175"/>
      <c r="O243" s="77"/>
      <c r="P243" s="77"/>
      <c r="Q243" s="77"/>
      <c r="R243" s="2811"/>
      <c r="S243" s="2791"/>
      <c r="T243" s="2791"/>
      <c r="U243" s="2791"/>
      <c r="V243" s="2791"/>
      <c r="W243" s="2792"/>
    </row>
    <row r="244" spans="1:23" ht="47.25" customHeight="1" x14ac:dyDescent="0.25">
      <c r="A244" s="2777"/>
      <c r="B244" s="2631"/>
      <c r="C244" s="2633"/>
      <c r="D244" s="2633"/>
      <c r="E244" s="404"/>
      <c r="F244" s="405"/>
      <c r="G244" s="283" t="s">
        <v>1050</v>
      </c>
      <c r="H244" s="45" t="s">
        <v>1051</v>
      </c>
      <c r="I244" s="42" t="s">
        <v>1052</v>
      </c>
      <c r="J244" s="45">
        <v>3.3000000000000002E-2</v>
      </c>
      <c r="K244" s="42"/>
      <c r="L244" s="72"/>
      <c r="M244" s="42" t="s">
        <v>1047</v>
      </c>
      <c r="N244" s="42" t="s">
        <v>1048</v>
      </c>
      <c r="O244" s="42">
        <v>0.15</v>
      </c>
      <c r="P244" s="42"/>
      <c r="Q244" s="42"/>
      <c r="R244" s="72"/>
      <c r="S244" s="72"/>
      <c r="T244" s="72"/>
      <c r="U244" s="72"/>
      <c r="V244" s="72"/>
      <c r="W244" s="72"/>
    </row>
    <row r="245" spans="1:23" ht="40.5" customHeight="1" x14ac:dyDescent="0.25">
      <c r="A245" s="2777"/>
      <c r="B245" s="2631"/>
      <c r="C245" s="2633"/>
      <c r="D245" s="2633"/>
      <c r="E245" s="404"/>
      <c r="F245" s="405"/>
      <c r="G245" s="66" t="s">
        <v>1050</v>
      </c>
      <c r="H245" s="2" t="s">
        <v>1305</v>
      </c>
      <c r="I245" s="143" t="s">
        <v>1306</v>
      </c>
      <c r="J245" s="2">
        <v>3.6999999999999998E-2</v>
      </c>
      <c r="K245" s="143"/>
      <c r="L245" s="142"/>
      <c r="M245" s="143" t="s">
        <v>1965</v>
      </c>
      <c r="N245" s="143" t="s">
        <v>1049</v>
      </c>
      <c r="O245" s="143"/>
      <c r="P245" s="184"/>
      <c r="Q245" s="143"/>
      <c r="R245" s="142"/>
      <c r="S245" s="142"/>
      <c r="T245" s="142"/>
      <c r="U245" s="142"/>
      <c r="V245" s="142"/>
      <c r="W245" s="142"/>
    </row>
    <row r="246" spans="1:23" ht="65.25" customHeight="1" x14ac:dyDescent="0.25">
      <c r="A246" s="2777"/>
      <c r="B246" s="2631"/>
      <c r="C246" s="2633"/>
      <c r="D246" s="2633"/>
      <c r="E246" s="404"/>
      <c r="F246" s="405"/>
      <c r="G246" s="184" t="s">
        <v>625</v>
      </c>
      <c r="H246" s="143" t="s">
        <v>1053</v>
      </c>
      <c r="I246" s="143" t="s">
        <v>2296</v>
      </c>
      <c r="J246" s="143">
        <v>0.115</v>
      </c>
      <c r="K246" s="143"/>
      <c r="L246" s="142"/>
      <c r="M246" s="155" t="s">
        <v>1054</v>
      </c>
      <c r="N246" s="143" t="s">
        <v>1055</v>
      </c>
      <c r="O246" s="143">
        <v>2.8000000000000001E-2</v>
      </c>
      <c r="P246" s="143"/>
      <c r="Q246" s="143"/>
      <c r="R246" s="142"/>
      <c r="S246" s="142"/>
      <c r="T246" s="142"/>
      <c r="U246" s="142"/>
      <c r="V246" s="142"/>
      <c r="W246" s="142"/>
    </row>
    <row r="247" spans="1:23" ht="20.100000000000001" customHeight="1" x14ac:dyDescent="0.25">
      <c r="A247" s="2777"/>
      <c r="B247" s="2631"/>
      <c r="C247" s="2633"/>
      <c r="D247" s="2633"/>
      <c r="E247" s="404"/>
      <c r="F247" s="405"/>
      <c r="G247" s="2767" t="s">
        <v>3020</v>
      </c>
      <c r="H247" s="2767"/>
      <c r="I247" s="2767"/>
      <c r="J247" s="2767"/>
      <c r="K247" s="2767"/>
      <c r="L247" s="2768"/>
      <c r="M247" s="153" t="s">
        <v>1057</v>
      </c>
      <c r="N247" s="143" t="s">
        <v>1058</v>
      </c>
      <c r="O247" s="143">
        <v>0.2</v>
      </c>
      <c r="P247" s="143"/>
      <c r="Q247" s="143"/>
      <c r="R247" s="142"/>
      <c r="S247" s="142"/>
      <c r="T247" s="142"/>
      <c r="U247" s="142"/>
      <c r="V247" s="142"/>
      <c r="W247" s="142"/>
    </row>
    <row r="248" spans="1:23" ht="20.100000000000001" customHeight="1" x14ac:dyDescent="0.25">
      <c r="A248" s="2777"/>
      <c r="B248" s="2631"/>
      <c r="C248" s="2633"/>
      <c r="D248" s="2633"/>
      <c r="E248" s="404"/>
      <c r="F248" s="405"/>
      <c r="G248" s="2771"/>
      <c r="H248" s="2772"/>
      <c r="I248" s="2468"/>
      <c r="J248" s="1965"/>
      <c r="K248" s="1965"/>
      <c r="L248" s="1965"/>
      <c r="M248" s="155" t="s">
        <v>1060</v>
      </c>
      <c r="N248" s="143" t="s">
        <v>1061</v>
      </c>
      <c r="O248" s="143">
        <v>9.7000000000000003E-2</v>
      </c>
      <c r="P248" s="143"/>
      <c r="Q248" s="143"/>
      <c r="R248" s="142"/>
      <c r="S248" s="142"/>
      <c r="T248" s="142"/>
      <c r="U248" s="142"/>
      <c r="V248" s="142"/>
      <c r="W248" s="142"/>
    </row>
    <row r="249" spans="1:23" ht="20.100000000000001" customHeight="1" x14ac:dyDescent="0.25">
      <c r="A249" s="2777"/>
      <c r="B249" s="2631"/>
      <c r="C249" s="2633"/>
      <c r="D249" s="2633"/>
      <c r="E249" s="404"/>
      <c r="F249" s="405"/>
      <c r="G249" s="2767" t="s">
        <v>3447</v>
      </c>
      <c r="H249" s="2767"/>
      <c r="I249" s="2767"/>
      <c r="J249" s="2767"/>
      <c r="K249" s="2767"/>
      <c r="L249" s="2768"/>
      <c r="M249" s="143" t="s">
        <v>2620</v>
      </c>
      <c r="N249" s="143" t="s">
        <v>2621</v>
      </c>
      <c r="O249" s="143">
        <v>0.16</v>
      </c>
      <c r="P249" s="143"/>
      <c r="Q249" s="143"/>
      <c r="R249" s="142"/>
      <c r="S249" s="142"/>
      <c r="T249" s="142"/>
      <c r="U249" s="142"/>
      <c r="V249" s="142"/>
      <c r="W249" s="142"/>
    </row>
    <row r="250" spans="1:23" ht="20.100000000000001" customHeight="1" x14ac:dyDescent="0.25">
      <c r="A250" s="739"/>
      <c r="B250" s="740"/>
      <c r="C250" s="741"/>
      <c r="D250" s="741"/>
      <c r="E250" s="741"/>
      <c r="F250" s="738"/>
      <c r="G250" s="1497" t="s">
        <v>3522</v>
      </c>
      <c r="H250" s="1499" t="s">
        <v>3524</v>
      </c>
      <c r="I250" s="1461" t="s">
        <v>15277</v>
      </c>
      <c r="J250" s="1466">
        <f>(1.05-0.65)*0.9</f>
        <v>0.36000000000000004</v>
      </c>
      <c r="K250" s="143"/>
      <c r="L250" s="142"/>
      <c r="M250" s="143" t="s">
        <v>2802</v>
      </c>
      <c r="N250" s="143" t="s">
        <v>2803</v>
      </c>
      <c r="O250" s="143">
        <f>0.665-0.45</f>
        <v>0.21500000000000002</v>
      </c>
      <c r="P250" s="143"/>
      <c r="Q250" s="143"/>
      <c r="R250" s="142"/>
      <c r="S250" s="142"/>
      <c r="T250" s="142"/>
      <c r="U250" s="142"/>
      <c r="V250" s="142"/>
      <c r="W250" s="142"/>
    </row>
    <row r="251" spans="1:23" ht="20.100000000000001" customHeight="1" x14ac:dyDescent="0.25">
      <c r="A251" s="1044"/>
      <c r="B251" s="1045"/>
      <c r="C251" s="1047"/>
      <c r="D251" s="1047"/>
      <c r="E251" s="1047"/>
      <c r="F251" s="1046"/>
      <c r="G251" s="2767" t="s">
        <v>17005</v>
      </c>
      <c r="H251" s="2767"/>
      <c r="I251" s="2767"/>
      <c r="J251" s="2767"/>
      <c r="K251" s="2767"/>
      <c r="L251" s="2768"/>
      <c r="M251" s="146" t="s">
        <v>3144</v>
      </c>
      <c r="N251" s="180" t="s">
        <v>3145</v>
      </c>
      <c r="O251" s="151">
        <v>0.1</v>
      </c>
      <c r="P251" s="151"/>
      <c r="Q251" s="151"/>
      <c r="R251" s="147"/>
      <c r="S251" s="365"/>
      <c r="T251" s="176"/>
      <c r="U251" s="149"/>
      <c r="V251" s="149"/>
      <c r="W251" s="149"/>
    </row>
    <row r="252" spans="1:23" ht="20.100000000000001" customHeight="1" x14ac:dyDescent="0.25">
      <c r="A252" s="1317"/>
      <c r="B252" s="1311"/>
      <c r="C252" s="1318"/>
      <c r="D252" s="1318"/>
      <c r="E252" s="1318"/>
      <c r="F252" s="1312"/>
      <c r="G252" s="1315" t="s">
        <v>20241</v>
      </c>
      <c r="H252" s="1315" t="s">
        <v>20242</v>
      </c>
      <c r="I252" s="1316" t="s">
        <v>20243</v>
      </c>
      <c r="J252" s="1313">
        <f>0.3*0.75</f>
        <v>0.22499999999999998</v>
      </c>
      <c r="K252" s="1313"/>
      <c r="L252" s="149"/>
      <c r="M252" s="1314"/>
      <c r="N252" s="1316"/>
      <c r="O252" s="1313"/>
      <c r="P252" s="1313"/>
      <c r="Q252" s="1313"/>
      <c r="R252" s="1325"/>
      <c r="S252" s="1323"/>
      <c r="T252" s="1324"/>
      <c r="U252" s="149"/>
      <c r="V252" s="149"/>
      <c r="W252" s="149"/>
    </row>
    <row r="253" spans="1:23" ht="92.25" customHeight="1" x14ac:dyDescent="0.25">
      <c r="A253" s="1073"/>
      <c r="B253" s="1071"/>
      <c r="C253" s="1075"/>
      <c r="D253" s="1075"/>
      <c r="E253" s="1075"/>
      <c r="F253" s="1072"/>
      <c r="G253" s="179"/>
      <c r="H253" s="179"/>
      <c r="I253" s="180"/>
      <c r="J253" s="151"/>
      <c r="K253" s="151"/>
      <c r="L253" s="149"/>
      <c r="M253" s="143" t="s">
        <v>3190</v>
      </c>
      <c r="N253" s="1310" t="s">
        <v>3191</v>
      </c>
      <c r="O253" s="143">
        <v>4.4999999999999998E-2</v>
      </c>
      <c r="P253" s="143"/>
      <c r="Q253" s="143"/>
      <c r="R253" s="142"/>
      <c r="S253" s="142"/>
      <c r="T253" s="142"/>
      <c r="U253" s="142"/>
      <c r="V253" s="142"/>
      <c r="W253" s="142"/>
    </row>
    <row r="254" spans="1:23" ht="20.100000000000001" customHeight="1" thickBot="1" x14ac:dyDescent="0.3">
      <c r="A254" s="406"/>
      <c r="B254" s="395"/>
      <c r="C254" s="396"/>
      <c r="D254" s="396"/>
      <c r="E254" s="396"/>
      <c r="F254" s="397"/>
      <c r="G254" s="2636" t="s">
        <v>1833</v>
      </c>
      <c r="H254" s="2636"/>
      <c r="I254" s="2637"/>
      <c r="J254" s="136">
        <f>SUM(J248:J253)</f>
        <v>0.58499999999999996</v>
      </c>
      <c r="K254" s="183">
        <v>0.92</v>
      </c>
      <c r="L254" s="136">
        <f>J254/K254</f>
        <v>0.63586956521739124</v>
      </c>
      <c r="M254" s="2652" t="s">
        <v>1834</v>
      </c>
      <c r="N254" s="2637"/>
      <c r="O254" s="136">
        <f>SUM(O244:O253)</f>
        <v>0.99500000000000011</v>
      </c>
      <c r="P254" s="183">
        <v>0.92</v>
      </c>
      <c r="Q254" s="136">
        <f>O254/P254</f>
        <v>1.0815217391304348</v>
      </c>
      <c r="R254" s="2652" t="s">
        <v>1833</v>
      </c>
      <c r="S254" s="2636"/>
      <c r="T254" s="2637"/>
      <c r="U254" s="136">
        <f>SUM(U244:U249)</f>
        <v>0</v>
      </c>
      <c r="V254" s="183">
        <v>0.92</v>
      </c>
      <c r="W254" s="136">
        <f>U254/V254</f>
        <v>0</v>
      </c>
    </row>
    <row r="255" spans="1:23" ht="20.100000000000001" customHeight="1" x14ac:dyDescent="0.25">
      <c r="A255" s="407" t="str">
        <f>Итоговая!C311</f>
        <v>ПС  35/6 кВ Заволжская</v>
      </c>
      <c r="B255" s="399">
        <f>Итоговая!D311</f>
        <v>7.5</v>
      </c>
      <c r="C255" s="400" t="str">
        <f>Итоговая!E311</f>
        <v>+</v>
      </c>
      <c r="D255" s="400">
        <f>Итоговая!F311</f>
        <v>10</v>
      </c>
      <c r="E255" s="400"/>
      <c r="F255" s="401"/>
      <c r="G255" s="2767" t="s">
        <v>3020</v>
      </c>
      <c r="H255" s="2767"/>
      <c r="I255" s="2767"/>
      <c r="J255" s="2767"/>
      <c r="K255" s="2767"/>
      <c r="L255" s="2768"/>
      <c r="M255" s="158" t="s">
        <v>2602</v>
      </c>
      <c r="N255" s="158" t="s">
        <v>2603</v>
      </c>
      <c r="O255" s="153">
        <v>0.47499999999999998</v>
      </c>
      <c r="P255" s="151"/>
      <c r="Q255" s="143"/>
      <c r="R255" s="143"/>
      <c r="S255" s="143"/>
      <c r="T255" s="143"/>
      <c r="U255" s="143"/>
      <c r="V255" s="143"/>
      <c r="W255" s="142"/>
    </row>
    <row r="256" spans="1:23" ht="20.100000000000001" customHeight="1" x14ac:dyDescent="0.25">
      <c r="A256" s="1114"/>
      <c r="B256" s="1115"/>
      <c r="C256" s="1117"/>
      <c r="D256" s="1117"/>
      <c r="E256" s="1117"/>
      <c r="F256" s="1116"/>
      <c r="G256" s="1496" t="s">
        <v>340</v>
      </c>
      <c r="H256" s="1496" t="s">
        <v>3257</v>
      </c>
      <c r="I256" s="143" t="s">
        <v>3303</v>
      </c>
      <c r="J256" s="143">
        <f>0.075*0.9</f>
        <v>6.7500000000000004E-2</v>
      </c>
      <c r="K256" s="143"/>
      <c r="L256" s="142"/>
      <c r="M256" s="143"/>
      <c r="N256" s="1259"/>
      <c r="O256" s="143"/>
      <c r="P256" s="143"/>
      <c r="Q256" s="151"/>
      <c r="R256" s="146"/>
      <c r="S256" s="179"/>
      <c r="T256" s="180"/>
      <c r="U256" s="151"/>
      <c r="V256" s="151"/>
      <c r="W256" s="149"/>
    </row>
    <row r="257" spans="1:23" ht="20.100000000000001" customHeight="1" x14ac:dyDescent="0.25">
      <c r="A257" s="1256"/>
      <c r="B257" s="1263"/>
      <c r="C257" s="1267"/>
      <c r="D257" s="1267"/>
      <c r="E257" s="1267"/>
      <c r="F257" s="1264"/>
      <c r="G257" s="1261"/>
      <c r="H257" s="1261"/>
      <c r="I257" s="1262"/>
      <c r="J257" s="1257"/>
      <c r="K257" s="1257"/>
      <c r="L257" s="149"/>
      <c r="M257" s="1259" t="s">
        <v>340</v>
      </c>
      <c r="N257" s="1259" t="s">
        <v>3347</v>
      </c>
      <c r="O257" s="1259">
        <f>0.725-0.075</f>
        <v>0.65</v>
      </c>
      <c r="P257" s="1257"/>
      <c r="Q257" s="1257"/>
      <c r="R257" s="1260"/>
      <c r="S257" s="1261"/>
      <c r="T257" s="1262"/>
      <c r="U257" s="1257"/>
      <c r="V257" s="1257"/>
      <c r="W257" s="149"/>
    </row>
    <row r="258" spans="1:23" ht="20.100000000000001" customHeight="1" thickBot="1" x14ac:dyDescent="0.3">
      <c r="A258" s="406"/>
      <c r="B258" s="395"/>
      <c r="C258" s="396"/>
      <c r="D258" s="396"/>
      <c r="E258" s="396"/>
      <c r="F258" s="397"/>
      <c r="G258" s="2652" t="s">
        <v>1833</v>
      </c>
      <c r="H258" s="2636"/>
      <c r="I258" s="2637"/>
      <c r="J258" s="136">
        <f>SUM(J256)</f>
        <v>6.7500000000000004E-2</v>
      </c>
      <c r="K258" s="183">
        <v>0.92</v>
      </c>
      <c r="L258" s="136">
        <f>J258/K258</f>
        <v>7.3369565217391311E-2</v>
      </c>
      <c r="M258" s="2652" t="s">
        <v>1834</v>
      </c>
      <c r="N258" s="2637"/>
      <c r="O258" s="136">
        <f>SUM(O255:O257)</f>
        <v>1.125</v>
      </c>
      <c r="P258" s="183">
        <v>0.92</v>
      </c>
      <c r="Q258" s="136">
        <f>O258/P258</f>
        <v>1.2228260869565217</v>
      </c>
      <c r="R258" s="2652" t="s">
        <v>1833</v>
      </c>
      <c r="S258" s="2636"/>
      <c r="T258" s="2637"/>
      <c r="U258" s="136">
        <f>SUM(U255:U255)</f>
        <v>0</v>
      </c>
      <c r="V258" s="183">
        <v>0.92</v>
      </c>
      <c r="W258" s="136">
        <f>U258/V258</f>
        <v>0</v>
      </c>
    </row>
    <row r="259" spans="1:23" ht="20.100000000000001" customHeight="1" x14ac:dyDescent="0.25">
      <c r="A259" s="2776" t="str">
        <f>Итоговая!C312</f>
        <v xml:space="preserve">ПС 35/10 кВ Капошвар </v>
      </c>
      <c r="B259" s="2630">
        <f>Итоговая!D312</f>
        <v>10</v>
      </c>
      <c r="C259" s="2632" t="str">
        <f>Итоговая!E312</f>
        <v>+</v>
      </c>
      <c r="D259" s="2632">
        <f>Итоговая!F312</f>
        <v>10</v>
      </c>
      <c r="E259" s="400"/>
      <c r="F259" s="401"/>
      <c r="G259" s="2808" t="s">
        <v>1961</v>
      </c>
      <c r="H259" s="2808"/>
      <c r="I259" s="2808"/>
      <c r="J259" s="2808"/>
      <c r="K259" s="2808"/>
      <c r="L259" s="2800"/>
      <c r="M259" s="133"/>
      <c r="N259" s="175"/>
      <c r="O259" s="77"/>
      <c r="P259" s="77"/>
      <c r="Q259" s="77"/>
      <c r="R259" s="2811"/>
      <c r="S259" s="2791"/>
      <c r="T259" s="2791"/>
      <c r="U259" s="2791"/>
      <c r="V259" s="2791"/>
      <c r="W259" s="2792"/>
    </row>
    <row r="260" spans="1:23" ht="20.100000000000001" customHeight="1" x14ac:dyDescent="0.25">
      <c r="A260" s="2777"/>
      <c r="B260" s="2631"/>
      <c r="C260" s="2633"/>
      <c r="D260" s="2633"/>
      <c r="E260" s="404"/>
      <c r="F260" s="405"/>
      <c r="G260" s="273" t="s">
        <v>1062</v>
      </c>
      <c r="H260" s="72" t="s">
        <v>1063</v>
      </c>
      <c r="I260" s="72" t="s">
        <v>1064</v>
      </c>
      <c r="J260" s="171">
        <v>0.6</v>
      </c>
      <c r="K260" s="72"/>
      <c r="L260" s="72"/>
      <c r="M260" s="72" t="s">
        <v>1065</v>
      </c>
      <c r="N260" s="72" t="s">
        <v>1066</v>
      </c>
      <c r="O260" s="72">
        <v>0.21099999999999999</v>
      </c>
      <c r="P260" s="72"/>
      <c r="Q260" s="72"/>
      <c r="R260" s="72"/>
      <c r="S260" s="72"/>
      <c r="T260" s="72"/>
      <c r="U260" s="171"/>
      <c r="V260" s="72"/>
      <c r="W260" s="72"/>
    </row>
    <row r="261" spans="1:23" ht="36.75" customHeight="1" x14ac:dyDescent="0.25">
      <c r="A261" s="2777"/>
      <c r="B261" s="2631"/>
      <c r="C261" s="2633"/>
      <c r="D261" s="2633"/>
      <c r="E261" s="404"/>
      <c r="F261" s="405"/>
      <c r="G261" s="267" t="s">
        <v>1067</v>
      </c>
      <c r="H261" s="142" t="s">
        <v>1068</v>
      </c>
      <c r="I261" s="142" t="s">
        <v>1069</v>
      </c>
      <c r="J261" s="50">
        <v>2</v>
      </c>
      <c r="K261" s="142"/>
      <c r="L261" s="142"/>
      <c r="P261" s="142"/>
      <c r="Q261" s="142"/>
      <c r="R261" s="142"/>
      <c r="S261" s="142"/>
      <c r="T261" s="142"/>
      <c r="U261" s="50"/>
      <c r="V261" s="142"/>
      <c r="W261" s="142"/>
    </row>
    <row r="262" spans="1:23" ht="20.100000000000001" customHeight="1" x14ac:dyDescent="0.25">
      <c r="A262" s="2777"/>
      <c r="B262" s="2631"/>
      <c r="C262" s="2633"/>
      <c r="D262" s="2633"/>
      <c r="E262" s="404"/>
      <c r="F262" s="405"/>
      <c r="G262" s="267" t="s">
        <v>1072</v>
      </c>
      <c r="H262" s="142" t="s">
        <v>1073</v>
      </c>
      <c r="I262" s="142" t="s">
        <v>1074</v>
      </c>
      <c r="J262" s="49">
        <v>0.4</v>
      </c>
      <c r="K262" s="142"/>
      <c r="L262" s="142"/>
      <c r="M262" s="142" t="s">
        <v>1075</v>
      </c>
      <c r="N262" s="142"/>
      <c r="O262" s="142">
        <v>1</v>
      </c>
      <c r="P262" s="142"/>
      <c r="Q262" s="142"/>
      <c r="R262" s="142"/>
      <c r="S262" s="142"/>
      <c r="T262" s="142"/>
      <c r="U262" s="49"/>
      <c r="V262" s="142"/>
      <c r="W262" s="142"/>
    </row>
    <row r="263" spans="1:23" ht="20.100000000000001" customHeight="1" x14ac:dyDescent="0.25">
      <c r="A263" s="2777"/>
      <c r="B263" s="2631"/>
      <c r="C263" s="2633"/>
      <c r="D263" s="2633"/>
      <c r="E263" s="404"/>
      <c r="F263" s="405"/>
      <c r="G263" s="267" t="s">
        <v>1076</v>
      </c>
      <c r="H263" s="142" t="s">
        <v>1077</v>
      </c>
      <c r="I263" s="142" t="s">
        <v>1078</v>
      </c>
      <c r="J263" s="142">
        <v>5.5E-2</v>
      </c>
      <c r="K263" s="142"/>
      <c r="L263" s="142"/>
      <c r="M263" s="142" t="s">
        <v>1079</v>
      </c>
      <c r="N263" s="142" t="s">
        <v>1080</v>
      </c>
      <c r="O263" s="142">
        <v>7.4999999999999997E-2</v>
      </c>
      <c r="P263" s="142"/>
      <c r="Q263" s="142"/>
      <c r="R263" s="142"/>
      <c r="S263" s="142"/>
      <c r="T263" s="142"/>
      <c r="U263" s="142"/>
      <c r="V263" s="142"/>
      <c r="W263" s="142"/>
    </row>
    <row r="264" spans="1:23" ht="20.100000000000001" customHeight="1" x14ac:dyDescent="0.25">
      <c r="A264" s="2777"/>
      <c r="B264" s="2631"/>
      <c r="C264" s="2633"/>
      <c r="D264" s="2633"/>
      <c r="E264" s="404"/>
      <c r="F264" s="405"/>
      <c r="G264" s="2767" t="s">
        <v>1959</v>
      </c>
      <c r="H264" s="2767"/>
      <c r="I264" s="2767"/>
      <c r="J264" s="2767"/>
      <c r="K264" s="2767"/>
      <c r="L264" s="2768"/>
      <c r="M264" s="142"/>
      <c r="N264" s="142"/>
      <c r="O264" s="142"/>
      <c r="P264" s="142"/>
      <c r="Q264" s="142"/>
      <c r="R264" s="2771"/>
      <c r="S264" s="2772"/>
      <c r="T264" s="2772"/>
      <c r="U264" s="2772"/>
      <c r="V264" s="2772"/>
      <c r="W264" s="2468"/>
    </row>
    <row r="265" spans="1:23" ht="20.100000000000001" customHeight="1" x14ac:dyDescent="0.25">
      <c r="A265" s="2777"/>
      <c r="B265" s="2631"/>
      <c r="C265" s="2633"/>
      <c r="D265" s="2633"/>
      <c r="E265" s="404"/>
      <c r="F265" s="405"/>
      <c r="G265" s="184" t="s">
        <v>1083</v>
      </c>
      <c r="H265" s="143" t="s">
        <v>1084</v>
      </c>
      <c r="I265" s="142" t="s">
        <v>1085</v>
      </c>
      <c r="J265" s="2">
        <f>0.06-0.0045</f>
        <v>5.5500000000000001E-2</v>
      </c>
      <c r="K265" s="142"/>
      <c r="L265" s="142"/>
      <c r="M265" s="142" t="s">
        <v>1081</v>
      </c>
      <c r="N265" s="142" t="s">
        <v>1082</v>
      </c>
      <c r="O265" s="142">
        <v>0.19</v>
      </c>
      <c r="P265" s="142"/>
      <c r="Q265" s="142"/>
      <c r="R265" s="142"/>
      <c r="S265" s="142"/>
      <c r="T265" s="142"/>
      <c r="U265" s="142"/>
      <c r="V265" s="142"/>
      <c r="W265" s="142"/>
    </row>
    <row r="266" spans="1:23" s="116" customFormat="1" ht="20.100000000000001" customHeight="1" x14ac:dyDescent="0.25">
      <c r="A266" s="2777"/>
      <c r="B266" s="2631"/>
      <c r="C266" s="2633"/>
      <c r="D266" s="2633"/>
      <c r="E266" s="404"/>
      <c r="F266" s="405"/>
      <c r="G266" s="267" t="s">
        <v>1097</v>
      </c>
      <c r="H266" s="142" t="s">
        <v>1098</v>
      </c>
      <c r="I266" s="142" t="s">
        <v>1473</v>
      </c>
      <c r="J266" s="142">
        <v>0.17549999999999999</v>
      </c>
      <c r="K266" s="142"/>
      <c r="L266" s="142"/>
      <c r="M266" s="142" t="s">
        <v>1086</v>
      </c>
      <c r="N266" s="142" t="s">
        <v>1087</v>
      </c>
      <c r="O266" s="142">
        <v>0.33339999999999997</v>
      </c>
      <c r="P266" s="142"/>
      <c r="Q266" s="142"/>
      <c r="R266" s="142"/>
      <c r="S266" s="142"/>
      <c r="T266" s="142"/>
      <c r="U266" s="142"/>
      <c r="V266" s="142"/>
      <c r="W266" s="142"/>
    </row>
    <row r="267" spans="1:23" s="116" customFormat="1" ht="20.100000000000001" customHeight="1" x14ac:dyDescent="0.25">
      <c r="A267" s="2777"/>
      <c r="B267" s="2631"/>
      <c r="C267" s="2633"/>
      <c r="D267" s="2633"/>
      <c r="E267" s="404"/>
      <c r="F267" s="405"/>
      <c r="G267" s="184" t="s">
        <v>1090</v>
      </c>
      <c r="H267" s="143" t="s">
        <v>1091</v>
      </c>
      <c r="I267" s="142" t="s">
        <v>1976</v>
      </c>
      <c r="J267" s="143">
        <v>0.25</v>
      </c>
      <c r="K267" s="142"/>
      <c r="L267" s="142"/>
      <c r="M267" s="142" t="s">
        <v>1088</v>
      </c>
      <c r="N267" s="142" t="s">
        <v>1089</v>
      </c>
      <c r="O267" s="142">
        <v>0.19500000000000001</v>
      </c>
      <c r="P267" s="142"/>
      <c r="Q267" s="142"/>
      <c r="R267" s="142"/>
      <c r="S267" s="142"/>
      <c r="T267" s="142"/>
      <c r="U267" s="142"/>
      <c r="V267" s="142"/>
      <c r="W267" s="142"/>
    </row>
    <row r="268" spans="1:23" ht="20.100000000000001" customHeight="1" x14ac:dyDescent="0.25">
      <c r="A268" s="2777"/>
      <c r="B268" s="2631"/>
      <c r="C268" s="2633"/>
      <c r="D268" s="2633"/>
      <c r="E268" s="404"/>
      <c r="F268" s="405"/>
      <c r="G268" s="2767" t="s">
        <v>2032</v>
      </c>
      <c r="H268" s="2767"/>
      <c r="I268" s="2767"/>
      <c r="J268" s="2767"/>
      <c r="K268" s="2767"/>
      <c r="L268" s="2768"/>
      <c r="M268" s="143"/>
      <c r="N268" s="143"/>
      <c r="O268" s="143"/>
      <c r="P268" s="142"/>
      <c r="Q268" s="142"/>
      <c r="R268" s="2771"/>
      <c r="S268" s="2772"/>
      <c r="T268" s="2772"/>
      <c r="U268" s="2772"/>
      <c r="V268" s="2772"/>
      <c r="W268" s="2468"/>
    </row>
    <row r="269" spans="1:23" ht="40.5" customHeight="1" x14ac:dyDescent="0.25">
      <c r="A269" s="2777"/>
      <c r="B269" s="2631"/>
      <c r="C269" s="2633"/>
      <c r="D269" s="2633"/>
      <c r="E269" s="404"/>
      <c r="F269" s="405"/>
      <c r="G269" s="267" t="s">
        <v>1070</v>
      </c>
      <c r="H269" s="142" t="s">
        <v>1071</v>
      </c>
      <c r="I269" s="215" t="s">
        <v>2323</v>
      </c>
      <c r="J269" s="142">
        <v>0.17549999999999999</v>
      </c>
      <c r="K269" s="142"/>
      <c r="L269" s="142"/>
      <c r="M269" s="143" t="s">
        <v>1059</v>
      </c>
      <c r="N269" s="143" t="s">
        <v>1092</v>
      </c>
      <c r="O269" s="142">
        <v>0.09</v>
      </c>
      <c r="P269" s="142"/>
      <c r="Q269" s="142"/>
      <c r="R269" s="142"/>
      <c r="S269" s="142"/>
      <c r="T269" s="215"/>
      <c r="U269" s="142"/>
      <c r="V269" s="142"/>
      <c r="W269" s="142"/>
    </row>
    <row r="270" spans="1:23" ht="20.100000000000001" customHeight="1" x14ac:dyDescent="0.25">
      <c r="A270" s="2777"/>
      <c r="B270" s="2631"/>
      <c r="C270" s="2633"/>
      <c r="D270" s="2633"/>
      <c r="E270" s="404"/>
      <c r="F270" s="405"/>
      <c r="G270" s="2767" t="s">
        <v>3447</v>
      </c>
      <c r="H270" s="2767"/>
      <c r="I270" s="2767"/>
      <c r="J270" s="2767"/>
      <c r="K270" s="2767"/>
      <c r="L270" s="2768"/>
      <c r="M270" s="143" t="s">
        <v>1093</v>
      </c>
      <c r="N270" s="143" t="s">
        <v>1094</v>
      </c>
      <c r="O270" s="142">
        <v>2.1000000000000001E-2</v>
      </c>
      <c r="P270" s="142"/>
      <c r="Q270" s="142"/>
      <c r="S270" s="67"/>
      <c r="T270" s="67"/>
      <c r="U270" s="67"/>
      <c r="V270" s="142"/>
      <c r="W270" s="142"/>
    </row>
    <row r="271" spans="1:23" ht="20.100000000000001" customHeight="1" x14ac:dyDescent="0.25">
      <c r="A271" s="2777"/>
      <c r="B271" s="2631"/>
      <c r="C271" s="2633"/>
      <c r="D271" s="2633"/>
      <c r="E271" s="404"/>
      <c r="F271" s="405"/>
      <c r="G271" s="81" t="s">
        <v>16794</v>
      </c>
      <c r="H271" s="81" t="s">
        <v>16795</v>
      </c>
      <c r="I271" s="142" t="s">
        <v>17039</v>
      </c>
      <c r="J271" s="1936">
        <f>(0.184-0.044)*0.9</f>
        <v>0.12600000000000003</v>
      </c>
      <c r="K271" s="142"/>
      <c r="L271" s="142"/>
      <c r="M271" s="143" t="s">
        <v>1095</v>
      </c>
      <c r="N271" s="143" t="s">
        <v>1096</v>
      </c>
      <c r="O271" s="142">
        <v>0.02</v>
      </c>
      <c r="P271" s="142"/>
      <c r="Q271" s="142"/>
      <c r="R271" s="142"/>
      <c r="S271" s="142"/>
      <c r="T271" s="142"/>
      <c r="U271" s="142"/>
      <c r="V271" s="142"/>
      <c r="W271" s="142"/>
    </row>
    <row r="272" spans="1:23" ht="20.100000000000001" customHeight="1" x14ac:dyDescent="0.25">
      <c r="A272" s="2777"/>
      <c r="B272" s="2631"/>
      <c r="C272" s="2633"/>
      <c r="D272" s="2633"/>
      <c r="E272" s="404"/>
      <c r="F272" s="405"/>
      <c r="G272" s="2767" t="s">
        <v>17005</v>
      </c>
      <c r="H272" s="2767"/>
      <c r="I272" s="2767"/>
      <c r="J272" s="2767"/>
      <c r="K272" s="2767"/>
      <c r="L272" s="2768"/>
      <c r="M272" s="81" t="s">
        <v>1471</v>
      </c>
      <c r="N272" s="81" t="s">
        <v>1472</v>
      </c>
      <c r="O272" s="142">
        <v>1.6E-2</v>
      </c>
      <c r="P272" s="142"/>
      <c r="Q272" s="142"/>
      <c r="R272" s="142"/>
      <c r="S272" s="142"/>
      <c r="T272" s="142"/>
      <c r="U272" s="142"/>
      <c r="V272" s="142"/>
      <c r="W272" s="142"/>
    </row>
    <row r="273" spans="1:23" ht="20.100000000000001" customHeight="1" x14ac:dyDescent="0.25">
      <c r="A273" s="1720"/>
      <c r="B273" s="1706"/>
      <c r="C273" s="1707"/>
      <c r="D273" s="1707"/>
      <c r="E273" s="1707"/>
      <c r="F273" s="1711"/>
      <c r="G273" s="1723" t="s">
        <v>3507</v>
      </c>
      <c r="H273" s="1723" t="s">
        <v>19810</v>
      </c>
      <c r="I273" s="1724" t="s">
        <v>19811</v>
      </c>
      <c r="J273" s="149">
        <f>0.075*0.9</f>
        <v>6.7500000000000004E-2</v>
      </c>
      <c r="K273" s="149"/>
      <c r="L273" s="149"/>
      <c r="M273" s="81"/>
      <c r="N273" s="81"/>
      <c r="O273" s="1721"/>
      <c r="P273" s="149"/>
      <c r="Q273" s="149"/>
      <c r="R273" s="1722"/>
      <c r="S273" s="1723"/>
      <c r="T273" s="1724"/>
      <c r="U273" s="149"/>
      <c r="V273" s="149"/>
      <c r="W273" s="149"/>
    </row>
    <row r="274" spans="1:23" ht="20.100000000000001" customHeight="1" thickBot="1" x14ac:dyDescent="0.3">
      <c r="A274" s="2112"/>
      <c r="B274" s="2109"/>
      <c r="C274" s="2110"/>
      <c r="D274" s="2110"/>
      <c r="E274" s="2110"/>
      <c r="F274" s="2111"/>
      <c r="G274" s="2716" t="s">
        <v>1833</v>
      </c>
      <c r="H274" s="2716"/>
      <c r="I274" s="2717"/>
      <c r="J274" s="2131">
        <f>SUM(J271:J273)</f>
        <v>0.19350000000000003</v>
      </c>
      <c r="K274" s="2113">
        <v>0.92</v>
      </c>
      <c r="L274" s="181">
        <f>J274/K274</f>
        <v>0.21032608695652177</v>
      </c>
      <c r="M274" s="2715" t="s">
        <v>1834</v>
      </c>
      <c r="N274" s="2717"/>
      <c r="O274" s="181">
        <f>SUM(O260:O273)</f>
        <v>2.1513999999999998</v>
      </c>
      <c r="P274" s="2113">
        <v>0.92</v>
      </c>
      <c r="Q274" s="181">
        <f>O274/P274</f>
        <v>2.3384782608695649</v>
      </c>
      <c r="R274" s="2715" t="s">
        <v>1833</v>
      </c>
      <c r="S274" s="2716"/>
      <c r="T274" s="2717"/>
      <c r="U274" s="2131">
        <f>SUM(U265:U272)</f>
        <v>0</v>
      </c>
      <c r="V274" s="2113">
        <v>0.92</v>
      </c>
      <c r="W274" s="181">
        <f>U274/V274</f>
        <v>0</v>
      </c>
    </row>
    <row r="275" spans="1:23" ht="20.100000000000001" customHeight="1" x14ac:dyDescent="0.25">
      <c r="A275" s="2638" t="str">
        <f>Итоговая!C313</f>
        <v>ПС 110/10 кВ Лебедево</v>
      </c>
      <c r="B275" s="2632">
        <f>Итоговая!D313</f>
        <v>25</v>
      </c>
      <c r="C275" s="2632" t="str">
        <f>Итоговая!E313</f>
        <v>+</v>
      </c>
      <c r="D275" s="2632">
        <f>Итоговая!F313</f>
        <v>25</v>
      </c>
      <c r="E275" s="2833">
        <f>Итоговая!G313</f>
        <v>0</v>
      </c>
      <c r="F275" s="2833">
        <f>Итоговая!H313</f>
        <v>0</v>
      </c>
      <c r="G275" s="2826" t="s">
        <v>3447</v>
      </c>
      <c r="H275" s="2808"/>
      <c r="I275" s="2808"/>
      <c r="J275" s="2808"/>
      <c r="K275" s="2808"/>
      <c r="L275" s="2800"/>
      <c r="M275" s="2114"/>
      <c r="N275" s="2114"/>
      <c r="O275" s="2114"/>
      <c r="P275" s="2114"/>
      <c r="Q275" s="2114"/>
      <c r="R275" s="2114"/>
      <c r="S275" s="2114"/>
      <c r="T275" s="2114"/>
      <c r="U275" s="2132"/>
      <c r="V275" s="2114"/>
      <c r="W275" s="281"/>
    </row>
    <row r="276" spans="1:23" ht="20.100000000000001" customHeight="1" x14ac:dyDescent="0.25">
      <c r="A276" s="2639"/>
      <c r="B276" s="2633"/>
      <c r="C276" s="2633"/>
      <c r="D276" s="2633"/>
      <c r="E276" s="2834"/>
      <c r="F276" s="2834"/>
      <c r="G276" s="2108" t="s">
        <v>2478</v>
      </c>
      <c r="H276" s="2108" t="s">
        <v>19949</v>
      </c>
      <c r="I276" s="2115" t="s">
        <v>19950</v>
      </c>
      <c r="J276" s="2">
        <f>5*0.85</f>
        <v>4.25</v>
      </c>
      <c r="K276" s="2115"/>
      <c r="L276" s="2115"/>
      <c r="M276" s="2115"/>
      <c r="N276" s="2115"/>
      <c r="O276" s="2115"/>
      <c r="P276" s="2115"/>
      <c r="Q276" s="2115"/>
      <c r="R276" s="2115"/>
      <c r="S276" s="2115"/>
      <c r="T276" s="2115"/>
      <c r="U276" s="49"/>
      <c r="V276" s="2115"/>
      <c r="W276" s="282"/>
    </row>
    <row r="277" spans="1:23" ht="20.100000000000001" customHeight="1" x14ac:dyDescent="0.25">
      <c r="A277" s="2639"/>
      <c r="B277" s="2633"/>
      <c r="C277" s="2633"/>
      <c r="D277" s="2633"/>
      <c r="E277" s="2834"/>
      <c r="F277" s="2834"/>
      <c r="G277" s="2108" t="s">
        <v>16704</v>
      </c>
      <c r="H277" s="2108" t="s">
        <v>19951</v>
      </c>
      <c r="I277" s="2115" t="s">
        <v>16849</v>
      </c>
      <c r="J277" s="2">
        <f>4*0.85</f>
        <v>3.4</v>
      </c>
      <c r="K277" s="2115"/>
      <c r="L277" s="2115"/>
      <c r="M277" s="2115"/>
      <c r="N277" s="2115"/>
      <c r="O277" s="2115"/>
      <c r="P277" s="2115"/>
      <c r="Q277" s="2115"/>
      <c r="R277" s="2115"/>
      <c r="S277" s="2115"/>
      <c r="T277" s="2115"/>
      <c r="U277" s="49"/>
      <c r="V277" s="2115"/>
      <c r="W277" s="282"/>
    </row>
    <row r="278" spans="1:23" ht="20.100000000000001" customHeight="1" x14ac:dyDescent="0.25">
      <c r="A278" s="2639"/>
      <c r="B278" s="2633"/>
      <c r="C278" s="2633"/>
      <c r="D278" s="2633"/>
      <c r="E278" s="2834"/>
      <c r="F278" s="2834"/>
      <c r="G278" s="2767" t="s">
        <v>17005</v>
      </c>
      <c r="H278" s="2767"/>
      <c r="I278" s="2767"/>
      <c r="J278" s="2767"/>
      <c r="K278" s="2767"/>
      <c r="L278" s="2768"/>
      <c r="M278" s="2115"/>
      <c r="N278" s="2115"/>
      <c r="O278" s="2115"/>
      <c r="P278" s="2115"/>
      <c r="Q278" s="2115"/>
      <c r="R278" s="2115"/>
      <c r="S278" s="2115"/>
      <c r="T278" s="2115"/>
      <c r="U278" s="49"/>
      <c r="V278" s="2115"/>
      <c r="W278" s="282"/>
    </row>
    <row r="279" spans="1:23" ht="20.100000000000001" customHeight="1" x14ac:dyDescent="0.25">
      <c r="A279" s="2639"/>
      <c r="B279" s="2633"/>
      <c r="C279" s="2633"/>
      <c r="D279" s="2633"/>
      <c r="E279" s="2834"/>
      <c r="F279" s="2834"/>
      <c r="G279" s="2108" t="s">
        <v>19954</v>
      </c>
      <c r="H279" s="2108" t="s">
        <v>19955</v>
      </c>
      <c r="I279" s="2115" t="s">
        <v>19956</v>
      </c>
      <c r="J279" s="2">
        <f>1*0.75</f>
        <v>0.75</v>
      </c>
      <c r="K279" s="2115"/>
      <c r="L279" s="2115"/>
      <c r="M279" s="2115"/>
      <c r="N279" s="2115"/>
      <c r="O279" s="2115"/>
      <c r="P279" s="2115"/>
      <c r="Q279" s="2115"/>
      <c r="R279" s="2115"/>
      <c r="S279" s="2115"/>
      <c r="T279" s="2115"/>
      <c r="U279" s="49"/>
      <c r="V279" s="2115"/>
      <c r="W279" s="282"/>
    </row>
    <row r="280" spans="1:23" ht="20.100000000000001" customHeight="1" x14ac:dyDescent="0.25">
      <c r="A280" s="2639"/>
      <c r="B280" s="2633"/>
      <c r="C280" s="2633"/>
      <c r="D280" s="2633"/>
      <c r="E280" s="2834"/>
      <c r="F280" s="2834"/>
      <c r="G280" s="2108" t="s">
        <v>19952</v>
      </c>
      <c r="H280" s="2108" t="s">
        <v>19951</v>
      </c>
      <c r="I280" s="2115" t="s">
        <v>19953</v>
      </c>
      <c r="J280" s="2">
        <f>1*0.85</f>
        <v>0.85</v>
      </c>
      <c r="K280" s="2115"/>
      <c r="L280" s="2115"/>
      <c r="M280" s="2115"/>
      <c r="N280" s="2115"/>
      <c r="O280" s="2115"/>
      <c r="P280" s="2115"/>
      <c r="Q280" s="2115"/>
      <c r="R280" s="2115"/>
      <c r="S280" s="2115"/>
      <c r="T280" s="2115"/>
      <c r="U280" s="49"/>
      <c r="V280" s="2115"/>
      <c r="W280" s="282"/>
    </row>
    <row r="281" spans="1:23" ht="20.100000000000001" customHeight="1" x14ac:dyDescent="0.25">
      <c r="A281" s="2639"/>
      <c r="B281" s="2633"/>
      <c r="C281" s="2633"/>
      <c r="D281" s="2633"/>
      <c r="E281" s="2834"/>
      <c r="F281" s="2834"/>
      <c r="G281" s="2108"/>
      <c r="H281" s="2108"/>
      <c r="I281" s="2115"/>
      <c r="J281" s="2"/>
      <c r="K281" s="2115"/>
      <c r="L281" s="2115"/>
      <c r="M281" s="2115"/>
      <c r="N281" s="2115"/>
      <c r="O281" s="2115"/>
      <c r="P281" s="2115"/>
      <c r="Q281" s="2115"/>
      <c r="R281" s="2115"/>
      <c r="S281" s="2115"/>
      <c r="T281" s="2115"/>
      <c r="U281" s="49"/>
      <c r="V281" s="2115"/>
      <c r="W281" s="282"/>
    </row>
    <row r="282" spans="1:23" ht="20.100000000000001" customHeight="1" x14ac:dyDescent="0.25">
      <c r="A282" s="2639"/>
      <c r="B282" s="2633"/>
      <c r="C282" s="2633"/>
      <c r="D282" s="2633"/>
      <c r="E282" s="2834"/>
      <c r="F282" s="2834"/>
      <c r="G282" s="2108"/>
      <c r="H282" s="2108"/>
      <c r="I282" s="2115"/>
      <c r="J282" s="2"/>
      <c r="K282" s="2115"/>
      <c r="L282" s="2115"/>
      <c r="M282" s="2115"/>
      <c r="N282" s="2115"/>
      <c r="O282" s="2115"/>
      <c r="P282" s="2115"/>
      <c r="Q282" s="2115"/>
      <c r="R282" s="2115"/>
      <c r="S282" s="2115"/>
      <c r="T282" s="2115"/>
      <c r="U282" s="49"/>
      <c r="V282" s="2115"/>
      <c r="W282" s="282"/>
    </row>
    <row r="283" spans="1:23" ht="20.100000000000001" customHeight="1" x14ac:dyDescent="0.25">
      <c r="A283" s="2639"/>
      <c r="B283" s="2633"/>
      <c r="C283" s="2633"/>
      <c r="D283" s="2633"/>
      <c r="E283" s="2834"/>
      <c r="F283" s="2834"/>
      <c r="G283" s="2108"/>
      <c r="H283" s="2108"/>
      <c r="I283" s="2115"/>
      <c r="J283" s="2"/>
      <c r="K283" s="2115"/>
      <c r="L283" s="2115"/>
      <c r="M283" s="2115"/>
      <c r="N283" s="2115"/>
      <c r="O283" s="2115"/>
      <c r="P283" s="2115"/>
      <c r="Q283" s="2115"/>
      <c r="R283" s="2115"/>
      <c r="S283" s="2115"/>
      <c r="T283" s="2115"/>
      <c r="U283" s="49"/>
      <c r="V283" s="2115"/>
      <c r="W283" s="282"/>
    </row>
    <row r="284" spans="1:23" ht="20.100000000000001" customHeight="1" thickBot="1" x14ac:dyDescent="0.3">
      <c r="A284" s="2828"/>
      <c r="B284" s="2829"/>
      <c r="C284" s="2829"/>
      <c r="D284" s="2829"/>
      <c r="E284" s="2835"/>
      <c r="F284" s="2835"/>
      <c r="G284" s="2652" t="s">
        <v>1833</v>
      </c>
      <c r="H284" s="2636"/>
      <c r="I284" s="2637"/>
      <c r="J284" s="177">
        <f>SUM(J276:J283)</f>
        <v>9.25</v>
      </c>
      <c r="K284" s="2116">
        <v>0.92</v>
      </c>
      <c r="L284" s="136">
        <f>J284/K284</f>
        <v>10.054347826086955</v>
      </c>
      <c r="M284" s="2652" t="s">
        <v>1834</v>
      </c>
      <c r="N284" s="2637"/>
      <c r="O284" s="136">
        <f>SUM(O275:O283)</f>
        <v>0</v>
      </c>
      <c r="P284" s="2116">
        <v>0.92</v>
      </c>
      <c r="Q284" s="136">
        <f>O284/P284</f>
        <v>0</v>
      </c>
      <c r="R284" s="2652" t="s">
        <v>1833</v>
      </c>
      <c r="S284" s="2636"/>
      <c r="T284" s="2637"/>
      <c r="U284" s="177">
        <f>SUM(U276:U283)</f>
        <v>0</v>
      </c>
      <c r="V284" s="2116">
        <v>0.92</v>
      </c>
      <c r="W284" s="275">
        <f>U284/V284</f>
        <v>0</v>
      </c>
    </row>
    <row r="285" spans="1:23" ht="20.100000000000001" customHeight="1" x14ac:dyDescent="0.25">
      <c r="A285" s="2777" t="str">
        <f>Итоговая!C314</f>
        <v>ПС  110/10 кВ Мамулино</v>
      </c>
      <c r="B285" s="2631">
        <f>Итоговая!D314</f>
        <v>6.3</v>
      </c>
      <c r="C285" s="2633" t="str">
        <f>Итоговая!E314</f>
        <v>+</v>
      </c>
      <c r="D285" s="2633">
        <f>Итоговая!F314</f>
        <v>6.3</v>
      </c>
      <c r="E285" s="2110"/>
      <c r="F285" s="2111"/>
      <c r="G285" s="2809" t="s">
        <v>1963</v>
      </c>
      <c r="H285" s="2809"/>
      <c r="I285" s="2809"/>
      <c r="J285" s="2809"/>
      <c r="K285" s="2809"/>
      <c r="L285" s="2774"/>
      <c r="M285" s="42" t="s">
        <v>1102</v>
      </c>
      <c r="N285" s="42" t="s">
        <v>1103</v>
      </c>
      <c r="O285" s="42">
        <v>0.06</v>
      </c>
      <c r="P285" s="72"/>
      <c r="Q285" s="72"/>
      <c r="R285" s="2812"/>
      <c r="S285" s="2813"/>
      <c r="T285" s="2813"/>
      <c r="U285" s="2813"/>
      <c r="V285" s="2813"/>
      <c r="W285" s="2795"/>
    </row>
    <row r="286" spans="1:23" ht="20.100000000000001" customHeight="1" x14ac:dyDescent="0.25">
      <c r="A286" s="2777"/>
      <c r="B286" s="2631"/>
      <c r="C286" s="2633"/>
      <c r="D286" s="2633"/>
      <c r="E286" s="404"/>
      <c r="F286" s="405"/>
      <c r="G286" s="283" t="s">
        <v>1099</v>
      </c>
      <c r="H286" s="45" t="s">
        <v>1100</v>
      </c>
      <c r="I286" s="45" t="s">
        <v>1101</v>
      </c>
      <c r="J286" s="173">
        <v>0.8</v>
      </c>
      <c r="K286" s="42"/>
      <c r="L286" s="72"/>
      <c r="M286" s="143" t="s">
        <v>1107</v>
      </c>
      <c r="N286" s="143" t="s">
        <v>1108</v>
      </c>
      <c r="O286" s="143">
        <v>0.45</v>
      </c>
      <c r="P286" s="42"/>
      <c r="Q286" s="42"/>
      <c r="R286" s="2207" t="s">
        <v>1121</v>
      </c>
      <c r="S286" s="2206" t="s">
        <v>1122</v>
      </c>
      <c r="T286" s="2" t="s">
        <v>20036</v>
      </c>
      <c r="U286" s="2206">
        <v>0.5</v>
      </c>
      <c r="V286" s="72"/>
      <c r="W286" s="72"/>
    </row>
    <row r="287" spans="1:23" ht="20.100000000000001" customHeight="1" x14ac:dyDescent="0.25">
      <c r="A287" s="411"/>
      <c r="B287" s="566"/>
      <c r="C287" s="568"/>
      <c r="D287" s="568"/>
      <c r="E287" s="568"/>
      <c r="F287" s="569"/>
      <c r="G287" s="2767" t="s">
        <v>1961</v>
      </c>
      <c r="H287" s="2767"/>
      <c r="I287" s="2767"/>
      <c r="J287" s="2767"/>
      <c r="K287" s="2767"/>
      <c r="L287" s="2768"/>
      <c r="M287" s="142" t="s">
        <v>1112</v>
      </c>
      <c r="N287" s="142" t="s">
        <v>1113</v>
      </c>
      <c r="O287" s="143">
        <v>0.23</v>
      </c>
      <c r="P287" s="42"/>
      <c r="Q287" s="42"/>
      <c r="R287" s="2771"/>
      <c r="S287" s="2772"/>
      <c r="T287" s="2772"/>
      <c r="U287" s="2772"/>
      <c r="V287" s="2772"/>
      <c r="W287" s="2468"/>
    </row>
    <row r="288" spans="1:23" ht="20.100000000000001" customHeight="1" x14ac:dyDescent="0.25">
      <c r="A288" s="411"/>
      <c r="B288" s="566"/>
      <c r="C288" s="568"/>
      <c r="D288" s="568"/>
      <c r="E288" s="568"/>
      <c r="F288" s="569"/>
      <c r="G288" s="66" t="s">
        <v>1104</v>
      </c>
      <c r="H288" s="2" t="s">
        <v>1105</v>
      </c>
      <c r="I288" s="2" t="s">
        <v>1106</v>
      </c>
      <c r="J288" s="47">
        <v>0.2</v>
      </c>
      <c r="K288" s="143"/>
      <c r="L288" s="142"/>
      <c r="M288" s="143" t="s">
        <v>1117</v>
      </c>
      <c r="N288" s="143" t="s">
        <v>1118</v>
      </c>
      <c r="O288" s="143">
        <v>9.0289999999999999</v>
      </c>
      <c r="P288" s="143"/>
      <c r="Q288" s="143"/>
      <c r="R288" s="142"/>
      <c r="S288" s="142"/>
      <c r="T288" s="142"/>
      <c r="U288" s="369"/>
      <c r="V288" s="142"/>
      <c r="W288" s="142"/>
    </row>
    <row r="289" spans="1:23" ht="20.100000000000001" customHeight="1" x14ac:dyDescent="0.25">
      <c r="A289" s="411"/>
      <c r="B289" s="566"/>
      <c r="C289" s="568"/>
      <c r="D289" s="568"/>
      <c r="E289" s="568"/>
      <c r="F289" s="569"/>
      <c r="G289" s="184" t="s">
        <v>1114</v>
      </c>
      <c r="H289" s="143" t="s">
        <v>1131</v>
      </c>
      <c r="I289" s="143" t="s">
        <v>1116</v>
      </c>
      <c r="J289" s="143">
        <v>2.5</v>
      </c>
      <c r="K289" s="143"/>
      <c r="L289" s="142"/>
      <c r="M289" s="143" t="s">
        <v>1119</v>
      </c>
      <c r="N289" s="143" t="s">
        <v>1120</v>
      </c>
      <c r="O289" s="143">
        <v>0.13</v>
      </c>
      <c r="P289" s="143"/>
      <c r="Q289" s="143"/>
      <c r="R289" s="142"/>
      <c r="S289" s="142"/>
      <c r="T289" s="142"/>
      <c r="U289" s="142"/>
      <c r="V289" s="142"/>
      <c r="W289" s="142"/>
    </row>
    <row r="290" spans="1:23" ht="35.25" customHeight="1" x14ac:dyDescent="0.25">
      <c r="A290" s="411"/>
      <c r="B290" s="566"/>
      <c r="C290" s="568"/>
      <c r="D290" s="568"/>
      <c r="E290" s="568"/>
      <c r="F290" s="569"/>
      <c r="G290" s="184" t="s">
        <v>1109</v>
      </c>
      <c r="H290" s="143" t="s">
        <v>1110</v>
      </c>
      <c r="I290" s="2" t="s">
        <v>1111</v>
      </c>
      <c r="J290" s="143">
        <v>0.2</v>
      </c>
      <c r="K290" s="143"/>
      <c r="L290" s="142"/>
      <c r="M290" s="143" t="s">
        <v>1123</v>
      </c>
      <c r="N290" s="1548" t="s">
        <v>16710</v>
      </c>
      <c r="O290" s="143">
        <v>0.1</v>
      </c>
      <c r="P290" s="143"/>
      <c r="Q290" s="143"/>
      <c r="R290" s="142"/>
      <c r="S290" s="142"/>
      <c r="T290" s="142"/>
      <c r="U290" s="142"/>
      <c r="V290" s="142"/>
      <c r="W290" s="142"/>
    </row>
    <row r="291" spans="1:23" ht="20.100000000000001" customHeight="1" x14ac:dyDescent="0.25">
      <c r="A291" s="411"/>
      <c r="B291" s="566"/>
      <c r="C291" s="568"/>
      <c r="D291" s="568"/>
      <c r="E291" s="568"/>
      <c r="F291" s="569"/>
      <c r="G291" s="184" t="s">
        <v>1114</v>
      </c>
      <c r="H291" s="143" t="s">
        <v>1115</v>
      </c>
      <c r="I291" s="2" t="s">
        <v>1116</v>
      </c>
      <c r="J291" s="143">
        <v>2.5</v>
      </c>
      <c r="K291" s="143"/>
      <c r="L291" s="142"/>
      <c r="M291" s="143" t="s">
        <v>1645</v>
      </c>
      <c r="N291" s="143" t="s">
        <v>1125</v>
      </c>
      <c r="O291" s="143">
        <v>5.5</v>
      </c>
      <c r="P291" s="143"/>
      <c r="Q291" s="143"/>
      <c r="R291" s="142"/>
      <c r="S291" s="142"/>
      <c r="T291" s="142"/>
      <c r="U291" s="142"/>
      <c r="V291" s="142"/>
      <c r="W291" s="142"/>
    </row>
    <row r="292" spans="1:23" ht="34.5" customHeight="1" x14ac:dyDescent="0.25">
      <c r="A292" s="411"/>
      <c r="B292" s="566"/>
      <c r="C292" s="568"/>
      <c r="D292" s="568"/>
      <c r="E292" s="568"/>
      <c r="F292" s="569"/>
      <c r="G292" s="2767" t="s">
        <v>1960</v>
      </c>
      <c r="H292" s="2767"/>
      <c r="I292" s="2767"/>
      <c r="J292" s="2767"/>
      <c r="K292" s="2767"/>
      <c r="L292" s="2768"/>
      <c r="M292" s="143" t="s">
        <v>1129</v>
      </c>
      <c r="N292" s="143" t="s">
        <v>1130</v>
      </c>
      <c r="O292" s="143">
        <v>1.1184000000000001</v>
      </c>
      <c r="P292" s="153"/>
      <c r="Q292" s="143"/>
      <c r="R292" s="2771"/>
      <c r="S292" s="2772"/>
      <c r="T292" s="2772"/>
      <c r="U292" s="2772"/>
      <c r="V292" s="2772"/>
      <c r="W292" s="2468"/>
    </row>
    <row r="293" spans="1:23" ht="20.100000000000001" customHeight="1" x14ac:dyDescent="0.25">
      <c r="A293" s="411"/>
      <c r="B293" s="566"/>
      <c r="C293" s="568"/>
      <c r="D293" s="568"/>
      <c r="E293" s="568"/>
      <c r="F293" s="569"/>
      <c r="G293" s="184"/>
      <c r="H293" s="143"/>
      <c r="I293" s="2"/>
      <c r="J293" s="143"/>
      <c r="K293" s="143"/>
      <c r="L293" s="142"/>
      <c r="M293" s="143" t="s">
        <v>1132</v>
      </c>
      <c r="N293" s="143" t="s">
        <v>1133</v>
      </c>
      <c r="O293" s="143">
        <v>2.97</v>
      </c>
      <c r="P293" s="143"/>
      <c r="Q293" s="143"/>
      <c r="R293" s="142"/>
      <c r="S293" s="142"/>
      <c r="T293" s="142"/>
      <c r="U293" s="142"/>
      <c r="V293" s="142"/>
      <c r="W293" s="142"/>
    </row>
    <row r="294" spans="1:23" ht="20.100000000000001" customHeight="1" x14ac:dyDescent="0.25">
      <c r="A294" s="411"/>
      <c r="B294" s="566"/>
      <c r="C294" s="568"/>
      <c r="D294" s="568"/>
      <c r="E294" s="568"/>
      <c r="F294" s="569"/>
      <c r="G294" s="184" t="s">
        <v>1114</v>
      </c>
      <c r="H294" s="143" t="s">
        <v>1122</v>
      </c>
      <c r="I294" s="143" t="s">
        <v>1124</v>
      </c>
      <c r="J294" s="143">
        <v>0.5</v>
      </c>
      <c r="K294" s="143"/>
      <c r="L294" s="142"/>
      <c r="M294" s="143" t="s">
        <v>1138</v>
      </c>
      <c r="N294" s="143" t="s">
        <v>1139</v>
      </c>
      <c r="O294" s="143">
        <v>7</v>
      </c>
      <c r="P294" s="143"/>
      <c r="Q294" s="143"/>
      <c r="R294" s="142"/>
      <c r="S294" s="142"/>
      <c r="T294" s="142"/>
      <c r="U294" s="142"/>
      <c r="V294" s="142"/>
      <c r="W294" s="142"/>
    </row>
    <row r="295" spans="1:23" ht="20.100000000000001" customHeight="1" x14ac:dyDescent="0.25">
      <c r="A295" s="411"/>
      <c r="B295" s="566"/>
      <c r="C295" s="568"/>
      <c r="D295" s="568"/>
      <c r="E295" s="568"/>
      <c r="F295" s="569"/>
      <c r="G295" s="184"/>
      <c r="H295" s="143"/>
      <c r="I295" s="143"/>
      <c r="J295" s="143"/>
      <c r="K295" s="143"/>
      <c r="L295" s="142"/>
      <c r="M295" s="143" t="s">
        <v>1140</v>
      </c>
      <c r="N295" s="143" t="s">
        <v>1141</v>
      </c>
      <c r="O295" s="143">
        <v>1.7999999999999999E-2</v>
      </c>
      <c r="P295" s="143"/>
      <c r="Q295" s="143"/>
      <c r="R295" s="142"/>
      <c r="S295" s="142"/>
      <c r="T295" s="142"/>
      <c r="U295" s="142"/>
      <c r="V295" s="142"/>
      <c r="W295" s="142"/>
    </row>
    <row r="296" spans="1:23" ht="20.100000000000001" customHeight="1" x14ac:dyDescent="0.25">
      <c r="A296" s="411"/>
      <c r="B296" s="566"/>
      <c r="C296" s="568"/>
      <c r="D296" s="568"/>
      <c r="E296" s="568"/>
      <c r="F296" s="569"/>
      <c r="G296" s="2767" t="s">
        <v>1959</v>
      </c>
      <c r="H296" s="2767"/>
      <c r="I296" s="2767"/>
      <c r="J296" s="2767"/>
      <c r="K296" s="2767"/>
      <c r="L296" s="2768"/>
      <c r="M296" s="143" t="s">
        <v>1142</v>
      </c>
      <c r="N296" s="143" t="s">
        <v>1143</v>
      </c>
      <c r="O296" s="143">
        <v>0.55920000000000003</v>
      </c>
      <c r="P296" s="143"/>
      <c r="Q296" s="143"/>
      <c r="R296" s="2771"/>
      <c r="S296" s="2772"/>
      <c r="T296" s="2772"/>
      <c r="U296" s="2772"/>
      <c r="V296" s="2772"/>
      <c r="W296" s="2468"/>
    </row>
    <row r="297" spans="1:23" ht="20.100000000000001" customHeight="1" x14ac:dyDescent="0.25">
      <c r="A297" s="411"/>
      <c r="B297" s="566"/>
      <c r="C297" s="568"/>
      <c r="D297" s="568"/>
      <c r="E297" s="568"/>
      <c r="F297" s="569"/>
      <c r="G297" s="184" t="s">
        <v>1134</v>
      </c>
      <c r="H297" s="143" t="s">
        <v>1135</v>
      </c>
      <c r="I297" s="143" t="s">
        <v>2295</v>
      </c>
      <c r="J297" s="143">
        <v>0.09</v>
      </c>
      <c r="K297" s="143"/>
      <c r="L297" s="142"/>
      <c r="M297" s="143" t="s">
        <v>1144</v>
      </c>
      <c r="N297" s="143" t="s">
        <v>1145</v>
      </c>
      <c r="O297" s="143">
        <v>0.45</v>
      </c>
      <c r="P297" s="143"/>
      <c r="Q297" s="143"/>
      <c r="R297" s="142"/>
      <c r="S297" s="142"/>
      <c r="T297" s="142"/>
      <c r="U297" s="142"/>
      <c r="V297" s="142"/>
      <c r="W297" s="142"/>
    </row>
    <row r="298" spans="1:23" ht="57.75" customHeight="1" x14ac:dyDescent="0.25">
      <c r="A298" s="411"/>
      <c r="B298" s="566"/>
      <c r="C298" s="568"/>
      <c r="D298" s="568"/>
      <c r="E298" s="568"/>
      <c r="F298" s="569"/>
      <c r="G298" s="184" t="s">
        <v>1152</v>
      </c>
      <c r="H298" s="143" t="s">
        <v>1153</v>
      </c>
      <c r="I298" s="206" t="s">
        <v>2294</v>
      </c>
      <c r="J298" s="143">
        <v>0.02</v>
      </c>
      <c r="K298" s="143"/>
      <c r="L298" s="142"/>
      <c r="M298" s="143" t="s">
        <v>2363</v>
      </c>
      <c r="N298" s="143" t="s">
        <v>2364</v>
      </c>
      <c r="O298" s="143">
        <v>0.5</v>
      </c>
      <c r="P298" s="143"/>
      <c r="Q298" s="143"/>
      <c r="R298" s="142"/>
      <c r="S298" s="142"/>
      <c r="T298" s="370"/>
      <c r="U298" s="142"/>
      <c r="V298" s="142"/>
      <c r="W298" s="142"/>
    </row>
    <row r="299" spans="1:23" ht="24" customHeight="1" x14ac:dyDescent="0.25">
      <c r="A299" s="411"/>
      <c r="B299" s="566"/>
      <c r="C299" s="568"/>
      <c r="D299" s="568"/>
      <c r="E299" s="568"/>
      <c r="F299" s="569"/>
      <c r="G299" s="2767" t="s">
        <v>2032</v>
      </c>
      <c r="H299" s="2767"/>
      <c r="I299" s="2767"/>
      <c r="J299" s="2767"/>
      <c r="K299" s="2767"/>
      <c r="L299" s="2768"/>
      <c r="M299" s="143" t="s">
        <v>1148</v>
      </c>
      <c r="N299" s="143" t="s">
        <v>1149</v>
      </c>
      <c r="O299" s="143">
        <v>0.45</v>
      </c>
      <c r="P299" s="143"/>
      <c r="Q299" s="143"/>
      <c r="R299" s="2771"/>
      <c r="S299" s="2772"/>
      <c r="T299" s="2772"/>
      <c r="U299" s="2772"/>
      <c r="V299" s="2772"/>
      <c r="W299" s="2468"/>
    </row>
    <row r="300" spans="1:23" ht="55.5" customHeight="1" x14ac:dyDescent="0.25">
      <c r="A300" s="411"/>
      <c r="B300" s="566"/>
      <c r="C300" s="568"/>
      <c r="D300" s="568"/>
      <c r="E300" s="568"/>
      <c r="F300" s="569"/>
      <c r="G300" s="184" t="s">
        <v>2207</v>
      </c>
      <c r="H300" s="143" t="s">
        <v>1156</v>
      </c>
      <c r="I300" s="143" t="s">
        <v>2228</v>
      </c>
      <c r="J300" s="143">
        <v>0.1</v>
      </c>
      <c r="K300" s="143"/>
      <c r="L300" s="142"/>
      <c r="M300" s="143" t="s">
        <v>1150</v>
      </c>
      <c r="N300" s="143" t="s">
        <v>1151</v>
      </c>
      <c r="O300" s="143">
        <v>0.1</v>
      </c>
      <c r="P300" s="143"/>
      <c r="Q300" s="143"/>
      <c r="R300" s="142"/>
      <c r="S300" s="142"/>
      <c r="T300" s="142"/>
      <c r="U300" s="142"/>
      <c r="V300" s="142"/>
      <c r="W300" s="142"/>
    </row>
    <row r="301" spans="1:23" ht="84" customHeight="1" x14ac:dyDescent="0.25">
      <c r="A301" s="411"/>
      <c r="B301" s="566"/>
      <c r="C301" s="568"/>
      <c r="D301" s="568"/>
      <c r="E301" s="568"/>
      <c r="F301" s="569"/>
      <c r="G301" s="184" t="s">
        <v>1136</v>
      </c>
      <c r="H301" s="143" t="s">
        <v>1137</v>
      </c>
      <c r="I301" s="143" t="s">
        <v>2227</v>
      </c>
      <c r="J301" s="143">
        <v>0.1</v>
      </c>
      <c r="K301" s="143"/>
      <c r="L301" s="142"/>
      <c r="M301" s="143" t="s">
        <v>1154</v>
      </c>
      <c r="N301" s="143" t="s">
        <v>1155</v>
      </c>
      <c r="O301" s="143">
        <v>0.95</v>
      </c>
      <c r="P301" s="143"/>
      <c r="Q301" s="143"/>
      <c r="R301" s="142"/>
      <c r="S301" s="142"/>
      <c r="T301" s="142"/>
      <c r="U301" s="142"/>
      <c r="V301" s="142"/>
      <c r="W301" s="142"/>
    </row>
    <row r="302" spans="1:23" ht="74.25" customHeight="1" x14ac:dyDescent="0.25">
      <c r="A302" s="411"/>
      <c r="B302" s="566"/>
      <c r="C302" s="568"/>
      <c r="D302" s="568"/>
      <c r="E302" s="568"/>
      <c r="F302" s="569"/>
      <c r="G302" s="184" t="s">
        <v>2143</v>
      </c>
      <c r="H302" s="143" t="s">
        <v>2144</v>
      </c>
      <c r="I302" s="143" t="s">
        <v>2282</v>
      </c>
      <c r="J302" s="143">
        <v>9.8000000000000004E-2</v>
      </c>
      <c r="K302" s="143"/>
      <c r="L302" s="142"/>
      <c r="M302" s="143" t="s">
        <v>489</v>
      </c>
      <c r="N302" s="143" t="s">
        <v>1477</v>
      </c>
      <c r="O302" s="143">
        <v>20</v>
      </c>
      <c r="P302" s="143"/>
      <c r="Q302" s="143"/>
      <c r="R302" s="142"/>
      <c r="S302" s="142"/>
      <c r="T302" s="142"/>
      <c r="U302" s="142"/>
      <c r="V302" s="142"/>
      <c r="W302" s="142"/>
    </row>
    <row r="303" spans="1:23" ht="37.5" customHeight="1" x14ac:dyDescent="0.25">
      <c r="A303" s="411"/>
      <c r="B303" s="566"/>
      <c r="C303" s="568"/>
      <c r="D303" s="568"/>
      <c r="E303" s="568"/>
      <c r="F303" s="569"/>
      <c r="G303" s="184" t="s">
        <v>1146</v>
      </c>
      <c r="H303" s="143" t="s">
        <v>1147</v>
      </c>
      <c r="I303" s="143" t="s">
        <v>2249</v>
      </c>
      <c r="J303" s="143">
        <v>0.03</v>
      </c>
      <c r="K303" s="143"/>
      <c r="L303" s="142"/>
      <c r="M303" s="143" t="s">
        <v>1309</v>
      </c>
      <c r="N303" s="143" t="s">
        <v>1310</v>
      </c>
      <c r="O303" s="143">
        <v>0.1</v>
      </c>
      <c r="P303" s="143"/>
      <c r="Q303" s="143"/>
      <c r="R303" s="2767" t="s">
        <v>3020</v>
      </c>
      <c r="S303" s="2767"/>
      <c r="T303" s="2767"/>
      <c r="U303" s="2767"/>
      <c r="V303" s="2767"/>
      <c r="W303" s="2768"/>
    </row>
    <row r="304" spans="1:23" ht="44.25" customHeight="1" x14ac:dyDescent="0.25">
      <c r="A304" s="411"/>
      <c r="B304" s="566"/>
      <c r="C304" s="568"/>
      <c r="D304" s="568"/>
      <c r="E304" s="568"/>
      <c r="F304" s="569"/>
      <c r="G304" s="184"/>
      <c r="H304" s="143"/>
      <c r="I304" s="143"/>
      <c r="J304" s="143"/>
      <c r="K304" s="143"/>
      <c r="L304" s="142"/>
      <c r="M304" s="143" t="s">
        <v>1121</v>
      </c>
      <c r="N304" s="143" t="s">
        <v>2003</v>
      </c>
      <c r="O304" s="143">
        <v>1.0960000000000001</v>
      </c>
      <c r="P304" s="143"/>
      <c r="Q304" s="143"/>
      <c r="R304" s="184" t="s">
        <v>779</v>
      </c>
      <c r="S304" s="143" t="s">
        <v>780</v>
      </c>
      <c r="T304" s="143" t="s">
        <v>2251</v>
      </c>
      <c r="U304" s="143">
        <v>0.28999999999999998</v>
      </c>
      <c r="V304" s="142"/>
      <c r="W304" s="142"/>
    </row>
    <row r="305" spans="1:23" ht="64.5" customHeight="1" x14ac:dyDescent="0.25">
      <c r="A305" s="411"/>
      <c r="B305" s="566"/>
      <c r="C305" s="568"/>
      <c r="D305" s="568"/>
      <c r="E305" s="568"/>
      <c r="F305" s="569"/>
      <c r="G305" s="184" t="s">
        <v>2175</v>
      </c>
      <c r="H305" s="143" t="s">
        <v>2176</v>
      </c>
      <c r="I305" s="143" t="s">
        <v>2280</v>
      </c>
      <c r="J305" s="143">
        <v>0.1</v>
      </c>
      <c r="K305" s="143"/>
      <c r="L305" s="142"/>
      <c r="M305" s="143" t="s">
        <v>779</v>
      </c>
      <c r="N305" s="143" t="s">
        <v>28</v>
      </c>
      <c r="O305" s="143">
        <v>0.1</v>
      </c>
      <c r="P305" s="143"/>
      <c r="Q305" s="143"/>
      <c r="R305" s="1634" t="s">
        <v>1126</v>
      </c>
      <c r="S305" s="1627" t="s">
        <v>1127</v>
      </c>
      <c r="T305" s="1627" t="s">
        <v>16747</v>
      </c>
      <c r="U305" s="1627">
        <v>3.5000000000000003E-2</v>
      </c>
      <c r="V305" s="142"/>
      <c r="W305" s="142"/>
    </row>
    <row r="306" spans="1:23" ht="118.5" customHeight="1" x14ac:dyDescent="0.25">
      <c r="A306" s="411"/>
      <c r="B306" s="566"/>
      <c r="C306" s="568"/>
      <c r="D306" s="568"/>
      <c r="E306" s="568"/>
      <c r="F306" s="569"/>
      <c r="G306" s="184" t="s">
        <v>2357</v>
      </c>
      <c r="H306" s="143" t="s">
        <v>2358</v>
      </c>
      <c r="I306" s="143" t="s">
        <v>2382</v>
      </c>
      <c r="J306" s="143">
        <v>7.4999999999999997E-2</v>
      </c>
      <c r="K306" s="143"/>
      <c r="L306" s="142"/>
      <c r="M306" s="143" t="s">
        <v>2409</v>
      </c>
      <c r="N306" s="143" t="s">
        <v>2410</v>
      </c>
      <c r="O306" s="143">
        <v>0.65</v>
      </c>
      <c r="P306" s="143"/>
      <c r="Q306" s="143"/>
      <c r="R306" s="142"/>
      <c r="S306" s="142"/>
      <c r="T306" s="142"/>
      <c r="U306" s="142"/>
      <c r="V306" s="142"/>
      <c r="W306" s="142"/>
    </row>
    <row r="307" spans="1:23" ht="90.75" customHeight="1" x14ac:dyDescent="0.25">
      <c r="A307" s="411"/>
      <c r="B307" s="566"/>
      <c r="C307" s="568"/>
      <c r="D307" s="568"/>
      <c r="E307" s="568"/>
      <c r="F307" s="569"/>
      <c r="G307" s="184" t="s">
        <v>2341</v>
      </c>
      <c r="H307" s="143" t="s">
        <v>2356</v>
      </c>
      <c r="I307" s="143" t="s">
        <v>2383</v>
      </c>
      <c r="J307" s="151">
        <v>0.15</v>
      </c>
      <c r="K307" s="151"/>
      <c r="L307" s="149"/>
      <c r="M307" s="143" t="s">
        <v>2421</v>
      </c>
      <c r="N307" s="143" t="s">
        <v>2422</v>
      </c>
      <c r="O307" s="143">
        <v>6.3E-2</v>
      </c>
      <c r="P307" s="143"/>
      <c r="Q307" s="151"/>
      <c r="R307" s="142"/>
      <c r="S307" s="142"/>
      <c r="T307" s="142"/>
      <c r="U307" s="149"/>
      <c r="V307" s="149"/>
      <c r="W307" s="149"/>
    </row>
    <row r="308" spans="1:23" ht="87.75" customHeight="1" x14ac:dyDescent="0.25">
      <c r="A308" s="411"/>
      <c r="B308" s="566"/>
      <c r="C308" s="568"/>
      <c r="D308" s="568"/>
      <c r="E308" s="568"/>
      <c r="F308" s="569"/>
      <c r="G308" s="184" t="s">
        <v>2341</v>
      </c>
      <c r="H308" s="143" t="s">
        <v>2342</v>
      </c>
      <c r="I308" s="143" t="s">
        <v>2677</v>
      </c>
      <c r="J308" s="143">
        <v>0.15</v>
      </c>
      <c r="K308" s="143"/>
      <c r="L308" s="142"/>
      <c r="M308" s="143" t="s">
        <v>2409</v>
      </c>
      <c r="N308" s="1496" t="s">
        <v>2410</v>
      </c>
      <c r="O308" s="143">
        <f>1.15-0.65</f>
        <v>0.49999999999999989</v>
      </c>
      <c r="P308" s="143"/>
      <c r="Q308" s="151"/>
      <c r="R308" s="142"/>
      <c r="S308" s="142"/>
      <c r="T308" s="142"/>
      <c r="U308" s="142"/>
      <c r="V308" s="142"/>
      <c r="W308" s="142"/>
    </row>
    <row r="309" spans="1:23" ht="21.75" customHeight="1" x14ac:dyDescent="0.25">
      <c r="A309" s="411"/>
      <c r="B309" s="566"/>
      <c r="C309" s="568"/>
      <c r="D309" s="568"/>
      <c r="E309" s="568"/>
      <c r="F309" s="569"/>
      <c r="G309" s="2767" t="s">
        <v>2477</v>
      </c>
      <c r="H309" s="2767"/>
      <c r="I309" s="2767"/>
      <c r="J309" s="2767"/>
      <c r="K309" s="2767"/>
      <c r="L309" s="2768"/>
      <c r="M309" s="143" t="s">
        <v>2595</v>
      </c>
      <c r="N309" s="143" t="s">
        <v>2596</v>
      </c>
      <c r="O309" s="143">
        <v>0.15</v>
      </c>
      <c r="P309" s="143"/>
      <c r="Q309" s="151"/>
      <c r="R309" s="142"/>
      <c r="S309" s="142"/>
      <c r="T309" s="142"/>
      <c r="U309" s="142"/>
      <c r="V309" s="142"/>
      <c r="W309" s="142"/>
    </row>
    <row r="310" spans="1:23" ht="63" customHeight="1" x14ac:dyDescent="0.25">
      <c r="A310" s="411"/>
      <c r="B310" s="566"/>
      <c r="C310" s="568"/>
      <c r="D310" s="568"/>
      <c r="E310" s="568"/>
      <c r="F310" s="569"/>
      <c r="G310" s="143" t="s">
        <v>1684</v>
      </c>
      <c r="H310" s="143" t="s">
        <v>2676</v>
      </c>
      <c r="I310" s="143" t="s">
        <v>2678</v>
      </c>
      <c r="J310" s="143">
        <f>0.027-0.012</f>
        <v>1.4999999999999999E-2</v>
      </c>
      <c r="K310" s="143"/>
      <c r="L310" s="142"/>
      <c r="M310" s="143" t="s">
        <v>779</v>
      </c>
      <c r="N310" s="143" t="s">
        <v>2616</v>
      </c>
      <c r="O310" s="143">
        <f>0.209</f>
        <v>0.20899999999999999</v>
      </c>
      <c r="P310" s="143"/>
      <c r="Q310" s="151"/>
      <c r="R310" s="142"/>
      <c r="S310" s="142"/>
      <c r="T310" s="142"/>
      <c r="U310" s="142"/>
      <c r="V310" s="142"/>
      <c r="W310" s="142"/>
    </row>
    <row r="311" spans="1:23" ht="27" customHeight="1" x14ac:dyDescent="0.25">
      <c r="A311" s="411"/>
      <c r="B311" s="566"/>
      <c r="C311" s="568"/>
      <c r="D311" s="568"/>
      <c r="E311" s="568"/>
      <c r="F311" s="569"/>
      <c r="G311" s="1219"/>
      <c r="H311" s="1219"/>
      <c r="I311" s="1219"/>
      <c r="J311" s="1219"/>
      <c r="K311" s="1219"/>
      <c r="L311" s="1219"/>
      <c r="M311" s="143" t="s">
        <v>859</v>
      </c>
      <c r="N311" s="143" t="s">
        <v>2657</v>
      </c>
      <c r="O311" s="143">
        <v>0.08</v>
      </c>
      <c r="P311" s="143"/>
      <c r="Q311" s="143"/>
      <c r="R311" s="142"/>
      <c r="S311" s="142"/>
      <c r="T311" s="142"/>
      <c r="U311" s="142"/>
      <c r="V311" s="142"/>
      <c r="W311" s="142"/>
    </row>
    <row r="312" spans="1:23" ht="29.25" customHeight="1" x14ac:dyDescent="0.25">
      <c r="A312" s="411"/>
      <c r="B312" s="566"/>
      <c r="C312" s="568"/>
      <c r="D312" s="568"/>
      <c r="E312" s="568"/>
      <c r="F312" s="569"/>
      <c r="G312" s="2767" t="s">
        <v>3020</v>
      </c>
      <c r="H312" s="2767"/>
      <c r="I312" s="2767"/>
      <c r="J312" s="2767"/>
      <c r="K312" s="2767"/>
      <c r="L312" s="2768"/>
      <c r="M312" s="143" t="s">
        <v>3002</v>
      </c>
      <c r="N312" s="143" t="s">
        <v>3003</v>
      </c>
      <c r="O312" s="143">
        <v>9.9000000000000005E-2</v>
      </c>
      <c r="P312" s="143"/>
      <c r="Q312" s="143"/>
      <c r="R312" s="142"/>
      <c r="S312" s="142"/>
      <c r="T312" s="142"/>
      <c r="U312" s="142"/>
      <c r="V312" s="142"/>
      <c r="W312" s="142"/>
    </row>
    <row r="313" spans="1:23" ht="97.5" customHeight="1" x14ac:dyDescent="0.25">
      <c r="A313" s="411"/>
      <c r="B313" s="566"/>
      <c r="C313" s="568"/>
      <c r="D313" s="568"/>
      <c r="E313" s="568"/>
      <c r="F313" s="569"/>
      <c r="G313" s="143" t="s">
        <v>2988</v>
      </c>
      <c r="H313" s="143" t="s">
        <v>2989</v>
      </c>
      <c r="I313" s="1438" t="s">
        <v>15272</v>
      </c>
      <c r="J313" s="151">
        <f>0.12*0.9</f>
        <v>0.108</v>
      </c>
      <c r="K313" s="151"/>
      <c r="L313" s="149"/>
      <c r="M313" s="143" t="s">
        <v>3177</v>
      </c>
      <c r="N313" s="143" t="s">
        <v>3178</v>
      </c>
      <c r="O313" s="143">
        <v>0.06</v>
      </c>
      <c r="P313" s="143"/>
      <c r="Q313" s="143"/>
      <c r="R313" s="142"/>
      <c r="S313" s="142"/>
      <c r="T313" s="142"/>
      <c r="U313" s="142"/>
      <c r="V313" s="142"/>
      <c r="W313" s="142"/>
    </row>
    <row r="314" spans="1:23" ht="97.5" customHeight="1" x14ac:dyDescent="0.25">
      <c r="A314" s="411"/>
      <c r="B314" s="566"/>
      <c r="C314" s="568"/>
      <c r="D314" s="568"/>
      <c r="E314" s="568"/>
      <c r="F314" s="569"/>
      <c r="G314" s="143" t="s">
        <v>2916</v>
      </c>
      <c r="H314" s="143" t="s">
        <v>3143</v>
      </c>
      <c r="I314" s="143" t="s">
        <v>3161</v>
      </c>
      <c r="J314" s="143">
        <v>7.0000000000000007E-2</v>
      </c>
      <c r="K314" s="143"/>
      <c r="L314" s="142"/>
      <c r="M314" s="143" t="s">
        <v>3281</v>
      </c>
      <c r="N314" s="143" t="s">
        <v>3282</v>
      </c>
      <c r="O314" s="143">
        <f>0.35-0.15</f>
        <v>0.19999999999999998</v>
      </c>
      <c r="P314" s="143"/>
      <c r="Q314" s="143"/>
      <c r="R314" s="142"/>
      <c r="S314" s="142"/>
      <c r="T314" s="142"/>
      <c r="U314" s="142"/>
      <c r="V314" s="142"/>
      <c r="W314" s="149"/>
    </row>
    <row r="315" spans="1:23" ht="97.5" customHeight="1" x14ac:dyDescent="0.25">
      <c r="A315" s="411"/>
      <c r="B315" s="566"/>
      <c r="C315" s="568"/>
      <c r="D315" s="568"/>
      <c r="E315" s="568"/>
      <c r="F315" s="569"/>
      <c r="G315" s="143" t="s">
        <v>1684</v>
      </c>
      <c r="H315" s="143" t="s">
        <v>3186</v>
      </c>
      <c r="I315" s="143" t="s">
        <v>3229</v>
      </c>
      <c r="J315" s="143">
        <f>(0.1-0.027)*0.9</f>
        <v>6.5700000000000008E-2</v>
      </c>
      <c r="K315" s="143"/>
      <c r="L315" s="142"/>
      <c r="M315" s="143" t="s">
        <v>2889</v>
      </c>
      <c r="N315" s="143" t="s">
        <v>3328</v>
      </c>
      <c r="O315" s="143">
        <v>7.4999999999999997E-2</v>
      </c>
      <c r="P315" s="143"/>
      <c r="Q315" s="143"/>
      <c r="R315" s="142"/>
      <c r="S315" s="142"/>
      <c r="T315" s="142"/>
      <c r="U315" s="142"/>
      <c r="V315" s="142"/>
      <c r="W315" s="149"/>
    </row>
    <row r="316" spans="1:23" ht="97.5" customHeight="1" x14ac:dyDescent="0.25">
      <c r="A316" s="411"/>
      <c r="B316" s="566"/>
      <c r="C316" s="568"/>
      <c r="D316" s="568"/>
      <c r="E316" s="568"/>
      <c r="F316" s="569"/>
      <c r="G316" s="143" t="s">
        <v>2409</v>
      </c>
      <c r="H316" s="1496" t="s">
        <v>3252</v>
      </c>
      <c r="I316" s="143" t="s">
        <v>3253</v>
      </c>
      <c r="J316" s="143">
        <f>0.04575*0.9</f>
        <v>4.1175000000000003E-2</v>
      </c>
      <c r="K316" s="143"/>
      <c r="L316" s="142"/>
      <c r="M316" s="143" t="s">
        <v>3177</v>
      </c>
      <c r="N316" s="143" t="s">
        <v>3384</v>
      </c>
      <c r="O316" s="143">
        <f>0.06-0.02</f>
        <v>3.9999999999999994E-2</v>
      </c>
      <c r="P316" s="143"/>
      <c r="Q316" s="143"/>
      <c r="R316" s="142"/>
      <c r="S316" s="142"/>
      <c r="T316" s="142"/>
      <c r="U316" s="142"/>
      <c r="V316" s="142"/>
      <c r="W316" s="142"/>
    </row>
    <row r="317" spans="1:23" ht="97.5" customHeight="1" x14ac:dyDescent="0.25">
      <c r="A317" s="411"/>
      <c r="B317" s="566"/>
      <c r="C317" s="568"/>
      <c r="D317" s="568"/>
      <c r="E317" s="568"/>
      <c r="F317" s="569"/>
      <c r="G317" s="143" t="s">
        <v>3177</v>
      </c>
      <c r="H317" s="143" t="s">
        <v>3234</v>
      </c>
      <c r="I317" s="180" t="s">
        <v>3264</v>
      </c>
      <c r="J317" s="143">
        <f>0.02*0.75</f>
        <v>1.4999999999999999E-2</v>
      </c>
      <c r="K317" s="151"/>
      <c r="L317" s="149"/>
      <c r="M317" s="143" t="s">
        <v>3002</v>
      </c>
      <c r="N317" s="1230" t="s">
        <v>3408</v>
      </c>
      <c r="O317" s="143">
        <v>0.25</v>
      </c>
      <c r="P317" s="143"/>
      <c r="Q317" s="151"/>
      <c r="R317" s="147"/>
      <c r="S317" s="365"/>
      <c r="T317" s="176"/>
      <c r="U317" s="149"/>
      <c r="V317" s="149"/>
      <c r="W317" s="149"/>
    </row>
    <row r="318" spans="1:23" ht="97.5" customHeight="1" thickBot="1" x14ac:dyDescent="0.3">
      <c r="A318" s="411"/>
      <c r="B318" s="566"/>
      <c r="C318" s="568"/>
      <c r="D318" s="568"/>
      <c r="E318" s="568"/>
      <c r="F318" s="569"/>
      <c r="G318" s="143" t="s">
        <v>3317</v>
      </c>
      <c r="H318" s="143" t="s">
        <v>3318</v>
      </c>
      <c r="I318" s="143" t="s">
        <v>3391</v>
      </c>
      <c r="J318" s="143">
        <f>0.05*0.75</f>
        <v>3.7500000000000006E-2</v>
      </c>
      <c r="K318" s="143"/>
      <c r="L318" s="142"/>
      <c r="M318" s="1227" t="s">
        <v>3002</v>
      </c>
      <c r="N318" s="1230" t="s">
        <v>3420</v>
      </c>
      <c r="O318" s="1227">
        <v>0.25</v>
      </c>
      <c r="P318" s="143"/>
      <c r="Q318" s="143"/>
      <c r="R318" s="142"/>
      <c r="S318" s="142"/>
      <c r="T318" s="142"/>
      <c r="U318" s="142"/>
      <c r="V318" s="142"/>
      <c r="W318" s="142"/>
    </row>
    <row r="319" spans="1:23" ht="27.75" customHeight="1" x14ac:dyDescent="0.25">
      <c r="A319" s="411"/>
      <c r="B319" s="566"/>
      <c r="C319" s="568"/>
      <c r="D319" s="568"/>
      <c r="E319" s="568"/>
      <c r="F319" s="569"/>
      <c r="G319" s="2808" t="s">
        <v>3447</v>
      </c>
      <c r="H319" s="2808"/>
      <c r="I319" s="2808"/>
      <c r="J319" s="2808"/>
      <c r="K319" s="2808"/>
      <c r="L319" s="2800"/>
      <c r="M319" s="1310"/>
      <c r="N319" s="1310"/>
      <c r="O319" s="1259"/>
      <c r="P319" s="1259"/>
      <c r="Q319" s="1259"/>
      <c r="R319" s="1275"/>
      <c r="S319" s="1275"/>
      <c r="T319" s="1275"/>
      <c r="U319" s="1275"/>
      <c r="V319" s="1275"/>
      <c r="W319" s="1275"/>
    </row>
    <row r="320" spans="1:23" ht="97.5" customHeight="1" x14ac:dyDescent="0.25">
      <c r="A320" s="411"/>
      <c r="B320" s="566"/>
      <c r="C320" s="568"/>
      <c r="D320" s="568"/>
      <c r="E320" s="568"/>
      <c r="F320" s="569"/>
      <c r="G320" s="1259" t="s">
        <v>3423</v>
      </c>
      <c r="H320" s="1259" t="s">
        <v>3424</v>
      </c>
      <c r="I320" s="1259" t="s">
        <v>3486</v>
      </c>
      <c r="J320" s="1259">
        <f>0.165*0.9</f>
        <v>0.14850000000000002</v>
      </c>
      <c r="K320" s="1259"/>
      <c r="L320" s="1275"/>
      <c r="M320" s="1333" t="s">
        <v>3551</v>
      </c>
      <c r="N320" s="1333" t="s">
        <v>16985</v>
      </c>
      <c r="O320" s="1259">
        <v>9.8000000000000004E-2</v>
      </c>
      <c r="P320" s="1259"/>
      <c r="Q320" s="1259"/>
      <c r="R320" s="1275"/>
      <c r="S320" s="1275"/>
      <c r="T320" s="1275"/>
      <c r="U320" s="1275"/>
      <c r="V320" s="1275"/>
      <c r="W320" s="1275"/>
    </row>
    <row r="321" spans="1:23" ht="28.5" customHeight="1" x14ac:dyDescent="0.25">
      <c r="A321" s="411"/>
      <c r="B321" s="566"/>
      <c r="C321" s="568"/>
      <c r="D321" s="568"/>
      <c r="E321" s="568"/>
      <c r="F321" s="569"/>
      <c r="G321" s="636" t="s">
        <v>3473</v>
      </c>
      <c r="H321" s="636" t="s">
        <v>3474</v>
      </c>
      <c r="I321" s="806" t="s">
        <v>3493</v>
      </c>
      <c r="J321" s="807">
        <f>0.065*0.9</f>
        <v>5.8500000000000003E-2</v>
      </c>
      <c r="K321" s="151"/>
      <c r="L321" s="149"/>
      <c r="M321" s="1333" t="s">
        <v>3552</v>
      </c>
      <c r="N321" s="1333" t="s">
        <v>3553</v>
      </c>
      <c r="O321" s="1259">
        <v>0.1</v>
      </c>
      <c r="P321" s="1259"/>
      <c r="Q321" s="1259"/>
      <c r="R321" s="1275"/>
      <c r="S321" s="1275"/>
      <c r="T321" s="1275"/>
      <c r="U321" s="1275"/>
      <c r="V321" s="1275"/>
      <c r="W321" s="1275"/>
    </row>
    <row r="322" spans="1:23" ht="28.5" customHeight="1" x14ac:dyDescent="0.25">
      <c r="A322" s="411"/>
      <c r="B322" s="566"/>
      <c r="C322" s="568"/>
      <c r="D322" s="568"/>
      <c r="E322" s="568"/>
      <c r="F322" s="569"/>
      <c r="G322" s="1259" t="s">
        <v>3463</v>
      </c>
      <c r="H322" s="1259" t="s">
        <v>3464</v>
      </c>
      <c r="I322" s="806" t="s">
        <v>3494</v>
      </c>
      <c r="J322" s="807">
        <f>0.26*0.85</f>
        <v>0.221</v>
      </c>
      <c r="K322" s="807"/>
      <c r="L322" s="807"/>
      <c r="M322" s="1496" t="s">
        <v>15322</v>
      </c>
      <c r="N322" s="1496" t="s">
        <v>15323</v>
      </c>
      <c r="O322" s="1259">
        <v>2.7149999999999999</v>
      </c>
      <c r="P322" s="1259"/>
      <c r="Q322" s="1259"/>
      <c r="R322" s="1275"/>
      <c r="S322" s="1275"/>
      <c r="T322" s="1275"/>
      <c r="U322" s="1275"/>
      <c r="V322" s="1275"/>
      <c r="W322" s="1275"/>
    </row>
    <row r="323" spans="1:23" ht="28.5" customHeight="1" x14ac:dyDescent="0.25">
      <c r="A323" s="411"/>
      <c r="B323" s="566"/>
      <c r="C323" s="568"/>
      <c r="D323" s="568"/>
      <c r="E323" s="568"/>
      <c r="F323" s="569"/>
      <c r="G323" s="1333" t="s">
        <v>3580</v>
      </c>
      <c r="H323" s="1333" t="s">
        <v>3581</v>
      </c>
      <c r="I323" s="806" t="s">
        <v>3582</v>
      </c>
      <c r="J323" s="807">
        <f>(0.25-0.099)*0.9</f>
        <v>0.13589999999999999</v>
      </c>
      <c r="K323" s="807"/>
      <c r="L323" s="807"/>
      <c r="M323" s="1715"/>
      <c r="N323" s="1717"/>
      <c r="O323" s="1257"/>
      <c r="P323" s="1257"/>
      <c r="Q323" s="1257"/>
      <c r="R323" s="1279"/>
      <c r="S323" s="1277"/>
      <c r="T323" s="1278"/>
      <c r="U323" s="149"/>
      <c r="V323" s="149"/>
      <c r="W323" s="149"/>
    </row>
    <row r="324" spans="1:23" ht="28.5" customHeight="1" x14ac:dyDescent="0.25">
      <c r="A324" s="411"/>
      <c r="B324" s="566"/>
      <c r="C324" s="568"/>
      <c r="D324" s="568"/>
      <c r="E324" s="568"/>
      <c r="F324" s="569"/>
      <c r="G324" s="1333" t="s">
        <v>3513</v>
      </c>
      <c r="H324" s="1333" t="s">
        <v>3514</v>
      </c>
      <c r="I324" s="806" t="s">
        <v>3584</v>
      </c>
      <c r="J324" s="807">
        <f>0.45*0.9</f>
        <v>0.40500000000000003</v>
      </c>
      <c r="K324" s="807"/>
      <c r="L324" s="807"/>
      <c r="M324" s="1715" t="s">
        <v>2143</v>
      </c>
      <c r="N324" s="1717" t="s">
        <v>16813</v>
      </c>
      <c r="O324" s="1331">
        <v>9.8000000000000004E-2</v>
      </c>
      <c r="P324" s="1331"/>
      <c r="Q324" s="1331"/>
      <c r="R324" s="1349"/>
      <c r="S324" s="1347"/>
      <c r="T324" s="1348"/>
      <c r="U324" s="149"/>
      <c r="V324" s="149"/>
      <c r="W324" s="149"/>
    </row>
    <row r="325" spans="1:23" ht="28.5" customHeight="1" x14ac:dyDescent="0.25">
      <c r="A325" s="411"/>
      <c r="B325" s="566"/>
      <c r="C325" s="568"/>
      <c r="D325" s="568"/>
      <c r="E325" s="568"/>
      <c r="F325" s="569"/>
      <c r="G325" s="1403" t="s">
        <v>3562</v>
      </c>
      <c r="H325" s="1404" t="s">
        <v>3563</v>
      </c>
      <c r="I325" s="806" t="s">
        <v>3631</v>
      </c>
      <c r="J325" s="807">
        <f>0.26*0.75</f>
        <v>0.19500000000000001</v>
      </c>
      <c r="K325" s="807"/>
      <c r="L325" s="807"/>
      <c r="M325" s="1497"/>
      <c r="N325" s="1499"/>
      <c r="O325" s="1331"/>
      <c r="P325" s="1331"/>
      <c r="Q325" s="1331"/>
      <c r="R325" s="1349"/>
      <c r="S325" s="1347"/>
      <c r="T325" s="1348"/>
      <c r="U325" s="149"/>
      <c r="V325" s="149"/>
      <c r="W325" s="149"/>
    </row>
    <row r="326" spans="1:23" ht="28.5" customHeight="1" x14ac:dyDescent="0.25">
      <c r="A326" s="411"/>
      <c r="B326" s="566"/>
      <c r="C326" s="568"/>
      <c r="D326" s="568"/>
      <c r="E326" s="568"/>
      <c r="F326" s="569"/>
      <c r="G326" s="1397" t="s">
        <v>1693</v>
      </c>
      <c r="H326" s="1397" t="s">
        <v>3554</v>
      </c>
      <c r="I326" s="806" t="s">
        <v>3644</v>
      </c>
      <c r="J326" s="807">
        <f>0.1*0.75</f>
        <v>7.5000000000000011E-2</v>
      </c>
      <c r="K326" s="807"/>
      <c r="L326" s="807"/>
      <c r="M326" s="1553" t="s">
        <v>16676</v>
      </c>
      <c r="N326" s="1717" t="s">
        <v>16773</v>
      </c>
      <c r="O326" s="1401">
        <v>0.05</v>
      </c>
      <c r="P326" s="1401"/>
      <c r="Q326" s="1401"/>
      <c r="R326" s="1418"/>
      <c r="S326" s="1416"/>
      <c r="T326" s="1417"/>
      <c r="U326" s="149"/>
      <c r="V326" s="149"/>
      <c r="W326" s="149"/>
    </row>
    <row r="327" spans="1:23" ht="28.5" customHeight="1" x14ac:dyDescent="0.25">
      <c r="A327" s="411"/>
      <c r="B327" s="566"/>
      <c r="C327" s="568"/>
      <c r="D327" s="568"/>
      <c r="E327" s="568"/>
      <c r="F327" s="569"/>
      <c r="G327" s="1528" t="s">
        <v>3600</v>
      </c>
      <c r="H327" s="1528" t="s">
        <v>3601</v>
      </c>
      <c r="I327" s="636" t="s">
        <v>16651</v>
      </c>
      <c r="J327" s="636">
        <f>0.64*0.75</f>
        <v>0.48</v>
      </c>
      <c r="K327" s="807"/>
      <c r="L327" s="807"/>
      <c r="M327" s="1553" t="s">
        <v>17051</v>
      </c>
      <c r="N327" s="1683" t="s">
        <v>17052</v>
      </c>
      <c r="O327" s="1401">
        <v>3</v>
      </c>
      <c r="P327" s="1401"/>
      <c r="Q327" s="1401"/>
      <c r="R327" s="1418"/>
      <c r="S327" s="1416"/>
      <c r="T327" s="1417"/>
      <c r="U327" s="149"/>
      <c r="V327" s="149"/>
      <c r="W327" s="149"/>
    </row>
    <row r="328" spans="1:23" ht="28.5" customHeight="1" x14ac:dyDescent="0.25">
      <c r="A328" s="411"/>
      <c r="B328" s="566"/>
      <c r="C328" s="568"/>
      <c r="D328" s="568"/>
      <c r="E328" s="568"/>
      <c r="F328" s="569"/>
      <c r="G328" s="1570" t="s">
        <v>15324</v>
      </c>
      <c r="H328" s="1571" t="s">
        <v>15325</v>
      </c>
      <c r="I328" s="806" t="s">
        <v>16735</v>
      </c>
      <c r="J328" s="807">
        <f>0.5*0.75</f>
        <v>0.375</v>
      </c>
      <c r="K328" s="807"/>
      <c r="L328" s="807"/>
      <c r="M328" s="1865"/>
      <c r="N328" s="1887"/>
      <c r="O328" s="1887"/>
      <c r="P328" s="149"/>
      <c r="Q328" s="1526"/>
      <c r="R328" s="1541"/>
      <c r="S328" s="1542"/>
      <c r="T328" s="1543"/>
      <c r="U328" s="149"/>
      <c r="V328" s="149"/>
      <c r="W328" s="149"/>
    </row>
    <row r="329" spans="1:23" ht="28.5" customHeight="1" x14ac:dyDescent="0.25">
      <c r="A329" s="411"/>
      <c r="B329" s="566"/>
      <c r="C329" s="568"/>
      <c r="D329" s="568"/>
      <c r="E329" s="568"/>
      <c r="F329" s="569"/>
      <c r="G329" s="2784" t="s">
        <v>3401</v>
      </c>
      <c r="H329" s="2785"/>
      <c r="I329" s="2786"/>
      <c r="J329" s="775">
        <f>0.144*0.9</f>
        <v>0.12959999999999999</v>
      </c>
      <c r="K329" s="807"/>
      <c r="L329" s="807"/>
      <c r="M329" s="1865"/>
      <c r="N329" s="1887"/>
      <c r="O329" s="1887"/>
      <c r="P329" s="149"/>
      <c r="Q329" s="1569"/>
      <c r="R329" s="1582"/>
      <c r="S329" s="1580"/>
      <c r="T329" s="1581"/>
      <c r="U329" s="149"/>
      <c r="V329" s="149"/>
      <c r="W329" s="149"/>
    </row>
    <row r="330" spans="1:23" ht="28.5" customHeight="1" x14ac:dyDescent="0.25">
      <c r="A330" s="411"/>
      <c r="B330" s="566"/>
      <c r="C330" s="568"/>
      <c r="D330" s="568"/>
      <c r="E330" s="568"/>
      <c r="F330" s="569"/>
      <c r="G330" s="1752" t="s">
        <v>16788</v>
      </c>
      <c r="H330" s="1753" t="s">
        <v>16789</v>
      </c>
      <c r="I330" s="1757" t="s">
        <v>16880</v>
      </c>
      <c r="J330" s="1758">
        <f>0.15*0.9</f>
        <v>0.13500000000000001</v>
      </c>
      <c r="K330" s="1758"/>
      <c r="L330" s="1758"/>
      <c r="M330" s="1865"/>
      <c r="N330" s="1887"/>
      <c r="O330" s="1887"/>
      <c r="P330" s="149"/>
      <c r="Q330" s="1757"/>
      <c r="R330" s="1761"/>
      <c r="S330" s="1759"/>
      <c r="T330" s="1760"/>
      <c r="U330" s="149"/>
      <c r="V330" s="149"/>
      <c r="W330" s="149"/>
    </row>
    <row r="331" spans="1:23" ht="28.5" customHeight="1" x14ac:dyDescent="0.25">
      <c r="A331" s="411"/>
      <c r="B331" s="566"/>
      <c r="C331" s="568"/>
      <c r="D331" s="568"/>
      <c r="E331" s="568"/>
      <c r="F331" s="569"/>
      <c r="G331" s="1752" t="s">
        <v>15320</v>
      </c>
      <c r="H331" s="1753" t="s">
        <v>16881</v>
      </c>
      <c r="I331" s="1753" t="s">
        <v>16882</v>
      </c>
      <c r="J331" s="149">
        <f>0.15*0.75</f>
        <v>0.11249999999999999</v>
      </c>
      <c r="K331" s="149"/>
      <c r="L331" s="149"/>
      <c r="M331" s="1865"/>
      <c r="N331" s="1887"/>
      <c r="O331" s="1887"/>
      <c r="P331" s="149"/>
      <c r="Q331" s="1757"/>
      <c r="R331" s="1761"/>
      <c r="S331" s="1759"/>
      <c r="T331" s="1760"/>
      <c r="U331" s="149"/>
      <c r="V331" s="149"/>
      <c r="W331" s="149"/>
    </row>
    <row r="332" spans="1:23" ht="28.5" customHeight="1" thickBot="1" x14ac:dyDescent="0.3">
      <c r="A332" s="411"/>
      <c r="B332" s="566"/>
      <c r="C332" s="568"/>
      <c r="D332" s="568"/>
      <c r="E332" s="568"/>
      <c r="F332" s="569"/>
      <c r="G332" s="1789" t="s">
        <v>16889</v>
      </c>
      <c r="H332" s="1790" t="s">
        <v>16679</v>
      </c>
      <c r="I332" s="1790" t="s">
        <v>16890</v>
      </c>
      <c r="J332" s="149">
        <f>0.4*0.75</f>
        <v>0.30000000000000004</v>
      </c>
      <c r="K332" s="149"/>
      <c r="L332" s="149"/>
      <c r="M332" s="1865"/>
      <c r="N332" s="1887"/>
      <c r="O332" s="1887"/>
      <c r="P332" s="149"/>
      <c r="Q332" s="1834"/>
      <c r="R332" s="1838"/>
      <c r="S332" s="1836"/>
      <c r="T332" s="1837"/>
      <c r="U332" s="149"/>
      <c r="V332" s="149"/>
      <c r="W332" s="149"/>
    </row>
    <row r="333" spans="1:23" ht="28.5" customHeight="1" x14ac:dyDescent="0.25">
      <c r="A333" s="411"/>
      <c r="B333" s="566"/>
      <c r="C333" s="568"/>
      <c r="D333" s="568"/>
      <c r="E333" s="568"/>
      <c r="F333" s="569"/>
      <c r="G333" s="2808" t="s">
        <v>17005</v>
      </c>
      <c r="H333" s="2808"/>
      <c r="I333" s="2808"/>
      <c r="J333" s="2808"/>
      <c r="K333" s="2808"/>
      <c r="L333" s="2800"/>
      <c r="M333" s="1865"/>
      <c r="N333" s="1887"/>
      <c r="O333" s="1887"/>
      <c r="P333" s="149"/>
      <c r="Q333" s="1834"/>
      <c r="R333" s="1838"/>
      <c r="S333" s="1836"/>
      <c r="T333" s="1837"/>
      <c r="U333" s="149"/>
      <c r="V333" s="149"/>
      <c r="W333" s="149"/>
    </row>
    <row r="334" spans="1:23" ht="28.5" customHeight="1" x14ac:dyDescent="0.25">
      <c r="A334" s="411"/>
      <c r="B334" s="566"/>
      <c r="C334" s="568"/>
      <c r="D334" s="568"/>
      <c r="E334" s="568"/>
      <c r="F334" s="569"/>
      <c r="G334" s="1865" t="s">
        <v>15320</v>
      </c>
      <c r="H334" s="1865" t="s">
        <v>16699</v>
      </c>
      <c r="I334" s="1865" t="s">
        <v>17009</v>
      </c>
      <c r="J334" s="1865">
        <f>0.5*0.9</f>
        <v>0.45</v>
      </c>
      <c r="K334" s="1887"/>
      <c r="L334" s="1887"/>
      <c r="M334" s="1789" t="s">
        <v>15320</v>
      </c>
      <c r="N334" s="1790" t="s">
        <v>16945</v>
      </c>
      <c r="O334" s="1792">
        <v>0.15</v>
      </c>
      <c r="P334" s="1792"/>
      <c r="Q334" s="1792"/>
      <c r="R334" s="1795"/>
      <c r="S334" s="1793"/>
      <c r="T334" s="1794"/>
      <c r="U334" s="149"/>
      <c r="V334" s="149"/>
      <c r="W334" s="149"/>
    </row>
    <row r="335" spans="1:23" ht="28.5" customHeight="1" x14ac:dyDescent="0.25">
      <c r="A335" s="411"/>
      <c r="B335" s="566"/>
      <c r="C335" s="568"/>
      <c r="D335" s="568"/>
      <c r="E335" s="568"/>
      <c r="F335" s="569"/>
      <c r="G335" s="1865" t="s">
        <v>16910</v>
      </c>
      <c r="H335" s="1865" t="s">
        <v>16911</v>
      </c>
      <c r="I335" s="1865" t="s">
        <v>17010</v>
      </c>
      <c r="J335" s="1887">
        <f>0.0594*0.9</f>
        <v>5.3460000000000001E-2</v>
      </c>
      <c r="K335" s="1887"/>
      <c r="L335" s="1887"/>
      <c r="M335" s="1865"/>
      <c r="N335" s="1865"/>
      <c r="O335" s="1865"/>
      <c r="P335" s="1865"/>
      <c r="Q335" s="1885"/>
      <c r="R335" s="1888"/>
      <c r="S335" s="1889"/>
      <c r="T335" s="1890"/>
      <c r="U335" s="149"/>
      <c r="V335" s="149"/>
      <c r="W335" s="149"/>
    </row>
    <row r="336" spans="1:23" ht="28.5" customHeight="1" x14ac:dyDescent="0.25">
      <c r="A336" s="411"/>
      <c r="B336" s="566"/>
      <c r="C336" s="568"/>
      <c r="D336" s="568"/>
      <c r="E336" s="568"/>
      <c r="F336" s="569"/>
      <c r="G336" s="1865" t="s">
        <v>16910</v>
      </c>
      <c r="H336" s="1865" t="s">
        <v>16912</v>
      </c>
      <c r="I336" s="1865" t="s">
        <v>17011</v>
      </c>
      <c r="J336" s="1887">
        <f>0.09*0.9</f>
        <v>8.1000000000000003E-2</v>
      </c>
      <c r="K336" s="1887"/>
      <c r="L336" s="1887"/>
      <c r="M336" s="1865"/>
      <c r="N336" s="1865"/>
      <c r="O336" s="1865"/>
      <c r="P336" s="1865"/>
      <c r="Q336" s="1885"/>
      <c r="R336" s="1888"/>
      <c r="S336" s="1889"/>
      <c r="T336" s="1890"/>
      <c r="U336" s="149"/>
      <c r="V336" s="149"/>
      <c r="W336" s="149"/>
    </row>
    <row r="337" spans="1:23" ht="28.5" customHeight="1" x14ac:dyDescent="0.25">
      <c r="A337" s="411"/>
      <c r="B337" s="566"/>
      <c r="C337" s="568"/>
      <c r="D337" s="568"/>
      <c r="E337" s="568"/>
      <c r="F337" s="569"/>
      <c r="G337" s="1865" t="s">
        <v>16910</v>
      </c>
      <c r="H337" s="1865" t="s">
        <v>16935</v>
      </c>
      <c r="I337" s="1865" t="s">
        <v>17012</v>
      </c>
      <c r="J337" s="1887">
        <f>0.297*0.9</f>
        <v>0.26729999999999998</v>
      </c>
      <c r="K337" s="1887"/>
      <c r="L337" s="1887"/>
      <c r="M337" s="1865"/>
      <c r="N337" s="1865"/>
      <c r="O337" s="1865"/>
      <c r="P337" s="1865"/>
      <c r="Q337" s="1885"/>
      <c r="R337" s="1888"/>
      <c r="S337" s="1889"/>
      <c r="T337" s="1890"/>
      <c r="U337" s="149"/>
      <c r="V337" s="149"/>
      <c r="W337" s="149"/>
    </row>
    <row r="338" spans="1:23" ht="28.5" customHeight="1" x14ac:dyDescent="0.25">
      <c r="A338" s="411"/>
      <c r="B338" s="566"/>
      <c r="C338" s="568"/>
      <c r="D338" s="568"/>
      <c r="E338" s="568"/>
      <c r="F338" s="569"/>
      <c r="G338" s="1865" t="s">
        <v>16910</v>
      </c>
      <c r="H338" s="1865" t="s">
        <v>16949</v>
      </c>
      <c r="I338" s="1865" t="s">
        <v>17013</v>
      </c>
      <c r="J338" s="1887">
        <f>0.2673*0.9</f>
        <v>0.24056999999999998</v>
      </c>
      <c r="K338" s="1887"/>
      <c r="L338" s="1887"/>
      <c r="M338" s="1865"/>
      <c r="N338" s="1865"/>
      <c r="O338" s="1865"/>
      <c r="P338" s="1865"/>
      <c r="Q338" s="1885"/>
      <c r="R338" s="1888"/>
      <c r="S338" s="1889"/>
      <c r="T338" s="1890"/>
      <c r="U338" s="149"/>
      <c r="V338" s="149"/>
      <c r="W338" s="149"/>
    </row>
    <row r="339" spans="1:23" ht="28.5" customHeight="1" x14ac:dyDescent="0.25">
      <c r="A339" s="411"/>
      <c r="B339" s="566"/>
      <c r="C339" s="568"/>
      <c r="D339" s="568"/>
      <c r="E339" s="568"/>
      <c r="F339" s="569"/>
      <c r="G339" s="1865" t="s">
        <v>16910</v>
      </c>
      <c r="H339" s="1865" t="s">
        <v>16950</v>
      </c>
      <c r="I339" s="1865" t="s">
        <v>17014</v>
      </c>
      <c r="J339" s="1887">
        <f>0.2673*0.9</f>
        <v>0.24056999999999998</v>
      </c>
      <c r="K339" s="1887"/>
      <c r="L339" s="1887"/>
      <c r="M339" s="1840" t="s">
        <v>17002</v>
      </c>
      <c r="N339" s="1840" t="s">
        <v>17003</v>
      </c>
      <c r="O339" s="1840">
        <v>3.5000000000000003E-2</v>
      </c>
      <c r="P339" s="1840"/>
      <c r="Q339" s="1840"/>
      <c r="R339" s="1854"/>
      <c r="S339" s="1854"/>
      <c r="T339" s="1854"/>
      <c r="U339" s="1854"/>
      <c r="V339" s="1854"/>
      <c r="W339" s="1854"/>
    </row>
    <row r="340" spans="1:23" ht="28.5" customHeight="1" x14ac:dyDescent="0.25">
      <c r="A340" s="411"/>
      <c r="B340" s="566"/>
      <c r="C340" s="568"/>
      <c r="D340" s="568"/>
      <c r="E340" s="568"/>
      <c r="F340" s="569"/>
      <c r="G340" s="2084" t="s">
        <v>2409</v>
      </c>
      <c r="H340" s="2084" t="s">
        <v>19841</v>
      </c>
      <c r="I340" s="2085" t="s">
        <v>19842</v>
      </c>
      <c r="J340" s="149">
        <f>(0.09575-0.04575)*0.15</f>
        <v>7.4999999999999997E-3</v>
      </c>
      <c r="K340" s="149"/>
      <c r="L340" s="149"/>
      <c r="M340" s="2083"/>
      <c r="N340" s="2085"/>
      <c r="O340" s="2090"/>
      <c r="P340" s="2090"/>
      <c r="Q340" s="2090"/>
      <c r="R340" s="2093"/>
      <c r="S340" s="2094"/>
      <c r="T340" s="2095"/>
      <c r="U340" s="149"/>
      <c r="V340" s="149"/>
      <c r="W340" s="149"/>
    </row>
    <row r="341" spans="1:23" ht="28.5" customHeight="1" x14ac:dyDescent="0.25">
      <c r="A341" s="411"/>
      <c r="B341" s="566"/>
      <c r="C341" s="568"/>
      <c r="D341" s="568"/>
      <c r="E341" s="568"/>
      <c r="F341" s="569"/>
      <c r="G341" s="2084" t="s">
        <v>19903</v>
      </c>
      <c r="H341" s="2084" t="s">
        <v>19904</v>
      </c>
      <c r="I341" s="2085" t="s">
        <v>19905</v>
      </c>
      <c r="J341" s="149">
        <f>0.6*0.9</f>
        <v>0.54</v>
      </c>
      <c r="K341" s="149"/>
      <c r="L341" s="149"/>
      <c r="M341" s="2083"/>
      <c r="N341" s="2085"/>
      <c r="O341" s="2090"/>
      <c r="P341" s="2090"/>
      <c r="Q341" s="2090"/>
      <c r="R341" s="2093"/>
      <c r="S341" s="2094"/>
      <c r="T341" s="2095"/>
      <c r="U341" s="149"/>
      <c r="V341" s="149"/>
      <c r="W341" s="149"/>
    </row>
    <row r="342" spans="1:23" ht="28.5" customHeight="1" x14ac:dyDescent="0.25">
      <c r="A342" s="411"/>
      <c r="B342" s="566"/>
      <c r="C342" s="568"/>
      <c r="D342" s="568"/>
      <c r="E342" s="568"/>
      <c r="F342" s="569"/>
      <c r="G342" s="2149" t="s">
        <v>19963</v>
      </c>
      <c r="H342" s="2149" t="s">
        <v>19964</v>
      </c>
      <c r="I342" s="2150" t="s">
        <v>19965</v>
      </c>
      <c r="J342" s="149">
        <f>0.03*0.9</f>
        <v>2.7E-2</v>
      </c>
      <c r="K342" s="149"/>
      <c r="L342" s="149"/>
      <c r="M342" s="2148"/>
      <c r="N342" s="2150"/>
      <c r="O342" s="2157"/>
      <c r="P342" s="2157"/>
      <c r="Q342" s="2157"/>
      <c r="R342" s="2160"/>
      <c r="S342" s="2161"/>
      <c r="T342" s="2162"/>
      <c r="U342" s="149"/>
      <c r="V342" s="149"/>
      <c r="W342" s="149"/>
    </row>
    <row r="343" spans="1:23" ht="28.5" customHeight="1" x14ac:dyDescent="0.25">
      <c r="A343" s="411"/>
      <c r="B343" s="566"/>
      <c r="C343" s="568"/>
      <c r="D343" s="568"/>
      <c r="E343" s="568"/>
      <c r="F343" s="569"/>
      <c r="G343" s="2784" t="s">
        <v>3401</v>
      </c>
      <c r="H343" s="2785"/>
      <c r="I343" s="2786"/>
      <c r="J343" s="775">
        <f>0.2583*0.9</f>
        <v>0.23246999999999998</v>
      </c>
      <c r="K343" s="149"/>
      <c r="L343" s="149"/>
      <c r="M343" s="2228"/>
      <c r="N343" s="2230"/>
      <c r="O343" s="2235"/>
      <c r="P343" s="2235"/>
      <c r="Q343" s="2235"/>
      <c r="R343" s="2242"/>
      <c r="S343" s="2243"/>
      <c r="T343" s="2244"/>
      <c r="U343" s="149"/>
      <c r="V343" s="149"/>
      <c r="W343" s="149"/>
    </row>
    <row r="344" spans="1:23" ht="28.5" customHeight="1" x14ac:dyDescent="0.25">
      <c r="A344" s="411"/>
      <c r="B344" s="566"/>
      <c r="C344" s="568"/>
      <c r="D344" s="568"/>
      <c r="E344" s="568"/>
      <c r="F344" s="569"/>
      <c r="G344" s="2297" t="s">
        <v>1114</v>
      </c>
      <c r="H344" s="2297" t="s">
        <v>20213</v>
      </c>
      <c r="I344" s="2298" t="s">
        <v>20214</v>
      </c>
      <c r="J344" s="149">
        <f>0.445*0.75</f>
        <v>0.33374999999999999</v>
      </c>
      <c r="K344" s="149"/>
      <c r="L344" s="149"/>
      <c r="M344" s="2292"/>
      <c r="N344" s="2293"/>
      <c r="O344" s="2295"/>
      <c r="P344" s="2295"/>
      <c r="Q344" s="2295"/>
      <c r="R344" s="2299"/>
      <c r="S344" s="2297"/>
      <c r="T344" s="2298"/>
      <c r="U344" s="149"/>
      <c r="V344" s="149"/>
      <c r="W344" s="149"/>
    </row>
    <row r="345" spans="1:23" ht="28.5" customHeight="1" x14ac:dyDescent="0.25">
      <c r="A345" s="411"/>
      <c r="B345" s="566"/>
      <c r="C345" s="568"/>
      <c r="D345" s="568"/>
      <c r="E345" s="568"/>
      <c r="F345" s="569"/>
      <c r="G345" s="2297" t="s">
        <v>20215</v>
      </c>
      <c r="H345" s="2297" t="s">
        <v>20216</v>
      </c>
      <c r="I345" s="2298" t="s">
        <v>20217</v>
      </c>
      <c r="J345" s="149">
        <f>0.35*0.75</f>
        <v>0.26249999999999996</v>
      </c>
      <c r="K345" s="149"/>
      <c r="L345" s="149"/>
      <c r="M345" s="2292"/>
      <c r="N345" s="2293"/>
      <c r="O345" s="2295"/>
      <c r="P345" s="2295"/>
      <c r="Q345" s="2295"/>
      <c r="R345" s="2299"/>
      <c r="S345" s="2297"/>
      <c r="T345" s="2298"/>
      <c r="U345" s="149"/>
      <c r="V345" s="149"/>
      <c r="W345" s="149"/>
    </row>
    <row r="346" spans="1:23" ht="27" customHeight="1" thickBot="1" x14ac:dyDescent="0.3">
      <c r="A346" s="406"/>
      <c r="B346" s="395"/>
      <c r="C346" s="396"/>
      <c r="D346" s="396"/>
      <c r="E346" s="396"/>
      <c r="F346" s="397"/>
      <c r="G346" s="2636" t="s">
        <v>1833</v>
      </c>
      <c r="H346" s="2636"/>
      <c r="I346" s="2637"/>
      <c r="J346" s="177">
        <f>SUM(J313:J345)</f>
        <v>5.8444950000000011</v>
      </c>
      <c r="K346" s="183">
        <v>0.92</v>
      </c>
      <c r="L346" s="136">
        <f>J346/K346</f>
        <v>6.3527119565217403</v>
      </c>
      <c r="M346" s="2652" t="s">
        <v>1834</v>
      </c>
      <c r="N346" s="2637"/>
      <c r="O346" s="136">
        <f>SUM(O285:O339)</f>
        <v>59.782599999999995</v>
      </c>
      <c r="P346" s="183">
        <v>0.92</v>
      </c>
      <c r="Q346" s="136">
        <f>O346/P346</f>
        <v>64.981086956521736</v>
      </c>
      <c r="R346" s="2652" t="s">
        <v>1833</v>
      </c>
      <c r="S346" s="2636"/>
      <c r="T346" s="2637"/>
      <c r="U346" s="177">
        <f>SUM(U286:U308)</f>
        <v>0.82500000000000007</v>
      </c>
      <c r="V346" s="183">
        <v>0.92</v>
      </c>
      <c r="W346" s="136">
        <f>U346/V346</f>
        <v>0.89673913043478259</v>
      </c>
    </row>
    <row r="347" spans="1:23" ht="38.25" customHeight="1" x14ac:dyDescent="0.25">
      <c r="A347" s="2776" t="str">
        <f>Итоговая!C315</f>
        <v xml:space="preserve">ПС 110/10 кВ Глазково </v>
      </c>
      <c r="B347" s="2630">
        <f>Итоговая!D315</f>
        <v>6.3</v>
      </c>
      <c r="C347" s="2632" t="str">
        <f>Итоговая!E315</f>
        <v>+</v>
      </c>
      <c r="D347" s="2632">
        <f>Итоговая!F315</f>
        <v>6.3</v>
      </c>
      <c r="E347" s="400"/>
      <c r="F347" s="401"/>
      <c r="G347" s="2808" t="s">
        <v>1959</v>
      </c>
      <c r="H347" s="2808"/>
      <c r="I347" s="2808"/>
      <c r="J347" s="2808"/>
      <c r="K347" s="2808"/>
      <c r="L347" s="2800"/>
      <c r="M347" s="133"/>
      <c r="N347" s="175"/>
      <c r="O347" s="1247"/>
      <c r="P347" s="77"/>
      <c r="Q347" s="77"/>
      <c r="R347" s="2811"/>
      <c r="S347" s="2791"/>
      <c r="T347" s="2791"/>
      <c r="U347" s="2791"/>
      <c r="V347" s="2791"/>
      <c r="W347" s="2792"/>
    </row>
    <row r="348" spans="1:23" ht="87.75" customHeight="1" x14ac:dyDescent="0.25">
      <c r="A348" s="2777"/>
      <c r="B348" s="2631"/>
      <c r="C348" s="2633"/>
      <c r="D348" s="2633"/>
      <c r="E348" s="404"/>
      <c r="F348" s="405"/>
      <c r="G348" s="184" t="s">
        <v>1157</v>
      </c>
      <c r="H348" s="143" t="s">
        <v>1158</v>
      </c>
      <c r="I348" s="143" t="s">
        <v>1159</v>
      </c>
      <c r="J348" s="143">
        <v>0.38</v>
      </c>
      <c r="K348" s="42"/>
      <c r="L348" s="72"/>
      <c r="M348" s="42"/>
      <c r="N348" s="42"/>
      <c r="O348" s="42"/>
      <c r="P348" s="42"/>
      <c r="Q348" s="42"/>
      <c r="R348" s="142"/>
      <c r="S348" s="142"/>
      <c r="T348" s="142"/>
      <c r="U348" s="142"/>
      <c r="V348" s="72"/>
      <c r="W348" s="72"/>
    </row>
    <row r="349" spans="1:23" ht="30" customHeight="1" x14ac:dyDescent="0.25">
      <c r="A349" s="2777"/>
      <c r="B349" s="2631"/>
      <c r="C349" s="2633"/>
      <c r="D349" s="2633"/>
      <c r="E349" s="404"/>
      <c r="F349" s="405"/>
      <c r="G349" s="1404" t="s">
        <v>1157</v>
      </c>
      <c r="H349" s="1401" t="s">
        <v>1161</v>
      </c>
      <c r="I349" s="1401" t="s">
        <v>1162</v>
      </c>
      <c r="J349" s="1401">
        <v>0.1142</v>
      </c>
      <c r="K349" s="1401"/>
      <c r="L349" s="149"/>
      <c r="M349" s="143" t="s">
        <v>625</v>
      </c>
      <c r="N349" s="1355" t="s">
        <v>1160</v>
      </c>
      <c r="O349" s="143">
        <v>0.5</v>
      </c>
      <c r="P349" s="143"/>
      <c r="Q349" s="143"/>
      <c r="R349" s="142"/>
      <c r="S349" s="142"/>
      <c r="T349" s="142"/>
      <c r="U349" s="142"/>
      <c r="V349" s="142"/>
      <c r="W349" s="142"/>
    </row>
    <row r="350" spans="1:23" ht="28.5" customHeight="1" x14ac:dyDescent="0.25">
      <c r="A350" s="2777"/>
      <c r="B350" s="2631"/>
      <c r="C350" s="2633"/>
      <c r="D350" s="2633"/>
      <c r="E350" s="404"/>
      <c r="F350" s="405"/>
      <c r="G350" s="2804" t="s">
        <v>3020</v>
      </c>
      <c r="H350" s="2804"/>
      <c r="I350" s="2804"/>
      <c r="J350" s="2804"/>
      <c r="K350" s="2804"/>
      <c r="L350" s="2804"/>
      <c r="M350" s="143"/>
      <c r="N350" s="143"/>
      <c r="O350" s="143"/>
      <c r="P350" s="143"/>
      <c r="Q350" s="143"/>
      <c r="R350" s="145"/>
      <c r="S350" s="145"/>
      <c r="T350" s="145"/>
      <c r="U350" s="145"/>
      <c r="V350" s="142"/>
      <c r="W350" s="142"/>
    </row>
    <row r="351" spans="1:23" ht="72" customHeight="1" x14ac:dyDescent="0.25">
      <c r="A351" s="2777"/>
      <c r="B351" s="2631"/>
      <c r="C351" s="2633"/>
      <c r="D351" s="2633"/>
      <c r="E351" s="404"/>
      <c r="F351" s="405"/>
      <c r="G351" s="119" t="s">
        <v>3150</v>
      </c>
      <c r="H351" s="119" t="s">
        <v>3151</v>
      </c>
      <c r="I351" s="143" t="s">
        <v>3160</v>
      </c>
      <c r="J351" s="143">
        <f>0.1*0.75</f>
        <v>7.5000000000000011E-2</v>
      </c>
      <c r="K351" s="143"/>
      <c r="L351" s="142"/>
      <c r="M351" s="151" t="s">
        <v>1163</v>
      </c>
      <c r="N351" s="151" t="s">
        <v>1164</v>
      </c>
      <c r="O351" s="153">
        <v>0.4</v>
      </c>
      <c r="P351" s="143"/>
      <c r="Q351" s="143"/>
      <c r="R351" s="142"/>
      <c r="S351" s="142"/>
      <c r="T351" s="142"/>
      <c r="U351" s="142"/>
      <c r="V351" s="142"/>
      <c r="W351" s="142"/>
    </row>
    <row r="352" spans="1:23" ht="20.100000000000001" customHeight="1" x14ac:dyDescent="0.25">
      <c r="A352" s="2777"/>
      <c r="B352" s="2631"/>
      <c r="C352" s="2633"/>
      <c r="D352" s="2633"/>
      <c r="E352" s="404"/>
      <c r="F352" s="405"/>
      <c r="G352" s="2548"/>
      <c r="H352" s="2725"/>
      <c r="I352" s="2726"/>
      <c r="J352" s="636"/>
      <c r="K352" s="636"/>
      <c r="L352" s="636"/>
      <c r="M352" s="143" t="s">
        <v>1165</v>
      </c>
      <c r="N352" s="143" t="s">
        <v>1166</v>
      </c>
      <c r="O352" s="143">
        <v>0.1</v>
      </c>
      <c r="P352" s="143"/>
      <c r="Q352" s="143"/>
      <c r="R352" s="142"/>
      <c r="S352" s="142"/>
      <c r="T352" s="142"/>
      <c r="U352" s="142"/>
      <c r="V352" s="142"/>
      <c r="W352" s="142"/>
    </row>
    <row r="353" spans="1:23" ht="20.100000000000001" customHeight="1" x14ac:dyDescent="0.25">
      <c r="A353" s="2777"/>
      <c r="B353" s="2631"/>
      <c r="C353" s="2633"/>
      <c r="D353" s="2633"/>
      <c r="E353" s="404"/>
      <c r="F353" s="405"/>
      <c r="G353" s="2804" t="s">
        <v>3447</v>
      </c>
      <c r="H353" s="2804"/>
      <c r="I353" s="2804"/>
      <c r="J353" s="2804"/>
      <c r="K353" s="2804"/>
      <c r="L353" s="2804"/>
      <c r="M353" s="119" t="s">
        <v>1459</v>
      </c>
      <c r="N353" s="119" t="s">
        <v>1460</v>
      </c>
      <c r="O353" s="143">
        <v>0.04</v>
      </c>
      <c r="P353" s="143"/>
      <c r="Q353" s="143"/>
      <c r="R353" s="142"/>
      <c r="S353" s="142"/>
      <c r="T353" s="142"/>
      <c r="U353" s="142"/>
      <c r="V353" s="142"/>
      <c r="W353" s="142"/>
    </row>
    <row r="354" spans="1:23" ht="20.100000000000001" customHeight="1" x14ac:dyDescent="0.25">
      <c r="A354" s="402"/>
      <c r="B354" s="403"/>
      <c r="C354" s="404"/>
      <c r="D354" s="404"/>
      <c r="E354" s="404"/>
      <c r="F354" s="405"/>
      <c r="G354" s="119" t="s">
        <v>2888</v>
      </c>
      <c r="H354" s="119" t="s">
        <v>3564</v>
      </c>
      <c r="I354" s="1397" t="s">
        <v>3633</v>
      </c>
      <c r="J354" s="1397">
        <f>(0.7612-0.4942)*0.9</f>
        <v>0.24030000000000001</v>
      </c>
      <c r="K354" s="143"/>
      <c r="L354" s="142"/>
      <c r="M354" s="119" t="s">
        <v>2186</v>
      </c>
      <c r="N354" s="119" t="s">
        <v>2187</v>
      </c>
      <c r="O354" s="143">
        <f>0.275-0.22</f>
        <v>5.5000000000000021E-2</v>
      </c>
      <c r="P354" s="151"/>
      <c r="Q354" s="151"/>
      <c r="R354" s="142"/>
      <c r="S354" s="142"/>
      <c r="T354" s="142"/>
      <c r="U354" s="142"/>
      <c r="V354" s="142"/>
      <c r="W354" s="142"/>
    </row>
    <row r="355" spans="1:23" ht="20.100000000000001" customHeight="1" x14ac:dyDescent="0.25">
      <c r="A355" s="793"/>
      <c r="B355" s="794"/>
      <c r="C355" s="796"/>
      <c r="D355" s="796"/>
      <c r="E355" s="796"/>
      <c r="F355" s="792"/>
      <c r="G355" s="119" t="s">
        <v>3522</v>
      </c>
      <c r="H355" s="119" t="s">
        <v>3523</v>
      </c>
      <c r="I355" s="1461" t="s">
        <v>15276</v>
      </c>
      <c r="J355" s="143">
        <v>0</v>
      </c>
      <c r="K355" s="143"/>
      <c r="L355" s="142"/>
      <c r="M355" s="119"/>
      <c r="N355" s="119"/>
      <c r="O355" s="143"/>
      <c r="P355" s="151"/>
      <c r="Q355" s="151"/>
      <c r="R355" s="147"/>
      <c r="S355" s="365"/>
      <c r="T355" s="176"/>
      <c r="U355" s="149"/>
      <c r="V355" s="149"/>
      <c r="W355" s="149"/>
    </row>
    <row r="356" spans="1:23" ht="36" customHeight="1" x14ac:dyDescent="0.25">
      <c r="A356" s="1044"/>
      <c r="B356" s="1045"/>
      <c r="C356" s="1047"/>
      <c r="D356" s="1047"/>
      <c r="E356" s="1047"/>
      <c r="F356" s="1046"/>
      <c r="G356" s="2784" t="s">
        <v>3401</v>
      </c>
      <c r="H356" s="2785"/>
      <c r="I356" s="2786"/>
      <c r="J356" s="774">
        <f>0.32*0.9</f>
        <v>0.28800000000000003</v>
      </c>
      <c r="K356" s="774"/>
      <c r="L356" s="774"/>
      <c r="M356" s="119" t="s">
        <v>3144</v>
      </c>
      <c r="N356" s="119" t="s">
        <v>3213</v>
      </c>
      <c r="O356" s="143">
        <v>0.25</v>
      </c>
      <c r="P356" s="151"/>
      <c r="Q356" s="151"/>
      <c r="R356" s="147"/>
      <c r="S356" s="365"/>
      <c r="T356" s="176"/>
      <c r="U356" s="149"/>
      <c r="V356" s="149"/>
      <c r="W356" s="149"/>
    </row>
    <row r="357" spans="1:23" ht="36" customHeight="1" x14ac:dyDescent="0.25">
      <c r="A357" s="1098"/>
      <c r="B357" s="1096"/>
      <c r="C357" s="1099"/>
      <c r="D357" s="1099"/>
      <c r="E357" s="1099"/>
      <c r="F357" s="1097"/>
      <c r="G357" s="2804" t="s">
        <v>17005</v>
      </c>
      <c r="H357" s="2804"/>
      <c r="I357" s="2804"/>
      <c r="J357" s="2804"/>
      <c r="K357" s="2804"/>
      <c r="L357" s="2804"/>
      <c r="M357" s="119" t="s">
        <v>2186</v>
      </c>
      <c r="N357" s="119" t="s">
        <v>3236</v>
      </c>
      <c r="O357" s="143">
        <v>2.9000000000000001E-2</v>
      </c>
      <c r="P357" s="151"/>
      <c r="Q357" s="151"/>
      <c r="R357" s="147"/>
      <c r="S357" s="365"/>
      <c r="T357" s="176"/>
      <c r="U357" s="149"/>
      <c r="V357" s="149"/>
      <c r="W357" s="149"/>
    </row>
    <row r="358" spans="1:23" ht="36" customHeight="1" x14ac:dyDescent="0.25">
      <c r="A358" s="1317"/>
      <c r="B358" s="1311"/>
      <c r="C358" s="1318"/>
      <c r="D358" s="1318"/>
      <c r="E358" s="1318"/>
      <c r="F358" s="1312"/>
      <c r="G358" s="1310" t="s">
        <v>16682</v>
      </c>
      <c r="H358" s="1310" t="s">
        <v>19921</v>
      </c>
      <c r="I358" s="1310" t="s">
        <v>19922</v>
      </c>
      <c r="J358" s="1310">
        <f>0.35*0.9</f>
        <v>0.315</v>
      </c>
      <c r="K358" s="1310"/>
      <c r="L358" s="1322"/>
      <c r="M358" s="119"/>
      <c r="N358" s="119"/>
      <c r="O358" s="1310"/>
      <c r="P358" s="1310"/>
      <c r="Q358" s="1310"/>
      <c r="R358" s="1322"/>
      <c r="S358" s="1322"/>
      <c r="T358" s="1322"/>
      <c r="U358" s="1322"/>
      <c r="V358" s="1322"/>
      <c r="W358" s="1322"/>
    </row>
    <row r="359" spans="1:23" ht="36" customHeight="1" x14ac:dyDescent="0.25">
      <c r="A359" s="1556"/>
      <c r="B359" s="1550"/>
      <c r="C359" s="1557"/>
      <c r="D359" s="1557"/>
      <c r="E359" s="1557"/>
      <c r="F359" s="1551"/>
      <c r="G359" s="1554" t="s">
        <v>2561</v>
      </c>
      <c r="H359" s="1554" t="s">
        <v>20027</v>
      </c>
      <c r="I359" s="1555" t="s">
        <v>20028</v>
      </c>
      <c r="J359" s="1552">
        <f>0.06*0.9</f>
        <v>5.3999999999999999E-2</v>
      </c>
      <c r="K359" s="1552"/>
      <c r="L359" s="149"/>
      <c r="M359" s="119"/>
      <c r="N359" s="119"/>
      <c r="O359" s="1548"/>
      <c r="P359" s="1552"/>
      <c r="Q359" s="1552"/>
      <c r="R359" s="1563"/>
      <c r="S359" s="1561"/>
      <c r="T359" s="1562"/>
      <c r="U359" s="149"/>
      <c r="V359" s="149"/>
      <c r="W359" s="149"/>
    </row>
    <row r="360" spans="1:23" ht="36" customHeight="1" x14ac:dyDescent="0.25">
      <c r="A360" s="1833"/>
      <c r="B360" s="1825"/>
      <c r="C360" s="1827"/>
      <c r="D360" s="1827"/>
      <c r="E360" s="1827"/>
      <c r="F360" s="1829"/>
      <c r="G360" s="2784" t="s">
        <v>3401</v>
      </c>
      <c r="H360" s="2785"/>
      <c r="I360" s="2786"/>
      <c r="J360" s="2240">
        <f>0.155*0.9</f>
        <v>0.13950000000000001</v>
      </c>
      <c r="K360" s="2240"/>
      <c r="L360" s="2240"/>
      <c r="M360" s="119" t="s">
        <v>16946</v>
      </c>
      <c r="N360" s="119" t="s">
        <v>16947</v>
      </c>
      <c r="O360" s="1821">
        <v>0.6</v>
      </c>
      <c r="P360" s="1834"/>
      <c r="Q360" s="1834"/>
      <c r="R360" s="1838"/>
      <c r="S360" s="1836"/>
      <c r="T360" s="1837"/>
      <c r="U360" s="149"/>
      <c r="V360" s="149"/>
      <c r="W360" s="149"/>
    </row>
    <row r="361" spans="1:23" ht="20.100000000000001" customHeight="1" thickBot="1" x14ac:dyDescent="0.3">
      <c r="A361" s="406"/>
      <c r="B361" s="395"/>
      <c r="C361" s="396"/>
      <c r="D361" s="396"/>
      <c r="E361" s="396"/>
      <c r="F361" s="397"/>
      <c r="G361" s="2636" t="s">
        <v>1833</v>
      </c>
      <c r="H361" s="2636"/>
      <c r="I361" s="2637"/>
      <c r="J361" s="136">
        <f>SUM(J351:J360)</f>
        <v>1.1118000000000001</v>
      </c>
      <c r="K361" s="183">
        <v>0.92</v>
      </c>
      <c r="L361" s="136">
        <f>J361/K361</f>
        <v>1.2084782608695652</v>
      </c>
      <c r="M361" s="2652" t="s">
        <v>1834</v>
      </c>
      <c r="N361" s="2637"/>
      <c r="O361" s="136">
        <f>SUM(O349:O360)</f>
        <v>1.9739999999999998</v>
      </c>
      <c r="P361" s="183">
        <v>0.92</v>
      </c>
      <c r="Q361" s="136">
        <f>O361/P361</f>
        <v>2.1456521739130432</v>
      </c>
      <c r="R361" s="2652" t="s">
        <v>1833</v>
      </c>
      <c r="S361" s="2636"/>
      <c r="T361" s="2637"/>
      <c r="U361" s="136">
        <f>SUM(U348:U353)</f>
        <v>0</v>
      </c>
      <c r="V361" s="183">
        <v>0.92</v>
      </c>
      <c r="W361" s="136">
        <f>U361/V361</f>
        <v>0</v>
      </c>
    </row>
    <row r="362" spans="1:23" s="67" customFormat="1" ht="20.100000000000001" customHeight="1" x14ac:dyDescent="0.25">
      <c r="A362" s="407"/>
      <c r="B362" s="399"/>
      <c r="C362" s="400"/>
      <c r="D362" s="400"/>
      <c r="E362" s="400"/>
      <c r="F362" s="401"/>
      <c r="G362" s="2808" t="s">
        <v>1961</v>
      </c>
      <c r="H362" s="2808"/>
      <c r="I362" s="2808"/>
      <c r="J362" s="2808"/>
      <c r="K362" s="2808"/>
      <c r="L362" s="2800"/>
      <c r="M362" s="133"/>
      <c r="N362" s="175"/>
      <c r="O362" s="77"/>
      <c r="P362" s="77"/>
      <c r="Q362" s="77"/>
      <c r="R362" s="2811"/>
      <c r="S362" s="2791"/>
      <c r="T362" s="2791"/>
      <c r="U362" s="2791"/>
      <c r="V362" s="2791"/>
      <c r="W362" s="2792"/>
    </row>
    <row r="363" spans="1:23" ht="20.100000000000001" customHeight="1" x14ac:dyDescent="0.25">
      <c r="A363" s="2777" t="str">
        <f>Итоговая!C316</f>
        <v xml:space="preserve">ПС 110/10 кВ Пролетарская </v>
      </c>
      <c r="B363" s="2631">
        <f>Итоговая!D316</f>
        <v>16</v>
      </c>
      <c r="C363" s="2633" t="str">
        <f>Итоговая!E316</f>
        <v>+</v>
      </c>
      <c r="D363" s="2633">
        <f>Итоговая!F316</f>
        <v>16</v>
      </c>
      <c r="E363" s="404"/>
      <c r="F363" s="405"/>
      <c r="G363" s="283"/>
      <c r="H363" s="45"/>
      <c r="I363" s="45"/>
      <c r="J363" s="45"/>
      <c r="K363" s="45"/>
      <c r="L363" s="72"/>
      <c r="M363" s="72"/>
      <c r="N363" s="72"/>
      <c r="O363" s="42"/>
      <c r="P363" s="45"/>
      <c r="Q363" s="45"/>
      <c r="R363" s="72"/>
      <c r="S363" s="72"/>
      <c r="T363" s="72"/>
      <c r="U363" s="72"/>
      <c r="V363" s="72"/>
      <c r="W363" s="72"/>
    </row>
    <row r="364" spans="1:23" ht="20.100000000000001" customHeight="1" x14ac:dyDescent="0.25">
      <c r="A364" s="2777"/>
      <c r="B364" s="2631"/>
      <c r="C364" s="2633"/>
      <c r="D364" s="2633"/>
      <c r="E364" s="404"/>
      <c r="F364" s="405"/>
      <c r="G364" s="66" t="s">
        <v>123</v>
      </c>
      <c r="H364" s="2" t="s">
        <v>124</v>
      </c>
      <c r="I364" s="2" t="s">
        <v>125</v>
      </c>
      <c r="J364" s="2">
        <v>5.6000000000000001E-2</v>
      </c>
      <c r="K364" s="45"/>
      <c r="L364" s="72"/>
      <c r="M364" s="1414" t="s">
        <v>3531</v>
      </c>
      <c r="N364" s="1321" t="s">
        <v>3532</v>
      </c>
      <c r="O364" s="42">
        <f>3.024-1.218</f>
        <v>1.806</v>
      </c>
      <c r="P364" s="45"/>
      <c r="Q364" s="45"/>
      <c r="R364" s="142"/>
      <c r="S364" s="142"/>
      <c r="T364" s="142"/>
      <c r="U364" s="142"/>
      <c r="V364" s="72"/>
      <c r="W364" s="72"/>
    </row>
    <row r="365" spans="1:23" ht="20.100000000000001" customHeight="1" x14ac:dyDescent="0.25">
      <c r="A365" s="2777"/>
      <c r="B365" s="2631"/>
      <c r="C365" s="2633"/>
      <c r="D365" s="2633"/>
      <c r="E365" s="404"/>
      <c r="F365" s="405"/>
      <c r="G365" s="66" t="s">
        <v>1168</v>
      </c>
      <c r="H365" s="2" t="s">
        <v>1169</v>
      </c>
      <c r="I365" s="2" t="s">
        <v>1170</v>
      </c>
      <c r="J365" s="47">
        <v>0.32</v>
      </c>
      <c r="K365" s="2"/>
      <c r="L365" s="142"/>
      <c r="M365" s="2" t="s">
        <v>1065</v>
      </c>
      <c r="N365" s="2" t="s">
        <v>1171</v>
      </c>
      <c r="O365" s="2">
        <v>0.21099999999999999</v>
      </c>
      <c r="P365" s="2"/>
      <c r="Q365" s="2"/>
      <c r="R365" s="142"/>
      <c r="S365" s="142"/>
      <c r="T365" s="142"/>
      <c r="U365" s="369"/>
      <c r="V365" s="142"/>
      <c r="W365" s="142"/>
    </row>
    <row r="366" spans="1:23" ht="20.100000000000001" customHeight="1" x14ac:dyDescent="0.25">
      <c r="A366" s="2777"/>
      <c r="B366" s="2631"/>
      <c r="C366" s="2633"/>
      <c r="D366" s="2633"/>
      <c r="E366" s="404"/>
      <c r="F366" s="405"/>
      <c r="G366" s="66" t="s">
        <v>1172</v>
      </c>
      <c r="H366" s="2" t="s">
        <v>1173</v>
      </c>
      <c r="I366" s="2" t="s">
        <v>1174</v>
      </c>
      <c r="J366" s="2">
        <v>0.46800000000000003</v>
      </c>
      <c r="K366" s="2"/>
      <c r="L366" s="142"/>
      <c r="M366" s="2" t="s">
        <v>1175</v>
      </c>
      <c r="N366" s="2" t="s">
        <v>1176</v>
      </c>
      <c r="O366" s="2">
        <v>0.1242</v>
      </c>
      <c r="P366" s="2"/>
      <c r="Q366" s="2"/>
      <c r="R366" s="142"/>
      <c r="S366" s="142"/>
      <c r="T366" s="142"/>
      <c r="U366" s="142"/>
      <c r="V366" s="142"/>
      <c r="W366" s="142"/>
    </row>
    <row r="367" spans="1:23" ht="20.100000000000001" customHeight="1" x14ac:dyDescent="0.25">
      <c r="A367" s="2777"/>
      <c r="B367" s="2631"/>
      <c r="C367" s="2633"/>
      <c r="D367" s="2633"/>
      <c r="E367" s="404"/>
      <c r="F367" s="405"/>
      <c r="G367" s="2804" t="s">
        <v>3447</v>
      </c>
      <c r="H367" s="2804"/>
      <c r="I367" s="2804"/>
      <c r="J367" s="2804"/>
      <c r="K367" s="2804"/>
      <c r="L367" s="2804"/>
      <c r="M367" s="143" t="s">
        <v>1177</v>
      </c>
      <c r="N367" s="143" t="s">
        <v>122</v>
      </c>
      <c r="O367" s="2">
        <v>0.15</v>
      </c>
      <c r="P367" s="2"/>
      <c r="Q367" s="2"/>
      <c r="R367" s="142"/>
      <c r="S367" s="142"/>
      <c r="T367" s="142"/>
      <c r="U367" s="366"/>
      <c r="V367" s="142"/>
      <c r="W367" s="142"/>
    </row>
    <row r="368" spans="1:23" ht="20.100000000000001" customHeight="1" x14ac:dyDescent="0.25">
      <c r="A368" s="2777"/>
      <c r="B368" s="2631"/>
      <c r="C368" s="2633"/>
      <c r="D368" s="2633"/>
      <c r="E368" s="404"/>
      <c r="F368" s="405"/>
      <c r="G368" s="1483" t="s">
        <v>1056</v>
      </c>
      <c r="H368" s="1414" t="s">
        <v>1167</v>
      </c>
      <c r="I368" s="1397" t="s">
        <v>3639</v>
      </c>
      <c r="J368" s="143">
        <f>(3.024-1.218)*0.9</f>
        <v>1.6254000000000002</v>
      </c>
      <c r="K368" s="2"/>
      <c r="L368" s="142"/>
      <c r="M368" s="143" t="s">
        <v>126</v>
      </c>
      <c r="N368" s="143" t="s">
        <v>127</v>
      </c>
      <c r="O368" s="2">
        <v>0.06</v>
      </c>
      <c r="P368" s="2"/>
      <c r="Q368" s="2"/>
      <c r="R368" s="142"/>
      <c r="S368" s="142"/>
      <c r="T368" s="142"/>
      <c r="U368" s="142"/>
      <c r="V368" s="142"/>
      <c r="W368" s="142"/>
    </row>
    <row r="369" spans="1:23" ht="20.100000000000001" customHeight="1" x14ac:dyDescent="0.25">
      <c r="A369" s="2777"/>
      <c r="B369" s="2631"/>
      <c r="C369" s="2633"/>
      <c r="D369" s="2633"/>
      <c r="E369" s="404"/>
      <c r="F369" s="405"/>
      <c r="G369" s="1528" t="s">
        <v>3412</v>
      </c>
      <c r="H369" s="1528" t="s">
        <v>3538</v>
      </c>
      <c r="I369" s="2" t="s">
        <v>16647</v>
      </c>
      <c r="J369" s="2">
        <f>0.36*0.9</f>
        <v>0.32400000000000001</v>
      </c>
      <c r="K369" s="2"/>
      <c r="L369" s="142"/>
      <c r="M369" s="143" t="s">
        <v>1725</v>
      </c>
      <c r="N369" s="143" t="s">
        <v>2653</v>
      </c>
      <c r="O369" s="143">
        <v>0.72989999999999999</v>
      </c>
      <c r="P369" s="2"/>
      <c r="Q369" s="2"/>
      <c r="R369" s="142"/>
      <c r="S369" s="142"/>
      <c r="T369" s="142"/>
      <c r="U369" s="142"/>
      <c r="V369" s="142"/>
      <c r="W369" s="142"/>
    </row>
    <row r="370" spans="1:23" ht="20.100000000000001" customHeight="1" x14ac:dyDescent="0.25">
      <c r="A370" s="1016"/>
      <c r="B370" s="1014"/>
      <c r="C370" s="1018"/>
      <c r="D370" s="1018"/>
      <c r="E370" s="1018"/>
      <c r="F370" s="1015"/>
      <c r="G370" s="1777" t="s">
        <v>16765</v>
      </c>
      <c r="H370" s="1777" t="s">
        <v>16766</v>
      </c>
      <c r="I370" s="121" t="s">
        <v>16887</v>
      </c>
      <c r="J370" s="70">
        <f>3*0.9</f>
        <v>2.7</v>
      </c>
      <c r="K370" s="70"/>
      <c r="L370" s="149"/>
      <c r="M370" s="143" t="s">
        <v>3106</v>
      </c>
      <c r="N370" s="143" t="s">
        <v>3107</v>
      </c>
      <c r="O370" s="143">
        <v>0.1</v>
      </c>
      <c r="P370" s="70"/>
      <c r="Q370" s="70"/>
      <c r="R370" s="147"/>
      <c r="S370" s="365"/>
      <c r="T370" s="176"/>
      <c r="U370" s="149"/>
      <c r="V370" s="149"/>
      <c r="W370" s="149"/>
    </row>
    <row r="371" spans="1:23" ht="20.100000000000001" customHeight="1" x14ac:dyDescent="0.25">
      <c r="A371" s="2331"/>
      <c r="B371" s="2316"/>
      <c r="C371" s="2317"/>
      <c r="D371" s="2317"/>
      <c r="E371" s="2317"/>
      <c r="F371" s="2320"/>
      <c r="G371" s="2804" t="s">
        <v>17005</v>
      </c>
      <c r="H371" s="2804"/>
      <c r="I371" s="2804"/>
      <c r="J371" s="2804"/>
      <c r="K371" s="2804"/>
      <c r="L371" s="2804"/>
      <c r="M371" s="2313"/>
      <c r="N371" s="2313"/>
      <c r="O371" s="2313"/>
      <c r="P371" s="70"/>
      <c r="Q371" s="70"/>
      <c r="R371" s="2335"/>
      <c r="S371" s="2336"/>
      <c r="T371" s="2337"/>
      <c r="U371" s="149"/>
      <c r="V371" s="149"/>
      <c r="W371" s="149"/>
    </row>
    <row r="372" spans="1:23" ht="20.100000000000001" customHeight="1" x14ac:dyDescent="0.25">
      <c r="A372" s="1185"/>
      <c r="B372" s="1183"/>
      <c r="C372" s="1187"/>
      <c r="D372" s="1187"/>
      <c r="E372" s="1187"/>
      <c r="F372" s="1184"/>
      <c r="G372" s="203" t="s">
        <v>20267</v>
      </c>
      <c r="H372" s="203" t="s">
        <v>20268</v>
      </c>
      <c r="I372" s="121" t="s">
        <v>20269</v>
      </c>
      <c r="J372" s="70">
        <f>1*0.9</f>
        <v>0.9</v>
      </c>
      <c r="K372" s="70"/>
      <c r="L372" s="149"/>
      <c r="M372" s="1668"/>
      <c r="N372" s="1668"/>
      <c r="O372" s="143"/>
      <c r="P372" s="70"/>
      <c r="Q372" s="70"/>
      <c r="R372" s="147"/>
      <c r="S372" s="365"/>
      <c r="T372" s="176"/>
      <c r="U372" s="149"/>
      <c r="V372" s="149"/>
      <c r="W372" s="149"/>
    </row>
    <row r="373" spans="1:23" ht="20.100000000000001" customHeight="1" thickBot="1" x14ac:dyDescent="0.3">
      <c r="A373" s="406"/>
      <c r="B373" s="395"/>
      <c r="C373" s="396"/>
      <c r="D373" s="396"/>
      <c r="E373" s="396"/>
      <c r="F373" s="397"/>
      <c r="G373" s="2636" t="s">
        <v>1833</v>
      </c>
      <c r="H373" s="2636"/>
      <c r="I373" s="2637"/>
      <c r="J373" s="208">
        <f>SUM(J368:J372)</f>
        <v>5.5494000000000003</v>
      </c>
      <c r="K373" s="183">
        <v>0.92</v>
      </c>
      <c r="L373" s="136">
        <f>J373/K373</f>
        <v>6.0319565217391302</v>
      </c>
      <c r="M373" s="2652" t="s">
        <v>1834</v>
      </c>
      <c r="N373" s="2637"/>
      <c r="O373" s="136">
        <f>SUM(O363:O372)</f>
        <v>3.1811000000000003</v>
      </c>
      <c r="P373" s="183">
        <v>0.92</v>
      </c>
      <c r="Q373" s="136">
        <f>O373/P373</f>
        <v>3.4577173913043477</v>
      </c>
      <c r="R373" s="2652" t="s">
        <v>1833</v>
      </c>
      <c r="S373" s="2636"/>
      <c r="T373" s="2637"/>
      <c r="U373" s="208">
        <f>SUM(U367:U369)</f>
        <v>0</v>
      </c>
      <c r="V373" s="183">
        <v>0.92</v>
      </c>
      <c r="W373" s="136">
        <f>U373/V373</f>
        <v>0</v>
      </c>
    </row>
    <row r="374" spans="1:23" s="18" customFormat="1" ht="20.100000000000001" customHeight="1" x14ac:dyDescent="0.25">
      <c r="A374" s="407" t="str">
        <f>Итоговая!C317</f>
        <v xml:space="preserve">ПС 35/10 кВ Тургиново </v>
      </c>
      <c r="B374" s="399">
        <f>Итоговая!D317</f>
        <v>6.3</v>
      </c>
      <c r="C374" s="400" t="str">
        <f>Итоговая!E317</f>
        <v>+</v>
      </c>
      <c r="D374" s="400">
        <f>Итоговая!F317</f>
        <v>6.3</v>
      </c>
      <c r="E374" s="400"/>
      <c r="F374" s="401"/>
      <c r="G374" s="2767" t="s">
        <v>1961</v>
      </c>
      <c r="H374" s="2767"/>
      <c r="I374" s="2767"/>
      <c r="J374" s="2767"/>
      <c r="K374" s="2767"/>
      <c r="L374" s="2768"/>
      <c r="M374" s="5" t="s">
        <v>395</v>
      </c>
      <c r="N374" s="5" t="s">
        <v>396</v>
      </c>
      <c r="O374" s="178">
        <v>0.1</v>
      </c>
      <c r="P374" s="2"/>
      <c r="Q374" s="2"/>
      <c r="R374" s="2771"/>
      <c r="S374" s="2772"/>
      <c r="T374" s="2772"/>
      <c r="U374" s="2772"/>
      <c r="V374" s="2772"/>
      <c r="W374" s="2468"/>
    </row>
    <row r="375" spans="1:23" ht="20.100000000000001" customHeight="1" x14ac:dyDescent="0.25">
      <c r="A375" s="402"/>
      <c r="B375" s="403"/>
      <c r="C375" s="404"/>
      <c r="D375" s="404"/>
      <c r="E375" s="404"/>
      <c r="F375" s="405"/>
      <c r="G375" s="66" t="s">
        <v>397</v>
      </c>
      <c r="H375" s="2" t="s">
        <v>398</v>
      </c>
      <c r="I375" s="2" t="s">
        <v>399</v>
      </c>
      <c r="J375" s="2">
        <v>1.7500000000000002E-2</v>
      </c>
      <c r="K375" s="2"/>
      <c r="L375" s="142"/>
      <c r="M375" s="2"/>
      <c r="N375" s="2"/>
      <c r="O375" s="2"/>
      <c r="P375" s="2"/>
      <c r="Q375" s="2"/>
      <c r="R375" s="142"/>
      <c r="S375" s="142"/>
      <c r="T375" s="142"/>
      <c r="U375" s="142"/>
      <c r="V375" s="142"/>
      <c r="W375" s="142"/>
    </row>
    <row r="376" spans="1:23" ht="82.5" customHeight="1" x14ac:dyDescent="0.25">
      <c r="A376" s="402"/>
      <c r="B376" s="403"/>
      <c r="C376" s="404"/>
      <c r="D376" s="404"/>
      <c r="E376" s="404"/>
      <c r="F376" s="405"/>
      <c r="G376" s="66" t="s">
        <v>400</v>
      </c>
      <c r="H376" s="2" t="s">
        <v>401</v>
      </c>
      <c r="I376" s="2" t="s">
        <v>402</v>
      </c>
      <c r="J376" s="2">
        <v>0.06</v>
      </c>
      <c r="K376" s="2"/>
      <c r="L376" s="142"/>
      <c r="M376" s="142" t="s">
        <v>471</v>
      </c>
      <c r="N376" s="142" t="s">
        <v>2699</v>
      </c>
      <c r="O376" s="142">
        <v>0.09</v>
      </c>
      <c r="P376" s="2"/>
      <c r="Q376" s="2"/>
      <c r="R376" s="142"/>
      <c r="S376" s="142"/>
      <c r="T376" s="142"/>
      <c r="U376" s="142"/>
      <c r="V376" s="142"/>
      <c r="W376" s="142"/>
    </row>
    <row r="377" spans="1:23" ht="20.100000000000001" customHeight="1" x14ac:dyDescent="0.25">
      <c r="A377" s="402"/>
      <c r="B377" s="403"/>
      <c r="C377" s="404"/>
      <c r="D377" s="404"/>
      <c r="E377" s="404"/>
      <c r="F377" s="405"/>
      <c r="G377" s="2767" t="s">
        <v>2477</v>
      </c>
      <c r="H377" s="2767"/>
      <c r="I377" s="2767"/>
      <c r="J377" s="2767"/>
      <c r="K377" s="2767"/>
      <c r="L377" s="2768"/>
      <c r="M377" s="2" t="s">
        <v>2786</v>
      </c>
      <c r="N377" s="2" t="s">
        <v>2844</v>
      </c>
      <c r="O377" s="2">
        <f>0.64-0.49</f>
        <v>0.15000000000000002</v>
      </c>
      <c r="P377" s="70"/>
      <c r="Q377" s="70"/>
      <c r="R377" s="147"/>
      <c r="S377" s="365"/>
      <c r="T377" s="176"/>
      <c r="U377" s="149"/>
      <c r="V377" s="149"/>
      <c r="W377" s="149"/>
    </row>
    <row r="378" spans="1:23" ht="102.75" customHeight="1" x14ac:dyDescent="0.25">
      <c r="A378" s="402"/>
      <c r="B378" s="403"/>
      <c r="C378" s="404"/>
      <c r="D378" s="404"/>
      <c r="E378" s="404"/>
      <c r="F378" s="405"/>
      <c r="G378" s="2" t="s">
        <v>2709</v>
      </c>
      <c r="H378" s="2" t="s">
        <v>2710</v>
      </c>
      <c r="I378" s="121" t="s">
        <v>2739</v>
      </c>
      <c r="J378" s="2">
        <f>0.45</f>
        <v>0.45</v>
      </c>
      <c r="K378" s="70"/>
      <c r="L378" s="149"/>
      <c r="M378" s="2" t="s">
        <v>2786</v>
      </c>
      <c r="N378" s="2" t="s">
        <v>17053</v>
      </c>
      <c r="O378" s="143">
        <f>2.64-0.64</f>
        <v>2</v>
      </c>
      <c r="P378" s="70"/>
      <c r="Q378" s="70"/>
      <c r="R378" s="147"/>
      <c r="S378" s="365"/>
      <c r="T378" s="176"/>
      <c r="U378" s="149"/>
      <c r="V378" s="149"/>
      <c r="W378" s="149"/>
    </row>
    <row r="379" spans="1:23" ht="106.5" customHeight="1" x14ac:dyDescent="0.25">
      <c r="A379" s="710"/>
      <c r="B379" s="711"/>
      <c r="C379" s="712"/>
      <c r="D379" s="712"/>
      <c r="E379" s="712"/>
      <c r="F379" s="709"/>
      <c r="G379" s="2" t="s">
        <v>2693</v>
      </c>
      <c r="H379" s="2" t="s">
        <v>2694</v>
      </c>
      <c r="I379" s="2" t="s">
        <v>2740</v>
      </c>
      <c r="J379" s="2">
        <v>0.4</v>
      </c>
      <c r="K379" s="2"/>
      <c r="L379" s="149"/>
      <c r="M379" s="1259" t="s">
        <v>2437</v>
      </c>
      <c r="N379" s="1697" t="s">
        <v>16812</v>
      </c>
      <c r="O379" s="1259">
        <v>2.5000000000000001E-2</v>
      </c>
      <c r="P379" s="2"/>
      <c r="Q379" s="2"/>
      <c r="R379" s="142"/>
      <c r="S379" s="142"/>
      <c r="T379" s="142"/>
      <c r="U379" s="142"/>
      <c r="V379" s="142"/>
      <c r="W379" s="142"/>
    </row>
    <row r="380" spans="1:23" ht="106.5" customHeight="1" x14ac:dyDescent="0.25">
      <c r="A380" s="763"/>
      <c r="B380" s="764"/>
      <c r="C380" s="766"/>
      <c r="D380" s="766"/>
      <c r="E380" s="766"/>
      <c r="F380" s="762"/>
      <c r="G380" s="2" t="s">
        <v>2786</v>
      </c>
      <c r="H380" s="2" t="s">
        <v>2787</v>
      </c>
      <c r="I380" s="121" t="s">
        <v>2820</v>
      </c>
      <c r="J380" s="70">
        <v>0.15</v>
      </c>
      <c r="K380" s="70"/>
      <c r="L380" s="149"/>
      <c r="M380" s="2" t="s">
        <v>3415</v>
      </c>
      <c r="N380" s="2" t="s">
        <v>3416</v>
      </c>
      <c r="O380" s="2">
        <v>0.32800000000000001</v>
      </c>
      <c r="P380" s="2"/>
      <c r="Q380" s="2"/>
      <c r="R380" s="142"/>
      <c r="S380" s="142"/>
      <c r="T380" s="142"/>
      <c r="U380" s="142"/>
      <c r="V380" s="142"/>
      <c r="W380" s="142"/>
    </row>
    <row r="381" spans="1:23" ht="106.5" customHeight="1" x14ac:dyDescent="0.25">
      <c r="A381" s="821"/>
      <c r="B381" s="822"/>
      <c r="C381" s="823"/>
      <c r="D381" s="823"/>
      <c r="E381" s="823"/>
      <c r="F381" s="820"/>
      <c r="G381" s="2" t="s">
        <v>2903</v>
      </c>
      <c r="H381" s="2" t="s">
        <v>2920</v>
      </c>
      <c r="I381" s="121" t="s">
        <v>2935</v>
      </c>
      <c r="J381" s="2">
        <v>0.1</v>
      </c>
      <c r="K381" s="70"/>
      <c r="L381" s="149"/>
      <c r="M381" s="2"/>
      <c r="N381" s="2"/>
      <c r="O381" s="2"/>
      <c r="P381" s="2"/>
      <c r="Q381" s="2"/>
      <c r="R381" s="142"/>
      <c r="S381" s="142"/>
      <c r="T381" s="142"/>
      <c r="U381" s="142"/>
      <c r="V381" s="142"/>
      <c r="W381" s="142"/>
    </row>
    <row r="382" spans="1:23" ht="14.25" customHeight="1" x14ac:dyDescent="0.25">
      <c r="A382" s="870"/>
      <c r="B382" s="872"/>
      <c r="C382" s="873"/>
      <c r="D382" s="873"/>
      <c r="E382" s="873"/>
      <c r="F382" s="868"/>
      <c r="G382" s="2767" t="s">
        <v>3019</v>
      </c>
      <c r="H382" s="2767"/>
      <c r="I382" s="2767"/>
      <c r="J382" s="2767"/>
      <c r="K382" s="2767"/>
      <c r="L382" s="2768"/>
      <c r="M382" s="2"/>
      <c r="N382" s="2"/>
      <c r="O382" s="2"/>
      <c r="P382" s="2"/>
      <c r="Q382" s="70"/>
      <c r="R382" s="147"/>
      <c r="S382" s="365"/>
      <c r="T382" s="176"/>
      <c r="U382" s="149"/>
      <c r="V382" s="149"/>
      <c r="W382" s="149"/>
    </row>
    <row r="383" spans="1:23" ht="28.5" customHeight="1" x14ac:dyDescent="0.25">
      <c r="A383" s="1185"/>
      <c r="B383" s="1183"/>
      <c r="C383" s="1187"/>
      <c r="D383" s="1187"/>
      <c r="E383" s="1187"/>
      <c r="F383" s="1184"/>
      <c r="G383" s="2771"/>
      <c r="H383" s="2772"/>
      <c r="I383" s="2468"/>
      <c r="J383" s="149"/>
      <c r="K383" s="149"/>
      <c r="L383" s="149"/>
      <c r="M383" s="1843" t="s">
        <v>15307</v>
      </c>
      <c r="N383" s="1843" t="s">
        <v>16931</v>
      </c>
      <c r="O383" s="1843">
        <v>2.5000000000000001E-2</v>
      </c>
      <c r="P383" s="2"/>
      <c r="Q383" s="70"/>
      <c r="R383" s="2" t="s">
        <v>3343</v>
      </c>
      <c r="S383" s="2" t="s">
        <v>3344</v>
      </c>
      <c r="T383" s="806" t="s">
        <v>3452</v>
      </c>
      <c r="U383" s="2">
        <f>0.03*0.75</f>
        <v>2.2499999999999999E-2</v>
      </c>
      <c r="V383" s="149"/>
      <c r="W383" s="149"/>
    </row>
    <row r="384" spans="1:23" ht="28.5" customHeight="1" x14ac:dyDescent="0.25">
      <c r="A384" s="1185"/>
      <c r="B384" s="1183"/>
      <c r="C384" s="1187"/>
      <c r="D384" s="1187"/>
      <c r="E384" s="1187"/>
      <c r="F384" s="1184"/>
      <c r="G384" s="2767" t="s">
        <v>3405</v>
      </c>
      <c r="H384" s="2767"/>
      <c r="I384" s="2767"/>
      <c r="J384" s="2767"/>
      <c r="K384" s="2767"/>
      <c r="L384" s="2768"/>
      <c r="M384" s="2"/>
      <c r="N384" s="2"/>
      <c r="O384" s="2"/>
      <c r="P384" s="2"/>
      <c r="Q384" s="2"/>
      <c r="R384" s="2239"/>
      <c r="S384" s="2239"/>
      <c r="T384" s="2239"/>
      <c r="U384" s="2239"/>
      <c r="V384" s="2239"/>
      <c r="W384" s="2239"/>
    </row>
    <row r="385" spans="1:23" ht="28.5" customHeight="1" x14ac:dyDescent="0.25">
      <c r="A385" s="1237"/>
      <c r="B385" s="1231"/>
      <c r="C385" s="1239"/>
      <c r="D385" s="1239"/>
      <c r="E385" s="1239"/>
      <c r="F385" s="1232"/>
      <c r="G385" s="2"/>
      <c r="H385" s="2"/>
      <c r="I385" s="806"/>
      <c r="J385" s="2"/>
      <c r="K385" s="70"/>
      <c r="L385" s="149"/>
      <c r="M385" s="2"/>
      <c r="N385" s="2"/>
      <c r="O385" s="2"/>
      <c r="P385" s="2"/>
      <c r="Q385" s="2"/>
      <c r="R385" s="2239"/>
      <c r="S385" s="2239"/>
      <c r="T385" s="2239"/>
      <c r="U385" s="2239"/>
      <c r="V385" s="2239"/>
      <c r="W385" s="2239"/>
    </row>
    <row r="386" spans="1:23" ht="28.5" customHeight="1" x14ac:dyDescent="0.25">
      <c r="A386" s="1592"/>
      <c r="B386" s="1598"/>
      <c r="C386" s="1601"/>
      <c r="D386" s="1601"/>
      <c r="E386" s="1601"/>
      <c r="F386" s="1599"/>
      <c r="G386" s="2784" t="s">
        <v>3401</v>
      </c>
      <c r="H386" s="2785"/>
      <c r="I386" s="2786"/>
      <c r="J386" s="775">
        <f>0.397*0.9</f>
        <v>0.35730000000000001</v>
      </c>
      <c r="K386" s="70"/>
      <c r="L386" s="149"/>
      <c r="M386" s="2"/>
      <c r="N386" s="2"/>
      <c r="O386" s="2"/>
      <c r="P386" s="2"/>
      <c r="Q386" s="2"/>
      <c r="R386" s="2239"/>
      <c r="S386" s="2239"/>
      <c r="T386" s="2239"/>
      <c r="U386" s="2239"/>
      <c r="V386" s="2239"/>
      <c r="W386" s="2239"/>
    </row>
    <row r="387" spans="1:23" ht="28.5" customHeight="1" x14ac:dyDescent="0.25">
      <c r="A387" s="1756"/>
      <c r="B387" s="1741"/>
      <c r="C387" s="1742"/>
      <c r="D387" s="1742"/>
      <c r="E387" s="1742"/>
      <c r="F387" s="1743"/>
      <c r="G387" s="2" t="s">
        <v>16693</v>
      </c>
      <c r="H387" s="2" t="s">
        <v>16694</v>
      </c>
      <c r="I387" s="1760" t="s">
        <v>16864</v>
      </c>
      <c r="J387" s="149">
        <f>0.3*0.9</f>
        <v>0.27</v>
      </c>
      <c r="K387" s="149"/>
      <c r="L387" s="149"/>
      <c r="M387" s="2"/>
      <c r="N387" s="2"/>
      <c r="O387" s="2"/>
      <c r="P387" s="2"/>
      <c r="Q387" s="2"/>
      <c r="R387" s="2239"/>
      <c r="S387" s="2239"/>
      <c r="T387" s="2239"/>
      <c r="U387" s="2239"/>
      <c r="V387" s="2239"/>
      <c r="W387" s="2239"/>
    </row>
    <row r="388" spans="1:23" ht="28.5" customHeight="1" x14ac:dyDescent="0.25">
      <c r="A388" s="1791"/>
      <c r="B388" s="1782"/>
      <c r="C388" s="1783"/>
      <c r="D388" s="1783"/>
      <c r="E388" s="1783"/>
      <c r="F388" s="1784"/>
      <c r="G388" s="2" t="s">
        <v>16770</v>
      </c>
      <c r="H388" s="2" t="s">
        <v>16771</v>
      </c>
      <c r="I388" s="1794" t="s">
        <v>16888</v>
      </c>
      <c r="J388" s="149">
        <f>(0.25-0.06)*0.9</f>
        <v>0.17100000000000001</v>
      </c>
      <c r="K388" s="149"/>
      <c r="L388" s="149"/>
      <c r="M388" s="2"/>
      <c r="N388" s="2"/>
      <c r="O388" s="2"/>
      <c r="P388" s="2"/>
      <c r="Q388" s="2"/>
      <c r="R388" s="2239"/>
      <c r="S388" s="2239"/>
      <c r="T388" s="2239"/>
      <c r="U388" s="2239"/>
      <c r="V388" s="2239"/>
      <c r="W388" s="2239"/>
    </row>
    <row r="389" spans="1:23" ht="28.5" customHeight="1" x14ac:dyDescent="0.25">
      <c r="A389" s="1935"/>
      <c r="B389" s="1919"/>
      <c r="C389" s="1920"/>
      <c r="D389" s="1920"/>
      <c r="E389" s="1920"/>
      <c r="F389" s="1923"/>
      <c r="G389" s="2" t="s">
        <v>2786</v>
      </c>
      <c r="H389" s="2" t="s">
        <v>16924</v>
      </c>
      <c r="I389" s="1940" t="s">
        <v>17049</v>
      </c>
      <c r="J389" s="149">
        <f>0.09*0.75</f>
        <v>6.7500000000000004E-2</v>
      </c>
      <c r="K389" s="149"/>
      <c r="L389" s="149"/>
      <c r="M389" s="2"/>
      <c r="N389" s="2"/>
      <c r="O389" s="2"/>
      <c r="P389" s="2"/>
      <c r="Q389" s="2"/>
      <c r="R389" s="2239"/>
      <c r="S389" s="2239"/>
      <c r="T389" s="2239"/>
      <c r="U389" s="2239"/>
      <c r="V389" s="2239"/>
      <c r="W389" s="2239"/>
    </row>
    <row r="390" spans="1:23" ht="28.5" customHeight="1" x14ac:dyDescent="0.25">
      <c r="A390" s="2331"/>
      <c r="B390" s="2316"/>
      <c r="C390" s="2317"/>
      <c r="D390" s="2317"/>
      <c r="E390" s="2317"/>
      <c r="F390" s="2320"/>
      <c r="G390" s="2767" t="s">
        <v>17067</v>
      </c>
      <c r="H390" s="2767"/>
      <c r="I390" s="2767"/>
      <c r="J390" s="2767"/>
      <c r="K390" s="2767"/>
      <c r="L390" s="2768"/>
      <c r="M390" s="812"/>
      <c r="N390" s="121"/>
      <c r="O390" s="70"/>
      <c r="P390" s="70"/>
      <c r="Q390" s="70"/>
      <c r="R390" s="2335"/>
      <c r="S390" s="2336"/>
      <c r="T390" s="2337"/>
      <c r="U390" s="149"/>
      <c r="V390" s="149"/>
      <c r="W390" s="149"/>
    </row>
    <row r="391" spans="1:23" ht="28.5" customHeight="1" x14ac:dyDescent="0.25">
      <c r="A391" s="2331"/>
      <c r="B391" s="2316"/>
      <c r="C391" s="2317"/>
      <c r="D391" s="2317"/>
      <c r="E391" s="2317"/>
      <c r="F391" s="2320"/>
      <c r="G391" s="2" t="s">
        <v>20250</v>
      </c>
      <c r="H391" s="2" t="s">
        <v>20251</v>
      </c>
      <c r="I391" s="2334" t="s">
        <v>20252</v>
      </c>
      <c r="J391" s="2334">
        <f>(0.4-0.09)*0.75</f>
        <v>0.23250000000000004</v>
      </c>
      <c r="K391" s="2334"/>
      <c r="L391" s="2334"/>
      <c r="M391" s="812"/>
      <c r="N391" s="121"/>
      <c r="O391" s="70"/>
      <c r="P391" s="70"/>
      <c r="Q391" s="70"/>
      <c r="R391" s="2335"/>
      <c r="S391" s="2336"/>
      <c r="T391" s="2337"/>
      <c r="U391" s="149"/>
      <c r="V391" s="149"/>
      <c r="W391" s="149"/>
    </row>
    <row r="392" spans="1:23" ht="20.100000000000001" customHeight="1" thickBot="1" x14ac:dyDescent="0.3">
      <c r="A392" s="406"/>
      <c r="B392" s="395"/>
      <c r="C392" s="396"/>
      <c r="D392" s="396"/>
      <c r="E392" s="396"/>
      <c r="F392" s="397"/>
      <c r="G392" s="2636" t="s">
        <v>1833</v>
      </c>
      <c r="H392" s="2636"/>
      <c r="I392" s="2637"/>
      <c r="J392" s="208">
        <f>SUM(J386:J391)</f>
        <v>1.0983000000000001</v>
      </c>
      <c r="K392" s="183">
        <v>0.92</v>
      </c>
      <c r="L392" s="136">
        <f>J392/K392</f>
        <v>1.1938043478260869</v>
      </c>
      <c r="M392" s="2652" t="s">
        <v>1834</v>
      </c>
      <c r="N392" s="2637"/>
      <c r="O392" s="136">
        <f>SUM(O374:O386)</f>
        <v>2.7179999999999995</v>
      </c>
      <c r="P392" s="183">
        <v>0.92</v>
      </c>
      <c r="Q392" s="136">
        <f>O392/P392</f>
        <v>2.954347826086956</v>
      </c>
      <c r="R392" s="2652" t="s">
        <v>1833</v>
      </c>
      <c r="S392" s="2636"/>
      <c r="T392" s="2637"/>
      <c r="U392" s="208">
        <f>SUM(U380:U389)</f>
        <v>2.2499999999999999E-2</v>
      </c>
      <c r="V392" s="183">
        <v>0.92</v>
      </c>
      <c r="W392" s="136">
        <f>U392/V392</f>
        <v>2.4456521739130432E-2</v>
      </c>
    </row>
    <row r="393" spans="1:23" ht="20.100000000000001" customHeight="1" x14ac:dyDescent="0.25">
      <c r="A393" s="407" t="str">
        <f>Итоговая!C318</f>
        <v xml:space="preserve">ПС 35/10 кВ Сахарово </v>
      </c>
      <c r="B393" s="399">
        <f>Итоговая!D318</f>
        <v>4</v>
      </c>
      <c r="C393" s="400" t="str">
        <f>Итоговая!E318</f>
        <v>+</v>
      </c>
      <c r="D393" s="400">
        <f>Итоговая!F318</f>
        <v>4</v>
      </c>
      <c r="E393" s="400"/>
      <c r="F393" s="401"/>
      <c r="G393" s="2808" t="s">
        <v>1961</v>
      </c>
      <c r="H393" s="2808"/>
      <c r="I393" s="2808"/>
      <c r="J393" s="2808"/>
      <c r="K393" s="2808"/>
      <c r="L393" s="2800"/>
      <c r="M393" s="143" t="s">
        <v>403</v>
      </c>
      <c r="N393" s="143" t="s">
        <v>404</v>
      </c>
      <c r="O393" s="143">
        <v>7.8600000000000003E-2</v>
      </c>
      <c r="P393" s="143"/>
      <c r="Q393" s="143"/>
      <c r="R393" s="2826" t="s">
        <v>1961</v>
      </c>
      <c r="S393" s="2808"/>
      <c r="T393" s="2808"/>
      <c r="U393" s="2808"/>
      <c r="V393" s="2808"/>
      <c r="W393" s="2800"/>
    </row>
    <row r="394" spans="1:23" ht="62.25" customHeight="1" x14ac:dyDescent="0.25">
      <c r="A394" s="402"/>
      <c r="B394" s="403"/>
      <c r="C394" s="404"/>
      <c r="D394" s="404"/>
      <c r="E394" s="404"/>
      <c r="F394" s="405"/>
      <c r="G394" s="308"/>
      <c r="H394" s="303"/>
      <c r="I394" s="304"/>
      <c r="J394" s="303"/>
      <c r="K394" s="143"/>
      <c r="L394" s="142"/>
      <c r="M394" s="143" t="s">
        <v>408</v>
      </c>
      <c r="N394" s="143" t="s">
        <v>409</v>
      </c>
      <c r="O394" s="143">
        <v>6.5000000000000002E-2</v>
      </c>
      <c r="P394" s="143"/>
      <c r="Q394" s="143"/>
      <c r="R394" s="347" t="s">
        <v>403</v>
      </c>
      <c r="S394" s="347" t="s">
        <v>404</v>
      </c>
      <c r="T394" s="371" t="s">
        <v>2480</v>
      </c>
      <c r="U394" s="347">
        <v>5.8299999999999998E-2</v>
      </c>
      <c r="V394" s="347"/>
      <c r="W394" s="355"/>
    </row>
    <row r="395" spans="1:23" ht="78.75" customHeight="1" x14ac:dyDescent="0.25">
      <c r="A395" s="402"/>
      <c r="B395" s="403"/>
      <c r="C395" s="404"/>
      <c r="D395" s="404"/>
      <c r="E395" s="404"/>
      <c r="F395" s="405"/>
      <c r="G395" s="184" t="s">
        <v>403</v>
      </c>
      <c r="H395" s="143" t="s">
        <v>407</v>
      </c>
      <c r="I395" s="2" t="s">
        <v>867</v>
      </c>
      <c r="J395" s="143">
        <v>0.45800000000000002</v>
      </c>
      <c r="K395" s="143"/>
      <c r="L395" s="142"/>
      <c r="M395" s="2206"/>
      <c r="N395" s="2206"/>
      <c r="O395" s="2206"/>
      <c r="P395" s="2206"/>
      <c r="Q395" s="2206"/>
      <c r="R395" s="2239"/>
      <c r="S395" s="2239"/>
      <c r="T395" s="2239"/>
      <c r="U395" s="2239"/>
      <c r="V395" s="2239"/>
      <c r="W395" s="2239"/>
    </row>
    <row r="396" spans="1:23" ht="20.100000000000001" customHeight="1" x14ac:dyDescent="0.25">
      <c r="A396" s="402"/>
      <c r="B396" s="403"/>
      <c r="C396" s="404"/>
      <c r="D396" s="404"/>
      <c r="E396" s="404"/>
      <c r="F396" s="405"/>
      <c r="G396" s="2767" t="s">
        <v>1960</v>
      </c>
      <c r="H396" s="2767"/>
      <c r="I396" s="2767"/>
      <c r="J396" s="2767"/>
      <c r="K396" s="2767"/>
      <c r="L396" s="2768"/>
      <c r="M396" s="2206"/>
      <c r="N396" s="2206"/>
      <c r="O396" s="2206"/>
      <c r="P396" s="2206"/>
      <c r="Q396" s="2206"/>
      <c r="R396" s="295"/>
      <c r="S396" s="295"/>
      <c r="T396" s="295"/>
      <c r="U396" s="295"/>
      <c r="V396" s="295"/>
      <c r="W396" s="295"/>
    </row>
    <row r="397" spans="1:23" ht="43.5" customHeight="1" x14ac:dyDescent="0.25">
      <c r="A397" s="402"/>
      <c r="B397" s="403"/>
      <c r="C397" s="404"/>
      <c r="D397" s="404"/>
      <c r="E397" s="404"/>
      <c r="F397" s="405"/>
      <c r="G397" s="184" t="s">
        <v>410</v>
      </c>
      <c r="H397" s="143" t="s">
        <v>411</v>
      </c>
      <c r="I397" s="2" t="s">
        <v>412</v>
      </c>
      <c r="J397" s="143">
        <v>0.05</v>
      </c>
      <c r="K397" s="143"/>
      <c r="L397" s="142"/>
      <c r="M397" s="2206"/>
      <c r="N397" s="2206"/>
      <c r="O397" s="2206"/>
      <c r="P397" s="2206"/>
      <c r="Q397" s="2206"/>
      <c r="R397" s="2239"/>
      <c r="S397" s="2239"/>
      <c r="T397" s="2239"/>
      <c r="U397" s="2239"/>
      <c r="V397" s="2239"/>
      <c r="W397" s="2239"/>
    </row>
    <row r="398" spans="1:23" ht="20.100000000000001" customHeight="1" x14ac:dyDescent="0.25">
      <c r="A398" s="402"/>
      <c r="B398" s="403"/>
      <c r="C398" s="404"/>
      <c r="D398" s="404"/>
      <c r="E398" s="404"/>
      <c r="F398" s="405"/>
      <c r="G398" s="2767" t="s">
        <v>1959</v>
      </c>
      <c r="H398" s="2767"/>
      <c r="I398" s="2767"/>
      <c r="J398" s="2767"/>
      <c r="K398" s="2767"/>
      <c r="L398" s="2768"/>
      <c r="M398" s="2206"/>
      <c r="N398" s="2206"/>
      <c r="O398" s="2206"/>
      <c r="P398" s="2206"/>
      <c r="Q398" s="2206"/>
      <c r="R398" s="295"/>
      <c r="S398" s="295"/>
      <c r="T398" s="295"/>
      <c r="U398" s="295"/>
      <c r="V398" s="295"/>
      <c r="W398" s="295"/>
    </row>
    <row r="399" spans="1:23" ht="20.100000000000001" customHeight="1" x14ac:dyDescent="0.25">
      <c r="A399" s="402"/>
      <c r="B399" s="403"/>
      <c r="C399" s="404"/>
      <c r="D399" s="404"/>
      <c r="E399" s="404"/>
      <c r="F399" s="405"/>
      <c r="G399" s="184" t="s">
        <v>415</v>
      </c>
      <c r="H399" s="143" t="s">
        <v>416</v>
      </c>
      <c r="I399" s="2" t="s">
        <v>417</v>
      </c>
      <c r="J399" s="143">
        <v>2.4E-2</v>
      </c>
      <c r="K399" s="143"/>
      <c r="L399" s="143"/>
      <c r="M399" s="2206"/>
      <c r="N399" s="2206"/>
      <c r="O399" s="2206"/>
      <c r="P399" s="2206"/>
      <c r="Q399" s="2206"/>
      <c r="R399" s="2239"/>
      <c r="S399" s="2239"/>
      <c r="T399" s="2239"/>
      <c r="U399" s="2239"/>
      <c r="V399" s="2239"/>
      <c r="W399" s="2239"/>
    </row>
    <row r="400" spans="1:23" ht="20.100000000000001" customHeight="1" x14ac:dyDescent="0.25">
      <c r="A400" s="402"/>
      <c r="B400" s="403"/>
      <c r="C400" s="404"/>
      <c r="D400" s="404"/>
      <c r="E400" s="404"/>
      <c r="F400" s="405"/>
      <c r="G400" s="184" t="s">
        <v>405</v>
      </c>
      <c r="H400" s="143" t="s">
        <v>406</v>
      </c>
      <c r="I400" s="2" t="s">
        <v>1499</v>
      </c>
      <c r="J400" s="143">
        <v>0.06</v>
      </c>
      <c r="K400" s="151"/>
      <c r="L400" s="143"/>
      <c r="M400" s="2206"/>
      <c r="N400" s="2206"/>
      <c r="O400" s="2206"/>
      <c r="P400" s="2206"/>
      <c r="Q400" s="2206"/>
      <c r="R400" s="2239"/>
      <c r="S400" s="2239"/>
      <c r="T400" s="2239"/>
      <c r="U400" s="2239"/>
      <c r="V400" s="2239"/>
      <c r="W400" s="2239"/>
    </row>
    <row r="401" spans="1:23" ht="37.5" customHeight="1" x14ac:dyDescent="0.25">
      <c r="A401" s="402"/>
      <c r="B401" s="403"/>
      <c r="C401" s="404"/>
      <c r="D401" s="404"/>
      <c r="E401" s="404"/>
      <c r="F401" s="405"/>
      <c r="G401" s="184" t="s">
        <v>1972</v>
      </c>
      <c r="H401" s="143" t="s">
        <v>1973</v>
      </c>
      <c r="I401" s="2" t="s">
        <v>2324</v>
      </c>
      <c r="J401" s="143">
        <v>0.12</v>
      </c>
      <c r="K401" s="151"/>
      <c r="L401" s="151"/>
      <c r="M401" s="2206"/>
      <c r="N401" s="2206"/>
      <c r="O401" s="2206"/>
      <c r="P401" s="2206"/>
      <c r="Q401" s="2206"/>
      <c r="R401" s="2239"/>
      <c r="S401" s="2239"/>
      <c r="T401" s="2239"/>
      <c r="U401" s="2239"/>
      <c r="V401" s="2239"/>
      <c r="W401" s="2239"/>
    </row>
    <row r="402" spans="1:23" ht="15" customHeight="1" x14ac:dyDescent="0.25">
      <c r="A402" s="578"/>
      <c r="B402" s="579"/>
      <c r="C402" s="580"/>
      <c r="D402" s="580"/>
      <c r="E402" s="580"/>
      <c r="F402" s="577"/>
      <c r="G402" s="2767" t="s">
        <v>2032</v>
      </c>
      <c r="H402" s="2767"/>
      <c r="I402" s="2767"/>
      <c r="J402" s="2767"/>
      <c r="K402" s="2767"/>
      <c r="L402" s="2768"/>
      <c r="M402" s="2206"/>
      <c r="N402" s="2206"/>
      <c r="O402" s="2206"/>
      <c r="P402" s="2206"/>
      <c r="Q402" s="2206"/>
      <c r="R402" s="2239"/>
      <c r="S402" s="2239"/>
      <c r="T402" s="2239"/>
      <c r="U402" s="2239"/>
      <c r="V402" s="2239"/>
      <c r="W402" s="2239"/>
    </row>
    <row r="403" spans="1:23" ht="68.25" customHeight="1" x14ac:dyDescent="0.25">
      <c r="A403" s="402"/>
      <c r="B403" s="403"/>
      <c r="C403" s="404"/>
      <c r="D403" s="404"/>
      <c r="E403" s="404"/>
      <c r="F403" s="405"/>
      <c r="G403" s="184" t="s">
        <v>413</v>
      </c>
      <c r="H403" s="143" t="s">
        <v>414</v>
      </c>
      <c r="I403" s="121" t="s">
        <v>2355</v>
      </c>
      <c r="J403" s="151">
        <v>0.15</v>
      </c>
      <c r="K403" s="151"/>
      <c r="L403" s="151"/>
      <c r="M403" s="2206"/>
      <c r="N403" s="2206"/>
      <c r="O403" s="2206"/>
      <c r="P403" s="2206"/>
      <c r="Q403" s="2206"/>
      <c r="R403" s="2239"/>
      <c r="S403" s="2239"/>
      <c r="T403" s="2239"/>
      <c r="U403" s="2239"/>
      <c r="V403" s="2239"/>
      <c r="W403" s="2239"/>
    </row>
    <row r="404" spans="1:23" ht="23.25" customHeight="1" x14ac:dyDescent="0.25">
      <c r="A404" s="793"/>
      <c r="B404" s="794"/>
      <c r="C404" s="796"/>
      <c r="D404" s="796"/>
      <c r="E404" s="796"/>
      <c r="F404" s="792"/>
      <c r="G404" s="2767" t="s">
        <v>2477</v>
      </c>
      <c r="H404" s="2767"/>
      <c r="I404" s="2767"/>
      <c r="J404" s="2767"/>
      <c r="K404" s="2767"/>
      <c r="L404" s="2768"/>
      <c r="M404" s="2206"/>
      <c r="N404" s="2206"/>
      <c r="O404" s="2206"/>
      <c r="P404" s="2206"/>
      <c r="Q404" s="2206"/>
      <c r="R404" s="2239"/>
      <c r="S404" s="2239"/>
      <c r="T404" s="2239"/>
      <c r="U404" s="2239"/>
      <c r="V404" s="2239"/>
      <c r="W404" s="2239"/>
    </row>
    <row r="405" spans="1:23" ht="52.5" customHeight="1" x14ac:dyDescent="0.25">
      <c r="A405" s="793"/>
      <c r="B405" s="794"/>
      <c r="C405" s="796"/>
      <c r="D405" s="796"/>
      <c r="E405" s="796"/>
      <c r="F405" s="792"/>
      <c r="G405" s="143" t="s">
        <v>410</v>
      </c>
      <c r="H405" s="1496" t="s">
        <v>411</v>
      </c>
      <c r="I405" s="2" t="s">
        <v>2875</v>
      </c>
      <c r="J405" s="143">
        <f>0.05*0.9</f>
        <v>4.5000000000000005E-2</v>
      </c>
      <c r="K405" s="143"/>
      <c r="L405" s="143"/>
      <c r="M405" s="2206"/>
      <c r="N405" s="2206"/>
      <c r="O405" s="2206"/>
      <c r="P405" s="2206"/>
      <c r="Q405" s="2206"/>
      <c r="R405" s="2239"/>
      <c r="S405" s="2239"/>
      <c r="T405" s="2239"/>
      <c r="U405" s="2239"/>
      <c r="V405" s="2239"/>
      <c r="W405" s="2239"/>
    </row>
    <row r="406" spans="1:23" ht="20.25" customHeight="1" x14ac:dyDescent="0.25">
      <c r="A406" s="1040"/>
      <c r="B406" s="1038"/>
      <c r="C406" s="1041"/>
      <c r="D406" s="1041"/>
      <c r="E406" s="1041"/>
      <c r="F406" s="1039"/>
      <c r="G406" s="2767" t="s">
        <v>3020</v>
      </c>
      <c r="H406" s="2767"/>
      <c r="I406" s="2767"/>
      <c r="J406" s="2767"/>
      <c r="K406" s="2767"/>
      <c r="L406" s="2768"/>
      <c r="M406" s="2206"/>
      <c r="N406" s="2206"/>
      <c r="O406" s="2206"/>
      <c r="P406" s="2206"/>
      <c r="Q406" s="2206"/>
      <c r="R406" s="2239"/>
      <c r="S406" s="2239"/>
      <c r="T406" s="2239"/>
      <c r="U406" s="2239"/>
      <c r="V406" s="2239"/>
      <c r="W406" s="2239"/>
    </row>
    <row r="407" spans="1:23" ht="52.5" customHeight="1" x14ac:dyDescent="0.25">
      <c r="A407" s="1040"/>
      <c r="B407" s="1038"/>
      <c r="C407" s="1041"/>
      <c r="D407" s="1041"/>
      <c r="E407" s="1041"/>
      <c r="F407" s="1039"/>
      <c r="G407" s="143" t="s">
        <v>3108</v>
      </c>
      <c r="H407" s="143" t="s">
        <v>3109</v>
      </c>
      <c r="I407" s="121" t="s">
        <v>3133</v>
      </c>
      <c r="J407" s="143">
        <f>0.1*0.9</f>
        <v>9.0000000000000011E-2</v>
      </c>
      <c r="K407" s="151"/>
      <c r="L407" s="151"/>
      <c r="M407" s="2206"/>
      <c r="N407" s="2206"/>
      <c r="O407" s="2206"/>
      <c r="P407" s="2206"/>
      <c r="Q407" s="2206"/>
      <c r="R407" s="2239"/>
      <c r="S407" s="2239"/>
      <c r="T407" s="2239"/>
      <c r="U407" s="2239"/>
      <c r="V407" s="2239"/>
      <c r="W407" s="2239"/>
    </row>
    <row r="408" spans="1:23" ht="52.5" customHeight="1" x14ac:dyDescent="0.25">
      <c r="A408" s="1185"/>
      <c r="B408" s="1183"/>
      <c r="C408" s="1187"/>
      <c r="D408" s="1187"/>
      <c r="E408" s="1187"/>
      <c r="F408" s="1184"/>
      <c r="G408" s="2767" t="s">
        <v>17005</v>
      </c>
      <c r="H408" s="2767"/>
      <c r="I408" s="2767"/>
      <c r="J408" s="2767"/>
      <c r="K408" s="2767"/>
      <c r="L408" s="2768"/>
      <c r="M408" s="2206"/>
      <c r="N408" s="2206"/>
      <c r="O408" s="2206"/>
      <c r="P408" s="2206"/>
      <c r="Q408" s="2206"/>
      <c r="R408" s="2239"/>
      <c r="S408" s="2239"/>
      <c r="T408" s="2239"/>
      <c r="U408" s="2239"/>
      <c r="V408" s="2239"/>
      <c r="W408" s="2239"/>
    </row>
    <row r="409" spans="1:23" ht="52.5" customHeight="1" x14ac:dyDescent="0.25">
      <c r="A409" s="1185"/>
      <c r="B409" s="1183"/>
      <c r="C409" s="1187"/>
      <c r="D409" s="1187"/>
      <c r="E409" s="1187"/>
      <c r="F409" s="1184"/>
      <c r="G409" s="2784" t="s">
        <v>3401</v>
      </c>
      <c r="H409" s="2785"/>
      <c r="I409" s="2786"/>
      <c r="J409" s="775">
        <f>0.179*0.9</f>
        <v>0.16109999999999999</v>
      </c>
      <c r="K409" s="151"/>
      <c r="L409" s="151"/>
      <c r="M409" s="2206"/>
      <c r="N409" s="2206"/>
      <c r="O409" s="2206"/>
      <c r="P409" s="2206"/>
      <c r="Q409" s="2206"/>
      <c r="R409" s="2239"/>
      <c r="S409" s="2239"/>
      <c r="T409" s="2239"/>
      <c r="U409" s="2239"/>
      <c r="V409" s="2239"/>
      <c r="W409" s="2239"/>
    </row>
    <row r="410" spans="1:23" ht="20.100000000000001" customHeight="1" thickBot="1" x14ac:dyDescent="0.3">
      <c r="A410" s="406"/>
      <c r="B410" s="395"/>
      <c r="C410" s="396"/>
      <c r="D410" s="396"/>
      <c r="E410" s="396"/>
      <c r="F410" s="397"/>
      <c r="G410" s="2636" t="s">
        <v>1833</v>
      </c>
      <c r="H410" s="2636"/>
      <c r="I410" s="2637"/>
      <c r="J410" s="136">
        <f>SUM(J407:J409)</f>
        <v>0.25109999999999999</v>
      </c>
      <c r="K410" s="183">
        <v>0.92</v>
      </c>
      <c r="L410" s="136">
        <f>J410/K410</f>
        <v>0.27293478260869564</v>
      </c>
      <c r="M410" s="2652" t="s">
        <v>1834</v>
      </c>
      <c r="N410" s="2637"/>
      <c r="O410" s="136">
        <f>SUM(O393:O396)</f>
        <v>0.14360000000000001</v>
      </c>
      <c r="P410" s="183">
        <v>0.92</v>
      </c>
      <c r="Q410" s="136">
        <f>O410/P410</f>
        <v>0.15608695652173912</v>
      </c>
      <c r="R410" s="2652" t="s">
        <v>1833</v>
      </c>
      <c r="S410" s="2636"/>
      <c r="T410" s="2637"/>
      <c r="U410" s="136">
        <f>SUM(U394)</f>
        <v>5.8299999999999998E-2</v>
      </c>
      <c r="V410" s="183">
        <v>0.92</v>
      </c>
      <c r="W410" s="136">
        <f>U410/V410</f>
        <v>6.3369565217391302E-2</v>
      </c>
    </row>
    <row r="411" spans="1:23" ht="20.100000000000001" customHeight="1" x14ac:dyDescent="0.25">
      <c r="A411" s="2776" t="str">
        <f>Итоговая!C319</f>
        <v>ПС  35/10 кВ Головино</v>
      </c>
      <c r="B411" s="2630">
        <f>Итоговая!D319</f>
        <v>2.5</v>
      </c>
      <c r="C411" s="2632" t="str">
        <f>Итоговая!E319</f>
        <v>+</v>
      </c>
      <c r="D411" s="2632">
        <f>Итоговая!F319</f>
        <v>2.5</v>
      </c>
      <c r="E411" s="400"/>
      <c r="F411" s="401"/>
      <c r="G411" s="2808" t="s">
        <v>1959</v>
      </c>
      <c r="H411" s="2808"/>
      <c r="I411" s="2808"/>
      <c r="J411" s="2808"/>
      <c r="K411" s="2808"/>
      <c r="L411" s="2800"/>
      <c r="M411" s="133"/>
      <c r="N411" s="175"/>
      <c r="O411" s="174"/>
      <c r="P411" s="77"/>
      <c r="Q411" s="77"/>
      <c r="R411" s="2811"/>
      <c r="S411" s="2791"/>
      <c r="T411" s="2791"/>
      <c r="U411" s="2791"/>
      <c r="V411" s="2791"/>
      <c r="W411" s="2792"/>
    </row>
    <row r="412" spans="1:23" ht="20.100000000000001" customHeight="1" x14ac:dyDescent="0.25">
      <c r="A412" s="2777"/>
      <c r="B412" s="2631"/>
      <c r="C412" s="2633"/>
      <c r="D412" s="2633"/>
      <c r="E412" s="404"/>
      <c r="F412" s="405"/>
      <c r="G412" s="264" t="s">
        <v>421</v>
      </c>
      <c r="H412" s="42" t="s">
        <v>422</v>
      </c>
      <c r="I412" s="45" t="s">
        <v>423</v>
      </c>
      <c r="J412" s="42">
        <v>0.09</v>
      </c>
      <c r="K412" s="42"/>
      <c r="L412" s="72"/>
      <c r="M412" s="42" t="s">
        <v>418</v>
      </c>
      <c r="N412" s="42" t="s">
        <v>419</v>
      </c>
      <c r="O412" s="153">
        <v>0.3</v>
      </c>
      <c r="P412" s="42"/>
      <c r="Q412" s="42"/>
      <c r="R412" s="72"/>
      <c r="S412" s="72"/>
      <c r="T412" s="72"/>
      <c r="U412" s="72"/>
      <c r="V412" s="72"/>
      <c r="W412" s="72"/>
    </row>
    <row r="413" spans="1:23" ht="30.75" customHeight="1" x14ac:dyDescent="0.25">
      <c r="A413" s="402"/>
      <c r="B413" s="403"/>
      <c r="C413" s="404"/>
      <c r="D413" s="404"/>
      <c r="E413" s="404"/>
      <c r="F413" s="405"/>
      <c r="G413" s="180" t="s">
        <v>424</v>
      </c>
      <c r="H413" s="151" t="s">
        <v>425</v>
      </c>
      <c r="I413" s="70" t="s">
        <v>426</v>
      </c>
      <c r="J413" s="151">
        <v>0.2</v>
      </c>
      <c r="K413" s="151"/>
      <c r="L413" s="149"/>
      <c r="M413" s="143" t="s">
        <v>420</v>
      </c>
      <c r="N413" s="143" t="s">
        <v>360</v>
      </c>
      <c r="O413" s="184">
        <v>0.6</v>
      </c>
      <c r="P413" s="143"/>
      <c r="Q413" s="143"/>
      <c r="R413" s="142"/>
      <c r="S413" s="142"/>
      <c r="T413" s="142"/>
      <c r="U413" s="142"/>
      <c r="V413" s="142"/>
      <c r="W413" s="142"/>
    </row>
    <row r="414" spans="1:23" ht="21" customHeight="1" x14ac:dyDescent="0.25">
      <c r="A414" s="578"/>
      <c r="B414" s="579"/>
      <c r="C414" s="580"/>
      <c r="D414" s="580"/>
      <c r="E414" s="580"/>
      <c r="F414" s="577"/>
      <c r="G414" s="2804" t="s">
        <v>2032</v>
      </c>
      <c r="H414" s="2804"/>
      <c r="I414" s="2804"/>
      <c r="J414" s="2804"/>
      <c r="K414" s="2804"/>
      <c r="L414" s="2804"/>
      <c r="M414" s="151"/>
      <c r="N414" s="151"/>
      <c r="O414" s="153"/>
      <c r="P414" s="143"/>
      <c r="Q414" s="143"/>
      <c r="R414" s="142"/>
      <c r="S414" s="142"/>
      <c r="T414" s="142"/>
      <c r="U414" s="142"/>
      <c r="V414" s="142"/>
      <c r="W414" s="142"/>
    </row>
    <row r="415" spans="1:23" ht="20.100000000000001" customHeight="1" x14ac:dyDescent="0.25">
      <c r="A415" s="402"/>
      <c r="B415" s="403"/>
      <c r="C415" s="404"/>
      <c r="D415" s="404"/>
      <c r="E415" s="404"/>
      <c r="F415" s="405"/>
      <c r="G415" s="564" t="s">
        <v>2178</v>
      </c>
      <c r="H415" s="217" t="s">
        <v>2179</v>
      </c>
      <c r="I415" s="70" t="s">
        <v>2349</v>
      </c>
      <c r="J415" s="151">
        <v>0.2</v>
      </c>
      <c r="K415" s="151"/>
      <c r="L415" s="149"/>
      <c r="M415" s="217" t="s">
        <v>1461</v>
      </c>
      <c r="N415" s="217" t="s">
        <v>1462</v>
      </c>
      <c r="O415" s="143">
        <v>9.8000000000000004E-2</v>
      </c>
      <c r="P415" s="143"/>
      <c r="Q415" s="143"/>
      <c r="R415" s="81"/>
      <c r="S415" s="81"/>
      <c r="T415" s="142"/>
      <c r="U415" s="142"/>
      <c r="V415" s="142"/>
      <c r="W415" s="142"/>
    </row>
    <row r="416" spans="1:23" ht="20.100000000000001" customHeight="1" x14ac:dyDescent="0.25">
      <c r="A416" s="623"/>
      <c r="B416" s="624"/>
      <c r="C416" s="625"/>
      <c r="D416" s="625"/>
      <c r="E416" s="625"/>
      <c r="F416" s="622"/>
      <c r="G416" s="2804" t="s">
        <v>2477</v>
      </c>
      <c r="H416" s="2804"/>
      <c r="I416" s="2804"/>
      <c r="J416" s="2804"/>
      <c r="K416" s="2804"/>
      <c r="L416" s="2804"/>
      <c r="M416" s="217" t="s">
        <v>3442</v>
      </c>
      <c r="N416" s="217" t="s">
        <v>3443</v>
      </c>
      <c r="O416" s="143">
        <v>0.1</v>
      </c>
      <c r="P416" s="151"/>
      <c r="Q416" s="151"/>
      <c r="R416" s="644"/>
      <c r="S416" s="645"/>
      <c r="T416" s="176"/>
      <c r="U416" s="149"/>
      <c r="V416" s="149"/>
      <c r="W416" s="149"/>
    </row>
    <row r="417" spans="1:23" ht="20.100000000000001" customHeight="1" x14ac:dyDescent="0.25">
      <c r="A417" s="402"/>
      <c r="B417" s="403"/>
      <c r="C417" s="404"/>
      <c r="D417" s="404"/>
      <c r="E417" s="404"/>
      <c r="F417" s="405"/>
      <c r="G417" s="217" t="s">
        <v>1461</v>
      </c>
      <c r="H417" s="143" t="s">
        <v>2509</v>
      </c>
      <c r="I417" s="121" t="s">
        <v>2547</v>
      </c>
      <c r="J417" s="143">
        <v>0.06</v>
      </c>
      <c r="K417" s="151"/>
      <c r="L417" s="149"/>
      <c r="M417" s="217"/>
      <c r="N417" s="1333"/>
      <c r="O417" s="143"/>
      <c r="P417" s="151"/>
      <c r="Q417" s="151"/>
      <c r="R417" s="147"/>
      <c r="S417" s="365"/>
      <c r="T417" s="176"/>
      <c r="U417" s="149"/>
      <c r="V417" s="149"/>
      <c r="W417" s="149"/>
    </row>
    <row r="418" spans="1:23" ht="20.100000000000001" customHeight="1" x14ac:dyDescent="0.25">
      <c r="A418" s="1173"/>
      <c r="B418" s="1174"/>
      <c r="C418" s="1176"/>
      <c r="D418" s="1176"/>
      <c r="E418" s="1176"/>
      <c r="F418" s="1175"/>
      <c r="G418" s="2804" t="s">
        <v>3020</v>
      </c>
      <c r="H418" s="2804"/>
      <c r="I418" s="2804"/>
      <c r="J418" s="2804"/>
      <c r="K418" s="2804"/>
      <c r="L418" s="2804"/>
      <c r="M418" s="642"/>
      <c r="N418" s="180"/>
      <c r="O418" s="151"/>
      <c r="P418" s="151"/>
      <c r="Q418" s="151"/>
      <c r="R418" s="147"/>
      <c r="S418" s="365"/>
      <c r="T418" s="176"/>
      <c r="U418" s="149"/>
      <c r="V418" s="149"/>
      <c r="W418" s="149"/>
    </row>
    <row r="419" spans="1:23" ht="20.100000000000001" customHeight="1" x14ac:dyDescent="0.25">
      <c r="A419" s="1173"/>
      <c r="B419" s="1174"/>
      <c r="C419" s="1176"/>
      <c r="D419" s="1176"/>
      <c r="E419" s="1176"/>
      <c r="F419" s="1175"/>
      <c r="G419" s="2805"/>
      <c r="H419" s="2806"/>
      <c r="I419" s="2807"/>
      <c r="J419" s="1936"/>
      <c r="K419" s="1936"/>
      <c r="L419" s="1936"/>
      <c r="M419" s="642"/>
      <c r="N419" s="180"/>
      <c r="O419" s="151"/>
      <c r="P419" s="151"/>
      <c r="Q419" s="151"/>
      <c r="R419" s="147"/>
      <c r="S419" s="365"/>
      <c r="T419" s="176"/>
      <c r="U419" s="149"/>
      <c r="V419" s="149"/>
      <c r="W419" s="149"/>
    </row>
    <row r="420" spans="1:23" ht="20.100000000000001" customHeight="1" x14ac:dyDescent="0.25">
      <c r="A420" s="1330"/>
      <c r="B420" s="1336"/>
      <c r="C420" s="1339"/>
      <c r="D420" s="1339"/>
      <c r="E420" s="1339"/>
      <c r="F420" s="1337"/>
      <c r="G420" s="2804" t="s">
        <v>3447</v>
      </c>
      <c r="H420" s="2804"/>
      <c r="I420" s="2804"/>
      <c r="J420" s="2804"/>
      <c r="K420" s="2804"/>
      <c r="L420" s="2804"/>
      <c r="M420" s="642"/>
      <c r="N420" s="1335"/>
      <c r="O420" s="1331"/>
      <c r="P420" s="1331"/>
      <c r="Q420" s="1331"/>
      <c r="R420" s="1349"/>
      <c r="S420" s="1347"/>
      <c r="T420" s="1348"/>
      <c r="U420" s="149"/>
      <c r="V420" s="149"/>
      <c r="W420" s="149"/>
    </row>
    <row r="421" spans="1:23" ht="20.100000000000001" customHeight="1" x14ac:dyDescent="0.25">
      <c r="A421" s="1330"/>
      <c r="B421" s="1336"/>
      <c r="C421" s="1339"/>
      <c r="D421" s="1339"/>
      <c r="E421" s="1339"/>
      <c r="F421" s="1337"/>
      <c r="G421" s="378" t="s">
        <v>3541</v>
      </c>
      <c r="H421" s="1345" t="s">
        <v>3542</v>
      </c>
      <c r="I421" s="702" t="s">
        <v>3583</v>
      </c>
      <c r="J421" s="149">
        <f>0.1*0.9</f>
        <v>9.0000000000000011E-2</v>
      </c>
      <c r="K421" s="149"/>
      <c r="L421" s="149"/>
      <c r="M421" s="642"/>
      <c r="N421" s="1335"/>
      <c r="O421" s="1331"/>
      <c r="P421" s="1331"/>
      <c r="Q421" s="1331"/>
      <c r="R421" s="1349"/>
      <c r="S421" s="1347"/>
      <c r="T421" s="1348"/>
      <c r="U421" s="149"/>
      <c r="V421" s="149"/>
      <c r="W421" s="149"/>
    </row>
    <row r="422" spans="1:23" ht="20.100000000000001" customHeight="1" x14ac:dyDescent="0.25">
      <c r="A422" s="1592"/>
      <c r="B422" s="1598"/>
      <c r="C422" s="1601"/>
      <c r="D422" s="1601"/>
      <c r="E422" s="1601"/>
      <c r="F422" s="1599"/>
      <c r="G422" s="2830" t="s">
        <v>3401</v>
      </c>
      <c r="H422" s="2831"/>
      <c r="I422" s="2832"/>
      <c r="J422" s="774">
        <f>0.123*0.8</f>
        <v>9.8400000000000001E-2</v>
      </c>
      <c r="K422" s="774"/>
      <c r="L422" s="774"/>
      <c r="M422" s="642"/>
      <c r="N422" s="1597"/>
      <c r="O422" s="1593"/>
      <c r="P422" s="1593"/>
      <c r="Q422" s="1593"/>
      <c r="R422" s="1610"/>
      <c r="S422" s="1611"/>
      <c r="T422" s="1612"/>
      <c r="U422" s="149"/>
      <c r="V422" s="149"/>
      <c r="W422" s="149"/>
    </row>
    <row r="423" spans="1:23" ht="20.100000000000001" customHeight="1" thickBot="1" x14ac:dyDescent="0.3">
      <c r="A423" s="406"/>
      <c r="B423" s="395"/>
      <c r="C423" s="396"/>
      <c r="D423" s="396"/>
      <c r="E423" s="396"/>
      <c r="F423" s="397"/>
      <c r="G423" s="2636"/>
      <c r="H423" s="2636"/>
      <c r="I423" s="2637"/>
      <c r="J423" s="136">
        <f>SUM(J421:J422)</f>
        <v>0.18840000000000001</v>
      </c>
      <c r="K423" s="183">
        <v>0.92</v>
      </c>
      <c r="L423" s="136">
        <f>J423/K423</f>
        <v>0.20478260869565218</v>
      </c>
      <c r="M423" s="2652" t="s">
        <v>1834</v>
      </c>
      <c r="N423" s="2637"/>
      <c r="O423" s="136">
        <f>SUM(O412:O417)</f>
        <v>1.0979999999999999</v>
      </c>
      <c r="P423" s="183">
        <v>0.92</v>
      </c>
      <c r="Q423" s="136">
        <f>O423/P423</f>
        <v>1.1934782608695651</v>
      </c>
      <c r="R423" s="2652" t="s">
        <v>1833</v>
      </c>
      <c r="S423" s="2636"/>
      <c r="T423" s="2637"/>
      <c r="U423" s="136">
        <f>SUM(U412:U415)</f>
        <v>0</v>
      </c>
      <c r="V423" s="183">
        <v>0.92</v>
      </c>
      <c r="W423" s="136">
        <f>U423/V423</f>
        <v>0</v>
      </c>
    </row>
    <row r="424" spans="1:23" ht="20.100000000000001" customHeight="1" x14ac:dyDescent="0.25">
      <c r="A424" s="2776" t="str">
        <f>Итоговая!C320</f>
        <v>ПС  35/6 кВ Каликино</v>
      </c>
      <c r="B424" s="2630">
        <f>Итоговая!D320</f>
        <v>10</v>
      </c>
      <c r="C424" s="2632" t="str">
        <f>Итоговая!E320</f>
        <v>+</v>
      </c>
      <c r="D424" s="2632">
        <f>Итоговая!F320</f>
        <v>3.2</v>
      </c>
      <c r="E424" s="400"/>
      <c r="F424" s="401"/>
      <c r="G424" s="2808" t="s">
        <v>1960</v>
      </c>
      <c r="H424" s="2808"/>
      <c r="I424" s="2808"/>
      <c r="J424" s="2808"/>
      <c r="K424" s="2808"/>
      <c r="L424" s="2800"/>
      <c r="M424" s="133"/>
      <c r="N424" s="175"/>
      <c r="O424" s="77"/>
      <c r="P424" s="77"/>
      <c r="Q424" s="77"/>
      <c r="R424" s="2811"/>
      <c r="S424" s="2791"/>
      <c r="T424" s="2791"/>
      <c r="U424" s="2791"/>
      <c r="V424" s="2791"/>
      <c r="W424" s="2792"/>
    </row>
    <row r="425" spans="1:23" s="18" customFormat="1" ht="19.5" customHeight="1" x14ac:dyDescent="0.25">
      <c r="A425" s="2777"/>
      <c r="B425" s="2631"/>
      <c r="C425" s="2633"/>
      <c r="D425" s="2633"/>
      <c r="E425" s="404"/>
      <c r="F425" s="405"/>
      <c r="G425" s="184" t="s">
        <v>432</v>
      </c>
      <c r="H425" s="143" t="s">
        <v>433</v>
      </c>
      <c r="I425" s="143" t="s">
        <v>434</v>
      </c>
      <c r="J425" s="143">
        <v>2.1000000000000001E-2</v>
      </c>
      <c r="K425" s="143"/>
      <c r="L425" s="142"/>
      <c r="M425" s="143" t="s">
        <v>1046</v>
      </c>
      <c r="N425" s="143" t="s">
        <v>427</v>
      </c>
      <c r="O425" s="53">
        <v>0.46700000000000003</v>
      </c>
      <c r="P425" s="143"/>
      <c r="Q425" s="143"/>
      <c r="R425" s="142"/>
      <c r="S425" s="142"/>
      <c r="T425" s="142"/>
      <c r="U425" s="142"/>
      <c r="V425" s="142"/>
      <c r="W425" s="142"/>
    </row>
    <row r="426" spans="1:23" s="18" customFormat="1" ht="19.5" customHeight="1" x14ac:dyDescent="0.25">
      <c r="A426" s="402"/>
      <c r="B426" s="403"/>
      <c r="C426" s="404"/>
      <c r="D426" s="404"/>
      <c r="E426" s="404"/>
      <c r="F426" s="405"/>
      <c r="G426" s="2768" t="s">
        <v>1959</v>
      </c>
      <c r="H426" s="2804"/>
      <c r="I426" s="2804"/>
      <c r="J426" s="2804"/>
      <c r="K426" s="2804"/>
      <c r="L426" s="2804"/>
      <c r="M426" s="143"/>
      <c r="N426" s="143"/>
      <c r="O426" s="53"/>
      <c r="P426" s="143"/>
      <c r="Q426" s="143"/>
      <c r="R426" s="2794"/>
      <c r="S426" s="2794"/>
      <c r="T426" s="2794"/>
      <c r="U426" s="2794"/>
      <c r="V426" s="2794"/>
      <c r="W426" s="2794"/>
    </row>
    <row r="427" spans="1:23" ht="63" customHeight="1" x14ac:dyDescent="0.25">
      <c r="A427" s="402"/>
      <c r="B427" s="403"/>
      <c r="C427" s="404"/>
      <c r="D427" s="404"/>
      <c r="E427" s="404"/>
      <c r="F427" s="405"/>
      <c r="G427" s="184" t="s">
        <v>430</v>
      </c>
      <c r="H427" s="143" t="s">
        <v>431</v>
      </c>
      <c r="I427" s="214" t="s">
        <v>2310</v>
      </c>
      <c r="J427" s="143">
        <v>2.5000000000000001E-2</v>
      </c>
      <c r="K427" s="143"/>
      <c r="L427" s="142"/>
      <c r="M427" s="142" t="s">
        <v>428</v>
      </c>
      <c r="N427" s="142" t="s">
        <v>429</v>
      </c>
      <c r="O427" s="143">
        <v>1.105</v>
      </c>
      <c r="P427" s="143"/>
      <c r="Q427" s="1840"/>
      <c r="R427" s="1854"/>
      <c r="S427" s="1854"/>
      <c r="T427" s="215"/>
      <c r="U427" s="1854"/>
      <c r="V427" s="1854"/>
      <c r="W427" s="1854"/>
    </row>
    <row r="428" spans="1:23" ht="23.25" customHeight="1" x14ac:dyDescent="0.25">
      <c r="A428" s="793"/>
      <c r="B428" s="794"/>
      <c r="C428" s="796"/>
      <c r="D428" s="796"/>
      <c r="E428" s="796"/>
      <c r="F428" s="792"/>
      <c r="G428" s="2768" t="s">
        <v>2477</v>
      </c>
      <c r="H428" s="2804"/>
      <c r="I428" s="2804"/>
      <c r="J428" s="2804"/>
      <c r="K428" s="2804"/>
      <c r="L428" s="2804"/>
      <c r="M428" s="1248" t="s">
        <v>3297</v>
      </c>
      <c r="N428" s="1248" t="s">
        <v>3433</v>
      </c>
      <c r="O428" s="143">
        <v>0</v>
      </c>
      <c r="P428" s="143"/>
      <c r="Q428" s="1840"/>
      <c r="R428" s="1854"/>
      <c r="S428" s="1854"/>
      <c r="T428" s="215"/>
      <c r="U428" s="1854"/>
      <c r="V428" s="1854"/>
      <c r="W428" s="1854"/>
    </row>
    <row r="429" spans="1:23" ht="38.25" customHeight="1" x14ac:dyDescent="0.25">
      <c r="A429" s="402"/>
      <c r="B429" s="403"/>
      <c r="C429" s="404"/>
      <c r="D429" s="404"/>
      <c r="E429" s="404"/>
      <c r="F429" s="405"/>
      <c r="G429" s="184" t="s">
        <v>1463</v>
      </c>
      <c r="H429" s="143" t="s">
        <v>2791</v>
      </c>
      <c r="I429" s="143" t="s">
        <v>2874</v>
      </c>
      <c r="J429" s="143">
        <v>4.1050000000000004</v>
      </c>
      <c r="K429" s="143"/>
      <c r="L429" s="142"/>
      <c r="M429" s="1310" t="s">
        <v>3515</v>
      </c>
      <c r="N429" s="135" t="s">
        <v>3516</v>
      </c>
      <c r="O429" s="143">
        <f>0.28-0.018</f>
        <v>0.26200000000000001</v>
      </c>
      <c r="P429" s="143"/>
      <c r="Q429" s="1840"/>
      <c r="R429" s="1854"/>
      <c r="S429" s="1854"/>
      <c r="T429" s="1854"/>
      <c r="U429" s="1854"/>
      <c r="V429" s="1854"/>
      <c r="W429" s="1854"/>
    </row>
    <row r="430" spans="1:23" ht="38.25" customHeight="1" x14ac:dyDescent="0.25">
      <c r="A430" s="1040"/>
      <c r="B430" s="1038"/>
      <c r="C430" s="1041"/>
      <c r="D430" s="1041"/>
      <c r="E430" s="1041"/>
      <c r="F430" s="1039"/>
      <c r="G430" s="2768" t="s">
        <v>3020</v>
      </c>
      <c r="H430" s="2804"/>
      <c r="I430" s="2804"/>
      <c r="J430" s="2804"/>
      <c r="K430" s="2804"/>
      <c r="L430" s="2804"/>
      <c r="M430" s="1529"/>
      <c r="N430" s="1717"/>
      <c r="O430" s="151"/>
      <c r="P430" s="151"/>
      <c r="Q430" s="1840"/>
      <c r="R430" s="1854"/>
      <c r="S430" s="1854"/>
      <c r="T430" s="1854"/>
      <c r="U430" s="1854"/>
      <c r="V430" s="1854"/>
      <c r="W430" s="1854"/>
    </row>
    <row r="431" spans="1:23" ht="38.25" customHeight="1" x14ac:dyDescent="0.25">
      <c r="A431" s="1040"/>
      <c r="B431" s="1038"/>
      <c r="C431" s="1041"/>
      <c r="D431" s="1041"/>
      <c r="E431" s="1041"/>
      <c r="F431" s="1039"/>
      <c r="G431" s="142" t="s">
        <v>2610</v>
      </c>
      <c r="H431" s="142" t="s">
        <v>3105</v>
      </c>
      <c r="I431" s="180" t="s">
        <v>3132</v>
      </c>
      <c r="J431" s="143">
        <f>(0.08-0.0242)*0.5</f>
        <v>2.7900000000000001E-2</v>
      </c>
      <c r="K431" s="151"/>
      <c r="L431" s="149"/>
      <c r="M431" s="1840" t="s">
        <v>16717</v>
      </c>
      <c r="N431" s="1840" t="s">
        <v>16718</v>
      </c>
      <c r="O431" s="1840">
        <v>0.25</v>
      </c>
      <c r="P431" s="151"/>
      <c r="Q431" s="1840"/>
      <c r="R431" s="1854"/>
      <c r="S431" s="1854"/>
      <c r="T431" s="1854"/>
      <c r="U431" s="1854"/>
      <c r="V431" s="1854"/>
      <c r="W431" s="1854"/>
    </row>
    <row r="432" spans="1:23" ht="38.25" customHeight="1" x14ac:dyDescent="0.25">
      <c r="A432" s="1155"/>
      <c r="B432" s="1153"/>
      <c r="C432" s="1156"/>
      <c r="D432" s="1156"/>
      <c r="E432" s="1156"/>
      <c r="F432" s="1154"/>
      <c r="G432" s="142" t="s">
        <v>3297</v>
      </c>
      <c r="H432" s="142" t="s">
        <v>3298</v>
      </c>
      <c r="I432" s="180" t="s">
        <v>3362</v>
      </c>
      <c r="J432" s="151">
        <v>0</v>
      </c>
      <c r="K432" s="151"/>
      <c r="L432" s="149"/>
      <c r="M432" s="1840"/>
      <c r="N432" s="1840"/>
      <c r="O432" s="1840"/>
      <c r="P432" s="151"/>
      <c r="Q432" s="1840"/>
      <c r="R432" s="1854"/>
      <c r="S432" s="1854"/>
      <c r="T432" s="1854"/>
      <c r="U432" s="1854"/>
      <c r="V432" s="1854"/>
      <c r="W432" s="1854"/>
    </row>
    <row r="433" spans="1:23" ht="38.25" customHeight="1" x14ac:dyDescent="0.25">
      <c r="A433" s="1173"/>
      <c r="B433" s="1174"/>
      <c r="C433" s="1176"/>
      <c r="D433" s="1176"/>
      <c r="E433" s="1176"/>
      <c r="F433" s="1175"/>
      <c r="G433" s="2805"/>
      <c r="H433" s="2806"/>
      <c r="I433" s="2807"/>
      <c r="J433" s="1965"/>
      <c r="K433" s="1965"/>
      <c r="L433" s="1965"/>
      <c r="M433" s="1840" t="s">
        <v>16991</v>
      </c>
      <c r="N433" s="1840" t="s">
        <v>16992</v>
      </c>
      <c r="O433" s="1840">
        <v>0.25</v>
      </c>
      <c r="P433" s="151"/>
      <c r="Q433" s="1840"/>
      <c r="R433" s="1854"/>
      <c r="S433" s="1854"/>
      <c r="T433" s="1854"/>
      <c r="U433" s="1854"/>
      <c r="V433" s="1854"/>
      <c r="W433" s="1854"/>
    </row>
    <row r="434" spans="1:23" ht="38.25" customHeight="1" x14ac:dyDescent="0.25">
      <c r="A434" s="1791"/>
      <c r="B434" s="1782"/>
      <c r="C434" s="1783"/>
      <c r="D434" s="1783"/>
      <c r="E434" s="1783"/>
      <c r="F434" s="1784"/>
      <c r="G434" s="2768" t="s">
        <v>3447</v>
      </c>
      <c r="H434" s="2804"/>
      <c r="I434" s="2804"/>
      <c r="J434" s="2804"/>
      <c r="K434" s="2804"/>
      <c r="L434" s="2804"/>
      <c r="M434" s="1840"/>
      <c r="N434" s="1840"/>
      <c r="O434" s="1840"/>
      <c r="P434" s="1792"/>
      <c r="Q434" s="1840"/>
      <c r="R434" s="1854"/>
      <c r="S434" s="1854"/>
      <c r="T434" s="1854"/>
      <c r="U434" s="1854"/>
      <c r="V434" s="1854"/>
      <c r="W434" s="1854"/>
    </row>
    <row r="435" spans="1:23" ht="38.25" customHeight="1" x14ac:dyDescent="0.25">
      <c r="A435" s="1791"/>
      <c r="B435" s="1782"/>
      <c r="C435" s="1783"/>
      <c r="D435" s="1783"/>
      <c r="E435" s="1783"/>
      <c r="F435" s="1784"/>
      <c r="G435" s="1789" t="s">
        <v>16671</v>
      </c>
      <c r="H435" s="1790" t="s">
        <v>16672</v>
      </c>
      <c r="I435" s="702" t="s">
        <v>16894</v>
      </c>
      <c r="J435" s="149">
        <f>0.5*0.75</f>
        <v>0.375</v>
      </c>
      <c r="K435" s="149"/>
      <c r="L435" s="149"/>
      <c r="M435" s="1840"/>
      <c r="N435" s="1840"/>
      <c r="O435" s="1840"/>
      <c r="P435" s="1792"/>
      <c r="Q435" s="1840"/>
      <c r="R435" s="1854"/>
      <c r="S435" s="1854"/>
      <c r="T435" s="1854"/>
      <c r="U435" s="1854"/>
      <c r="V435" s="1854"/>
      <c r="W435" s="1854"/>
    </row>
    <row r="436" spans="1:23" ht="38.25" customHeight="1" x14ac:dyDescent="0.25">
      <c r="A436" s="1886"/>
      <c r="B436" s="1871"/>
      <c r="C436" s="1872"/>
      <c r="D436" s="1872"/>
      <c r="E436" s="1872"/>
      <c r="F436" s="1876"/>
      <c r="G436" s="2768" t="s">
        <v>17005</v>
      </c>
      <c r="H436" s="2804"/>
      <c r="I436" s="2804"/>
      <c r="J436" s="2804"/>
      <c r="K436" s="2804"/>
      <c r="L436" s="2804"/>
      <c r="M436" s="1881"/>
      <c r="N436" s="1883"/>
      <c r="O436" s="1885"/>
      <c r="P436" s="1885"/>
      <c r="Q436" s="1885"/>
      <c r="R436" s="1888"/>
      <c r="S436" s="1889"/>
      <c r="T436" s="1890"/>
      <c r="U436" s="149"/>
      <c r="V436" s="149"/>
      <c r="W436" s="149"/>
    </row>
    <row r="437" spans="1:23" ht="38.25" customHeight="1" x14ac:dyDescent="0.25">
      <c r="A437" s="1886"/>
      <c r="B437" s="1871"/>
      <c r="C437" s="1872"/>
      <c r="D437" s="1872"/>
      <c r="E437" s="1872"/>
      <c r="F437" s="1876"/>
      <c r="G437" s="1865" t="s">
        <v>3515</v>
      </c>
      <c r="H437" s="1865" t="s">
        <v>16787</v>
      </c>
      <c r="I437" s="702" t="s">
        <v>17007</v>
      </c>
      <c r="J437" s="149">
        <f>0.05*0.9</f>
        <v>4.5000000000000005E-2</v>
      </c>
      <c r="K437" s="149"/>
      <c r="L437" s="149"/>
      <c r="M437" s="1881"/>
      <c r="N437" s="1883"/>
      <c r="O437" s="1885"/>
      <c r="P437" s="1885"/>
      <c r="Q437" s="1885"/>
      <c r="R437" s="1888"/>
      <c r="S437" s="1889"/>
      <c r="T437" s="1890"/>
      <c r="U437" s="149"/>
      <c r="V437" s="149"/>
      <c r="W437" s="149"/>
    </row>
    <row r="438" spans="1:23" ht="20.100000000000001" customHeight="1" thickBot="1" x14ac:dyDescent="0.3">
      <c r="A438" s="406"/>
      <c r="B438" s="395"/>
      <c r="C438" s="396"/>
      <c r="D438" s="396"/>
      <c r="E438" s="396"/>
      <c r="F438" s="397"/>
      <c r="G438" s="2716" t="s">
        <v>1833</v>
      </c>
      <c r="H438" s="2716"/>
      <c r="I438" s="2717"/>
      <c r="J438" s="181">
        <f>SUM(J431:J437)</f>
        <v>0.44789999999999996</v>
      </c>
      <c r="K438" s="151">
        <v>0.92</v>
      </c>
      <c r="L438" s="181">
        <f>J438/K438</f>
        <v>0.48684782608695648</v>
      </c>
      <c r="M438" s="2715" t="s">
        <v>1834</v>
      </c>
      <c r="N438" s="2717"/>
      <c r="O438" s="181">
        <f>SUM(O425:O435)</f>
        <v>2.3340000000000001</v>
      </c>
      <c r="P438" s="151">
        <v>0.92</v>
      </c>
      <c r="Q438" s="181">
        <f>O438/P438</f>
        <v>2.5369565217391306</v>
      </c>
      <c r="R438" s="2715" t="s">
        <v>1833</v>
      </c>
      <c r="S438" s="2716"/>
      <c r="T438" s="2717"/>
      <c r="U438" s="181">
        <f>SUM(U425:U429)</f>
        <v>0</v>
      </c>
      <c r="V438" s="151">
        <v>0.92</v>
      </c>
      <c r="W438" s="181">
        <f>U438/V438</f>
        <v>0</v>
      </c>
    </row>
    <row r="439" spans="1:23" ht="20.100000000000001" customHeight="1" x14ac:dyDescent="0.25">
      <c r="A439" s="2776" t="str">
        <f>Итоговая!C321</f>
        <v>ПС 35/10 кВ Квакшино</v>
      </c>
      <c r="B439" s="2630">
        <f>Итоговая!D321</f>
        <v>4</v>
      </c>
      <c r="C439" s="2632" t="str">
        <f>Итоговая!E321</f>
        <v>+</v>
      </c>
      <c r="D439" s="2632">
        <f>Итоговая!F321</f>
        <v>4</v>
      </c>
      <c r="E439" s="400"/>
      <c r="F439" s="401"/>
      <c r="G439" s="2800" t="s">
        <v>2032</v>
      </c>
      <c r="H439" s="2801"/>
      <c r="I439" s="2801"/>
      <c r="J439" s="2801"/>
      <c r="K439" s="2801"/>
      <c r="L439" s="2801"/>
      <c r="M439" s="77"/>
      <c r="N439" s="77"/>
      <c r="O439" s="77"/>
      <c r="P439" s="77"/>
      <c r="Q439" s="281"/>
      <c r="R439" s="2792"/>
      <c r="S439" s="2790"/>
      <c r="T439" s="2790"/>
      <c r="U439" s="2790"/>
      <c r="V439" s="2790"/>
      <c r="W439" s="2790"/>
    </row>
    <row r="440" spans="1:23" ht="77.25" customHeight="1" x14ac:dyDescent="0.25">
      <c r="A440" s="2777"/>
      <c r="B440" s="2631"/>
      <c r="C440" s="2633"/>
      <c r="D440" s="2633"/>
      <c r="E440" s="404"/>
      <c r="F440" s="405"/>
      <c r="G440" s="280" t="s">
        <v>1466</v>
      </c>
      <c r="H440" s="154" t="s">
        <v>1474</v>
      </c>
      <c r="I440" s="143" t="s">
        <v>2273</v>
      </c>
      <c r="J440" s="56">
        <v>1.6E-2</v>
      </c>
      <c r="K440" s="143"/>
      <c r="L440" s="142"/>
      <c r="M440" s="142" t="s">
        <v>471</v>
      </c>
      <c r="N440" s="1275" t="s">
        <v>2734</v>
      </c>
      <c r="O440" s="142">
        <v>0.09</v>
      </c>
      <c r="P440" s="142"/>
      <c r="Q440" s="282"/>
      <c r="R440" s="372"/>
      <c r="S440" s="81"/>
      <c r="T440" s="142"/>
      <c r="U440" s="369"/>
      <c r="V440" s="142"/>
      <c r="W440" s="142"/>
    </row>
    <row r="441" spans="1:23" ht="24.75" customHeight="1" x14ac:dyDescent="0.25">
      <c r="A441" s="686"/>
      <c r="B441" s="688"/>
      <c r="C441" s="689"/>
      <c r="D441" s="689"/>
      <c r="E441" s="689"/>
      <c r="F441" s="685"/>
      <c r="G441" s="2768" t="s">
        <v>3020</v>
      </c>
      <c r="H441" s="2804"/>
      <c r="I441" s="2804"/>
      <c r="J441" s="2804"/>
      <c r="K441" s="2804"/>
      <c r="L441" s="2804"/>
      <c r="M441" s="149"/>
      <c r="N441" s="149"/>
      <c r="O441" s="149"/>
      <c r="P441" s="149"/>
      <c r="Q441" s="701"/>
      <c r="R441" s="702"/>
      <c r="S441" s="378"/>
      <c r="T441" s="149"/>
      <c r="U441" s="703"/>
      <c r="V441" s="149"/>
      <c r="W441" s="149"/>
    </row>
    <row r="442" spans="1:23" ht="24.75" customHeight="1" x14ac:dyDescent="0.25">
      <c r="A442" s="1173"/>
      <c r="B442" s="1174"/>
      <c r="C442" s="1176"/>
      <c r="D442" s="1176"/>
      <c r="E442" s="1176"/>
      <c r="F442" s="1175"/>
      <c r="G442" s="2805"/>
      <c r="H442" s="2806"/>
      <c r="I442" s="2807"/>
      <c r="J442" s="1936"/>
      <c r="K442" s="1936"/>
      <c r="L442" s="1936"/>
      <c r="M442" s="149"/>
      <c r="N442" s="149"/>
      <c r="O442" s="149"/>
      <c r="P442" s="149"/>
      <c r="Q442" s="701"/>
      <c r="R442" s="702"/>
      <c r="S442" s="378"/>
      <c r="T442" s="149"/>
      <c r="U442" s="703"/>
      <c r="V442" s="149"/>
      <c r="W442" s="149"/>
    </row>
    <row r="443" spans="1:23" ht="77.25" customHeight="1" x14ac:dyDescent="0.25">
      <c r="A443" s="1256"/>
      <c r="B443" s="1263"/>
      <c r="C443" s="1267"/>
      <c r="D443" s="1267"/>
      <c r="E443" s="1267"/>
      <c r="F443" s="1264"/>
      <c r="G443" s="2768" t="s">
        <v>3447</v>
      </c>
      <c r="H443" s="2804"/>
      <c r="I443" s="2804"/>
      <c r="J443" s="2804"/>
      <c r="K443" s="2804"/>
      <c r="L443" s="2804"/>
      <c r="M443" s="149"/>
      <c r="N443" s="149"/>
      <c r="O443" s="149"/>
      <c r="P443" s="149"/>
      <c r="Q443" s="701"/>
      <c r="R443" s="702"/>
      <c r="S443" s="378"/>
      <c r="T443" s="149"/>
      <c r="U443" s="703"/>
      <c r="V443" s="149"/>
      <c r="W443" s="149"/>
    </row>
    <row r="444" spans="1:23" ht="77.25" customHeight="1" x14ac:dyDescent="0.25">
      <c r="A444" s="1256"/>
      <c r="B444" s="1263"/>
      <c r="C444" s="1267"/>
      <c r="D444" s="1267"/>
      <c r="E444" s="1267"/>
      <c r="F444" s="1264"/>
      <c r="G444" s="149" t="s">
        <v>3476</v>
      </c>
      <c r="H444" s="149" t="s">
        <v>3477</v>
      </c>
      <c r="I444" s="1283" t="s">
        <v>3492</v>
      </c>
      <c r="J444" s="636">
        <f>0.085*0.75</f>
        <v>6.3750000000000001E-2</v>
      </c>
      <c r="K444" s="636"/>
      <c r="L444" s="636"/>
      <c r="M444" s="149"/>
      <c r="N444" s="149"/>
      <c r="O444" s="149"/>
      <c r="P444" s="149"/>
      <c r="Q444" s="701"/>
      <c r="R444" s="702"/>
      <c r="S444" s="378"/>
      <c r="T444" s="149"/>
      <c r="U444" s="703"/>
      <c r="V444" s="149"/>
      <c r="W444" s="149"/>
    </row>
    <row r="445" spans="1:23" ht="30" customHeight="1" x14ac:dyDescent="0.25">
      <c r="A445" s="1935"/>
      <c r="B445" s="1919"/>
      <c r="C445" s="1920"/>
      <c r="D445" s="1920"/>
      <c r="E445" s="1920"/>
      <c r="F445" s="1923"/>
      <c r="G445" s="2830" t="s">
        <v>3401</v>
      </c>
      <c r="H445" s="2831"/>
      <c r="I445" s="2832"/>
      <c r="J445" s="1937">
        <f>0.104*0.9</f>
        <v>9.3600000000000003E-2</v>
      </c>
      <c r="K445" s="1937"/>
      <c r="L445" s="1937"/>
      <c r="M445" s="149"/>
      <c r="N445" s="149"/>
      <c r="O445" s="149"/>
      <c r="P445" s="149"/>
      <c r="Q445" s="701"/>
      <c r="R445" s="702"/>
      <c r="S445" s="378"/>
      <c r="T445" s="149"/>
      <c r="U445" s="703"/>
      <c r="V445" s="149"/>
      <c r="W445" s="149"/>
    </row>
    <row r="446" spans="1:23" ht="30" customHeight="1" x14ac:dyDescent="0.25">
      <c r="A446" s="2236"/>
      <c r="B446" s="2214"/>
      <c r="C446" s="2215"/>
      <c r="D446" s="2215"/>
      <c r="E446" s="2215"/>
      <c r="F446" s="2219"/>
      <c r="G446" s="2768" t="s">
        <v>17005</v>
      </c>
      <c r="H446" s="2804"/>
      <c r="I446" s="2804"/>
      <c r="J446" s="2804"/>
      <c r="K446" s="2804"/>
      <c r="L446" s="2804"/>
      <c r="M446" s="149"/>
      <c r="N446" s="149"/>
      <c r="O446" s="149"/>
      <c r="P446" s="149"/>
      <c r="Q446" s="701"/>
      <c r="R446" s="702"/>
      <c r="S446" s="378"/>
      <c r="T446" s="149"/>
      <c r="U446" s="703"/>
      <c r="V446" s="149"/>
      <c r="W446" s="149"/>
    </row>
    <row r="447" spans="1:23" ht="30" customHeight="1" x14ac:dyDescent="0.25">
      <c r="A447" s="2236"/>
      <c r="B447" s="2214"/>
      <c r="C447" s="2215"/>
      <c r="D447" s="2215"/>
      <c r="E447" s="2215"/>
      <c r="F447" s="2219"/>
      <c r="G447" s="2830" t="s">
        <v>3401</v>
      </c>
      <c r="H447" s="2831"/>
      <c r="I447" s="2832"/>
      <c r="J447" s="2240">
        <f>0.147*0.9</f>
        <v>0.1323</v>
      </c>
      <c r="K447" s="2240"/>
      <c r="L447" s="2240"/>
      <c r="M447" s="149"/>
      <c r="N447" s="149"/>
      <c r="O447" s="149"/>
      <c r="P447" s="149"/>
      <c r="Q447" s="701"/>
      <c r="R447" s="702"/>
      <c r="S447" s="378"/>
      <c r="T447" s="149"/>
      <c r="U447" s="703"/>
      <c r="V447" s="149"/>
      <c r="W447" s="149"/>
    </row>
    <row r="448" spans="1:23" ht="30" customHeight="1" x14ac:dyDescent="0.25">
      <c r="A448" s="2294"/>
      <c r="B448" s="2279"/>
      <c r="C448" s="2280"/>
      <c r="D448" s="2280"/>
      <c r="E448" s="2280"/>
      <c r="F448" s="2281"/>
      <c r="G448" s="2338" t="s">
        <v>3002</v>
      </c>
      <c r="H448" s="2339" t="s">
        <v>20205</v>
      </c>
      <c r="I448" s="2340" t="s">
        <v>20206</v>
      </c>
      <c r="J448" s="149">
        <f>0.05*0.9</f>
        <v>4.5000000000000005E-2</v>
      </c>
      <c r="K448" s="149"/>
      <c r="L448" s="149"/>
      <c r="M448" s="149"/>
      <c r="N448" s="149"/>
      <c r="O448" s="149"/>
      <c r="P448" s="149"/>
      <c r="Q448" s="701"/>
      <c r="R448" s="702"/>
      <c r="S448" s="378"/>
      <c r="T448" s="149"/>
      <c r="U448" s="703"/>
      <c r="V448" s="149"/>
      <c r="W448" s="149"/>
    </row>
    <row r="449" spans="1:23" ht="30" customHeight="1" x14ac:dyDescent="0.25">
      <c r="A449" s="2331"/>
      <c r="B449" s="2316"/>
      <c r="C449" s="2317"/>
      <c r="D449" s="2317"/>
      <c r="E449" s="2317"/>
      <c r="F449" s="2320"/>
      <c r="G449" s="2347" t="s">
        <v>3053</v>
      </c>
      <c r="H449" s="2347" t="s">
        <v>20286</v>
      </c>
      <c r="I449" s="2348" t="s">
        <v>20287</v>
      </c>
      <c r="J449" s="149">
        <f>0.2*0.75</f>
        <v>0.15000000000000002</v>
      </c>
      <c r="K449" s="149"/>
      <c r="L449" s="149"/>
      <c r="M449" s="149"/>
      <c r="N449" s="149"/>
      <c r="O449" s="149"/>
      <c r="P449" s="149"/>
      <c r="Q449" s="701"/>
      <c r="R449" s="702"/>
      <c r="S449" s="378"/>
      <c r="T449" s="149"/>
      <c r="U449" s="703"/>
      <c r="V449" s="149"/>
      <c r="W449" s="149"/>
    </row>
    <row r="450" spans="1:23" ht="20.100000000000001" customHeight="1" thickBot="1" x14ac:dyDescent="0.3">
      <c r="A450" s="406"/>
      <c r="B450" s="395"/>
      <c r="C450" s="396"/>
      <c r="D450" s="396"/>
      <c r="E450" s="396"/>
      <c r="F450" s="397"/>
      <c r="G450" s="2717" t="s">
        <v>1833</v>
      </c>
      <c r="H450" s="2781"/>
      <c r="I450" s="2781"/>
      <c r="J450" s="279">
        <f>SUM(J444:J449)</f>
        <v>0.48464999999999997</v>
      </c>
      <c r="K450" s="151">
        <v>0.92</v>
      </c>
      <c r="L450" s="181">
        <f>J450/K450</f>
        <v>0.52679347826086953</v>
      </c>
      <c r="M450" s="2781" t="s">
        <v>1834</v>
      </c>
      <c r="N450" s="2781"/>
      <c r="O450" s="181">
        <f>SUM(O440:O441)</f>
        <v>0.09</v>
      </c>
      <c r="P450" s="151">
        <v>0.92</v>
      </c>
      <c r="Q450" s="276">
        <f>O450/P450</f>
        <v>9.7826086956521729E-2</v>
      </c>
      <c r="R450" s="2717" t="s">
        <v>1833</v>
      </c>
      <c r="S450" s="2781"/>
      <c r="T450" s="2781"/>
      <c r="U450" s="279">
        <f>SUM(U440:U440)</f>
        <v>0</v>
      </c>
      <c r="V450" s="151">
        <v>0.92</v>
      </c>
      <c r="W450" s="181">
        <f>U450/V450</f>
        <v>0</v>
      </c>
    </row>
    <row r="451" spans="1:23" ht="15" customHeight="1" x14ac:dyDescent="0.25">
      <c r="A451" s="2776" t="str">
        <f>Итоговая!C322</f>
        <v>ПС  35/10 кВ Городня</v>
      </c>
      <c r="B451" s="2630">
        <f>Итоговая!D322</f>
        <v>6.3</v>
      </c>
      <c r="C451" s="2632" t="str">
        <f>Итоговая!E322</f>
        <v>+</v>
      </c>
      <c r="D451" s="2632">
        <f>Итоговая!F322</f>
        <v>6.3</v>
      </c>
      <c r="E451" s="400"/>
      <c r="F451" s="401"/>
      <c r="G451" s="2800" t="s">
        <v>1963</v>
      </c>
      <c r="H451" s="2801"/>
      <c r="I451" s="2801"/>
      <c r="J451" s="2801"/>
      <c r="K451" s="2801"/>
      <c r="L451" s="2801"/>
      <c r="M451" s="77" t="s">
        <v>438</v>
      </c>
      <c r="N451" s="4"/>
      <c r="O451" s="4">
        <v>3.5000000000000003E-2</v>
      </c>
      <c r="P451" s="77"/>
      <c r="Q451" s="281"/>
      <c r="R451" s="2790"/>
      <c r="S451" s="2790"/>
      <c r="T451" s="2790"/>
      <c r="U451" s="2790"/>
      <c r="V451" s="2790"/>
      <c r="W451" s="2790"/>
    </row>
    <row r="452" spans="1:23" s="18" customFormat="1" ht="42.75" customHeight="1" x14ac:dyDescent="0.25">
      <c r="A452" s="2777"/>
      <c r="B452" s="2631"/>
      <c r="C452" s="2633"/>
      <c r="D452" s="2633"/>
      <c r="E452" s="404"/>
      <c r="F452" s="405"/>
      <c r="G452" s="66" t="s">
        <v>435</v>
      </c>
      <c r="H452" s="2" t="s">
        <v>436</v>
      </c>
      <c r="I452" s="2" t="s">
        <v>437</v>
      </c>
      <c r="J452" s="143">
        <v>0.1066</v>
      </c>
      <c r="K452" s="143"/>
      <c r="L452" s="142"/>
      <c r="M452" s="154"/>
      <c r="N452" s="154"/>
      <c r="O452" s="143"/>
      <c r="P452" s="143"/>
      <c r="Q452" s="284"/>
      <c r="R452" s="142"/>
      <c r="S452" s="142"/>
      <c r="T452" s="142"/>
      <c r="U452" s="142"/>
      <c r="V452" s="142"/>
      <c r="W452" s="142"/>
    </row>
    <row r="453" spans="1:23" s="18" customFormat="1" ht="14.25" customHeight="1" x14ac:dyDescent="0.25">
      <c r="A453" s="402"/>
      <c r="B453" s="403"/>
      <c r="C453" s="404"/>
      <c r="D453" s="404"/>
      <c r="E453" s="404"/>
      <c r="F453" s="405"/>
      <c r="G453" s="2768" t="s">
        <v>1960</v>
      </c>
      <c r="H453" s="2804"/>
      <c r="I453" s="2804"/>
      <c r="J453" s="2804"/>
      <c r="K453" s="2804"/>
      <c r="L453" s="2804"/>
      <c r="M453" s="154"/>
      <c r="N453" s="154"/>
      <c r="O453" s="143"/>
      <c r="P453" s="143"/>
      <c r="Q453" s="284"/>
      <c r="R453" s="2794"/>
      <c r="S453" s="2794"/>
      <c r="T453" s="2794"/>
      <c r="U453" s="2794"/>
      <c r="V453" s="2794"/>
      <c r="W453" s="2794"/>
    </row>
    <row r="454" spans="1:23" s="18" customFormat="1" ht="40.5" customHeight="1" x14ac:dyDescent="0.25">
      <c r="A454" s="402"/>
      <c r="B454" s="403"/>
      <c r="C454" s="404"/>
      <c r="D454" s="404"/>
      <c r="E454" s="404"/>
      <c r="F454" s="405"/>
      <c r="G454" s="184" t="s">
        <v>439</v>
      </c>
      <c r="H454" s="143" t="s">
        <v>440</v>
      </c>
      <c r="I454" s="2" t="s">
        <v>441</v>
      </c>
      <c r="J454" s="143">
        <v>0.06</v>
      </c>
      <c r="K454" s="143"/>
      <c r="L454" s="142"/>
      <c r="M454" s="154" t="s">
        <v>1463</v>
      </c>
      <c r="N454" s="1" t="s">
        <v>776</v>
      </c>
      <c r="O454" s="1">
        <v>0.54500000000000004</v>
      </c>
      <c r="P454" s="143"/>
      <c r="Q454" s="284"/>
      <c r="R454" s="142"/>
      <c r="S454" s="142"/>
      <c r="T454" s="142"/>
      <c r="U454" s="142"/>
      <c r="V454" s="142"/>
      <c r="W454" s="142"/>
    </row>
    <row r="455" spans="1:23" s="18" customFormat="1" ht="13.5" customHeight="1" x14ac:dyDescent="0.25">
      <c r="A455" s="578"/>
      <c r="B455" s="579"/>
      <c r="C455" s="580"/>
      <c r="D455" s="580"/>
      <c r="E455" s="580"/>
      <c r="F455" s="577"/>
      <c r="G455" s="2768" t="s">
        <v>1959</v>
      </c>
      <c r="H455" s="2804"/>
      <c r="I455" s="2804"/>
      <c r="J455" s="2804"/>
      <c r="K455" s="2804"/>
      <c r="L455" s="2804"/>
      <c r="M455" s="154"/>
      <c r="N455" s="1"/>
      <c r="O455" s="1"/>
      <c r="P455" s="143"/>
      <c r="Q455" s="284"/>
      <c r="R455" s="142"/>
      <c r="S455" s="142"/>
      <c r="T455" s="142"/>
      <c r="U455" s="142"/>
      <c r="V455" s="142"/>
      <c r="W455" s="142"/>
    </row>
    <row r="456" spans="1:23" ht="39.75" customHeight="1" thickBot="1" x14ac:dyDescent="0.3">
      <c r="A456" s="402"/>
      <c r="B456" s="403"/>
      <c r="C456" s="404"/>
      <c r="D456" s="404"/>
      <c r="E456" s="404"/>
      <c r="F456" s="405"/>
      <c r="G456" s="184" t="s">
        <v>2315</v>
      </c>
      <c r="H456" s="154" t="s">
        <v>2316</v>
      </c>
      <c r="I456" s="143" t="s">
        <v>2317</v>
      </c>
      <c r="J456" s="143">
        <v>0.1</v>
      </c>
      <c r="K456" s="143"/>
      <c r="L456" s="142"/>
      <c r="M456" s="143" t="s">
        <v>3272</v>
      </c>
      <c r="N456" s="143" t="s">
        <v>3271</v>
      </c>
      <c r="O456" s="143">
        <v>0.45</v>
      </c>
      <c r="P456" s="143"/>
      <c r="Q456" s="284"/>
      <c r="R456" s="142"/>
      <c r="S456" s="81"/>
      <c r="T456" s="142"/>
      <c r="U456" s="142"/>
      <c r="V456" s="142"/>
      <c r="W456" s="142"/>
    </row>
    <row r="457" spans="1:23" ht="18.75" customHeight="1" x14ac:dyDescent="0.25">
      <c r="A457" s="578"/>
      <c r="B457" s="579"/>
      <c r="C457" s="580"/>
      <c r="D457" s="580"/>
      <c r="E457" s="580"/>
      <c r="F457" s="577"/>
      <c r="G457" s="2800" t="s">
        <v>2032</v>
      </c>
      <c r="H457" s="2801"/>
      <c r="I457" s="2801"/>
      <c r="J457" s="2801"/>
      <c r="K457" s="2801"/>
      <c r="L457" s="2801"/>
      <c r="M457" s="151" t="s">
        <v>3272</v>
      </c>
      <c r="N457" s="151" t="s">
        <v>3273</v>
      </c>
      <c r="O457" s="151">
        <v>2.63</v>
      </c>
      <c r="P457" s="151"/>
      <c r="Q457" s="287"/>
      <c r="R457" s="149"/>
      <c r="S457" s="378"/>
      <c r="T457" s="149"/>
      <c r="U457" s="149"/>
      <c r="V457" s="149"/>
      <c r="W457" s="149"/>
    </row>
    <row r="458" spans="1:23" ht="27" customHeight="1" x14ac:dyDescent="0.25">
      <c r="A458" s="578"/>
      <c r="B458" s="579"/>
      <c r="C458" s="580"/>
      <c r="D458" s="580"/>
      <c r="E458" s="580"/>
      <c r="F458" s="577"/>
      <c r="G458" s="184" t="s">
        <v>1463</v>
      </c>
      <c r="H458" s="154" t="s">
        <v>1464</v>
      </c>
      <c r="I458" s="2" t="s">
        <v>2220</v>
      </c>
      <c r="J458" s="143">
        <v>0.32</v>
      </c>
      <c r="K458" s="143"/>
      <c r="L458" s="142"/>
      <c r="M458" s="1526" t="s">
        <v>16667</v>
      </c>
      <c r="N458" s="1526" t="s">
        <v>16668</v>
      </c>
      <c r="O458" s="151">
        <v>0.7</v>
      </c>
      <c r="P458" s="151"/>
      <c r="Q458" s="287"/>
      <c r="R458" s="149"/>
      <c r="S458" s="378"/>
      <c r="T458" s="149"/>
      <c r="U458" s="149"/>
      <c r="V458" s="149"/>
      <c r="W458" s="149"/>
    </row>
    <row r="459" spans="1:23" ht="27" customHeight="1" thickBot="1" x14ac:dyDescent="0.3">
      <c r="A459" s="578"/>
      <c r="B459" s="579"/>
      <c r="C459" s="580"/>
      <c r="D459" s="580"/>
      <c r="E459" s="580"/>
      <c r="F459" s="577"/>
      <c r="G459" s="184" t="s">
        <v>1463</v>
      </c>
      <c r="H459" s="154" t="s">
        <v>1465</v>
      </c>
      <c r="I459" s="143" t="s">
        <v>2221</v>
      </c>
      <c r="J459" s="143">
        <v>0.32</v>
      </c>
      <c r="K459" s="143"/>
      <c r="L459" s="142"/>
      <c r="M459" s="151"/>
      <c r="N459" s="151"/>
      <c r="O459" s="151"/>
      <c r="P459" s="151"/>
      <c r="Q459" s="287"/>
      <c r="R459" s="149"/>
      <c r="S459" s="378"/>
      <c r="T459" s="149"/>
      <c r="U459" s="149"/>
      <c r="V459" s="149"/>
      <c r="W459" s="149"/>
    </row>
    <row r="460" spans="1:23" ht="27" customHeight="1" x14ac:dyDescent="0.25">
      <c r="A460" s="841"/>
      <c r="B460" s="842"/>
      <c r="C460" s="843"/>
      <c r="D460" s="843"/>
      <c r="E460" s="843"/>
      <c r="F460" s="840"/>
      <c r="G460" s="2800" t="s">
        <v>2477</v>
      </c>
      <c r="H460" s="2801"/>
      <c r="I460" s="2801"/>
      <c r="J460" s="2801"/>
      <c r="K460" s="2801"/>
      <c r="L460" s="2801"/>
      <c r="M460" s="151"/>
      <c r="N460" s="151"/>
      <c r="O460" s="151"/>
      <c r="P460" s="151"/>
      <c r="Q460" s="287"/>
      <c r="R460" s="149"/>
      <c r="S460" s="378"/>
      <c r="T460" s="149"/>
      <c r="U460" s="149"/>
      <c r="V460" s="149"/>
      <c r="W460" s="149"/>
    </row>
    <row r="461" spans="1:23" ht="27" customHeight="1" thickBot="1" x14ac:dyDescent="0.3">
      <c r="A461" s="841"/>
      <c r="B461" s="842"/>
      <c r="C461" s="843"/>
      <c r="D461" s="843"/>
      <c r="E461" s="843"/>
      <c r="F461" s="840"/>
      <c r="G461" s="180" t="s">
        <v>2916</v>
      </c>
      <c r="H461" s="217" t="s">
        <v>2970</v>
      </c>
      <c r="I461" s="151" t="s">
        <v>2971</v>
      </c>
      <c r="J461" s="151">
        <v>6.0600000000000001E-2</v>
      </c>
      <c r="K461" s="151"/>
      <c r="L461" s="149"/>
      <c r="M461" s="151"/>
      <c r="N461" s="151"/>
      <c r="O461" s="151"/>
      <c r="P461" s="151"/>
      <c r="Q461" s="287"/>
      <c r="R461" s="149"/>
      <c r="S461" s="378"/>
      <c r="T461" s="149"/>
      <c r="U461" s="149"/>
      <c r="V461" s="149"/>
      <c r="W461" s="149"/>
    </row>
    <row r="462" spans="1:23" ht="27" customHeight="1" x14ac:dyDescent="0.25">
      <c r="A462" s="1173"/>
      <c r="B462" s="1174"/>
      <c r="C462" s="1176"/>
      <c r="D462" s="1176"/>
      <c r="E462" s="1176"/>
      <c r="F462" s="1175"/>
      <c r="G462" s="2800" t="s">
        <v>3020</v>
      </c>
      <c r="H462" s="2801"/>
      <c r="I462" s="2801"/>
      <c r="J462" s="2801"/>
      <c r="K462" s="2801"/>
      <c r="L462" s="2801"/>
      <c r="M462" s="151"/>
      <c r="N462" s="151"/>
      <c r="O462" s="151"/>
      <c r="P462" s="151"/>
      <c r="Q462" s="287"/>
      <c r="R462" s="149"/>
      <c r="S462" s="378"/>
      <c r="T462" s="149"/>
      <c r="U462" s="149"/>
      <c r="V462" s="149"/>
      <c r="W462" s="149"/>
    </row>
    <row r="463" spans="1:23" ht="16.5" customHeight="1" thickBot="1" x14ac:dyDescent="0.3">
      <c r="A463" s="1173"/>
      <c r="B463" s="1174"/>
      <c r="C463" s="1176"/>
      <c r="D463" s="1176"/>
      <c r="E463" s="1176"/>
      <c r="F463" s="1175"/>
      <c r="G463" s="2771"/>
      <c r="H463" s="2772"/>
      <c r="I463" s="2468"/>
      <c r="J463" s="149"/>
      <c r="K463" s="149"/>
      <c r="L463" s="149"/>
      <c r="M463" s="151"/>
      <c r="N463" s="151"/>
      <c r="O463" s="151"/>
      <c r="P463" s="151"/>
      <c r="Q463" s="287"/>
      <c r="R463" s="149"/>
      <c r="S463" s="378"/>
      <c r="T463" s="149"/>
      <c r="U463" s="149"/>
      <c r="V463" s="149"/>
      <c r="W463" s="149"/>
    </row>
    <row r="464" spans="1:23" ht="33.75" customHeight="1" x14ac:dyDescent="0.25">
      <c r="A464" s="1592"/>
      <c r="B464" s="1598"/>
      <c r="C464" s="1601"/>
      <c r="D464" s="1601"/>
      <c r="E464" s="1601"/>
      <c r="F464" s="1599"/>
      <c r="G464" s="2800" t="s">
        <v>3447</v>
      </c>
      <c r="H464" s="2801"/>
      <c r="I464" s="2801"/>
      <c r="J464" s="2801"/>
      <c r="K464" s="2801"/>
      <c r="L464" s="2801"/>
      <c r="M464" s="1593"/>
      <c r="N464" s="1593"/>
      <c r="O464" s="1593"/>
      <c r="P464" s="1593"/>
      <c r="Q464" s="287"/>
      <c r="R464" s="149"/>
      <c r="S464" s="378"/>
      <c r="T464" s="149"/>
      <c r="U464" s="149"/>
      <c r="V464" s="149"/>
      <c r="W464" s="149"/>
    </row>
    <row r="465" spans="1:23" ht="33.75" customHeight="1" thickBot="1" x14ac:dyDescent="0.3">
      <c r="A465" s="1592"/>
      <c r="B465" s="1598"/>
      <c r="C465" s="1601"/>
      <c r="D465" s="1601"/>
      <c r="E465" s="1601"/>
      <c r="F465" s="1599"/>
      <c r="G465" s="2784" t="s">
        <v>3401</v>
      </c>
      <c r="H465" s="2785"/>
      <c r="I465" s="2786"/>
      <c r="J465" s="775">
        <f>0.282*0.9</f>
        <v>0.25379999999999997</v>
      </c>
      <c r="K465" s="775"/>
      <c r="L465" s="775"/>
      <c r="M465" s="1593"/>
      <c r="N465" s="1593"/>
      <c r="O465" s="1593"/>
      <c r="P465" s="1593"/>
      <c r="Q465" s="287"/>
      <c r="R465" s="149"/>
      <c r="S465" s="378"/>
      <c r="T465" s="149"/>
      <c r="U465" s="149"/>
      <c r="V465" s="149"/>
      <c r="W465" s="149"/>
    </row>
    <row r="466" spans="1:23" ht="33.75" customHeight="1" x14ac:dyDescent="0.25">
      <c r="A466" s="2236"/>
      <c r="B466" s="2214"/>
      <c r="C466" s="2215"/>
      <c r="D466" s="2215"/>
      <c r="E466" s="2215"/>
      <c r="F466" s="2219"/>
      <c r="G466" s="2800" t="s">
        <v>17005</v>
      </c>
      <c r="H466" s="2801"/>
      <c r="I466" s="2801"/>
      <c r="J466" s="2801"/>
      <c r="K466" s="2801"/>
      <c r="L466" s="2801"/>
      <c r="M466" s="2235"/>
      <c r="N466" s="2235"/>
      <c r="O466" s="2235"/>
      <c r="P466" s="2235"/>
      <c r="Q466" s="287"/>
      <c r="R466" s="149"/>
      <c r="S466" s="378"/>
      <c r="T466" s="149"/>
      <c r="U466" s="149"/>
      <c r="V466" s="149"/>
      <c r="W466" s="149"/>
    </row>
    <row r="467" spans="1:23" ht="33.75" customHeight="1" x14ac:dyDescent="0.25">
      <c r="A467" s="2236"/>
      <c r="B467" s="2214"/>
      <c r="C467" s="2215"/>
      <c r="D467" s="2215"/>
      <c r="E467" s="2215"/>
      <c r="F467" s="2219"/>
      <c r="G467" s="2784" t="s">
        <v>3401</v>
      </c>
      <c r="H467" s="2785"/>
      <c r="I467" s="2786"/>
      <c r="J467" s="775">
        <f>0.2145*0.9</f>
        <v>0.19305</v>
      </c>
      <c r="K467" s="775"/>
      <c r="L467" s="775"/>
      <c r="M467" s="2235"/>
      <c r="N467" s="2235"/>
      <c r="O467" s="2235"/>
      <c r="P467" s="2235"/>
      <c r="Q467" s="287"/>
      <c r="R467" s="149"/>
      <c r="S467" s="378"/>
      <c r="T467" s="149"/>
      <c r="U467" s="149"/>
      <c r="V467" s="149"/>
      <c r="W467" s="149"/>
    </row>
    <row r="468" spans="1:23" ht="33.75" customHeight="1" x14ac:dyDescent="0.25">
      <c r="A468" s="2331"/>
      <c r="B468" s="2316"/>
      <c r="C468" s="2317"/>
      <c r="D468" s="2317"/>
      <c r="E468" s="2317"/>
      <c r="F468" s="2320"/>
      <c r="G468" s="2336" t="s">
        <v>20244</v>
      </c>
      <c r="H468" s="2336" t="s">
        <v>20245</v>
      </c>
      <c r="I468" s="2337" t="s">
        <v>20246</v>
      </c>
      <c r="J468" s="149">
        <f>0.2*0.9</f>
        <v>0.18000000000000002</v>
      </c>
      <c r="K468" s="149"/>
      <c r="L468" s="149"/>
      <c r="M468" s="2332"/>
      <c r="N468" s="2332"/>
      <c r="O468" s="2332"/>
      <c r="P468" s="2332"/>
      <c r="Q468" s="287"/>
      <c r="R468" s="149"/>
      <c r="S468" s="378"/>
      <c r="T468" s="149"/>
      <c r="U468" s="149"/>
      <c r="V468" s="149"/>
      <c r="W468" s="149"/>
    </row>
    <row r="469" spans="1:23" ht="20.100000000000001" customHeight="1" thickBot="1" x14ac:dyDescent="0.3">
      <c r="A469" s="406"/>
      <c r="B469" s="395"/>
      <c r="C469" s="396"/>
      <c r="D469" s="396"/>
      <c r="E469" s="396"/>
      <c r="F469" s="397"/>
      <c r="G469" s="2637" t="s">
        <v>1833</v>
      </c>
      <c r="H469" s="2810"/>
      <c r="I469" s="2810"/>
      <c r="J469" s="136">
        <f>SUM(J465:J468)</f>
        <v>0.62685000000000002</v>
      </c>
      <c r="K469" s="183">
        <v>0.92</v>
      </c>
      <c r="L469" s="136">
        <f>J469/K469</f>
        <v>0.68135869565217388</v>
      </c>
      <c r="M469" s="2810" t="s">
        <v>1834</v>
      </c>
      <c r="N469" s="2810"/>
      <c r="O469" s="136">
        <f>SUM(O451:O458)</f>
        <v>4.3600000000000003</v>
      </c>
      <c r="P469" s="183">
        <v>0.92</v>
      </c>
      <c r="Q469" s="275">
        <f>O469/P469</f>
        <v>4.7391304347826084</v>
      </c>
      <c r="R469" s="2810" t="s">
        <v>1833</v>
      </c>
      <c r="S469" s="2810"/>
      <c r="T469" s="2810"/>
      <c r="U469" s="136">
        <f>SUM(U454:U456)</f>
        <v>0</v>
      </c>
      <c r="V469" s="183">
        <v>0.92</v>
      </c>
      <c r="W469" s="136">
        <f>U469/V469</f>
        <v>0</v>
      </c>
    </row>
    <row r="470" spans="1:23" s="18" customFormat="1" ht="20.100000000000001" customHeight="1" x14ac:dyDescent="0.25">
      <c r="A470" s="407" t="str">
        <f>Итоговая!C323</f>
        <v xml:space="preserve">ПС 35/10 кВ Рязаново </v>
      </c>
      <c r="B470" s="399">
        <f>Итоговая!D323</f>
        <v>4</v>
      </c>
      <c r="C470" s="400" t="str">
        <f>Итоговая!E323</f>
        <v>+</v>
      </c>
      <c r="D470" s="400">
        <f>Итоговая!F323</f>
        <v>4</v>
      </c>
      <c r="E470" s="400"/>
      <c r="F470" s="401"/>
      <c r="G470" s="2800" t="s">
        <v>3019</v>
      </c>
      <c r="H470" s="2801"/>
      <c r="I470" s="2801"/>
      <c r="J470" s="2801"/>
      <c r="K470" s="2801"/>
      <c r="L470" s="2801"/>
      <c r="M470" s="42" t="s">
        <v>442</v>
      </c>
      <c r="N470" s="58" t="s">
        <v>443</v>
      </c>
      <c r="O470" s="58">
        <v>0.1</v>
      </c>
      <c r="P470" s="42"/>
      <c r="Q470" s="42"/>
      <c r="R470" s="42"/>
      <c r="S470" s="42"/>
      <c r="T470" s="42"/>
      <c r="U470" s="42"/>
      <c r="V470" s="42"/>
      <c r="W470" s="72"/>
    </row>
    <row r="471" spans="1:23" ht="48.75" customHeight="1" thickBot="1" x14ac:dyDescent="0.3">
      <c r="A471" s="402"/>
      <c r="B471" s="403"/>
      <c r="C471" s="404"/>
      <c r="D471" s="404"/>
      <c r="E471" s="404"/>
      <c r="F471" s="405"/>
      <c r="G471" s="2771"/>
      <c r="H471" s="2772"/>
      <c r="I471" s="2468"/>
      <c r="J471" s="1936"/>
      <c r="K471" s="1936"/>
      <c r="L471" s="1936"/>
      <c r="M471" s="142" t="s">
        <v>444</v>
      </c>
      <c r="N471" s="53" t="s">
        <v>445</v>
      </c>
      <c r="O471" s="53">
        <v>0.154</v>
      </c>
      <c r="P471" s="143"/>
      <c r="Q471" s="143"/>
      <c r="R471" s="143"/>
      <c r="S471" s="143"/>
      <c r="T471" s="143"/>
      <c r="U471" s="143"/>
      <c r="V471" s="143"/>
      <c r="W471" s="142"/>
    </row>
    <row r="472" spans="1:23" ht="48.75" customHeight="1" x14ac:dyDescent="0.25">
      <c r="A472" s="1592"/>
      <c r="B472" s="1598"/>
      <c r="C472" s="1601"/>
      <c r="D472" s="1601"/>
      <c r="E472" s="1601"/>
      <c r="F472" s="1599"/>
      <c r="G472" s="2800" t="s">
        <v>3447</v>
      </c>
      <c r="H472" s="2801"/>
      <c r="I472" s="2801"/>
      <c r="J472" s="2801"/>
      <c r="K472" s="2801"/>
      <c r="L472" s="2801"/>
      <c r="M472" s="1610"/>
      <c r="N472" s="1625"/>
      <c r="O472" s="137"/>
      <c r="P472" s="1593"/>
      <c r="Q472" s="1593"/>
      <c r="R472" s="1595"/>
      <c r="S472" s="1596"/>
      <c r="T472" s="1597"/>
      <c r="U472" s="1593"/>
      <c r="V472" s="1593"/>
      <c r="W472" s="149"/>
    </row>
    <row r="473" spans="1:23" ht="48.75" customHeight="1" thickBot="1" x14ac:dyDescent="0.3">
      <c r="A473" s="1592"/>
      <c r="B473" s="1598"/>
      <c r="C473" s="1601"/>
      <c r="D473" s="1601"/>
      <c r="E473" s="1601"/>
      <c r="F473" s="1599"/>
      <c r="G473" s="2784" t="s">
        <v>3401</v>
      </c>
      <c r="H473" s="2785"/>
      <c r="I473" s="2786"/>
      <c r="J473" s="774">
        <f>0.143*0.9</f>
        <v>0.12869999999999998</v>
      </c>
      <c r="K473" s="775"/>
      <c r="L473" s="775"/>
      <c r="M473" s="1610"/>
      <c r="N473" s="1625"/>
      <c r="O473" s="137"/>
      <c r="P473" s="1593"/>
      <c r="Q473" s="1593"/>
      <c r="R473" s="1595"/>
      <c r="S473" s="1596"/>
      <c r="T473" s="1597"/>
      <c r="U473" s="1593"/>
      <c r="V473" s="1593"/>
      <c r="W473" s="149"/>
    </row>
    <row r="474" spans="1:23" ht="48.75" customHeight="1" x14ac:dyDescent="0.25">
      <c r="A474" s="2236"/>
      <c r="B474" s="2214"/>
      <c r="C474" s="2215"/>
      <c r="D474" s="2215"/>
      <c r="E474" s="2215"/>
      <c r="F474" s="2219"/>
      <c r="G474" s="2800" t="s">
        <v>17005</v>
      </c>
      <c r="H474" s="2801"/>
      <c r="I474" s="2801"/>
      <c r="J474" s="2801"/>
      <c r="K474" s="2801"/>
      <c r="L474" s="2801"/>
      <c r="M474" s="2242"/>
      <c r="N474" s="1625"/>
      <c r="O474" s="137"/>
      <c r="P474" s="2235"/>
      <c r="Q474" s="2235"/>
      <c r="R474" s="2228"/>
      <c r="S474" s="2229"/>
      <c r="T474" s="2230"/>
      <c r="U474" s="2235"/>
      <c r="V474" s="2235"/>
      <c r="W474" s="149"/>
    </row>
    <row r="475" spans="1:23" ht="48.75" customHeight="1" x14ac:dyDescent="0.25">
      <c r="A475" s="2236"/>
      <c r="B475" s="2214"/>
      <c r="C475" s="2215"/>
      <c r="D475" s="2215"/>
      <c r="E475" s="2215"/>
      <c r="F475" s="2219"/>
      <c r="G475" s="2784" t="s">
        <v>3401</v>
      </c>
      <c r="H475" s="2785"/>
      <c r="I475" s="2786"/>
      <c r="J475" s="2240">
        <f>0.152*0.9</f>
        <v>0.1368</v>
      </c>
      <c r="K475" s="775"/>
      <c r="L475" s="775"/>
      <c r="M475" s="2242"/>
      <c r="N475" s="1625"/>
      <c r="O475" s="137"/>
      <c r="P475" s="2235"/>
      <c r="Q475" s="2235"/>
      <c r="R475" s="2228"/>
      <c r="S475" s="2229"/>
      <c r="T475" s="2230"/>
      <c r="U475" s="2235"/>
      <c r="V475" s="2235"/>
      <c r="W475" s="149"/>
    </row>
    <row r="476" spans="1:23" ht="20.100000000000001" customHeight="1" thickBot="1" x14ac:dyDescent="0.3">
      <c r="A476" s="406"/>
      <c r="B476" s="395"/>
      <c r="C476" s="396"/>
      <c r="D476" s="396"/>
      <c r="E476" s="396"/>
      <c r="F476" s="397"/>
      <c r="G476" s="2636" t="s">
        <v>1833</v>
      </c>
      <c r="H476" s="2636"/>
      <c r="I476" s="2637"/>
      <c r="J476" s="136">
        <f>SUM(J471:J475)</f>
        <v>0.26549999999999996</v>
      </c>
      <c r="K476" s="183">
        <v>0.92</v>
      </c>
      <c r="L476" s="136">
        <f>J476/K476</f>
        <v>0.28858695652173905</v>
      </c>
      <c r="M476" s="2652" t="s">
        <v>1834</v>
      </c>
      <c r="N476" s="2637"/>
      <c r="O476" s="136">
        <f>SUM(O470:O471)</f>
        <v>0.254</v>
      </c>
      <c r="P476" s="183">
        <v>0.92</v>
      </c>
      <c r="Q476" s="136">
        <f>O476/P476</f>
        <v>0.27608695652173915</v>
      </c>
      <c r="R476" s="2652" t="s">
        <v>1833</v>
      </c>
      <c r="S476" s="2636"/>
      <c r="T476" s="2637"/>
      <c r="U476" s="136">
        <f>SUM(U470:U471)</f>
        <v>0</v>
      </c>
      <c r="V476" s="183">
        <v>0.92</v>
      </c>
      <c r="W476" s="136">
        <f>U476/V476</f>
        <v>0</v>
      </c>
    </row>
    <row r="477" spans="1:23" ht="20.100000000000001" customHeight="1" x14ac:dyDescent="0.25">
      <c r="A477" s="407" t="str">
        <f>Итоговая!C324</f>
        <v xml:space="preserve">ПС 35/10 кВ Савватьево </v>
      </c>
      <c r="B477" s="399">
        <f>Итоговая!D324</f>
        <v>1.6</v>
      </c>
      <c r="C477" s="400" t="str">
        <f>Итоговая!E324</f>
        <v>+</v>
      </c>
      <c r="D477" s="400">
        <f>Итоговая!F324</f>
        <v>2.5</v>
      </c>
      <c r="E477" s="400"/>
      <c r="F477" s="401"/>
      <c r="G477" s="2800" t="s">
        <v>3020</v>
      </c>
      <c r="H477" s="2801"/>
      <c r="I477" s="2801"/>
      <c r="J477" s="2801"/>
      <c r="K477" s="2801"/>
      <c r="L477" s="2801"/>
      <c r="M477" s="158" t="s">
        <v>446</v>
      </c>
      <c r="N477" s="182" t="s">
        <v>447</v>
      </c>
      <c r="O477" s="153">
        <v>1.1100000000000001</v>
      </c>
      <c r="P477" s="143"/>
      <c r="Q477" s="153"/>
      <c r="R477" s="143"/>
      <c r="S477" s="53"/>
      <c r="T477" s="2"/>
      <c r="U477" s="53"/>
      <c r="V477" s="143"/>
      <c r="W477" s="142"/>
    </row>
    <row r="478" spans="1:23" s="18" customFormat="1" ht="71.25" customHeight="1" x14ac:dyDescent="0.25">
      <c r="A478" s="402"/>
      <c r="B478" s="403"/>
      <c r="C478" s="404"/>
      <c r="D478" s="404"/>
      <c r="E478" s="404"/>
      <c r="F478" s="405"/>
      <c r="G478" s="143" t="s">
        <v>2789</v>
      </c>
      <c r="H478" s="143" t="s">
        <v>3146</v>
      </c>
      <c r="I478" s="143" t="s">
        <v>3163</v>
      </c>
      <c r="J478" s="143">
        <f>1.1*0.9</f>
        <v>0.9900000000000001</v>
      </c>
      <c r="K478" s="143"/>
      <c r="L478" s="142"/>
      <c r="M478" s="143" t="s">
        <v>393</v>
      </c>
      <c r="N478" s="143" t="s">
        <v>394</v>
      </c>
      <c r="O478" s="143">
        <v>0.82850000000000001</v>
      </c>
      <c r="P478" s="143"/>
      <c r="Q478" s="143"/>
      <c r="R478" s="143"/>
      <c r="S478" s="143"/>
      <c r="T478" s="143"/>
      <c r="U478" s="53"/>
      <c r="V478" s="143"/>
      <c r="W478" s="142"/>
    </row>
    <row r="479" spans="1:23" s="18" customFormat="1" ht="52.5" customHeight="1" x14ac:dyDescent="0.25">
      <c r="A479" s="739"/>
      <c r="B479" s="740"/>
      <c r="C479" s="741"/>
      <c r="D479" s="741"/>
      <c r="E479" s="741"/>
      <c r="F479" s="738"/>
      <c r="G479" s="2794"/>
      <c r="H479" s="2794"/>
      <c r="I479" s="2794"/>
      <c r="J479" s="1936"/>
      <c r="K479" s="1936"/>
      <c r="L479" s="1936"/>
      <c r="M479" s="143" t="s">
        <v>3382</v>
      </c>
      <c r="N479" s="143" t="s">
        <v>3383</v>
      </c>
      <c r="O479" s="143">
        <v>5.5359999999999999E-2</v>
      </c>
      <c r="P479" s="143"/>
      <c r="Q479" s="143"/>
      <c r="R479" s="143"/>
      <c r="S479" s="143"/>
      <c r="T479" s="143"/>
      <c r="U479" s="53"/>
      <c r="V479" s="143"/>
      <c r="W479" s="142"/>
    </row>
    <row r="480" spans="1:23" s="18" customFormat="1" ht="20.100000000000001" customHeight="1" x14ac:dyDescent="0.25">
      <c r="A480" s="1044"/>
      <c r="B480" s="1045"/>
      <c r="C480" s="1047"/>
      <c r="D480" s="1047"/>
      <c r="E480" s="1047"/>
      <c r="F480" s="1046"/>
      <c r="G480" s="2774" t="s">
        <v>3447</v>
      </c>
      <c r="H480" s="2775"/>
      <c r="I480" s="2775"/>
      <c r="J480" s="2775"/>
      <c r="K480" s="2775"/>
      <c r="L480" s="2775"/>
      <c r="M480" s="1334" t="s">
        <v>3555</v>
      </c>
      <c r="N480" s="1335" t="s">
        <v>3556</v>
      </c>
      <c r="O480" s="151">
        <v>0.5</v>
      </c>
      <c r="P480" s="151"/>
      <c r="Q480" s="151"/>
      <c r="R480" s="146"/>
      <c r="S480" s="179"/>
      <c r="T480" s="180"/>
      <c r="U480" s="137"/>
      <c r="V480" s="151"/>
      <c r="W480" s="149"/>
    </row>
    <row r="481" spans="1:23" s="18" customFormat="1" ht="42" customHeight="1" x14ac:dyDescent="0.25">
      <c r="A481" s="1492"/>
      <c r="B481" s="1504"/>
      <c r="C481" s="1511"/>
      <c r="D481" s="1511"/>
      <c r="E481" s="1511"/>
      <c r="F481" s="1505"/>
      <c r="G481" s="2784" t="s">
        <v>3401</v>
      </c>
      <c r="H481" s="2785"/>
      <c r="I481" s="2786"/>
      <c r="J481" s="774">
        <f>0.217*0.9</f>
        <v>0.1953</v>
      </c>
      <c r="K481" s="775"/>
      <c r="L481" s="775"/>
      <c r="M481" s="1497"/>
      <c r="N481" s="1499"/>
      <c r="O481" s="1493"/>
      <c r="P481" s="1493"/>
      <c r="Q481" s="1493"/>
      <c r="R481" s="1497"/>
      <c r="S481" s="1498"/>
      <c r="T481" s="1499"/>
      <c r="U481" s="137"/>
      <c r="V481" s="1493"/>
      <c r="W481" s="149"/>
    </row>
    <row r="482" spans="1:23" s="18" customFormat="1" ht="20.100000000000001" customHeight="1" x14ac:dyDescent="0.25">
      <c r="A482" s="1525"/>
      <c r="B482" s="1532"/>
      <c r="C482" s="1535"/>
      <c r="D482" s="1535"/>
      <c r="E482" s="1535"/>
      <c r="F482" s="1533"/>
      <c r="G482" s="1752" t="s">
        <v>15337</v>
      </c>
      <c r="H482" s="1753" t="s">
        <v>15338</v>
      </c>
      <c r="I482" s="1753" t="s">
        <v>16859</v>
      </c>
      <c r="J482" s="1757">
        <f>(0.17-0.074)*0.9</f>
        <v>8.6400000000000018E-2</v>
      </c>
      <c r="K482" s="1526"/>
      <c r="L482" s="149"/>
      <c r="M482" s="1529" t="s">
        <v>2789</v>
      </c>
      <c r="N482" s="1531" t="s">
        <v>16666</v>
      </c>
      <c r="O482" s="1526">
        <v>1.1000000000000001</v>
      </c>
      <c r="P482" s="1526"/>
      <c r="Q482" s="1526"/>
      <c r="R482" s="1529"/>
      <c r="S482" s="1530"/>
      <c r="T482" s="1531"/>
      <c r="U482" s="137"/>
      <c r="V482" s="1526"/>
      <c r="W482" s="149"/>
    </row>
    <row r="483" spans="1:23" s="18" customFormat="1" ht="20.100000000000001" customHeight="1" x14ac:dyDescent="0.25">
      <c r="A483" s="2236"/>
      <c r="B483" s="2214"/>
      <c r="C483" s="2215"/>
      <c r="D483" s="2215"/>
      <c r="E483" s="2215"/>
      <c r="F483" s="2219"/>
      <c r="G483" s="2774" t="s">
        <v>17005</v>
      </c>
      <c r="H483" s="2775"/>
      <c r="I483" s="2775"/>
      <c r="J483" s="2775"/>
      <c r="K483" s="2775"/>
      <c r="L483" s="2775"/>
      <c r="M483" s="2228"/>
      <c r="N483" s="2230"/>
      <c r="O483" s="2235"/>
      <c r="P483" s="2235"/>
      <c r="Q483" s="2235"/>
      <c r="R483" s="2228"/>
      <c r="S483" s="2229"/>
      <c r="T483" s="2230"/>
      <c r="U483" s="137"/>
      <c r="V483" s="2235"/>
      <c r="W483" s="149"/>
    </row>
    <row r="484" spans="1:23" s="18" customFormat="1" ht="41.25" customHeight="1" x14ac:dyDescent="0.25">
      <c r="A484" s="2236"/>
      <c r="B484" s="2214"/>
      <c r="C484" s="2215"/>
      <c r="D484" s="2215"/>
      <c r="E484" s="2215"/>
      <c r="F484" s="2219"/>
      <c r="G484" s="2784" t="s">
        <v>3401</v>
      </c>
      <c r="H484" s="2785"/>
      <c r="I484" s="2786"/>
      <c r="J484" s="2240">
        <f>0.182*0.9</f>
        <v>0.1638</v>
      </c>
      <c r="K484" s="775"/>
      <c r="L484" s="775"/>
      <c r="M484" s="2228"/>
      <c r="N484" s="2230"/>
      <c r="O484" s="2235"/>
      <c r="P484" s="2235"/>
      <c r="Q484" s="2235"/>
      <c r="R484" s="2228"/>
      <c r="S484" s="2229"/>
      <c r="T484" s="2230"/>
      <c r="U484" s="137"/>
      <c r="V484" s="2235"/>
      <c r="W484" s="149"/>
    </row>
    <row r="485" spans="1:23" s="18" customFormat="1" ht="41.25" customHeight="1" x14ac:dyDescent="0.25">
      <c r="A485" s="2331"/>
      <c r="B485" s="2316"/>
      <c r="C485" s="2317"/>
      <c r="D485" s="2317"/>
      <c r="E485" s="2317"/>
      <c r="F485" s="2320"/>
      <c r="G485" s="2336" t="s">
        <v>20278</v>
      </c>
      <c r="H485" s="2336" t="s">
        <v>20279</v>
      </c>
      <c r="I485" s="2337" t="s">
        <v>20280</v>
      </c>
      <c r="J485" s="149">
        <f>0.045*0.9</f>
        <v>4.0500000000000001E-2</v>
      </c>
      <c r="K485" s="149"/>
      <c r="L485" s="149"/>
      <c r="M485" s="2323"/>
      <c r="N485" s="2325"/>
      <c r="O485" s="2332"/>
      <c r="P485" s="2332"/>
      <c r="Q485" s="2332"/>
      <c r="R485" s="2323"/>
      <c r="S485" s="2324"/>
      <c r="T485" s="2325"/>
      <c r="U485" s="137"/>
      <c r="V485" s="2332"/>
      <c r="W485" s="149"/>
    </row>
    <row r="486" spans="1:23" ht="20.100000000000001" customHeight="1" thickBot="1" x14ac:dyDescent="0.3">
      <c r="A486" s="406"/>
      <c r="B486" s="395"/>
      <c r="C486" s="396"/>
      <c r="D486" s="396"/>
      <c r="E486" s="396"/>
      <c r="F486" s="397"/>
      <c r="G486" s="2636" t="s">
        <v>1833</v>
      </c>
      <c r="H486" s="2636"/>
      <c r="I486" s="2637"/>
      <c r="J486" s="136">
        <f>SUM(J478:J485)</f>
        <v>1.476</v>
      </c>
      <c r="K486" s="183">
        <v>0.92</v>
      </c>
      <c r="L486" s="136">
        <f>J486/K486</f>
        <v>1.6043478260869564</v>
      </c>
      <c r="M486" s="2652" t="s">
        <v>1834</v>
      </c>
      <c r="N486" s="2637"/>
      <c r="O486" s="136">
        <f>SUM(O477:O482)</f>
        <v>3.5938600000000003</v>
      </c>
      <c r="P486" s="183">
        <v>0.92</v>
      </c>
      <c r="Q486" s="136">
        <f>O486/P486</f>
        <v>3.9063695652173913</v>
      </c>
      <c r="R486" s="2652" t="s">
        <v>1833</v>
      </c>
      <c r="S486" s="2636"/>
      <c r="T486" s="2637"/>
      <c r="U486" s="136">
        <f>SUM(U477:U478)</f>
        <v>0</v>
      </c>
      <c r="V486" s="183">
        <v>0.92</v>
      </c>
      <c r="W486" s="136">
        <f>U486/V486</f>
        <v>0</v>
      </c>
    </row>
    <row r="487" spans="1:23" ht="20.100000000000001" customHeight="1" x14ac:dyDescent="0.25">
      <c r="A487" s="407" t="str">
        <f>Итоговая!C325</f>
        <v xml:space="preserve">ПС 35/10 кВ Беле-Кушаль </v>
      </c>
      <c r="B487" s="399">
        <f>Итоговая!D325</f>
        <v>1.6</v>
      </c>
      <c r="C487" s="400" t="str">
        <f>Итоговая!E325</f>
        <v>+</v>
      </c>
      <c r="D487" s="400">
        <f>Итоговая!F325</f>
        <v>2.5</v>
      </c>
      <c r="E487" s="400"/>
      <c r="F487" s="401"/>
      <c r="G487" s="2768" t="s">
        <v>2477</v>
      </c>
      <c r="H487" s="2804"/>
      <c r="I487" s="2804"/>
      <c r="J487" s="2804"/>
      <c r="K487" s="2804"/>
      <c r="L487" s="2804"/>
      <c r="M487" s="143"/>
      <c r="N487" s="143"/>
      <c r="O487" s="143"/>
      <c r="P487" s="143"/>
      <c r="Q487" s="143"/>
      <c r="R487" s="2"/>
      <c r="S487" s="2"/>
      <c r="T487" s="2"/>
      <c r="U487" s="2"/>
      <c r="V487" s="143"/>
      <c r="W487" s="142"/>
    </row>
    <row r="488" spans="1:23" ht="47.25" customHeight="1" x14ac:dyDescent="0.25">
      <c r="A488" s="793"/>
      <c r="B488" s="794"/>
      <c r="C488" s="796"/>
      <c r="D488" s="796"/>
      <c r="E488" s="796"/>
      <c r="F488" s="792"/>
      <c r="G488" s="143" t="s">
        <v>2768</v>
      </c>
      <c r="H488" s="143" t="s">
        <v>2769</v>
      </c>
      <c r="I488" s="143" t="s">
        <v>2868</v>
      </c>
      <c r="J488" s="143">
        <f>0.4-0.028</f>
        <v>0.372</v>
      </c>
      <c r="K488" s="151"/>
      <c r="L488" s="149"/>
      <c r="M488" s="146"/>
      <c r="N488" s="180"/>
      <c r="O488" s="151"/>
      <c r="P488" s="151"/>
      <c r="Q488" s="151"/>
      <c r="R488" s="812"/>
      <c r="S488" s="203"/>
      <c r="T488" s="121"/>
      <c r="U488" s="70"/>
      <c r="V488" s="151"/>
      <c r="W488" s="149"/>
    </row>
    <row r="489" spans="1:23" ht="20.100000000000001" customHeight="1" x14ac:dyDescent="0.25">
      <c r="A489" s="1173"/>
      <c r="B489" s="1174"/>
      <c r="C489" s="1176"/>
      <c r="D489" s="1176"/>
      <c r="E489" s="1176"/>
      <c r="F489" s="1175"/>
      <c r="G489" s="2768" t="s">
        <v>3447</v>
      </c>
      <c r="H489" s="2804"/>
      <c r="I489" s="2804"/>
      <c r="J489" s="2804"/>
      <c r="K489" s="2804"/>
      <c r="L489" s="2804"/>
      <c r="M489" s="146"/>
      <c r="N489" s="180"/>
      <c r="O489" s="151"/>
      <c r="P489" s="151"/>
      <c r="Q489" s="151"/>
      <c r="R489" s="812"/>
      <c r="S489" s="203"/>
      <c r="T489" s="121"/>
      <c r="U489" s="70"/>
      <c r="V489" s="151"/>
      <c r="W489" s="149"/>
    </row>
    <row r="490" spans="1:23" ht="20.100000000000001" customHeight="1" x14ac:dyDescent="0.25">
      <c r="A490" s="830"/>
      <c r="B490" s="831"/>
      <c r="C490" s="833"/>
      <c r="D490" s="833"/>
      <c r="E490" s="833"/>
      <c r="F490" s="829"/>
      <c r="G490" s="2784" t="s">
        <v>3401</v>
      </c>
      <c r="H490" s="2785"/>
      <c r="I490" s="2786"/>
      <c r="J490" s="775">
        <f>0.125*0.9</f>
        <v>0.1125</v>
      </c>
      <c r="K490" s="775"/>
      <c r="L490" s="775"/>
      <c r="M490" s="146" t="s">
        <v>2964</v>
      </c>
      <c r="N490" s="180" t="s">
        <v>2965</v>
      </c>
      <c r="O490" s="151">
        <v>3.5</v>
      </c>
      <c r="P490" s="151"/>
      <c r="Q490" s="151"/>
      <c r="R490" s="812"/>
      <c r="S490" s="203"/>
      <c r="T490" s="121"/>
      <c r="U490" s="70"/>
      <c r="V490" s="151"/>
      <c r="W490" s="149"/>
    </row>
    <row r="491" spans="1:23" ht="20.100000000000001" customHeight="1" x14ac:dyDescent="0.25">
      <c r="A491" s="2236"/>
      <c r="B491" s="2214"/>
      <c r="C491" s="2215"/>
      <c r="D491" s="2215"/>
      <c r="E491" s="2215"/>
      <c r="F491" s="2219"/>
      <c r="G491" s="2768" t="s">
        <v>17005</v>
      </c>
      <c r="H491" s="2804"/>
      <c r="I491" s="2804"/>
      <c r="J491" s="2804"/>
      <c r="K491" s="2804"/>
      <c r="L491" s="2804"/>
      <c r="M491" s="2228"/>
      <c r="N491" s="2230"/>
      <c r="O491" s="2235"/>
      <c r="P491" s="2235"/>
      <c r="Q491" s="2235"/>
      <c r="R491" s="812"/>
      <c r="S491" s="203"/>
      <c r="T491" s="121"/>
      <c r="U491" s="70"/>
      <c r="V491" s="2235"/>
      <c r="W491" s="149"/>
    </row>
    <row r="492" spans="1:23" ht="20.100000000000001" customHeight="1" x14ac:dyDescent="0.25">
      <c r="A492" s="2236"/>
      <c r="B492" s="2214"/>
      <c r="C492" s="2215"/>
      <c r="D492" s="2215"/>
      <c r="E492" s="2215"/>
      <c r="F492" s="2219"/>
      <c r="G492" s="2784" t="s">
        <v>3401</v>
      </c>
      <c r="H492" s="2785"/>
      <c r="I492" s="2786"/>
      <c r="J492" s="775">
        <f>0.2*0.9</f>
        <v>0.18000000000000002</v>
      </c>
      <c r="K492" s="775"/>
      <c r="L492" s="775"/>
      <c r="M492" s="2228"/>
      <c r="N492" s="2230"/>
      <c r="O492" s="2235"/>
      <c r="P492" s="2235"/>
      <c r="Q492" s="2235"/>
      <c r="R492" s="812"/>
      <c r="S492" s="203"/>
      <c r="T492" s="121"/>
      <c r="U492" s="70"/>
      <c r="V492" s="2235"/>
      <c r="W492" s="149"/>
    </row>
    <row r="493" spans="1:23" ht="20.100000000000001" customHeight="1" thickBot="1" x14ac:dyDescent="0.3">
      <c r="A493" s="406"/>
      <c r="B493" s="395"/>
      <c r="C493" s="396"/>
      <c r="D493" s="396"/>
      <c r="E493" s="396"/>
      <c r="F493" s="397"/>
      <c r="G493" s="2636" t="s">
        <v>1833</v>
      </c>
      <c r="H493" s="2636"/>
      <c r="I493" s="2637"/>
      <c r="J493" s="136">
        <f>SUM(J490:J492)</f>
        <v>0.29250000000000004</v>
      </c>
      <c r="K493" s="183">
        <v>0.93</v>
      </c>
      <c r="L493" s="136">
        <f>J493/K493</f>
        <v>0.31451612903225806</v>
      </c>
      <c r="M493" s="2652" t="s">
        <v>1834</v>
      </c>
      <c r="N493" s="2637"/>
      <c r="O493" s="136">
        <f>SUM(O487:O490)</f>
        <v>3.5</v>
      </c>
      <c r="P493" s="183">
        <v>0.92</v>
      </c>
      <c r="Q493" s="136">
        <f>O493/P493</f>
        <v>3.8043478260869565</v>
      </c>
      <c r="R493" s="2652" t="s">
        <v>1833</v>
      </c>
      <c r="S493" s="2636"/>
      <c r="T493" s="2637"/>
      <c r="U493" s="136">
        <f>SUM(U487:U487)</f>
        <v>0</v>
      </c>
      <c r="V493" s="183">
        <v>0.92</v>
      </c>
      <c r="W493" s="136">
        <f>U493/V493</f>
        <v>0</v>
      </c>
    </row>
    <row r="494" spans="1:23" ht="20.100000000000001" customHeight="1" x14ac:dyDescent="0.25">
      <c r="A494" s="407" t="str">
        <f>Итоговая!C326</f>
        <v xml:space="preserve">ПС 35/10 кВ Стеклозавод </v>
      </c>
      <c r="B494" s="399">
        <f>Итоговая!D326</f>
        <v>2.5</v>
      </c>
      <c r="C494" s="400" t="str">
        <f>Итоговая!E326</f>
        <v>+</v>
      </c>
      <c r="D494" s="400">
        <f>Итоговая!F326</f>
        <v>2.5</v>
      </c>
      <c r="E494" s="400"/>
      <c r="F494" s="401"/>
      <c r="G494" s="2768" t="s">
        <v>17005</v>
      </c>
      <c r="H494" s="2804"/>
      <c r="I494" s="2804"/>
      <c r="J494" s="2804"/>
      <c r="K494" s="2804"/>
      <c r="L494" s="2804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2"/>
    </row>
    <row r="495" spans="1:23" ht="20.100000000000001" customHeight="1" x14ac:dyDescent="0.25">
      <c r="A495" s="2091"/>
      <c r="B495" s="2073"/>
      <c r="C495" s="2074"/>
      <c r="D495" s="2074"/>
      <c r="E495" s="2074"/>
      <c r="F495" s="2077"/>
      <c r="G495" s="2084" t="s">
        <v>19855</v>
      </c>
      <c r="H495" s="2084" t="s">
        <v>19856</v>
      </c>
      <c r="I495" s="2085" t="s">
        <v>19857</v>
      </c>
      <c r="J495" s="2090">
        <f>0.07*0.9</f>
        <v>6.3000000000000014E-2</v>
      </c>
      <c r="K495" s="2090"/>
      <c r="L495" s="149"/>
      <c r="M495" s="2083"/>
      <c r="N495" s="2085"/>
      <c r="O495" s="2090"/>
      <c r="P495" s="2090"/>
      <c r="Q495" s="2090"/>
      <c r="R495" s="2083"/>
      <c r="S495" s="2084"/>
      <c r="T495" s="2085"/>
      <c r="U495" s="2090"/>
      <c r="V495" s="2090"/>
      <c r="W495" s="149"/>
    </row>
    <row r="496" spans="1:23" ht="20.100000000000001" customHeight="1" thickBot="1" x14ac:dyDescent="0.3">
      <c r="A496" s="406"/>
      <c r="B496" s="395"/>
      <c r="C496" s="396"/>
      <c r="D496" s="396"/>
      <c r="E496" s="396"/>
      <c r="F496" s="397"/>
      <c r="G496" s="2716" t="s">
        <v>1833</v>
      </c>
      <c r="H496" s="2716"/>
      <c r="I496" s="2717"/>
      <c r="J496" s="181">
        <f>SUM(J494:J495)</f>
        <v>6.3000000000000014E-2</v>
      </c>
      <c r="K496" s="151">
        <v>0.92</v>
      </c>
      <c r="L496" s="181">
        <f>J496/K496</f>
        <v>6.8478260869565225E-2</v>
      </c>
      <c r="M496" s="2715" t="s">
        <v>1834</v>
      </c>
      <c r="N496" s="2717"/>
      <c r="O496" s="181">
        <f>SUM(O494:O494)</f>
        <v>0</v>
      </c>
      <c r="P496" s="151">
        <v>0.92</v>
      </c>
      <c r="Q496" s="181">
        <f>O496/P496</f>
        <v>0</v>
      </c>
      <c r="R496" s="2715" t="s">
        <v>1833</v>
      </c>
      <c r="S496" s="2716"/>
      <c r="T496" s="2717"/>
      <c r="U496" s="181">
        <f>SUM(U494:U494)</f>
        <v>0</v>
      </c>
      <c r="V496" s="151">
        <v>0.92</v>
      </c>
      <c r="W496" s="181">
        <f>U496/V496</f>
        <v>0</v>
      </c>
    </row>
    <row r="497" spans="1:23" s="67" customFormat="1" ht="20.100000000000001" customHeight="1" x14ac:dyDescent="0.25">
      <c r="A497" s="2776" t="str">
        <f>Итоговая!C327</f>
        <v>ПС  35/10 кВ Гришкино</v>
      </c>
      <c r="B497" s="2630">
        <f>Итоговая!D327</f>
        <v>6.3</v>
      </c>
      <c r="C497" s="2632" t="str">
        <f>Итоговая!E327</f>
        <v>+</v>
      </c>
      <c r="D497" s="2632">
        <f>Итоговая!F327</f>
        <v>6.3</v>
      </c>
      <c r="E497" s="400"/>
      <c r="F497" s="401"/>
      <c r="G497" s="2800" t="s">
        <v>1960</v>
      </c>
      <c r="H497" s="2801"/>
      <c r="I497" s="2801"/>
      <c r="J497" s="2801"/>
      <c r="K497" s="2801"/>
      <c r="L497" s="2801"/>
      <c r="M497" s="77"/>
      <c r="N497" s="77"/>
      <c r="O497" s="77"/>
      <c r="P497" s="77"/>
      <c r="Q497" s="281"/>
      <c r="R497" s="2792"/>
      <c r="S497" s="2790"/>
      <c r="T497" s="2790"/>
      <c r="U497" s="2790"/>
      <c r="V497" s="2790"/>
      <c r="W497" s="2790"/>
    </row>
    <row r="498" spans="1:23" ht="20.100000000000001" customHeight="1" x14ac:dyDescent="0.25">
      <c r="A498" s="2777"/>
      <c r="B498" s="2631"/>
      <c r="C498" s="2633"/>
      <c r="D498" s="2633"/>
      <c r="E498" s="404"/>
      <c r="F498" s="405"/>
      <c r="G498" s="267"/>
      <c r="H498" s="142"/>
      <c r="I498" s="142"/>
      <c r="J498" s="56"/>
      <c r="K498" s="143"/>
      <c r="L498" s="142"/>
      <c r="M498" s="1697" t="s">
        <v>1688</v>
      </c>
      <c r="N498" s="143" t="s">
        <v>448</v>
      </c>
      <c r="O498" s="143">
        <v>0.4</v>
      </c>
      <c r="P498" s="143"/>
      <c r="Q498" s="284"/>
      <c r="R498" s="267"/>
      <c r="S498" s="142"/>
      <c r="T498" s="142"/>
      <c r="U498" s="369"/>
      <c r="V498" s="142"/>
      <c r="W498" s="142"/>
    </row>
    <row r="499" spans="1:23" ht="51" customHeight="1" x14ac:dyDescent="0.25">
      <c r="A499" s="402"/>
      <c r="B499" s="403"/>
      <c r="C499" s="404"/>
      <c r="D499" s="404"/>
      <c r="E499" s="404"/>
      <c r="F499" s="405"/>
      <c r="G499" s="184" t="s">
        <v>459</v>
      </c>
      <c r="H499" s="143" t="s">
        <v>460</v>
      </c>
      <c r="I499" s="142" t="s">
        <v>461</v>
      </c>
      <c r="J499" s="143">
        <v>0.7</v>
      </c>
      <c r="K499" s="143"/>
      <c r="L499" s="142"/>
      <c r="M499" s="1697" t="s">
        <v>449</v>
      </c>
      <c r="N499" s="143" t="s">
        <v>450</v>
      </c>
      <c r="O499" s="143">
        <v>0.85</v>
      </c>
      <c r="P499" s="143"/>
      <c r="Q499" s="284"/>
      <c r="R499" s="267"/>
      <c r="S499" s="142"/>
      <c r="T499" s="142"/>
      <c r="U499" s="142"/>
      <c r="V499" s="142"/>
      <c r="W499" s="142"/>
    </row>
    <row r="500" spans="1:23" ht="20.100000000000001" customHeight="1" x14ac:dyDescent="0.25">
      <c r="A500" s="402"/>
      <c r="B500" s="403"/>
      <c r="C500" s="404"/>
      <c r="D500" s="404"/>
      <c r="E500" s="404"/>
      <c r="F500" s="405"/>
      <c r="G500" s="184" t="s">
        <v>459</v>
      </c>
      <c r="H500" s="143" t="s">
        <v>464</v>
      </c>
      <c r="I500" s="142" t="s">
        <v>465</v>
      </c>
      <c r="J500" s="143">
        <v>0.7</v>
      </c>
      <c r="K500" s="143"/>
      <c r="L500" s="142"/>
      <c r="M500" s="1697" t="s">
        <v>451</v>
      </c>
      <c r="N500" s="143" t="s">
        <v>452</v>
      </c>
      <c r="O500" s="143">
        <v>0.65</v>
      </c>
      <c r="P500" s="143"/>
      <c r="Q500" s="284"/>
      <c r="R500" s="267"/>
      <c r="S500" s="142"/>
      <c r="T500" s="142"/>
      <c r="U500" s="142"/>
      <c r="V500" s="142"/>
      <c r="W500" s="142"/>
    </row>
    <row r="501" spans="1:23" ht="41.25" customHeight="1" x14ac:dyDescent="0.25">
      <c r="A501" s="402"/>
      <c r="B501" s="403"/>
      <c r="C501" s="404"/>
      <c r="D501" s="404"/>
      <c r="E501" s="404"/>
      <c r="F501" s="405"/>
      <c r="G501" s="184" t="s">
        <v>468</v>
      </c>
      <c r="H501" s="143" t="s">
        <v>469</v>
      </c>
      <c r="I501" s="143" t="s">
        <v>470</v>
      </c>
      <c r="J501" s="143">
        <v>0.25</v>
      </c>
      <c r="K501" s="143"/>
      <c r="L501" s="142"/>
      <c r="M501" s="1697" t="s">
        <v>455</v>
      </c>
      <c r="N501" s="143" t="s">
        <v>456</v>
      </c>
      <c r="O501" s="143">
        <v>8.6999999999999994E-2</v>
      </c>
      <c r="P501" s="143"/>
      <c r="Q501" s="284"/>
      <c r="R501" s="267"/>
      <c r="S501" s="142"/>
      <c r="T501" s="142"/>
      <c r="U501" s="142"/>
      <c r="V501" s="142"/>
      <c r="W501" s="142"/>
    </row>
    <row r="502" spans="1:23" ht="20.100000000000001" customHeight="1" x14ac:dyDescent="0.25">
      <c r="A502" s="402"/>
      <c r="B502" s="403"/>
      <c r="C502" s="404"/>
      <c r="D502" s="404"/>
      <c r="E502" s="404"/>
      <c r="F502" s="405"/>
      <c r="G502" s="2768" t="s">
        <v>1959</v>
      </c>
      <c r="H502" s="2804"/>
      <c r="I502" s="2804"/>
      <c r="J502" s="2804"/>
      <c r="K502" s="2804"/>
      <c r="L502" s="2804"/>
      <c r="M502" s="143"/>
      <c r="N502" s="143"/>
      <c r="O502" s="143"/>
      <c r="P502" s="143"/>
      <c r="Q502" s="284"/>
      <c r="R502" s="2768" t="s">
        <v>1959</v>
      </c>
      <c r="S502" s="2804"/>
      <c r="T502" s="2804"/>
      <c r="U502" s="2804"/>
      <c r="V502" s="2804"/>
      <c r="W502" s="2804"/>
    </row>
    <row r="503" spans="1:23" ht="20.100000000000001" customHeight="1" x14ac:dyDescent="0.25">
      <c r="A503" s="402"/>
      <c r="B503" s="403"/>
      <c r="C503" s="404"/>
      <c r="D503" s="404"/>
      <c r="E503" s="404"/>
      <c r="F503" s="405"/>
      <c r="G503" s="184" t="s">
        <v>473</v>
      </c>
      <c r="H503" s="143" t="s">
        <v>474</v>
      </c>
      <c r="I503" s="143" t="s">
        <v>475</v>
      </c>
      <c r="J503" s="143">
        <v>0.02</v>
      </c>
      <c r="K503" s="143"/>
      <c r="L503" s="142"/>
      <c r="M503" s="143" t="s">
        <v>457</v>
      </c>
      <c r="N503" s="143" t="s">
        <v>458</v>
      </c>
      <c r="O503" s="143">
        <v>0.25</v>
      </c>
      <c r="P503" s="143"/>
      <c r="Q503" s="284"/>
      <c r="R503" s="184"/>
      <c r="S503" s="143"/>
      <c r="T503" s="143"/>
      <c r="U503" s="143"/>
      <c r="V503" s="143"/>
      <c r="W503" s="142"/>
    </row>
    <row r="504" spans="1:23" ht="40.5" customHeight="1" x14ac:dyDescent="0.25">
      <c r="A504" s="402"/>
      <c r="B504" s="403"/>
      <c r="C504" s="404"/>
      <c r="D504" s="404"/>
      <c r="E504" s="404"/>
      <c r="F504" s="405"/>
      <c r="G504" s="184"/>
      <c r="H504" s="143"/>
      <c r="I504" s="143"/>
      <c r="J504" s="143"/>
      <c r="K504" s="143"/>
      <c r="L504" s="142"/>
      <c r="M504" s="143" t="s">
        <v>462</v>
      </c>
      <c r="N504" s="143" t="s">
        <v>2938</v>
      </c>
      <c r="O504" s="143">
        <f>0.5-0.5</f>
        <v>0</v>
      </c>
      <c r="P504" s="143"/>
      <c r="Q504" s="284"/>
      <c r="R504" s="184"/>
      <c r="S504" s="143"/>
      <c r="T504" s="143"/>
      <c r="U504" s="143"/>
      <c r="V504" s="143"/>
      <c r="W504" s="142"/>
    </row>
    <row r="505" spans="1:23" ht="56.25" customHeight="1" x14ac:dyDescent="0.25">
      <c r="A505" s="402"/>
      <c r="B505" s="403"/>
      <c r="C505" s="404"/>
      <c r="D505" s="404"/>
      <c r="E505" s="404"/>
      <c r="F505" s="405"/>
      <c r="G505" s="184" t="s">
        <v>482</v>
      </c>
      <c r="H505" s="143" t="s">
        <v>483</v>
      </c>
      <c r="I505" s="143" t="s">
        <v>484</v>
      </c>
      <c r="J505" s="143">
        <v>2.3E-2</v>
      </c>
      <c r="K505" s="143"/>
      <c r="L505" s="142"/>
      <c r="M505" s="143" t="s">
        <v>466</v>
      </c>
      <c r="N505" s="143" t="s">
        <v>467</v>
      </c>
      <c r="O505" s="143">
        <v>1.68</v>
      </c>
      <c r="P505" s="143"/>
      <c r="Q505" s="284"/>
      <c r="R505" s="184"/>
      <c r="S505" s="143"/>
      <c r="T505" s="143"/>
      <c r="U505" s="143"/>
      <c r="V505" s="143"/>
      <c r="W505" s="142"/>
    </row>
    <row r="506" spans="1:23" ht="60.75" customHeight="1" x14ac:dyDescent="0.25">
      <c r="A506" s="402"/>
      <c r="B506" s="403"/>
      <c r="C506" s="404"/>
      <c r="D506" s="404"/>
      <c r="E506" s="404"/>
      <c r="F506" s="405"/>
      <c r="G506" s="308"/>
      <c r="H506" s="303"/>
      <c r="I506" s="303"/>
      <c r="J506" s="303"/>
      <c r="K506" s="143"/>
      <c r="L506" s="142"/>
      <c r="M506" s="143" t="s">
        <v>471</v>
      </c>
      <c r="N506" s="143" t="s">
        <v>472</v>
      </c>
      <c r="O506" s="143">
        <v>0.875</v>
      </c>
      <c r="P506" s="143"/>
      <c r="Q506" s="284"/>
      <c r="R506" s="373" t="s">
        <v>487</v>
      </c>
      <c r="S506" s="347" t="s">
        <v>488</v>
      </c>
      <c r="T506" s="347" t="s">
        <v>2487</v>
      </c>
      <c r="U506" s="347">
        <v>8.5000000000000006E-2</v>
      </c>
      <c r="V506" s="347"/>
      <c r="W506" s="355"/>
    </row>
    <row r="507" spans="1:23" ht="20.100000000000001" customHeight="1" x14ac:dyDescent="0.25">
      <c r="A507" s="402"/>
      <c r="B507" s="403"/>
      <c r="C507" s="404"/>
      <c r="D507" s="404"/>
      <c r="E507" s="404"/>
      <c r="F507" s="405"/>
      <c r="G507" s="66" t="s">
        <v>489</v>
      </c>
      <c r="H507" s="2" t="s">
        <v>490</v>
      </c>
      <c r="I507" s="143" t="s">
        <v>491</v>
      </c>
      <c r="J507" s="2">
        <v>0.52500000000000002</v>
      </c>
      <c r="K507" s="143"/>
      <c r="L507" s="142"/>
      <c r="M507" s="143" t="s">
        <v>476</v>
      </c>
      <c r="N507" s="143" t="s">
        <v>477</v>
      </c>
      <c r="O507" s="143">
        <v>2.7E-2</v>
      </c>
      <c r="P507" s="143"/>
      <c r="Q507" s="284"/>
      <c r="R507" s="1634" t="s">
        <v>478</v>
      </c>
      <c r="S507" s="1627" t="s">
        <v>479</v>
      </c>
      <c r="T507" s="1627" t="s">
        <v>16743</v>
      </c>
      <c r="U507" s="1627">
        <v>0.59</v>
      </c>
      <c r="V507" s="1627"/>
      <c r="W507" s="1649"/>
    </row>
    <row r="508" spans="1:23" ht="20.100000000000001" customHeight="1" x14ac:dyDescent="0.25">
      <c r="A508" s="402"/>
      <c r="B508" s="403"/>
      <c r="C508" s="404"/>
      <c r="D508" s="404"/>
      <c r="E508" s="404"/>
      <c r="F508" s="405"/>
      <c r="G508" s="184" t="s">
        <v>462</v>
      </c>
      <c r="H508" s="143" t="s">
        <v>463</v>
      </c>
      <c r="I508" s="143" t="s">
        <v>492</v>
      </c>
      <c r="J508" s="143">
        <v>0.1</v>
      </c>
      <c r="K508" s="143"/>
      <c r="L508" s="142"/>
      <c r="M508" s="143" t="s">
        <v>480</v>
      </c>
      <c r="N508" s="143" t="s">
        <v>481</v>
      </c>
      <c r="O508" s="143">
        <v>8.1000000000000003E-2</v>
      </c>
      <c r="P508" s="143"/>
      <c r="Q508" s="284"/>
      <c r="R508" s="184"/>
      <c r="S508" s="143"/>
      <c r="T508" s="143"/>
      <c r="U508" s="143"/>
      <c r="V508" s="143"/>
      <c r="W508" s="142"/>
    </row>
    <row r="509" spans="1:23" ht="20.100000000000001" customHeight="1" x14ac:dyDescent="0.25">
      <c r="A509" s="402"/>
      <c r="B509" s="403"/>
      <c r="C509" s="404"/>
      <c r="D509" s="404"/>
      <c r="E509" s="404"/>
      <c r="F509" s="405"/>
      <c r="G509" s="184" t="s">
        <v>462</v>
      </c>
      <c r="H509" s="143" t="s">
        <v>463</v>
      </c>
      <c r="I509" s="143" t="s">
        <v>493</v>
      </c>
      <c r="J509" s="143">
        <v>0.4</v>
      </c>
      <c r="K509" s="143"/>
      <c r="L509" s="142"/>
      <c r="M509" s="143" t="s">
        <v>485</v>
      </c>
      <c r="N509" s="143" t="s">
        <v>486</v>
      </c>
      <c r="O509" s="143">
        <v>0.17</v>
      </c>
      <c r="P509" s="143"/>
      <c r="Q509" s="284"/>
      <c r="R509" s="1941" t="s">
        <v>1466</v>
      </c>
      <c r="S509" s="1929" t="s">
        <v>1467</v>
      </c>
      <c r="T509" s="1912" t="s">
        <v>2274</v>
      </c>
      <c r="U509" s="1912">
        <v>2.1000000000000001E-2</v>
      </c>
      <c r="V509" s="143"/>
      <c r="W509" s="142"/>
    </row>
    <row r="510" spans="1:23" ht="20.100000000000001" customHeight="1" x14ac:dyDescent="0.25">
      <c r="A510" s="402"/>
      <c r="B510" s="403"/>
      <c r="C510" s="404"/>
      <c r="D510" s="404"/>
      <c r="E510" s="404"/>
      <c r="F510" s="405"/>
      <c r="G510" s="2768" t="s">
        <v>2032</v>
      </c>
      <c r="H510" s="2804"/>
      <c r="I510" s="2804"/>
      <c r="J510" s="2804"/>
      <c r="K510" s="2804"/>
      <c r="L510" s="2804"/>
      <c r="M510" s="143"/>
      <c r="N510" s="143"/>
      <c r="O510" s="143"/>
      <c r="P510" s="143"/>
      <c r="Q510" s="284"/>
      <c r="R510" s="2197" t="s">
        <v>453</v>
      </c>
      <c r="S510" s="2239" t="s">
        <v>454</v>
      </c>
      <c r="T510" s="2239" t="s">
        <v>20035</v>
      </c>
      <c r="U510" s="56">
        <v>2.5</v>
      </c>
      <c r="V510" s="2121"/>
      <c r="W510" s="2122"/>
    </row>
    <row r="511" spans="1:23" ht="38.25" customHeight="1" x14ac:dyDescent="0.25">
      <c r="A511" s="402"/>
      <c r="B511" s="403"/>
      <c r="C511" s="404"/>
      <c r="D511" s="404"/>
      <c r="E511" s="404"/>
      <c r="F511" s="405"/>
      <c r="G511" s="280"/>
      <c r="H511" s="154"/>
      <c r="I511" s="143"/>
      <c r="J511" s="143"/>
      <c r="K511" s="143"/>
      <c r="L511" s="142"/>
      <c r="M511" s="2" t="s">
        <v>489</v>
      </c>
      <c r="N511" s="2" t="s">
        <v>1311</v>
      </c>
      <c r="O511" s="143">
        <v>0.4</v>
      </c>
      <c r="P511" s="143"/>
      <c r="Q511" s="284"/>
      <c r="R511" s="372"/>
      <c r="S511" s="81"/>
      <c r="T511" s="142"/>
      <c r="U511" s="142"/>
      <c r="V511" s="142"/>
      <c r="W511" s="142"/>
    </row>
    <row r="512" spans="1:23" ht="102.75" customHeight="1" x14ac:dyDescent="0.25">
      <c r="A512" s="402"/>
      <c r="B512" s="403"/>
      <c r="C512" s="404"/>
      <c r="D512" s="404"/>
      <c r="E512" s="404"/>
      <c r="F512" s="405"/>
      <c r="G512" s="184" t="s">
        <v>2222</v>
      </c>
      <c r="H512" s="143" t="s">
        <v>2223</v>
      </c>
      <c r="I512" s="143" t="s">
        <v>2224</v>
      </c>
      <c r="J512" s="143">
        <v>0.25</v>
      </c>
      <c r="K512" s="2"/>
      <c r="L512" s="2"/>
      <c r="M512" s="143" t="s">
        <v>2328</v>
      </c>
      <c r="N512" s="143" t="s">
        <v>2329</v>
      </c>
      <c r="O512" s="143">
        <v>0.3</v>
      </c>
      <c r="P512" s="143"/>
      <c r="Q512" s="284"/>
      <c r="R512" s="267"/>
      <c r="S512" s="142"/>
      <c r="T512" s="142"/>
      <c r="U512" s="142"/>
      <c r="V512" s="142"/>
      <c r="W512" s="142"/>
    </row>
    <row r="513" spans="1:23" ht="72.75" customHeight="1" x14ac:dyDescent="0.25">
      <c r="A513" s="402"/>
      <c r="B513" s="403"/>
      <c r="C513" s="404"/>
      <c r="D513" s="404"/>
      <c r="E513" s="404"/>
      <c r="F513" s="405"/>
      <c r="G513" s="66" t="s">
        <v>35</v>
      </c>
      <c r="H513" s="2" t="s">
        <v>36</v>
      </c>
      <c r="I513" s="143" t="s">
        <v>2269</v>
      </c>
      <c r="J513" s="143">
        <v>0.7</v>
      </c>
      <c r="K513" s="2"/>
      <c r="L513" s="2"/>
      <c r="M513" s="2" t="s">
        <v>2157</v>
      </c>
      <c r="N513" s="2" t="s">
        <v>2158</v>
      </c>
      <c r="O513" s="143">
        <v>1</v>
      </c>
      <c r="P513" s="143"/>
      <c r="Q513" s="284"/>
      <c r="R513" s="267"/>
      <c r="S513" s="142"/>
      <c r="T513" s="142"/>
      <c r="U513" s="142"/>
      <c r="V513" s="142"/>
      <c r="W513" s="142"/>
    </row>
    <row r="514" spans="1:23" ht="57.75" customHeight="1" x14ac:dyDescent="0.25">
      <c r="A514" s="402"/>
      <c r="B514" s="403"/>
      <c r="C514" s="404"/>
      <c r="D514" s="404"/>
      <c r="E514" s="404"/>
      <c r="F514" s="405"/>
      <c r="G514" s="184" t="s">
        <v>1742</v>
      </c>
      <c r="H514" s="143" t="s">
        <v>2456</v>
      </c>
      <c r="I514" s="143" t="s">
        <v>2457</v>
      </c>
      <c r="J514" s="143">
        <f>0.12-0.035</f>
        <v>8.4999999999999992E-2</v>
      </c>
      <c r="K514" s="2"/>
      <c r="L514" s="2"/>
      <c r="M514" s="143" t="s">
        <v>2423</v>
      </c>
      <c r="N514" s="143" t="s">
        <v>2424</v>
      </c>
      <c r="O514" s="143">
        <v>0.7</v>
      </c>
      <c r="P514" s="143"/>
      <c r="Q514" s="284"/>
      <c r="R514" s="267"/>
      <c r="S514" s="142"/>
      <c r="T514" s="142"/>
      <c r="U514" s="142"/>
      <c r="V514" s="142"/>
      <c r="W514" s="142"/>
    </row>
    <row r="515" spans="1:23" ht="20.100000000000001" customHeight="1" x14ac:dyDescent="0.25">
      <c r="A515" s="402"/>
      <c r="B515" s="403"/>
      <c r="C515" s="404"/>
      <c r="D515" s="404"/>
      <c r="E515" s="404"/>
      <c r="F515" s="405"/>
      <c r="G515" s="66" t="s">
        <v>471</v>
      </c>
      <c r="H515" s="2" t="s">
        <v>803</v>
      </c>
      <c r="I515" s="143" t="s">
        <v>2464</v>
      </c>
      <c r="J515" s="143">
        <v>0.1</v>
      </c>
      <c r="K515" s="2"/>
      <c r="L515" s="2"/>
      <c r="M515" s="143" t="s">
        <v>2423</v>
      </c>
      <c r="N515" s="151" t="s">
        <v>2425</v>
      </c>
      <c r="O515" s="151">
        <v>0.7</v>
      </c>
      <c r="P515" s="143"/>
      <c r="Q515" s="284"/>
      <c r="R515" s="142"/>
      <c r="S515" s="142"/>
      <c r="T515" s="142"/>
      <c r="U515" s="142"/>
      <c r="V515" s="142"/>
      <c r="W515" s="142"/>
    </row>
    <row r="516" spans="1:23" ht="20.100000000000001" customHeight="1" x14ac:dyDescent="0.25">
      <c r="A516" s="402"/>
      <c r="B516" s="403"/>
      <c r="C516" s="404"/>
      <c r="D516" s="404"/>
      <c r="E516" s="404"/>
      <c r="F516" s="405"/>
      <c r="G516" s="2768" t="s">
        <v>2477</v>
      </c>
      <c r="H516" s="2804"/>
      <c r="I516" s="2804"/>
      <c r="J516" s="2804"/>
      <c r="K516" s="2804"/>
      <c r="L516" s="2804"/>
      <c r="M516" s="151" t="s">
        <v>2426</v>
      </c>
      <c r="N516" s="151" t="s">
        <v>2427</v>
      </c>
      <c r="O516" s="151">
        <v>0.22500000000000001</v>
      </c>
      <c r="P516" s="151"/>
      <c r="Q516" s="287"/>
      <c r="R516" s="2468"/>
      <c r="S516" s="2794"/>
      <c r="T516" s="2794"/>
      <c r="U516" s="2794"/>
      <c r="V516" s="2794"/>
      <c r="W516" s="2794"/>
    </row>
    <row r="517" spans="1:23" ht="66" customHeight="1" x14ac:dyDescent="0.25">
      <c r="A517" s="402"/>
      <c r="B517" s="403"/>
      <c r="C517" s="404"/>
      <c r="D517" s="404"/>
      <c r="E517" s="404"/>
      <c r="F517" s="405"/>
      <c r="G517" s="180" t="s">
        <v>2478</v>
      </c>
      <c r="H517" s="151" t="s">
        <v>2551</v>
      </c>
      <c r="I517" s="151" t="s">
        <v>2479</v>
      </c>
      <c r="J517" s="151">
        <v>2.5</v>
      </c>
      <c r="K517" s="70"/>
      <c r="L517" s="70"/>
      <c r="M517" s="1719" t="s">
        <v>2428</v>
      </c>
      <c r="N517" s="151" t="s">
        <v>2429</v>
      </c>
      <c r="O517" s="151">
        <v>0.22500000000000001</v>
      </c>
      <c r="P517" s="151"/>
      <c r="Q517" s="287"/>
      <c r="R517" s="176"/>
      <c r="S517" s="149"/>
      <c r="T517" s="149"/>
      <c r="U517" s="149"/>
      <c r="V517" s="149"/>
      <c r="W517" s="149"/>
    </row>
    <row r="518" spans="1:23" ht="20.100000000000001" customHeight="1" x14ac:dyDescent="0.25">
      <c r="A518" s="402"/>
      <c r="B518" s="403"/>
      <c r="C518" s="404"/>
      <c r="D518" s="404"/>
      <c r="E518" s="404"/>
      <c r="F518" s="405"/>
      <c r="G518" s="143" t="s">
        <v>2423</v>
      </c>
      <c r="H518" s="151" t="s">
        <v>2751</v>
      </c>
      <c r="I518" s="2" t="s">
        <v>2752</v>
      </c>
      <c r="J518" s="2">
        <v>0.7</v>
      </c>
      <c r="K518" s="70"/>
      <c r="L518" s="70"/>
      <c r="M518" s="151" t="s">
        <v>2430</v>
      </c>
      <c r="N518" s="151" t="s">
        <v>2429</v>
      </c>
      <c r="O518" s="151">
        <v>0.27500000000000002</v>
      </c>
      <c r="P518" s="151"/>
      <c r="Q518" s="287"/>
      <c r="R518" s="176"/>
      <c r="S518" s="149"/>
      <c r="T518" s="149"/>
      <c r="U518" s="149"/>
      <c r="V518" s="149"/>
      <c r="W518" s="149"/>
    </row>
    <row r="519" spans="1:23" ht="20.100000000000001" customHeight="1" x14ac:dyDescent="0.25">
      <c r="A519" s="402"/>
      <c r="B519" s="403"/>
      <c r="C519" s="404"/>
      <c r="D519" s="404"/>
      <c r="E519" s="404"/>
      <c r="F519" s="405"/>
      <c r="G519" s="143" t="s">
        <v>2423</v>
      </c>
      <c r="H519" s="143" t="s">
        <v>2755</v>
      </c>
      <c r="I519" s="2" t="s">
        <v>2754</v>
      </c>
      <c r="J519" s="2">
        <v>0.7</v>
      </c>
      <c r="K519" s="70"/>
      <c r="L519" s="70"/>
      <c r="M519" s="217" t="s">
        <v>2522</v>
      </c>
      <c r="N519" s="217" t="s">
        <v>2523</v>
      </c>
      <c r="O519" s="151">
        <v>0.5</v>
      </c>
      <c r="P519" s="151"/>
      <c r="Q519" s="287"/>
      <c r="R519" s="176"/>
      <c r="S519" s="149"/>
      <c r="T519" s="149"/>
      <c r="U519" s="149"/>
      <c r="V519" s="149"/>
      <c r="W519" s="149"/>
    </row>
    <row r="520" spans="1:23" ht="20.100000000000001" customHeight="1" x14ac:dyDescent="0.25">
      <c r="A520" s="608"/>
      <c r="B520" s="609"/>
      <c r="C520" s="610"/>
      <c r="D520" s="610"/>
      <c r="E520" s="610"/>
      <c r="F520" s="607"/>
      <c r="G520" s="151" t="s">
        <v>2478</v>
      </c>
      <c r="H520" s="151" t="s">
        <v>2961</v>
      </c>
      <c r="I520" s="151" t="s">
        <v>2981</v>
      </c>
      <c r="J520" s="151">
        <v>0.5</v>
      </c>
      <c r="K520" s="70"/>
      <c r="L520" s="70"/>
      <c r="M520" s="217" t="s">
        <v>2555</v>
      </c>
      <c r="N520" s="151" t="s">
        <v>2556</v>
      </c>
      <c r="O520" s="151">
        <v>2</v>
      </c>
      <c r="P520" s="151"/>
      <c r="Q520" s="287"/>
      <c r="R520" s="176"/>
      <c r="S520" s="149"/>
      <c r="T520" s="149"/>
      <c r="U520" s="149"/>
      <c r="V520" s="149"/>
      <c r="W520" s="149"/>
    </row>
    <row r="521" spans="1:23" ht="20.100000000000001" customHeight="1" x14ac:dyDescent="0.25">
      <c r="A521" s="623"/>
      <c r="B521" s="624"/>
      <c r="C521" s="625"/>
      <c r="D521" s="625"/>
      <c r="E521" s="625"/>
      <c r="F521" s="622"/>
      <c r="G521" s="2839"/>
      <c r="H521" s="2840"/>
      <c r="I521" s="2618"/>
      <c r="J521" s="151"/>
      <c r="K521" s="70"/>
      <c r="L521" s="70"/>
      <c r="M521" s="217"/>
      <c r="N521" s="151"/>
      <c r="O521" s="151"/>
      <c r="P521" s="151"/>
      <c r="Q521" s="287"/>
      <c r="R521" s="176"/>
      <c r="S521" s="149"/>
      <c r="T521" s="149"/>
      <c r="U521" s="149"/>
      <c r="V521" s="149"/>
      <c r="W521" s="149"/>
    </row>
    <row r="522" spans="1:23" ht="20.100000000000001" customHeight="1" x14ac:dyDescent="0.25">
      <c r="A522" s="623"/>
      <c r="B522" s="624"/>
      <c r="C522" s="625"/>
      <c r="D522" s="625"/>
      <c r="E522" s="625"/>
      <c r="F522" s="622"/>
      <c r="G522" s="2768" t="s">
        <v>3020</v>
      </c>
      <c r="H522" s="2804"/>
      <c r="I522" s="2804"/>
      <c r="J522" s="2804"/>
      <c r="K522" s="2804"/>
      <c r="L522" s="2804"/>
      <c r="M522" s="217" t="s">
        <v>471</v>
      </c>
      <c r="N522" s="151" t="s">
        <v>2607</v>
      </c>
      <c r="O522" s="151">
        <v>0.15</v>
      </c>
      <c r="P522" s="151"/>
      <c r="Q522" s="287"/>
      <c r="R522" s="176"/>
      <c r="S522" s="149"/>
      <c r="T522" s="149"/>
      <c r="U522" s="149"/>
      <c r="V522" s="149"/>
      <c r="W522" s="149"/>
    </row>
    <row r="523" spans="1:23" ht="75" customHeight="1" x14ac:dyDescent="0.25">
      <c r="A523" s="402"/>
      <c r="B523" s="403"/>
      <c r="C523" s="404"/>
      <c r="D523" s="404"/>
      <c r="E523" s="404"/>
      <c r="F523" s="405"/>
      <c r="G523" s="151" t="s">
        <v>473</v>
      </c>
      <c r="H523" s="151" t="s">
        <v>3099</v>
      </c>
      <c r="I523" s="151" t="s">
        <v>3204</v>
      </c>
      <c r="J523" s="151">
        <f>0.3*0.9</f>
        <v>0.27</v>
      </c>
      <c r="K523" s="70"/>
      <c r="L523" s="70"/>
      <c r="M523" s="1697" t="s">
        <v>2478</v>
      </c>
      <c r="N523" s="143" t="s">
        <v>2717</v>
      </c>
      <c r="O523" s="143">
        <v>0.4</v>
      </c>
      <c r="P523" s="151"/>
      <c r="Q523" s="287"/>
      <c r="R523" s="176"/>
      <c r="S523" s="149"/>
      <c r="T523" s="149"/>
      <c r="U523" s="149"/>
      <c r="V523" s="149"/>
      <c r="W523" s="149"/>
    </row>
    <row r="524" spans="1:23" ht="60" customHeight="1" x14ac:dyDescent="0.25">
      <c r="A524" s="655"/>
      <c r="B524" s="656"/>
      <c r="C524" s="657"/>
      <c r="D524" s="657"/>
      <c r="E524" s="657"/>
      <c r="F524" s="654"/>
      <c r="G524" s="151" t="s">
        <v>3312</v>
      </c>
      <c r="H524" s="151" t="s">
        <v>3296</v>
      </c>
      <c r="I524" s="151" t="s">
        <v>3313</v>
      </c>
      <c r="J524" s="151">
        <f>0.08*0.9</f>
        <v>7.2000000000000008E-2</v>
      </c>
      <c r="K524" s="70"/>
      <c r="L524" s="70"/>
      <c r="M524" s="143" t="s">
        <v>471</v>
      </c>
      <c r="N524" s="143" t="s">
        <v>2886</v>
      </c>
      <c r="O524" s="143">
        <v>0.96499999999999997</v>
      </c>
      <c r="P524" s="151"/>
      <c r="Q524" s="287"/>
      <c r="R524" s="176"/>
      <c r="S524" s="149"/>
      <c r="T524" s="149"/>
      <c r="U524" s="149"/>
      <c r="V524" s="149"/>
      <c r="W524" s="149"/>
    </row>
    <row r="525" spans="1:23" ht="21.75" customHeight="1" x14ac:dyDescent="0.25">
      <c r="A525" s="793"/>
      <c r="B525" s="794"/>
      <c r="C525" s="796"/>
      <c r="D525" s="796"/>
      <c r="E525" s="796"/>
      <c r="F525" s="792"/>
      <c r="G525" s="2771"/>
      <c r="H525" s="2772"/>
      <c r="I525" s="2468"/>
      <c r="J525" s="149"/>
      <c r="K525" s="149"/>
      <c r="L525" s="149"/>
      <c r="M525" s="151" t="s">
        <v>1742</v>
      </c>
      <c r="N525" s="151" t="s">
        <v>2899</v>
      </c>
      <c r="O525" s="151">
        <f>0.12-0.035</f>
        <v>8.4999999999999992E-2</v>
      </c>
      <c r="P525" s="151"/>
      <c r="Q525" s="287"/>
      <c r="R525" s="176"/>
      <c r="S525" s="149"/>
      <c r="T525" s="149"/>
      <c r="U525" s="149"/>
      <c r="V525" s="149"/>
      <c r="W525" s="149"/>
    </row>
    <row r="526" spans="1:23" ht="17.25" customHeight="1" x14ac:dyDescent="0.25">
      <c r="A526" s="803"/>
      <c r="B526" s="804"/>
      <c r="C526" s="805"/>
      <c r="D526" s="805"/>
      <c r="E526" s="805"/>
      <c r="F526" s="802"/>
      <c r="G526" s="2768" t="s">
        <v>3447</v>
      </c>
      <c r="H526" s="2804"/>
      <c r="I526" s="2804"/>
      <c r="J526" s="2804"/>
      <c r="K526" s="2804"/>
      <c r="L526" s="2804"/>
      <c r="M526" s="151" t="s">
        <v>471</v>
      </c>
      <c r="N526" s="151" t="s">
        <v>3012</v>
      </c>
      <c r="O526" s="151">
        <v>0.1</v>
      </c>
      <c r="P526" s="151"/>
      <c r="Q526" s="287"/>
      <c r="R526" s="176"/>
      <c r="S526" s="149"/>
      <c r="T526" s="149"/>
      <c r="U526" s="149"/>
      <c r="V526" s="149"/>
      <c r="W526" s="149"/>
    </row>
    <row r="527" spans="1:23" ht="30" customHeight="1" x14ac:dyDescent="0.25">
      <c r="A527" s="821"/>
      <c r="B527" s="822"/>
      <c r="C527" s="823"/>
      <c r="D527" s="823"/>
      <c r="E527" s="823"/>
      <c r="F527" s="820"/>
      <c r="G527" s="2784" t="s">
        <v>3403</v>
      </c>
      <c r="H527" s="2785"/>
      <c r="I527" s="2786"/>
      <c r="J527" s="775">
        <f>3.898*0.9</f>
        <v>3.5082</v>
      </c>
      <c r="K527" s="775"/>
      <c r="L527" s="775"/>
      <c r="M527" s="151" t="s">
        <v>3046</v>
      </c>
      <c r="N527" s="151" t="s">
        <v>3047</v>
      </c>
      <c r="O527" s="151">
        <v>0.9</v>
      </c>
      <c r="P527" s="151"/>
      <c r="Q527" s="287"/>
      <c r="R527" s="176"/>
      <c r="S527" s="149"/>
      <c r="T527" s="149"/>
      <c r="U527" s="149"/>
      <c r="V527" s="149"/>
      <c r="W527" s="149"/>
    </row>
    <row r="528" spans="1:23" ht="60" customHeight="1" x14ac:dyDescent="0.25">
      <c r="A528" s="1016"/>
      <c r="B528" s="1014"/>
      <c r="C528" s="1018"/>
      <c r="D528" s="1018"/>
      <c r="E528" s="1018"/>
      <c r="F528" s="1015"/>
      <c r="G528" s="149" t="s">
        <v>16704</v>
      </c>
      <c r="H528" s="149" t="s">
        <v>16705</v>
      </c>
      <c r="I528" s="1719" t="s">
        <v>16849</v>
      </c>
      <c r="J528" s="151">
        <f>0.155*0.75</f>
        <v>0.11624999999999999</v>
      </c>
      <c r="K528" s="70"/>
      <c r="L528" s="70"/>
      <c r="M528" s="151" t="s">
        <v>3240</v>
      </c>
      <c r="N528" s="151" t="s">
        <v>3241</v>
      </c>
      <c r="O528" s="151">
        <v>0.2</v>
      </c>
      <c r="P528" s="151"/>
      <c r="Q528" s="287"/>
      <c r="R528" s="176"/>
      <c r="S528" s="149"/>
      <c r="T528" s="149"/>
      <c r="U528" s="149"/>
      <c r="V528" s="149"/>
      <c r="W528" s="149"/>
    </row>
    <row r="529" spans="1:23" ht="60" customHeight="1" x14ac:dyDescent="0.25">
      <c r="A529" s="1124"/>
      <c r="B529" s="1122"/>
      <c r="C529" s="1125"/>
      <c r="D529" s="1125"/>
      <c r="E529" s="1125"/>
      <c r="F529" s="1123"/>
      <c r="G529" s="1757" t="s">
        <v>471</v>
      </c>
      <c r="H529" s="1757" t="s">
        <v>16721</v>
      </c>
      <c r="I529" s="1757" t="s">
        <v>16874</v>
      </c>
      <c r="J529" s="151">
        <f>0.06*0.9</f>
        <v>5.3999999999999999E-2</v>
      </c>
      <c r="K529" s="70"/>
      <c r="L529" s="70"/>
      <c r="M529" s="151" t="s">
        <v>1315</v>
      </c>
      <c r="N529" s="151" t="s">
        <v>3377</v>
      </c>
      <c r="O529" s="151">
        <v>0.1</v>
      </c>
      <c r="P529" s="151"/>
      <c r="Q529" s="287"/>
      <c r="R529" s="176"/>
      <c r="S529" s="149"/>
      <c r="T529" s="149"/>
      <c r="U529" s="149"/>
      <c r="V529" s="149"/>
      <c r="W529" s="149"/>
    </row>
    <row r="530" spans="1:23" ht="60" customHeight="1" x14ac:dyDescent="0.25">
      <c r="A530" s="1164"/>
      <c r="B530" s="1162"/>
      <c r="C530" s="1166"/>
      <c r="D530" s="1166"/>
      <c r="E530" s="1166"/>
      <c r="F530" s="1163"/>
      <c r="G530" s="1792" t="s">
        <v>3312</v>
      </c>
      <c r="H530" s="1792" t="s">
        <v>16769</v>
      </c>
      <c r="I530" s="151" t="s">
        <v>16892</v>
      </c>
      <c r="J530" s="1792">
        <f>(0.26-0.08)*0.9</f>
        <v>0.16200000000000001</v>
      </c>
      <c r="K530" s="70"/>
      <c r="L530" s="70"/>
      <c r="M530" s="149" t="s">
        <v>3558</v>
      </c>
      <c r="N530" s="149" t="s">
        <v>3559</v>
      </c>
      <c r="O530" s="149">
        <v>0.4</v>
      </c>
      <c r="P530" s="151"/>
      <c r="Q530" s="287"/>
      <c r="R530" s="176"/>
      <c r="S530" s="149"/>
      <c r="T530" s="149"/>
      <c r="U530" s="149"/>
      <c r="V530" s="149"/>
      <c r="W530" s="149"/>
    </row>
    <row r="531" spans="1:23" ht="60" customHeight="1" x14ac:dyDescent="0.25">
      <c r="A531" s="1556"/>
      <c r="B531" s="1550"/>
      <c r="C531" s="1557"/>
      <c r="D531" s="1557"/>
      <c r="E531" s="1557"/>
      <c r="F531" s="1551"/>
      <c r="G531" s="1792" t="s">
        <v>16837</v>
      </c>
      <c r="H531" s="1792" t="s">
        <v>16838</v>
      </c>
      <c r="I531" s="1552" t="s">
        <v>16895</v>
      </c>
      <c r="J531" s="1552">
        <f>0.046*0.9</f>
        <v>4.1399999999999999E-2</v>
      </c>
      <c r="K531" s="70"/>
      <c r="L531" s="70"/>
      <c r="M531" s="149"/>
      <c r="N531" s="149"/>
      <c r="O531" s="149"/>
      <c r="P531" s="1552"/>
      <c r="Q531" s="287"/>
      <c r="R531" s="1562"/>
      <c r="S531" s="149"/>
      <c r="T531" s="149"/>
      <c r="U531" s="149"/>
      <c r="V531" s="149"/>
      <c r="W531" s="149"/>
    </row>
    <row r="532" spans="1:23" ht="60" customHeight="1" x14ac:dyDescent="0.25">
      <c r="A532" s="1556"/>
      <c r="B532" s="1550"/>
      <c r="C532" s="1557"/>
      <c r="D532" s="1557"/>
      <c r="E532" s="1557"/>
      <c r="F532" s="1551"/>
      <c r="G532" s="1555" t="s">
        <v>16896</v>
      </c>
      <c r="H532" s="1552" t="s">
        <v>16897</v>
      </c>
      <c r="I532" s="1552" t="s">
        <v>16898</v>
      </c>
      <c r="J532" s="1552">
        <v>2.1000000000000001E-2</v>
      </c>
      <c r="K532" s="70"/>
      <c r="L532" s="70"/>
      <c r="M532" s="149" t="s">
        <v>16704</v>
      </c>
      <c r="N532" s="149" t="s">
        <v>16714</v>
      </c>
      <c r="O532" s="149">
        <v>1</v>
      </c>
      <c r="P532" s="1552"/>
      <c r="Q532" s="287"/>
      <c r="R532" s="1562"/>
      <c r="S532" s="149"/>
      <c r="T532" s="149"/>
      <c r="U532" s="149"/>
      <c r="V532" s="149"/>
      <c r="W532" s="149"/>
    </row>
    <row r="533" spans="1:23" ht="60" customHeight="1" x14ac:dyDescent="0.25">
      <c r="A533" s="1556"/>
      <c r="B533" s="1550"/>
      <c r="C533" s="1557"/>
      <c r="D533" s="1557"/>
      <c r="E533" s="1557"/>
      <c r="F533" s="1551"/>
      <c r="G533" s="1906" t="s">
        <v>1742</v>
      </c>
      <c r="H533" s="1906" t="s">
        <v>16986</v>
      </c>
      <c r="I533" s="1552" t="s">
        <v>17034</v>
      </c>
      <c r="J533" s="1552">
        <f>0.095*0.9</f>
        <v>8.5500000000000007E-2</v>
      </c>
      <c r="K533" s="70"/>
      <c r="L533" s="70"/>
      <c r="M533" s="1552"/>
      <c r="N533" s="1719"/>
      <c r="O533" s="1552"/>
      <c r="P533" s="1552"/>
      <c r="Q533" s="287"/>
      <c r="R533" s="1562"/>
      <c r="S533" s="149"/>
      <c r="T533" s="149"/>
      <c r="U533" s="149"/>
      <c r="V533" s="149"/>
      <c r="W533" s="149"/>
    </row>
    <row r="534" spans="1:23" ht="60" customHeight="1" x14ac:dyDescent="0.25">
      <c r="A534" s="1686"/>
      <c r="B534" s="1673"/>
      <c r="C534" s="1674"/>
      <c r="D534" s="1674"/>
      <c r="E534" s="1674"/>
      <c r="F534" s="1675"/>
      <c r="G534" s="1683" t="s">
        <v>3312</v>
      </c>
      <c r="H534" s="1687" t="s">
        <v>17047</v>
      </c>
      <c r="I534" s="1687" t="s">
        <v>17048</v>
      </c>
      <c r="J534" s="1687">
        <f>0.08*0.75</f>
        <v>0.06</v>
      </c>
      <c r="K534" s="70"/>
      <c r="L534" s="70"/>
      <c r="M534" s="1687"/>
      <c r="N534" s="2"/>
      <c r="O534" s="2"/>
      <c r="P534" s="2269"/>
      <c r="Q534" s="149"/>
      <c r="R534" s="1689"/>
      <c r="S534" s="149"/>
      <c r="T534" s="149"/>
      <c r="U534" s="149"/>
      <c r="V534" s="149"/>
      <c r="W534" s="149"/>
    </row>
    <row r="535" spans="1:23" ht="60" customHeight="1" x14ac:dyDescent="0.25">
      <c r="A535" s="1720"/>
      <c r="B535" s="1706"/>
      <c r="C535" s="1707"/>
      <c r="D535" s="1707"/>
      <c r="E535" s="1707"/>
      <c r="F535" s="1711"/>
      <c r="G535" s="217" t="s">
        <v>16954</v>
      </c>
      <c r="H535" s="1934" t="s">
        <v>16922</v>
      </c>
      <c r="I535" s="1719" t="s">
        <v>17050</v>
      </c>
      <c r="J535" s="1719">
        <f>0.05*0.9</f>
        <v>4.5000000000000005E-2</v>
      </c>
      <c r="K535" s="70"/>
      <c r="L535" s="70"/>
      <c r="M535" s="1719"/>
      <c r="N535" s="1719"/>
      <c r="O535" s="1719"/>
      <c r="P535" s="1719"/>
      <c r="Q535" s="287"/>
      <c r="R535" s="1724"/>
      <c r="S535" s="149"/>
      <c r="T535" s="149"/>
      <c r="U535" s="149"/>
      <c r="V535" s="149"/>
      <c r="W535" s="149"/>
    </row>
    <row r="536" spans="1:23" ht="60" customHeight="1" x14ac:dyDescent="0.25">
      <c r="A536" s="2267"/>
      <c r="B536" s="2264"/>
      <c r="C536" s="2265"/>
      <c r="D536" s="2265"/>
      <c r="E536" s="2265"/>
      <c r="F536" s="2266"/>
      <c r="G536" s="2" t="s">
        <v>16969</v>
      </c>
      <c r="H536" s="2" t="s">
        <v>16988</v>
      </c>
      <c r="I536" s="2269" t="s">
        <v>17033</v>
      </c>
      <c r="J536" s="149">
        <f>0.095*0.9</f>
        <v>8.5500000000000007E-2</v>
      </c>
      <c r="K536" s="70"/>
      <c r="L536" s="70"/>
      <c r="M536" s="2268"/>
      <c r="N536" s="2268"/>
      <c r="O536" s="2268"/>
      <c r="P536" s="2268"/>
      <c r="Q536" s="287"/>
      <c r="R536" s="2269"/>
      <c r="S536" s="149"/>
      <c r="T536" s="149"/>
      <c r="U536" s="149"/>
      <c r="V536" s="149"/>
      <c r="W536" s="149"/>
    </row>
    <row r="537" spans="1:23" ht="60" customHeight="1" x14ac:dyDescent="0.25">
      <c r="A537" s="1720"/>
      <c r="B537" s="1706"/>
      <c r="C537" s="1707"/>
      <c r="D537" s="1707"/>
      <c r="E537" s="1707"/>
      <c r="F537" s="1711"/>
      <c r="G537" s="2768" t="s">
        <v>17005</v>
      </c>
      <c r="H537" s="2804"/>
      <c r="I537" s="2804"/>
      <c r="J537" s="2804"/>
      <c r="K537" s="2804"/>
      <c r="L537" s="2804"/>
      <c r="M537" s="1719" t="s">
        <v>16830</v>
      </c>
      <c r="N537" s="1719" t="s">
        <v>16831</v>
      </c>
      <c r="O537" s="1719">
        <v>0.65</v>
      </c>
      <c r="P537" s="1719"/>
      <c r="Q537" s="287"/>
      <c r="R537" s="1724"/>
      <c r="S537" s="149"/>
      <c r="T537" s="149"/>
      <c r="U537" s="149"/>
      <c r="V537" s="149"/>
      <c r="W537" s="149"/>
    </row>
    <row r="538" spans="1:23" ht="60" customHeight="1" x14ac:dyDescent="0.25">
      <c r="A538" s="1720"/>
      <c r="B538" s="1706"/>
      <c r="C538" s="1707"/>
      <c r="D538" s="1707"/>
      <c r="E538" s="1707"/>
      <c r="F538" s="1711"/>
      <c r="G538" s="1717" t="s">
        <v>16997</v>
      </c>
      <c r="H538" s="1719" t="s">
        <v>19839</v>
      </c>
      <c r="I538" s="1719" t="s">
        <v>19840</v>
      </c>
      <c r="J538" s="1719">
        <v>0.35</v>
      </c>
      <c r="K538" s="70"/>
      <c r="L538" s="70"/>
      <c r="M538" s="1719" t="s">
        <v>3002</v>
      </c>
      <c r="N538" s="1719" t="s">
        <v>16834</v>
      </c>
      <c r="O538" s="1719">
        <v>0.15</v>
      </c>
      <c r="P538" s="1719"/>
      <c r="Q538" s="287"/>
      <c r="R538" s="1724"/>
      <c r="S538" s="149"/>
      <c r="T538" s="149"/>
      <c r="U538" s="149"/>
      <c r="V538" s="149"/>
      <c r="W538" s="149"/>
    </row>
    <row r="539" spans="1:23" ht="60" customHeight="1" x14ac:dyDescent="0.25">
      <c r="A539" s="1720"/>
      <c r="B539" s="1706"/>
      <c r="C539" s="1707"/>
      <c r="D539" s="1707"/>
      <c r="E539" s="1707"/>
      <c r="F539" s="1711"/>
      <c r="G539" s="1717" t="s">
        <v>471</v>
      </c>
      <c r="H539" s="1719" t="s">
        <v>19923</v>
      </c>
      <c r="I539" s="1719" t="s">
        <v>19924</v>
      </c>
      <c r="J539" s="1719">
        <f>0.97*0.9</f>
        <v>0.873</v>
      </c>
      <c r="K539" s="70"/>
      <c r="L539" s="70"/>
      <c r="M539" s="1719" t="s">
        <v>16921</v>
      </c>
      <c r="N539" s="1719" t="s">
        <v>16922</v>
      </c>
      <c r="O539" s="1719">
        <v>0.05</v>
      </c>
      <c r="P539" s="1719"/>
      <c r="Q539" s="287"/>
      <c r="R539" s="1724"/>
      <c r="S539" s="149"/>
      <c r="T539" s="149"/>
      <c r="U539" s="149"/>
      <c r="V539" s="149"/>
      <c r="W539" s="149"/>
    </row>
    <row r="540" spans="1:23" ht="60" customHeight="1" x14ac:dyDescent="0.25">
      <c r="A540" s="2236"/>
      <c r="B540" s="2214"/>
      <c r="C540" s="2215"/>
      <c r="D540" s="2215"/>
      <c r="E540" s="2215"/>
      <c r="F540" s="2219"/>
      <c r="G540" s="2784" t="s">
        <v>3403</v>
      </c>
      <c r="H540" s="2785"/>
      <c r="I540" s="2786"/>
      <c r="J540" s="775">
        <f>1.267*0.9</f>
        <v>1.1402999999999999</v>
      </c>
      <c r="K540" s="775"/>
      <c r="L540" s="775"/>
      <c r="M540" s="2235"/>
      <c r="N540" s="2235"/>
      <c r="O540" s="2235"/>
      <c r="P540" s="2235"/>
      <c r="Q540" s="287"/>
      <c r="R540" s="2244"/>
      <c r="S540" s="149"/>
      <c r="T540" s="149"/>
      <c r="U540" s="149"/>
      <c r="V540" s="149"/>
      <c r="W540" s="149"/>
    </row>
    <row r="541" spans="1:23" ht="60" customHeight="1" x14ac:dyDescent="0.25">
      <c r="A541" s="2331"/>
      <c r="B541" s="2316"/>
      <c r="C541" s="2317"/>
      <c r="D541" s="2317"/>
      <c r="E541" s="2317"/>
      <c r="F541" s="2320"/>
      <c r="G541" s="2336" t="s">
        <v>20253</v>
      </c>
      <c r="H541" s="2336" t="s">
        <v>20254</v>
      </c>
      <c r="I541" s="2337" t="s">
        <v>20255</v>
      </c>
      <c r="J541" s="149">
        <f>0.3*0.9</f>
        <v>0.27</v>
      </c>
      <c r="K541" s="149"/>
      <c r="L541" s="149"/>
      <c r="M541" s="2332"/>
      <c r="N541" s="2332"/>
      <c r="O541" s="2332"/>
      <c r="P541" s="2332"/>
      <c r="Q541" s="287"/>
      <c r="R541" s="2337"/>
      <c r="S541" s="149"/>
      <c r="T541" s="149"/>
      <c r="U541" s="149"/>
      <c r="V541" s="149"/>
      <c r="W541" s="149"/>
    </row>
    <row r="542" spans="1:23" ht="20.100000000000001" customHeight="1" thickBot="1" x14ac:dyDescent="0.3">
      <c r="A542" s="406"/>
      <c r="B542" s="395"/>
      <c r="C542" s="396"/>
      <c r="D542" s="396"/>
      <c r="E542" s="396"/>
      <c r="F542" s="397"/>
      <c r="G542" s="2637" t="s">
        <v>1833</v>
      </c>
      <c r="H542" s="2810"/>
      <c r="I542" s="2810"/>
      <c r="J542" s="207">
        <f>SUM(J523:J541)</f>
        <v>7.1541499999999996</v>
      </c>
      <c r="K542" s="183">
        <v>0.92</v>
      </c>
      <c r="L542" s="136">
        <f>J542/K542</f>
        <v>7.7762499999999992</v>
      </c>
      <c r="M542" s="2810" t="s">
        <v>1834</v>
      </c>
      <c r="N542" s="2810"/>
      <c r="O542" s="136">
        <f>SUM(O498:O539)</f>
        <v>16.544999999999998</v>
      </c>
      <c r="P542" s="183">
        <v>0.92</v>
      </c>
      <c r="Q542" s="275">
        <f>O542/P542</f>
        <v>17.98369565217391</v>
      </c>
      <c r="R542" s="2637" t="s">
        <v>1833</v>
      </c>
      <c r="S542" s="2810"/>
      <c r="T542" s="2810"/>
      <c r="U542" s="207">
        <f>SUM(U506:U510)</f>
        <v>3.1959999999999997</v>
      </c>
      <c r="V542" s="183">
        <v>0.92</v>
      </c>
      <c r="W542" s="136">
        <f>U542/V542</f>
        <v>3.4739130434782606</v>
      </c>
    </row>
    <row r="543" spans="1:23" ht="20.100000000000001" customHeight="1" x14ac:dyDescent="0.25">
      <c r="A543" s="407" t="str">
        <f>Итоговая!C328</f>
        <v xml:space="preserve">ПС 35/3 кВ №2 </v>
      </c>
      <c r="B543" s="399">
        <f>Итоговая!D328</f>
        <v>1</v>
      </c>
      <c r="C543" s="400" t="str">
        <f>Итоговая!E328</f>
        <v>+</v>
      </c>
      <c r="D543" s="400">
        <f>Итоговая!F328</f>
        <v>1</v>
      </c>
      <c r="E543" s="400"/>
      <c r="F543" s="401"/>
      <c r="G543" s="422"/>
      <c r="H543" s="4"/>
      <c r="I543" s="4"/>
      <c r="J543" s="4"/>
      <c r="K543" s="4"/>
      <c r="L543" s="77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72"/>
    </row>
    <row r="544" spans="1:23" ht="20.100000000000001" customHeight="1" thickBot="1" x14ac:dyDescent="0.3">
      <c r="A544" s="406"/>
      <c r="B544" s="395"/>
      <c r="C544" s="396"/>
      <c r="D544" s="396"/>
      <c r="E544" s="396"/>
      <c r="F544" s="397"/>
      <c r="G544" s="2636" t="s">
        <v>1833</v>
      </c>
      <c r="H544" s="2636"/>
      <c r="I544" s="2637"/>
      <c r="J544" s="136">
        <f>SUM(J543:J543)</f>
        <v>0</v>
      </c>
      <c r="K544" s="183">
        <v>0.92</v>
      </c>
      <c r="L544" s="136">
        <f>J544/K544</f>
        <v>0</v>
      </c>
      <c r="M544" s="2652" t="s">
        <v>1834</v>
      </c>
      <c r="N544" s="2637"/>
      <c r="O544" s="136">
        <f>SUM(O543:O543)</f>
        <v>0</v>
      </c>
      <c r="P544" s="183">
        <v>0.92</v>
      </c>
      <c r="Q544" s="136">
        <f>O544/P544</f>
        <v>0</v>
      </c>
      <c r="R544" s="2715" t="s">
        <v>1833</v>
      </c>
      <c r="S544" s="2716"/>
      <c r="T544" s="2717"/>
      <c r="U544" s="181">
        <f>SUM(U543:U543)</f>
        <v>0</v>
      </c>
      <c r="V544" s="151">
        <v>0.92</v>
      </c>
      <c r="W544" s="181">
        <f>U544/V544</f>
        <v>0</v>
      </c>
    </row>
    <row r="545" spans="1:23" s="18" customFormat="1" ht="20.25" customHeight="1" x14ac:dyDescent="0.25">
      <c r="A545" s="407" t="str">
        <f>Итоговая!C329</f>
        <v>ПС  35/10 кВ №15</v>
      </c>
      <c r="B545" s="399">
        <f>Итоговая!D329</f>
        <v>4</v>
      </c>
      <c r="C545" s="400" t="str">
        <f>Итоговая!E329</f>
        <v>+</v>
      </c>
      <c r="D545" s="400">
        <f>Итоговая!F329</f>
        <v>6.3</v>
      </c>
      <c r="E545" s="400"/>
      <c r="F545" s="401"/>
      <c r="G545" s="2800" t="s">
        <v>2032</v>
      </c>
      <c r="H545" s="2801"/>
      <c r="I545" s="2801"/>
      <c r="J545" s="2801"/>
      <c r="K545" s="2801"/>
      <c r="L545" s="2801"/>
      <c r="M545" s="143" t="s">
        <v>494</v>
      </c>
      <c r="N545" s="143" t="s">
        <v>495</v>
      </c>
      <c r="O545" s="53">
        <v>0.01</v>
      </c>
      <c r="P545" s="143"/>
      <c r="Q545" s="143"/>
      <c r="R545" s="53" t="s">
        <v>2153</v>
      </c>
      <c r="S545" s="143" t="s">
        <v>2154</v>
      </c>
      <c r="T545" s="53" t="s">
        <v>2375</v>
      </c>
      <c r="U545" s="143">
        <v>0.2</v>
      </c>
      <c r="V545" s="143"/>
      <c r="W545" s="142"/>
    </row>
    <row r="546" spans="1:23" s="18" customFormat="1" ht="20.100000000000001" customHeight="1" thickBot="1" x14ac:dyDescent="0.3">
      <c r="A546" s="402"/>
      <c r="B546" s="403"/>
      <c r="C546" s="404"/>
      <c r="D546" s="404"/>
      <c r="E546" s="404"/>
      <c r="F546" s="405"/>
      <c r="G546" s="565" t="s">
        <v>2153</v>
      </c>
      <c r="H546" s="42" t="s">
        <v>2154</v>
      </c>
      <c r="I546" s="58" t="s">
        <v>2375</v>
      </c>
      <c r="J546" s="42">
        <v>0.2</v>
      </c>
      <c r="K546" s="143"/>
      <c r="L546" s="142"/>
      <c r="M546" s="143" t="s">
        <v>497</v>
      </c>
      <c r="N546" s="53"/>
      <c r="O546" s="143">
        <v>0.74</v>
      </c>
      <c r="Q546" s="143"/>
      <c r="R546" s="143"/>
      <c r="S546" s="143"/>
      <c r="T546" s="143"/>
      <c r="U546" s="143"/>
      <c r="V546" s="143"/>
      <c r="W546" s="142"/>
    </row>
    <row r="547" spans="1:23" ht="20.100000000000001" customHeight="1" x14ac:dyDescent="0.25">
      <c r="A547" s="402"/>
      <c r="B547" s="403"/>
      <c r="C547" s="404"/>
      <c r="D547" s="404"/>
      <c r="E547" s="404"/>
      <c r="F547" s="405"/>
      <c r="G547" s="2800" t="s">
        <v>2477</v>
      </c>
      <c r="H547" s="2801"/>
      <c r="I547" s="2801"/>
      <c r="J547" s="2801"/>
      <c r="K547" s="2801"/>
      <c r="L547" s="2801"/>
      <c r="M547" s="53" t="s">
        <v>498</v>
      </c>
      <c r="N547" s="143"/>
      <c r="O547" s="53">
        <v>0.74</v>
      </c>
      <c r="P547" s="143"/>
      <c r="Q547" s="143"/>
      <c r="R547" s="143"/>
      <c r="S547" s="143"/>
      <c r="T547" s="143"/>
      <c r="U547" s="143"/>
      <c r="V547" s="143"/>
      <c r="W547" s="142"/>
    </row>
    <row r="548" spans="1:23" ht="57" customHeight="1" x14ac:dyDescent="0.25">
      <c r="A548" s="402"/>
      <c r="B548" s="403"/>
      <c r="C548" s="404"/>
      <c r="D548" s="404"/>
      <c r="E548" s="404"/>
      <c r="F548" s="405"/>
      <c r="G548" s="768" t="s">
        <v>2807</v>
      </c>
      <c r="H548" s="636" t="s">
        <v>2808</v>
      </c>
      <c r="I548" s="636" t="s">
        <v>2806</v>
      </c>
      <c r="J548" s="636">
        <v>0.105</v>
      </c>
      <c r="K548" s="636"/>
      <c r="L548" s="636"/>
      <c r="M548" s="53" t="s">
        <v>2153</v>
      </c>
      <c r="N548" s="143" t="s">
        <v>2154</v>
      </c>
      <c r="O548" s="53">
        <v>0.5</v>
      </c>
      <c r="P548" s="143"/>
      <c r="Q548" s="143"/>
      <c r="R548" s="143"/>
      <c r="S548" s="143"/>
      <c r="T548" s="143"/>
      <c r="U548" s="143"/>
      <c r="V548" s="143"/>
      <c r="W548" s="142"/>
    </row>
    <row r="549" spans="1:23" ht="74.25" customHeight="1" x14ac:dyDescent="0.25">
      <c r="A549" s="402"/>
      <c r="B549" s="403"/>
      <c r="C549" s="404"/>
      <c r="D549" s="404"/>
      <c r="E549" s="404"/>
      <c r="F549" s="405"/>
      <c r="G549" s="143" t="s">
        <v>496</v>
      </c>
      <c r="H549" s="53" t="s">
        <v>2615</v>
      </c>
      <c r="I549" s="143" t="s">
        <v>2809</v>
      </c>
      <c r="J549" s="143">
        <v>1.68</v>
      </c>
      <c r="K549" s="143"/>
      <c r="L549" s="142"/>
      <c r="M549" s="143" t="s">
        <v>2827</v>
      </c>
      <c r="N549" s="53" t="s">
        <v>2828</v>
      </c>
      <c r="O549" s="143">
        <v>0.25</v>
      </c>
      <c r="P549" s="143"/>
      <c r="Q549" s="143"/>
      <c r="R549" s="143"/>
      <c r="S549" s="143"/>
      <c r="T549" s="143"/>
      <c r="U549" s="143"/>
      <c r="V549" s="143"/>
      <c r="W549" s="142"/>
    </row>
    <row r="550" spans="1:23" ht="18" customHeight="1" x14ac:dyDescent="0.25">
      <c r="A550" s="402"/>
      <c r="B550" s="403"/>
      <c r="C550" s="404"/>
      <c r="D550" s="404"/>
      <c r="E550" s="404"/>
      <c r="F550" s="405"/>
      <c r="G550" s="2768">
        <v>2012</v>
      </c>
      <c r="H550" s="2804"/>
      <c r="I550" s="2804"/>
      <c r="J550" s="2804"/>
      <c r="K550" s="2804"/>
      <c r="L550" s="2804"/>
      <c r="M550" s="1496"/>
      <c r="N550" s="53"/>
      <c r="O550" s="143"/>
      <c r="P550" s="143"/>
      <c r="Q550" s="143"/>
      <c r="R550" s="143"/>
      <c r="S550" s="143"/>
      <c r="T550" s="143"/>
      <c r="U550" s="143"/>
      <c r="V550" s="143"/>
      <c r="W550" s="142"/>
    </row>
    <row r="551" spans="1:23" ht="20.100000000000001" customHeight="1" x14ac:dyDescent="0.25">
      <c r="A551" s="402"/>
      <c r="B551" s="403"/>
      <c r="C551" s="404"/>
      <c r="D551" s="404"/>
      <c r="E551" s="404"/>
      <c r="F551" s="405"/>
      <c r="G551" s="2771"/>
      <c r="H551" s="2772"/>
      <c r="I551" s="2468"/>
      <c r="J551" s="1936"/>
      <c r="K551" s="1936"/>
      <c r="L551" s="1936"/>
      <c r="M551" s="1230" t="s">
        <v>2827</v>
      </c>
      <c r="N551" s="53" t="s">
        <v>3444</v>
      </c>
      <c r="O551" s="1230">
        <v>0</v>
      </c>
      <c r="P551" s="143"/>
      <c r="Q551" s="143"/>
      <c r="R551" s="143"/>
      <c r="S551" s="143"/>
      <c r="T551" s="143"/>
      <c r="U551" s="143"/>
      <c r="V551" s="143"/>
      <c r="W551" s="142"/>
    </row>
    <row r="552" spans="1:23" ht="20.100000000000001" customHeight="1" x14ac:dyDescent="0.25">
      <c r="A552" s="1592"/>
      <c r="B552" s="1598"/>
      <c r="C552" s="1601"/>
      <c r="D552" s="1601"/>
      <c r="E552" s="1601"/>
      <c r="F552" s="1599"/>
      <c r="G552" s="2768">
        <v>2013</v>
      </c>
      <c r="H552" s="2804"/>
      <c r="I552" s="2804"/>
      <c r="J552" s="2804"/>
      <c r="K552" s="2804"/>
      <c r="L552" s="2804"/>
      <c r="M552" s="1595"/>
      <c r="N552" s="1625"/>
      <c r="O552" s="1593"/>
      <c r="P552" s="1593"/>
      <c r="Q552" s="1593"/>
      <c r="R552" s="1595"/>
      <c r="S552" s="1596"/>
      <c r="T552" s="1597"/>
      <c r="U552" s="1593"/>
      <c r="V552" s="1593"/>
      <c r="W552" s="149"/>
    </row>
    <row r="553" spans="1:23" ht="20.100000000000001" customHeight="1" x14ac:dyDescent="0.25">
      <c r="A553" s="1592"/>
      <c r="B553" s="1598"/>
      <c r="C553" s="1601"/>
      <c r="D553" s="1601"/>
      <c r="E553" s="1601"/>
      <c r="F553" s="1599"/>
      <c r="G553" s="2784" t="s">
        <v>3401</v>
      </c>
      <c r="H553" s="2785"/>
      <c r="I553" s="2786"/>
      <c r="J553" s="774">
        <f>0.14*0.9</f>
        <v>0.12600000000000003</v>
      </c>
      <c r="K553" s="1593"/>
      <c r="L553" s="149"/>
      <c r="M553" s="1595"/>
      <c r="N553" s="1625"/>
      <c r="O553" s="1593"/>
      <c r="P553" s="1593"/>
      <c r="Q553" s="1593"/>
      <c r="R553" s="1595"/>
      <c r="S553" s="1596"/>
      <c r="T553" s="1597"/>
      <c r="U553" s="1593"/>
      <c r="V553" s="1593"/>
      <c r="W553" s="149"/>
    </row>
    <row r="554" spans="1:23" ht="20.100000000000001" customHeight="1" thickBot="1" x14ac:dyDescent="0.3">
      <c r="A554" s="406"/>
      <c r="B554" s="395"/>
      <c r="C554" s="396"/>
      <c r="D554" s="396"/>
      <c r="E554" s="396"/>
      <c r="F554" s="397"/>
      <c r="G554" s="2636" t="s">
        <v>1833</v>
      </c>
      <c r="H554" s="2636"/>
      <c r="I554" s="2637"/>
      <c r="J554" s="136">
        <f>SUM(J553)</f>
        <v>0.12600000000000003</v>
      </c>
      <c r="K554" s="183">
        <v>0.93</v>
      </c>
      <c r="L554" s="136">
        <f>J554/K554</f>
        <v>0.13548387096774195</v>
      </c>
      <c r="M554" s="2652" t="s">
        <v>1834</v>
      </c>
      <c r="N554" s="2637"/>
      <c r="O554" s="136">
        <f>SUM(O545:O551)</f>
        <v>2.2400000000000002</v>
      </c>
      <c r="P554" s="183">
        <v>0.92</v>
      </c>
      <c r="Q554" s="136">
        <f>O554/P554</f>
        <v>2.4347826086956523</v>
      </c>
      <c r="R554" s="2652" t="s">
        <v>1833</v>
      </c>
      <c r="S554" s="2636"/>
      <c r="T554" s="2637"/>
      <c r="U554" s="136">
        <f>SUM(U545:U548)</f>
        <v>0.2</v>
      </c>
      <c r="V554" s="183">
        <v>0.92</v>
      </c>
      <c r="W554" s="136">
        <f>U554/V554</f>
        <v>0.21739130434782608</v>
      </c>
    </row>
    <row r="555" spans="1:23" ht="20.100000000000001" customHeight="1" x14ac:dyDescent="0.25">
      <c r="A555" s="2776" t="str">
        <f>Итоговая!C330</f>
        <v xml:space="preserve">ПС 35/10 кВ Медное </v>
      </c>
      <c r="B555" s="2630">
        <f>Итоговая!D330</f>
        <v>6.3</v>
      </c>
      <c r="C555" s="2632" t="str">
        <f>Итоговая!E330</f>
        <v>+</v>
      </c>
      <c r="D555" s="2632">
        <f>Итоговая!F330</f>
        <v>6.3</v>
      </c>
      <c r="E555" s="400"/>
      <c r="F555" s="401"/>
      <c r="G555" s="2808" t="s">
        <v>1959</v>
      </c>
      <c r="H555" s="2808"/>
      <c r="I555" s="2808"/>
      <c r="J555" s="2808"/>
      <c r="K555" s="2808"/>
      <c r="L555" s="2800"/>
      <c r="M555" s="133"/>
      <c r="N555" s="175"/>
      <c r="O555" s="77"/>
      <c r="P555" s="77"/>
      <c r="Q555" s="77"/>
      <c r="R555" s="2826" t="s">
        <v>1959</v>
      </c>
      <c r="S555" s="2808"/>
      <c r="T555" s="2808"/>
      <c r="U555" s="2808"/>
      <c r="V555" s="2808"/>
      <c r="W555" s="2800"/>
    </row>
    <row r="556" spans="1:23" ht="81" customHeight="1" x14ac:dyDescent="0.25">
      <c r="A556" s="2777"/>
      <c r="B556" s="2631"/>
      <c r="C556" s="2633"/>
      <c r="D556" s="2633"/>
      <c r="E556" s="404"/>
      <c r="F556" s="405"/>
      <c r="G556" s="541"/>
      <c r="H556" s="305"/>
      <c r="I556" s="306"/>
      <c r="J556" s="305"/>
      <c r="K556" s="305"/>
      <c r="L556" s="307"/>
      <c r="M556" s="42" t="s">
        <v>502</v>
      </c>
      <c r="N556" s="42" t="s">
        <v>503</v>
      </c>
      <c r="O556" s="42">
        <v>0.9</v>
      </c>
      <c r="P556" s="42"/>
      <c r="Q556" s="42"/>
      <c r="R556" s="340" t="s">
        <v>500</v>
      </c>
      <c r="S556" s="340" t="s">
        <v>501</v>
      </c>
      <c r="T556" s="374" t="s">
        <v>2483</v>
      </c>
      <c r="U556" s="340">
        <v>0.185</v>
      </c>
      <c r="V556" s="340"/>
      <c r="W556" s="348"/>
    </row>
    <row r="557" spans="1:23" ht="20.100000000000001" customHeight="1" x14ac:dyDescent="0.25">
      <c r="A557" s="402"/>
      <c r="B557" s="403"/>
      <c r="C557" s="404"/>
      <c r="D557" s="404"/>
      <c r="E557" s="404"/>
      <c r="F557" s="405"/>
      <c r="G557" s="264" t="s">
        <v>508</v>
      </c>
      <c r="H557" s="143" t="s">
        <v>509</v>
      </c>
      <c r="I557" s="143" t="s">
        <v>510</v>
      </c>
      <c r="J557" s="143">
        <v>0.16</v>
      </c>
      <c r="K557" s="42"/>
      <c r="L557" s="72"/>
      <c r="M557" s="42" t="s">
        <v>504</v>
      </c>
      <c r="N557" s="42" t="s">
        <v>505</v>
      </c>
      <c r="O557" s="42">
        <v>0.6</v>
      </c>
      <c r="P557" s="42"/>
      <c r="Q557" s="42"/>
      <c r="R557" s="72"/>
      <c r="S557" s="142"/>
      <c r="T557" s="142"/>
      <c r="U557" s="142"/>
      <c r="V557" s="72"/>
      <c r="W557" s="72"/>
    </row>
    <row r="558" spans="1:23" ht="49.5" customHeight="1" x14ac:dyDescent="0.25">
      <c r="A558" s="402"/>
      <c r="B558" s="403"/>
      <c r="C558" s="404"/>
      <c r="D558" s="404"/>
      <c r="E558" s="404"/>
      <c r="F558" s="405"/>
      <c r="G558" s="563" t="s">
        <v>310</v>
      </c>
      <c r="H558" s="119" t="s">
        <v>1480</v>
      </c>
      <c r="I558" s="143" t="s">
        <v>2300</v>
      </c>
      <c r="J558" s="143">
        <v>8.5000000000000006E-2</v>
      </c>
      <c r="K558" s="143"/>
      <c r="L558" s="142"/>
      <c r="M558" s="42" t="s">
        <v>506</v>
      </c>
      <c r="N558" s="42" t="s">
        <v>507</v>
      </c>
      <c r="O558" s="42">
        <v>0.5</v>
      </c>
      <c r="P558" s="42"/>
      <c r="Q558" s="42"/>
      <c r="R558" s="81"/>
      <c r="S558" s="81"/>
      <c r="T558" s="142"/>
      <c r="U558" s="142"/>
      <c r="V558" s="142"/>
      <c r="W558" s="142"/>
    </row>
    <row r="559" spans="1:23" ht="18.75" customHeight="1" x14ac:dyDescent="0.25">
      <c r="A559" s="402"/>
      <c r="B559" s="403"/>
      <c r="C559" s="404"/>
      <c r="D559" s="404"/>
      <c r="E559" s="404"/>
      <c r="F559" s="405"/>
      <c r="G559" s="2768" t="s">
        <v>2032</v>
      </c>
      <c r="H559" s="2804"/>
      <c r="I559" s="2804"/>
      <c r="J559" s="2804"/>
      <c r="K559" s="2804"/>
      <c r="L559" s="2804"/>
      <c r="M559" s="42"/>
      <c r="N559" s="42"/>
      <c r="O559" s="42"/>
      <c r="P559" s="42"/>
      <c r="Q559" s="42"/>
      <c r="R559" s="2794"/>
      <c r="S559" s="2794"/>
      <c r="T559" s="2794"/>
      <c r="U559" s="2794"/>
      <c r="V559" s="2794"/>
      <c r="W559" s="2794"/>
    </row>
    <row r="560" spans="1:23" ht="49.5" customHeight="1" x14ac:dyDescent="0.25">
      <c r="A560" s="402"/>
      <c r="B560" s="403"/>
      <c r="C560" s="404"/>
      <c r="D560" s="404"/>
      <c r="E560" s="404"/>
      <c r="F560" s="405"/>
      <c r="G560" s="280" t="s">
        <v>2036</v>
      </c>
      <c r="H560" s="154" t="s">
        <v>2037</v>
      </c>
      <c r="I560" s="143" t="s">
        <v>2242</v>
      </c>
      <c r="J560" s="59">
        <v>9.5000000000000001E-2</v>
      </c>
      <c r="K560" s="42"/>
      <c r="L560" s="72"/>
      <c r="M560" s="154" t="s">
        <v>1478</v>
      </c>
      <c r="N560" s="154" t="s">
        <v>1479</v>
      </c>
      <c r="O560" s="42">
        <v>1.2090000000000001</v>
      </c>
      <c r="P560" s="42"/>
      <c r="Q560" s="42"/>
      <c r="R560" s="81"/>
      <c r="S560" s="81"/>
      <c r="T560" s="142"/>
      <c r="U560" s="46"/>
      <c r="V560" s="72"/>
      <c r="W560" s="72"/>
    </row>
    <row r="561" spans="1:23" ht="26.25" customHeight="1" x14ac:dyDescent="0.25">
      <c r="A561" s="841"/>
      <c r="B561" s="842"/>
      <c r="C561" s="843"/>
      <c r="D561" s="843"/>
      <c r="E561" s="843"/>
      <c r="F561" s="840"/>
      <c r="G561" s="2768" t="s">
        <v>2477</v>
      </c>
      <c r="H561" s="2804"/>
      <c r="I561" s="2804"/>
      <c r="J561" s="2804"/>
      <c r="K561" s="2804"/>
      <c r="L561" s="2804"/>
      <c r="M561" s="1515"/>
      <c r="N561" s="1515"/>
      <c r="O561" s="42"/>
      <c r="P561" s="42"/>
      <c r="Q561" s="42"/>
      <c r="R561" s="81"/>
      <c r="S561" s="81"/>
      <c r="T561" s="142"/>
      <c r="U561" s="46"/>
      <c r="V561" s="157"/>
      <c r="W561" s="157"/>
    </row>
    <row r="562" spans="1:23" ht="20.100000000000001" customHeight="1" x14ac:dyDescent="0.25">
      <c r="A562" s="402"/>
      <c r="B562" s="403"/>
      <c r="C562" s="404"/>
      <c r="D562" s="404"/>
      <c r="E562" s="404"/>
      <c r="F562" s="405"/>
      <c r="G562" s="143" t="s">
        <v>2902</v>
      </c>
      <c r="H562" s="143" t="s">
        <v>2904</v>
      </c>
      <c r="I562" s="180" t="s">
        <v>2979</v>
      </c>
      <c r="J562" s="222">
        <v>0.25679999999999997</v>
      </c>
      <c r="K562" s="159"/>
      <c r="L562" s="157"/>
      <c r="M562" s="1668"/>
      <c r="N562" s="1668"/>
      <c r="O562" s="143"/>
      <c r="P562" s="143"/>
      <c r="Q562" s="143"/>
      <c r="R562" s="142"/>
      <c r="S562" s="142"/>
      <c r="T562" s="142"/>
      <c r="U562" s="46"/>
      <c r="V562" s="157"/>
      <c r="W562" s="157"/>
    </row>
    <row r="563" spans="1:23" ht="20.100000000000001" customHeight="1" x14ac:dyDescent="0.25">
      <c r="A563" s="1185"/>
      <c r="B563" s="1183"/>
      <c r="C563" s="1187"/>
      <c r="D563" s="1187"/>
      <c r="E563" s="1187"/>
      <c r="F563" s="1184"/>
      <c r="G563" s="2768">
        <v>2012</v>
      </c>
      <c r="H563" s="2804"/>
      <c r="I563" s="2804"/>
      <c r="J563" s="2804"/>
      <c r="K563" s="2804"/>
      <c r="L563" s="2804"/>
      <c r="M563" s="1715" t="s">
        <v>16821</v>
      </c>
      <c r="N563" s="1717" t="s">
        <v>16822</v>
      </c>
      <c r="O563" s="151">
        <v>0.16</v>
      </c>
      <c r="P563" s="151"/>
      <c r="Q563" s="151"/>
      <c r="R563" s="147"/>
      <c r="S563" s="365"/>
      <c r="T563" s="176"/>
      <c r="U563" s="1203"/>
      <c r="V563" s="157"/>
      <c r="W563" s="157"/>
    </row>
    <row r="564" spans="1:23" ht="20.100000000000001" customHeight="1" x14ac:dyDescent="0.25">
      <c r="A564" s="1185"/>
      <c r="B564" s="1183"/>
      <c r="C564" s="1187"/>
      <c r="D564" s="1187"/>
      <c r="E564" s="1187"/>
      <c r="F564" s="1184"/>
      <c r="G564" s="2771"/>
      <c r="H564" s="2772"/>
      <c r="I564" s="2468"/>
      <c r="J564" s="1203"/>
      <c r="K564" s="157"/>
      <c r="L564" s="157"/>
      <c r="M564" s="146"/>
      <c r="N564" s="180"/>
      <c r="O564" s="151"/>
      <c r="P564" s="151"/>
      <c r="Q564" s="151"/>
      <c r="R564" s="147"/>
      <c r="S564" s="365"/>
      <c r="T564" s="176"/>
      <c r="U564" s="1203"/>
      <c r="V564" s="157"/>
      <c r="W564" s="157"/>
    </row>
    <row r="565" spans="1:23" ht="20.100000000000001" customHeight="1" x14ac:dyDescent="0.25">
      <c r="A565" s="1525"/>
      <c r="B565" s="1532"/>
      <c r="C565" s="1535"/>
      <c r="D565" s="1535"/>
      <c r="E565" s="1535"/>
      <c r="F565" s="1533"/>
      <c r="G565" s="2768">
        <v>2013</v>
      </c>
      <c r="H565" s="2804"/>
      <c r="I565" s="2804"/>
      <c r="J565" s="2804"/>
      <c r="K565" s="2804"/>
      <c r="L565" s="2804"/>
      <c r="M565" s="1529"/>
      <c r="N565" s="1531"/>
      <c r="O565" s="1526"/>
      <c r="P565" s="1526"/>
      <c r="Q565" s="1526"/>
      <c r="R565" s="1541"/>
      <c r="S565" s="1542"/>
      <c r="T565" s="1543"/>
      <c r="U565" s="1203"/>
      <c r="V565" s="157"/>
      <c r="W565" s="157"/>
    </row>
    <row r="566" spans="1:23" ht="20.100000000000001" customHeight="1" x14ac:dyDescent="0.25">
      <c r="A566" s="1525"/>
      <c r="B566" s="1532"/>
      <c r="C566" s="1535"/>
      <c r="D566" s="1535"/>
      <c r="E566" s="1535"/>
      <c r="F566" s="1533"/>
      <c r="G566" s="1540" t="s">
        <v>16652</v>
      </c>
      <c r="H566" s="1540" t="s">
        <v>16653</v>
      </c>
      <c r="I566" s="1540" t="s">
        <v>16654</v>
      </c>
      <c r="J566" s="46">
        <f>0.16*0.75</f>
        <v>0.12</v>
      </c>
      <c r="K566" s="1540"/>
      <c r="L566" s="1540"/>
      <c r="M566" s="1529"/>
      <c r="N566" s="1531"/>
      <c r="O566" s="1526"/>
      <c r="P566" s="1526"/>
      <c r="Q566" s="1526"/>
      <c r="R566" s="1541"/>
      <c r="S566" s="1542"/>
      <c r="T566" s="1543"/>
      <c r="U566" s="1203"/>
      <c r="V566" s="157"/>
      <c r="W566" s="157"/>
    </row>
    <row r="567" spans="1:23" ht="20.100000000000001" customHeight="1" x14ac:dyDescent="0.25">
      <c r="A567" s="1592"/>
      <c r="B567" s="1598"/>
      <c r="C567" s="1601"/>
      <c r="D567" s="1601"/>
      <c r="E567" s="1601"/>
      <c r="F567" s="1599"/>
      <c r="G567" s="2784" t="s">
        <v>3401</v>
      </c>
      <c r="H567" s="2785"/>
      <c r="I567" s="2786"/>
      <c r="J567" s="1204">
        <f>0.16*0.9</f>
        <v>0.14400000000000002</v>
      </c>
      <c r="K567" s="149"/>
      <c r="L567" s="149"/>
      <c r="M567" s="1595"/>
      <c r="N567" s="1597"/>
      <c r="O567" s="1593"/>
      <c r="P567" s="1593"/>
      <c r="Q567" s="1593"/>
      <c r="R567" s="1610"/>
      <c r="S567" s="1611"/>
      <c r="T567" s="1612"/>
      <c r="U567" s="1203"/>
      <c r="V567" s="157"/>
      <c r="W567" s="157"/>
    </row>
    <row r="568" spans="1:23" ht="20.100000000000001" customHeight="1" x14ac:dyDescent="0.25">
      <c r="A568" s="1756"/>
      <c r="B568" s="1741"/>
      <c r="C568" s="1742"/>
      <c r="D568" s="1742"/>
      <c r="E568" s="1742"/>
      <c r="F568" s="1743"/>
      <c r="G568" s="1733" t="s">
        <v>16762</v>
      </c>
      <c r="H568" s="1733" t="s">
        <v>16763</v>
      </c>
      <c r="I568" s="1733" t="s">
        <v>16883</v>
      </c>
      <c r="J568" s="46">
        <f>0.04*0.9</f>
        <v>3.6000000000000004E-2</v>
      </c>
      <c r="K568" s="1758"/>
      <c r="L568" s="1758"/>
      <c r="M568" s="1752"/>
      <c r="N568" s="1753"/>
      <c r="O568" s="1757"/>
      <c r="P568" s="1757"/>
      <c r="Q568" s="1757"/>
      <c r="R568" s="1761"/>
      <c r="S568" s="1759"/>
      <c r="T568" s="1760"/>
      <c r="U568" s="1203"/>
      <c r="V568" s="157"/>
      <c r="W568" s="157"/>
    </row>
    <row r="569" spans="1:23" ht="20.100000000000001" customHeight="1" x14ac:dyDescent="0.25">
      <c r="A569" s="1905"/>
      <c r="B569" s="1894"/>
      <c r="C569" s="1895"/>
      <c r="D569" s="1895"/>
      <c r="E569" s="1895"/>
      <c r="F569" s="1896"/>
      <c r="G569" s="1904" t="s">
        <v>15339</v>
      </c>
      <c r="H569" s="1904" t="s">
        <v>16987</v>
      </c>
      <c r="I569" s="1902" t="s">
        <v>17029</v>
      </c>
      <c r="J569" s="1203">
        <f>0.384*0.9</f>
        <v>0.34560000000000002</v>
      </c>
      <c r="K569" s="149"/>
      <c r="L569" s="149"/>
      <c r="M569" s="1901"/>
      <c r="N569" s="1902"/>
      <c r="O569" s="1906"/>
      <c r="P569" s="1906"/>
      <c r="Q569" s="1906"/>
      <c r="R569" s="1909"/>
      <c r="S569" s="1907"/>
      <c r="T569" s="1908"/>
      <c r="U569" s="1203"/>
      <c r="V569" s="157"/>
      <c r="W569" s="157"/>
    </row>
    <row r="570" spans="1:23" ht="20.100000000000001" customHeight="1" x14ac:dyDescent="0.25">
      <c r="A570" s="2091"/>
      <c r="B570" s="2073"/>
      <c r="C570" s="2074"/>
      <c r="D570" s="2074"/>
      <c r="E570" s="2074"/>
      <c r="F570" s="2077"/>
      <c r="G570" s="2768">
        <v>2014</v>
      </c>
      <c r="H570" s="2804"/>
      <c r="I570" s="2804"/>
      <c r="J570" s="2804"/>
      <c r="K570" s="2804"/>
      <c r="L570" s="2804"/>
      <c r="M570" s="2083"/>
      <c r="N570" s="2085"/>
      <c r="O570" s="2090"/>
      <c r="P570" s="2090"/>
      <c r="Q570" s="2090"/>
      <c r="R570" s="2093"/>
      <c r="S570" s="2094"/>
      <c r="T570" s="2095"/>
      <c r="U570" s="1203"/>
      <c r="V570" s="157"/>
      <c r="W570" s="157"/>
    </row>
    <row r="571" spans="1:23" ht="20.100000000000001" customHeight="1" x14ac:dyDescent="0.25">
      <c r="A571" s="2091"/>
      <c r="B571" s="2073"/>
      <c r="C571" s="2074"/>
      <c r="D571" s="2074"/>
      <c r="E571" s="2074"/>
      <c r="F571" s="2077"/>
      <c r="G571" s="2125" t="s">
        <v>19939</v>
      </c>
      <c r="H571" s="2125" t="s">
        <v>19940</v>
      </c>
      <c r="I571" s="2085" t="s">
        <v>19941</v>
      </c>
      <c r="J571" s="1203">
        <f>0.12*0.9</f>
        <v>0.108</v>
      </c>
      <c r="K571" s="149"/>
      <c r="L571" s="149"/>
      <c r="M571" s="2083"/>
      <c r="N571" s="2085"/>
      <c r="O571" s="2090"/>
      <c r="P571" s="2090"/>
      <c r="Q571" s="2090"/>
      <c r="R571" s="2093"/>
      <c r="S571" s="2094"/>
      <c r="T571" s="2095"/>
      <c r="U571" s="1203"/>
      <c r="V571" s="157"/>
      <c r="W571" s="157"/>
    </row>
    <row r="572" spans="1:23" ht="20.100000000000001" customHeight="1" x14ac:dyDescent="0.25">
      <c r="A572" s="2189"/>
      <c r="B572" s="2175"/>
      <c r="C572" s="2176"/>
      <c r="D572" s="2176"/>
      <c r="E572" s="2176"/>
      <c r="F572" s="2177"/>
      <c r="G572" s="2125" t="s">
        <v>20019</v>
      </c>
      <c r="H572" s="2125" t="s">
        <v>20020</v>
      </c>
      <c r="I572" s="2188" t="s">
        <v>20021</v>
      </c>
      <c r="J572" s="1203">
        <f>0.07*0.9</f>
        <v>6.3000000000000014E-2</v>
      </c>
      <c r="K572" s="149"/>
      <c r="L572" s="149"/>
      <c r="M572" s="2187"/>
      <c r="N572" s="2188"/>
      <c r="O572" s="2190"/>
      <c r="P572" s="2190"/>
      <c r="Q572" s="2190"/>
      <c r="R572" s="2193"/>
      <c r="S572" s="2191"/>
      <c r="T572" s="2192"/>
      <c r="U572" s="1203"/>
      <c r="V572" s="157"/>
      <c r="W572" s="157"/>
    </row>
    <row r="573" spans="1:23" ht="20.100000000000001" customHeight="1" x14ac:dyDescent="0.25">
      <c r="A573" s="2236"/>
      <c r="B573" s="2214"/>
      <c r="C573" s="2215"/>
      <c r="D573" s="2215"/>
      <c r="E573" s="2215"/>
      <c r="F573" s="2219"/>
      <c r="G573" s="2784" t="s">
        <v>3401</v>
      </c>
      <c r="H573" s="2785"/>
      <c r="I573" s="2786"/>
      <c r="J573" s="1204">
        <f>0.291*0.9</f>
        <v>0.26189999999999997</v>
      </c>
      <c r="K573" s="149"/>
      <c r="L573" s="149"/>
      <c r="M573" s="2228"/>
      <c r="N573" s="2230"/>
      <c r="O573" s="2235"/>
      <c r="P573" s="2235"/>
      <c r="Q573" s="2235"/>
      <c r="R573" s="2242"/>
      <c r="S573" s="2243"/>
      <c r="T573" s="2244"/>
      <c r="U573" s="1203"/>
      <c r="V573" s="157"/>
      <c r="W573" s="157"/>
    </row>
    <row r="574" spans="1:23" ht="20.100000000000001" customHeight="1" thickBot="1" x14ac:dyDescent="0.3">
      <c r="A574" s="406"/>
      <c r="B574" s="395"/>
      <c r="C574" s="396"/>
      <c r="D574" s="396"/>
      <c r="E574" s="396"/>
      <c r="F574" s="397"/>
      <c r="G574" s="2636" t="s">
        <v>1833</v>
      </c>
      <c r="H574" s="2636"/>
      <c r="I574" s="2637"/>
      <c r="J574" s="218">
        <f>SUM(J564:J573)</f>
        <v>1.0785</v>
      </c>
      <c r="K574" s="183">
        <v>0.92</v>
      </c>
      <c r="L574" s="136">
        <f>J574/K574</f>
        <v>1.1722826086956522</v>
      </c>
      <c r="M574" s="2652" t="s">
        <v>1834</v>
      </c>
      <c r="N574" s="2637"/>
      <c r="O574" s="136">
        <f>SUM(O556:O563)</f>
        <v>3.3690000000000002</v>
      </c>
      <c r="P574" s="183">
        <v>0.92</v>
      </c>
      <c r="Q574" s="136">
        <f>O574/P574</f>
        <v>3.6619565217391306</v>
      </c>
      <c r="R574" s="2652" t="s">
        <v>1833</v>
      </c>
      <c r="S574" s="2636"/>
      <c r="T574" s="2637"/>
      <c r="U574" s="136">
        <f>SUM(U556)</f>
        <v>0.185</v>
      </c>
      <c r="V574" s="183">
        <v>0.92</v>
      </c>
      <c r="W574" s="136">
        <f>U574/V574</f>
        <v>0.20108695652173911</v>
      </c>
    </row>
    <row r="575" spans="1:23" ht="28.5" customHeight="1" x14ac:dyDescent="0.25">
      <c r="A575" s="407" t="str">
        <f>Итоговая!C331</f>
        <v xml:space="preserve">ПС 35/10 кВ Толмачи       </v>
      </c>
      <c r="B575" s="399">
        <f>Итоговая!D331</f>
        <v>2.5</v>
      </c>
      <c r="C575" s="400" t="str">
        <f>Итоговая!E331</f>
        <v>+</v>
      </c>
      <c r="D575" s="400">
        <f>Итоговая!F331</f>
        <v>1.8</v>
      </c>
      <c r="E575" s="400"/>
      <c r="F575" s="401"/>
      <c r="G575" s="184"/>
      <c r="H575" s="143"/>
      <c r="I575" s="143"/>
      <c r="J575" s="143"/>
      <c r="K575" s="143"/>
      <c r="L575" s="142"/>
      <c r="M575" s="4" t="s">
        <v>2339</v>
      </c>
      <c r="N575" s="4" t="s">
        <v>2340</v>
      </c>
      <c r="O575" s="153">
        <v>0.1</v>
      </c>
      <c r="P575" s="143"/>
      <c r="Q575" s="143"/>
      <c r="R575" s="143"/>
      <c r="S575" s="143"/>
      <c r="T575" s="143"/>
      <c r="U575" s="143"/>
      <c r="V575" s="143"/>
      <c r="W575" s="142"/>
    </row>
    <row r="576" spans="1:23" ht="20.100000000000001" customHeight="1" thickBot="1" x14ac:dyDescent="0.3">
      <c r="A576" s="406"/>
      <c r="B576" s="395"/>
      <c r="C576" s="396"/>
      <c r="D576" s="396"/>
      <c r="E576" s="396"/>
      <c r="F576" s="397"/>
      <c r="G576" s="2652" t="s">
        <v>1833</v>
      </c>
      <c r="H576" s="2636"/>
      <c r="I576" s="2637"/>
      <c r="J576" s="136">
        <f>SUM(J575:J575)</f>
        <v>0</v>
      </c>
      <c r="K576" s="183">
        <v>0.92</v>
      </c>
      <c r="L576" s="136">
        <f>J576/K576</f>
        <v>0</v>
      </c>
      <c r="M576" s="2652" t="s">
        <v>1834</v>
      </c>
      <c r="N576" s="2637"/>
      <c r="O576" s="136">
        <f>SUM(O575:O575)</f>
        <v>0.1</v>
      </c>
      <c r="P576" s="183">
        <v>0.92</v>
      </c>
      <c r="Q576" s="136">
        <f>O576/P576</f>
        <v>0.10869565217391304</v>
      </c>
      <c r="R576" s="2652" t="s">
        <v>1833</v>
      </c>
      <c r="S576" s="2636"/>
      <c r="T576" s="2637"/>
      <c r="U576" s="136">
        <f>SUM(U575:U575)</f>
        <v>0</v>
      </c>
      <c r="V576" s="183">
        <v>0.92</v>
      </c>
      <c r="W576" s="136">
        <f>U576/V576</f>
        <v>0</v>
      </c>
    </row>
    <row r="577" spans="1:23" s="18" customFormat="1" ht="20.100000000000001" customHeight="1" x14ac:dyDescent="0.25">
      <c r="A577" s="407" t="str">
        <f>Итоговая!C332</f>
        <v xml:space="preserve">ПС 35/10 кВ № 7 </v>
      </c>
      <c r="B577" s="399">
        <f>Итоговая!D332</f>
        <v>1.6</v>
      </c>
      <c r="C577" s="400" t="str">
        <f>Итоговая!E332</f>
        <v>+</v>
      </c>
      <c r="D577" s="400">
        <f>Итоговая!F332</f>
        <v>2.5</v>
      </c>
      <c r="E577" s="400"/>
      <c r="F577" s="401"/>
      <c r="G577" s="2774" t="s">
        <v>2032</v>
      </c>
      <c r="H577" s="2775"/>
      <c r="I577" s="2775"/>
      <c r="J577" s="2775"/>
      <c r="K577" s="2775"/>
      <c r="L577" s="2775"/>
      <c r="M577" s="143" t="s">
        <v>393</v>
      </c>
      <c r="N577" s="143" t="s">
        <v>394</v>
      </c>
      <c r="O577" s="143">
        <v>0.49149999999999999</v>
      </c>
      <c r="P577" s="143"/>
      <c r="Q577" s="143"/>
      <c r="R577" s="143"/>
      <c r="S577" s="143"/>
      <c r="T577" s="143"/>
      <c r="U577" s="143"/>
      <c r="V577" s="143"/>
      <c r="W577" s="142"/>
    </row>
    <row r="578" spans="1:23" s="18" customFormat="1" ht="20.100000000000001" customHeight="1" x14ac:dyDescent="0.25">
      <c r="A578" s="402"/>
      <c r="B578" s="403"/>
      <c r="C578" s="404"/>
      <c r="D578" s="404"/>
      <c r="E578" s="404"/>
      <c r="F578" s="405"/>
      <c r="G578" s="184" t="s">
        <v>2161</v>
      </c>
      <c r="H578" s="143" t="s">
        <v>2162</v>
      </c>
      <c r="I578" s="143" t="s">
        <v>2507</v>
      </c>
      <c r="J578" s="143">
        <v>0.15</v>
      </c>
      <c r="K578" s="151"/>
      <c r="L578" s="149"/>
      <c r="M578" s="143" t="s">
        <v>2161</v>
      </c>
      <c r="N578" s="143" t="s">
        <v>2162</v>
      </c>
      <c r="O578" s="143">
        <v>0.15</v>
      </c>
      <c r="P578" s="151"/>
      <c r="Q578" s="151"/>
      <c r="R578" s="146"/>
      <c r="S578" s="179"/>
      <c r="T578" s="180"/>
      <c r="U578" s="151"/>
      <c r="V578" s="151"/>
      <c r="W578" s="149"/>
    </row>
    <row r="579" spans="1:23" ht="20.100000000000001" customHeight="1" thickBot="1" x14ac:dyDescent="0.3">
      <c r="A579" s="406"/>
      <c r="B579" s="395"/>
      <c r="C579" s="396"/>
      <c r="D579" s="396"/>
      <c r="E579" s="396"/>
      <c r="F579" s="397"/>
      <c r="G579" s="2716" t="s">
        <v>1833</v>
      </c>
      <c r="H579" s="2716"/>
      <c r="I579" s="2717"/>
      <c r="J579" s="181">
        <f>SUM(0)</f>
        <v>0</v>
      </c>
      <c r="K579" s="151">
        <v>0.92</v>
      </c>
      <c r="L579" s="181">
        <f>J579/K579</f>
        <v>0</v>
      </c>
      <c r="M579" s="2715" t="s">
        <v>1834</v>
      </c>
      <c r="N579" s="2717"/>
      <c r="O579" s="181">
        <f>SUM(O577:O578)</f>
        <v>0.64149999999999996</v>
      </c>
      <c r="P579" s="151">
        <v>0.92</v>
      </c>
      <c r="Q579" s="181">
        <f>O579/P579</f>
        <v>0.69728260869565206</v>
      </c>
      <c r="R579" s="2715" t="s">
        <v>1833</v>
      </c>
      <c r="S579" s="2716"/>
      <c r="T579" s="2717"/>
      <c r="U579" s="181">
        <f>SUM(U577:U577)</f>
        <v>0</v>
      </c>
      <c r="V579" s="151">
        <v>0.92</v>
      </c>
      <c r="W579" s="181">
        <f>U579/V579</f>
        <v>0</v>
      </c>
    </row>
    <row r="580" spans="1:23" ht="20.100000000000001" customHeight="1" x14ac:dyDescent="0.25">
      <c r="A580" s="2776" t="str">
        <f>Итоговая!C333</f>
        <v xml:space="preserve">ПС  35/6 кВ № 5 </v>
      </c>
      <c r="B580" s="2630">
        <f>Итоговая!D333</f>
        <v>5.6</v>
      </c>
      <c r="C580" s="2632" t="str">
        <f>Итоговая!E333</f>
        <v>+</v>
      </c>
      <c r="D580" s="2632">
        <f>Итоговая!F333</f>
        <v>4</v>
      </c>
      <c r="E580" s="400"/>
      <c r="F580" s="401"/>
      <c r="G580" s="2800" t="s">
        <v>2032</v>
      </c>
      <c r="H580" s="2801"/>
      <c r="I580" s="2801"/>
      <c r="J580" s="2801"/>
      <c r="K580" s="2801"/>
      <c r="L580" s="2801"/>
      <c r="M580" s="77"/>
      <c r="N580" s="77"/>
      <c r="O580" s="77"/>
      <c r="P580" s="77"/>
      <c r="Q580" s="281"/>
      <c r="R580" s="2792"/>
      <c r="S580" s="2790"/>
      <c r="T580" s="2790"/>
      <c r="U580" s="2790"/>
      <c r="V580" s="2790"/>
      <c r="W580" s="2790"/>
    </row>
    <row r="581" spans="1:23" s="18" customFormat="1" ht="49.5" customHeight="1" thickBot="1" x14ac:dyDescent="0.3">
      <c r="A581" s="2777"/>
      <c r="B581" s="2631"/>
      <c r="C581" s="2633"/>
      <c r="D581" s="2633"/>
      <c r="E581" s="404"/>
      <c r="F581" s="405"/>
      <c r="G581" s="280" t="s">
        <v>1490</v>
      </c>
      <c r="H581" s="154" t="s">
        <v>1491</v>
      </c>
      <c r="I581" s="143" t="s">
        <v>2231</v>
      </c>
      <c r="J581" s="143">
        <v>0.12</v>
      </c>
      <c r="K581" s="143"/>
      <c r="L581" s="142"/>
      <c r="M581" s="142" t="s">
        <v>532</v>
      </c>
      <c r="N581" s="142" t="s">
        <v>533</v>
      </c>
      <c r="O581" s="285">
        <v>0.1</v>
      </c>
      <c r="P581" s="142"/>
      <c r="Q581" s="282"/>
      <c r="R581" s="372"/>
      <c r="S581" s="81"/>
      <c r="T581" s="142"/>
      <c r="U581" s="142"/>
      <c r="V581" s="142"/>
      <c r="W581" s="142"/>
    </row>
    <row r="582" spans="1:23" s="18" customFormat="1" ht="29.25" customHeight="1" x14ac:dyDescent="0.25">
      <c r="A582" s="763"/>
      <c r="B582" s="764"/>
      <c r="C582" s="766"/>
      <c r="D582" s="766"/>
      <c r="E582" s="766"/>
      <c r="F582" s="762"/>
      <c r="G582" s="2800" t="s">
        <v>2477</v>
      </c>
      <c r="H582" s="2801"/>
      <c r="I582" s="2801"/>
      <c r="J582" s="2801"/>
      <c r="K582" s="2801"/>
      <c r="L582" s="2801"/>
      <c r="M582" s="149" t="s">
        <v>3053</v>
      </c>
      <c r="N582" s="149" t="s">
        <v>3054</v>
      </c>
      <c r="O582" s="344">
        <v>0.04</v>
      </c>
      <c r="P582" s="149"/>
      <c r="Q582" s="701"/>
      <c r="R582" s="702"/>
      <c r="S582" s="378"/>
      <c r="T582" s="149"/>
      <c r="U582" s="149"/>
      <c r="V582" s="149"/>
      <c r="W582" s="149"/>
    </row>
    <row r="583" spans="1:23" s="18" customFormat="1" ht="49.5" customHeight="1" thickBot="1" x14ac:dyDescent="0.3">
      <c r="A583" s="763"/>
      <c r="B583" s="764"/>
      <c r="C583" s="766"/>
      <c r="D583" s="766"/>
      <c r="E583" s="766"/>
      <c r="F583" s="762"/>
      <c r="G583" s="564" t="s">
        <v>2800</v>
      </c>
      <c r="H583" s="217" t="s">
        <v>2817</v>
      </c>
      <c r="I583" s="151" t="s">
        <v>2818</v>
      </c>
      <c r="J583" s="151">
        <v>0.15</v>
      </c>
      <c r="K583" s="151"/>
      <c r="L583" s="149"/>
      <c r="M583" s="149"/>
      <c r="N583" s="149"/>
      <c r="O583" s="344"/>
      <c r="P583" s="149"/>
      <c r="Q583" s="701"/>
      <c r="R583" s="702"/>
      <c r="S583" s="378"/>
      <c r="T583" s="149"/>
      <c r="U583" s="149"/>
      <c r="V583" s="149"/>
      <c r="W583" s="149"/>
    </row>
    <row r="584" spans="1:23" s="18" customFormat="1" ht="49.5" customHeight="1" x14ac:dyDescent="0.25">
      <c r="A584" s="1756"/>
      <c r="B584" s="1741"/>
      <c r="C584" s="1742"/>
      <c r="D584" s="1742"/>
      <c r="E584" s="1742"/>
      <c r="F584" s="1743"/>
      <c r="G584" s="2800" t="s">
        <v>3447</v>
      </c>
      <c r="H584" s="2801"/>
      <c r="I584" s="2801"/>
      <c r="J584" s="2801"/>
      <c r="K584" s="2801"/>
      <c r="L584" s="2801"/>
      <c r="M584" s="149"/>
      <c r="N584" s="149"/>
      <c r="O584" s="344"/>
      <c r="P584" s="149"/>
      <c r="Q584" s="701"/>
      <c r="R584" s="702"/>
      <c r="S584" s="378"/>
      <c r="T584" s="149"/>
      <c r="U584" s="149"/>
      <c r="V584" s="149"/>
      <c r="W584" s="149"/>
    </row>
    <row r="585" spans="1:23" s="18" customFormat="1" ht="49.5" customHeight="1" x14ac:dyDescent="0.25">
      <c r="A585" s="1756"/>
      <c r="B585" s="1741"/>
      <c r="C585" s="1742"/>
      <c r="D585" s="1742"/>
      <c r="E585" s="1742"/>
      <c r="F585" s="1743"/>
      <c r="G585" s="149" t="s">
        <v>16779</v>
      </c>
      <c r="H585" s="149" t="s">
        <v>16780</v>
      </c>
      <c r="I585" s="344" t="s">
        <v>16863</v>
      </c>
      <c r="J585" s="344">
        <f>0.35*0.15</f>
        <v>5.2499999999999998E-2</v>
      </c>
      <c r="K585" s="1757"/>
      <c r="L585" s="149"/>
      <c r="M585" s="149"/>
      <c r="N585" s="149"/>
      <c r="O585" s="344"/>
      <c r="P585" s="149"/>
      <c r="Q585" s="701"/>
      <c r="R585" s="702"/>
      <c r="S585" s="378"/>
      <c r="T585" s="149"/>
      <c r="U585" s="149"/>
      <c r="V585" s="149"/>
      <c r="W585" s="149"/>
    </row>
    <row r="586" spans="1:23" ht="20.100000000000001" customHeight="1" thickBot="1" x14ac:dyDescent="0.3">
      <c r="A586" s="406"/>
      <c r="B586" s="395"/>
      <c r="C586" s="396"/>
      <c r="D586" s="396"/>
      <c r="E586" s="396"/>
      <c r="F586" s="397"/>
      <c r="G586" s="2637" t="s">
        <v>1833</v>
      </c>
      <c r="H586" s="2810"/>
      <c r="I586" s="2810"/>
      <c r="J586" s="136">
        <f>SUM(J585)</f>
        <v>5.2499999999999998E-2</v>
      </c>
      <c r="K586" s="183">
        <v>0.92</v>
      </c>
      <c r="L586" s="136">
        <f>J586/K586</f>
        <v>5.7065217391304345E-2</v>
      </c>
      <c r="M586" s="2810" t="s">
        <v>1834</v>
      </c>
      <c r="N586" s="2810"/>
      <c r="O586" s="136">
        <f>SUM(O581:O583)</f>
        <v>0.14000000000000001</v>
      </c>
      <c r="P586" s="183">
        <v>0.92</v>
      </c>
      <c r="Q586" s="275">
        <f>O586/P586</f>
        <v>0.15217391304347827</v>
      </c>
      <c r="R586" s="2637" t="s">
        <v>1833</v>
      </c>
      <c r="S586" s="2810"/>
      <c r="T586" s="2810"/>
      <c r="U586" s="136">
        <f>SUM(U581:U581)</f>
        <v>0</v>
      </c>
      <c r="V586" s="183">
        <v>0.92</v>
      </c>
      <c r="W586" s="136">
        <f>U586/V586</f>
        <v>0</v>
      </c>
    </row>
    <row r="587" spans="1:23" ht="20.100000000000001" customHeight="1" x14ac:dyDescent="0.25">
      <c r="A587" s="2776" t="str">
        <f>Итоговая!C334</f>
        <v xml:space="preserve">ПС  35/6 кВ № 9 </v>
      </c>
      <c r="B587" s="2630">
        <f>Итоговая!D334</f>
        <v>5.6</v>
      </c>
      <c r="C587" s="2632" t="str">
        <f>Итоговая!E334</f>
        <v>+</v>
      </c>
      <c r="D587" s="2632">
        <f>Итоговая!F334</f>
        <v>6.3</v>
      </c>
      <c r="E587" s="400"/>
      <c r="F587" s="401"/>
      <c r="G587" s="2800" t="s">
        <v>2032</v>
      </c>
      <c r="H587" s="2801"/>
      <c r="I587" s="2801"/>
      <c r="J587" s="2801"/>
      <c r="K587" s="2801"/>
      <c r="L587" s="2801"/>
      <c r="M587" s="157"/>
      <c r="N587" s="157"/>
      <c r="O587" s="157"/>
      <c r="P587" s="157"/>
      <c r="Q587" s="55"/>
      <c r="R587" s="2792"/>
      <c r="S587" s="2790"/>
      <c r="T587" s="2790"/>
      <c r="U587" s="2790"/>
      <c r="V587" s="2790"/>
      <c r="W587" s="2790"/>
    </row>
    <row r="588" spans="1:23" s="18" customFormat="1" ht="81" customHeight="1" x14ac:dyDescent="0.25">
      <c r="A588" s="2777"/>
      <c r="B588" s="2631"/>
      <c r="C588" s="2633"/>
      <c r="D588" s="2633"/>
      <c r="E588" s="404"/>
      <c r="F588" s="405"/>
      <c r="G588" s="263" t="s">
        <v>2010</v>
      </c>
      <c r="H588" s="159" t="s">
        <v>2011</v>
      </c>
      <c r="I588" s="42" t="s">
        <v>2239</v>
      </c>
      <c r="J588" s="42">
        <v>1.78E-2</v>
      </c>
      <c r="K588" s="42"/>
      <c r="L588" s="72"/>
      <c r="M588" s="143" t="s">
        <v>534</v>
      </c>
      <c r="N588" s="143" t="s">
        <v>535</v>
      </c>
      <c r="O588" s="143">
        <v>0.12</v>
      </c>
      <c r="P588" s="143"/>
      <c r="Q588" s="143"/>
      <c r="R588" s="157"/>
      <c r="S588" s="157"/>
      <c r="T588" s="72"/>
      <c r="U588" s="72"/>
      <c r="V588" s="72"/>
      <c r="W588" s="72"/>
    </row>
    <row r="589" spans="1:23" s="18" customFormat="1" ht="69.75" customHeight="1" x14ac:dyDescent="0.25">
      <c r="A589" s="402"/>
      <c r="B589" s="403"/>
      <c r="C589" s="404"/>
      <c r="D589" s="404"/>
      <c r="E589" s="404"/>
      <c r="F589" s="405"/>
      <c r="G589" s="184" t="s">
        <v>2008</v>
      </c>
      <c r="H589" s="143" t="s">
        <v>2009</v>
      </c>
      <c r="I589" s="143" t="s">
        <v>2252</v>
      </c>
      <c r="J589" s="143">
        <v>2.5000000000000001E-2</v>
      </c>
      <c r="K589" s="143"/>
      <c r="L589" s="142"/>
      <c r="M589" s="143"/>
      <c r="N589" s="143"/>
      <c r="O589" s="143"/>
      <c r="P589" s="143"/>
      <c r="Q589" s="143"/>
      <c r="R589" s="142"/>
      <c r="S589" s="142"/>
      <c r="T589" s="142"/>
      <c r="U589" s="142"/>
      <c r="V589" s="142"/>
      <c r="W589" s="142"/>
    </row>
    <row r="590" spans="1:23" s="18" customFormat="1" ht="79.5" customHeight="1" x14ac:dyDescent="0.25">
      <c r="A590" s="402"/>
      <c r="B590" s="403"/>
      <c r="C590" s="404"/>
      <c r="D590" s="404"/>
      <c r="E590" s="404"/>
      <c r="F590" s="405"/>
      <c r="G590" s="217" t="s">
        <v>2750</v>
      </c>
      <c r="H590" s="217" t="s">
        <v>2947</v>
      </c>
      <c r="I590" s="151" t="s">
        <v>2984</v>
      </c>
      <c r="J590" s="151">
        <v>5.5E-2</v>
      </c>
      <c r="K590" s="151"/>
      <c r="L590" s="149"/>
      <c r="M590" s="143" t="s">
        <v>538</v>
      </c>
      <c r="N590" s="143" t="s">
        <v>539</v>
      </c>
      <c r="O590" s="143">
        <v>5.416E-2</v>
      </c>
      <c r="P590" s="143"/>
      <c r="Q590" s="143"/>
      <c r="R590" s="142"/>
      <c r="S590" s="142"/>
      <c r="T590" s="142"/>
      <c r="U590" s="142"/>
      <c r="V590" s="142"/>
      <c r="W590" s="142"/>
    </row>
    <row r="591" spans="1:23" s="18" customFormat="1" ht="20.100000000000001" customHeight="1" x14ac:dyDescent="0.25">
      <c r="A591" s="402"/>
      <c r="B591" s="403"/>
      <c r="C591" s="404"/>
      <c r="D591" s="404"/>
      <c r="E591" s="404"/>
      <c r="F591" s="405"/>
      <c r="G591" s="2804" t="s">
        <v>2477</v>
      </c>
      <c r="H591" s="2804"/>
      <c r="I591" s="2804"/>
      <c r="J591" s="2804"/>
      <c r="K591" s="2804"/>
      <c r="L591" s="2804"/>
      <c r="P591" s="143"/>
      <c r="Q591" s="143"/>
      <c r="R591" s="142"/>
      <c r="S591" s="142"/>
      <c r="T591" s="142"/>
      <c r="U591" s="142"/>
      <c r="V591" s="142"/>
      <c r="W591" s="142"/>
    </row>
    <row r="592" spans="1:23" ht="20.100000000000001" customHeight="1" x14ac:dyDescent="0.25">
      <c r="A592" s="402"/>
      <c r="B592" s="403"/>
      <c r="C592" s="404"/>
      <c r="D592" s="404"/>
      <c r="E592" s="404"/>
      <c r="F592" s="405"/>
      <c r="G592" s="2" t="s">
        <v>3022</v>
      </c>
      <c r="H592" s="2" t="s">
        <v>3023</v>
      </c>
      <c r="I592" s="143" t="s">
        <v>2806</v>
      </c>
      <c r="J592" s="143">
        <v>0.60599999999999998</v>
      </c>
      <c r="K592" s="143"/>
      <c r="L592" s="142"/>
      <c r="M592" s="154" t="s">
        <v>2049</v>
      </c>
      <c r="N592" s="154" t="s">
        <v>2050</v>
      </c>
      <c r="O592" s="143">
        <v>0.04</v>
      </c>
      <c r="P592" s="8"/>
      <c r="Q592" s="8"/>
      <c r="R592" s="142"/>
      <c r="S592" s="142"/>
      <c r="T592" s="142"/>
      <c r="U592" s="142"/>
      <c r="V592" s="142"/>
      <c r="W592" s="142"/>
    </row>
    <row r="593" spans="1:23" ht="20.100000000000001" customHeight="1" x14ac:dyDescent="0.25">
      <c r="A593" s="402"/>
      <c r="B593" s="403"/>
      <c r="C593" s="404"/>
      <c r="D593" s="404"/>
      <c r="E593" s="404"/>
      <c r="F593" s="405"/>
      <c r="G593" s="2804" t="s">
        <v>3020</v>
      </c>
      <c r="H593" s="2804"/>
      <c r="I593" s="2804"/>
      <c r="J593" s="2804"/>
      <c r="K593" s="2804"/>
      <c r="L593" s="2804"/>
      <c r="M593" s="143" t="s">
        <v>22</v>
      </c>
      <c r="N593" s="143" t="s">
        <v>23</v>
      </c>
      <c r="O593" s="143">
        <v>0.15</v>
      </c>
      <c r="P593" s="85"/>
      <c r="Q593" s="79"/>
      <c r="R593" s="142"/>
      <c r="S593" s="142"/>
      <c r="T593" s="142"/>
      <c r="U593" s="142"/>
      <c r="V593" s="142"/>
      <c r="W593" s="142"/>
    </row>
    <row r="594" spans="1:23" ht="89.25" customHeight="1" x14ac:dyDescent="0.25">
      <c r="A594" s="402"/>
      <c r="B594" s="403"/>
      <c r="C594" s="404"/>
      <c r="D594" s="404"/>
      <c r="E594" s="404"/>
      <c r="F594" s="405"/>
      <c r="G594" s="154" t="s">
        <v>3066</v>
      </c>
      <c r="H594" s="1515" t="s">
        <v>3152</v>
      </c>
      <c r="I594" s="143" t="s">
        <v>3167</v>
      </c>
      <c r="J594" s="143">
        <f>0.2*0.9</f>
        <v>0.18000000000000002</v>
      </c>
      <c r="K594" s="143"/>
      <c r="L594" s="142"/>
      <c r="M594" s="154" t="s">
        <v>884</v>
      </c>
      <c r="N594" s="154" t="s">
        <v>885</v>
      </c>
      <c r="O594" s="143">
        <v>0.06</v>
      </c>
      <c r="P594" s="8"/>
      <c r="Q594" s="8"/>
      <c r="R594" s="142"/>
      <c r="S594" s="142"/>
      <c r="T594" s="142"/>
      <c r="U594" s="142"/>
      <c r="V594" s="142"/>
      <c r="W594" s="142"/>
    </row>
    <row r="595" spans="1:23" ht="75" customHeight="1" x14ac:dyDescent="0.25">
      <c r="A595" s="608"/>
      <c r="B595" s="609"/>
      <c r="C595" s="610"/>
      <c r="D595" s="610"/>
      <c r="E595" s="610"/>
      <c r="F595" s="607"/>
      <c r="G595" s="154" t="s">
        <v>3319</v>
      </c>
      <c r="H595" s="154" t="s">
        <v>3320</v>
      </c>
      <c r="I595" s="143" t="s">
        <v>3360</v>
      </c>
      <c r="J595" s="143">
        <f>0.015*0.9</f>
        <v>1.35E-2</v>
      </c>
      <c r="K595" s="143"/>
      <c r="L595" s="142"/>
      <c r="M595" s="642" t="s">
        <v>2541</v>
      </c>
      <c r="N595" s="154" t="s">
        <v>2542</v>
      </c>
      <c r="O595" s="151">
        <v>0.15</v>
      </c>
      <c r="P595" s="92"/>
      <c r="Q595" s="92"/>
      <c r="R595" s="147"/>
      <c r="S595" s="365"/>
      <c r="T595" s="176"/>
      <c r="U595" s="149"/>
      <c r="V595" s="149"/>
      <c r="W595" s="149"/>
    </row>
    <row r="596" spans="1:23" ht="20.100000000000001" customHeight="1" x14ac:dyDescent="0.25">
      <c r="A596" s="608"/>
      <c r="B596" s="609"/>
      <c r="C596" s="610"/>
      <c r="D596" s="610"/>
      <c r="E596" s="610"/>
      <c r="F596" s="607"/>
      <c r="G596" s="154" t="s">
        <v>3324</v>
      </c>
      <c r="H596" s="154" t="s">
        <v>3325</v>
      </c>
      <c r="I596" s="143" t="s">
        <v>3394</v>
      </c>
      <c r="J596" s="143">
        <f>0.03*0.9</f>
        <v>2.7E-2</v>
      </c>
      <c r="K596" s="143"/>
      <c r="L596" s="142"/>
      <c r="M596" s="154" t="s">
        <v>2543</v>
      </c>
      <c r="N596" s="154" t="s">
        <v>2544</v>
      </c>
      <c r="O596" s="151">
        <f>0.02-0.003</f>
        <v>1.7000000000000001E-2</v>
      </c>
      <c r="P596" s="92"/>
      <c r="Q596" s="92"/>
      <c r="R596" s="147"/>
      <c r="S596" s="365"/>
      <c r="T596" s="176"/>
      <c r="U596" s="149"/>
      <c r="V596" s="149"/>
      <c r="W596" s="149"/>
    </row>
    <row r="597" spans="1:23" ht="20.100000000000001" customHeight="1" x14ac:dyDescent="0.25">
      <c r="A597" s="739"/>
      <c r="B597" s="740"/>
      <c r="C597" s="741"/>
      <c r="D597" s="741"/>
      <c r="E597" s="741"/>
      <c r="F597" s="738"/>
      <c r="G597" s="2804" t="s">
        <v>3447</v>
      </c>
      <c r="H597" s="2804"/>
      <c r="I597" s="2804"/>
      <c r="J597" s="2804"/>
      <c r="K597" s="2804"/>
      <c r="L597" s="2804"/>
      <c r="M597" s="154" t="s">
        <v>2942</v>
      </c>
      <c r="N597" s="154" t="s">
        <v>2943</v>
      </c>
      <c r="O597" s="143">
        <f>0.4785-0.1785</f>
        <v>0.3</v>
      </c>
      <c r="P597" s="92"/>
      <c r="Q597" s="92"/>
      <c r="R597" s="147"/>
      <c r="S597" s="365"/>
      <c r="T597" s="176"/>
      <c r="U597" s="149"/>
      <c r="V597" s="149"/>
      <c r="W597" s="149"/>
    </row>
    <row r="598" spans="1:23" ht="20.100000000000001" customHeight="1" x14ac:dyDescent="0.25">
      <c r="A598" s="821"/>
      <c r="B598" s="822"/>
      <c r="C598" s="823"/>
      <c r="D598" s="823"/>
      <c r="E598" s="823"/>
      <c r="F598" s="820"/>
      <c r="G598" s="1579" t="s">
        <v>2541</v>
      </c>
      <c r="H598" s="1579" t="s">
        <v>3620</v>
      </c>
      <c r="I598" s="1528" t="s">
        <v>16656</v>
      </c>
      <c r="J598" s="143">
        <f>0.03*0.9</f>
        <v>2.7E-2</v>
      </c>
      <c r="K598" s="143"/>
      <c r="L598" s="142"/>
      <c r="M598" s="154" t="s">
        <v>3066</v>
      </c>
      <c r="N598" s="154" t="s">
        <v>3067</v>
      </c>
      <c r="O598" s="143">
        <v>0.01</v>
      </c>
      <c r="P598" s="8"/>
      <c r="Q598" s="8"/>
      <c r="R598" s="142"/>
      <c r="S598" s="142"/>
      <c r="T598" s="142"/>
      <c r="U598" s="142"/>
      <c r="V598" s="142"/>
      <c r="W598" s="142"/>
    </row>
    <row r="599" spans="1:23" ht="20.100000000000001" customHeight="1" x14ac:dyDescent="0.25">
      <c r="A599" s="830"/>
      <c r="B599" s="831"/>
      <c r="C599" s="833"/>
      <c r="D599" s="833"/>
      <c r="E599" s="833"/>
      <c r="F599" s="829"/>
      <c r="G599" s="1697" t="s">
        <v>536</v>
      </c>
      <c r="H599" s="1697" t="s">
        <v>537</v>
      </c>
      <c r="I599" s="295" t="s">
        <v>16851</v>
      </c>
      <c r="J599" s="295">
        <f>0.1*0.9</f>
        <v>9.0000000000000011E-2</v>
      </c>
      <c r="K599" s="295"/>
      <c r="L599" s="295"/>
      <c r="M599" s="1515"/>
      <c r="N599" s="1515"/>
      <c r="O599" s="143"/>
      <c r="P599" s="92"/>
      <c r="Q599" s="92"/>
      <c r="R599" s="147"/>
      <c r="S599" s="365"/>
      <c r="T599" s="176"/>
      <c r="U599" s="149"/>
      <c r="V599" s="149"/>
      <c r="W599" s="149"/>
    </row>
    <row r="600" spans="1:23" ht="20.100000000000001" customHeight="1" x14ac:dyDescent="0.25">
      <c r="A600" s="1044"/>
      <c r="B600" s="1045"/>
      <c r="C600" s="1047"/>
      <c r="D600" s="1047"/>
      <c r="E600" s="1047"/>
      <c r="F600" s="1046"/>
      <c r="G600" s="2804" t="s">
        <v>17005</v>
      </c>
      <c r="H600" s="2804"/>
      <c r="I600" s="2804"/>
      <c r="J600" s="2804"/>
      <c r="K600" s="2804"/>
      <c r="L600" s="2804"/>
      <c r="M600" s="1343" t="s">
        <v>3570</v>
      </c>
      <c r="N600" s="1343" t="s">
        <v>3571</v>
      </c>
      <c r="O600" s="143">
        <v>0.08</v>
      </c>
      <c r="P600" s="92"/>
      <c r="Q600" s="92"/>
      <c r="R600" s="147"/>
      <c r="S600" s="365"/>
      <c r="T600" s="176"/>
      <c r="U600" s="149"/>
      <c r="V600" s="149"/>
      <c r="W600" s="149"/>
    </row>
    <row r="601" spans="1:23" ht="20.100000000000001" customHeight="1" x14ac:dyDescent="0.25">
      <c r="A601" s="1143"/>
      <c r="B601" s="1144"/>
      <c r="C601" s="1146"/>
      <c r="D601" s="1146"/>
      <c r="E601" s="1146"/>
      <c r="F601" s="1145"/>
      <c r="G601" s="179" t="s">
        <v>19978</v>
      </c>
      <c r="H601" s="179" t="s">
        <v>19979</v>
      </c>
      <c r="I601" s="180" t="s">
        <v>19980</v>
      </c>
      <c r="J601" s="151">
        <f>(0.035-0.01)*0.9</f>
        <v>2.2500000000000003E-2</v>
      </c>
      <c r="K601" s="151"/>
      <c r="L601" s="149"/>
      <c r="M601" s="1389"/>
      <c r="N601" s="1538"/>
      <c r="O601" s="143"/>
      <c r="P601" s="92"/>
      <c r="Q601" s="92"/>
      <c r="R601" s="147"/>
      <c r="S601" s="365"/>
      <c r="T601" s="176"/>
      <c r="U601" s="149"/>
      <c r="V601" s="149"/>
      <c r="W601" s="149"/>
    </row>
    <row r="602" spans="1:23" ht="20.100000000000001" customHeight="1" x14ac:dyDescent="0.25">
      <c r="A602" s="2331"/>
      <c r="B602" s="2316"/>
      <c r="C602" s="2317"/>
      <c r="D602" s="2317"/>
      <c r="E602" s="2317"/>
      <c r="F602" s="2320"/>
      <c r="G602" s="2324" t="s">
        <v>20270</v>
      </c>
      <c r="H602" s="2324" t="s">
        <v>20271</v>
      </c>
      <c r="I602" s="2325" t="s">
        <v>20272</v>
      </c>
      <c r="J602" s="2332">
        <f>0.09*0.75</f>
        <v>6.7500000000000004E-2</v>
      </c>
      <c r="K602" s="2332"/>
      <c r="L602" s="149"/>
      <c r="M602" s="642"/>
      <c r="N602" s="564"/>
      <c r="O602" s="2332"/>
      <c r="P602" s="1656"/>
      <c r="Q602" s="1656"/>
      <c r="R602" s="2335"/>
      <c r="S602" s="2336"/>
      <c r="T602" s="2337"/>
      <c r="U602" s="149"/>
      <c r="V602" s="149"/>
      <c r="W602" s="149"/>
    </row>
    <row r="603" spans="1:23" ht="20.100000000000001" customHeight="1" thickBot="1" x14ac:dyDescent="0.3">
      <c r="A603" s="406"/>
      <c r="B603" s="395"/>
      <c r="C603" s="396"/>
      <c r="D603" s="396"/>
      <c r="E603" s="396"/>
      <c r="F603" s="397"/>
      <c r="G603" s="2636" t="s">
        <v>1833</v>
      </c>
      <c r="H603" s="2636"/>
      <c r="I603" s="2637"/>
      <c r="J603" s="181">
        <f>SUM(J594:J602)</f>
        <v>0.42750000000000005</v>
      </c>
      <c r="K603" s="183">
        <v>0.92</v>
      </c>
      <c r="L603" s="136">
        <f>J603/K603</f>
        <v>0.46467391304347827</v>
      </c>
      <c r="M603" s="2652" t="s">
        <v>1834</v>
      </c>
      <c r="N603" s="2637"/>
      <c r="O603" s="136">
        <f>SUM(O588:O601)</f>
        <v>0.98115999999999992</v>
      </c>
      <c r="P603" s="183">
        <v>0.92</v>
      </c>
      <c r="Q603" s="136">
        <f>O603/P603</f>
        <v>1.0664782608695651</v>
      </c>
      <c r="R603" s="2652" t="s">
        <v>1833</v>
      </c>
      <c r="S603" s="2636"/>
      <c r="T603" s="2637"/>
      <c r="U603" s="181">
        <f>SUM(U588:U591)</f>
        <v>0</v>
      </c>
      <c r="V603" s="183">
        <v>0.92</v>
      </c>
      <c r="W603" s="136">
        <f>U603/V603</f>
        <v>0</v>
      </c>
    </row>
    <row r="604" spans="1:23" ht="19.5" customHeight="1" x14ac:dyDescent="0.25">
      <c r="A604" s="407" t="str">
        <f>Итоговая!C335</f>
        <v xml:space="preserve">ПС 35/10 кВ № 9  </v>
      </c>
      <c r="B604" s="399">
        <f>Итоговая!D335</f>
        <v>6.3</v>
      </c>
      <c r="C604" s="400" t="str">
        <f>Итоговая!E335</f>
        <v>+</v>
      </c>
      <c r="D604" s="400">
        <f>Итоговая!F335</f>
        <v>6.3</v>
      </c>
      <c r="E604" s="400"/>
      <c r="F604" s="401"/>
      <c r="G604" s="2800" t="s">
        <v>2032</v>
      </c>
      <c r="H604" s="2801"/>
      <c r="I604" s="2801"/>
      <c r="J604" s="2801"/>
      <c r="K604" s="2801"/>
      <c r="L604" s="2801"/>
      <c r="M604" s="143"/>
      <c r="N604" s="143"/>
      <c r="O604" s="53"/>
      <c r="P604" s="143"/>
      <c r="Q604" s="143"/>
      <c r="R604" s="2792"/>
      <c r="S604" s="2790"/>
      <c r="T604" s="2790"/>
      <c r="U604" s="2790"/>
      <c r="V604" s="2790"/>
      <c r="W604" s="2790"/>
    </row>
    <row r="605" spans="1:23" s="18" customFormat="1" ht="41.25" customHeight="1" x14ac:dyDescent="0.25">
      <c r="A605" s="402"/>
      <c r="B605" s="403"/>
      <c r="C605" s="404"/>
      <c r="D605" s="404"/>
      <c r="E605" s="404"/>
      <c r="F605" s="405"/>
      <c r="G605" s="184" t="s">
        <v>2047</v>
      </c>
      <c r="H605" s="143" t="s">
        <v>2048</v>
      </c>
      <c r="I605" s="42" t="s">
        <v>2246</v>
      </c>
      <c r="J605" s="143">
        <v>7.0000000000000007E-2</v>
      </c>
      <c r="K605" s="143"/>
      <c r="L605" s="142"/>
      <c r="M605" s="143" t="s">
        <v>393</v>
      </c>
      <c r="N605" s="143" t="s">
        <v>394</v>
      </c>
      <c r="O605" s="143">
        <v>1.452</v>
      </c>
      <c r="P605" s="143"/>
      <c r="Q605" s="143"/>
      <c r="R605" s="142"/>
      <c r="S605" s="142"/>
      <c r="T605" s="72"/>
      <c r="U605" s="142"/>
      <c r="V605" s="142"/>
      <c r="W605" s="142"/>
    </row>
    <row r="606" spans="1:23" ht="20.100000000000001" customHeight="1" x14ac:dyDescent="0.25">
      <c r="A606" s="402"/>
      <c r="B606" s="403"/>
      <c r="C606" s="404"/>
      <c r="D606" s="404"/>
      <c r="E606" s="404"/>
      <c r="F606" s="405"/>
      <c r="G606" s="2804" t="s">
        <v>3020</v>
      </c>
      <c r="H606" s="2804"/>
      <c r="I606" s="2804"/>
      <c r="J606" s="2804"/>
      <c r="K606" s="2804"/>
      <c r="L606" s="2804"/>
      <c r="M606" s="154" t="s">
        <v>1492</v>
      </c>
      <c r="N606" s="154" t="s">
        <v>1493</v>
      </c>
      <c r="O606" s="143">
        <v>0.1</v>
      </c>
      <c r="P606" s="143"/>
      <c r="Q606" s="143"/>
      <c r="R606" s="142"/>
      <c r="S606" s="142"/>
      <c r="T606" s="142"/>
      <c r="U606" s="142"/>
      <c r="V606" s="142"/>
      <c r="W606" s="142"/>
    </row>
    <row r="607" spans="1:23" ht="71.25" customHeight="1" x14ac:dyDescent="0.25">
      <c r="A607" s="402"/>
      <c r="B607" s="403"/>
      <c r="C607" s="404"/>
      <c r="D607" s="404"/>
      <c r="E607" s="404"/>
      <c r="F607" s="405"/>
      <c r="G607" s="22" t="s">
        <v>2610</v>
      </c>
      <c r="H607" s="1517" t="s">
        <v>2706</v>
      </c>
      <c r="I607" s="143" t="s">
        <v>3088</v>
      </c>
      <c r="J607" s="151">
        <v>2.3E-2</v>
      </c>
      <c r="K607" s="151"/>
      <c r="L607" s="149"/>
      <c r="M607" s="81" t="s">
        <v>1494</v>
      </c>
      <c r="N607" s="81" t="s">
        <v>1495</v>
      </c>
      <c r="O607" s="142">
        <v>5.416E-2</v>
      </c>
      <c r="P607" s="142"/>
      <c r="Q607" s="142"/>
      <c r="R607" s="142"/>
      <c r="S607" s="142"/>
      <c r="T607" s="142"/>
      <c r="U607" s="142"/>
      <c r="V607" s="142"/>
      <c r="W607" s="142"/>
    </row>
    <row r="608" spans="1:23" ht="44.25" customHeight="1" x14ac:dyDescent="0.25">
      <c r="A608" s="402"/>
      <c r="B608" s="403"/>
      <c r="C608" s="404"/>
      <c r="D608" s="404"/>
      <c r="E608" s="404"/>
      <c r="F608" s="405"/>
      <c r="G608" s="2804" t="s">
        <v>3447</v>
      </c>
      <c r="H608" s="2804"/>
      <c r="I608" s="2804"/>
      <c r="J608" s="2804"/>
      <c r="K608" s="2804"/>
      <c r="L608" s="2804"/>
      <c r="M608" s="22"/>
      <c r="N608" s="1517"/>
      <c r="O608" s="142"/>
      <c r="P608" s="142"/>
      <c r="Q608" s="142"/>
      <c r="R608" s="142"/>
      <c r="S608" s="142"/>
      <c r="T608" s="142"/>
      <c r="U608" s="142"/>
      <c r="V608" s="142"/>
      <c r="W608" s="142"/>
    </row>
    <row r="609" spans="1:23" ht="33.75" customHeight="1" x14ac:dyDescent="0.25">
      <c r="A609" s="570"/>
      <c r="B609" s="403"/>
      <c r="C609" s="404"/>
      <c r="D609" s="404"/>
      <c r="E609" s="404"/>
      <c r="F609" s="405"/>
      <c r="G609" s="2784" t="s">
        <v>3401</v>
      </c>
      <c r="H609" s="2785"/>
      <c r="I609" s="2786"/>
      <c r="J609" s="143">
        <f>0.507*0.9</f>
        <v>0.45630000000000004</v>
      </c>
      <c r="K609" s="143"/>
      <c r="L609" s="142"/>
      <c r="M609" s="184"/>
      <c r="N609" s="143"/>
      <c r="O609" s="143"/>
      <c r="P609" s="143"/>
      <c r="Q609" s="143"/>
      <c r="R609" s="142"/>
      <c r="S609" s="142"/>
      <c r="T609" s="142"/>
      <c r="U609" s="142"/>
      <c r="V609" s="142"/>
      <c r="W609" s="142"/>
    </row>
    <row r="610" spans="1:23" ht="33.75" customHeight="1" x14ac:dyDescent="0.25">
      <c r="A610" s="570"/>
      <c r="B610" s="2073"/>
      <c r="C610" s="2074"/>
      <c r="D610" s="2074"/>
      <c r="E610" s="2074"/>
      <c r="F610" s="2077"/>
      <c r="G610" s="2804" t="s">
        <v>17005</v>
      </c>
      <c r="H610" s="2804"/>
      <c r="I610" s="2804"/>
      <c r="J610" s="2804"/>
      <c r="K610" s="2804"/>
      <c r="L610" s="2804"/>
      <c r="M610" s="2068"/>
      <c r="N610" s="2067"/>
      <c r="O610" s="2067"/>
      <c r="P610" s="2067"/>
      <c r="Q610" s="2067"/>
      <c r="R610" s="2092"/>
      <c r="S610" s="2092"/>
      <c r="T610" s="2092"/>
      <c r="U610" s="2092"/>
      <c r="V610" s="2092"/>
      <c r="W610" s="2092"/>
    </row>
    <row r="611" spans="1:23" ht="20.100000000000001" customHeight="1" x14ac:dyDescent="0.25">
      <c r="A611" s="570"/>
      <c r="B611" s="660"/>
      <c r="C611" s="661"/>
      <c r="D611" s="661"/>
      <c r="E611" s="661"/>
      <c r="F611" s="658"/>
      <c r="G611" s="143" t="s">
        <v>19807</v>
      </c>
      <c r="H611" s="143" t="s">
        <v>19808</v>
      </c>
      <c r="I611" s="143" t="s">
        <v>19809</v>
      </c>
      <c r="J611" s="143">
        <f>0.04</f>
        <v>0.04</v>
      </c>
      <c r="K611" s="143"/>
      <c r="L611" s="142"/>
      <c r="M611" s="143"/>
      <c r="N611" s="143"/>
      <c r="O611" s="143"/>
      <c r="P611" s="143"/>
      <c r="Q611" s="143"/>
      <c r="R611" s="142"/>
      <c r="S611" s="142"/>
      <c r="T611" s="142"/>
      <c r="U611" s="142"/>
      <c r="V611" s="142"/>
      <c r="W611" s="142"/>
    </row>
    <row r="612" spans="1:23" ht="20.100000000000001" customHeight="1" x14ac:dyDescent="0.25">
      <c r="A612" s="570"/>
      <c r="B612" s="2214"/>
      <c r="C612" s="2215"/>
      <c r="D612" s="2215"/>
      <c r="E612" s="2215"/>
      <c r="F612" s="2219"/>
      <c r="G612" s="2784" t="s">
        <v>3401</v>
      </c>
      <c r="H612" s="2785"/>
      <c r="I612" s="2786"/>
      <c r="J612" s="2206">
        <f>0.57*0.9</f>
        <v>0.51300000000000001</v>
      </c>
      <c r="K612" s="2206"/>
      <c r="L612" s="2239"/>
      <c r="M612" s="2228"/>
      <c r="N612" s="2230"/>
      <c r="O612" s="2235"/>
      <c r="P612" s="2235"/>
      <c r="Q612" s="2235"/>
      <c r="R612" s="2242"/>
      <c r="S612" s="2243"/>
      <c r="T612" s="2244"/>
      <c r="U612" s="149"/>
      <c r="V612" s="149"/>
      <c r="W612" s="149"/>
    </row>
    <row r="613" spans="1:23" ht="20.100000000000001" customHeight="1" thickBot="1" x14ac:dyDescent="0.3">
      <c r="A613" s="406"/>
      <c r="B613" s="395"/>
      <c r="C613" s="396"/>
      <c r="D613" s="396"/>
      <c r="E613" s="396"/>
      <c r="F613" s="397"/>
      <c r="G613" s="2716" t="s">
        <v>1833</v>
      </c>
      <c r="H613" s="2716"/>
      <c r="I613" s="2717"/>
      <c r="J613" s="181">
        <f>SUM(J607:J612)</f>
        <v>1.0323000000000002</v>
      </c>
      <c r="K613" s="151">
        <v>0.93</v>
      </c>
      <c r="L613" s="181">
        <f>J613/K613</f>
        <v>1.1100000000000001</v>
      </c>
      <c r="M613" s="2715" t="s">
        <v>1834</v>
      </c>
      <c r="N613" s="2717"/>
      <c r="O613" s="181">
        <f>SUM(O605:O608)</f>
        <v>1.60616</v>
      </c>
      <c r="P613" s="151">
        <v>0.92</v>
      </c>
      <c r="Q613" s="181">
        <f>O613/P613</f>
        <v>1.7458260869565216</v>
      </c>
      <c r="R613" s="2715" t="s">
        <v>1833</v>
      </c>
      <c r="S613" s="2716"/>
      <c r="T613" s="2717"/>
      <c r="U613" s="181">
        <f>SUM(U605:U606)</f>
        <v>0</v>
      </c>
      <c r="V613" s="151">
        <v>0.92</v>
      </c>
      <c r="W613" s="181">
        <f>U613/V613</f>
        <v>0</v>
      </c>
    </row>
    <row r="614" spans="1:23" s="67" customFormat="1" ht="20.100000000000001" customHeight="1" x14ac:dyDescent="0.25">
      <c r="A614" s="2776" t="str">
        <f>Итоговая!C336</f>
        <v xml:space="preserve">ПС 35/6 кВ № 10 </v>
      </c>
      <c r="B614" s="2630">
        <f>Итоговая!D336</f>
        <v>1.8</v>
      </c>
      <c r="C614" s="2632" t="str">
        <f>Итоговая!E336</f>
        <v>+</v>
      </c>
      <c r="D614" s="2632">
        <f>Итоговая!F336</f>
        <v>1.8</v>
      </c>
      <c r="E614" s="400"/>
      <c r="F614" s="401"/>
      <c r="G614" s="2808" t="s">
        <v>1960</v>
      </c>
      <c r="H614" s="2808"/>
      <c r="I614" s="2808"/>
      <c r="J614" s="2808"/>
      <c r="K614" s="2808"/>
      <c r="L614" s="2800"/>
      <c r="M614" s="4" t="s">
        <v>541</v>
      </c>
      <c r="N614" s="4" t="s">
        <v>542</v>
      </c>
      <c r="O614" s="4">
        <v>0.35199999999999998</v>
      </c>
      <c r="P614" s="77"/>
      <c r="Q614" s="281"/>
      <c r="R614" s="2811"/>
      <c r="S614" s="2791"/>
      <c r="T614" s="2791"/>
      <c r="U614" s="2791"/>
      <c r="V614" s="2791"/>
      <c r="W614" s="2792"/>
    </row>
    <row r="615" spans="1:23" s="18" customFormat="1" ht="20.100000000000001" customHeight="1" x14ac:dyDescent="0.25">
      <c r="A615" s="2777"/>
      <c r="B615" s="2631"/>
      <c r="C615" s="2633"/>
      <c r="D615" s="2633"/>
      <c r="E615" s="404"/>
      <c r="F615" s="405"/>
      <c r="G615" s="264" t="s">
        <v>543</v>
      </c>
      <c r="H615" s="58" t="s">
        <v>544</v>
      </c>
      <c r="I615" s="58" t="s">
        <v>545</v>
      </c>
      <c r="J615" s="58">
        <v>0.03</v>
      </c>
      <c r="K615" s="42"/>
      <c r="L615" s="72"/>
      <c r="M615" s="143" t="s">
        <v>546</v>
      </c>
      <c r="N615" s="143" t="s">
        <v>547</v>
      </c>
      <c r="O615" s="143">
        <v>0.2</v>
      </c>
      <c r="P615" s="42"/>
      <c r="Q615" s="286"/>
      <c r="R615" s="72"/>
      <c r="S615" s="375"/>
      <c r="T615" s="375"/>
      <c r="U615" s="375"/>
      <c r="V615" s="72"/>
      <c r="W615" s="72"/>
    </row>
    <row r="616" spans="1:23" s="18" customFormat="1" ht="20.100000000000001" customHeight="1" x14ac:dyDescent="0.25">
      <c r="A616" s="402"/>
      <c r="B616" s="403"/>
      <c r="C616" s="404"/>
      <c r="D616" s="404"/>
      <c r="E616" s="404"/>
      <c r="F616" s="405"/>
      <c r="G616" s="2767" t="s">
        <v>1959</v>
      </c>
      <c r="H616" s="2767"/>
      <c r="I616" s="2767"/>
      <c r="J616" s="2767"/>
      <c r="K616" s="2767"/>
      <c r="L616" s="2768"/>
      <c r="M616" s="143" t="s">
        <v>2051</v>
      </c>
      <c r="N616" s="143" t="s">
        <v>2052</v>
      </c>
      <c r="O616" s="143">
        <v>9.7199999999999995E-2</v>
      </c>
      <c r="P616" s="42"/>
      <c r="Q616" s="286"/>
      <c r="R616" s="2771"/>
      <c r="S616" s="2772"/>
      <c r="T616" s="2772"/>
      <c r="U616" s="2772"/>
      <c r="V616" s="2772"/>
      <c r="W616" s="2468"/>
    </row>
    <row r="617" spans="1:23" ht="20.100000000000001" customHeight="1" x14ac:dyDescent="0.25">
      <c r="A617" s="402"/>
      <c r="B617" s="403"/>
      <c r="C617" s="404"/>
      <c r="D617" s="404"/>
      <c r="E617" s="404"/>
      <c r="F617" s="405"/>
      <c r="G617" s="184" t="s">
        <v>548</v>
      </c>
      <c r="H617" s="143" t="s">
        <v>1502</v>
      </c>
      <c r="I617" s="53" t="s">
        <v>2289</v>
      </c>
      <c r="J617" s="143">
        <v>0.2</v>
      </c>
      <c r="K617" s="143"/>
      <c r="L617" s="142"/>
      <c r="M617" s="143" t="s">
        <v>26</v>
      </c>
      <c r="N617" s="143" t="s">
        <v>27</v>
      </c>
      <c r="O617" s="143">
        <f>0.33242-0.05</f>
        <v>0.28242</v>
      </c>
      <c r="P617" s="143"/>
      <c r="Q617" s="284"/>
      <c r="R617" s="142"/>
      <c r="S617" s="142"/>
      <c r="T617" s="285"/>
      <c r="U617" s="142"/>
      <c r="V617" s="142"/>
      <c r="W617" s="142"/>
    </row>
    <row r="618" spans="1:23" ht="20.100000000000001" customHeight="1" x14ac:dyDescent="0.25">
      <c r="A618" s="402"/>
      <c r="B618" s="403"/>
      <c r="C618" s="404"/>
      <c r="D618" s="404"/>
      <c r="E618" s="404"/>
      <c r="F618" s="405"/>
      <c r="G618" s="2767" t="s">
        <v>2032</v>
      </c>
      <c r="H618" s="2767"/>
      <c r="I618" s="2767"/>
      <c r="J618" s="2767"/>
      <c r="K618" s="2767"/>
      <c r="L618" s="2768"/>
      <c r="M618" s="1" t="s">
        <v>3301</v>
      </c>
      <c r="N618" s="1" t="s">
        <v>3302</v>
      </c>
      <c r="O618" s="8">
        <v>0.2</v>
      </c>
      <c r="P618" s="143"/>
      <c r="Q618" s="284"/>
      <c r="R618" s="2771"/>
      <c r="S618" s="2772"/>
      <c r="T618" s="2772"/>
      <c r="U618" s="2772"/>
      <c r="V618" s="2772"/>
      <c r="W618" s="2468"/>
    </row>
    <row r="619" spans="1:23" ht="28.5" customHeight="1" x14ac:dyDescent="0.25">
      <c r="A619" s="402"/>
      <c r="B619" s="403"/>
      <c r="C619" s="404"/>
      <c r="D619" s="404"/>
      <c r="E619" s="404"/>
      <c r="F619" s="405"/>
      <c r="G619" s="184" t="s">
        <v>782</v>
      </c>
      <c r="H619" s="143" t="s">
        <v>783</v>
      </c>
      <c r="I619" s="137" t="s">
        <v>2254</v>
      </c>
      <c r="J619" s="143">
        <v>0.1</v>
      </c>
      <c r="K619" s="151"/>
      <c r="L619" s="149"/>
      <c r="M619" s="1229" t="s">
        <v>3427</v>
      </c>
      <c r="N619" s="1230" t="s">
        <v>3428</v>
      </c>
      <c r="O619" s="143">
        <v>0.45</v>
      </c>
      <c r="P619" s="143"/>
      <c r="Q619" s="143"/>
      <c r="R619" s="142"/>
      <c r="S619" s="142"/>
      <c r="T619" s="285"/>
      <c r="U619" s="142"/>
      <c r="V619" s="142"/>
      <c r="W619" s="142"/>
    </row>
    <row r="620" spans="1:23" ht="28.5" customHeight="1" x14ac:dyDescent="0.25">
      <c r="A620" s="803"/>
      <c r="B620" s="804"/>
      <c r="C620" s="805"/>
      <c r="D620" s="805"/>
      <c r="E620" s="805"/>
      <c r="F620" s="802"/>
      <c r="G620" s="2767" t="s">
        <v>2477</v>
      </c>
      <c r="H620" s="2767"/>
      <c r="I620" s="2767"/>
      <c r="J620" s="2767"/>
      <c r="K620" s="2767"/>
      <c r="L620" s="2768"/>
      <c r="M620" s="1309" t="s">
        <v>3509</v>
      </c>
      <c r="N620" s="1355" t="s">
        <v>16923</v>
      </c>
      <c r="O620" s="143">
        <v>0.08</v>
      </c>
      <c r="P620" s="143"/>
      <c r="Q620" s="143"/>
      <c r="R620" s="142"/>
      <c r="S620" s="142"/>
      <c r="T620" s="285"/>
      <c r="U620" s="142"/>
      <c r="V620" s="142"/>
      <c r="W620" s="142"/>
    </row>
    <row r="621" spans="1:23" ht="28.5" customHeight="1" x14ac:dyDescent="0.25">
      <c r="A621" s="821"/>
      <c r="B621" s="822"/>
      <c r="C621" s="823"/>
      <c r="D621" s="823"/>
      <c r="E621" s="823"/>
      <c r="F621" s="820"/>
      <c r="G621" s="1" t="s">
        <v>2896</v>
      </c>
      <c r="H621" s="143" t="s">
        <v>2900</v>
      </c>
      <c r="I621" s="137" t="s">
        <v>2972</v>
      </c>
      <c r="J621" s="151">
        <v>2.01E-2</v>
      </c>
      <c r="K621" s="151"/>
      <c r="L621" s="149"/>
      <c r="M621" s="1547" t="s">
        <v>16680</v>
      </c>
      <c r="N621" s="1548" t="s">
        <v>16681</v>
      </c>
      <c r="O621" s="143">
        <v>0.41</v>
      </c>
      <c r="P621" s="143"/>
      <c r="Q621" s="143"/>
      <c r="R621" s="142"/>
      <c r="S621" s="142"/>
      <c r="T621" s="285"/>
      <c r="U621" s="142"/>
      <c r="V621" s="142"/>
      <c r="W621" s="142"/>
    </row>
    <row r="622" spans="1:23" ht="28.5" customHeight="1" x14ac:dyDescent="0.25">
      <c r="A622" s="841"/>
      <c r="B622" s="842"/>
      <c r="C622" s="843"/>
      <c r="D622" s="843"/>
      <c r="E622" s="843"/>
      <c r="F622" s="840"/>
      <c r="G622" s="1" t="s">
        <v>2896</v>
      </c>
      <c r="H622" s="1" t="s">
        <v>2897</v>
      </c>
      <c r="I622" s="137" t="s">
        <v>2973</v>
      </c>
      <c r="J622" s="151">
        <v>9.0300000000000005E-2</v>
      </c>
      <c r="K622" s="151"/>
      <c r="L622" s="149"/>
      <c r="M622" s="1"/>
      <c r="N622" s="143"/>
      <c r="O622" s="143"/>
      <c r="P622" s="143"/>
      <c r="Q622" s="143"/>
      <c r="R622" s="142"/>
      <c r="S622" s="142"/>
      <c r="T622" s="285"/>
      <c r="U622" s="142"/>
      <c r="V622" s="142"/>
      <c r="W622" s="142"/>
    </row>
    <row r="623" spans="1:23" ht="28.5" customHeight="1" x14ac:dyDescent="0.25">
      <c r="A623" s="841"/>
      <c r="B623" s="842"/>
      <c r="C623" s="843"/>
      <c r="D623" s="843"/>
      <c r="E623" s="843"/>
      <c r="F623" s="840"/>
      <c r="G623" s="1" t="s">
        <v>2896</v>
      </c>
      <c r="H623" s="143" t="s">
        <v>2906</v>
      </c>
      <c r="I623" s="137" t="s">
        <v>2978</v>
      </c>
      <c r="J623" s="151">
        <v>3.3000000000000002E-2</v>
      </c>
      <c r="K623" s="151"/>
      <c r="L623" s="149"/>
      <c r="M623" s="1" t="s">
        <v>16973</v>
      </c>
      <c r="N623" s="143" t="s">
        <v>16974</v>
      </c>
      <c r="O623" s="143">
        <f>0.34-0.04</f>
        <v>0.30000000000000004</v>
      </c>
      <c r="P623" s="143"/>
      <c r="Q623" s="143"/>
      <c r="R623" s="142"/>
      <c r="S623" s="142"/>
      <c r="T623" s="285"/>
      <c r="U623" s="142"/>
      <c r="V623" s="142"/>
      <c r="W623" s="142"/>
    </row>
    <row r="624" spans="1:23" ht="28.5" customHeight="1" x14ac:dyDescent="0.25">
      <c r="A624" s="841"/>
      <c r="B624" s="842"/>
      <c r="C624" s="843"/>
      <c r="D624" s="843"/>
      <c r="E624" s="843"/>
      <c r="F624" s="840"/>
      <c r="G624" s="1" t="s">
        <v>2944</v>
      </c>
      <c r="H624" s="143" t="s">
        <v>2945</v>
      </c>
      <c r="I624" s="137" t="s">
        <v>3004</v>
      </c>
      <c r="J624" s="151">
        <v>0.2</v>
      </c>
      <c r="K624" s="151"/>
      <c r="L624" s="149"/>
      <c r="M624" s="1"/>
      <c r="N624" s="143"/>
      <c r="O624" s="143"/>
      <c r="P624" s="143"/>
      <c r="Q624" s="143"/>
      <c r="R624" s="142"/>
      <c r="S624" s="142"/>
      <c r="T624" s="285"/>
      <c r="U624" s="142"/>
      <c r="V624" s="142"/>
      <c r="W624" s="142"/>
    </row>
    <row r="625" spans="1:23" ht="28.5" customHeight="1" x14ac:dyDescent="0.25">
      <c r="A625" s="1058"/>
      <c r="B625" s="1056"/>
      <c r="C625" s="1060"/>
      <c r="D625" s="1060"/>
      <c r="E625" s="1060"/>
      <c r="F625" s="1057"/>
      <c r="G625" s="2767" t="s">
        <v>3020</v>
      </c>
      <c r="H625" s="2767"/>
      <c r="I625" s="2767"/>
      <c r="J625" s="2767"/>
      <c r="K625" s="2767"/>
      <c r="L625" s="2768"/>
      <c r="M625" s="1"/>
      <c r="N625" s="143"/>
      <c r="O625" s="143"/>
      <c r="P625" s="143"/>
      <c r="Q625" s="143"/>
      <c r="R625" s="142"/>
      <c r="S625" s="142"/>
      <c r="T625" s="285"/>
      <c r="U625" s="142"/>
      <c r="V625" s="142"/>
      <c r="W625" s="142"/>
    </row>
    <row r="626" spans="1:23" ht="28.5" customHeight="1" x14ac:dyDescent="0.25">
      <c r="A626" s="841"/>
      <c r="B626" s="842"/>
      <c r="C626" s="843"/>
      <c r="D626" s="843"/>
      <c r="E626" s="843"/>
      <c r="F626" s="840"/>
      <c r="G626" s="180" t="s">
        <v>3164</v>
      </c>
      <c r="H626" s="151" t="s">
        <v>3165</v>
      </c>
      <c r="I626" s="137" t="s">
        <v>3166</v>
      </c>
      <c r="J626" s="151">
        <f>0.03*0.75</f>
        <v>2.2499999999999999E-2</v>
      </c>
      <c r="K626" s="151"/>
      <c r="L626" s="149"/>
      <c r="M626" s="1"/>
      <c r="N626" s="143"/>
      <c r="O626" s="143"/>
      <c r="P626" s="143"/>
      <c r="Q626" s="143"/>
      <c r="R626" s="142"/>
      <c r="S626" s="142"/>
      <c r="T626" s="285"/>
      <c r="U626" s="142"/>
      <c r="V626" s="142"/>
      <c r="W626" s="142"/>
    </row>
    <row r="627" spans="1:23" ht="28.5" customHeight="1" x14ac:dyDescent="0.25">
      <c r="A627" s="1935"/>
      <c r="B627" s="1919"/>
      <c r="C627" s="1920"/>
      <c r="D627" s="1920"/>
      <c r="E627" s="1920"/>
      <c r="F627" s="1923"/>
      <c r="G627" s="2767" t="s">
        <v>3447</v>
      </c>
      <c r="H627" s="2767"/>
      <c r="I627" s="2767"/>
      <c r="J627" s="2767"/>
      <c r="K627" s="2767"/>
      <c r="L627" s="2768"/>
      <c r="M627" s="1915"/>
      <c r="N627" s="1932"/>
      <c r="O627" s="1934"/>
      <c r="P627" s="1934"/>
      <c r="Q627" s="1931"/>
      <c r="R627" s="149"/>
      <c r="S627" s="149"/>
      <c r="T627" s="344"/>
      <c r="U627" s="149"/>
      <c r="V627" s="149"/>
      <c r="W627" s="149"/>
    </row>
    <row r="628" spans="1:23" ht="28.5" customHeight="1" x14ac:dyDescent="0.25">
      <c r="A628" s="1935"/>
      <c r="B628" s="1919"/>
      <c r="C628" s="1920"/>
      <c r="D628" s="1920"/>
      <c r="E628" s="1920"/>
      <c r="F628" s="1923"/>
      <c r="G628" s="1921" t="s">
        <v>3427</v>
      </c>
      <c r="H628" s="1936" t="s">
        <v>16915</v>
      </c>
      <c r="I628" s="1940" t="s">
        <v>17043</v>
      </c>
      <c r="J628" s="149">
        <f>0.26*0.9</f>
        <v>0.23400000000000001</v>
      </c>
      <c r="K628" s="149"/>
      <c r="L628" s="149"/>
      <c r="M628" s="1915"/>
      <c r="N628" s="1932"/>
      <c r="O628" s="1934"/>
      <c r="P628" s="1934"/>
      <c r="Q628" s="1931"/>
      <c r="R628" s="149"/>
      <c r="S628" s="149"/>
      <c r="T628" s="344"/>
      <c r="U628" s="149"/>
      <c r="V628" s="149"/>
      <c r="W628" s="149"/>
    </row>
    <row r="629" spans="1:23" ht="28.5" customHeight="1" x14ac:dyDescent="0.25">
      <c r="A629" s="2236"/>
      <c r="B629" s="2214"/>
      <c r="C629" s="2215"/>
      <c r="D629" s="2215"/>
      <c r="E629" s="2215"/>
      <c r="F629" s="2219"/>
      <c r="G629" s="2767" t="s">
        <v>17005</v>
      </c>
      <c r="H629" s="2767"/>
      <c r="I629" s="2767"/>
      <c r="J629" s="2767"/>
      <c r="K629" s="2767"/>
      <c r="L629" s="2768"/>
      <c r="M629" s="2198"/>
      <c r="N629" s="2230"/>
      <c r="O629" s="2235"/>
      <c r="P629" s="2235"/>
      <c r="Q629" s="2228"/>
      <c r="R629" s="149"/>
      <c r="S629" s="149"/>
      <c r="T629" s="344"/>
      <c r="U629" s="149"/>
      <c r="V629" s="149"/>
      <c r="W629" s="149"/>
    </row>
    <row r="630" spans="1:23" ht="28.5" customHeight="1" x14ac:dyDescent="0.25">
      <c r="A630" s="2236"/>
      <c r="B630" s="2214"/>
      <c r="C630" s="2215"/>
      <c r="D630" s="2215"/>
      <c r="E630" s="2215"/>
      <c r="F630" s="2219"/>
      <c r="G630" s="2784" t="s">
        <v>3401</v>
      </c>
      <c r="H630" s="2785"/>
      <c r="I630" s="2786"/>
      <c r="J630" s="2240">
        <f>0.242*0.9</f>
        <v>0.21779999999999999</v>
      </c>
      <c r="K630" s="2240"/>
      <c r="L630" s="2240"/>
      <c r="M630" s="2198"/>
      <c r="N630" s="2230"/>
      <c r="O630" s="2235"/>
      <c r="P630" s="2235"/>
      <c r="Q630" s="2228"/>
      <c r="R630" s="149"/>
      <c r="S630" s="149"/>
      <c r="T630" s="344"/>
      <c r="U630" s="149"/>
      <c r="V630" s="149"/>
      <c r="W630" s="149"/>
    </row>
    <row r="631" spans="1:23" ht="20.100000000000001" customHeight="1" thickBot="1" x14ac:dyDescent="0.3">
      <c r="A631" s="406"/>
      <c r="B631" s="395"/>
      <c r="C631" s="396"/>
      <c r="D631" s="396"/>
      <c r="E631" s="396"/>
      <c r="F631" s="397"/>
      <c r="G631" s="2717" t="s">
        <v>1833</v>
      </c>
      <c r="H631" s="2781"/>
      <c r="I631" s="2781"/>
      <c r="J631" s="181">
        <f>SUM(J626:J630)</f>
        <v>0.4743</v>
      </c>
      <c r="K631" s="151">
        <v>0.92</v>
      </c>
      <c r="L631" s="181">
        <f>J631/K631</f>
        <v>0.51554347826086955</v>
      </c>
      <c r="M631" s="2715" t="s">
        <v>1834</v>
      </c>
      <c r="N631" s="2717"/>
      <c r="O631" s="181">
        <f>SUM(O614:O623)</f>
        <v>2.3716200000000001</v>
      </c>
      <c r="P631" s="151">
        <v>0.92</v>
      </c>
      <c r="Q631" s="276">
        <f>O631/P631</f>
        <v>2.5778478260869564</v>
      </c>
      <c r="R631" s="2781" t="s">
        <v>1833</v>
      </c>
      <c r="S631" s="2781"/>
      <c r="T631" s="2781"/>
      <c r="U631" s="181">
        <f>SUM(U615,U617,U619)</f>
        <v>0</v>
      </c>
      <c r="V631" s="151">
        <v>0.92</v>
      </c>
      <c r="W631" s="181">
        <f>U631/V631</f>
        <v>0</v>
      </c>
    </row>
    <row r="632" spans="1:23" ht="20.100000000000001" customHeight="1" x14ac:dyDescent="0.25">
      <c r="A632" s="2776" t="str">
        <f>Итоговая!C337</f>
        <v xml:space="preserve">ПС 35/10 кВ № 11  </v>
      </c>
      <c r="B632" s="2630">
        <f>Итоговая!D337</f>
        <v>10</v>
      </c>
      <c r="C632" s="2632" t="str">
        <f>Итоговая!E337</f>
        <v>+</v>
      </c>
      <c r="D632" s="2632">
        <f>Итоговая!F337</f>
        <v>6.3</v>
      </c>
      <c r="E632" s="400"/>
      <c r="F632" s="401"/>
      <c r="G632" s="2800" t="s">
        <v>1960</v>
      </c>
      <c r="H632" s="2801"/>
      <c r="I632" s="2801"/>
      <c r="J632" s="2801"/>
      <c r="K632" s="2801"/>
      <c r="L632" s="2801"/>
      <c r="M632" s="77"/>
      <c r="N632" s="77"/>
      <c r="O632" s="77"/>
      <c r="P632" s="77"/>
      <c r="Q632" s="281"/>
      <c r="R632" s="2792"/>
      <c r="S632" s="2790"/>
      <c r="T632" s="2790"/>
      <c r="U632" s="2790"/>
      <c r="V632" s="2790"/>
      <c r="W632" s="2790"/>
    </row>
    <row r="633" spans="1:23" ht="20.100000000000001" customHeight="1" x14ac:dyDescent="0.25">
      <c r="A633" s="2777"/>
      <c r="B633" s="2631"/>
      <c r="C633" s="2633"/>
      <c r="D633" s="2633"/>
      <c r="E633" s="404"/>
      <c r="F633" s="405"/>
      <c r="G633" s="184" t="s">
        <v>1503</v>
      </c>
      <c r="H633" s="143" t="s">
        <v>1504</v>
      </c>
      <c r="I633" s="143" t="s">
        <v>1505</v>
      </c>
      <c r="J633" s="143">
        <v>7.4999999999999997E-2</v>
      </c>
      <c r="K633" s="143"/>
      <c r="L633" s="142"/>
      <c r="M633" s="143"/>
      <c r="N633" s="143"/>
      <c r="O633" s="143"/>
      <c r="P633" s="143"/>
      <c r="Q633" s="284"/>
      <c r="R633" s="267"/>
      <c r="S633" s="142"/>
      <c r="T633" s="142"/>
      <c r="U633" s="142"/>
      <c r="V633" s="142"/>
      <c r="W633" s="142"/>
    </row>
    <row r="634" spans="1:23" ht="20.100000000000001" customHeight="1" x14ac:dyDescent="0.25">
      <c r="A634" s="402"/>
      <c r="B634" s="403"/>
      <c r="C634" s="404"/>
      <c r="D634" s="404"/>
      <c r="E634" s="404"/>
      <c r="F634" s="405"/>
      <c r="G634" s="184" t="s">
        <v>1506</v>
      </c>
      <c r="H634" s="143" t="s">
        <v>1507</v>
      </c>
      <c r="I634" s="143" t="s">
        <v>1508</v>
      </c>
      <c r="J634" s="143">
        <v>0.04</v>
      </c>
      <c r="K634" s="143"/>
      <c r="L634" s="142"/>
      <c r="M634" s="143"/>
      <c r="N634" s="143"/>
      <c r="O634" s="143"/>
      <c r="P634" s="143"/>
      <c r="Q634" s="284"/>
      <c r="R634" s="267"/>
      <c r="S634" s="142"/>
      <c r="T634" s="142"/>
      <c r="U634" s="142"/>
      <c r="V634" s="142"/>
      <c r="W634" s="142"/>
    </row>
    <row r="635" spans="1:23" ht="20.100000000000001" customHeight="1" x14ac:dyDescent="0.25">
      <c r="A635" s="1002"/>
      <c r="B635" s="1003"/>
      <c r="C635" s="1005"/>
      <c r="D635" s="1005"/>
      <c r="E635" s="1005"/>
      <c r="F635" s="1004"/>
      <c r="G635" s="2857" t="s">
        <v>3020</v>
      </c>
      <c r="H635" s="2767"/>
      <c r="I635" s="2767"/>
      <c r="J635" s="2767"/>
      <c r="K635" s="2767"/>
      <c r="L635" s="2768"/>
      <c r="M635" s="151"/>
      <c r="N635" s="151"/>
      <c r="O635" s="151"/>
      <c r="P635" s="151"/>
      <c r="Q635" s="287"/>
      <c r="R635" s="176"/>
      <c r="S635" s="149"/>
      <c r="T635" s="149"/>
      <c r="U635" s="149"/>
      <c r="V635" s="149"/>
      <c r="W635" s="149"/>
    </row>
    <row r="636" spans="1:23" ht="20.100000000000001" customHeight="1" x14ac:dyDescent="0.25">
      <c r="A636" s="1002"/>
      <c r="B636" s="1003"/>
      <c r="C636" s="1005"/>
      <c r="D636" s="1005"/>
      <c r="E636" s="1005"/>
      <c r="F636" s="1004"/>
      <c r="G636" s="1441" t="s">
        <v>3015</v>
      </c>
      <c r="H636" s="142" t="s">
        <v>3016</v>
      </c>
      <c r="I636" s="143" t="s">
        <v>3037</v>
      </c>
      <c r="J636" s="142">
        <f>(1.665-1.565+0.1)*0.9</f>
        <v>0.18000000000000008</v>
      </c>
      <c r="K636" s="143"/>
      <c r="L636" s="142"/>
      <c r="M636" s="151"/>
      <c r="N636" s="151"/>
      <c r="O636" s="151"/>
      <c r="P636" s="151"/>
      <c r="Q636" s="287"/>
      <c r="R636" s="176"/>
      <c r="S636" s="149"/>
      <c r="T636" s="149"/>
      <c r="U636" s="149"/>
      <c r="V636" s="149"/>
      <c r="W636" s="149"/>
    </row>
    <row r="637" spans="1:23" ht="20.100000000000001" customHeight="1" x14ac:dyDescent="0.25">
      <c r="A637" s="1164"/>
      <c r="B637" s="1162"/>
      <c r="C637" s="1166"/>
      <c r="D637" s="1166"/>
      <c r="E637" s="1166"/>
      <c r="F637" s="1163"/>
      <c r="G637" s="1450" t="s">
        <v>3375</v>
      </c>
      <c r="H637" s="142" t="s">
        <v>3376</v>
      </c>
      <c r="I637" s="143" t="s">
        <v>3392</v>
      </c>
      <c r="J637" s="142">
        <f>0.107*0.9</f>
        <v>9.6299999999999997E-2</v>
      </c>
      <c r="K637" s="143"/>
      <c r="L637" s="142"/>
      <c r="M637" s="151"/>
      <c r="N637" s="151"/>
      <c r="O637" s="151"/>
      <c r="P637" s="151"/>
      <c r="Q637" s="287"/>
      <c r="R637" s="176"/>
      <c r="S637" s="149"/>
      <c r="T637" s="149"/>
      <c r="U637" s="149"/>
      <c r="V637" s="149"/>
      <c r="W637" s="149"/>
    </row>
    <row r="638" spans="1:23" ht="20.100000000000001" customHeight="1" x14ac:dyDescent="0.25">
      <c r="A638" s="1173"/>
      <c r="B638" s="1174"/>
      <c r="C638" s="1176"/>
      <c r="D638" s="1176"/>
      <c r="E638" s="1176"/>
      <c r="F638" s="1175"/>
      <c r="G638" s="2771"/>
      <c r="H638" s="2772"/>
      <c r="I638" s="2468"/>
      <c r="J638" s="149"/>
      <c r="K638" s="149"/>
      <c r="L638" s="149"/>
      <c r="M638" s="151"/>
      <c r="N638" s="151"/>
      <c r="O638" s="151"/>
      <c r="P638" s="151"/>
      <c r="Q638" s="287"/>
      <c r="R638" s="176"/>
      <c r="S638" s="149"/>
      <c r="T638" s="149"/>
      <c r="U638" s="149"/>
      <c r="V638" s="149"/>
      <c r="W638" s="149"/>
    </row>
    <row r="639" spans="1:23" ht="20.100000000000001" customHeight="1" thickBot="1" x14ac:dyDescent="0.3">
      <c r="A639" s="406"/>
      <c r="B639" s="395"/>
      <c r="C639" s="396"/>
      <c r="D639" s="396"/>
      <c r="E639" s="396"/>
      <c r="F639" s="397"/>
      <c r="G639" s="180"/>
      <c r="H639" s="151"/>
      <c r="I639" s="151"/>
      <c r="J639" s="181">
        <f>SUM(J636:J638)</f>
        <v>0.2763000000000001</v>
      </c>
      <c r="K639" s="151">
        <v>0.92</v>
      </c>
      <c r="L639" s="181">
        <f>J639/K639</f>
        <v>0.30032608695652185</v>
      </c>
      <c r="M639" s="2781" t="s">
        <v>1834</v>
      </c>
      <c r="N639" s="2781"/>
      <c r="O639" s="181">
        <f>SUM(O632:O636)</f>
        <v>0</v>
      </c>
      <c r="P639" s="151">
        <v>0.92</v>
      </c>
      <c r="Q639" s="276">
        <f>O639/P639</f>
        <v>0</v>
      </c>
      <c r="R639" s="180"/>
      <c r="S639" s="151"/>
      <c r="T639" s="151"/>
      <c r="U639" s="181">
        <f>SUM(U633:U634)</f>
        <v>0</v>
      </c>
      <c r="V639" s="151">
        <v>0.92</v>
      </c>
      <c r="W639" s="181">
        <f>U639/V639</f>
        <v>0</v>
      </c>
    </row>
    <row r="640" spans="1:23" ht="20.100000000000001" customHeight="1" x14ac:dyDescent="0.25">
      <c r="A640" s="2776" t="str">
        <f>Итоговая!C338</f>
        <v xml:space="preserve">ПС 35/10 кВ Дм.Гора  </v>
      </c>
      <c r="B640" s="2630">
        <f>Итоговая!D338</f>
        <v>10</v>
      </c>
      <c r="C640" s="2632" t="str">
        <f>Итоговая!E338</f>
        <v>+</v>
      </c>
      <c r="D640" s="2632">
        <f>Итоговая!F338</f>
        <v>10</v>
      </c>
      <c r="E640" s="400"/>
      <c r="F640" s="401"/>
      <c r="G640" s="2800" t="s">
        <v>2032</v>
      </c>
      <c r="H640" s="2801"/>
      <c r="I640" s="2801"/>
      <c r="J640" s="2801"/>
      <c r="K640" s="2801"/>
      <c r="L640" s="2801"/>
      <c r="M640" s="158"/>
      <c r="N640" s="158"/>
      <c r="O640" s="16"/>
      <c r="P640" s="16"/>
      <c r="Q640" s="289"/>
      <c r="R640" s="2792"/>
      <c r="S640" s="2790"/>
      <c r="T640" s="2790"/>
      <c r="U640" s="2790"/>
      <c r="V640" s="2790"/>
      <c r="W640" s="2790"/>
    </row>
    <row r="641" spans="1:23" ht="77.25" customHeight="1" x14ac:dyDescent="0.25">
      <c r="A641" s="2777"/>
      <c r="B641" s="2631"/>
      <c r="C641" s="2633"/>
      <c r="D641" s="2633"/>
      <c r="E641" s="404"/>
      <c r="F641" s="405"/>
      <c r="G641" s="288" t="s">
        <v>2005</v>
      </c>
      <c r="H641" s="113" t="s">
        <v>2006</v>
      </c>
      <c r="I641" s="42" t="s">
        <v>2235</v>
      </c>
      <c r="J641" s="42">
        <v>0.1</v>
      </c>
      <c r="K641" s="42"/>
      <c r="L641" s="72"/>
      <c r="M641" s="42" t="s">
        <v>1509</v>
      </c>
      <c r="N641" s="42" t="s">
        <v>1510</v>
      </c>
      <c r="O641" s="72">
        <v>3.5000000000000003E-2</v>
      </c>
      <c r="P641" s="72"/>
      <c r="Q641" s="290"/>
      <c r="R641" s="376"/>
      <c r="S641" s="377"/>
      <c r="T641" s="72"/>
      <c r="U641" s="72"/>
      <c r="V641" s="72"/>
      <c r="W641" s="72"/>
    </row>
    <row r="642" spans="1:23" ht="67.5" customHeight="1" x14ac:dyDescent="0.25">
      <c r="A642" s="402"/>
      <c r="B642" s="403"/>
      <c r="C642" s="404"/>
      <c r="D642" s="404"/>
      <c r="E642" s="404"/>
      <c r="F642" s="405"/>
      <c r="G642" s="280" t="s">
        <v>2136</v>
      </c>
      <c r="H642" s="154" t="s">
        <v>2137</v>
      </c>
      <c r="I642" s="143" t="s">
        <v>2266</v>
      </c>
      <c r="J642" s="143">
        <v>1.8</v>
      </c>
      <c r="K642" s="143"/>
      <c r="L642" s="142"/>
      <c r="M642" s="143" t="s">
        <v>1511</v>
      </c>
      <c r="N642" s="143" t="s">
        <v>1512</v>
      </c>
      <c r="O642" s="143">
        <v>0.25</v>
      </c>
      <c r="P642" s="143"/>
      <c r="Q642" s="284"/>
      <c r="R642" s="372"/>
      <c r="S642" s="81"/>
      <c r="T642" s="142"/>
      <c r="U642" s="142"/>
      <c r="V642" s="142"/>
      <c r="W642" s="142"/>
    </row>
    <row r="643" spans="1:23" ht="75.75" customHeight="1" thickBot="1" x14ac:dyDescent="0.3">
      <c r="A643" s="402"/>
      <c r="B643" s="403"/>
      <c r="C643" s="404"/>
      <c r="D643" s="404"/>
      <c r="E643" s="404"/>
      <c r="F643" s="405"/>
      <c r="G643" s="280" t="s">
        <v>2336</v>
      </c>
      <c r="H643" s="154" t="s">
        <v>2472</v>
      </c>
      <c r="I643" s="143" t="s">
        <v>2473</v>
      </c>
      <c r="J643" s="143">
        <v>0.25</v>
      </c>
      <c r="K643" s="143"/>
      <c r="L643" s="142"/>
      <c r="M643" s="143" t="s">
        <v>1509</v>
      </c>
      <c r="N643" s="143" t="s">
        <v>1966</v>
      </c>
      <c r="O643" s="143"/>
      <c r="P643" s="143"/>
      <c r="Q643" s="284"/>
      <c r="R643" s="81"/>
      <c r="S643" s="81"/>
      <c r="T643" s="142"/>
      <c r="U643" s="142"/>
      <c r="V643" s="142"/>
      <c r="W643" s="142"/>
    </row>
    <row r="644" spans="1:23" ht="20.100000000000001" customHeight="1" x14ac:dyDescent="0.25">
      <c r="A644" s="402"/>
      <c r="B644" s="403"/>
      <c r="C644" s="404"/>
      <c r="D644" s="404"/>
      <c r="E644" s="404"/>
      <c r="F644" s="405"/>
      <c r="G644" s="2800" t="s">
        <v>2477</v>
      </c>
      <c r="H644" s="2801"/>
      <c r="I644" s="2801"/>
      <c r="J644" s="2801"/>
      <c r="K644" s="2801"/>
      <c r="L644" s="2801"/>
      <c r="M644" s="42" t="s">
        <v>1509</v>
      </c>
      <c r="N644" s="42" t="s">
        <v>1967</v>
      </c>
      <c r="O644" s="42"/>
      <c r="P644" s="42"/>
      <c r="Q644" s="286"/>
      <c r="R644" s="184"/>
      <c r="S644" s="143"/>
      <c r="T644" s="143"/>
      <c r="U644" s="143"/>
      <c r="V644" s="143"/>
      <c r="W644" s="142"/>
    </row>
    <row r="645" spans="1:23" ht="20.100000000000001" customHeight="1" x14ac:dyDescent="0.25">
      <c r="A645" s="402"/>
      <c r="B645" s="403"/>
      <c r="C645" s="404"/>
      <c r="D645" s="404"/>
      <c r="E645" s="404"/>
      <c r="F645" s="405"/>
      <c r="G645" s="1214"/>
      <c r="H645" s="1219"/>
      <c r="I645" s="1219"/>
      <c r="J645" s="1219"/>
      <c r="K645" s="1219"/>
      <c r="L645" s="1219"/>
      <c r="M645" s="143" t="s">
        <v>1509</v>
      </c>
      <c r="N645" s="143" t="s">
        <v>1513</v>
      </c>
      <c r="O645" s="143">
        <v>4.1000000000000002E-2</v>
      </c>
      <c r="P645" s="143"/>
      <c r="Q645" s="284"/>
      <c r="R645" s="184"/>
      <c r="S645" s="143"/>
      <c r="T645" s="143"/>
      <c r="U645" s="143"/>
      <c r="V645" s="143"/>
      <c r="W645" s="142"/>
    </row>
    <row r="646" spans="1:23" ht="72.75" customHeight="1" x14ac:dyDescent="0.25">
      <c r="A646" s="402"/>
      <c r="B646" s="403"/>
      <c r="C646" s="404"/>
      <c r="D646" s="404"/>
      <c r="E646" s="404"/>
      <c r="F646" s="405"/>
      <c r="G646" s="1439" t="s">
        <v>2609</v>
      </c>
      <c r="H646" s="143" t="s">
        <v>2735</v>
      </c>
      <c r="I646" s="143" t="s">
        <v>2869</v>
      </c>
      <c r="J646" s="143">
        <v>0.28000000000000003</v>
      </c>
      <c r="K646" s="143"/>
      <c r="L646" s="142"/>
      <c r="M646" s="143" t="s">
        <v>1514</v>
      </c>
      <c r="N646" s="143" t="s">
        <v>1968</v>
      </c>
      <c r="O646" s="143">
        <v>0.02</v>
      </c>
      <c r="P646" s="143"/>
      <c r="Q646" s="284"/>
      <c r="R646" s="184"/>
      <c r="S646" s="143"/>
      <c r="T646" s="143"/>
      <c r="U646" s="143"/>
      <c r="V646" s="143"/>
      <c r="W646" s="142"/>
    </row>
    <row r="647" spans="1:23" ht="20.100000000000001" customHeight="1" thickBot="1" x14ac:dyDescent="0.3">
      <c r="A647" s="402"/>
      <c r="B647" s="403"/>
      <c r="C647" s="404"/>
      <c r="D647" s="404"/>
      <c r="E647" s="404"/>
      <c r="F647" s="405"/>
      <c r="G647" s="1510" t="s">
        <v>2847</v>
      </c>
      <c r="H647" s="143" t="s">
        <v>2933</v>
      </c>
      <c r="I647" s="143" t="s">
        <v>2934</v>
      </c>
      <c r="J647" s="143">
        <v>2.5</v>
      </c>
      <c r="K647" s="143"/>
      <c r="L647" s="142"/>
      <c r="M647" s="1259" t="s">
        <v>1515</v>
      </c>
      <c r="N647" s="143" t="s">
        <v>1969</v>
      </c>
      <c r="O647" s="143"/>
      <c r="P647" s="143"/>
      <c r="Q647" s="284"/>
      <c r="R647" s="184"/>
      <c r="S647" s="143"/>
      <c r="T647" s="143"/>
      <c r="U647" s="143"/>
      <c r="V647" s="143"/>
      <c r="W647" s="142"/>
    </row>
    <row r="648" spans="1:23" ht="15.75" customHeight="1" x14ac:dyDescent="0.25">
      <c r="A648" s="402"/>
      <c r="B648" s="403"/>
      <c r="C648" s="404"/>
      <c r="D648" s="404"/>
      <c r="E648" s="404"/>
      <c r="F648" s="405"/>
      <c r="G648" s="2800" t="s">
        <v>3020</v>
      </c>
      <c r="H648" s="2801"/>
      <c r="I648" s="2801"/>
      <c r="J648" s="2801"/>
      <c r="K648" s="2801"/>
      <c r="L648" s="2801"/>
      <c r="M648" s="143" t="s">
        <v>1516</v>
      </c>
      <c r="N648" s="143" t="s">
        <v>1517</v>
      </c>
      <c r="O648" s="143">
        <v>1.6E-2</v>
      </c>
      <c r="P648" s="143"/>
      <c r="Q648" s="284"/>
      <c r="R648" s="184"/>
      <c r="S648" s="143"/>
      <c r="T648" s="143"/>
      <c r="U648" s="143"/>
      <c r="V648" s="143"/>
      <c r="W648" s="142"/>
    </row>
    <row r="649" spans="1:23" ht="24.75" customHeight="1" thickBot="1" x14ac:dyDescent="0.3">
      <c r="A649" s="402"/>
      <c r="B649" s="403"/>
      <c r="C649" s="404"/>
      <c r="D649" s="404"/>
      <c r="E649" s="404"/>
      <c r="F649" s="405"/>
      <c r="G649" s="2771"/>
      <c r="H649" s="2772"/>
      <c r="I649" s="2468"/>
      <c r="J649" s="149"/>
      <c r="K649" s="1936"/>
      <c r="L649" s="1936"/>
      <c r="M649" s="154" t="s">
        <v>2029</v>
      </c>
      <c r="N649" s="154" t="s">
        <v>2030</v>
      </c>
      <c r="O649" s="143">
        <v>1.78E-2</v>
      </c>
      <c r="P649" s="151"/>
      <c r="Q649" s="287"/>
      <c r="R649" s="184"/>
      <c r="S649" s="143"/>
      <c r="T649" s="143"/>
      <c r="U649" s="143"/>
      <c r="V649" s="143"/>
      <c r="W649" s="142"/>
    </row>
    <row r="650" spans="1:23" ht="20.100000000000001" customHeight="1" x14ac:dyDescent="0.25">
      <c r="A650" s="402"/>
      <c r="B650" s="403"/>
      <c r="C650" s="404"/>
      <c r="D650" s="404"/>
      <c r="E650" s="404"/>
      <c r="F650" s="405"/>
      <c r="G650" s="2800" t="s">
        <v>3447</v>
      </c>
      <c r="H650" s="2801"/>
      <c r="I650" s="2801"/>
      <c r="J650" s="2801"/>
      <c r="K650" s="2801"/>
      <c r="L650" s="2801"/>
      <c r="M650" s="1272" t="s">
        <v>2031</v>
      </c>
      <c r="N650" s="1272" t="s">
        <v>3462</v>
      </c>
      <c r="O650" s="143">
        <v>4.9000000000000002E-2</v>
      </c>
      <c r="P650" s="151"/>
      <c r="Q650" s="287"/>
      <c r="R650" s="184"/>
      <c r="S650" s="143"/>
      <c r="T650" s="143"/>
      <c r="U650" s="143"/>
      <c r="V650" s="143"/>
      <c r="W650" s="142"/>
    </row>
    <row r="651" spans="1:23" ht="48.75" customHeight="1" x14ac:dyDescent="0.25">
      <c r="A651" s="402" t="s">
        <v>2165</v>
      </c>
      <c r="B651" s="403"/>
      <c r="C651" s="404"/>
      <c r="D651" s="404"/>
      <c r="E651" s="404"/>
      <c r="F651" s="405"/>
      <c r="G651" s="2842" t="s">
        <v>3401</v>
      </c>
      <c r="H651" s="2842"/>
      <c r="I651" s="2842"/>
      <c r="J651" s="774">
        <f>0.195*0.9</f>
        <v>0.17550000000000002</v>
      </c>
      <c r="K651" s="1627"/>
      <c r="L651" s="1649"/>
      <c r="M651" s="154" t="s">
        <v>2055</v>
      </c>
      <c r="N651" s="1272" t="s">
        <v>2056</v>
      </c>
      <c r="O651" s="143">
        <v>7.5999999999999998E-2</v>
      </c>
      <c r="P651" s="151"/>
      <c r="Q651" s="287"/>
      <c r="R651" s="143"/>
      <c r="S651" s="143"/>
      <c r="T651" s="143"/>
      <c r="U651" s="143"/>
      <c r="V651" s="143"/>
      <c r="W651" s="142"/>
    </row>
    <row r="652" spans="1:23" ht="48.75" customHeight="1" x14ac:dyDescent="0.25">
      <c r="A652" s="402"/>
      <c r="B652" s="403"/>
      <c r="C652" s="404"/>
      <c r="D652" s="404"/>
      <c r="E652" s="404"/>
      <c r="F652" s="405"/>
      <c r="G652" s="1733" t="s">
        <v>16664</v>
      </c>
      <c r="H652" s="1733" t="s">
        <v>16665</v>
      </c>
      <c r="I652" s="1733" t="s">
        <v>16865</v>
      </c>
      <c r="J652" s="1627">
        <f>0.65*0.9</f>
        <v>0.58500000000000008</v>
      </c>
      <c r="K652" s="1627"/>
      <c r="L652" s="1649"/>
      <c r="M652" s="154" t="s">
        <v>2031</v>
      </c>
      <c r="N652" s="1272" t="s">
        <v>2142</v>
      </c>
      <c r="O652" s="143">
        <v>0.02</v>
      </c>
      <c r="P652" s="151"/>
      <c r="Q652" s="287"/>
      <c r="R652" s="143"/>
      <c r="S652" s="143"/>
      <c r="T652" s="143"/>
      <c r="U652" s="143"/>
      <c r="V652" s="143"/>
      <c r="W652" s="142"/>
    </row>
    <row r="653" spans="1:23" ht="56.25" customHeight="1" thickBot="1" x14ac:dyDescent="0.3">
      <c r="A653" s="402"/>
      <c r="B653" s="403"/>
      <c r="C653" s="404"/>
      <c r="D653" s="404"/>
      <c r="E653" s="404"/>
      <c r="F653" s="405"/>
      <c r="G653" s="1893" t="s">
        <v>16658</v>
      </c>
      <c r="H653" s="1893" t="s">
        <v>16659</v>
      </c>
      <c r="I653" s="1627" t="s">
        <v>17032</v>
      </c>
      <c r="J653" s="1627">
        <f>0.15*0.9</f>
        <v>0.13500000000000001</v>
      </c>
      <c r="K653" s="1627"/>
      <c r="L653" s="1649"/>
      <c r="M653" s="1272" t="s">
        <v>2029</v>
      </c>
      <c r="N653" s="1272" t="s">
        <v>2030</v>
      </c>
      <c r="O653" s="143">
        <v>0.05</v>
      </c>
      <c r="P653" s="151"/>
      <c r="Q653" s="287"/>
      <c r="R653" s="143"/>
      <c r="S653" s="143"/>
      <c r="T653" s="143"/>
      <c r="U653" s="143"/>
      <c r="V653" s="143"/>
      <c r="W653" s="142"/>
    </row>
    <row r="654" spans="1:23" ht="56.25" customHeight="1" x14ac:dyDescent="0.25">
      <c r="A654" s="402"/>
      <c r="B654" s="403"/>
      <c r="C654" s="404"/>
      <c r="D654" s="404"/>
      <c r="E654" s="404"/>
      <c r="F654" s="405"/>
      <c r="G654" s="2800" t="s">
        <v>17005</v>
      </c>
      <c r="H654" s="2801"/>
      <c r="I654" s="2801"/>
      <c r="J654" s="2801"/>
      <c r="K654" s="2801"/>
      <c r="L654" s="2801"/>
      <c r="M654" s="154" t="s">
        <v>2332</v>
      </c>
      <c r="N654" s="1272" t="s">
        <v>2333</v>
      </c>
      <c r="O654" s="143">
        <v>0.48</v>
      </c>
      <c r="P654" s="143"/>
      <c r="Q654" s="287"/>
      <c r="R654" s="143"/>
      <c r="S654" s="143"/>
      <c r="T654" s="143"/>
      <c r="U654" s="143"/>
      <c r="V654" s="143"/>
      <c r="W654" s="142"/>
    </row>
    <row r="655" spans="1:23" ht="34.5" customHeight="1" x14ac:dyDescent="0.25">
      <c r="A655" s="821"/>
      <c r="B655" s="822"/>
      <c r="C655" s="823"/>
      <c r="D655" s="823"/>
      <c r="E655" s="823"/>
      <c r="F655" s="820"/>
      <c r="G655" s="1627" t="s">
        <v>2847</v>
      </c>
      <c r="H655" s="1627" t="s">
        <v>19812</v>
      </c>
      <c r="I655" s="1627" t="s">
        <v>19813</v>
      </c>
      <c r="J655" s="1627">
        <f>1.2*0.75</f>
        <v>0.89999999999999991</v>
      </c>
      <c r="K655" s="1627"/>
      <c r="L655" s="1649"/>
      <c r="M655" s="1515" t="s">
        <v>3122</v>
      </c>
      <c r="N655" s="1515" t="s">
        <v>3123</v>
      </c>
      <c r="O655" s="1496">
        <v>0.15</v>
      </c>
      <c r="P655" s="1496"/>
      <c r="Q655" s="1496"/>
      <c r="R655" s="1510"/>
      <c r="S655" s="143"/>
      <c r="T655" s="143"/>
      <c r="U655" s="143"/>
      <c r="V655" s="143"/>
      <c r="W655" s="142"/>
    </row>
    <row r="656" spans="1:23" ht="34.5" customHeight="1" x14ac:dyDescent="0.25">
      <c r="A656" s="1035"/>
      <c r="B656" s="1033"/>
      <c r="C656" s="1036"/>
      <c r="D656" s="1036"/>
      <c r="E656" s="1036"/>
      <c r="F656" s="1034"/>
      <c r="G656" s="2147" t="s">
        <v>15291</v>
      </c>
      <c r="H656" s="2147" t="s">
        <v>16940</v>
      </c>
      <c r="I656" s="1627" t="s">
        <v>19977</v>
      </c>
      <c r="J656" s="1627">
        <f>(0.25-0.1)*0.9</f>
        <v>0.13500000000000001</v>
      </c>
      <c r="K656" s="1627"/>
      <c r="L656" s="1649"/>
      <c r="M656" s="1515" t="s">
        <v>3355</v>
      </c>
      <c r="N656" s="1515" t="s">
        <v>3356</v>
      </c>
      <c r="O656" s="1496">
        <v>0.04</v>
      </c>
      <c r="P656" s="1496"/>
      <c r="Q656" s="1496"/>
      <c r="R656" s="179"/>
      <c r="S656" s="179"/>
      <c r="T656" s="180"/>
      <c r="U656" s="151"/>
      <c r="V656" s="151"/>
      <c r="W656" s="149"/>
    </row>
    <row r="657" spans="1:23" ht="34.5" customHeight="1" x14ac:dyDescent="0.25">
      <c r="A657" s="1155"/>
      <c r="B657" s="1153"/>
      <c r="C657" s="1156"/>
      <c r="D657" s="1156"/>
      <c r="E657" s="1156"/>
      <c r="F657" s="1154"/>
      <c r="G657" s="2842" t="s">
        <v>3401</v>
      </c>
      <c r="H657" s="2842"/>
      <c r="I657" s="2842"/>
      <c r="J657" s="2240">
        <f>0.292*0.9</f>
        <v>0.26279999999999998</v>
      </c>
      <c r="K657" s="1627"/>
      <c r="L657" s="1649"/>
      <c r="M657" s="1538"/>
      <c r="N657" s="1538"/>
      <c r="O657" s="1528"/>
      <c r="P657" s="1496"/>
      <c r="Q657" s="1496"/>
      <c r="R657" s="179"/>
      <c r="S657" s="179"/>
      <c r="T657" s="180"/>
      <c r="U657" s="151"/>
      <c r="V657" s="151"/>
      <c r="W657" s="149"/>
    </row>
    <row r="658" spans="1:23" ht="34.5" customHeight="1" x14ac:dyDescent="0.25">
      <c r="A658" s="1492"/>
      <c r="B658" s="1504"/>
      <c r="C658" s="1511"/>
      <c r="D658" s="1511"/>
      <c r="E658" s="1511"/>
      <c r="F658" s="1505"/>
      <c r="G658" s="1627"/>
      <c r="H658" s="1627"/>
      <c r="I658" s="1627"/>
      <c r="J658" s="1627"/>
      <c r="K658" s="1627"/>
      <c r="L658" s="1649"/>
      <c r="M658" s="1528"/>
      <c r="N658" s="1528"/>
      <c r="O658" s="1528"/>
      <c r="P658" s="1528"/>
      <c r="Q658" s="1528"/>
      <c r="R658" s="1528"/>
      <c r="S658" s="1528"/>
      <c r="T658" s="1528"/>
      <c r="U658" s="1528"/>
      <c r="V658" s="1528"/>
      <c r="W658" s="1540"/>
    </row>
    <row r="659" spans="1:23" ht="34.5" customHeight="1" x14ac:dyDescent="0.25">
      <c r="A659" s="1525"/>
      <c r="B659" s="1532"/>
      <c r="C659" s="1535"/>
      <c r="D659" s="1535"/>
      <c r="E659" s="1535"/>
      <c r="F659" s="1533"/>
      <c r="G659" s="1627"/>
      <c r="H659" s="1627"/>
      <c r="I659" s="1627"/>
      <c r="J659" s="1627"/>
      <c r="K659" s="1627"/>
      <c r="L659" s="1649"/>
      <c r="M659" s="1528"/>
      <c r="N659" s="1528"/>
      <c r="O659" s="1528"/>
      <c r="P659" s="1528"/>
      <c r="Q659" s="1528"/>
      <c r="R659" s="1528"/>
      <c r="S659" s="1528"/>
      <c r="T659" s="1528"/>
      <c r="U659" s="1528"/>
      <c r="V659" s="1528"/>
      <c r="W659" s="1540"/>
    </row>
    <row r="660" spans="1:23" ht="19.5" customHeight="1" thickBot="1" x14ac:dyDescent="0.3">
      <c r="A660" s="406"/>
      <c r="B660" s="395"/>
      <c r="C660" s="396"/>
      <c r="D660" s="396"/>
      <c r="E660" s="396"/>
      <c r="F660" s="397"/>
      <c r="G660" s="2636" t="s">
        <v>1833</v>
      </c>
      <c r="H660" s="2636"/>
      <c r="I660" s="2637"/>
      <c r="J660" s="136">
        <f>SUM(J651:J659)</f>
        <v>2.1933000000000002</v>
      </c>
      <c r="K660" s="183">
        <v>0.92</v>
      </c>
      <c r="L660" s="136">
        <f>J660/K660</f>
        <v>2.3840217391304348</v>
      </c>
      <c r="M660" s="2652" t="s">
        <v>1834</v>
      </c>
      <c r="N660" s="2637"/>
      <c r="O660" s="136">
        <f>SUM(O641:O659)</f>
        <v>1.2448000000000001</v>
      </c>
      <c r="P660" s="183">
        <v>0.92</v>
      </c>
      <c r="Q660" s="275">
        <f>O660/P660</f>
        <v>1.3530434782608696</v>
      </c>
      <c r="R660" s="2636" t="s">
        <v>1833</v>
      </c>
      <c r="S660" s="2636"/>
      <c r="T660" s="2637"/>
      <c r="U660" s="136">
        <f>SUM(U641:U648)</f>
        <v>0</v>
      </c>
      <c r="V660" s="183">
        <v>0.92</v>
      </c>
      <c r="W660" s="136">
        <f>U660/V660</f>
        <v>0</v>
      </c>
    </row>
    <row r="661" spans="1:23" s="67" customFormat="1" ht="20.25" customHeight="1" x14ac:dyDescent="0.25">
      <c r="A661" s="2776" t="str">
        <f>Итоговая!C339</f>
        <v xml:space="preserve">ПС 35/6 кВ ЗМИ  </v>
      </c>
      <c r="B661" s="2630">
        <f>Итоговая!D339</f>
        <v>10</v>
      </c>
      <c r="C661" s="2632" t="str">
        <f>Итоговая!E339</f>
        <v>+</v>
      </c>
      <c r="D661" s="2632">
        <f>Итоговая!F339</f>
        <v>16</v>
      </c>
      <c r="E661" s="400"/>
      <c r="F661" s="401"/>
      <c r="G661" s="2809" t="s">
        <v>1961</v>
      </c>
      <c r="H661" s="2809"/>
      <c r="I661" s="2809"/>
      <c r="J661" s="2809"/>
      <c r="K661" s="2809"/>
      <c r="L661" s="2774"/>
      <c r="M661" s="76"/>
      <c r="N661" s="76"/>
      <c r="O661" s="72"/>
      <c r="P661" s="72"/>
      <c r="Q661" s="157"/>
      <c r="R661" s="2812"/>
      <c r="S661" s="2813"/>
      <c r="T661" s="2813"/>
      <c r="U661" s="2813"/>
      <c r="V661" s="2813"/>
      <c r="W661" s="2795"/>
    </row>
    <row r="662" spans="1:23" s="18" customFormat="1" ht="43.5" customHeight="1" x14ac:dyDescent="0.25">
      <c r="A662" s="2777"/>
      <c r="B662" s="2631"/>
      <c r="C662" s="2633"/>
      <c r="D662" s="2633"/>
      <c r="E662" s="404"/>
      <c r="F662" s="405"/>
      <c r="G662" s="267" t="s">
        <v>1518</v>
      </c>
      <c r="H662" s="142" t="s">
        <v>1519</v>
      </c>
      <c r="I662" s="142" t="s">
        <v>1520</v>
      </c>
      <c r="J662" s="142">
        <v>9.7000000000000003E-2</v>
      </c>
      <c r="K662" s="143"/>
      <c r="L662" s="142"/>
      <c r="M662" s="143" t="s">
        <v>1521</v>
      </c>
      <c r="N662" s="143" t="s">
        <v>1522</v>
      </c>
      <c r="O662" s="53">
        <v>9.6549999999999997E-2</v>
      </c>
      <c r="P662" s="143"/>
      <c r="Q662" s="143"/>
      <c r="R662" s="2197" t="s">
        <v>2432</v>
      </c>
      <c r="S662" s="2239" t="s">
        <v>2434</v>
      </c>
      <c r="T662" s="2244" t="s">
        <v>20033</v>
      </c>
      <c r="U662" s="149">
        <v>0.57999999999999996</v>
      </c>
      <c r="V662" s="142"/>
      <c r="W662" s="142"/>
    </row>
    <row r="663" spans="1:23" ht="36.75" customHeight="1" x14ac:dyDescent="0.25">
      <c r="A663" s="402"/>
      <c r="B663" s="403"/>
      <c r="C663" s="404"/>
      <c r="D663" s="404"/>
      <c r="E663" s="404"/>
      <c r="F663" s="405"/>
      <c r="G663" s="267" t="s">
        <v>1523</v>
      </c>
      <c r="H663" s="142" t="s">
        <v>1524</v>
      </c>
      <c r="I663" s="142" t="s">
        <v>1525</v>
      </c>
      <c r="J663" s="142">
        <v>0.26100000000000001</v>
      </c>
      <c r="K663" s="143"/>
      <c r="L663" s="142"/>
      <c r="M663" s="143" t="s">
        <v>1526</v>
      </c>
      <c r="N663" s="143" t="s">
        <v>1527</v>
      </c>
      <c r="O663" s="143">
        <v>0.03</v>
      </c>
      <c r="P663" s="143"/>
      <c r="Q663" s="143"/>
      <c r="R663" s="142"/>
      <c r="S663" s="142"/>
      <c r="T663" s="142"/>
      <c r="U663" s="142"/>
      <c r="V663" s="142"/>
      <c r="W663" s="142"/>
    </row>
    <row r="664" spans="1:23" ht="18.75" customHeight="1" x14ac:dyDescent="0.25">
      <c r="A664" s="402"/>
      <c r="B664" s="403"/>
      <c r="C664" s="404"/>
      <c r="D664" s="404"/>
      <c r="E664" s="404"/>
      <c r="F664" s="405"/>
      <c r="G664" s="2767" t="s">
        <v>1959</v>
      </c>
      <c r="H664" s="2767"/>
      <c r="I664" s="2767"/>
      <c r="J664" s="2767"/>
      <c r="K664" s="2767"/>
      <c r="L664" s="2768"/>
      <c r="O664" s="143"/>
      <c r="P664" s="143"/>
      <c r="Q664" s="143"/>
      <c r="R664" s="2771"/>
      <c r="S664" s="2772"/>
      <c r="T664" s="2772"/>
      <c r="U664" s="2772"/>
      <c r="V664" s="2772"/>
      <c r="W664" s="2468"/>
    </row>
    <row r="665" spans="1:23" ht="52.5" customHeight="1" x14ac:dyDescent="0.25">
      <c r="A665" s="402"/>
      <c r="B665" s="403"/>
      <c r="C665" s="404"/>
      <c r="D665" s="404"/>
      <c r="E665" s="404"/>
      <c r="F665" s="405"/>
      <c r="G665" s="184" t="s">
        <v>1528</v>
      </c>
      <c r="H665" s="143" t="s">
        <v>1529</v>
      </c>
      <c r="I665" s="142" t="s">
        <v>1530</v>
      </c>
      <c r="J665" s="142">
        <v>7.6999999999999999E-2</v>
      </c>
      <c r="K665" s="143"/>
      <c r="L665" s="142"/>
      <c r="M665" s="143" t="s">
        <v>1531</v>
      </c>
      <c r="N665" s="143" t="s">
        <v>1532</v>
      </c>
      <c r="O665" s="143">
        <v>2.5000000000000001E-2</v>
      </c>
      <c r="P665" s="143"/>
      <c r="Q665" s="143"/>
      <c r="R665" s="142"/>
      <c r="S665" s="142"/>
      <c r="T665" s="142"/>
      <c r="U665" s="142"/>
      <c r="V665" s="142"/>
      <c r="W665" s="142"/>
    </row>
    <row r="666" spans="1:23" ht="19.5" customHeight="1" x14ac:dyDescent="0.25">
      <c r="A666" s="402"/>
      <c r="B666" s="403"/>
      <c r="C666" s="404"/>
      <c r="D666" s="404"/>
      <c r="E666" s="404"/>
      <c r="F666" s="405"/>
      <c r="G666" s="2767" t="s">
        <v>2033</v>
      </c>
      <c r="H666" s="2767"/>
      <c r="I666" s="2767"/>
      <c r="J666" s="2767"/>
      <c r="K666" s="2767"/>
      <c r="L666" s="2768"/>
      <c r="M666" s="1697"/>
      <c r="N666" s="1697"/>
      <c r="O666" s="1355"/>
      <c r="P666" s="151"/>
      <c r="Q666" s="151"/>
      <c r="R666" s="2771"/>
      <c r="S666" s="2772"/>
      <c r="T666" s="2772"/>
      <c r="U666" s="2772"/>
      <c r="V666" s="2772"/>
      <c r="W666" s="2468"/>
    </row>
    <row r="667" spans="1:23" ht="69.75" customHeight="1" x14ac:dyDescent="0.25">
      <c r="A667" s="402"/>
      <c r="B667" s="403"/>
      <c r="C667" s="404"/>
      <c r="D667" s="404"/>
      <c r="E667" s="404"/>
      <c r="F667" s="405"/>
      <c r="G667" s="184" t="s">
        <v>2432</v>
      </c>
      <c r="H667" s="143" t="s">
        <v>2433</v>
      </c>
      <c r="I667" s="142" t="s">
        <v>2463</v>
      </c>
      <c r="J667" s="142">
        <v>0.1157</v>
      </c>
      <c r="K667" s="143"/>
      <c r="L667" s="142"/>
      <c r="M667" s="1355"/>
      <c r="N667" s="1355"/>
      <c r="O667" s="1355"/>
      <c r="P667" s="151"/>
      <c r="Q667" s="151"/>
      <c r="R667" s="142"/>
      <c r="S667" s="142"/>
      <c r="T667" s="142"/>
      <c r="U667" s="142"/>
      <c r="V667" s="142"/>
      <c r="W667" s="142"/>
    </row>
    <row r="668" spans="1:23" ht="69.75" customHeight="1" x14ac:dyDescent="0.25">
      <c r="A668" s="402"/>
      <c r="B668" s="403"/>
      <c r="C668" s="404"/>
      <c r="D668" s="404"/>
      <c r="E668" s="404"/>
      <c r="F668" s="405"/>
      <c r="G668" s="267"/>
      <c r="H668" s="142"/>
      <c r="I668" s="176"/>
      <c r="J668" s="149"/>
      <c r="K668" s="151"/>
      <c r="L668" s="149"/>
      <c r="M668" s="1355"/>
      <c r="N668" s="1355"/>
      <c r="O668" s="1355"/>
      <c r="P668" s="151"/>
      <c r="Q668" s="151"/>
      <c r="R668" s="142"/>
      <c r="S668" s="142"/>
      <c r="T668" s="176"/>
      <c r="U668" s="149"/>
      <c r="V668" s="149"/>
      <c r="W668" s="149"/>
    </row>
    <row r="669" spans="1:23" ht="24" customHeight="1" x14ac:dyDescent="0.25">
      <c r="A669" s="1472"/>
      <c r="B669" s="1464"/>
      <c r="C669" s="1474"/>
      <c r="D669" s="1474"/>
      <c r="E669" s="1474"/>
      <c r="F669" s="1465"/>
      <c r="G669" s="2767" t="s">
        <v>3405</v>
      </c>
      <c r="H669" s="2767"/>
      <c r="I669" s="2767"/>
      <c r="J669" s="2767"/>
      <c r="K669" s="2767"/>
      <c r="L669" s="2768"/>
      <c r="M669" s="1468"/>
      <c r="N669" s="1469"/>
      <c r="O669" s="1466"/>
      <c r="P669" s="1466"/>
      <c r="Q669" s="1466"/>
      <c r="R669" s="1486"/>
      <c r="S669" s="1484"/>
      <c r="T669" s="1485"/>
      <c r="U669" s="149"/>
      <c r="V669" s="149"/>
      <c r="W669" s="149"/>
    </row>
    <row r="670" spans="1:23" ht="69.75" customHeight="1" x14ac:dyDescent="0.25">
      <c r="A670" s="1472"/>
      <c r="B670" s="1464"/>
      <c r="C670" s="1474"/>
      <c r="D670" s="1474"/>
      <c r="E670" s="1474"/>
      <c r="F670" s="1465"/>
      <c r="G670" s="1461" t="s">
        <v>3597</v>
      </c>
      <c r="H670" s="1461" t="s">
        <v>3598</v>
      </c>
      <c r="I670" s="1485" t="s">
        <v>15285</v>
      </c>
      <c r="J670" s="1461">
        <f>1.65*0.9</f>
        <v>1.4849999999999999</v>
      </c>
      <c r="K670" s="1466"/>
      <c r="L670" s="149"/>
      <c r="M670" s="1468"/>
      <c r="N670" s="1469"/>
      <c r="O670" s="1466"/>
      <c r="P670" s="1466"/>
      <c r="Q670" s="1466"/>
      <c r="R670" s="1486"/>
      <c r="S670" s="1484"/>
      <c r="T670" s="1485"/>
      <c r="U670" s="149"/>
      <c r="V670" s="149"/>
      <c r="W670" s="149"/>
    </row>
    <row r="671" spans="1:23" ht="24" customHeight="1" x14ac:dyDescent="0.25">
      <c r="A671" s="2019"/>
      <c r="B671" s="2004"/>
      <c r="C671" s="2005"/>
      <c r="D671" s="2005"/>
      <c r="E671" s="2005"/>
      <c r="F671" s="2006"/>
      <c r="G671" s="2767" t="s">
        <v>17067</v>
      </c>
      <c r="H671" s="2767"/>
      <c r="I671" s="2767"/>
      <c r="J671" s="2767"/>
      <c r="K671" s="2767"/>
      <c r="L671" s="2768"/>
      <c r="M671" s="2014"/>
      <c r="N671" s="2015"/>
      <c r="O671" s="2020"/>
      <c r="P671" s="2020"/>
      <c r="Q671" s="2020"/>
      <c r="R671" s="2025"/>
      <c r="S671" s="2023"/>
      <c r="T671" s="2024"/>
      <c r="U671" s="149"/>
      <c r="V671" s="149"/>
      <c r="W671" s="149"/>
    </row>
    <row r="672" spans="1:23" ht="69.75" customHeight="1" x14ac:dyDescent="0.25">
      <c r="A672" s="2019"/>
      <c r="B672" s="2004"/>
      <c r="C672" s="2005"/>
      <c r="D672" s="2005"/>
      <c r="E672" s="2005"/>
      <c r="F672" s="2006"/>
      <c r="G672" s="1995" t="s">
        <v>16785</v>
      </c>
      <c r="H672" s="1995" t="s">
        <v>16786</v>
      </c>
      <c r="I672" s="2024" t="s">
        <v>17088</v>
      </c>
      <c r="J672" s="2020">
        <f>0.23*0.9</f>
        <v>0.20700000000000002</v>
      </c>
      <c r="K672" s="2020"/>
      <c r="L672" s="149"/>
      <c r="M672" s="2014"/>
      <c r="N672" s="2015"/>
      <c r="O672" s="2020"/>
      <c r="P672" s="2020"/>
      <c r="Q672" s="2020"/>
      <c r="R672" s="2025"/>
      <c r="S672" s="2023"/>
      <c r="T672" s="2024"/>
      <c r="U672" s="149"/>
      <c r="V672" s="149"/>
      <c r="W672" s="149"/>
    </row>
    <row r="673" spans="1:23" ht="69.75" customHeight="1" x14ac:dyDescent="0.25">
      <c r="A673" s="2091"/>
      <c r="B673" s="2073"/>
      <c r="C673" s="2074"/>
      <c r="D673" s="2074"/>
      <c r="E673" s="2074"/>
      <c r="F673" s="2077"/>
      <c r="G673" s="2084" t="s">
        <v>19836</v>
      </c>
      <c r="H673" s="2084" t="s">
        <v>19837</v>
      </c>
      <c r="I673" s="2095" t="s">
        <v>19838</v>
      </c>
      <c r="J673" s="2090">
        <f>0.05*0.9</f>
        <v>4.5000000000000005E-2</v>
      </c>
      <c r="K673" s="2090"/>
      <c r="L673" s="149"/>
      <c r="M673" s="2083"/>
      <c r="N673" s="2085"/>
      <c r="O673" s="2090"/>
      <c r="P673" s="2090"/>
      <c r="Q673" s="2090"/>
      <c r="R673" s="2093"/>
      <c r="S673" s="2094"/>
      <c r="T673" s="2095"/>
      <c r="U673" s="149"/>
      <c r="V673" s="149"/>
      <c r="W673" s="149"/>
    </row>
    <row r="674" spans="1:23" ht="20.100000000000001" customHeight="1" thickBot="1" x14ac:dyDescent="0.3">
      <c r="A674" s="406"/>
      <c r="B674" s="395"/>
      <c r="C674" s="396"/>
      <c r="D674" s="396"/>
      <c r="E674" s="396"/>
      <c r="F674" s="397"/>
      <c r="G674" s="2716" t="s">
        <v>1833</v>
      </c>
      <c r="H674" s="2716"/>
      <c r="I674" s="2717"/>
      <c r="J674" s="181">
        <f>SUM(J670:J673)</f>
        <v>1.7369999999999999</v>
      </c>
      <c r="K674" s="1647">
        <v>0.92</v>
      </c>
      <c r="L674" s="181">
        <f>J674/K674</f>
        <v>1.8880434782608693</v>
      </c>
      <c r="M674" s="2652" t="s">
        <v>1834</v>
      </c>
      <c r="N674" s="2637"/>
      <c r="O674" s="136">
        <f>SUM(O661:O668)</f>
        <v>0.15154999999999999</v>
      </c>
      <c r="P674" s="183">
        <v>0.92</v>
      </c>
      <c r="Q674" s="136">
        <f>O674/P674</f>
        <v>0.16472826086956521</v>
      </c>
      <c r="R674" s="2652" t="s">
        <v>1833</v>
      </c>
      <c r="S674" s="2636"/>
      <c r="T674" s="2637"/>
      <c r="U674" s="136">
        <f>SUM(U662:U673)</f>
        <v>0.57999999999999996</v>
      </c>
      <c r="V674" s="183">
        <v>0.92</v>
      </c>
      <c r="W674" s="136">
        <f>U674/V674</f>
        <v>0.63043478260869557</v>
      </c>
    </row>
    <row r="675" spans="1:23" ht="89.25" customHeight="1" x14ac:dyDescent="0.25">
      <c r="A675" s="407" t="str">
        <f>Итоговая!C340</f>
        <v xml:space="preserve">ПС 35/10 кВ Изоплит  </v>
      </c>
      <c r="B675" s="399">
        <f>Итоговая!D340</f>
        <v>6.3</v>
      </c>
      <c r="C675" s="400" t="str">
        <f>Итоговая!E340</f>
        <v>+</v>
      </c>
      <c r="D675" s="400">
        <f>Итоговая!F340</f>
        <v>6.3</v>
      </c>
      <c r="E675" s="400"/>
      <c r="F675" s="401"/>
      <c r="G675" s="2767" t="s">
        <v>17067</v>
      </c>
      <c r="H675" s="2767"/>
      <c r="I675" s="2767"/>
      <c r="J675" s="2767"/>
      <c r="K675" s="2767"/>
      <c r="L675" s="2768"/>
      <c r="M675" s="143" t="s">
        <v>2711</v>
      </c>
      <c r="N675" s="143" t="s">
        <v>2712</v>
      </c>
      <c r="O675" s="143">
        <v>0.03</v>
      </c>
      <c r="P675" s="143"/>
      <c r="Q675" s="143"/>
      <c r="R675" s="143"/>
      <c r="S675" s="143"/>
      <c r="T675" s="143"/>
      <c r="U675" s="143"/>
      <c r="V675" s="143"/>
      <c r="W675" s="142"/>
    </row>
    <row r="676" spans="1:23" ht="89.25" customHeight="1" x14ac:dyDescent="0.25">
      <c r="A676" s="1124"/>
      <c r="B676" s="1122"/>
      <c r="C676" s="1125"/>
      <c r="D676" s="1125"/>
      <c r="E676" s="1125"/>
      <c r="F676" s="1123"/>
      <c r="G676" s="1627" t="s">
        <v>3280</v>
      </c>
      <c r="H676" s="1627" t="s">
        <v>20015</v>
      </c>
      <c r="I676" s="1627" t="s">
        <v>20014</v>
      </c>
      <c r="J676" s="1627">
        <f>4*0.75</f>
        <v>3</v>
      </c>
      <c r="K676" s="1627"/>
      <c r="L676" s="1649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2"/>
    </row>
    <row r="677" spans="1:23" ht="20.100000000000001" customHeight="1" thickBot="1" x14ac:dyDescent="0.3">
      <c r="A677" s="406"/>
      <c r="B677" s="395"/>
      <c r="C677" s="396"/>
      <c r="D677" s="396"/>
      <c r="E677" s="396"/>
      <c r="F677" s="397"/>
      <c r="G677" s="2716" t="s">
        <v>1833</v>
      </c>
      <c r="H677" s="2716"/>
      <c r="I677" s="2717"/>
      <c r="J677" s="181">
        <f>SUM(J676)</f>
        <v>3</v>
      </c>
      <c r="K677" s="151">
        <v>0.92</v>
      </c>
      <c r="L677" s="181">
        <f>J677/K677</f>
        <v>3.2608695652173911</v>
      </c>
      <c r="M677" s="2715" t="s">
        <v>1834</v>
      </c>
      <c r="N677" s="2717"/>
      <c r="O677" s="181">
        <f>SUM(O675:O676)</f>
        <v>0.03</v>
      </c>
      <c r="P677" s="151">
        <v>0.92</v>
      </c>
      <c r="Q677" s="181">
        <f>O677/P677</f>
        <v>3.2608695652173912E-2</v>
      </c>
      <c r="R677" s="2715" t="s">
        <v>1833</v>
      </c>
      <c r="S677" s="2716"/>
      <c r="T677" s="2717"/>
      <c r="U677" s="181">
        <f>SUM(U675:U675)</f>
        <v>0</v>
      </c>
      <c r="V677" s="151">
        <v>0.92</v>
      </c>
      <c r="W677" s="181">
        <f>U677/V677</f>
        <v>0</v>
      </c>
    </row>
    <row r="678" spans="1:23" s="67" customFormat="1" ht="20.100000000000001" customHeight="1" x14ac:dyDescent="0.25">
      <c r="A678" s="2776" t="str">
        <f>Итоговая!C341</f>
        <v>ПС 35/6 кВ Карачарово</v>
      </c>
      <c r="B678" s="2630">
        <f>Итоговая!D341</f>
        <v>4</v>
      </c>
      <c r="C678" s="2632" t="str">
        <f>Итоговая!E341</f>
        <v>+</v>
      </c>
      <c r="D678" s="2632">
        <f>Итоговая!F341</f>
        <v>6.3</v>
      </c>
      <c r="E678" s="400"/>
      <c r="F678" s="401"/>
      <c r="G678" s="2800" t="s">
        <v>1960</v>
      </c>
      <c r="H678" s="2801"/>
      <c r="I678" s="2801"/>
      <c r="J678" s="2801"/>
      <c r="K678" s="2801"/>
      <c r="L678" s="2801"/>
      <c r="M678" s="291"/>
      <c r="N678" s="292"/>
      <c r="O678" s="16"/>
      <c r="P678" s="16"/>
      <c r="Q678" s="289"/>
      <c r="R678" s="2790"/>
      <c r="S678" s="2790"/>
      <c r="T678" s="2790"/>
      <c r="U678" s="2790"/>
      <c r="V678" s="2790"/>
      <c r="W678" s="2790"/>
    </row>
    <row r="679" spans="1:23" ht="59.25" customHeight="1" x14ac:dyDescent="0.25">
      <c r="A679" s="2777"/>
      <c r="B679" s="2631"/>
      <c r="C679" s="2633"/>
      <c r="D679" s="2633"/>
      <c r="E679" s="404"/>
      <c r="F679" s="405"/>
      <c r="G679" s="199" t="s">
        <v>1535</v>
      </c>
      <c r="H679" s="157" t="s">
        <v>1536</v>
      </c>
      <c r="I679" s="157" t="s">
        <v>1537</v>
      </c>
      <c r="J679" s="42">
        <v>0.03</v>
      </c>
      <c r="K679" s="42"/>
      <c r="L679" s="72"/>
      <c r="M679" s="143" t="s">
        <v>1533</v>
      </c>
      <c r="N679" s="143" t="s">
        <v>1534</v>
      </c>
      <c r="O679" s="42">
        <v>0.18</v>
      </c>
      <c r="P679" s="42"/>
      <c r="Q679" s="286"/>
      <c r="R679" s="157"/>
      <c r="S679" s="157"/>
      <c r="T679" s="157"/>
      <c r="U679" s="72"/>
      <c r="V679" s="72"/>
      <c r="W679" s="72"/>
    </row>
    <row r="680" spans="1:23" ht="20.100000000000001" customHeight="1" x14ac:dyDescent="0.25">
      <c r="A680" s="402"/>
      <c r="B680" s="403"/>
      <c r="C680" s="404"/>
      <c r="D680" s="404"/>
      <c r="E680" s="404"/>
      <c r="F680" s="405"/>
      <c r="G680" s="2767" t="s">
        <v>2032</v>
      </c>
      <c r="H680" s="2767"/>
      <c r="I680" s="2767"/>
      <c r="J680" s="2767"/>
      <c r="K680" s="2767"/>
      <c r="L680" s="2768"/>
      <c r="M680" s="1496"/>
      <c r="N680" s="1496"/>
      <c r="O680" s="1397"/>
      <c r="P680" s="1397"/>
      <c r="Q680" s="1397"/>
      <c r="R680" s="2772"/>
      <c r="S680" s="2772"/>
      <c r="T680" s="2772"/>
      <c r="U680" s="2772"/>
      <c r="V680" s="2772"/>
      <c r="W680" s="2468"/>
    </row>
    <row r="681" spans="1:23" ht="20.100000000000001" customHeight="1" x14ac:dyDescent="0.25">
      <c r="A681" s="402"/>
      <c r="B681" s="403"/>
      <c r="C681" s="404"/>
      <c r="D681" s="404"/>
      <c r="E681" s="404"/>
      <c r="F681" s="405"/>
      <c r="G681" s="216" t="s">
        <v>1538</v>
      </c>
      <c r="H681" s="53" t="s">
        <v>1539</v>
      </c>
      <c r="I681" s="149" t="s">
        <v>2287</v>
      </c>
      <c r="J681" s="142">
        <v>0.05</v>
      </c>
      <c r="K681" s="143"/>
      <c r="L681" s="142"/>
      <c r="M681" s="1847" t="s">
        <v>16959</v>
      </c>
      <c r="N681" s="1847" t="s">
        <v>16960</v>
      </c>
      <c r="O681" s="1840">
        <f>0.586-0.256</f>
        <v>0.32999999999999996</v>
      </c>
      <c r="P681" s="1840"/>
      <c r="Q681" s="1840"/>
      <c r="R681" s="285"/>
      <c r="S681" s="285"/>
      <c r="T681" s="1854"/>
      <c r="U681" s="1854"/>
      <c r="V681" s="1854"/>
      <c r="W681" s="1854"/>
    </row>
    <row r="682" spans="1:23" ht="20.100000000000001" customHeight="1" x14ac:dyDescent="0.25">
      <c r="A682" s="686"/>
      <c r="B682" s="688"/>
      <c r="C682" s="689"/>
      <c r="D682" s="689"/>
      <c r="E682" s="689"/>
      <c r="F682" s="685"/>
      <c r="G682" s="2767" t="s">
        <v>2477</v>
      </c>
      <c r="H682" s="2767"/>
      <c r="I682" s="2767"/>
      <c r="J682" s="2767"/>
      <c r="K682" s="2767"/>
      <c r="L682" s="2768"/>
      <c r="M682" s="1847"/>
      <c r="N682" s="1847"/>
      <c r="O682" s="1840"/>
      <c r="P682" s="1840"/>
      <c r="Q682" s="1840"/>
      <c r="R682" s="285"/>
      <c r="S682" s="285"/>
      <c r="T682" s="1854"/>
      <c r="U682" s="1854"/>
      <c r="V682" s="1854"/>
      <c r="W682" s="1854"/>
    </row>
    <row r="683" spans="1:23" ht="75.75" customHeight="1" x14ac:dyDescent="0.25">
      <c r="A683" s="686"/>
      <c r="B683" s="688"/>
      <c r="C683" s="689"/>
      <c r="D683" s="689"/>
      <c r="E683" s="689"/>
      <c r="F683" s="685"/>
      <c r="G683" s="53" t="s">
        <v>2510</v>
      </c>
      <c r="H683" s="53" t="s">
        <v>2674</v>
      </c>
      <c r="I683" s="142" t="s">
        <v>2675</v>
      </c>
      <c r="J683" s="142">
        <f>0.515-0.2</f>
        <v>0.315</v>
      </c>
      <c r="K683" s="143"/>
      <c r="L683" s="142"/>
      <c r="M683" s="1847"/>
      <c r="N683" s="1847"/>
      <c r="O683" s="1840"/>
      <c r="P683" s="1840"/>
      <c r="Q683" s="1840"/>
      <c r="R683" s="285"/>
      <c r="S683" s="285"/>
      <c r="T683" s="1854"/>
      <c r="U683" s="1854"/>
      <c r="V683" s="1854"/>
      <c r="W683" s="1854"/>
    </row>
    <row r="684" spans="1:23" ht="48.75" customHeight="1" x14ac:dyDescent="0.25">
      <c r="A684" s="759"/>
      <c r="B684" s="760"/>
      <c r="C684" s="761"/>
      <c r="D684" s="761"/>
      <c r="E684" s="761"/>
      <c r="F684" s="758"/>
      <c r="G684" s="2820"/>
      <c r="H684" s="2821"/>
      <c r="I684" s="2821"/>
      <c r="J684" s="2821"/>
      <c r="K684" s="2821"/>
      <c r="L684" s="2822"/>
      <c r="M684" s="1847"/>
      <c r="N684" s="1847"/>
      <c r="O684" s="1840"/>
      <c r="P684" s="1840"/>
      <c r="Q684" s="1840"/>
      <c r="R684" s="285"/>
      <c r="S684" s="285"/>
      <c r="T684" s="1854"/>
      <c r="U684" s="1854"/>
      <c r="V684" s="1854"/>
      <c r="W684" s="1854"/>
    </row>
    <row r="685" spans="1:23" ht="48.75" customHeight="1" x14ac:dyDescent="0.25">
      <c r="A685" s="1173"/>
      <c r="B685" s="1174"/>
      <c r="C685" s="1176"/>
      <c r="D685" s="1176"/>
      <c r="E685" s="1176"/>
      <c r="F685" s="1175"/>
      <c r="G685" s="2767" t="s">
        <v>3020</v>
      </c>
      <c r="H685" s="2767"/>
      <c r="I685" s="2767"/>
      <c r="J685" s="2767"/>
      <c r="K685" s="2767"/>
      <c r="L685" s="2768"/>
      <c r="M685" s="1847"/>
      <c r="N685" s="1847"/>
      <c r="O685" s="1840"/>
      <c r="P685" s="1840"/>
      <c r="Q685" s="1840"/>
      <c r="R685" s="285"/>
      <c r="S685" s="285"/>
      <c r="T685" s="1854"/>
      <c r="U685" s="1854"/>
      <c r="V685" s="1854"/>
      <c r="W685" s="1854"/>
    </row>
    <row r="686" spans="1:23" ht="48.75" customHeight="1" x14ac:dyDescent="0.25">
      <c r="A686" s="1173"/>
      <c r="B686" s="1174"/>
      <c r="C686" s="1176"/>
      <c r="D686" s="1176"/>
      <c r="E686" s="1176"/>
      <c r="F686" s="1175"/>
      <c r="G686" s="2820"/>
      <c r="H686" s="2821"/>
      <c r="I686" s="2822"/>
      <c r="J686" s="149"/>
      <c r="K686" s="149"/>
      <c r="L686" s="149"/>
      <c r="M686" s="1847"/>
      <c r="N686" s="1847"/>
      <c r="O686" s="1840"/>
      <c r="P686" s="1840"/>
      <c r="Q686" s="1840"/>
      <c r="R686" s="285"/>
      <c r="S686" s="285"/>
      <c r="T686" s="1854"/>
      <c r="U686" s="1854"/>
      <c r="V686" s="1854"/>
      <c r="W686" s="1854"/>
    </row>
    <row r="687" spans="1:23" ht="48.75" customHeight="1" x14ac:dyDescent="0.25">
      <c r="A687" s="1405"/>
      <c r="B687" s="1399"/>
      <c r="C687" s="1407"/>
      <c r="D687" s="1407"/>
      <c r="E687" s="1407"/>
      <c r="F687" s="1400"/>
      <c r="G687" s="2767" t="s">
        <v>3447</v>
      </c>
      <c r="H687" s="2767"/>
      <c r="I687" s="2767"/>
      <c r="J687" s="2767"/>
      <c r="K687" s="2767"/>
      <c r="L687" s="2768"/>
      <c r="M687" s="1847"/>
      <c r="N687" s="1847"/>
      <c r="O687" s="1840"/>
      <c r="P687" s="1840"/>
      <c r="Q687" s="1840"/>
      <c r="R687" s="285"/>
      <c r="S687" s="285"/>
      <c r="T687" s="1854"/>
      <c r="U687" s="1854"/>
      <c r="V687" s="1854"/>
      <c r="W687" s="1854"/>
    </row>
    <row r="688" spans="1:23" ht="48.75" customHeight="1" x14ac:dyDescent="0.25">
      <c r="A688" s="1405"/>
      <c r="B688" s="1399"/>
      <c r="C688" s="1407"/>
      <c r="D688" s="1407"/>
      <c r="E688" s="1407"/>
      <c r="F688" s="1400"/>
      <c r="G688" s="1402" t="s">
        <v>1452</v>
      </c>
      <c r="H688" s="1402" t="s">
        <v>3537</v>
      </c>
      <c r="I688" s="814" t="s">
        <v>3635</v>
      </c>
      <c r="J688" s="149">
        <f>0.16*0.9</f>
        <v>0.14400000000000002</v>
      </c>
      <c r="K688" s="149"/>
      <c r="L688" s="149"/>
      <c r="M688" s="1847"/>
      <c r="N688" s="1847"/>
      <c r="O688" s="1840"/>
      <c r="P688" s="1840"/>
      <c r="Q688" s="1840"/>
      <c r="R688" s="285"/>
      <c r="S688" s="285"/>
      <c r="T688" s="1854"/>
      <c r="U688" s="1854"/>
      <c r="V688" s="1854"/>
      <c r="W688" s="1854"/>
    </row>
    <row r="689" spans="1:23" ht="48.75" customHeight="1" x14ac:dyDescent="0.25">
      <c r="A689" s="1648"/>
      <c r="B689" s="1631"/>
      <c r="C689" s="1635"/>
      <c r="D689" s="1635"/>
      <c r="E689" s="1635"/>
      <c r="F689" s="1637"/>
      <c r="G689" s="2820"/>
      <c r="H689" s="2821"/>
      <c r="I689" s="2822"/>
      <c r="J689" s="149"/>
      <c r="K689" s="149"/>
      <c r="L689" s="149"/>
      <c r="M689" s="1847"/>
      <c r="N689" s="1847"/>
      <c r="O689" s="1840"/>
      <c r="P689" s="1840"/>
      <c r="Q689" s="1840"/>
      <c r="R689" s="285"/>
      <c r="S689" s="285"/>
      <c r="T689" s="1854"/>
      <c r="U689" s="1854"/>
      <c r="V689" s="1854"/>
      <c r="W689" s="1854"/>
    </row>
    <row r="690" spans="1:23" ht="48.75" customHeight="1" x14ac:dyDescent="0.25">
      <c r="A690" s="1756"/>
      <c r="B690" s="1741"/>
      <c r="C690" s="1742"/>
      <c r="D690" s="1742"/>
      <c r="E690" s="1742"/>
      <c r="F690" s="1743"/>
      <c r="G690" s="1755" t="s">
        <v>3301</v>
      </c>
      <c r="H690" s="1755" t="s">
        <v>16661</v>
      </c>
      <c r="I690" s="1733" t="s">
        <v>16885</v>
      </c>
      <c r="J690" s="1733">
        <f>(0.4-0.043)*0.9</f>
        <v>0.32130000000000003</v>
      </c>
      <c r="K690" s="149"/>
      <c r="L690" s="149"/>
      <c r="M690" s="1847"/>
      <c r="N690" s="1847"/>
      <c r="O690" s="1840"/>
      <c r="P690" s="1840"/>
      <c r="Q690" s="1840"/>
      <c r="R690" s="285"/>
      <c r="S690" s="285"/>
      <c r="T690" s="1854"/>
      <c r="U690" s="1854"/>
      <c r="V690" s="1854"/>
      <c r="W690" s="1854"/>
    </row>
    <row r="691" spans="1:23" ht="48.75" customHeight="1" x14ac:dyDescent="0.25">
      <c r="A691" s="2019"/>
      <c r="B691" s="2004"/>
      <c r="C691" s="2005"/>
      <c r="D691" s="2005"/>
      <c r="E691" s="2005"/>
      <c r="F691" s="2006"/>
      <c r="G691" s="2767" t="s">
        <v>17005</v>
      </c>
      <c r="H691" s="2767"/>
      <c r="I691" s="2767"/>
      <c r="J691" s="2767"/>
      <c r="K691" s="2767"/>
      <c r="L691" s="2768"/>
      <c r="M691" s="642"/>
      <c r="N691" s="564"/>
      <c r="O691" s="2020"/>
      <c r="P691" s="2020"/>
      <c r="Q691" s="2014"/>
      <c r="R691" s="2036"/>
      <c r="S691" s="2037"/>
      <c r="T691" s="2024"/>
      <c r="U691" s="149"/>
      <c r="V691" s="149"/>
      <c r="W691" s="149"/>
    </row>
    <row r="692" spans="1:23" ht="48.75" customHeight="1" x14ac:dyDescent="0.25">
      <c r="A692" s="2019"/>
      <c r="B692" s="2004"/>
      <c r="C692" s="2005"/>
      <c r="D692" s="2005"/>
      <c r="E692" s="2005"/>
      <c r="F692" s="2006"/>
      <c r="G692" s="1995" t="s">
        <v>15341</v>
      </c>
      <c r="H692" s="1995" t="s">
        <v>16930</v>
      </c>
      <c r="I692" s="2015" t="s">
        <v>17076</v>
      </c>
      <c r="J692" s="2020">
        <f>0.15*0.9</f>
        <v>0.13500000000000001</v>
      </c>
      <c r="K692" s="149"/>
      <c r="L692" s="149"/>
      <c r="M692" s="642"/>
      <c r="N692" s="564"/>
      <c r="O692" s="2020"/>
      <c r="P692" s="2020"/>
      <c r="Q692" s="2014"/>
      <c r="R692" s="2036"/>
      <c r="S692" s="2037"/>
      <c r="T692" s="2024"/>
      <c r="U692" s="149"/>
      <c r="V692" s="149"/>
      <c r="W692" s="149"/>
    </row>
    <row r="693" spans="1:23" ht="48.75" customHeight="1" x14ac:dyDescent="0.25">
      <c r="A693" s="2091"/>
      <c r="B693" s="2073"/>
      <c r="C693" s="2074"/>
      <c r="D693" s="2074"/>
      <c r="E693" s="2074"/>
      <c r="F693" s="2077"/>
      <c r="G693" s="2084" t="s">
        <v>16959</v>
      </c>
      <c r="H693" s="2084" t="s">
        <v>19881</v>
      </c>
      <c r="I693" s="2085" t="s">
        <v>19882</v>
      </c>
      <c r="J693" s="2090">
        <f>(0.586-0.256)*0.9</f>
        <v>0.29699999999999999</v>
      </c>
      <c r="K693" s="149"/>
      <c r="L693" s="149"/>
      <c r="M693" s="642"/>
      <c r="N693" s="564"/>
      <c r="O693" s="2090"/>
      <c r="P693" s="2090"/>
      <c r="Q693" s="2083"/>
      <c r="R693" s="2036"/>
      <c r="S693" s="2037"/>
      <c r="T693" s="2095"/>
      <c r="U693" s="149"/>
      <c r="V693" s="149"/>
      <c r="W693" s="149"/>
    </row>
    <row r="694" spans="1:23" ht="20.100000000000001" customHeight="1" thickBot="1" x14ac:dyDescent="0.3">
      <c r="A694" s="406"/>
      <c r="B694" s="395"/>
      <c r="C694" s="396"/>
      <c r="D694" s="396"/>
      <c r="E694" s="396"/>
      <c r="F694" s="397"/>
      <c r="G694" s="2636" t="s">
        <v>1833</v>
      </c>
      <c r="H694" s="2636"/>
      <c r="I694" s="2637"/>
      <c r="J694" s="136">
        <f>SUM(J688:J693)</f>
        <v>0.89729999999999999</v>
      </c>
      <c r="K694" s="183">
        <v>0.92</v>
      </c>
      <c r="L694" s="136">
        <f>J694/K694</f>
        <v>0.97532608695652168</v>
      </c>
      <c r="M694" s="2652" t="s">
        <v>1834</v>
      </c>
      <c r="N694" s="2637"/>
      <c r="O694" s="136">
        <f>SUM(O679:O681)</f>
        <v>0.51</v>
      </c>
      <c r="P694" s="183">
        <v>0.92</v>
      </c>
      <c r="Q694" s="275">
        <f>O694/P694</f>
        <v>0.55434782608695654</v>
      </c>
      <c r="R694" s="2652" t="s">
        <v>1833</v>
      </c>
      <c r="S694" s="2636"/>
      <c r="T694" s="2637"/>
      <c r="U694" s="136">
        <f>SUM(U679:U681)</f>
        <v>0</v>
      </c>
      <c r="V694" s="183">
        <v>0.92</v>
      </c>
      <c r="W694" s="136">
        <f>U694/V694</f>
        <v>0</v>
      </c>
    </row>
    <row r="695" spans="1:23" s="67" customFormat="1" ht="20.100000000000001" customHeight="1" x14ac:dyDescent="0.25">
      <c r="A695" s="2776" t="str">
        <f>Итоговая!C342</f>
        <v xml:space="preserve">ПС 35/6 кВ Кр. Луч  </v>
      </c>
      <c r="B695" s="2630">
        <f>Итоговая!D342</f>
        <v>2.5</v>
      </c>
      <c r="C695" s="2632" t="str">
        <f>Итоговая!E342</f>
        <v>+</v>
      </c>
      <c r="D695" s="2632">
        <f>Итоговая!F342</f>
        <v>3.2</v>
      </c>
      <c r="E695" s="400"/>
      <c r="F695" s="401"/>
      <c r="G695" s="2809" t="s">
        <v>1960</v>
      </c>
      <c r="H695" s="2809"/>
      <c r="I695" s="2809"/>
      <c r="J695" s="2809"/>
      <c r="K695" s="2809"/>
      <c r="L695" s="2774"/>
      <c r="M695" s="55"/>
      <c r="N695" s="199"/>
      <c r="O695" s="157"/>
      <c r="P695" s="157"/>
      <c r="Q695" s="157"/>
      <c r="R695" s="2812"/>
      <c r="S695" s="2813"/>
      <c r="T695" s="2813"/>
      <c r="U695" s="2813"/>
      <c r="V695" s="2813"/>
      <c r="W695" s="2795"/>
    </row>
    <row r="696" spans="1:23" ht="20.100000000000001" customHeight="1" x14ac:dyDescent="0.25">
      <c r="A696" s="2777"/>
      <c r="B696" s="2631"/>
      <c r="C696" s="2633"/>
      <c r="D696" s="2633"/>
      <c r="E696" s="404"/>
      <c r="F696" s="405"/>
      <c r="G696" s="184" t="s">
        <v>859</v>
      </c>
      <c r="H696" s="143" t="s">
        <v>1475</v>
      </c>
      <c r="I696" s="143" t="s">
        <v>1540</v>
      </c>
      <c r="J696" s="143">
        <v>0.03</v>
      </c>
      <c r="K696" s="143"/>
      <c r="L696" s="142"/>
      <c r="M696" s="142" t="s">
        <v>1541</v>
      </c>
      <c r="N696" s="142" t="s">
        <v>1542</v>
      </c>
      <c r="O696" s="53">
        <v>0.01</v>
      </c>
      <c r="P696" s="143"/>
      <c r="Q696" s="143"/>
      <c r="R696" s="142"/>
      <c r="S696" s="142"/>
      <c r="T696" s="142"/>
      <c r="U696" s="142"/>
      <c r="V696" s="142"/>
      <c r="W696" s="142"/>
    </row>
    <row r="697" spans="1:23" ht="20.100000000000001" customHeight="1" x14ac:dyDescent="0.25">
      <c r="A697" s="402"/>
      <c r="B697" s="403"/>
      <c r="C697" s="404"/>
      <c r="D697" s="404"/>
      <c r="E697" s="404"/>
      <c r="F697" s="405"/>
      <c r="G697" s="2802" t="s">
        <v>1959</v>
      </c>
      <c r="H697" s="2802"/>
      <c r="I697" s="2802"/>
      <c r="J697" s="2802"/>
      <c r="K697" s="2802"/>
      <c r="L697" s="2803"/>
      <c r="M697" s="142"/>
      <c r="N697" s="142"/>
      <c r="O697" s="53"/>
      <c r="P697" s="143"/>
      <c r="Q697" s="143"/>
      <c r="R697" s="2825"/>
      <c r="S697" s="2823"/>
      <c r="T697" s="2823"/>
      <c r="U697" s="2823"/>
      <c r="V697" s="2823"/>
      <c r="W697" s="2824"/>
    </row>
    <row r="698" spans="1:23" s="135" customFormat="1" ht="20.100000000000001" customHeight="1" x14ac:dyDescent="0.25">
      <c r="A698" s="402"/>
      <c r="B698" s="403"/>
      <c r="C698" s="404"/>
      <c r="D698" s="404"/>
      <c r="E698" s="404"/>
      <c r="F698" s="405"/>
      <c r="G698" s="153" t="s">
        <v>1543</v>
      </c>
      <c r="H698" s="143" t="s">
        <v>1544</v>
      </c>
      <c r="I698" s="143" t="s">
        <v>1545</v>
      </c>
      <c r="J698" s="143">
        <v>6.5000000000000002E-2</v>
      </c>
      <c r="K698" s="143"/>
      <c r="L698" s="142"/>
      <c r="M698" s="142" t="s">
        <v>1546</v>
      </c>
      <c r="N698" s="142" t="s">
        <v>1547</v>
      </c>
      <c r="O698" s="53">
        <v>0.03</v>
      </c>
      <c r="P698" s="143"/>
      <c r="Q698" s="143"/>
      <c r="R698" s="86"/>
      <c r="S698" s="142"/>
      <c r="T698" s="142"/>
      <c r="U698" s="142"/>
      <c r="V698" s="142"/>
      <c r="W698" s="142"/>
    </row>
    <row r="699" spans="1:23" s="135" customFormat="1" ht="20.100000000000001" customHeight="1" x14ac:dyDescent="0.25">
      <c r="A699" s="402"/>
      <c r="B699" s="403"/>
      <c r="C699" s="404"/>
      <c r="D699" s="404"/>
      <c r="E699" s="404"/>
      <c r="F699" s="405"/>
      <c r="G699" s="2802" t="s">
        <v>2032</v>
      </c>
      <c r="H699" s="2802"/>
      <c r="I699" s="2802"/>
      <c r="J699" s="2802"/>
      <c r="K699" s="2802"/>
      <c r="L699" s="2803"/>
      <c r="M699" s="142"/>
      <c r="N699" s="142"/>
      <c r="O699" s="293"/>
      <c r="P699" s="143"/>
      <c r="Q699" s="143"/>
      <c r="R699" s="2802">
        <v>2012</v>
      </c>
      <c r="S699" s="2802"/>
      <c r="T699" s="2802"/>
      <c r="U699" s="2802"/>
      <c r="V699" s="2802"/>
      <c r="W699" s="2803"/>
    </row>
    <row r="700" spans="1:23" ht="78" customHeight="1" x14ac:dyDescent="0.25">
      <c r="A700" s="402"/>
      <c r="B700" s="403"/>
      <c r="C700" s="404"/>
      <c r="D700" s="404"/>
      <c r="E700" s="404"/>
      <c r="F700" s="405"/>
      <c r="G700" s="184"/>
      <c r="H700" s="143"/>
      <c r="I700" s="214"/>
      <c r="J700" s="143"/>
      <c r="K700" s="143"/>
      <c r="L700" s="142"/>
      <c r="M700" s="143" t="s">
        <v>393</v>
      </c>
      <c r="N700" s="143" t="s">
        <v>394</v>
      </c>
      <c r="O700" s="153">
        <v>1.3640000000000001</v>
      </c>
      <c r="P700" s="143"/>
      <c r="Q700" s="143"/>
      <c r="R700" s="184" t="s">
        <v>1548</v>
      </c>
      <c r="S700" s="143" t="s">
        <v>1549</v>
      </c>
      <c r="T700" s="214" t="s">
        <v>2209</v>
      </c>
      <c r="U700" s="143">
        <v>0.2</v>
      </c>
      <c r="V700" s="143"/>
      <c r="W700" s="142"/>
    </row>
    <row r="701" spans="1:23" ht="20.100000000000001" customHeight="1" x14ac:dyDescent="0.25">
      <c r="A701" s="402"/>
      <c r="B701" s="403"/>
      <c r="C701" s="404"/>
      <c r="D701" s="404"/>
      <c r="E701" s="404"/>
      <c r="F701" s="405"/>
      <c r="G701" s="2802" t="s">
        <v>2477</v>
      </c>
      <c r="H701" s="2802"/>
      <c r="I701" s="2802"/>
      <c r="J701" s="2802"/>
      <c r="K701" s="2802"/>
      <c r="L701" s="2803"/>
      <c r="M701" s="154" t="s">
        <v>546</v>
      </c>
      <c r="N701" s="154" t="s">
        <v>1476</v>
      </c>
      <c r="O701" s="143">
        <v>0.05</v>
      </c>
      <c r="P701" s="143"/>
      <c r="Q701" s="143"/>
      <c r="R701" s="142"/>
      <c r="S701" s="142"/>
      <c r="T701" s="142"/>
      <c r="U701" s="142"/>
      <c r="V701" s="142"/>
      <c r="W701" s="142"/>
    </row>
    <row r="702" spans="1:23" ht="20.100000000000001" customHeight="1" x14ac:dyDescent="0.25">
      <c r="A702" s="803"/>
      <c r="B702" s="804"/>
      <c r="C702" s="805"/>
      <c r="D702" s="805"/>
      <c r="E702" s="805"/>
      <c r="F702" s="802"/>
      <c r="G702" s="154" t="s">
        <v>2896</v>
      </c>
      <c r="H702" s="154" t="s">
        <v>2905</v>
      </c>
      <c r="I702" s="143" t="s">
        <v>2974</v>
      </c>
      <c r="J702" s="143">
        <v>5.0599999999999999E-2</v>
      </c>
      <c r="K702" s="143"/>
      <c r="L702" s="142"/>
      <c r="M702" s="154" t="s">
        <v>3242</v>
      </c>
      <c r="N702" s="154" t="s">
        <v>3243</v>
      </c>
      <c r="O702" s="143">
        <v>0.1</v>
      </c>
      <c r="P702" s="143"/>
      <c r="Q702" s="143"/>
      <c r="R702" s="142"/>
      <c r="S702" s="142"/>
      <c r="T702" s="142"/>
      <c r="U702" s="142"/>
      <c r="V702" s="142"/>
      <c r="W702" s="142"/>
    </row>
    <row r="703" spans="1:23" ht="20.100000000000001" customHeight="1" x14ac:dyDescent="0.25">
      <c r="A703" s="803"/>
      <c r="B703" s="804"/>
      <c r="C703" s="805"/>
      <c r="D703" s="805"/>
      <c r="E703" s="805"/>
      <c r="F703" s="802"/>
      <c r="G703" s="154" t="s">
        <v>2896</v>
      </c>
      <c r="H703" s="154" t="s">
        <v>2901</v>
      </c>
      <c r="I703" s="143" t="s">
        <v>2976</v>
      </c>
      <c r="J703" s="143">
        <v>5.2600000000000001E-2</v>
      </c>
      <c r="K703" s="143"/>
      <c r="L703" s="142"/>
      <c r="M703" s="154"/>
      <c r="N703" s="154"/>
      <c r="O703" s="143"/>
      <c r="P703" s="151"/>
      <c r="Q703" s="151"/>
      <c r="R703" s="147"/>
      <c r="S703" s="365"/>
      <c r="T703" s="176"/>
      <c r="U703" s="149"/>
      <c r="V703" s="149"/>
      <c r="W703" s="149"/>
    </row>
    <row r="704" spans="1:23" ht="20.100000000000001" customHeight="1" x14ac:dyDescent="0.25">
      <c r="A704" s="870"/>
      <c r="B704" s="872"/>
      <c r="C704" s="873"/>
      <c r="D704" s="873"/>
      <c r="E704" s="873"/>
      <c r="F704" s="868"/>
      <c r="G704" s="2814"/>
      <c r="H704" s="2815"/>
      <c r="I704" s="2816"/>
      <c r="J704" s="151"/>
      <c r="K704" s="151"/>
      <c r="L704" s="149"/>
      <c r="M704" s="642"/>
      <c r="N704" s="564"/>
      <c r="O704" s="151"/>
      <c r="P704" s="151"/>
      <c r="Q704" s="151"/>
      <c r="R704" s="147"/>
      <c r="S704" s="365"/>
      <c r="T704" s="176"/>
      <c r="U704" s="149"/>
      <c r="V704" s="149"/>
      <c r="W704" s="149"/>
    </row>
    <row r="705" spans="1:23" ht="20.100000000000001" customHeight="1" x14ac:dyDescent="0.25">
      <c r="A705" s="1185"/>
      <c r="B705" s="1183"/>
      <c r="C705" s="1187"/>
      <c r="D705" s="1187"/>
      <c r="E705" s="1187"/>
      <c r="F705" s="1184"/>
      <c r="G705" s="2802" t="s">
        <v>3020</v>
      </c>
      <c r="H705" s="2802"/>
      <c r="I705" s="2802"/>
      <c r="J705" s="2802"/>
      <c r="K705" s="2802"/>
      <c r="L705" s="2803"/>
      <c r="M705" s="642"/>
      <c r="N705" s="564"/>
      <c r="O705" s="151"/>
      <c r="P705" s="151"/>
      <c r="Q705" s="151"/>
      <c r="R705" s="147"/>
      <c r="S705" s="365"/>
      <c r="T705" s="176"/>
      <c r="U705" s="149"/>
      <c r="V705" s="149"/>
      <c r="W705" s="149"/>
    </row>
    <row r="706" spans="1:23" ht="20.100000000000001" customHeight="1" x14ac:dyDescent="0.25">
      <c r="A706" s="1185"/>
      <c r="B706" s="1183"/>
      <c r="C706" s="1187"/>
      <c r="D706" s="1187"/>
      <c r="E706" s="1187"/>
      <c r="F706" s="1184"/>
      <c r="G706" s="2805"/>
      <c r="H706" s="2806"/>
      <c r="I706" s="2807"/>
      <c r="J706" s="149"/>
      <c r="K706" s="149"/>
      <c r="L706" s="149"/>
      <c r="M706" s="642"/>
      <c r="N706" s="564"/>
      <c r="O706" s="151"/>
      <c r="P706" s="151"/>
      <c r="Q706" s="151"/>
      <c r="R706" s="147"/>
      <c r="S706" s="365"/>
      <c r="T706" s="176"/>
      <c r="U706" s="149"/>
      <c r="V706" s="149"/>
      <c r="W706" s="149"/>
    </row>
    <row r="707" spans="1:23" ht="20.100000000000001" customHeight="1" x14ac:dyDescent="0.25">
      <c r="A707" s="1237"/>
      <c r="B707" s="1231"/>
      <c r="C707" s="1239"/>
      <c r="D707" s="1239"/>
      <c r="E707" s="1239"/>
      <c r="F707" s="1232"/>
      <c r="G707" s="2802" t="s">
        <v>3447</v>
      </c>
      <c r="H707" s="2802"/>
      <c r="I707" s="2802"/>
      <c r="J707" s="2802"/>
      <c r="K707" s="2802"/>
      <c r="L707" s="2803"/>
      <c r="M707" s="1685"/>
      <c r="N707" s="1685"/>
      <c r="O707" s="1668"/>
      <c r="P707" s="1668"/>
      <c r="Q707" s="1668"/>
      <c r="R707" s="1251"/>
      <c r="S707" s="1249"/>
      <c r="T707" s="1250"/>
      <c r="U707" s="149"/>
      <c r="V707" s="149"/>
      <c r="W707" s="149"/>
    </row>
    <row r="708" spans="1:23" ht="36.75" customHeight="1" x14ac:dyDescent="0.25">
      <c r="A708" s="1237"/>
      <c r="B708" s="1231"/>
      <c r="C708" s="1239"/>
      <c r="D708" s="1239"/>
      <c r="E708" s="1239"/>
      <c r="F708" s="1232"/>
      <c r="G708" s="642" t="s">
        <v>3409</v>
      </c>
      <c r="H708" s="564" t="s">
        <v>3414</v>
      </c>
      <c r="I708" s="702" t="s">
        <v>3449</v>
      </c>
      <c r="J708" s="149">
        <f>0.255*0.9</f>
        <v>0.22950000000000001</v>
      </c>
      <c r="K708" s="149"/>
      <c r="L708" s="149"/>
      <c r="M708" s="1685"/>
      <c r="N708" s="1685"/>
      <c r="O708" s="1668"/>
      <c r="P708" s="1668"/>
      <c r="Q708" s="1668"/>
      <c r="R708" s="1251"/>
      <c r="S708" s="1249"/>
      <c r="T708" s="1250"/>
      <c r="U708" s="149"/>
      <c r="V708" s="149"/>
      <c r="W708" s="149"/>
    </row>
    <row r="709" spans="1:23" ht="52.5" customHeight="1" x14ac:dyDescent="0.25">
      <c r="A709" s="1405"/>
      <c r="B709" s="1399"/>
      <c r="C709" s="1407"/>
      <c r="D709" s="1407"/>
      <c r="E709" s="1407"/>
      <c r="F709" s="1400"/>
      <c r="G709" s="1413" t="s">
        <v>3380</v>
      </c>
      <c r="H709" s="1413" t="s">
        <v>3381</v>
      </c>
      <c r="I709" s="702" t="s">
        <v>3636</v>
      </c>
      <c r="J709" s="149">
        <f>0.669*0.75</f>
        <v>0.50175000000000003</v>
      </c>
      <c r="K709" s="149"/>
      <c r="L709" s="149"/>
      <c r="M709" s="1668"/>
      <c r="N709" s="1685"/>
      <c r="O709" s="1668"/>
      <c r="P709" s="1668"/>
      <c r="Q709" s="1668"/>
      <c r="R709" s="1418"/>
      <c r="S709" s="1416"/>
      <c r="T709" s="1417"/>
      <c r="U709" s="149"/>
      <c r="V709" s="149"/>
      <c r="W709" s="149"/>
    </row>
    <row r="710" spans="1:23" ht="34.5" customHeight="1" x14ac:dyDescent="0.25">
      <c r="A710" s="1592"/>
      <c r="B710" s="1598"/>
      <c r="C710" s="1601"/>
      <c r="D710" s="1601"/>
      <c r="E710" s="1601"/>
      <c r="F710" s="1599"/>
      <c r="G710" s="2805"/>
      <c r="H710" s="2806"/>
      <c r="I710" s="2807"/>
      <c r="J710" s="149"/>
      <c r="K710" s="149"/>
      <c r="L710" s="149"/>
      <c r="M710" s="1668"/>
      <c r="N710" s="1685"/>
      <c r="O710" s="1668"/>
      <c r="P710" s="1668"/>
      <c r="Q710" s="1668"/>
      <c r="R710" s="1610"/>
      <c r="S710" s="1611"/>
      <c r="T710" s="1612"/>
      <c r="U710" s="149"/>
      <c r="V710" s="149"/>
      <c r="W710" s="149"/>
    </row>
    <row r="711" spans="1:23" ht="34.5" customHeight="1" x14ac:dyDescent="0.25">
      <c r="A711" s="1756"/>
      <c r="B711" s="1741"/>
      <c r="C711" s="1742"/>
      <c r="D711" s="1742"/>
      <c r="E711" s="1742"/>
      <c r="F711" s="1743"/>
      <c r="G711" s="642" t="s">
        <v>3561</v>
      </c>
      <c r="H711" s="564" t="s">
        <v>3560</v>
      </c>
      <c r="I711" s="1757" t="s">
        <v>16867</v>
      </c>
      <c r="J711" s="1757">
        <f>0.3*0.9</f>
        <v>0.27</v>
      </c>
      <c r="K711" s="149"/>
      <c r="L711" s="149"/>
      <c r="M711" s="1752"/>
      <c r="N711" s="564"/>
      <c r="O711" s="1757"/>
      <c r="P711" s="1757"/>
      <c r="Q711" s="1757"/>
      <c r="R711" s="1761"/>
      <c r="S711" s="1759"/>
      <c r="T711" s="1760"/>
      <c r="U711" s="149"/>
      <c r="V711" s="149"/>
      <c r="W711" s="149"/>
    </row>
    <row r="712" spans="1:23" ht="54.75" customHeight="1" x14ac:dyDescent="0.25">
      <c r="A712" s="1811"/>
      <c r="B712" s="1806"/>
      <c r="C712" s="1807"/>
      <c r="D712" s="1807"/>
      <c r="E712" s="1807"/>
      <c r="F712" s="1808"/>
      <c r="G712" s="642" t="s">
        <v>16677</v>
      </c>
      <c r="H712" s="564" t="s">
        <v>16754</v>
      </c>
      <c r="I712" s="1810" t="s">
        <v>16906</v>
      </c>
      <c r="J712" s="1812">
        <f>0.03*0.9</f>
        <v>2.7E-2</v>
      </c>
      <c r="K712" s="149"/>
      <c r="L712" s="149"/>
      <c r="M712" s="1809"/>
      <c r="N712" s="564"/>
      <c r="O712" s="1812"/>
      <c r="P712" s="1812"/>
      <c r="Q712" s="1812"/>
      <c r="R712" s="1815"/>
      <c r="S712" s="1813"/>
      <c r="T712" s="1814"/>
      <c r="U712" s="149"/>
      <c r="V712" s="149"/>
      <c r="W712" s="149"/>
    </row>
    <row r="713" spans="1:23" ht="54.75" customHeight="1" x14ac:dyDescent="0.25">
      <c r="A713" s="2091"/>
      <c r="B713" s="2073"/>
      <c r="C713" s="2074"/>
      <c r="D713" s="2074"/>
      <c r="E713" s="2074"/>
      <c r="F713" s="2077"/>
      <c r="G713" s="2802" t="s">
        <v>17005</v>
      </c>
      <c r="H713" s="2802"/>
      <c r="I713" s="2802"/>
      <c r="J713" s="2802"/>
      <c r="K713" s="2802"/>
      <c r="L713" s="2803"/>
      <c r="M713" s="2083"/>
      <c r="N713" s="564"/>
      <c r="O713" s="2090"/>
      <c r="P713" s="2090"/>
      <c r="Q713" s="2090"/>
      <c r="R713" s="2093"/>
      <c r="S713" s="2094"/>
      <c r="T713" s="2095"/>
      <c r="U713" s="149"/>
      <c r="V713" s="149"/>
      <c r="W713" s="149"/>
    </row>
    <row r="714" spans="1:23" ht="54.75" customHeight="1" x14ac:dyDescent="0.25">
      <c r="A714" s="2091"/>
      <c r="B714" s="2073"/>
      <c r="C714" s="2074"/>
      <c r="D714" s="2074"/>
      <c r="E714" s="2074"/>
      <c r="F714" s="2077"/>
      <c r="G714" s="2125" t="s">
        <v>19861</v>
      </c>
      <c r="H714" s="2125" t="s">
        <v>19862</v>
      </c>
      <c r="I714" s="2085" t="s">
        <v>19863</v>
      </c>
      <c r="J714" s="2090">
        <f>0.8*0.15</f>
        <v>0.12</v>
      </c>
      <c r="K714" s="149"/>
      <c r="L714" s="149"/>
      <c r="M714" s="2083"/>
      <c r="N714" s="564"/>
      <c r="O714" s="2090"/>
      <c r="P714" s="2090"/>
      <c r="Q714" s="2090"/>
      <c r="R714" s="2093"/>
      <c r="S714" s="2094"/>
      <c r="T714" s="2095"/>
      <c r="U714" s="149"/>
      <c r="V714" s="149"/>
      <c r="W714" s="149"/>
    </row>
    <row r="715" spans="1:23" ht="54.75" customHeight="1" x14ac:dyDescent="0.25">
      <c r="A715" s="2091"/>
      <c r="B715" s="2073"/>
      <c r="C715" s="2074"/>
      <c r="D715" s="2074"/>
      <c r="E715" s="2074"/>
      <c r="F715" s="2077"/>
      <c r="G715" s="2125" t="s">
        <v>19942</v>
      </c>
      <c r="H715" s="2125" t="s">
        <v>19943</v>
      </c>
      <c r="I715" s="2085" t="s">
        <v>19944</v>
      </c>
      <c r="J715" s="2090">
        <f>0.03*0.9</f>
        <v>2.7E-2</v>
      </c>
      <c r="K715" s="149"/>
      <c r="L715" s="149"/>
      <c r="M715" s="2083"/>
      <c r="N715" s="564"/>
      <c r="O715" s="2090"/>
      <c r="P715" s="2090"/>
      <c r="Q715" s="2090"/>
      <c r="R715" s="2093"/>
      <c r="S715" s="2094"/>
      <c r="T715" s="2095"/>
      <c r="U715" s="149"/>
      <c r="V715" s="149"/>
      <c r="W715" s="149"/>
    </row>
    <row r="716" spans="1:23" ht="20.100000000000001" customHeight="1" thickBot="1" x14ac:dyDescent="0.3">
      <c r="A716" s="406"/>
      <c r="B716" s="395"/>
      <c r="C716" s="396"/>
      <c r="D716" s="396"/>
      <c r="E716" s="396"/>
      <c r="F716" s="397"/>
      <c r="G716" s="2636" t="s">
        <v>1833</v>
      </c>
      <c r="H716" s="2636"/>
      <c r="I716" s="2637"/>
      <c r="J716" s="136">
        <f>SUM(J708:J715)</f>
        <v>1.1752499999999999</v>
      </c>
      <c r="K716" s="183">
        <v>0.92</v>
      </c>
      <c r="L716" s="136">
        <f>J716/K716</f>
        <v>1.2774456521739128</v>
      </c>
      <c r="M716" s="2652" t="s">
        <v>1834</v>
      </c>
      <c r="N716" s="2637"/>
      <c r="O716" s="136">
        <f>SUM(O696:O706)</f>
        <v>1.5540000000000003</v>
      </c>
      <c r="P716" s="183">
        <v>0.92</v>
      </c>
      <c r="Q716" s="136">
        <f>O716/P716</f>
        <v>1.6891304347826088</v>
      </c>
      <c r="R716" s="2652" t="s">
        <v>1833</v>
      </c>
      <c r="S716" s="2636"/>
      <c r="T716" s="2637"/>
      <c r="U716" s="136">
        <f>SUM(U696:U701)</f>
        <v>0.2</v>
      </c>
      <c r="V716" s="183">
        <v>0.92</v>
      </c>
      <c r="W716" s="136">
        <f>U716/V716</f>
        <v>0.21739130434782608</v>
      </c>
    </row>
    <row r="717" spans="1:23" s="18" customFormat="1" ht="20.100000000000001" customHeight="1" x14ac:dyDescent="0.25">
      <c r="A717" s="407" t="str">
        <f>Итоговая!C343</f>
        <v xml:space="preserve">ПС 35/6 кВ Мелково  </v>
      </c>
      <c r="B717" s="399">
        <f>Итоговая!D343</f>
        <v>1.6</v>
      </c>
      <c r="C717" s="400" t="str">
        <f>Итоговая!E343</f>
        <v>+</v>
      </c>
      <c r="D717" s="400">
        <f>Итоговая!F343</f>
        <v>2.5</v>
      </c>
      <c r="E717" s="400"/>
      <c r="F717" s="401"/>
      <c r="G717" s="2802" t="s">
        <v>2477</v>
      </c>
      <c r="H717" s="2802"/>
      <c r="I717" s="2802"/>
      <c r="J717" s="2802"/>
      <c r="K717" s="2802"/>
      <c r="L717" s="2803"/>
      <c r="M717" s="1501"/>
      <c r="O717" s="153"/>
      <c r="P717" s="143"/>
      <c r="Q717" s="143"/>
      <c r="R717" s="2"/>
      <c r="S717" s="2"/>
      <c r="T717" s="2"/>
      <c r="U717" s="2"/>
      <c r="V717" s="143"/>
      <c r="W717" s="142"/>
    </row>
    <row r="718" spans="1:23" s="18" customFormat="1" ht="20.100000000000001" customHeight="1" x14ac:dyDescent="0.25">
      <c r="A718" s="402"/>
      <c r="B718" s="403"/>
      <c r="C718" s="404"/>
      <c r="D718" s="404"/>
      <c r="E718" s="404"/>
      <c r="F718" s="405"/>
      <c r="G718" s="2814"/>
      <c r="H718" s="2815"/>
      <c r="I718" s="2816"/>
      <c r="J718" s="2"/>
      <c r="K718" s="143"/>
      <c r="L718" s="142"/>
      <c r="M718" s="1549" t="s">
        <v>16729</v>
      </c>
      <c r="N718" s="1549" t="s">
        <v>17004</v>
      </c>
      <c r="O718" s="153">
        <v>0.2</v>
      </c>
      <c r="P718" s="143"/>
      <c r="Q718" s="143"/>
      <c r="R718" s="2"/>
      <c r="S718" s="2"/>
      <c r="T718" s="2"/>
      <c r="U718" s="2"/>
      <c r="V718" s="143"/>
      <c r="W718" s="142"/>
    </row>
    <row r="719" spans="1:23" s="18" customFormat="1" ht="20.100000000000001" customHeight="1" x14ac:dyDescent="0.25">
      <c r="A719" s="1185"/>
      <c r="B719" s="1183"/>
      <c r="C719" s="1187"/>
      <c r="D719" s="1187"/>
      <c r="E719" s="1187"/>
      <c r="F719" s="1184"/>
      <c r="G719" s="2802" t="s">
        <v>3019</v>
      </c>
      <c r="H719" s="2802"/>
      <c r="I719" s="2802"/>
      <c r="J719" s="2802"/>
      <c r="K719" s="2802"/>
      <c r="L719" s="2803"/>
      <c r="M719" s="153"/>
      <c r="N719" s="153"/>
      <c r="O719" s="153"/>
      <c r="P719" s="151"/>
      <c r="Q719" s="151"/>
      <c r="R719" s="812"/>
      <c r="S719" s="203"/>
      <c r="T719" s="121"/>
      <c r="U719" s="70"/>
      <c r="V719" s="151"/>
      <c r="W719" s="149"/>
    </row>
    <row r="720" spans="1:23" s="18" customFormat="1" ht="39.75" customHeight="1" x14ac:dyDescent="0.25">
      <c r="A720" s="1185"/>
      <c r="B720" s="1183"/>
      <c r="C720" s="1187"/>
      <c r="D720" s="1187"/>
      <c r="E720" s="1187"/>
      <c r="F720" s="1184"/>
      <c r="G720" s="2805"/>
      <c r="H720" s="2806"/>
      <c r="I720" s="2807"/>
      <c r="J720" s="149"/>
      <c r="K720" s="149"/>
      <c r="L720" s="149"/>
      <c r="M720" s="153"/>
      <c r="N720" s="153"/>
      <c r="O720" s="153"/>
      <c r="P720" s="151"/>
      <c r="Q720" s="151"/>
      <c r="R720" s="812"/>
      <c r="S720" s="203"/>
      <c r="T720" s="121"/>
      <c r="U720" s="70"/>
      <c r="V720" s="151"/>
      <c r="W720" s="149"/>
    </row>
    <row r="721" spans="1:23" s="18" customFormat="1" ht="24" customHeight="1" x14ac:dyDescent="0.25">
      <c r="A721" s="1572"/>
      <c r="B721" s="1567"/>
      <c r="C721" s="1573"/>
      <c r="D721" s="1573"/>
      <c r="E721" s="1573"/>
      <c r="F721" s="1568"/>
      <c r="G721" s="2802" t="s">
        <v>3405</v>
      </c>
      <c r="H721" s="2802"/>
      <c r="I721" s="2802"/>
      <c r="J721" s="2802"/>
      <c r="K721" s="2802"/>
      <c r="L721" s="2803"/>
      <c r="M721" s="1566"/>
      <c r="N721" s="1566"/>
      <c r="O721" s="1566"/>
      <c r="P721" s="1569"/>
      <c r="Q721" s="1569"/>
      <c r="R721" s="812"/>
      <c r="S721" s="203"/>
      <c r="T721" s="121"/>
      <c r="U721" s="70"/>
      <c r="V721" s="1569"/>
      <c r="W721" s="149"/>
    </row>
    <row r="722" spans="1:23" s="18" customFormat="1" ht="39.75" customHeight="1" x14ac:dyDescent="0.25">
      <c r="A722" s="1572"/>
      <c r="B722" s="1567"/>
      <c r="C722" s="1573"/>
      <c r="D722" s="1573"/>
      <c r="E722" s="1573"/>
      <c r="F722" s="1568"/>
      <c r="G722" s="1697" t="s">
        <v>15334</v>
      </c>
      <c r="H722" s="1696" t="s">
        <v>16847</v>
      </c>
      <c r="I722" s="81" t="s">
        <v>16848</v>
      </c>
      <c r="J722" s="1697">
        <f>(0.35-0.2)*0.9</f>
        <v>0.13499999999999998</v>
      </c>
      <c r="K722" s="1721"/>
      <c r="L722" s="1721"/>
      <c r="M722" s="1566"/>
      <c r="N722" s="1566"/>
      <c r="O722" s="1566"/>
      <c r="P722" s="1569"/>
      <c r="Q722" s="1569"/>
      <c r="R722" s="812"/>
      <c r="S722" s="203"/>
      <c r="T722" s="121"/>
      <c r="U722" s="70"/>
      <c r="V722" s="1569"/>
      <c r="W722" s="149"/>
    </row>
    <row r="723" spans="1:23" s="18" customFormat="1" ht="39.75" customHeight="1" x14ac:dyDescent="0.25">
      <c r="A723" s="2159"/>
      <c r="B723" s="2142"/>
      <c r="C723" s="2143"/>
      <c r="D723" s="2143"/>
      <c r="E723" s="2143"/>
      <c r="F723" s="2144"/>
      <c r="G723" s="2802" t="s">
        <v>17067</v>
      </c>
      <c r="H723" s="2802"/>
      <c r="I723" s="2802"/>
      <c r="J723" s="2802"/>
      <c r="K723" s="2802"/>
      <c r="L723" s="2803"/>
      <c r="M723" s="2139"/>
      <c r="N723" s="2139"/>
      <c r="O723" s="2139"/>
      <c r="P723" s="2157"/>
      <c r="Q723" s="2157"/>
      <c r="R723" s="812"/>
      <c r="S723" s="203"/>
      <c r="T723" s="121"/>
      <c r="U723" s="70"/>
      <c r="V723" s="2157"/>
      <c r="W723" s="149"/>
    </row>
    <row r="724" spans="1:23" s="18" customFormat="1" ht="39.75" customHeight="1" x14ac:dyDescent="0.25">
      <c r="A724" s="2159"/>
      <c r="B724" s="2142"/>
      <c r="C724" s="2143"/>
      <c r="D724" s="2143"/>
      <c r="E724" s="2143"/>
      <c r="F724" s="2144"/>
      <c r="G724" s="2149" t="s">
        <v>19957</v>
      </c>
      <c r="H724" s="2138" t="s">
        <v>19958</v>
      </c>
      <c r="I724" s="702" t="s">
        <v>19959</v>
      </c>
      <c r="J724" s="2157">
        <f>0.1*0.9</f>
        <v>9.0000000000000011E-2</v>
      </c>
      <c r="K724" s="149"/>
      <c r="L724" s="149"/>
      <c r="M724" s="2139"/>
      <c r="N724" s="2139"/>
      <c r="O724" s="2139"/>
      <c r="P724" s="2157"/>
      <c r="Q724" s="2157"/>
      <c r="R724" s="812"/>
      <c r="S724" s="203"/>
      <c r="T724" s="121"/>
      <c r="U724" s="70"/>
      <c r="V724" s="2157"/>
      <c r="W724" s="149"/>
    </row>
    <row r="725" spans="1:23" ht="20.100000000000001" customHeight="1" thickBot="1" x14ac:dyDescent="0.3">
      <c r="A725" s="406"/>
      <c r="B725" s="395"/>
      <c r="C725" s="396"/>
      <c r="D725" s="396"/>
      <c r="E725" s="396"/>
      <c r="F725" s="397"/>
      <c r="G725" s="2636" t="s">
        <v>1833</v>
      </c>
      <c r="H725" s="2636"/>
      <c r="I725" s="2637"/>
      <c r="J725" s="136">
        <f>SUM(J722:J724)</f>
        <v>0.22499999999999998</v>
      </c>
      <c r="K725" s="183">
        <v>0.92</v>
      </c>
      <c r="L725" s="136">
        <f>J725/K725</f>
        <v>0.24456521739130432</v>
      </c>
      <c r="M725" s="2652" t="s">
        <v>1834</v>
      </c>
      <c r="N725" s="2637"/>
      <c r="O725" s="136">
        <f>SUM(O717:O718)</f>
        <v>0.2</v>
      </c>
      <c r="P725" s="183">
        <v>0.92</v>
      </c>
      <c r="Q725" s="136">
        <f>O725/P725</f>
        <v>0.21739130434782608</v>
      </c>
      <c r="R725" s="2652" t="s">
        <v>1833</v>
      </c>
      <c r="S725" s="2636"/>
      <c r="T725" s="2637"/>
      <c r="U725" s="136">
        <f>SUM(U717:U718)</f>
        <v>0</v>
      </c>
      <c r="V725" s="183">
        <v>0.92</v>
      </c>
      <c r="W725" s="136">
        <f>U725/V725</f>
        <v>0</v>
      </c>
    </row>
    <row r="726" spans="1:23" s="67" customFormat="1" ht="20.100000000000001" customHeight="1" x14ac:dyDescent="0.25">
      <c r="A726" s="2776" t="str">
        <f>Итоговая!C344</f>
        <v xml:space="preserve">ПС 35/10 кВ Селихово </v>
      </c>
      <c r="B726" s="2630">
        <f>Итоговая!D344</f>
        <v>2.5</v>
      </c>
      <c r="C726" s="2632" t="str">
        <f>Итоговая!E344</f>
        <v>+</v>
      </c>
      <c r="D726" s="2632">
        <f>Итоговая!F344</f>
        <v>2.5</v>
      </c>
      <c r="E726" s="400"/>
      <c r="F726" s="401"/>
      <c r="G726" s="2808" t="s">
        <v>1963</v>
      </c>
      <c r="H726" s="2808"/>
      <c r="I726" s="2808"/>
      <c r="J726" s="2808"/>
      <c r="K726" s="2808"/>
      <c r="L726" s="2800"/>
      <c r="M726" s="147"/>
      <c r="N726" s="176"/>
      <c r="O726" s="149"/>
      <c r="P726" s="149"/>
      <c r="Q726" s="149"/>
      <c r="R726" s="2811"/>
      <c r="S726" s="2791"/>
      <c r="T726" s="2791"/>
      <c r="U726" s="2791"/>
      <c r="V726" s="2791"/>
      <c r="W726" s="2792"/>
    </row>
    <row r="727" spans="1:23" ht="41.25" customHeight="1" x14ac:dyDescent="0.25">
      <c r="A727" s="2777"/>
      <c r="B727" s="2631"/>
      <c r="C727" s="2633"/>
      <c r="D727" s="2633"/>
      <c r="E727" s="404"/>
      <c r="F727" s="405"/>
      <c r="G727" s="66" t="s">
        <v>1550</v>
      </c>
      <c r="H727" s="2" t="s">
        <v>1551</v>
      </c>
      <c r="I727" s="2" t="s">
        <v>1552</v>
      </c>
      <c r="J727" s="47">
        <v>0.3</v>
      </c>
      <c r="K727" s="143"/>
      <c r="L727" s="142"/>
      <c r="M727" s="143"/>
      <c r="N727" s="143"/>
      <c r="O727" s="143"/>
      <c r="P727" s="143"/>
      <c r="Q727" s="143"/>
      <c r="R727" s="142"/>
      <c r="S727" s="142"/>
      <c r="T727" s="142"/>
      <c r="U727" s="369"/>
      <c r="V727" s="142"/>
      <c r="W727" s="142"/>
    </row>
    <row r="728" spans="1:23" ht="21" customHeight="1" x14ac:dyDescent="0.25">
      <c r="A728" s="1185"/>
      <c r="B728" s="1183"/>
      <c r="C728" s="1187"/>
      <c r="D728" s="1187"/>
      <c r="E728" s="1187"/>
      <c r="F728" s="1184"/>
      <c r="G728" s="2802" t="s">
        <v>17067</v>
      </c>
      <c r="H728" s="2802"/>
      <c r="I728" s="2802"/>
      <c r="J728" s="2802"/>
      <c r="K728" s="2802"/>
      <c r="L728" s="2803"/>
      <c r="M728" s="146"/>
      <c r="N728" s="180"/>
      <c r="O728" s="151"/>
      <c r="P728" s="151"/>
      <c r="Q728" s="151"/>
      <c r="R728" s="147"/>
      <c r="S728" s="365"/>
      <c r="T728" s="176"/>
      <c r="U728" s="703"/>
      <c r="V728" s="149"/>
      <c r="W728" s="149"/>
    </row>
    <row r="729" spans="1:23" ht="41.25" customHeight="1" x14ac:dyDescent="0.25">
      <c r="A729" s="1185"/>
      <c r="B729" s="1183"/>
      <c r="C729" s="1187"/>
      <c r="D729" s="1187"/>
      <c r="E729" s="1187"/>
      <c r="F729" s="1184"/>
      <c r="G729" s="2038" t="s">
        <v>17079</v>
      </c>
      <c r="H729" s="2038" t="s">
        <v>17080</v>
      </c>
      <c r="I729" s="2038" t="s">
        <v>17081</v>
      </c>
      <c r="J729" s="2022">
        <f>(0.025-0.015)*0.9</f>
        <v>9.0000000000000028E-3</v>
      </c>
      <c r="K729" s="2022"/>
      <c r="L729" s="2022"/>
      <c r="M729" s="146"/>
      <c r="N729" s="180"/>
      <c r="O729" s="151"/>
      <c r="P729" s="151"/>
      <c r="Q729" s="151"/>
      <c r="R729" s="147"/>
      <c r="S729" s="365"/>
      <c r="T729" s="176"/>
      <c r="U729" s="703"/>
      <c r="V729" s="149"/>
      <c r="W729" s="149"/>
    </row>
    <row r="730" spans="1:23" ht="20.100000000000001" customHeight="1" thickBot="1" x14ac:dyDescent="0.3">
      <c r="A730" s="406"/>
      <c r="B730" s="395"/>
      <c r="C730" s="396"/>
      <c r="D730" s="396"/>
      <c r="E730" s="396"/>
      <c r="F730" s="397"/>
      <c r="G730" s="2716" t="s">
        <v>1833</v>
      </c>
      <c r="H730" s="2716"/>
      <c r="I730" s="2717"/>
      <c r="J730" s="181">
        <f>SUM(J729)</f>
        <v>9.0000000000000028E-3</v>
      </c>
      <c r="K730" s="151">
        <v>0.92</v>
      </c>
      <c r="L730" s="181">
        <f>J730/K730</f>
        <v>9.7826086956521764E-3</v>
      </c>
      <c r="M730" s="2715" t="s">
        <v>1834</v>
      </c>
      <c r="N730" s="2717"/>
      <c r="O730" s="181">
        <f>SUM(O727:O727)</f>
        <v>0</v>
      </c>
      <c r="P730" s="151">
        <v>0.92</v>
      </c>
      <c r="Q730" s="181">
        <f>O730/P730</f>
        <v>0</v>
      </c>
      <c r="R730" s="2715" t="s">
        <v>1833</v>
      </c>
      <c r="S730" s="2716"/>
      <c r="T730" s="2717"/>
      <c r="U730" s="181">
        <v>0</v>
      </c>
      <c r="V730" s="151">
        <v>0.92</v>
      </c>
      <c r="W730" s="181">
        <f>U730/V730</f>
        <v>0</v>
      </c>
    </row>
    <row r="731" spans="1:23" s="67" customFormat="1" ht="20.100000000000001" customHeight="1" x14ac:dyDescent="0.25">
      <c r="A731" s="2776" t="str">
        <f>Итоговая!C345</f>
        <v>ПС 35/10 кВ Мокшино</v>
      </c>
      <c r="B731" s="2630">
        <f>Итоговая!D345</f>
        <v>10</v>
      </c>
      <c r="C731" s="2632" t="str">
        <f>Итоговая!E345</f>
        <v>+</v>
      </c>
      <c r="D731" s="2632">
        <f>Итоговая!F345</f>
        <v>10</v>
      </c>
      <c r="E731" s="400"/>
      <c r="F731" s="401"/>
      <c r="G731" s="2808" t="s">
        <v>1959</v>
      </c>
      <c r="H731" s="2808"/>
      <c r="I731" s="2808"/>
      <c r="J731" s="2808"/>
      <c r="K731" s="2808"/>
      <c r="L731" s="2800"/>
      <c r="M731" s="133"/>
      <c r="N731" s="175"/>
      <c r="O731" s="77"/>
      <c r="P731" s="77"/>
      <c r="Q731" s="281"/>
      <c r="R731" s="2791"/>
      <c r="S731" s="2791"/>
      <c r="T731" s="2791"/>
      <c r="U731" s="2791"/>
      <c r="V731" s="2791"/>
      <c r="W731" s="2792"/>
    </row>
    <row r="732" spans="1:23" ht="51.75" customHeight="1" x14ac:dyDescent="0.25">
      <c r="A732" s="2777"/>
      <c r="B732" s="2631"/>
      <c r="C732" s="2633"/>
      <c r="D732" s="2633"/>
      <c r="E732" s="404"/>
      <c r="F732" s="405"/>
      <c r="G732" s="273" t="s">
        <v>1897</v>
      </c>
      <c r="H732" s="72" t="s">
        <v>1555</v>
      </c>
      <c r="I732" s="42" t="s">
        <v>1556</v>
      </c>
      <c r="J732" s="58">
        <v>0.67</v>
      </c>
      <c r="K732" s="42"/>
      <c r="L732" s="72"/>
      <c r="M732" s="1230" t="s">
        <v>1553</v>
      </c>
      <c r="N732" s="143" t="s">
        <v>1554</v>
      </c>
      <c r="O732" s="53">
        <v>0.33</v>
      </c>
      <c r="P732" s="42"/>
      <c r="Q732" s="286"/>
      <c r="R732" s="273"/>
      <c r="S732" s="72"/>
      <c r="T732" s="72"/>
      <c r="U732" s="375"/>
      <c r="V732" s="72"/>
      <c r="W732" s="72"/>
    </row>
    <row r="733" spans="1:23" s="18" customFormat="1" ht="73.5" customHeight="1" x14ac:dyDescent="0.25">
      <c r="A733" s="411"/>
      <c r="B733" s="403"/>
      <c r="C733" s="404"/>
      <c r="D733" s="404"/>
      <c r="E733" s="404"/>
      <c r="F733" s="405"/>
      <c r="G733" s="184" t="s">
        <v>1558</v>
      </c>
      <c r="H733" s="143" t="s">
        <v>1559</v>
      </c>
      <c r="I733" s="143" t="s">
        <v>2319</v>
      </c>
      <c r="J733" s="143">
        <v>0.08</v>
      </c>
      <c r="K733" s="143"/>
      <c r="L733" s="142"/>
      <c r="M733" s="143" t="s">
        <v>1553</v>
      </c>
      <c r="N733" s="53" t="s">
        <v>1557</v>
      </c>
      <c r="O733" s="53">
        <v>0.73</v>
      </c>
      <c r="P733" s="143"/>
      <c r="Q733" s="284"/>
      <c r="R733" s="267"/>
      <c r="S733" s="142"/>
      <c r="T733" s="142"/>
      <c r="U733" s="142"/>
      <c r="V733" s="142"/>
      <c r="W733" s="142"/>
    </row>
    <row r="734" spans="1:23" s="18" customFormat="1" ht="19.5" customHeight="1" x14ac:dyDescent="0.25">
      <c r="A734" s="411"/>
      <c r="B734" s="403"/>
      <c r="C734" s="404"/>
      <c r="D734" s="404"/>
      <c r="E734" s="404"/>
      <c r="F734" s="405"/>
      <c r="G734" s="2802" t="s">
        <v>2032</v>
      </c>
      <c r="H734" s="2802"/>
      <c r="I734" s="2802"/>
      <c r="J734" s="2802"/>
      <c r="K734" s="2802"/>
      <c r="L734" s="2803"/>
      <c r="M734" s="143" t="s">
        <v>1553</v>
      </c>
      <c r="N734" s="53" t="s">
        <v>1560</v>
      </c>
      <c r="O734" s="53">
        <v>0.04</v>
      </c>
      <c r="P734" s="143"/>
      <c r="Q734" s="284"/>
      <c r="R734" s="2823"/>
      <c r="S734" s="2823"/>
      <c r="T734" s="2823"/>
      <c r="U734" s="2823"/>
      <c r="V734" s="2823"/>
      <c r="W734" s="2824"/>
    </row>
    <row r="735" spans="1:23" s="18" customFormat="1" ht="163.5" customHeight="1" x14ac:dyDescent="0.25">
      <c r="A735" s="411"/>
      <c r="B735" s="403"/>
      <c r="C735" s="404"/>
      <c r="D735" s="404"/>
      <c r="E735" s="404"/>
      <c r="F735" s="405"/>
      <c r="G735" s="280" t="s">
        <v>1558</v>
      </c>
      <c r="H735" s="1436" t="s">
        <v>1483</v>
      </c>
      <c r="I735" s="143" t="s">
        <v>2247</v>
      </c>
      <c r="J735" s="143">
        <v>0.6</v>
      </c>
      <c r="K735" s="143"/>
      <c r="L735" s="142"/>
      <c r="M735" s="143" t="s">
        <v>1553</v>
      </c>
      <c r="N735" s="53" t="s">
        <v>1561</v>
      </c>
      <c r="O735" s="53">
        <v>0.05</v>
      </c>
      <c r="P735" s="143"/>
      <c r="Q735" s="284"/>
      <c r="R735" s="372"/>
      <c r="S735" s="81"/>
      <c r="T735" s="142"/>
      <c r="U735" s="142"/>
      <c r="V735" s="142"/>
      <c r="W735" s="142"/>
    </row>
    <row r="736" spans="1:23" s="18" customFormat="1" ht="142.5" customHeight="1" x14ac:dyDescent="0.25">
      <c r="A736" s="411"/>
      <c r="B736" s="403"/>
      <c r="C736" s="404"/>
      <c r="D736" s="404"/>
      <c r="E736" s="404"/>
      <c r="F736" s="405"/>
      <c r="G736" s="280" t="s">
        <v>1558</v>
      </c>
      <c r="H736" s="1436" t="s">
        <v>1483</v>
      </c>
      <c r="I736" s="143" t="s">
        <v>2248</v>
      </c>
      <c r="J736" s="143">
        <v>0.4</v>
      </c>
      <c r="K736" s="143"/>
      <c r="L736" s="142"/>
      <c r="M736" s="143" t="s">
        <v>1562</v>
      </c>
      <c r="N736" s="53" t="s">
        <v>1563</v>
      </c>
      <c r="O736" s="53">
        <v>1</v>
      </c>
      <c r="P736" s="143"/>
      <c r="Q736" s="284"/>
      <c r="R736" s="372"/>
      <c r="S736" s="81"/>
      <c r="T736" s="142"/>
      <c r="U736" s="142"/>
      <c r="V736" s="142"/>
      <c r="W736" s="142"/>
    </row>
    <row r="737" spans="1:23" s="18" customFormat="1" ht="150.75" customHeight="1" x14ac:dyDescent="0.25">
      <c r="A737" s="411"/>
      <c r="B737" s="403"/>
      <c r="C737" s="404"/>
      <c r="D737" s="404"/>
      <c r="E737" s="404"/>
      <c r="F737" s="405"/>
      <c r="G737" s="280" t="s">
        <v>1558</v>
      </c>
      <c r="H737" s="1436" t="s">
        <v>781</v>
      </c>
      <c r="I737" s="143" t="s">
        <v>2257</v>
      </c>
      <c r="J737" s="143">
        <v>0.6</v>
      </c>
      <c r="K737" s="143"/>
      <c r="L737" s="142"/>
      <c r="M737" s="142" t="s">
        <v>1564</v>
      </c>
      <c r="N737" s="142" t="s">
        <v>1565</v>
      </c>
      <c r="O737" s="143">
        <v>0.2</v>
      </c>
      <c r="P737" s="143"/>
      <c r="Q737" s="284"/>
      <c r="R737" s="372"/>
      <c r="S737" s="81"/>
      <c r="T737" s="142"/>
      <c r="U737" s="142"/>
      <c r="V737" s="142"/>
      <c r="W737" s="142"/>
    </row>
    <row r="738" spans="1:23" ht="50.25" customHeight="1" x14ac:dyDescent="0.25">
      <c r="A738" s="411"/>
      <c r="B738" s="403"/>
      <c r="C738" s="404"/>
      <c r="D738" s="404"/>
      <c r="E738" s="404"/>
      <c r="F738" s="405"/>
      <c r="G738" s="184" t="s">
        <v>51</v>
      </c>
      <c r="H738" s="143" t="s">
        <v>52</v>
      </c>
      <c r="I738" s="143" t="s">
        <v>2281</v>
      </c>
      <c r="J738" s="143">
        <v>2.5000000000000001E-2</v>
      </c>
      <c r="K738" s="143"/>
      <c r="L738" s="142"/>
      <c r="M738" s="143" t="s">
        <v>1566</v>
      </c>
      <c r="N738" s="143" t="s">
        <v>50</v>
      </c>
      <c r="O738" s="143">
        <v>0.25900000000000001</v>
      </c>
      <c r="P738" s="143"/>
      <c r="Q738" s="284"/>
      <c r="R738" s="267"/>
      <c r="S738" s="142"/>
      <c r="T738" s="142"/>
      <c r="U738" s="142"/>
      <c r="V738" s="142"/>
      <c r="W738" s="142"/>
    </row>
    <row r="739" spans="1:23" ht="24.75" customHeight="1" x14ac:dyDescent="0.25">
      <c r="A739" s="411"/>
      <c r="B739" s="706"/>
      <c r="C739" s="707"/>
      <c r="D739" s="707"/>
      <c r="E739" s="707"/>
      <c r="F739" s="704"/>
      <c r="G739" s="2802" t="s">
        <v>2477</v>
      </c>
      <c r="H739" s="2802"/>
      <c r="I739" s="2802"/>
      <c r="J739" s="2802"/>
      <c r="K739" s="2802"/>
      <c r="L739" s="2803"/>
      <c r="M739" s="1230" t="s">
        <v>2180</v>
      </c>
      <c r="N739" s="1434" t="s">
        <v>2181</v>
      </c>
      <c r="O739" s="143">
        <v>2.5000000000000001E-2</v>
      </c>
      <c r="P739" s="143"/>
      <c r="Q739" s="284"/>
      <c r="R739" s="267"/>
      <c r="S739" s="142"/>
      <c r="T739" s="142"/>
      <c r="U739" s="142"/>
      <c r="V739" s="142"/>
      <c r="W739" s="142"/>
    </row>
    <row r="740" spans="1:23" ht="71.25" customHeight="1" x14ac:dyDescent="0.25">
      <c r="A740" s="411"/>
      <c r="B740" s="403"/>
      <c r="C740" s="404"/>
      <c r="D740" s="404"/>
      <c r="E740" s="404"/>
      <c r="F740" s="405"/>
      <c r="G740" s="151" t="s">
        <v>2695</v>
      </c>
      <c r="H740" s="151" t="s">
        <v>2622</v>
      </c>
      <c r="I740" s="143" t="s">
        <v>2703</v>
      </c>
      <c r="J740" s="143">
        <v>0.31</v>
      </c>
      <c r="K740" s="143"/>
      <c r="L740" s="142"/>
      <c r="M740" s="143" t="s">
        <v>53</v>
      </c>
      <c r="N740" s="143" t="s">
        <v>54</v>
      </c>
      <c r="O740" s="143">
        <v>0.13700000000000001</v>
      </c>
      <c r="P740" s="143"/>
      <c r="Q740" s="284"/>
      <c r="R740" s="267"/>
      <c r="S740" s="142"/>
      <c r="T740" s="142"/>
      <c r="U740" s="142"/>
      <c r="V740" s="142"/>
      <c r="W740" s="142"/>
    </row>
    <row r="741" spans="1:23" ht="20.100000000000001" customHeight="1" x14ac:dyDescent="0.25">
      <c r="A741" s="411"/>
      <c r="B741" s="403"/>
      <c r="C741" s="404"/>
      <c r="D741" s="404"/>
      <c r="E741" s="404"/>
      <c r="F741" s="405"/>
      <c r="G741" s="1214"/>
      <c r="H741" s="1219"/>
      <c r="I741" s="1219"/>
      <c r="J741" s="1219"/>
      <c r="K741" s="1219"/>
      <c r="L741" s="1219"/>
      <c r="M741" s="143" t="s">
        <v>538</v>
      </c>
      <c r="N741" s="143" t="s">
        <v>539</v>
      </c>
      <c r="O741" s="143">
        <v>5.416E-2</v>
      </c>
      <c r="P741" s="143"/>
      <c r="Q741" s="284"/>
      <c r="R741" s="267"/>
      <c r="S741" s="142"/>
      <c r="T741" s="142"/>
      <c r="U741" s="142"/>
      <c r="V741" s="142"/>
      <c r="W741" s="142"/>
    </row>
    <row r="742" spans="1:23" ht="64.5" customHeight="1" x14ac:dyDescent="0.25">
      <c r="A742" s="411"/>
      <c r="B742" s="740"/>
      <c r="C742" s="741"/>
      <c r="D742" s="741"/>
      <c r="E742" s="741"/>
      <c r="F742" s="738"/>
      <c r="G742" s="2805"/>
      <c r="H742" s="2806"/>
      <c r="I742" s="2807"/>
      <c r="J742" s="149"/>
      <c r="K742" s="149"/>
      <c r="L742" s="149"/>
      <c r="M742" s="149"/>
      <c r="N742" s="149"/>
      <c r="O742" s="149"/>
      <c r="P742" s="149"/>
      <c r="Q742" s="287"/>
      <c r="R742" s="176"/>
      <c r="S742" s="149"/>
      <c r="T742" s="149"/>
      <c r="U742" s="149"/>
      <c r="V742" s="149"/>
      <c r="W742" s="149"/>
    </row>
    <row r="743" spans="1:23" ht="20.100000000000001" customHeight="1" x14ac:dyDescent="0.25">
      <c r="A743" s="411"/>
      <c r="B743" s="1014"/>
      <c r="C743" s="1018"/>
      <c r="D743" s="1018"/>
      <c r="E743" s="1018"/>
      <c r="F743" s="1015"/>
      <c r="G743" s="2802" t="s">
        <v>3020</v>
      </c>
      <c r="H743" s="2802"/>
      <c r="I743" s="2802"/>
      <c r="J743" s="2802"/>
      <c r="K743" s="2802"/>
      <c r="L743" s="2803"/>
      <c r="M743" s="149"/>
      <c r="N743" s="149"/>
      <c r="O743" s="149"/>
      <c r="P743" s="151"/>
      <c r="Q743" s="287"/>
      <c r="R743" s="176"/>
      <c r="S743" s="149"/>
      <c r="T743" s="149"/>
      <c r="U743" s="149"/>
      <c r="V743" s="149"/>
      <c r="W743" s="149"/>
    </row>
    <row r="744" spans="1:23" ht="144" customHeight="1" x14ac:dyDescent="0.25">
      <c r="A744" s="411"/>
      <c r="B744" s="1014"/>
      <c r="C744" s="1018"/>
      <c r="D744" s="1018"/>
      <c r="E744" s="1018"/>
      <c r="F744" s="1015"/>
      <c r="G744" s="151" t="s">
        <v>1558</v>
      </c>
      <c r="H744" s="151" t="s">
        <v>3112</v>
      </c>
      <c r="I744" s="564" t="s">
        <v>3135</v>
      </c>
      <c r="J744" s="151">
        <f>0.43*0.9</f>
        <v>0.38700000000000001</v>
      </c>
      <c r="K744" s="151"/>
      <c r="L744" s="149"/>
      <c r="M744" s="149"/>
      <c r="N744" s="149"/>
      <c r="O744" s="149"/>
      <c r="P744" s="151"/>
      <c r="Q744" s="287"/>
      <c r="R744" s="176"/>
      <c r="S744" s="149"/>
      <c r="T744" s="149"/>
      <c r="U744" s="149"/>
      <c r="V744" s="149"/>
      <c r="W744" s="149"/>
    </row>
    <row r="745" spans="1:23" ht="135" customHeight="1" x14ac:dyDescent="0.25">
      <c r="A745" s="411"/>
      <c r="B745" s="1056"/>
      <c r="C745" s="1060"/>
      <c r="D745" s="1060"/>
      <c r="E745" s="1060"/>
      <c r="F745" s="1057"/>
      <c r="G745" s="151" t="s">
        <v>1494</v>
      </c>
      <c r="H745" s="151" t="s">
        <v>3045</v>
      </c>
      <c r="I745" s="564" t="s">
        <v>3157</v>
      </c>
      <c r="J745" s="151">
        <f>0.0882*0.9</f>
        <v>7.9380000000000006E-2</v>
      </c>
      <c r="K745" s="151"/>
      <c r="L745" s="149"/>
      <c r="M745" s="303" t="s">
        <v>2788</v>
      </c>
      <c r="N745" s="303" t="s">
        <v>3316</v>
      </c>
      <c r="O745" s="303">
        <v>1.1000000000000001</v>
      </c>
      <c r="P745" s="151"/>
      <c r="Q745" s="287"/>
      <c r="R745" s="176"/>
      <c r="S745" s="149"/>
      <c r="T745" s="149"/>
      <c r="U745" s="149"/>
      <c r="V745" s="149"/>
      <c r="W745" s="149"/>
    </row>
    <row r="746" spans="1:23" ht="78" customHeight="1" x14ac:dyDescent="0.25">
      <c r="A746" s="411"/>
      <c r="B746" s="1162"/>
      <c r="C746" s="1166"/>
      <c r="D746" s="1166"/>
      <c r="E746" s="1166"/>
      <c r="F746" s="1163"/>
      <c r="G746" s="143" t="s">
        <v>3289</v>
      </c>
      <c r="H746" s="143" t="s">
        <v>3290</v>
      </c>
      <c r="I746" s="564" t="s">
        <v>3393</v>
      </c>
      <c r="J746" s="151">
        <f>0.6*0.9</f>
        <v>0.54</v>
      </c>
      <c r="K746" s="151"/>
      <c r="L746" s="149"/>
      <c r="M746" s="1233" t="s">
        <v>3439</v>
      </c>
      <c r="N746" s="1233" t="s">
        <v>3440</v>
      </c>
      <c r="O746" s="151">
        <v>0.16300000000000001</v>
      </c>
      <c r="P746" s="151"/>
      <c r="Q746" s="287"/>
      <c r="R746" s="176"/>
      <c r="S746" s="149"/>
      <c r="T746" s="149"/>
      <c r="U746" s="149"/>
      <c r="V746" s="149"/>
      <c r="W746" s="149"/>
    </row>
    <row r="747" spans="1:23" ht="54.75" customHeight="1" x14ac:dyDescent="0.25">
      <c r="A747" s="411"/>
      <c r="B747" s="1183"/>
      <c r="C747" s="1187"/>
      <c r="D747" s="1187"/>
      <c r="E747" s="1187"/>
      <c r="F747" s="1184"/>
      <c r="G747" s="2771"/>
      <c r="H747" s="2772"/>
      <c r="I747" s="2468"/>
      <c r="J747" s="149"/>
      <c r="K747" s="149"/>
      <c r="L747" s="149"/>
      <c r="M747" s="1313"/>
      <c r="N747" s="1313"/>
      <c r="O747" s="151"/>
      <c r="P747" s="151"/>
      <c r="Q747" s="287"/>
      <c r="R747" s="176"/>
      <c r="S747" s="149"/>
      <c r="T747" s="149"/>
      <c r="U747" s="149"/>
      <c r="V747" s="149"/>
      <c r="W747" s="149"/>
    </row>
    <row r="748" spans="1:23" ht="19.5" customHeight="1" x14ac:dyDescent="0.25">
      <c r="A748" s="411"/>
      <c r="B748" s="1336"/>
      <c r="C748" s="1339"/>
      <c r="D748" s="1339"/>
      <c r="E748" s="1339"/>
      <c r="F748" s="1337"/>
      <c r="G748" s="2802" t="s">
        <v>3447</v>
      </c>
      <c r="H748" s="2802"/>
      <c r="I748" s="2802"/>
      <c r="J748" s="2802"/>
      <c r="K748" s="2802"/>
      <c r="L748" s="2803"/>
      <c r="M748" s="1331"/>
      <c r="N748" s="1331"/>
      <c r="O748" s="1331"/>
      <c r="P748" s="1331"/>
      <c r="Q748" s="287"/>
      <c r="R748" s="1348"/>
      <c r="S748" s="149"/>
      <c r="T748" s="149"/>
      <c r="U748" s="149"/>
      <c r="V748" s="149"/>
      <c r="W748" s="149"/>
    </row>
    <row r="749" spans="1:23" ht="60.75" customHeight="1" x14ac:dyDescent="0.25">
      <c r="A749" s="411"/>
      <c r="B749" s="1311"/>
      <c r="C749" s="1318"/>
      <c r="D749" s="1318"/>
      <c r="E749" s="1318"/>
      <c r="F749" s="1312"/>
      <c r="G749" s="1333" t="s">
        <v>3278</v>
      </c>
      <c r="H749" s="1333" t="s">
        <v>3279</v>
      </c>
      <c r="I749" s="1348" t="s">
        <v>3579</v>
      </c>
      <c r="J749" s="149">
        <f>0.095*0.75</f>
        <v>7.1250000000000008E-2</v>
      </c>
      <c r="K749" s="149"/>
      <c r="L749" s="149"/>
      <c r="M749" s="1313" t="s">
        <v>3505</v>
      </c>
      <c r="N749" s="1313" t="s">
        <v>3506</v>
      </c>
      <c r="O749" s="1313">
        <v>0.1</v>
      </c>
      <c r="P749" s="1313"/>
      <c r="Q749" s="287"/>
      <c r="R749" s="1324"/>
      <c r="S749" s="149"/>
      <c r="T749" s="149"/>
      <c r="U749" s="149"/>
      <c r="V749" s="149"/>
      <c r="W749" s="149"/>
    </row>
    <row r="750" spans="1:23" ht="54.75" customHeight="1" x14ac:dyDescent="0.25">
      <c r="A750" s="411"/>
      <c r="B750" s="1399"/>
      <c r="C750" s="1407"/>
      <c r="D750" s="1407"/>
      <c r="E750" s="1407"/>
      <c r="F750" s="1400"/>
      <c r="G750" s="1401" t="s">
        <v>3503</v>
      </c>
      <c r="H750" s="1401" t="s">
        <v>3504</v>
      </c>
      <c r="I750" s="1417" t="s">
        <v>3641</v>
      </c>
      <c r="J750" s="149">
        <f>0.06*0.9</f>
        <v>5.3999999999999999E-2</v>
      </c>
      <c r="K750" s="149"/>
      <c r="L750" s="149"/>
      <c r="M750" s="1552"/>
      <c r="N750" s="1552"/>
      <c r="O750" s="1401"/>
      <c r="P750" s="1401"/>
      <c r="Q750" s="287"/>
      <c r="R750" s="1417"/>
      <c r="S750" s="149"/>
      <c r="T750" s="149"/>
      <c r="U750" s="149"/>
      <c r="V750" s="149"/>
      <c r="W750" s="149"/>
    </row>
    <row r="751" spans="1:23" ht="54.75" customHeight="1" x14ac:dyDescent="0.25">
      <c r="A751" s="411"/>
      <c r="B751" s="1532"/>
      <c r="C751" s="1535"/>
      <c r="D751" s="1535"/>
      <c r="E751" s="1535"/>
      <c r="F751" s="1533"/>
      <c r="G751" s="1526" t="s">
        <v>1558</v>
      </c>
      <c r="H751" s="1526" t="s">
        <v>15342</v>
      </c>
      <c r="I751" s="1543" t="s">
        <v>16649</v>
      </c>
      <c r="J751" s="149">
        <f>0.17*0.75</f>
        <v>0.1275</v>
      </c>
      <c r="K751" s="149"/>
      <c r="L751" s="149"/>
      <c r="M751" s="1552" t="s">
        <v>3278</v>
      </c>
      <c r="N751" s="1552" t="s">
        <v>16953</v>
      </c>
      <c r="O751" s="1526">
        <f>0.095</f>
        <v>9.5000000000000001E-2</v>
      </c>
      <c r="P751" s="1526"/>
      <c r="Q751" s="287"/>
      <c r="R751" s="1543"/>
      <c r="S751" s="149"/>
      <c r="T751" s="149"/>
      <c r="U751" s="149"/>
      <c r="V751" s="149"/>
      <c r="W751" s="149"/>
    </row>
    <row r="752" spans="1:23" ht="54.75" customHeight="1" x14ac:dyDescent="0.25">
      <c r="A752" s="411"/>
      <c r="B752" s="1550"/>
      <c r="C752" s="1557"/>
      <c r="D752" s="1557"/>
      <c r="E752" s="1557"/>
      <c r="F752" s="1551"/>
      <c r="G752" s="2784" t="s">
        <v>3401</v>
      </c>
      <c r="H752" s="2785"/>
      <c r="I752" s="2786"/>
      <c r="J752" s="775">
        <f>0.172*0.9</f>
        <v>0.15479999999999999</v>
      </c>
      <c r="K752" s="149"/>
      <c r="L752" s="149"/>
      <c r="M752" s="1834" t="s">
        <v>16971</v>
      </c>
      <c r="N752" s="1834" t="s">
        <v>16972</v>
      </c>
      <c r="O752" s="1834">
        <v>0.63</v>
      </c>
      <c r="P752" s="1552"/>
      <c r="Q752" s="287"/>
      <c r="R752" s="1562"/>
      <c r="S752" s="149"/>
      <c r="T752" s="149"/>
      <c r="U752" s="149"/>
      <c r="V752" s="149"/>
      <c r="W752" s="149"/>
    </row>
    <row r="753" spans="1:23" ht="54.75" customHeight="1" x14ac:dyDescent="0.25">
      <c r="A753" s="411"/>
      <c r="B753" s="1741"/>
      <c r="C753" s="1742"/>
      <c r="D753" s="1742"/>
      <c r="E753" s="1742"/>
      <c r="F753" s="1743"/>
      <c r="G753" s="1757" t="s">
        <v>3278</v>
      </c>
      <c r="H753" s="1757" t="s">
        <v>16678</v>
      </c>
      <c r="I753" s="1760" t="s">
        <v>16856</v>
      </c>
      <c r="J753" s="1757">
        <f>(0.16-0.095)*0.75</f>
        <v>4.8750000000000002E-2</v>
      </c>
      <c r="K753" s="149"/>
      <c r="L753" s="149"/>
      <c r="M753" s="1757" t="s">
        <v>1558</v>
      </c>
      <c r="N753" s="1757" t="s">
        <v>17001</v>
      </c>
      <c r="O753" s="1757">
        <v>0.4</v>
      </c>
      <c r="P753" s="1757"/>
      <c r="Q753" s="287"/>
      <c r="R753" s="1760"/>
      <c r="S753" s="149"/>
      <c r="T753" s="149"/>
      <c r="U753" s="149"/>
      <c r="V753" s="149"/>
      <c r="W753" s="149"/>
    </row>
    <row r="754" spans="1:23" ht="54.75" customHeight="1" x14ac:dyDescent="0.25">
      <c r="A754" s="411"/>
      <c r="B754" s="1741"/>
      <c r="C754" s="1742"/>
      <c r="D754" s="1742"/>
      <c r="E754" s="1742"/>
      <c r="F754" s="1743"/>
      <c r="G754" s="1757"/>
      <c r="H754" s="1757"/>
      <c r="I754" s="1760"/>
      <c r="J754" s="149"/>
      <c r="K754" s="149"/>
      <c r="L754" s="149"/>
      <c r="M754" s="1757"/>
      <c r="N754" s="1757"/>
      <c r="O754" s="1757"/>
      <c r="P754" s="1757"/>
      <c r="Q754" s="287"/>
      <c r="R754" s="2235" t="s">
        <v>3278</v>
      </c>
      <c r="S754" s="2235" t="s">
        <v>16678</v>
      </c>
      <c r="T754" s="2244" t="s">
        <v>20046</v>
      </c>
      <c r="U754" s="149">
        <f>0.095*0.75</f>
        <v>7.1250000000000008E-2</v>
      </c>
      <c r="V754" s="149"/>
      <c r="W754" s="149"/>
    </row>
    <row r="755" spans="1:23" ht="54.75" customHeight="1" x14ac:dyDescent="0.25">
      <c r="A755" s="411"/>
      <c r="B755" s="1741"/>
      <c r="C755" s="1742"/>
      <c r="D755" s="1742"/>
      <c r="E755" s="1742"/>
      <c r="F755" s="1743"/>
      <c r="G755" s="1757" t="s">
        <v>16688</v>
      </c>
      <c r="H755" s="1757" t="s">
        <v>16689</v>
      </c>
      <c r="I755" s="1757" t="s">
        <v>16878</v>
      </c>
      <c r="J755" s="149">
        <f>0.05*0.9</f>
        <v>4.5000000000000005E-2</v>
      </c>
      <c r="K755" s="149"/>
      <c r="L755" s="149"/>
      <c r="M755" s="1948"/>
      <c r="N755" s="1948"/>
      <c r="O755" s="1967"/>
      <c r="P755" s="1963"/>
      <c r="Q755" s="287"/>
      <c r="R755" s="1760"/>
      <c r="S755" s="149"/>
      <c r="T755" s="149"/>
      <c r="U755" s="149"/>
      <c r="V755" s="149"/>
      <c r="W755" s="149"/>
    </row>
    <row r="756" spans="1:23" ht="54.75" customHeight="1" x14ac:dyDescent="0.25">
      <c r="A756" s="411"/>
      <c r="B756" s="1952"/>
      <c r="C756" s="1953"/>
      <c r="D756" s="1953"/>
      <c r="E756" s="1953"/>
      <c r="F756" s="1957"/>
      <c r="G756" s="1948" t="s">
        <v>2788</v>
      </c>
      <c r="H756" s="1948" t="s">
        <v>2909</v>
      </c>
      <c r="I756" s="1967" t="s">
        <v>3500</v>
      </c>
      <c r="J756" s="1963">
        <f>2.01*0.5</f>
        <v>1.0049999999999999</v>
      </c>
      <c r="K756" s="1966"/>
      <c r="L756" s="1967"/>
      <c r="M756" s="1963"/>
      <c r="N756" s="1963"/>
      <c r="O756" s="1967"/>
      <c r="P756" s="1963"/>
      <c r="Q756" s="287"/>
      <c r="R756" s="1967"/>
      <c r="S756" s="149"/>
      <c r="T756" s="149"/>
      <c r="U756" s="149"/>
      <c r="V756" s="149"/>
      <c r="W756" s="149"/>
    </row>
    <row r="757" spans="1:23" ht="24.75" customHeight="1" x14ac:dyDescent="0.25">
      <c r="A757" s="411"/>
      <c r="B757" s="1871"/>
      <c r="C757" s="1872"/>
      <c r="D757" s="1872"/>
      <c r="E757" s="1872"/>
      <c r="F757" s="1876"/>
      <c r="G757" s="2802" t="s">
        <v>17005</v>
      </c>
      <c r="H757" s="2802"/>
      <c r="I757" s="2802"/>
      <c r="J757" s="2802"/>
      <c r="K757" s="2802"/>
      <c r="L757" s="2803"/>
      <c r="M757" s="1885"/>
      <c r="N757" s="1885"/>
      <c r="O757" s="1885"/>
      <c r="P757" s="1885"/>
      <c r="Q757" s="287"/>
      <c r="R757" s="1890"/>
      <c r="S757" s="149"/>
      <c r="T757" s="149"/>
      <c r="U757" s="149"/>
      <c r="V757" s="149"/>
      <c r="W757" s="149"/>
    </row>
    <row r="758" spans="1:23" ht="54.75" customHeight="1" x14ac:dyDescent="0.25">
      <c r="A758" s="411"/>
      <c r="B758" s="1871"/>
      <c r="C758" s="1872"/>
      <c r="D758" s="1872"/>
      <c r="E758" s="1872"/>
      <c r="F758" s="1876"/>
      <c r="G758" s="149" t="s">
        <v>1558</v>
      </c>
      <c r="H758" s="149" t="s">
        <v>16934</v>
      </c>
      <c r="I758" s="1885" t="s">
        <v>17015</v>
      </c>
      <c r="J758" s="149">
        <f>0.25*0.9</f>
        <v>0.22500000000000001</v>
      </c>
      <c r="K758" s="149"/>
      <c r="L758" s="149"/>
      <c r="M758" s="1885"/>
      <c r="N758" s="1885"/>
      <c r="O758" s="1885"/>
      <c r="P758" s="1885"/>
      <c r="Q758" s="287"/>
      <c r="R758" s="1890"/>
      <c r="S758" s="149"/>
      <c r="T758" s="149"/>
      <c r="U758" s="149"/>
      <c r="V758" s="149"/>
      <c r="W758" s="149"/>
    </row>
    <row r="759" spans="1:23" ht="54.75" customHeight="1" x14ac:dyDescent="0.25">
      <c r="A759" s="411"/>
      <c r="B759" s="2004"/>
      <c r="C759" s="2005"/>
      <c r="D759" s="2005"/>
      <c r="E759" s="2005"/>
      <c r="F759" s="2006"/>
      <c r="G759" s="2020" t="s">
        <v>3278</v>
      </c>
      <c r="H759" s="2020" t="s">
        <v>16917</v>
      </c>
      <c r="I759" s="2020" t="s">
        <v>17073</v>
      </c>
      <c r="J759" s="149">
        <f>0.55*0.9</f>
        <v>0.49500000000000005</v>
      </c>
      <c r="K759" s="149"/>
      <c r="L759" s="149"/>
      <c r="M759" s="2020"/>
      <c r="N759" s="2020"/>
      <c r="O759" s="2020"/>
      <c r="P759" s="2020"/>
      <c r="Q759" s="287"/>
      <c r="R759" s="2024"/>
      <c r="S759" s="149"/>
      <c r="T759" s="149"/>
      <c r="U759" s="149"/>
      <c r="V759" s="149"/>
      <c r="W759" s="149"/>
    </row>
    <row r="760" spans="1:23" ht="54.75" customHeight="1" x14ac:dyDescent="0.25">
      <c r="A760" s="411"/>
      <c r="B760" s="2004"/>
      <c r="C760" s="2005"/>
      <c r="D760" s="2005"/>
      <c r="E760" s="2005"/>
      <c r="F760" s="2006"/>
      <c r="G760" s="149" t="s">
        <v>1558</v>
      </c>
      <c r="H760" s="149" t="s">
        <v>16933</v>
      </c>
      <c r="I760" s="2020" t="s">
        <v>17082</v>
      </c>
      <c r="J760" s="149">
        <f>0.25*0.9</f>
        <v>0.22500000000000001</v>
      </c>
      <c r="K760" s="149"/>
      <c r="L760" s="149"/>
      <c r="M760" s="2020"/>
      <c r="N760" s="2020"/>
      <c r="O760" s="2020"/>
      <c r="P760" s="2020"/>
      <c r="Q760" s="287"/>
      <c r="R760" s="2024"/>
      <c r="S760" s="149"/>
      <c r="T760" s="149"/>
      <c r="U760" s="149"/>
      <c r="V760" s="149"/>
      <c r="W760" s="149"/>
    </row>
    <row r="761" spans="1:23" ht="54.75" customHeight="1" x14ac:dyDescent="0.25">
      <c r="A761" s="411"/>
      <c r="B761" s="2073"/>
      <c r="C761" s="2074"/>
      <c r="D761" s="2074"/>
      <c r="E761" s="2074"/>
      <c r="F761" s="2077"/>
      <c r="G761" s="2095" t="s">
        <v>19819</v>
      </c>
      <c r="H761" s="149" t="s">
        <v>19820</v>
      </c>
      <c r="I761" s="2090" t="s">
        <v>19821</v>
      </c>
      <c r="J761" s="149">
        <f>0.05*0.9</f>
        <v>4.5000000000000005E-2</v>
      </c>
      <c r="K761" s="149"/>
      <c r="L761" s="149"/>
      <c r="M761" s="2090"/>
      <c r="N761" s="2090"/>
      <c r="O761" s="2090"/>
      <c r="P761" s="2090"/>
      <c r="Q761" s="287"/>
      <c r="R761" s="2095"/>
      <c r="S761" s="149"/>
      <c r="T761" s="149"/>
      <c r="U761" s="149"/>
      <c r="V761" s="149"/>
      <c r="W761" s="149"/>
    </row>
    <row r="762" spans="1:23" ht="54.75" customHeight="1" x14ac:dyDescent="0.25">
      <c r="A762" s="411"/>
      <c r="B762" s="2073"/>
      <c r="C762" s="2074"/>
      <c r="D762" s="2074"/>
      <c r="E762" s="2074"/>
      <c r="F762" s="2077"/>
      <c r="G762" s="2095" t="s">
        <v>1558</v>
      </c>
      <c r="H762" s="149" t="s">
        <v>19825</v>
      </c>
      <c r="I762" s="2090" t="s">
        <v>19826</v>
      </c>
      <c r="J762" s="149">
        <v>0.63</v>
      </c>
      <c r="K762" s="149"/>
      <c r="L762" s="149"/>
      <c r="M762" s="2090"/>
      <c r="N762" s="2090"/>
      <c r="O762" s="2090"/>
      <c r="P762" s="2090"/>
      <c r="Q762" s="287"/>
      <c r="R762" s="2095"/>
      <c r="S762" s="149"/>
      <c r="T762" s="149"/>
      <c r="U762" s="149"/>
      <c r="V762" s="149"/>
      <c r="W762" s="149"/>
    </row>
    <row r="763" spans="1:23" ht="54.75" customHeight="1" x14ac:dyDescent="0.25">
      <c r="A763" s="411"/>
      <c r="B763" s="2142"/>
      <c r="C763" s="2143"/>
      <c r="D763" s="2143"/>
      <c r="E763" s="2143"/>
      <c r="F763" s="2144"/>
      <c r="G763" s="2162" t="s">
        <v>1558</v>
      </c>
      <c r="H763" s="149" t="s">
        <v>19966</v>
      </c>
      <c r="I763" s="2157" t="s">
        <v>19967</v>
      </c>
      <c r="J763" s="149">
        <f>0.4*0.9</f>
        <v>0.36000000000000004</v>
      </c>
      <c r="K763" s="149"/>
      <c r="L763" s="149"/>
      <c r="M763" s="2157"/>
      <c r="N763" s="2157"/>
      <c r="O763" s="2157"/>
      <c r="P763" s="2157"/>
      <c r="Q763" s="287"/>
      <c r="R763" s="2162"/>
      <c r="S763" s="149"/>
      <c r="T763" s="149"/>
      <c r="U763" s="149"/>
      <c r="V763" s="149"/>
      <c r="W763" s="149"/>
    </row>
    <row r="764" spans="1:23" ht="54.75" customHeight="1" x14ac:dyDescent="0.25">
      <c r="A764" s="411"/>
      <c r="B764" s="2214"/>
      <c r="C764" s="2215"/>
      <c r="D764" s="2215"/>
      <c r="E764" s="2215"/>
      <c r="F764" s="2219"/>
      <c r="G764" s="2784" t="s">
        <v>3401</v>
      </c>
      <c r="H764" s="2785"/>
      <c r="I764" s="2786"/>
      <c r="J764" s="775">
        <f>0.17*0.9</f>
        <v>0.15300000000000002</v>
      </c>
      <c r="K764" s="149"/>
      <c r="L764" s="149"/>
      <c r="M764" s="2235"/>
      <c r="N764" s="2235"/>
      <c r="O764" s="2235"/>
      <c r="P764" s="2235"/>
      <c r="Q764" s="287"/>
      <c r="R764" s="2244"/>
      <c r="S764" s="149"/>
      <c r="T764" s="149"/>
      <c r="U764" s="149"/>
      <c r="V764" s="149"/>
      <c r="W764" s="149"/>
    </row>
    <row r="765" spans="1:23" ht="20.100000000000001" customHeight="1" thickBot="1" x14ac:dyDescent="0.3">
      <c r="A765" s="571"/>
      <c r="B765" s="395"/>
      <c r="C765" s="396"/>
      <c r="D765" s="396"/>
      <c r="E765" s="396"/>
      <c r="F765" s="397"/>
      <c r="G765" s="2637" t="s">
        <v>1833</v>
      </c>
      <c r="H765" s="2810"/>
      <c r="I765" s="2810"/>
      <c r="J765" s="136">
        <f>SUM(J744:J764)</f>
        <v>4.6456800000000005</v>
      </c>
      <c r="K765" s="183">
        <v>0.92</v>
      </c>
      <c r="L765" s="136">
        <f>J765/K765</f>
        <v>5.049652173913044</v>
      </c>
      <c r="M765" s="2810" t="s">
        <v>1834</v>
      </c>
      <c r="N765" s="2810"/>
      <c r="O765" s="136">
        <f>SUM(O732:O753)</f>
        <v>5.3131599999999999</v>
      </c>
      <c r="P765" s="183">
        <v>0.92</v>
      </c>
      <c r="Q765" s="275">
        <f>O765/P765</f>
        <v>5.7751739130434778</v>
      </c>
      <c r="R765" s="2637" t="s">
        <v>1833</v>
      </c>
      <c r="S765" s="2810"/>
      <c r="T765" s="2810"/>
      <c r="U765" s="136">
        <f>SUM(U732:U763)</f>
        <v>7.1250000000000008E-2</v>
      </c>
      <c r="V765" s="183">
        <v>0.92</v>
      </c>
      <c r="W765" s="136">
        <f>U765/V765</f>
        <v>7.7445652173913054E-2</v>
      </c>
    </row>
    <row r="766" spans="1:23" s="18" customFormat="1" ht="20.100000000000001" customHeight="1" x14ac:dyDescent="0.25">
      <c r="A766" s="407" t="str">
        <f>Итоговая!C346</f>
        <v xml:space="preserve">ПС 35/10 кВ Энергетик </v>
      </c>
      <c r="B766" s="399">
        <f>Итоговая!D346</f>
        <v>4</v>
      </c>
      <c r="C766" s="400" t="str">
        <f>Итоговая!E346</f>
        <v>+</v>
      </c>
      <c r="D766" s="400">
        <f>Итоговая!F346</f>
        <v>2.5</v>
      </c>
      <c r="E766" s="400"/>
      <c r="F766" s="401"/>
      <c r="G766" s="2767" t="s">
        <v>3020</v>
      </c>
      <c r="H766" s="2767"/>
      <c r="I766" s="2767"/>
      <c r="J766" s="2767"/>
      <c r="K766" s="2767"/>
      <c r="L766" s="2768"/>
      <c r="M766" s="42" t="s">
        <v>55</v>
      </c>
      <c r="N766" s="42" t="s">
        <v>56</v>
      </c>
      <c r="O766" s="58">
        <v>0.2</v>
      </c>
      <c r="P766" s="42"/>
      <c r="Q766" s="42"/>
      <c r="R766" s="42"/>
      <c r="S766" s="42"/>
      <c r="T766" s="42"/>
      <c r="U766" s="42"/>
      <c r="V766" s="42"/>
      <c r="W766" s="72"/>
    </row>
    <row r="767" spans="1:23" s="18" customFormat="1" ht="20.100000000000001" customHeight="1" x14ac:dyDescent="0.25">
      <c r="A767" s="402"/>
      <c r="B767" s="403"/>
      <c r="C767" s="404"/>
      <c r="D767" s="404"/>
      <c r="E767" s="404"/>
      <c r="F767" s="405"/>
      <c r="G767" s="2771"/>
      <c r="H767" s="2772"/>
      <c r="I767" s="2468"/>
      <c r="J767" s="149"/>
      <c r="K767" s="1965"/>
      <c r="L767" s="1965"/>
      <c r="M767" s="143" t="s">
        <v>57</v>
      </c>
      <c r="N767" s="143" t="s">
        <v>58</v>
      </c>
      <c r="O767" s="53">
        <v>0.03</v>
      </c>
      <c r="P767" s="143"/>
      <c r="Q767" s="143"/>
      <c r="R767" s="143"/>
      <c r="S767" s="143"/>
      <c r="T767" s="143"/>
      <c r="U767" s="143"/>
      <c r="V767" s="143"/>
      <c r="W767" s="142"/>
    </row>
    <row r="768" spans="1:23" s="18" customFormat="1" ht="56.25" customHeight="1" x14ac:dyDescent="0.25">
      <c r="A768" s="402"/>
      <c r="B768" s="403"/>
      <c r="C768" s="404"/>
      <c r="D768" s="404"/>
      <c r="E768" s="404"/>
      <c r="F768" s="405"/>
      <c r="G768" s="184"/>
      <c r="H768" s="143"/>
      <c r="I768" s="143"/>
      <c r="J768" s="143"/>
      <c r="K768" s="143"/>
      <c r="L768" s="142"/>
      <c r="M768" s="153" t="s">
        <v>1562</v>
      </c>
      <c r="N768" s="53" t="s">
        <v>59</v>
      </c>
      <c r="O768" s="53">
        <v>1</v>
      </c>
      <c r="P768" s="143"/>
      <c r="Q768" s="143"/>
      <c r="R768" s="143"/>
      <c r="S768" s="143"/>
      <c r="T768" s="143"/>
      <c r="U768" s="143"/>
      <c r="V768" s="143"/>
      <c r="W768" s="142"/>
    </row>
    <row r="769" spans="1:23" ht="58.5" customHeight="1" x14ac:dyDescent="0.25">
      <c r="A769" s="402"/>
      <c r="B769" s="403"/>
      <c r="C769" s="404"/>
      <c r="D769" s="404"/>
      <c r="E769" s="404"/>
      <c r="F769" s="405"/>
      <c r="G769" s="184"/>
      <c r="H769" s="143"/>
      <c r="I769" s="143"/>
      <c r="J769" s="143"/>
      <c r="K769" s="143"/>
      <c r="L769" s="142"/>
      <c r="M769" s="143" t="s">
        <v>2359</v>
      </c>
      <c r="N769" s="143" t="s">
        <v>2365</v>
      </c>
      <c r="O769" s="143">
        <v>0.12</v>
      </c>
      <c r="P769" s="143"/>
      <c r="Q769" s="143"/>
      <c r="R769" s="143"/>
      <c r="S769" s="143"/>
      <c r="T769" s="143"/>
      <c r="U769" s="143"/>
      <c r="V769" s="143"/>
      <c r="W769" s="142"/>
    </row>
    <row r="770" spans="1:23" ht="20.100000000000001" customHeight="1" thickBot="1" x14ac:dyDescent="0.3">
      <c r="A770" s="406"/>
      <c r="B770" s="395"/>
      <c r="C770" s="396"/>
      <c r="D770" s="396"/>
      <c r="E770" s="396"/>
      <c r="F770" s="397"/>
      <c r="G770" s="2636" t="s">
        <v>1833</v>
      </c>
      <c r="H770" s="2636"/>
      <c r="I770" s="2637"/>
      <c r="J770" s="136">
        <f>SUM(J766:J769)</f>
        <v>0</v>
      </c>
      <c r="K770" s="183">
        <v>0.92</v>
      </c>
      <c r="L770" s="136">
        <f>J770/K770</f>
        <v>0</v>
      </c>
      <c r="M770" s="2652" t="s">
        <v>1834</v>
      </c>
      <c r="N770" s="2637"/>
      <c r="O770" s="136">
        <f>SUM(O766:O769)</f>
        <v>1.35</v>
      </c>
      <c r="P770" s="183">
        <v>0.92</v>
      </c>
      <c r="Q770" s="136">
        <f>O770/P770</f>
        <v>1.4673913043478262</v>
      </c>
      <c r="R770" s="2652" t="s">
        <v>1833</v>
      </c>
      <c r="S770" s="2636"/>
      <c r="T770" s="2637"/>
      <c r="U770" s="136">
        <f>SUM(U766:U769)</f>
        <v>0</v>
      </c>
      <c r="V770" s="183">
        <v>0.92</v>
      </c>
      <c r="W770" s="136">
        <f>U770/V770</f>
        <v>0</v>
      </c>
    </row>
    <row r="771" spans="1:23" ht="20.100000000000001" customHeight="1" x14ac:dyDescent="0.25">
      <c r="A771" s="2827" t="str">
        <f>Итоговая!C347</f>
        <v xml:space="preserve">ПС 35/10 кВ Эммаус  </v>
      </c>
      <c r="B771" s="2630">
        <f>Итоговая!D347</f>
        <v>4</v>
      </c>
      <c r="C771" s="2632" t="str">
        <f>Итоговая!E347</f>
        <v>+</v>
      </c>
      <c r="D771" s="2632">
        <f>Итоговая!F347</f>
        <v>4</v>
      </c>
      <c r="E771" s="400"/>
      <c r="F771" s="401"/>
      <c r="G771" s="2808" t="s">
        <v>1961</v>
      </c>
      <c r="H771" s="2808"/>
      <c r="I771" s="2808"/>
      <c r="J771" s="2808"/>
      <c r="K771" s="2808"/>
      <c r="L771" s="2800"/>
      <c r="M771" s="147"/>
      <c r="N771" s="176"/>
      <c r="O771" s="176"/>
      <c r="P771" s="149"/>
      <c r="Q771" s="149"/>
      <c r="R771" s="2811"/>
      <c r="S771" s="2791"/>
      <c r="T771" s="2791"/>
      <c r="U771" s="2791"/>
      <c r="V771" s="2791"/>
      <c r="W771" s="2792"/>
    </row>
    <row r="772" spans="1:23" ht="20.100000000000001" customHeight="1" x14ac:dyDescent="0.25">
      <c r="A772" s="2440"/>
      <c r="B772" s="2631"/>
      <c r="C772" s="2633"/>
      <c r="D772" s="2633"/>
      <c r="E772" s="404"/>
      <c r="F772" s="405"/>
      <c r="G772" s="184" t="s">
        <v>540</v>
      </c>
      <c r="H772" s="143" t="s">
        <v>687</v>
      </c>
      <c r="I772" s="143" t="s">
        <v>688</v>
      </c>
      <c r="J772" s="143">
        <v>3.0000000000000001E-3</v>
      </c>
      <c r="K772" s="142"/>
      <c r="L772" s="142"/>
      <c r="M772" s="142"/>
      <c r="N772" s="142"/>
      <c r="O772" s="142"/>
      <c r="P772" s="149"/>
      <c r="Q772" s="149"/>
      <c r="R772" s="142"/>
      <c r="S772" s="142"/>
      <c r="T772" s="142"/>
      <c r="U772" s="142"/>
      <c r="V772" s="142"/>
      <c r="W772" s="142"/>
    </row>
    <row r="773" spans="1:23" ht="20.100000000000001" customHeight="1" x14ac:dyDescent="0.25">
      <c r="A773" s="2440"/>
      <c r="B773" s="2631"/>
      <c r="C773" s="2633"/>
      <c r="D773" s="2633"/>
      <c r="E773" s="404"/>
      <c r="F773" s="405"/>
      <c r="G773" s="184" t="s">
        <v>60</v>
      </c>
      <c r="H773" s="143" t="s">
        <v>61</v>
      </c>
      <c r="I773" s="143" t="s">
        <v>62</v>
      </c>
      <c r="J773" s="143">
        <v>0.03</v>
      </c>
      <c r="K773" s="143"/>
      <c r="L773" s="142"/>
      <c r="M773" s="143" t="s">
        <v>63</v>
      </c>
      <c r="N773" s="143" t="s">
        <v>64</v>
      </c>
      <c r="O773" s="143">
        <v>1.4239999999999999</v>
      </c>
      <c r="P773" s="151"/>
      <c r="Q773" s="143"/>
      <c r="R773" s="142"/>
      <c r="S773" s="142"/>
      <c r="T773" s="142"/>
      <c r="U773" s="142"/>
      <c r="V773" s="142"/>
      <c r="W773" s="142"/>
    </row>
    <row r="774" spans="1:23" ht="20.100000000000001" customHeight="1" x14ac:dyDescent="0.25">
      <c r="A774" s="402"/>
      <c r="B774" s="403"/>
      <c r="C774" s="404"/>
      <c r="D774" s="404"/>
      <c r="E774" s="404"/>
      <c r="F774" s="405"/>
      <c r="G774" s="2767" t="s">
        <v>1960</v>
      </c>
      <c r="H774" s="2767"/>
      <c r="I774" s="2767"/>
      <c r="J774" s="2767"/>
      <c r="K774" s="2767"/>
      <c r="L774" s="2768"/>
      <c r="M774" s="143"/>
      <c r="N774" s="143"/>
      <c r="O774" s="143"/>
      <c r="P774" s="151"/>
      <c r="Q774" s="143"/>
      <c r="R774" s="2771"/>
      <c r="S774" s="2772"/>
      <c r="T774" s="2772"/>
      <c r="U774" s="2772"/>
      <c r="V774" s="2772"/>
      <c r="W774" s="2468"/>
    </row>
    <row r="775" spans="1:23" ht="20.100000000000001" customHeight="1" x14ac:dyDescent="0.25">
      <c r="A775" s="402"/>
      <c r="B775" s="403"/>
      <c r="C775" s="404"/>
      <c r="D775" s="404"/>
      <c r="E775" s="404"/>
      <c r="F775" s="405"/>
      <c r="G775" s="184" t="s">
        <v>65</v>
      </c>
      <c r="H775" s="143" t="s">
        <v>66</v>
      </c>
      <c r="I775" s="143" t="s">
        <v>67</v>
      </c>
      <c r="J775" s="143">
        <v>0.03</v>
      </c>
      <c r="K775" s="143"/>
      <c r="L775" s="142"/>
      <c r="M775" s="143"/>
      <c r="N775" s="143"/>
      <c r="O775" s="143"/>
      <c r="P775" s="143"/>
      <c r="Q775" s="143"/>
      <c r="R775" s="142"/>
      <c r="S775" s="142"/>
      <c r="T775" s="142"/>
      <c r="U775" s="142"/>
      <c r="V775" s="142"/>
      <c r="W775" s="142"/>
    </row>
    <row r="776" spans="1:23" ht="20.100000000000001" customHeight="1" x14ac:dyDescent="0.25">
      <c r="A776" s="402"/>
      <c r="B776" s="403"/>
      <c r="C776" s="404"/>
      <c r="D776" s="404"/>
      <c r="E776" s="404"/>
      <c r="F776" s="405"/>
      <c r="G776" s="184" t="s">
        <v>482</v>
      </c>
      <c r="H776" s="143" t="s">
        <v>689</v>
      </c>
      <c r="I776" s="143" t="s">
        <v>690</v>
      </c>
      <c r="J776" s="143">
        <v>2.4E-2</v>
      </c>
      <c r="K776" s="143"/>
      <c r="L776" s="142"/>
      <c r="M776" s="143" t="s">
        <v>2053</v>
      </c>
      <c r="N776" s="143" t="s">
        <v>2054</v>
      </c>
      <c r="O776" s="143">
        <v>3.5000000000000003E-2</v>
      </c>
      <c r="P776" s="143"/>
      <c r="Q776" s="143"/>
      <c r="R776" s="142"/>
      <c r="S776" s="142"/>
      <c r="T776" s="142"/>
      <c r="U776" s="142"/>
      <c r="V776" s="142"/>
      <c r="W776" s="142"/>
    </row>
    <row r="777" spans="1:23" ht="20.100000000000001" customHeight="1" x14ac:dyDescent="0.25">
      <c r="A777" s="686"/>
      <c r="B777" s="688"/>
      <c r="C777" s="689"/>
      <c r="D777" s="689"/>
      <c r="E777" s="689"/>
      <c r="F777" s="685"/>
      <c r="G777" s="2767" t="s">
        <v>2640</v>
      </c>
      <c r="H777" s="2767"/>
      <c r="I777" s="2767"/>
      <c r="J777" s="2767"/>
      <c r="K777" s="2767"/>
      <c r="L777" s="2768"/>
      <c r="M777" s="1259" t="s">
        <v>3479</v>
      </c>
      <c r="N777" s="1276" t="s">
        <v>3480</v>
      </c>
      <c r="O777" s="143">
        <v>0.15</v>
      </c>
      <c r="P777" s="143"/>
      <c r="Q777" s="143"/>
      <c r="R777" s="142"/>
      <c r="S777" s="142"/>
      <c r="T777" s="142"/>
      <c r="U777" s="142"/>
      <c r="V777" s="142"/>
      <c r="W777" s="142"/>
    </row>
    <row r="778" spans="1:23" ht="113.25" customHeight="1" x14ac:dyDescent="0.25">
      <c r="A778" s="402"/>
      <c r="B778" s="403"/>
      <c r="C778" s="404"/>
      <c r="D778" s="404"/>
      <c r="E778" s="404"/>
      <c r="F778" s="405"/>
      <c r="G778" s="184" t="s">
        <v>2618</v>
      </c>
      <c r="H778" s="143" t="s">
        <v>2672</v>
      </c>
      <c r="I778" s="143" t="s">
        <v>2673</v>
      </c>
      <c r="J778" s="143">
        <v>0.1</v>
      </c>
      <c r="K778" s="143"/>
      <c r="L778" s="142"/>
      <c r="M778" s="1496" t="s">
        <v>15330</v>
      </c>
      <c r="N778" s="1518" t="s">
        <v>15331</v>
      </c>
      <c r="O778" s="143">
        <v>0.3</v>
      </c>
      <c r="P778" s="143"/>
      <c r="Q778" s="143"/>
      <c r="R778" s="142"/>
      <c r="S778" s="142"/>
      <c r="T778" s="142"/>
      <c r="U778" s="142"/>
      <c r="V778" s="142"/>
      <c r="W778" s="142"/>
    </row>
    <row r="779" spans="1:23" ht="20.100000000000001" customHeight="1" x14ac:dyDescent="0.25">
      <c r="A779" s="1185"/>
      <c r="B779" s="1183"/>
      <c r="C779" s="1187"/>
      <c r="D779" s="1187"/>
      <c r="E779" s="1187"/>
      <c r="F779" s="1184"/>
      <c r="G779" s="2767" t="s">
        <v>3019</v>
      </c>
      <c r="H779" s="2767"/>
      <c r="I779" s="2767"/>
      <c r="J779" s="2767"/>
      <c r="K779" s="2767"/>
      <c r="L779" s="2768"/>
      <c r="M779" s="1715" t="s">
        <v>16817</v>
      </c>
      <c r="N779" s="1716" t="s">
        <v>16818</v>
      </c>
      <c r="O779" s="151">
        <v>9.9000000000000005E-2</v>
      </c>
      <c r="P779" s="151"/>
      <c r="Q779" s="151"/>
      <c r="R779" s="147"/>
      <c r="S779" s="365"/>
      <c r="T779" s="176"/>
      <c r="U779" s="149"/>
      <c r="V779" s="149"/>
      <c r="W779" s="149"/>
    </row>
    <row r="780" spans="1:23" ht="46.5" customHeight="1" x14ac:dyDescent="0.25">
      <c r="A780" s="1185"/>
      <c r="B780" s="1183"/>
      <c r="C780" s="1187"/>
      <c r="D780" s="1187"/>
      <c r="E780" s="1187"/>
      <c r="F780" s="1184"/>
      <c r="G780" s="2771"/>
      <c r="H780" s="2772"/>
      <c r="I780" s="2468"/>
      <c r="J780" s="149"/>
      <c r="K780" s="149"/>
      <c r="L780" s="149"/>
      <c r="M780" s="1697" t="s">
        <v>16835</v>
      </c>
      <c r="N780" s="1697" t="s">
        <v>16836</v>
      </c>
      <c r="O780" s="1697">
        <v>0.23</v>
      </c>
      <c r="P780" s="151"/>
      <c r="Q780" s="151"/>
      <c r="R780" s="147"/>
      <c r="S780" s="365"/>
      <c r="T780" s="176"/>
      <c r="U780" s="149"/>
      <c r="V780" s="149"/>
      <c r="W780" s="149"/>
    </row>
    <row r="781" spans="1:23" ht="46.5" customHeight="1" x14ac:dyDescent="0.25">
      <c r="A781" s="1525"/>
      <c r="B781" s="1532"/>
      <c r="C781" s="1535"/>
      <c r="D781" s="1535"/>
      <c r="E781" s="1535"/>
      <c r="F781" s="1533"/>
      <c r="G781" s="2767" t="s">
        <v>3405</v>
      </c>
      <c r="H781" s="2767"/>
      <c r="I781" s="2767"/>
      <c r="J781" s="2767"/>
      <c r="K781" s="2767"/>
      <c r="L781" s="2768"/>
      <c r="M781" s="1697"/>
      <c r="N781" s="1697"/>
      <c r="O781" s="1697"/>
      <c r="P781" s="1526"/>
      <c r="Q781" s="1526"/>
      <c r="R781" s="1541"/>
      <c r="S781" s="1542"/>
      <c r="T781" s="1543"/>
      <c r="U781" s="149"/>
      <c r="V781" s="149"/>
      <c r="W781" s="149"/>
    </row>
    <row r="782" spans="1:23" ht="46.5" customHeight="1" x14ac:dyDescent="0.25">
      <c r="A782" s="1525"/>
      <c r="B782" s="1532"/>
      <c r="C782" s="1535"/>
      <c r="D782" s="1535"/>
      <c r="E782" s="1535"/>
      <c r="F782" s="1533"/>
      <c r="G782" s="1540" t="s">
        <v>15332</v>
      </c>
      <c r="H782" s="1540" t="s">
        <v>15333</v>
      </c>
      <c r="I782" s="1540" t="s">
        <v>16648</v>
      </c>
      <c r="J782" s="1540">
        <f>0.087*0.9</f>
        <v>7.8299999999999995E-2</v>
      </c>
      <c r="K782" s="1540"/>
      <c r="L782" s="1540"/>
      <c r="M782" s="1697"/>
      <c r="N782" s="1697"/>
      <c r="O782" s="1697"/>
      <c r="P782" s="1526"/>
      <c r="Q782" s="1526"/>
      <c r="R782" s="1541"/>
      <c r="S782" s="1542"/>
      <c r="T782" s="1543"/>
      <c r="U782" s="149"/>
      <c r="V782" s="149"/>
      <c r="W782" s="149"/>
    </row>
    <row r="783" spans="1:23" ht="46.5" customHeight="1" x14ac:dyDescent="0.25">
      <c r="A783" s="1592"/>
      <c r="B783" s="1598"/>
      <c r="C783" s="1601"/>
      <c r="D783" s="1601"/>
      <c r="E783" s="1601"/>
      <c r="F783" s="1599"/>
      <c r="G783" s="2120" t="s">
        <v>16817</v>
      </c>
      <c r="H783" s="2121" t="s">
        <v>19830</v>
      </c>
      <c r="I783" s="2122" t="s">
        <v>19831</v>
      </c>
      <c r="J783" s="149">
        <f>0.099*0.9</f>
        <v>8.9100000000000013E-2</v>
      </c>
      <c r="K783" s="149"/>
      <c r="L783" s="149"/>
      <c r="M783" s="1697"/>
      <c r="N783" s="1697"/>
      <c r="O783" s="1697"/>
      <c r="P783" s="1593"/>
      <c r="Q783" s="1593"/>
      <c r="R783" s="1610"/>
      <c r="S783" s="1611"/>
      <c r="T783" s="1612"/>
      <c r="U783" s="149"/>
      <c r="V783" s="149"/>
      <c r="W783" s="149"/>
    </row>
    <row r="784" spans="1:23" ht="46.5" customHeight="1" x14ac:dyDescent="0.25">
      <c r="A784" s="2091"/>
      <c r="B784" s="2073"/>
      <c r="C784" s="2074"/>
      <c r="D784" s="2074"/>
      <c r="E784" s="2074"/>
      <c r="F784" s="2077"/>
      <c r="G784" s="2767" t="s">
        <v>17067</v>
      </c>
      <c r="H784" s="2767"/>
      <c r="I784" s="2767"/>
      <c r="J784" s="2767"/>
      <c r="K784" s="2767"/>
      <c r="L784" s="2768"/>
      <c r="M784" s="2083"/>
      <c r="N784" s="2085"/>
      <c r="O784" s="2090"/>
      <c r="P784" s="2090"/>
      <c r="Q784" s="2090"/>
      <c r="R784" s="2093"/>
      <c r="S784" s="2094"/>
      <c r="T784" s="2095"/>
      <c r="U784" s="149"/>
      <c r="V784" s="149"/>
      <c r="W784" s="149"/>
    </row>
    <row r="785" spans="1:23" ht="46.5" customHeight="1" x14ac:dyDescent="0.25">
      <c r="A785" s="2091"/>
      <c r="B785" s="2073"/>
      <c r="C785" s="2074"/>
      <c r="D785" s="2074"/>
      <c r="E785" s="2074"/>
      <c r="F785" s="2077"/>
      <c r="G785" s="598" t="s">
        <v>19875</v>
      </c>
      <c r="H785" s="598" t="s">
        <v>19876</v>
      </c>
      <c r="I785" s="2122" t="s">
        <v>19877</v>
      </c>
      <c r="J785" s="149">
        <f>0.087*0.9</f>
        <v>7.8299999999999995E-2</v>
      </c>
      <c r="K785" s="149"/>
      <c r="L785" s="149"/>
      <c r="M785" s="2083"/>
      <c r="N785" s="2085"/>
      <c r="O785" s="2090"/>
      <c r="P785" s="2090"/>
      <c r="Q785" s="2090"/>
      <c r="R785" s="2093"/>
      <c r="S785" s="2094"/>
      <c r="T785" s="2095"/>
      <c r="U785" s="149"/>
      <c r="V785" s="149"/>
      <c r="W785" s="149"/>
    </row>
    <row r="786" spans="1:23" ht="46.5" customHeight="1" x14ac:dyDescent="0.25">
      <c r="A786" s="2294"/>
      <c r="B786" s="2279"/>
      <c r="C786" s="2280"/>
      <c r="D786" s="2280"/>
      <c r="E786" s="2280"/>
      <c r="F786" s="2281"/>
      <c r="G786" s="598" t="s">
        <v>20196</v>
      </c>
      <c r="H786" s="598" t="s">
        <v>20197</v>
      </c>
      <c r="I786" s="599" t="s">
        <v>20198</v>
      </c>
      <c r="J786" s="149">
        <f>1*0.75</f>
        <v>0.75</v>
      </c>
      <c r="K786" s="149"/>
      <c r="L786" s="149"/>
      <c r="M786" s="2292"/>
      <c r="N786" s="2293"/>
      <c r="O786" s="2295"/>
      <c r="P786" s="2295"/>
      <c r="Q786" s="2295"/>
      <c r="R786" s="2299"/>
      <c r="S786" s="2297"/>
      <c r="T786" s="2298"/>
      <c r="U786" s="149"/>
      <c r="V786" s="149"/>
      <c r="W786" s="149"/>
    </row>
    <row r="787" spans="1:23" ht="46.5" customHeight="1" x14ac:dyDescent="0.25">
      <c r="A787" s="2294"/>
      <c r="B787" s="2279"/>
      <c r="C787" s="2280"/>
      <c r="D787" s="2280"/>
      <c r="E787" s="2280"/>
      <c r="F787" s="2281"/>
      <c r="G787" s="598" t="s">
        <v>20199</v>
      </c>
      <c r="H787" s="598" t="s">
        <v>20200</v>
      </c>
      <c r="I787" s="599" t="s">
        <v>20201</v>
      </c>
      <c r="J787" s="149">
        <f>0.07*0.75</f>
        <v>5.2500000000000005E-2</v>
      </c>
      <c r="K787" s="149"/>
      <c r="L787" s="149"/>
      <c r="M787" s="2292"/>
      <c r="N787" s="2293"/>
      <c r="O787" s="2295"/>
      <c r="P787" s="2295"/>
      <c r="Q787" s="2295"/>
      <c r="R787" s="2299"/>
      <c r="S787" s="2297"/>
      <c r="T787" s="2298"/>
      <c r="U787" s="149"/>
      <c r="V787" s="149"/>
      <c r="W787" s="149"/>
    </row>
    <row r="788" spans="1:23" ht="46.5" customHeight="1" x14ac:dyDescent="0.25">
      <c r="A788" s="2294"/>
      <c r="B788" s="2279"/>
      <c r="C788" s="2280"/>
      <c r="D788" s="2280"/>
      <c r="E788" s="2280"/>
      <c r="F788" s="2281"/>
      <c r="G788" s="295" t="s">
        <v>15330</v>
      </c>
      <c r="H788" s="295" t="s">
        <v>20233</v>
      </c>
      <c r="I788" s="295" t="s">
        <v>20234</v>
      </c>
      <c r="J788" s="2296">
        <f>0.55*0.75</f>
        <v>0.41250000000000003</v>
      </c>
      <c r="K788" s="2296"/>
      <c r="L788" s="2296"/>
      <c r="M788" s="2292"/>
      <c r="N788" s="2293"/>
      <c r="O788" s="2295"/>
      <c r="P788" s="2295"/>
      <c r="Q788" s="2295"/>
      <c r="R788" s="2299"/>
      <c r="S788" s="2297"/>
      <c r="T788" s="2298"/>
      <c r="U788" s="149"/>
      <c r="V788" s="149"/>
      <c r="W788" s="149"/>
    </row>
    <row r="789" spans="1:23" ht="20.100000000000001" customHeight="1" thickBot="1" x14ac:dyDescent="0.3">
      <c r="A789" s="406"/>
      <c r="B789" s="395"/>
      <c r="C789" s="396"/>
      <c r="D789" s="396"/>
      <c r="E789" s="396"/>
      <c r="F789" s="397"/>
      <c r="G789" s="2716" t="s">
        <v>1833</v>
      </c>
      <c r="H789" s="2716"/>
      <c r="I789" s="2717"/>
      <c r="J789" s="181">
        <f>SUM(J782:J788)</f>
        <v>1.4607000000000001</v>
      </c>
      <c r="K789" s="151">
        <v>0.92</v>
      </c>
      <c r="L789" s="181">
        <f>J789/K789</f>
        <v>1.5877173913043479</v>
      </c>
      <c r="M789" s="2715" t="s">
        <v>1834</v>
      </c>
      <c r="N789" s="2717"/>
      <c r="O789" s="181">
        <f>SUM(O773:O780)</f>
        <v>2.238</v>
      </c>
      <c r="P789" s="151">
        <v>0.92</v>
      </c>
      <c r="Q789" s="181">
        <f>O789/P789</f>
        <v>2.4326086956521737</v>
      </c>
      <c r="R789" s="2715" t="s">
        <v>1833</v>
      </c>
      <c r="S789" s="2716"/>
      <c r="T789" s="2717"/>
      <c r="U789" s="181">
        <f>SUM(U775:U776)</f>
        <v>0</v>
      </c>
      <c r="V789" s="151">
        <v>0.92</v>
      </c>
      <c r="W789" s="181">
        <f>U789/V789</f>
        <v>0</v>
      </c>
    </row>
    <row r="790" spans="1:23" ht="20.100000000000001" customHeight="1" x14ac:dyDescent="0.25">
      <c r="A790" s="407"/>
      <c r="B790" s="399"/>
      <c r="C790" s="400"/>
      <c r="D790" s="400"/>
      <c r="E790" s="400"/>
      <c r="F790" s="401"/>
      <c r="G790" s="2808" t="s">
        <v>1963</v>
      </c>
      <c r="H790" s="2808"/>
      <c r="I790" s="2808"/>
      <c r="J790" s="2808"/>
      <c r="K790" s="2808"/>
      <c r="L790" s="2800"/>
      <c r="M790" s="291"/>
      <c r="N790" s="292"/>
      <c r="O790" s="16"/>
      <c r="P790" s="16"/>
      <c r="Q790" s="289"/>
      <c r="R790" s="2791"/>
      <c r="S790" s="2791"/>
      <c r="T790" s="2791"/>
      <c r="U790" s="2791"/>
      <c r="V790" s="2791"/>
      <c r="W790" s="2792"/>
    </row>
    <row r="791" spans="1:23" ht="20.100000000000001" customHeight="1" x14ac:dyDescent="0.25">
      <c r="A791" s="402" t="str">
        <f>Итоговая!C348</f>
        <v>ПС  35/10 кВ Ю.-Девичье</v>
      </c>
      <c r="B791" s="403">
        <f>Итоговая!D348</f>
        <v>6.3</v>
      </c>
      <c r="C791" s="404" t="str">
        <f>Итоговая!E348</f>
        <v>+</v>
      </c>
      <c r="D791" s="404">
        <f>Итоговая!F348</f>
        <v>4</v>
      </c>
      <c r="E791" s="404"/>
      <c r="F791" s="405"/>
      <c r="G791" s="184" t="s">
        <v>711</v>
      </c>
      <c r="H791" s="143" t="s">
        <v>712</v>
      </c>
      <c r="I791" s="70" t="s">
        <v>713</v>
      </c>
      <c r="J791" s="143">
        <v>0.4</v>
      </c>
      <c r="K791" s="142"/>
      <c r="L791" s="142"/>
      <c r="M791" s="142" t="s">
        <v>691</v>
      </c>
      <c r="N791" s="142" t="s">
        <v>692</v>
      </c>
      <c r="O791" s="53">
        <v>1.4999999999999999E-2</v>
      </c>
      <c r="P791" s="143"/>
      <c r="Q791" s="284"/>
      <c r="R791" s="184" t="s">
        <v>709</v>
      </c>
      <c r="S791" s="143" t="s">
        <v>710</v>
      </c>
      <c r="T791" s="70" t="s">
        <v>20038</v>
      </c>
      <c r="U791" s="143">
        <v>0.25</v>
      </c>
      <c r="V791" s="142"/>
      <c r="W791" s="142"/>
    </row>
    <row r="792" spans="1:23" ht="20.100000000000001" customHeight="1" x14ac:dyDescent="0.25">
      <c r="A792" s="402"/>
      <c r="B792" s="403"/>
      <c r="C792" s="404"/>
      <c r="D792" s="404"/>
      <c r="E792" s="404"/>
      <c r="F792" s="405"/>
      <c r="G792" s="2767" t="s">
        <v>1961</v>
      </c>
      <c r="H792" s="2767"/>
      <c r="I792" s="2767"/>
      <c r="J792" s="2767"/>
      <c r="K792" s="2767"/>
      <c r="L792" s="2768"/>
      <c r="M792" s="142"/>
      <c r="N792" s="142"/>
      <c r="O792" s="53"/>
      <c r="P792" s="143"/>
      <c r="Q792" s="284"/>
      <c r="R792" s="2772"/>
      <c r="S792" s="2772"/>
      <c r="T792" s="2772"/>
      <c r="U792" s="2772"/>
      <c r="V792" s="2772"/>
      <c r="W792" s="2468"/>
    </row>
    <row r="793" spans="1:23" ht="20.100000000000001" customHeight="1" x14ac:dyDescent="0.25">
      <c r="A793" s="402"/>
      <c r="B793" s="403"/>
      <c r="C793" s="404"/>
      <c r="D793" s="404"/>
      <c r="E793" s="404"/>
      <c r="F793" s="405"/>
      <c r="G793" s="2252"/>
      <c r="H793" s="2252"/>
      <c r="I793" s="2252"/>
      <c r="J793" s="2252"/>
      <c r="K793" s="2252"/>
      <c r="L793" s="2252"/>
      <c r="M793" s="142"/>
      <c r="N793" s="142"/>
      <c r="O793" s="53"/>
      <c r="P793" s="143"/>
      <c r="Q793" s="2241"/>
      <c r="R793" s="2206" t="s">
        <v>705</v>
      </c>
      <c r="S793" s="2206" t="s">
        <v>706</v>
      </c>
      <c r="T793" s="2" t="s">
        <v>20039</v>
      </c>
      <c r="U793" s="2206">
        <v>0.4</v>
      </c>
      <c r="V793" s="2239"/>
      <c r="W793" s="2239"/>
    </row>
    <row r="794" spans="1:23" ht="20.100000000000001" customHeight="1" x14ac:dyDescent="0.25">
      <c r="A794" s="402"/>
      <c r="B794" s="403"/>
      <c r="C794" s="404"/>
      <c r="D794" s="404"/>
      <c r="E794" s="404"/>
      <c r="F794" s="405"/>
      <c r="G794" s="2252"/>
      <c r="H794" s="2252"/>
      <c r="I794" s="2252"/>
      <c r="J794" s="2252"/>
      <c r="K794" s="2252"/>
      <c r="L794" s="2252"/>
      <c r="M794" s="142"/>
      <c r="N794" s="142"/>
      <c r="O794" s="53"/>
      <c r="P794" s="143"/>
      <c r="Q794" s="2241"/>
      <c r="R794" s="2206" t="s">
        <v>707</v>
      </c>
      <c r="S794" s="2206" t="s">
        <v>708</v>
      </c>
      <c r="T794" s="2" t="s">
        <v>20040</v>
      </c>
      <c r="U794" s="2206">
        <v>0.25</v>
      </c>
      <c r="V794" s="2239"/>
      <c r="W794" s="2239"/>
    </row>
    <row r="795" spans="1:23" ht="20.100000000000001" customHeight="1" x14ac:dyDescent="0.25">
      <c r="A795" s="402"/>
      <c r="B795" s="403"/>
      <c r="C795" s="404"/>
      <c r="D795" s="404"/>
      <c r="E795" s="404"/>
      <c r="F795" s="405"/>
      <c r="G795" s="2252"/>
      <c r="H795" s="2252"/>
      <c r="I795" s="2252"/>
      <c r="J795" s="2252"/>
      <c r="K795" s="2252"/>
      <c r="L795" s="2252"/>
      <c r="M795" s="142"/>
      <c r="N795" s="142"/>
      <c r="O795" s="216"/>
      <c r="P795" s="143"/>
      <c r="Q795" s="2241"/>
      <c r="R795" s="2206"/>
      <c r="S795" s="2206"/>
      <c r="T795" s="2206"/>
      <c r="U795" s="2206"/>
      <c r="V795" s="2239"/>
      <c r="W795" s="2239"/>
    </row>
    <row r="796" spans="1:23" ht="20.100000000000001" customHeight="1" x14ac:dyDescent="0.25">
      <c r="A796" s="402"/>
      <c r="B796" s="403"/>
      <c r="C796" s="404"/>
      <c r="D796" s="404"/>
      <c r="E796" s="404"/>
      <c r="F796" s="405"/>
      <c r="G796" s="2206"/>
      <c r="H796" s="2206"/>
      <c r="I796" s="2"/>
      <c r="J796" s="2206"/>
      <c r="K796" s="2206"/>
      <c r="L796" s="2239"/>
      <c r="M796" s="143"/>
      <c r="N796" s="143"/>
      <c r="O796" s="153"/>
      <c r="P796" s="143"/>
      <c r="Q796" s="2241"/>
      <c r="R796" s="2206" t="s">
        <v>701</v>
      </c>
      <c r="S796" s="2206" t="s">
        <v>702</v>
      </c>
      <c r="T796" s="2" t="s">
        <v>20041</v>
      </c>
      <c r="U796" s="2206">
        <v>0.4</v>
      </c>
      <c r="V796" s="2239"/>
      <c r="W796" s="2239"/>
    </row>
    <row r="797" spans="1:23" ht="20.100000000000001" customHeight="1" x14ac:dyDescent="0.25">
      <c r="A797" s="402"/>
      <c r="B797" s="403"/>
      <c r="C797" s="404"/>
      <c r="D797" s="404"/>
      <c r="E797" s="404"/>
      <c r="F797" s="405"/>
      <c r="G797" s="2767" t="s">
        <v>1960</v>
      </c>
      <c r="H797" s="2767"/>
      <c r="I797" s="2767"/>
      <c r="J797" s="2767"/>
      <c r="K797" s="2767"/>
      <c r="L797" s="2768"/>
      <c r="M797" s="143"/>
      <c r="N797" s="143"/>
      <c r="O797" s="184"/>
      <c r="P797" s="143"/>
      <c r="Q797" s="2241"/>
      <c r="R797" s="295"/>
      <c r="S797" s="295"/>
      <c r="T797" s="295"/>
      <c r="U797" s="295"/>
      <c r="V797" s="295"/>
      <c r="W797" s="295"/>
    </row>
    <row r="798" spans="1:23" ht="20.100000000000001" customHeight="1" x14ac:dyDescent="0.25">
      <c r="A798" s="402"/>
      <c r="B798" s="403"/>
      <c r="C798" s="404"/>
      <c r="D798" s="404"/>
      <c r="E798" s="404"/>
      <c r="F798" s="405"/>
      <c r="G798" s="66" t="s">
        <v>693</v>
      </c>
      <c r="H798" s="2" t="s">
        <v>694</v>
      </c>
      <c r="I798" s="70" t="s">
        <v>695</v>
      </c>
      <c r="J798" s="2">
        <v>5.8000000000000003E-2</v>
      </c>
      <c r="K798" s="42"/>
      <c r="L798" s="72"/>
      <c r="M798" s="143" t="s">
        <v>703</v>
      </c>
      <c r="N798" s="143" t="s">
        <v>704</v>
      </c>
      <c r="O798" s="143">
        <v>0.03</v>
      </c>
      <c r="P798" s="143"/>
      <c r="Q798" s="2241"/>
      <c r="R798" s="2239"/>
      <c r="S798" s="2239"/>
      <c r="T798" s="2239"/>
      <c r="U798" s="2239"/>
      <c r="V798" s="2239"/>
      <c r="W798" s="2239"/>
    </row>
    <row r="799" spans="1:23" ht="49.5" customHeight="1" x14ac:dyDescent="0.25">
      <c r="A799" s="402"/>
      <c r="B799" s="403"/>
      <c r="C799" s="404"/>
      <c r="D799" s="404"/>
      <c r="E799" s="404"/>
      <c r="F799" s="405"/>
      <c r="G799" s="2767" t="s">
        <v>1959</v>
      </c>
      <c r="H799" s="2767"/>
      <c r="I799" s="2767"/>
      <c r="J799" s="2767"/>
      <c r="K799" s="2767"/>
      <c r="L799" s="2768"/>
      <c r="M799" s="143" t="s">
        <v>3172</v>
      </c>
      <c r="N799" s="143" t="s">
        <v>3173</v>
      </c>
      <c r="O799" s="143">
        <v>0.75</v>
      </c>
      <c r="P799" s="143"/>
      <c r="Q799" s="2241"/>
      <c r="R799" s="295"/>
      <c r="S799" s="295"/>
      <c r="T799" s="295"/>
      <c r="U799" s="295"/>
      <c r="V799" s="295"/>
      <c r="W799" s="295"/>
    </row>
    <row r="800" spans="1:23" ht="37.5" customHeight="1" x14ac:dyDescent="0.25">
      <c r="A800" s="402"/>
      <c r="B800" s="403"/>
      <c r="C800" s="404"/>
      <c r="D800" s="404"/>
      <c r="E800" s="404"/>
      <c r="F800" s="405"/>
      <c r="G800" s="273" t="s">
        <v>696</v>
      </c>
      <c r="H800" s="72" t="s">
        <v>697</v>
      </c>
      <c r="I800" s="70" t="s">
        <v>698</v>
      </c>
      <c r="J800" s="42">
        <v>0.36</v>
      </c>
      <c r="K800" s="143"/>
      <c r="L800" s="142"/>
      <c r="M800" s="1697" t="s">
        <v>699</v>
      </c>
      <c r="N800" s="1697" t="s">
        <v>16948</v>
      </c>
      <c r="O800" s="143">
        <v>7.4999999999999997E-2</v>
      </c>
      <c r="P800" s="143"/>
      <c r="Q800" s="2241"/>
      <c r="R800" s="2239"/>
      <c r="S800" s="2239"/>
      <c r="T800" s="2239"/>
      <c r="U800" s="2239"/>
      <c r="V800" s="2239"/>
      <c r="W800" s="2239"/>
    </row>
    <row r="801" spans="1:23" ht="20.100000000000001" customHeight="1" x14ac:dyDescent="0.25">
      <c r="A801" s="402"/>
      <c r="B801" s="403"/>
      <c r="C801" s="404"/>
      <c r="D801" s="404"/>
      <c r="E801" s="404"/>
      <c r="F801" s="405"/>
      <c r="G801" s="267" t="s">
        <v>696</v>
      </c>
      <c r="H801" s="142" t="s">
        <v>697</v>
      </c>
      <c r="I801" s="70" t="s">
        <v>714</v>
      </c>
      <c r="J801" s="143">
        <v>0.14499999999999999</v>
      </c>
      <c r="K801" s="143"/>
      <c r="L801" s="142"/>
      <c r="M801" s="143"/>
      <c r="N801" s="143"/>
      <c r="O801" s="143"/>
      <c r="P801" s="143"/>
      <c r="Q801" s="2241"/>
      <c r="R801" s="2239"/>
      <c r="S801" s="2239"/>
      <c r="T801" s="2239"/>
      <c r="U801" s="2239"/>
      <c r="V801" s="2239"/>
      <c r="W801" s="2239"/>
    </row>
    <row r="802" spans="1:23" ht="20.100000000000001" customHeight="1" x14ac:dyDescent="0.25">
      <c r="A802" s="402"/>
      <c r="B802" s="403"/>
      <c r="C802" s="404"/>
      <c r="D802" s="404"/>
      <c r="E802" s="404"/>
      <c r="F802" s="405"/>
      <c r="G802" s="2767" t="s">
        <v>2032</v>
      </c>
      <c r="H802" s="2767"/>
      <c r="I802" s="2767"/>
      <c r="J802" s="2767"/>
      <c r="K802" s="2767"/>
      <c r="L802" s="2768"/>
      <c r="M802" s="143"/>
      <c r="N802" s="143"/>
      <c r="O802" s="151"/>
      <c r="P802" s="151"/>
      <c r="Q802" s="2228"/>
      <c r="R802" s="295"/>
      <c r="S802" s="295"/>
      <c r="T802" s="295"/>
      <c r="U802" s="295"/>
      <c r="V802" s="295"/>
      <c r="W802" s="295"/>
    </row>
    <row r="803" spans="1:23" ht="43.5" customHeight="1" x14ac:dyDescent="0.25">
      <c r="A803" s="402"/>
      <c r="B803" s="403"/>
      <c r="C803" s="404"/>
      <c r="D803" s="404"/>
      <c r="E803" s="404"/>
      <c r="F803" s="405"/>
      <c r="G803" s="263" t="s">
        <v>699</v>
      </c>
      <c r="H803" s="159" t="s">
        <v>700</v>
      </c>
      <c r="I803" s="647" t="s">
        <v>2325</v>
      </c>
      <c r="J803" s="159">
        <v>7.4999999999999997E-2</v>
      </c>
      <c r="K803" s="159"/>
      <c r="L803" s="157"/>
      <c r="M803" s="151"/>
      <c r="N803" s="151"/>
      <c r="O803" s="151"/>
      <c r="P803" s="151"/>
      <c r="Q803" s="2228"/>
      <c r="R803" s="2239"/>
      <c r="S803" s="2239"/>
      <c r="T803" s="215"/>
      <c r="U803" s="2239"/>
      <c r="V803" s="2239"/>
      <c r="W803" s="2239"/>
    </row>
    <row r="804" spans="1:23" ht="18.75" customHeight="1" x14ac:dyDescent="0.25">
      <c r="A804" s="623"/>
      <c r="B804" s="624"/>
      <c r="C804" s="625"/>
      <c r="D804" s="625"/>
      <c r="E804" s="625"/>
      <c r="F804" s="622"/>
      <c r="G804" s="2767" t="s">
        <v>2477</v>
      </c>
      <c r="H804" s="2767"/>
      <c r="I804" s="2767"/>
      <c r="J804" s="2767"/>
      <c r="K804" s="2767"/>
      <c r="L804" s="2768"/>
      <c r="M804" s="143"/>
      <c r="N804" s="143"/>
      <c r="O804" s="143"/>
      <c r="P804" s="143"/>
      <c r="Q804" s="2228"/>
      <c r="R804" s="2239"/>
      <c r="S804" s="2239"/>
      <c r="T804" s="215"/>
      <c r="U804" s="2239"/>
      <c r="V804" s="2239"/>
      <c r="W804" s="2239"/>
    </row>
    <row r="805" spans="1:23" ht="43.5" customHeight="1" x14ac:dyDescent="0.25">
      <c r="A805" s="623"/>
      <c r="B805" s="624"/>
      <c r="C805" s="625"/>
      <c r="D805" s="625"/>
      <c r="E805" s="625"/>
      <c r="F805" s="622"/>
      <c r="G805" s="143" t="s">
        <v>2529</v>
      </c>
      <c r="H805" s="143" t="s">
        <v>2530</v>
      </c>
      <c r="I805" s="214" t="s">
        <v>2550</v>
      </c>
      <c r="J805" s="143">
        <v>1.7250000000000001</v>
      </c>
      <c r="K805" s="143"/>
      <c r="L805" s="142"/>
      <c r="M805" s="143"/>
      <c r="N805" s="143"/>
      <c r="O805" s="143"/>
      <c r="P805" s="143"/>
      <c r="Q805" s="2228"/>
      <c r="R805" s="2239"/>
      <c r="S805" s="2239"/>
      <c r="T805" s="215"/>
      <c r="U805" s="2239"/>
      <c r="V805" s="2239"/>
      <c r="W805" s="2239"/>
    </row>
    <row r="806" spans="1:23" ht="23.25" customHeight="1" x14ac:dyDescent="0.25">
      <c r="A806" s="1592"/>
      <c r="B806" s="1598"/>
      <c r="C806" s="1601"/>
      <c r="D806" s="1601"/>
      <c r="E806" s="1601"/>
      <c r="F806" s="1599"/>
      <c r="G806" s="2767" t="s">
        <v>3447</v>
      </c>
      <c r="H806" s="2767"/>
      <c r="I806" s="2767"/>
      <c r="J806" s="2767"/>
      <c r="K806" s="2767"/>
      <c r="L806" s="2768"/>
      <c r="M806" s="1595"/>
      <c r="N806" s="1597"/>
      <c r="O806" s="1593"/>
      <c r="P806" s="1593"/>
      <c r="Q806" s="2228"/>
      <c r="R806" s="2239"/>
      <c r="S806" s="2239"/>
      <c r="T806" s="215"/>
      <c r="U806" s="2239"/>
      <c r="V806" s="2239"/>
      <c r="W806" s="2239"/>
    </row>
    <row r="807" spans="1:23" ht="43.5" customHeight="1" x14ac:dyDescent="0.25">
      <c r="A807" s="1592"/>
      <c r="B807" s="1598"/>
      <c r="C807" s="1601"/>
      <c r="D807" s="1601"/>
      <c r="E807" s="1601"/>
      <c r="F807" s="1599"/>
      <c r="G807" s="2784" t="s">
        <v>3401</v>
      </c>
      <c r="H807" s="2785"/>
      <c r="I807" s="2786"/>
      <c r="J807" s="775">
        <f>0.112*0.9</f>
        <v>0.1008</v>
      </c>
      <c r="K807" s="1594"/>
      <c r="L807" s="1609"/>
      <c r="M807" s="1595"/>
      <c r="N807" s="1597"/>
      <c r="O807" s="1593"/>
      <c r="P807" s="1593"/>
      <c r="Q807" s="2228"/>
      <c r="R807" s="2239"/>
      <c r="S807" s="2239"/>
      <c r="T807" s="215"/>
      <c r="U807" s="2239"/>
      <c r="V807" s="2239"/>
      <c r="W807" s="2239"/>
    </row>
    <row r="808" spans="1:23" ht="43.5" customHeight="1" x14ac:dyDescent="0.25">
      <c r="A808" s="2091"/>
      <c r="B808" s="2073"/>
      <c r="C808" s="2074"/>
      <c r="D808" s="2074"/>
      <c r="E808" s="2074"/>
      <c r="F808" s="2077"/>
      <c r="G808" s="2767" t="s">
        <v>17005</v>
      </c>
      <c r="H808" s="2767"/>
      <c r="I808" s="2767"/>
      <c r="J808" s="2767"/>
      <c r="K808" s="2767"/>
      <c r="L808" s="2768"/>
      <c r="M808" s="2083"/>
      <c r="N808" s="2085"/>
      <c r="O808" s="2090"/>
      <c r="P808" s="2090"/>
      <c r="Q808" s="2228"/>
      <c r="R808" s="2239"/>
      <c r="S808" s="2239"/>
      <c r="T808" s="215"/>
      <c r="U808" s="2239"/>
      <c r="V808" s="2239"/>
      <c r="W808" s="2239"/>
    </row>
    <row r="809" spans="1:23" ht="43.5" customHeight="1" x14ac:dyDescent="0.25">
      <c r="A809" s="2091"/>
      <c r="B809" s="2073"/>
      <c r="C809" s="2074"/>
      <c r="D809" s="2074"/>
      <c r="E809" s="2074"/>
      <c r="F809" s="2077"/>
      <c r="G809" s="2094" t="s">
        <v>19833</v>
      </c>
      <c r="H809" s="2094" t="s">
        <v>19834</v>
      </c>
      <c r="I809" s="2095" t="s">
        <v>19835</v>
      </c>
      <c r="J809" s="149">
        <f>0.1*9</f>
        <v>0.9</v>
      </c>
      <c r="K809" s="149"/>
      <c r="L809" s="149"/>
      <c r="M809" s="2083"/>
      <c r="N809" s="2085"/>
      <c r="O809" s="2090"/>
      <c r="P809" s="2090"/>
      <c r="Q809" s="2228"/>
      <c r="R809" s="2239"/>
      <c r="S809" s="2239"/>
      <c r="T809" s="215"/>
      <c r="U809" s="2239"/>
      <c r="V809" s="2239"/>
      <c r="W809" s="2239"/>
    </row>
    <row r="810" spans="1:23" ht="20.100000000000001" customHeight="1" thickBot="1" x14ac:dyDescent="0.3">
      <c r="A810" s="406"/>
      <c r="B810" s="395"/>
      <c r="C810" s="396"/>
      <c r="D810" s="396"/>
      <c r="E810" s="396"/>
      <c r="F810" s="397"/>
      <c r="G810" s="2636" t="s">
        <v>1833</v>
      </c>
      <c r="H810" s="2636"/>
      <c r="I810" s="2637"/>
      <c r="J810" s="136">
        <f>SUM(J807:J809)</f>
        <v>1.0007999999999999</v>
      </c>
      <c r="K810" s="183">
        <v>0.92</v>
      </c>
      <c r="L810" s="136">
        <f>J810/K810</f>
        <v>1.0878260869565215</v>
      </c>
      <c r="M810" s="2652" t="s">
        <v>1834</v>
      </c>
      <c r="N810" s="2637"/>
      <c r="O810" s="136">
        <f>SUM(O791:O801)</f>
        <v>0.87</v>
      </c>
      <c r="P810" s="183">
        <v>0.92</v>
      </c>
      <c r="Q810" s="275">
        <f>O810/P810</f>
        <v>0.94565217391304346</v>
      </c>
      <c r="R810" s="2636" t="s">
        <v>1833</v>
      </c>
      <c r="S810" s="2636"/>
      <c r="T810" s="2637"/>
      <c r="U810" s="136">
        <f>SUM(U791:U809)</f>
        <v>1.3</v>
      </c>
      <c r="V810" s="183">
        <v>0.92</v>
      </c>
      <c r="W810" s="136">
        <f>U810/V810</f>
        <v>1.4130434782608696</v>
      </c>
    </row>
    <row r="811" spans="1:23" s="67" customFormat="1" ht="20.100000000000001" customHeight="1" x14ac:dyDescent="0.25">
      <c r="A811" s="2776" t="str">
        <f>Итоговая!C349</f>
        <v xml:space="preserve">ПС 35/6 кВ №18  </v>
      </c>
      <c r="B811" s="2630">
        <f>Итоговая!D349</f>
        <v>16</v>
      </c>
      <c r="C811" s="2632" t="str">
        <f>Итоговая!E349</f>
        <v>+</v>
      </c>
      <c r="D811" s="2632">
        <f>Итоговая!F349</f>
        <v>10</v>
      </c>
      <c r="E811" s="2632" t="str">
        <f>Итоговая!G349</f>
        <v>+</v>
      </c>
      <c r="F811" s="2634">
        <f>Итоговая!H349</f>
        <v>10</v>
      </c>
      <c r="G811" s="2809" t="s">
        <v>1960</v>
      </c>
      <c r="H811" s="2809"/>
      <c r="I811" s="2809"/>
      <c r="J811" s="2809"/>
      <c r="K811" s="2809"/>
      <c r="L811" s="2774"/>
      <c r="M811" s="55"/>
      <c r="N811" s="199"/>
      <c r="O811" s="157"/>
      <c r="P811" s="157"/>
      <c r="Q811" s="157"/>
      <c r="R811" s="2812"/>
      <c r="S811" s="2813"/>
      <c r="T811" s="2813"/>
      <c r="U811" s="2813"/>
      <c r="V811" s="2813"/>
      <c r="W811" s="2795"/>
    </row>
    <row r="812" spans="1:23" ht="45.75" customHeight="1" x14ac:dyDescent="0.25">
      <c r="A812" s="2777"/>
      <c r="B812" s="2631"/>
      <c r="C812" s="2633"/>
      <c r="D812" s="2633"/>
      <c r="E812" s="2633"/>
      <c r="F812" s="2635"/>
      <c r="G812" s="66" t="s">
        <v>305</v>
      </c>
      <c r="H812" s="2" t="s">
        <v>306</v>
      </c>
      <c r="I812" s="2" t="s">
        <v>307</v>
      </c>
      <c r="J812" s="2">
        <v>5.5E-2</v>
      </c>
      <c r="K812" s="2"/>
      <c r="L812" s="142"/>
      <c r="M812" s="2" t="s">
        <v>308</v>
      </c>
      <c r="N812" s="2" t="s">
        <v>309</v>
      </c>
      <c r="O812" s="143">
        <v>0.55000000000000004</v>
      </c>
      <c r="P812" s="143"/>
      <c r="Q812" s="143"/>
      <c r="R812" s="142"/>
      <c r="S812" s="142"/>
      <c r="T812" s="142"/>
      <c r="U812" s="142"/>
      <c r="V812" s="142"/>
      <c r="W812" s="142"/>
    </row>
    <row r="813" spans="1:23" ht="20.100000000000001" customHeight="1" x14ac:dyDescent="0.25">
      <c r="A813" s="2777"/>
      <c r="B813" s="2631"/>
      <c r="C813" s="2633"/>
      <c r="D813" s="2633"/>
      <c r="E813" s="2633"/>
      <c r="F813" s="2635"/>
      <c r="G813" s="66"/>
      <c r="H813" s="2"/>
      <c r="I813" s="2"/>
      <c r="J813" s="2"/>
      <c r="K813" s="2"/>
      <c r="L813" s="142"/>
      <c r="M813" s="2" t="s">
        <v>311</v>
      </c>
      <c r="N813" s="2" t="s">
        <v>312</v>
      </c>
      <c r="O813" s="143">
        <v>0.48</v>
      </c>
      <c r="P813" s="143"/>
      <c r="Q813" s="143"/>
      <c r="R813" s="142"/>
      <c r="S813" s="142"/>
      <c r="T813" s="142"/>
      <c r="U813" s="142"/>
      <c r="V813" s="142"/>
      <c r="W813" s="142"/>
    </row>
    <row r="814" spans="1:23" ht="20.100000000000001" customHeight="1" x14ac:dyDescent="0.25">
      <c r="A814" s="2777"/>
      <c r="B814" s="2631"/>
      <c r="C814" s="2633"/>
      <c r="D814" s="2633"/>
      <c r="E814" s="2633"/>
      <c r="F814" s="2635"/>
      <c r="G814" s="66"/>
      <c r="H814" s="2"/>
      <c r="I814" s="2"/>
      <c r="J814" s="2"/>
      <c r="K814" s="2"/>
      <c r="L814" s="142"/>
      <c r="M814" s="2" t="s">
        <v>313</v>
      </c>
      <c r="N814" s="2" t="s">
        <v>314</v>
      </c>
      <c r="O814" s="143">
        <v>6.7000000000000004E-2</v>
      </c>
      <c r="P814" s="143"/>
      <c r="Q814" s="143"/>
      <c r="R814" s="142"/>
      <c r="S814" s="142"/>
      <c r="T814" s="142"/>
      <c r="U814" s="142"/>
      <c r="V814" s="142"/>
      <c r="W814" s="142"/>
    </row>
    <row r="815" spans="1:23" ht="20.100000000000001" customHeight="1" x14ac:dyDescent="0.25">
      <c r="A815" s="763"/>
      <c r="B815" s="764"/>
      <c r="C815" s="766"/>
      <c r="D815" s="766"/>
      <c r="E815" s="766"/>
      <c r="F815" s="762"/>
      <c r="G815" s="2"/>
      <c r="H815" s="2"/>
      <c r="I815" s="2"/>
      <c r="J815" s="2"/>
      <c r="K815" s="2"/>
      <c r="L815" s="142"/>
      <c r="M815" s="2" t="s">
        <v>2830</v>
      </c>
      <c r="N815" s="2" t="s">
        <v>2831</v>
      </c>
      <c r="O815" s="143">
        <v>0.08</v>
      </c>
      <c r="P815" s="143"/>
      <c r="Q815" s="143"/>
      <c r="R815" s="142"/>
      <c r="S815" s="142"/>
      <c r="T815" s="142"/>
      <c r="U815" s="142"/>
      <c r="V815" s="142"/>
      <c r="W815" s="142"/>
    </row>
    <row r="816" spans="1:23" ht="20.100000000000001" customHeight="1" x14ac:dyDescent="0.25">
      <c r="A816" s="1002"/>
      <c r="B816" s="1003"/>
      <c r="C816" s="1005"/>
      <c r="D816" s="1005"/>
      <c r="E816" s="1005"/>
      <c r="F816" s="1004"/>
      <c r="G816" s="203"/>
      <c r="H816" s="203"/>
      <c r="I816" s="121"/>
      <c r="J816" s="70"/>
      <c r="K816" s="70"/>
      <c r="L816" s="149"/>
      <c r="M816" s="2" t="s">
        <v>2172</v>
      </c>
      <c r="N816" s="2" t="s">
        <v>3056</v>
      </c>
      <c r="O816" s="143">
        <f>0.15-0.05</f>
        <v>9.9999999999999992E-2</v>
      </c>
      <c r="P816" s="151"/>
      <c r="Q816" s="151"/>
      <c r="R816" s="147"/>
      <c r="S816" s="365"/>
      <c r="T816" s="176"/>
      <c r="U816" s="149"/>
      <c r="V816" s="149"/>
      <c r="W816" s="149"/>
    </row>
    <row r="817" spans="1:23" ht="20.100000000000001" customHeight="1" thickBot="1" x14ac:dyDescent="0.3">
      <c r="A817" s="406"/>
      <c r="B817" s="395"/>
      <c r="C817" s="396"/>
      <c r="D817" s="396"/>
      <c r="E817" s="396"/>
      <c r="F817" s="397"/>
      <c r="G817" s="2636" t="s">
        <v>1833</v>
      </c>
      <c r="H817" s="2636"/>
      <c r="I817" s="2637"/>
      <c r="J817" s="136">
        <f>SUM(0)</f>
        <v>0</v>
      </c>
      <c r="K817" s="183">
        <v>0.92</v>
      </c>
      <c r="L817" s="136">
        <f>J817/K817</f>
        <v>0</v>
      </c>
      <c r="M817" s="2652" t="s">
        <v>1834</v>
      </c>
      <c r="N817" s="2637"/>
      <c r="O817" s="136">
        <f>SUM(O812:O816)</f>
        <v>1.2770000000000001</v>
      </c>
      <c r="P817" s="183">
        <v>0.92</v>
      </c>
      <c r="Q817" s="136">
        <f>O817/P817</f>
        <v>1.3880434782608697</v>
      </c>
      <c r="R817" s="2652" t="s">
        <v>1833</v>
      </c>
      <c r="S817" s="2636"/>
      <c r="T817" s="2637"/>
      <c r="U817" s="136">
        <f>SUM(U812:U814)</f>
        <v>0</v>
      </c>
      <c r="V817" s="183">
        <v>0.92</v>
      </c>
      <c r="W817" s="136">
        <f>U817/V817</f>
        <v>0</v>
      </c>
    </row>
    <row r="818" spans="1:23" s="67" customFormat="1" ht="20.100000000000001" customHeight="1" x14ac:dyDescent="0.25">
      <c r="A818" s="2776" t="str">
        <f>Итоговая!C350</f>
        <v xml:space="preserve">ПС 35/6  кВ Затверецкая </v>
      </c>
      <c r="B818" s="2630">
        <f>Итоговая!D350</f>
        <v>10</v>
      </c>
      <c r="C818" s="2632" t="str">
        <f>Итоговая!E350</f>
        <v>+</v>
      </c>
      <c r="D818" s="2632">
        <f>Итоговая!F350</f>
        <v>10</v>
      </c>
      <c r="E818" s="2632" t="str">
        <f>Итоговая!G350</f>
        <v>+</v>
      </c>
      <c r="F818" s="2634">
        <f>Итоговая!H350</f>
        <v>10</v>
      </c>
      <c r="G818" s="2808" t="s">
        <v>1961</v>
      </c>
      <c r="H818" s="2808"/>
      <c r="I818" s="2808"/>
      <c r="J818" s="2808"/>
      <c r="K818" s="2808"/>
      <c r="L818" s="2800"/>
      <c r="M818" s="133"/>
      <c r="N818" s="175"/>
      <c r="O818" s="77"/>
      <c r="P818" s="77"/>
      <c r="Q818" s="77"/>
      <c r="R818" s="2811"/>
      <c r="S818" s="2791"/>
      <c r="T818" s="2791"/>
      <c r="U818" s="2791"/>
      <c r="V818" s="2791"/>
      <c r="W818" s="2792"/>
    </row>
    <row r="819" spans="1:23" s="116" customFormat="1" ht="50.25" customHeight="1" x14ac:dyDescent="0.25">
      <c r="A819" s="2777"/>
      <c r="B819" s="2631"/>
      <c r="C819" s="2633"/>
      <c r="D819" s="2633"/>
      <c r="E819" s="2633"/>
      <c r="F819" s="2635"/>
      <c r="G819" s="273" t="s">
        <v>315</v>
      </c>
      <c r="H819" s="72" t="s">
        <v>316</v>
      </c>
      <c r="I819" s="72" t="s">
        <v>317</v>
      </c>
      <c r="J819" s="186">
        <v>0.19</v>
      </c>
      <c r="K819" s="42"/>
      <c r="L819" s="72"/>
      <c r="M819" s="42" t="s">
        <v>318</v>
      </c>
      <c r="N819" s="42" t="s">
        <v>319</v>
      </c>
      <c r="O819" s="159">
        <v>0.05</v>
      </c>
      <c r="P819" s="42"/>
      <c r="Q819" s="42"/>
      <c r="R819" s="2206" t="s">
        <v>3610</v>
      </c>
      <c r="S819" s="2206" t="s">
        <v>3611</v>
      </c>
      <c r="T819" s="2244" t="s">
        <v>20044</v>
      </c>
      <c r="U819" s="149">
        <f>0.1*0.9</f>
        <v>9.0000000000000011E-2</v>
      </c>
      <c r="V819" s="72"/>
      <c r="W819" s="72"/>
    </row>
    <row r="820" spans="1:23" ht="20.100000000000001" customHeight="1" x14ac:dyDescent="0.25">
      <c r="A820" s="2777"/>
      <c r="B820" s="2631"/>
      <c r="C820" s="2633"/>
      <c r="D820" s="2633"/>
      <c r="E820" s="2633"/>
      <c r="F820" s="2635"/>
      <c r="G820" s="267" t="s">
        <v>320</v>
      </c>
      <c r="H820" s="142" t="s">
        <v>321</v>
      </c>
      <c r="I820" s="142" t="s">
        <v>322</v>
      </c>
      <c r="J820" s="6">
        <v>0.3</v>
      </c>
      <c r="K820" s="143"/>
      <c r="L820" s="142"/>
      <c r="M820" s="143" t="s">
        <v>1056</v>
      </c>
      <c r="N820" s="143" t="s">
        <v>323</v>
      </c>
      <c r="O820" s="143">
        <v>0.6</v>
      </c>
      <c r="P820" s="143"/>
      <c r="Q820" s="143"/>
      <c r="R820" s="142"/>
      <c r="S820" s="142"/>
      <c r="T820" s="142"/>
      <c r="U820" s="26"/>
      <c r="V820" s="142"/>
      <c r="W820" s="142"/>
    </row>
    <row r="821" spans="1:23" ht="20.100000000000001" customHeight="1" x14ac:dyDescent="0.25">
      <c r="A821" s="411"/>
      <c r="B821" s="566"/>
      <c r="C821" s="568"/>
      <c r="D821" s="568"/>
      <c r="E821" s="568"/>
      <c r="F821" s="569"/>
      <c r="G821" s="267" t="s">
        <v>324</v>
      </c>
      <c r="H821" s="142" t="s">
        <v>325</v>
      </c>
      <c r="I821" s="142" t="s">
        <v>326</v>
      </c>
      <c r="J821" s="46">
        <v>7.1999999999999995E-2</v>
      </c>
      <c r="K821" s="142"/>
      <c r="L821" s="142"/>
      <c r="M821" s="142" t="s">
        <v>80</v>
      </c>
      <c r="N821" s="142" t="s">
        <v>81</v>
      </c>
      <c r="O821" s="143">
        <v>0.6</v>
      </c>
      <c r="P821" s="143"/>
      <c r="Q821" s="143"/>
      <c r="R821" s="142"/>
      <c r="S821" s="142"/>
      <c r="T821" s="142"/>
      <c r="U821" s="46"/>
      <c r="V821" s="142"/>
      <c r="W821" s="142"/>
    </row>
    <row r="822" spans="1:23" ht="42" customHeight="1" x14ac:dyDescent="0.25">
      <c r="A822" s="411"/>
      <c r="B822" s="566"/>
      <c r="C822" s="568"/>
      <c r="D822" s="568"/>
      <c r="E822" s="568"/>
      <c r="F822" s="569"/>
      <c r="G822" s="267" t="s">
        <v>82</v>
      </c>
      <c r="H822" s="142" t="s">
        <v>327</v>
      </c>
      <c r="I822" s="142" t="s">
        <v>328</v>
      </c>
      <c r="J822" s="142">
        <v>1.7999999999999999E-2</v>
      </c>
      <c r="K822" s="142"/>
      <c r="L822" s="142"/>
      <c r="M822" s="143" t="s">
        <v>329</v>
      </c>
      <c r="N822" s="143" t="s">
        <v>83</v>
      </c>
      <c r="O822" s="143">
        <v>0.01</v>
      </c>
      <c r="P822" s="143"/>
      <c r="Q822" s="143"/>
      <c r="R822" s="142"/>
      <c r="S822" s="142"/>
      <c r="T822" s="142"/>
      <c r="U822" s="142"/>
      <c r="V822" s="142"/>
      <c r="W822" s="142"/>
    </row>
    <row r="823" spans="1:23" ht="20.100000000000001" customHeight="1" x14ac:dyDescent="0.25">
      <c r="A823" s="411"/>
      <c r="B823" s="566"/>
      <c r="C823" s="568"/>
      <c r="D823" s="568"/>
      <c r="E823" s="568"/>
      <c r="F823" s="569"/>
      <c r="G823" s="2767" t="s">
        <v>1960</v>
      </c>
      <c r="H823" s="2767"/>
      <c r="I823" s="2767"/>
      <c r="J823" s="2767"/>
      <c r="K823" s="2767"/>
      <c r="L823" s="2768"/>
      <c r="M823" s="143"/>
      <c r="N823" s="143"/>
      <c r="O823" s="143"/>
      <c r="P823" s="143"/>
      <c r="Q823" s="143"/>
      <c r="R823" s="2771"/>
      <c r="S823" s="2772"/>
      <c r="T823" s="2772"/>
      <c r="U823" s="2772"/>
      <c r="V823" s="2772"/>
      <c r="W823" s="2468"/>
    </row>
    <row r="824" spans="1:23" ht="48.75" customHeight="1" x14ac:dyDescent="0.25">
      <c r="A824" s="411"/>
      <c r="B824" s="566"/>
      <c r="C824" s="568"/>
      <c r="D824" s="568"/>
      <c r="E824" s="568"/>
      <c r="F824" s="569"/>
      <c r="G824" s="184" t="s">
        <v>84</v>
      </c>
      <c r="H824" s="143" t="s">
        <v>85</v>
      </c>
      <c r="I824" s="142" t="s">
        <v>2350</v>
      </c>
      <c r="J824" s="143">
        <v>0.1</v>
      </c>
      <c r="K824" s="143"/>
      <c r="L824" s="142"/>
      <c r="M824" s="143" t="s">
        <v>86</v>
      </c>
      <c r="N824" s="143" t="s">
        <v>87</v>
      </c>
      <c r="O824" s="143">
        <v>0.05</v>
      </c>
      <c r="P824" s="143"/>
      <c r="Q824" s="143"/>
      <c r="R824" s="142"/>
      <c r="S824" s="142"/>
      <c r="T824" s="142"/>
      <c r="U824" s="142"/>
      <c r="V824" s="142"/>
      <c r="W824" s="142"/>
    </row>
    <row r="825" spans="1:23" ht="20.100000000000001" customHeight="1" x14ac:dyDescent="0.25">
      <c r="A825" s="411"/>
      <c r="B825" s="566"/>
      <c r="C825" s="568"/>
      <c r="D825" s="568"/>
      <c r="E825" s="568"/>
      <c r="F825" s="569"/>
      <c r="G825" s="2767" t="s">
        <v>1959</v>
      </c>
      <c r="H825" s="2767"/>
      <c r="I825" s="2767"/>
      <c r="J825" s="2767"/>
      <c r="K825" s="2767"/>
      <c r="L825" s="2768"/>
      <c r="M825" s="143"/>
      <c r="N825" s="143"/>
      <c r="O825" s="143"/>
      <c r="P825" s="143"/>
      <c r="Q825" s="143"/>
      <c r="R825" s="2771"/>
      <c r="S825" s="2772"/>
      <c r="T825" s="2772"/>
      <c r="U825" s="2772"/>
      <c r="V825" s="2772"/>
      <c r="W825" s="2468"/>
    </row>
    <row r="826" spans="1:23" ht="20.100000000000001" customHeight="1" x14ac:dyDescent="0.25">
      <c r="A826" s="411"/>
      <c r="B826" s="566"/>
      <c r="C826" s="568"/>
      <c r="D826" s="568"/>
      <c r="E826" s="568"/>
      <c r="F826" s="569"/>
      <c r="G826" s="267" t="s">
        <v>88</v>
      </c>
      <c r="H826" s="142" t="s">
        <v>89</v>
      </c>
      <c r="I826" s="142" t="s">
        <v>90</v>
      </c>
      <c r="J826" s="143">
        <v>7.0000000000000007E-2</v>
      </c>
      <c r="K826" s="143"/>
      <c r="L826" s="142"/>
      <c r="M826" s="143" t="s">
        <v>336</v>
      </c>
      <c r="N826" s="143" t="s">
        <v>337</v>
      </c>
      <c r="O826" s="143">
        <v>0.2</v>
      </c>
      <c r="P826" s="143"/>
      <c r="Q826" s="143"/>
      <c r="R826" s="142"/>
      <c r="S826" s="142"/>
      <c r="T826" s="142"/>
      <c r="U826" s="142"/>
      <c r="V826" s="142"/>
      <c r="W826" s="142"/>
    </row>
    <row r="827" spans="1:23" ht="72.75" customHeight="1" x14ac:dyDescent="0.25">
      <c r="A827" s="411"/>
      <c r="B827" s="566"/>
      <c r="C827" s="568"/>
      <c r="D827" s="568"/>
      <c r="E827" s="568"/>
      <c r="F827" s="569"/>
      <c r="G827" s="267" t="s">
        <v>338</v>
      </c>
      <c r="H827" s="142" t="s">
        <v>339</v>
      </c>
      <c r="I827" s="214" t="s">
        <v>2302</v>
      </c>
      <c r="J827" s="143">
        <v>0.1</v>
      </c>
      <c r="K827" s="143"/>
      <c r="L827" s="142"/>
      <c r="M827" s="1355" t="s">
        <v>340</v>
      </c>
      <c r="N827" s="1355" t="s">
        <v>341</v>
      </c>
      <c r="O827" s="1355">
        <v>0.05</v>
      </c>
      <c r="P827" s="143"/>
      <c r="Q827" s="143"/>
      <c r="R827" s="142"/>
      <c r="S827" s="142"/>
      <c r="T827" s="215"/>
      <c r="U827" s="142"/>
      <c r="V827" s="142"/>
      <c r="W827" s="142"/>
    </row>
    <row r="828" spans="1:23" ht="21" customHeight="1" x14ac:dyDescent="0.25">
      <c r="A828" s="411"/>
      <c r="B828" s="566"/>
      <c r="C828" s="568"/>
      <c r="D828" s="568"/>
      <c r="E828" s="568"/>
      <c r="F828" s="569"/>
      <c r="G828" s="2767" t="s">
        <v>2032</v>
      </c>
      <c r="H828" s="2767"/>
      <c r="I828" s="2767"/>
      <c r="J828" s="2767"/>
      <c r="K828" s="2767"/>
      <c r="L828" s="2768"/>
      <c r="M828" s="1355" t="s">
        <v>344</v>
      </c>
      <c r="N828" s="1355" t="s">
        <v>345</v>
      </c>
      <c r="O828" s="1355">
        <v>3.5000000000000003E-2</v>
      </c>
      <c r="P828" s="143"/>
      <c r="Q828" s="143"/>
      <c r="R828" s="2771"/>
      <c r="S828" s="2772"/>
      <c r="T828" s="2772"/>
      <c r="U828" s="2772"/>
      <c r="V828" s="2772"/>
      <c r="W828" s="2468"/>
    </row>
    <row r="829" spans="1:23" ht="73.5" customHeight="1" x14ac:dyDescent="0.25">
      <c r="A829" s="411"/>
      <c r="B829" s="566"/>
      <c r="C829" s="568"/>
      <c r="D829" s="568"/>
      <c r="E829" s="568"/>
      <c r="F829" s="569"/>
      <c r="G829" s="184" t="s">
        <v>342</v>
      </c>
      <c r="H829" s="143" t="s">
        <v>343</v>
      </c>
      <c r="I829" s="214" t="s">
        <v>2217</v>
      </c>
      <c r="J829" s="143">
        <v>0.5</v>
      </c>
      <c r="K829" s="143"/>
      <c r="L829" s="142"/>
      <c r="M829" s="1355" t="s">
        <v>346</v>
      </c>
      <c r="N829" s="1355" t="s">
        <v>347</v>
      </c>
      <c r="O829" s="1355">
        <v>0.20799999999999999</v>
      </c>
      <c r="P829" s="143"/>
      <c r="Q829" s="143"/>
      <c r="R829" s="142"/>
      <c r="S829" s="142"/>
      <c r="T829" s="215"/>
      <c r="U829" s="142"/>
      <c r="V829" s="142"/>
      <c r="W829" s="142"/>
    </row>
    <row r="830" spans="1:23" ht="20.100000000000001" customHeight="1" x14ac:dyDescent="0.25">
      <c r="A830" s="411"/>
      <c r="B830" s="566"/>
      <c r="C830" s="568"/>
      <c r="D830" s="568"/>
      <c r="E830" s="568"/>
      <c r="F830" s="569"/>
      <c r="G830" s="2767" t="s">
        <v>2477</v>
      </c>
      <c r="H830" s="2767"/>
      <c r="I830" s="2767"/>
      <c r="J830" s="2767"/>
      <c r="K830" s="2767"/>
      <c r="L830" s="2768"/>
      <c r="M830" s="1355" t="s">
        <v>2172</v>
      </c>
      <c r="N830" s="1355" t="s">
        <v>2573</v>
      </c>
      <c r="O830" s="1355">
        <v>0.06</v>
      </c>
      <c r="P830" s="143"/>
      <c r="Q830" s="143"/>
      <c r="R830" s="142"/>
      <c r="S830" s="142"/>
      <c r="T830" s="142"/>
      <c r="U830" s="142"/>
      <c r="V830" s="142"/>
      <c r="W830" s="142"/>
    </row>
    <row r="831" spans="1:23" ht="20.100000000000001" customHeight="1" x14ac:dyDescent="0.25">
      <c r="A831" s="411"/>
      <c r="B831" s="566"/>
      <c r="C831" s="568"/>
      <c r="D831" s="568"/>
      <c r="E831" s="568"/>
      <c r="F831" s="569"/>
      <c r="G831" s="143" t="s">
        <v>2722</v>
      </c>
      <c r="H831" s="143" t="s">
        <v>2792</v>
      </c>
      <c r="I831" s="143" t="s">
        <v>2922</v>
      </c>
      <c r="J831" s="143">
        <v>2.2999999999999998</v>
      </c>
      <c r="K831" s="143"/>
      <c r="L831" s="142"/>
      <c r="M831" s="1355" t="s">
        <v>3050</v>
      </c>
      <c r="N831" s="1355" t="s">
        <v>3051</v>
      </c>
      <c r="O831" s="6">
        <v>0.65</v>
      </c>
      <c r="P831" s="143"/>
      <c r="Q831" s="143"/>
      <c r="R831" s="142"/>
      <c r="S831" s="142"/>
      <c r="T831" s="142"/>
      <c r="U831" s="142"/>
      <c r="V831" s="142"/>
      <c r="W831" s="142"/>
    </row>
    <row r="832" spans="1:23" ht="57.75" customHeight="1" x14ac:dyDescent="0.25">
      <c r="A832" s="411"/>
      <c r="B832" s="566"/>
      <c r="C832" s="568"/>
      <c r="D832" s="568"/>
      <c r="E832" s="568"/>
      <c r="F832" s="569"/>
      <c r="G832" s="143" t="s">
        <v>2939</v>
      </c>
      <c r="H832" s="143" t="s">
        <v>2994</v>
      </c>
      <c r="I832" s="143" t="s">
        <v>3007</v>
      </c>
      <c r="J832" s="6">
        <f>0.1-0.02</f>
        <v>0.08</v>
      </c>
      <c r="K832" s="143"/>
      <c r="L832" s="142"/>
      <c r="M832" s="1355" t="s">
        <v>3299</v>
      </c>
      <c r="N832" s="1355" t="s">
        <v>3300</v>
      </c>
      <c r="O832" s="6">
        <v>0.2</v>
      </c>
      <c r="P832" s="143"/>
      <c r="Q832" s="143"/>
      <c r="R832" s="142"/>
      <c r="S832" s="142"/>
      <c r="T832" s="142"/>
      <c r="U832" s="142"/>
      <c r="V832" s="142"/>
      <c r="W832" s="142"/>
    </row>
    <row r="833" spans="1:23" ht="20.100000000000001" customHeight="1" x14ac:dyDescent="0.25">
      <c r="A833" s="411"/>
      <c r="B833" s="566"/>
      <c r="C833" s="568"/>
      <c r="D833" s="568"/>
      <c r="E833" s="568"/>
      <c r="F833" s="569"/>
      <c r="G833" s="2767" t="s">
        <v>3020</v>
      </c>
      <c r="H833" s="2767"/>
      <c r="I833" s="2767"/>
      <c r="J833" s="2767"/>
      <c r="K833" s="2767"/>
      <c r="L833" s="2768"/>
      <c r="M833" s="1355" t="s">
        <v>16999</v>
      </c>
      <c r="N833" s="1548" t="s">
        <v>17000</v>
      </c>
      <c r="O833" s="6">
        <f>0.1-0.05</f>
        <v>0.05</v>
      </c>
      <c r="P833" s="143"/>
      <c r="Q833" s="143"/>
      <c r="R833" s="142"/>
      <c r="S833" s="142"/>
      <c r="T833" s="142"/>
      <c r="U833" s="142"/>
      <c r="V833" s="142"/>
      <c r="W833" s="142"/>
    </row>
    <row r="834" spans="1:23" ht="20.100000000000001" customHeight="1" x14ac:dyDescent="0.25">
      <c r="A834" s="411"/>
      <c r="B834" s="566"/>
      <c r="C834" s="568"/>
      <c r="D834" s="568"/>
      <c r="E834" s="568"/>
      <c r="F834" s="569"/>
      <c r="G834" s="1496" t="s">
        <v>2962</v>
      </c>
      <c r="H834" s="143" t="s">
        <v>2963</v>
      </c>
      <c r="I834" s="143" t="s">
        <v>3038</v>
      </c>
      <c r="J834" s="6">
        <f>0.025*0.75</f>
        <v>1.8750000000000003E-2</v>
      </c>
      <c r="K834" s="143"/>
      <c r="L834" s="142"/>
      <c r="M834" s="1548" t="s">
        <v>16723</v>
      </c>
      <c r="N834" s="1548" t="s">
        <v>16724</v>
      </c>
      <c r="O834" s="6">
        <v>0.16</v>
      </c>
      <c r="P834" s="143"/>
      <c r="Q834" s="143"/>
      <c r="R834" s="142"/>
      <c r="S834" s="142"/>
      <c r="T834" s="142"/>
      <c r="U834" s="142"/>
      <c r="V834" s="142"/>
      <c r="W834" s="142"/>
    </row>
    <row r="835" spans="1:23" ht="20.100000000000001" customHeight="1" x14ac:dyDescent="0.25">
      <c r="A835" s="411"/>
      <c r="B835" s="566"/>
      <c r="C835" s="568"/>
      <c r="D835" s="568"/>
      <c r="E835" s="568"/>
      <c r="F835" s="569"/>
      <c r="G835" s="1496" t="s">
        <v>3181</v>
      </c>
      <c r="H835" s="143" t="s">
        <v>3182</v>
      </c>
      <c r="I835" s="214" t="s">
        <v>3231</v>
      </c>
      <c r="J835" s="6">
        <f>(0.5-0.1)*0.9</f>
        <v>0.36000000000000004</v>
      </c>
      <c r="K835" s="151"/>
      <c r="L835" s="149"/>
      <c r="M835" s="1697"/>
      <c r="N835" s="1697"/>
      <c r="O835" s="6"/>
      <c r="P835" s="143"/>
      <c r="Q835" s="151"/>
      <c r="R835" s="147"/>
      <c r="S835" s="365"/>
      <c r="T835" s="176"/>
      <c r="U835" s="149"/>
      <c r="V835" s="149"/>
      <c r="W835" s="149"/>
    </row>
    <row r="836" spans="1:23" ht="20.100000000000001" customHeight="1" x14ac:dyDescent="0.25">
      <c r="A836" s="411"/>
      <c r="B836" s="566"/>
      <c r="C836" s="568"/>
      <c r="D836" s="568"/>
      <c r="E836" s="568"/>
      <c r="F836" s="569"/>
      <c r="G836" s="2767" t="s">
        <v>3447</v>
      </c>
      <c r="H836" s="2767"/>
      <c r="I836" s="2767"/>
      <c r="J836" s="2767"/>
      <c r="K836" s="2767"/>
      <c r="L836" s="2768"/>
      <c r="M836" s="1715" t="s">
        <v>16826</v>
      </c>
      <c r="N836" s="1717" t="s">
        <v>16827</v>
      </c>
      <c r="O836" s="187">
        <f>0.08-0.055</f>
        <v>2.5000000000000001E-2</v>
      </c>
      <c r="P836" s="1647"/>
      <c r="Q836" s="1647"/>
      <c r="R836" s="1650"/>
      <c r="S836" s="1651"/>
      <c r="T836" s="1652"/>
      <c r="U836" s="149"/>
      <c r="V836" s="149"/>
      <c r="W836" s="149"/>
    </row>
    <row r="837" spans="1:23" ht="20.100000000000001" customHeight="1" x14ac:dyDescent="0.25">
      <c r="A837" s="411"/>
      <c r="B837" s="566"/>
      <c r="C837" s="568"/>
      <c r="D837" s="568"/>
      <c r="E837" s="568"/>
      <c r="F837" s="569"/>
      <c r="G837" s="2771"/>
      <c r="H837" s="2772"/>
      <c r="I837" s="2468"/>
      <c r="J837" s="149"/>
      <c r="K837" s="1965"/>
      <c r="L837" s="1965"/>
      <c r="M837" s="1644"/>
      <c r="N837" s="1645"/>
      <c r="O837" s="187"/>
      <c r="P837" s="1647"/>
      <c r="Q837" s="1647"/>
      <c r="R837" s="1650"/>
      <c r="S837" s="1651"/>
      <c r="T837" s="1652"/>
      <c r="U837" s="149"/>
      <c r="V837" s="149"/>
      <c r="W837" s="149"/>
    </row>
    <row r="838" spans="1:23" ht="20.100000000000001" customHeight="1" x14ac:dyDescent="0.25">
      <c r="A838" s="411"/>
      <c r="B838" s="566"/>
      <c r="C838" s="568"/>
      <c r="D838" s="568"/>
      <c r="E838" s="568"/>
      <c r="F838" s="569"/>
      <c r="G838" s="1697"/>
      <c r="H838" s="1697"/>
      <c r="I838" s="1724"/>
      <c r="J838" s="149"/>
      <c r="K838" s="149"/>
      <c r="L838" s="149"/>
      <c r="M838" s="1840" t="s">
        <v>16826</v>
      </c>
      <c r="N838" s="1840" t="s">
        <v>16984</v>
      </c>
      <c r="O838" s="6">
        <f>0.08-0.055</f>
        <v>2.5000000000000001E-2</v>
      </c>
      <c r="P838" s="1719"/>
      <c r="Q838" s="1719"/>
      <c r="R838" s="1722"/>
      <c r="S838" s="1723"/>
      <c r="T838" s="1724"/>
      <c r="U838" s="149"/>
      <c r="V838" s="149"/>
      <c r="W838" s="149"/>
    </row>
    <row r="839" spans="1:23" ht="20.100000000000001" customHeight="1" x14ac:dyDescent="0.25">
      <c r="A839" s="411"/>
      <c r="B839" s="566"/>
      <c r="C839" s="568"/>
      <c r="D839" s="568"/>
      <c r="E839" s="568"/>
      <c r="F839" s="569"/>
      <c r="G839" s="1912" t="s">
        <v>3610</v>
      </c>
      <c r="H839" s="1912" t="s">
        <v>16929</v>
      </c>
      <c r="I839" s="1936" t="s">
        <v>17045</v>
      </c>
      <c r="J839" s="1936">
        <f>0.25*0.9</f>
        <v>0.22500000000000001</v>
      </c>
      <c r="K839" s="1936"/>
      <c r="L839" s="1936"/>
      <c r="M839" s="1931"/>
      <c r="N839" s="1932"/>
      <c r="O839" s="187"/>
      <c r="P839" s="1934"/>
      <c r="Q839" s="1934"/>
      <c r="R839" s="1938"/>
      <c r="S839" s="1939"/>
      <c r="T839" s="1940"/>
      <c r="U839" s="149"/>
      <c r="V839" s="149"/>
      <c r="W839" s="149"/>
    </row>
    <row r="840" spans="1:23" ht="20.100000000000001" customHeight="1" x14ac:dyDescent="0.25">
      <c r="A840" s="411"/>
      <c r="B840" s="566"/>
      <c r="C840" s="568"/>
      <c r="D840" s="568"/>
      <c r="E840" s="568"/>
      <c r="F840" s="569"/>
      <c r="G840" s="2767" t="s">
        <v>17005</v>
      </c>
      <c r="H840" s="2767"/>
      <c r="I840" s="2767"/>
      <c r="J840" s="2767"/>
      <c r="K840" s="2767"/>
      <c r="L840" s="2768"/>
      <c r="M840" s="1881"/>
      <c r="N840" s="1883"/>
      <c r="O840" s="187"/>
      <c r="P840" s="1885"/>
      <c r="Q840" s="1885"/>
      <c r="R840" s="1888"/>
      <c r="S840" s="1889"/>
      <c r="T840" s="1890"/>
      <c r="U840" s="149"/>
      <c r="V840" s="149"/>
      <c r="W840" s="149"/>
    </row>
    <row r="841" spans="1:23" ht="20.100000000000001" customHeight="1" x14ac:dyDescent="0.25">
      <c r="A841" s="411"/>
      <c r="B841" s="566"/>
      <c r="C841" s="568"/>
      <c r="D841" s="568"/>
      <c r="E841" s="568"/>
      <c r="F841" s="569"/>
      <c r="G841" s="1882" t="s">
        <v>17023</v>
      </c>
      <c r="H841" s="1882" t="s">
        <v>17024</v>
      </c>
      <c r="I841" s="1890" t="s">
        <v>17025</v>
      </c>
      <c r="J841" s="149">
        <f>3*0.75</f>
        <v>2.25</v>
      </c>
      <c r="K841" s="149"/>
      <c r="L841" s="149"/>
      <c r="M841" s="1881"/>
      <c r="N841" s="1883"/>
      <c r="O841" s="187"/>
      <c r="P841" s="1885"/>
      <c r="Q841" s="1885"/>
      <c r="R841" s="1888"/>
      <c r="S841" s="1889"/>
      <c r="T841" s="1890"/>
      <c r="U841" s="149"/>
      <c r="V841" s="149"/>
      <c r="W841" s="149"/>
    </row>
    <row r="842" spans="1:23" ht="20.100000000000001" customHeight="1" x14ac:dyDescent="0.25">
      <c r="A842" s="411"/>
      <c r="B842" s="566"/>
      <c r="C842" s="568"/>
      <c r="D842" s="568"/>
      <c r="E842" s="568"/>
      <c r="F842" s="569"/>
      <c r="G842" s="2084" t="s">
        <v>16999</v>
      </c>
      <c r="H842" s="2084" t="s">
        <v>19873</v>
      </c>
      <c r="I842" s="2095" t="s">
        <v>19874</v>
      </c>
      <c r="J842" s="149">
        <f>0.05*0.9</f>
        <v>4.5000000000000005E-2</v>
      </c>
      <c r="K842" s="149"/>
      <c r="L842" s="149"/>
      <c r="M842" s="2083"/>
      <c r="N842" s="2085"/>
      <c r="O842" s="187"/>
      <c r="P842" s="2090"/>
      <c r="Q842" s="2090"/>
      <c r="R842" s="2093"/>
      <c r="S842" s="2094"/>
      <c r="T842" s="2095"/>
      <c r="U842" s="149"/>
      <c r="V842" s="149"/>
      <c r="W842" s="149"/>
    </row>
    <row r="843" spans="1:23" ht="20.100000000000001" customHeight="1" x14ac:dyDescent="0.25">
      <c r="A843" s="411"/>
      <c r="B843" s="566"/>
      <c r="C843" s="568"/>
      <c r="D843" s="568"/>
      <c r="E843" s="568"/>
      <c r="F843" s="569"/>
      <c r="G843" s="2084" t="s">
        <v>19918</v>
      </c>
      <c r="H843" s="2084" t="s">
        <v>19919</v>
      </c>
      <c r="I843" s="2095" t="s">
        <v>19920</v>
      </c>
      <c r="J843" s="149">
        <f>0.06*0.9</f>
        <v>5.3999999999999999E-2</v>
      </c>
      <c r="K843" s="149"/>
      <c r="L843" s="149"/>
      <c r="M843" s="2083"/>
      <c r="N843" s="2085"/>
      <c r="O843" s="187"/>
      <c r="P843" s="2090"/>
      <c r="Q843" s="2090"/>
      <c r="R843" s="2093"/>
      <c r="S843" s="2094"/>
      <c r="T843" s="2095"/>
      <c r="U843" s="149"/>
      <c r="V843" s="149"/>
      <c r="W843" s="149"/>
    </row>
    <row r="844" spans="1:23" ht="20.100000000000001" customHeight="1" x14ac:dyDescent="0.25">
      <c r="A844" s="411"/>
      <c r="B844" s="566"/>
      <c r="C844" s="568"/>
      <c r="D844" s="568"/>
      <c r="E844" s="568"/>
      <c r="F844" s="569"/>
      <c r="G844" s="2149" t="s">
        <v>16796</v>
      </c>
      <c r="H844" s="2149" t="s">
        <v>19990</v>
      </c>
      <c r="I844" s="2162" t="s">
        <v>19991</v>
      </c>
      <c r="J844" s="149">
        <f>0.1*0.9</f>
        <v>9.0000000000000011E-2</v>
      </c>
      <c r="K844" s="149"/>
      <c r="L844" s="149"/>
      <c r="M844" s="2148"/>
      <c r="N844" s="2150"/>
      <c r="O844" s="187"/>
      <c r="P844" s="2157"/>
      <c r="Q844" s="2157"/>
      <c r="R844" s="2160"/>
      <c r="S844" s="2161"/>
      <c r="T844" s="2162"/>
      <c r="U844" s="149"/>
      <c r="V844" s="149"/>
      <c r="W844" s="149"/>
    </row>
    <row r="845" spans="1:23" ht="20.100000000000001" customHeight="1" x14ac:dyDescent="0.25">
      <c r="A845" s="411"/>
      <c r="B845" s="566"/>
      <c r="C845" s="568"/>
      <c r="D845" s="568"/>
      <c r="E845" s="568"/>
      <c r="F845" s="569"/>
      <c r="G845" s="2324" t="s">
        <v>20247</v>
      </c>
      <c r="H845" s="2324" t="s">
        <v>20248</v>
      </c>
      <c r="I845" s="2337" t="s">
        <v>20249</v>
      </c>
      <c r="J845" s="149">
        <f>0.1*0.9</f>
        <v>9.0000000000000011E-2</v>
      </c>
      <c r="K845" s="149"/>
      <c r="L845" s="149"/>
      <c r="M845" s="2323"/>
      <c r="N845" s="2325"/>
      <c r="O845" s="187"/>
      <c r="P845" s="2332"/>
      <c r="Q845" s="2332"/>
      <c r="R845" s="2335"/>
      <c r="S845" s="2336"/>
      <c r="T845" s="2337"/>
      <c r="U845" s="149"/>
      <c r="V845" s="149"/>
      <c r="W845" s="149"/>
    </row>
    <row r="846" spans="1:23" ht="20.100000000000001" customHeight="1" x14ac:dyDescent="0.25">
      <c r="A846" s="411"/>
      <c r="B846" s="566"/>
      <c r="C846" s="568"/>
      <c r="D846" s="568"/>
      <c r="E846" s="568"/>
      <c r="F846" s="569"/>
      <c r="G846" s="2324" t="s">
        <v>16723</v>
      </c>
      <c r="H846" s="2324" t="s">
        <v>20281</v>
      </c>
      <c r="I846" s="2337" t="s">
        <v>20282</v>
      </c>
      <c r="J846" s="149">
        <f>0.16*0.9</f>
        <v>0.14400000000000002</v>
      </c>
      <c r="K846" s="149"/>
      <c r="L846" s="149"/>
      <c r="M846" s="2323"/>
      <c r="N846" s="2325"/>
      <c r="O846" s="187"/>
      <c r="P846" s="2332"/>
      <c r="Q846" s="2332"/>
      <c r="R846" s="2335"/>
      <c r="S846" s="2336"/>
      <c r="T846" s="2337"/>
      <c r="U846" s="149"/>
      <c r="V846" s="149"/>
      <c r="W846" s="149"/>
    </row>
    <row r="847" spans="1:23" ht="20.100000000000001" customHeight="1" thickBot="1" x14ac:dyDescent="0.3">
      <c r="A847" s="406"/>
      <c r="B847" s="572"/>
      <c r="C847" s="573"/>
      <c r="D847" s="573"/>
      <c r="E847" s="573"/>
      <c r="F847" s="574"/>
      <c r="G847" s="2636" t="s">
        <v>1833</v>
      </c>
      <c r="H847" s="2636"/>
      <c r="I847" s="2637"/>
      <c r="J847" s="188">
        <f>SUM(J834:J846)</f>
        <v>3.2767499999999994</v>
      </c>
      <c r="K847" s="183">
        <v>0.92</v>
      </c>
      <c r="L847" s="136">
        <f>J847/K847</f>
        <v>3.5616847826086948</v>
      </c>
      <c r="M847" s="2652" t="s">
        <v>1834</v>
      </c>
      <c r="N847" s="2637"/>
      <c r="O847" s="136">
        <f>SUM(O819:O838)</f>
        <v>2.9729999999999999</v>
      </c>
      <c r="P847" s="183">
        <v>0.92</v>
      </c>
      <c r="Q847" s="136">
        <f>O847/P847</f>
        <v>3.2315217391304345</v>
      </c>
      <c r="R847" s="2652" t="s">
        <v>1833</v>
      </c>
      <c r="S847" s="2636"/>
      <c r="T847" s="2637"/>
      <c r="U847" s="136">
        <f>SUM(U819:U844)</f>
        <v>9.0000000000000011E-2</v>
      </c>
      <c r="V847" s="183">
        <v>0.92</v>
      </c>
      <c r="W847" s="136">
        <f>U847/V847</f>
        <v>9.7826086956521743E-2</v>
      </c>
    </row>
    <row r="848" spans="1:23" s="18" customFormat="1" ht="20.100000000000001" customHeight="1" thickBot="1" x14ac:dyDescent="0.3">
      <c r="A848" s="407" t="str">
        <f>Итоговая!C351</f>
        <v xml:space="preserve">ПС 110/35/10 кВ Пушкино </v>
      </c>
      <c r="B848" s="399">
        <f>Итоговая!D351</f>
        <v>10</v>
      </c>
      <c r="C848" s="400"/>
      <c r="D848" s="400"/>
      <c r="E848" s="400"/>
      <c r="F848" s="401"/>
      <c r="G848" s="2808" t="s">
        <v>3447</v>
      </c>
      <c r="H848" s="2808"/>
      <c r="I848" s="2808"/>
      <c r="J848" s="2808"/>
      <c r="K848" s="2808"/>
      <c r="L848" s="2800"/>
      <c r="M848" s="1461"/>
      <c r="N848" s="1496"/>
      <c r="O848" s="143"/>
      <c r="P848" s="4"/>
      <c r="Q848" s="4"/>
      <c r="R848" s="4"/>
      <c r="S848" s="4"/>
      <c r="T848" s="4"/>
      <c r="U848" s="4"/>
      <c r="V848" s="4"/>
      <c r="W848" s="77"/>
    </row>
    <row r="849" spans="1:23" s="18" customFormat="1" ht="20.100000000000001" customHeight="1" thickBot="1" x14ac:dyDescent="0.3">
      <c r="A849" s="1472"/>
      <c r="B849" s="1464"/>
      <c r="C849" s="1474"/>
      <c r="D849" s="1474"/>
      <c r="E849" s="1474"/>
      <c r="F849" s="1465"/>
      <c r="G849" s="1496" t="s">
        <v>3546</v>
      </c>
      <c r="H849" s="1496" t="s">
        <v>3547</v>
      </c>
      <c r="I849" s="4" t="s">
        <v>15280</v>
      </c>
      <c r="J849" s="1461">
        <f>0.03606*0.9</f>
        <v>3.2454000000000004E-2</v>
      </c>
      <c r="K849" s="1467"/>
      <c r="L849" s="157"/>
      <c r="M849" s="1496"/>
      <c r="N849" s="1496"/>
      <c r="O849" s="1496"/>
      <c r="P849" s="1467"/>
      <c r="Q849" s="1467"/>
      <c r="R849" s="1470"/>
      <c r="S849" s="1462"/>
      <c r="T849" s="1471"/>
      <c r="U849" s="1467"/>
      <c r="V849" s="1467"/>
      <c r="W849" s="157"/>
    </row>
    <row r="850" spans="1:23" s="18" customFormat="1" ht="20.100000000000001" customHeight="1" x14ac:dyDescent="0.25">
      <c r="A850" s="2019"/>
      <c r="B850" s="2004"/>
      <c r="C850" s="2005"/>
      <c r="D850" s="2005"/>
      <c r="E850" s="2005"/>
      <c r="F850" s="2006"/>
      <c r="G850" s="2808" t="s">
        <v>17005</v>
      </c>
      <c r="H850" s="2808"/>
      <c r="I850" s="2808"/>
      <c r="J850" s="2808"/>
      <c r="K850" s="2808"/>
      <c r="L850" s="2800"/>
      <c r="M850" s="2014"/>
      <c r="N850" s="2015"/>
      <c r="O850" s="2020"/>
      <c r="P850" s="2021"/>
      <c r="Q850" s="2021"/>
      <c r="R850" s="2016"/>
      <c r="S850" s="2002"/>
      <c r="T850" s="2017"/>
      <c r="U850" s="2021"/>
      <c r="V850" s="2021"/>
      <c r="W850" s="157"/>
    </row>
    <row r="851" spans="1:23" s="18" customFormat="1" ht="20.100000000000001" customHeight="1" x14ac:dyDescent="0.25">
      <c r="A851" s="2019"/>
      <c r="B851" s="2004"/>
      <c r="C851" s="2005"/>
      <c r="D851" s="2005"/>
      <c r="E851" s="2005"/>
      <c r="F851" s="2006"/>
      <c r="G851" s="1995" t="s">
        <v>3546</v>
      </c>
      <c r="H851" s="1995" t="s">
        <v>15340</v>
      </c>
      <c r="I851" s="2017" t="s">
        <v>17084</v>
      </c>
      <c r="J851" s="2020">
        <f>0.231*0.9</f>
        <v>0.2079</v>
      </c>
      <c r="K851" s="2021"/>
      <c r="L851" s="157"/>
      <c r="M851" s="2014"/>
      <c r="N851" s="2015"/>
      <c r="O851" s="2020"/>
      <c r="P851" s="2021"/>
      <c r="Q851" s="2021"/>
      <c r="R851" s="2016"/>
      <c r="S851" s="2002"/>
      <c r="T851" s="2017"/>
      <c r="U851" s="2021"/>
      <c r="V851" s="2021"/>
      <c r="W851" s="157"/>
    </row>
    <row r="852" spans="1:23" s="18" customFormat="1" ht="20.100000000000001" customHeight="1" x14ac:dyDescent="0.25">
      <c r="A852" s="2331"/>
      <c r="B852" s="2316"/>
      <c r="C852" s="2317"/>
      <c r="D852" s="2317"/>
      <c r="E852" s="2317"/>
      <c r="F852" s="2320"/>
      <c r="G852" s="2324" t="s">
        <v>20262</v>
      </c>
      <c r="H852" s="2324" t="s">
        <v>20263</v>
      </c>
      <c r="I852" s="2327" t="s">
        <v>20264</v>
      </c>
      <c r="J852" s="2332">
        <f>0.045*0.9</f>
        <v>4.0500000000000001E-2</v>
      </c>
      <c r="K852" s="2333"/>
      <c r="L852" s="157"/>
      <c r="M852" s="2323"/>
      <c r="N852" s="2325"/>
      <c r="O852" s="2332"/>
      <c r="P852" s="2333"/>
      <c r="Q852" s="2333"/>
      <c r="R852" s="2326"/>
      <c r="S852" s="2311"/>
      <c r="T852" s="2327"/>
      <c r="U852" s="2333"/>
      <c r="V852" s="2333"/>
      <c r="W852" s="157"/>
    </row>
    <row r="853" spans="1:23" ht="20.100000000000001" customHeight="1" thickBot="1" x14ac:dyDescent="0.3">
      <c r="A853" s="406"/>
      <c r="B853" s="395"/>
      <c r="C853" s="396"/>
      <c r="D853" s="396"/>
      <c r="E853" s="396"/>
      <c r="F853" s="397"/>
      <c r="G853" s="2636" t="s">
        <v>1833</v>
      </c>
      <c r="H853" s="2636"/>
      <c r="I853" s="2637"/>
      <c r="J853" s="136">
        <f>SUM(J849:J852)</f>
        <v>0.28085399999999999</v>
      </c>
      <c r="K853" s="183">
        <v>0.92</v>
      </c>
      <c r="L853" s="136">
        <f>J853/K853</f>
        <v>0.3052760869565217</v>
      </c>
      <c r="M853" s="2652" t="s">
        <v>1834</v>
      </c>
      <c r="N853" s="2637"/>
      <c r="O853" s="136">
        <f>SUM(O848:O849)</f>
        <v>0</v>
      </c>
      <c r="P853" s="183">
        <v>0.92</v>
      </c>
      <c r="Q853" s="136">
        <f>O853/P853</f>
        <v>0</v>
      </c>
      <c r="R853" s="2652" t="s">
        <v>1833</v>
      </c>
      <c r="S853" s="2636"/>
      <c r="T853" s="2637"/>
      <c r="U853" s="136">
        <f>SUM(U848:U848)</f>
        <v>0</v>
      </c>
      <c r="V853" s="183">
        <v>0.92</v>
      </c>
      <c r="W853" s="136">
        <f>U853/V853</f>
        <v>0</v>
      </c>
    </row>
    <row r="854" spans="1:23" ht="28.5" customHeight="1" x14ac:dyDescent="0.25">
      <c r="A854" s="2776" t="s">
        <v>2503</v>
      </c>
      <c r="B854" s="2630">
        <f>Итоговая!D355</f>
        <v>20</v>
      </c>
      <c r="C854" s="2632" t="str">
        <f>Итоговая!E355</f>
        <v>+</v>
      </c>
      <c r="D854" s="2632">
        <f>Итоговая!F355</f>
        <v>20</v>
      </c>
      <c r="E854" s="2632"/>
      <c r="F854" s="401"/>
      <c r="G854" s="2767" t="s">
        <v>2032</v>
      </c>
      <c r="H854" s="2767"/>
      <c r="I854" s="2767"/>
      <c r="J854" s="2802"/>
      <c r="K854" s="2767"/>
      <c r="L854" s="2768"/>
      <c r="M854" s="143" t="s">
        <v>128</v>
      </c>
      <c r="N854" s="143" t="s">
        <v>129</v>
      </c>
      <c r="O854" s="143">
        <v>0.7</v>
      </c>
      <c r="P854" s="4"/>
      <c r="Q854" s="4"/>
      <c r="R854" s="143"/>
      <c r="S854" s="143"/>
      <c r="T854" s="143"/>
      <c r="U854" s="4"/>
      <c r="V854" s="4"/>
      <c r="W854" s="77"/>
    </row>
    <row r="855" spans="1:23" ht="30" customHeight="1" x14ac:dyDescent="0.25">
      <c r="A855" s="2777"/>
      <c r="B855" s="2631"/>
      <c r="C855" s="2633"/>
      <c r="D855" s="2633"/>
      <c r="E855" s="2633"/>
      <c r="F855" s="405"/>
      <c r="G855" s="184" t="s">
        <v>777</v>
      </c>
      <c r="H855" s="143" t="s">
        <v>778</v>
      </c>
      <c r="I855" s="143" t="s">
        <v>2374</v>
      </c>
      <c r="J855" s="143">
        <v>2</v>
      </c>
      <c r="K855" s="143"/>
      <c r="L855" s="142"/>
      <c r="M855" s="143" t="s">
        <v>132</v>
      </c>
      <c r="N855" s="156" t="s">
        <v>1664</v>
      </c>
      <c r="O855" s="53">
        <v>0.1</v>
      </c>
      <c r="P855" s="143"/>
      <c r="Q855" s="143"/>
      <c r="R855" s="2"/>
      <c r="S855" s="2"/>
      <c r="T855" s="2"/>
      <c r="U855" s="143"/>
      <c r="V855" s="143"/>
      <c r="W855" s="142"/>
    </row>
    <row r="856" spans="1:23" ht="20.100000000000001" customHeight="1" x14ac:dyDescent="0.25">
      <c r="A856" s="2777"/>
      <c r="B856" s="2631"/>
      <c r="C856" s="2633"/>
      <c r="D856" s="2633"/>
      <c r="E856" s="2633"/>
      <c r="F856" s="405"/>
      <c r="G856" s="2767" t="s">
        <v>3447</v>
      </c>
      <c r="H856" s="2767"/>
      <c r="I856" s="2767"/>
      <c r="J856" s="2767"/>
      <c r="K856" s="2767"/>
      <c r="L856" s="2768"/>
      <c r="M856" s="143" t="s">
        <v>1665</v>
      </c>
      <c r="N856" s="143" t="s">
        <v>1666</v>
      </c>
      <c r="O856" s="53">
        <v>0.7</v>
      </c>
      <c r="P856" s="143"/>
      <c r="Q856" s="143"/>
      <c r="R856" s="143"/>
      <c r="S856" s="143"/>
      <c r="T856" s="143"/>
      <c r="U856" s="143"/>
      <c r="V856" s="143"/>
      <c r="W856" s="142"/>
    </row>
    <row r="857" spans="1:23" ht="20.100000000000001" customHeight="1" x14ac:dyDescent="0.25">
      <c r="A857" s="402"/>
      <c r="B857" s="2631"/>
      <c r="C857" s="2633"/>
      <c r="D857" s="2633"/>
      <c r="E857" s="2633"/>
      <c r="F857" s="405"/>
      <c r="G857" s="1461" t="s">
        <v>3188</v>
      </c>
      <c r="H857" s="1461" t="s">
        <v>3521</v>
      </c>
      <c r="I857" s="1461" t="s">
        <v>15281</v>
      </c>
      <c r="J857" s="1461">
        <f>2.15-1.3-0.85</f>
        <v>0</v>
      </c>
      <c r="K857" s="143"/>
      <c r="L857" s="142"/>
      <c r="M857" s="217" t="s">
        <v>1481</v>
      </c>
      <c r="N857" s="217" t="s">
        <v>1482</v>
      </c>
      <c r="O857" s="153">
        <v>2.7E-2</v>
      </c>
      <c r="P857" s="151"/>
      <c r="Q857" s="151"/>
      <c r="R857" s="143"/>
      <c r="S857" s="143"/>
      <c r="T857" s="143"/>
      <c r="U857" s="143"/>
      <c r="V857" s="143"/>
      <c r="W857" s="142"/>
    </row>
    <row r="858" spans="1:23" ht="20.100000000000001" customHeight="1" x14ac:dyDescent="0.25">
      <c r="A858" s="402"/>
      <c r="B858" s="2631"/>
      <c r="C858" s="2633"/>
      <c r="D858" s="2633"/>
      <c r="E858" s="2633"/>
      <c r="F858" s="405"/>
      <c r="G858" s="1901" t="s">
        <v>16706</v>
      </c>
      <c r="H858" s="1902" t="s">
        <v>16707</v>
      </c>
      <c r="I858" s="143" t="s">
        <v>17030</v>
      </c>
      <c r="J858" s="143">
        <f>1.9318*0.9</f>
        <v>1.7386200000000001</v>
      </c>
      <c r="K858" s="143"/>
      <c r="L858" s="142"/>
      <c r="M858" s="1548" t="s">
        <v>16691</v>
      </c>
      <c r="N858" s="1548" t="s">
        <v>16692</v>
      </c>
      <c r="O858" s="143">
        <v>0.4</v>
      </c>
      <c r="P858" s="143"/>
      <c r="Q858" s="143"/>
      <c r="R858" s="143"/>
      <c r="S858" s="143"/>
      <c r="T858" s="143"/>
      <c r="U858" s="143"/>
      <c r="V858" s="143"/>
      <c r="W858" s="142"/>
    </row>
    <row r="859" spans="1:23" ht="20.100000000000001" customHeight="1" x14ac:dyDescent="0.25">
      <c r="A859" s="1556"/>
      <c r="B859" s="1550"/>
      <c r="C859" s="1557"/>
      <c r="D859" s="1557"/>
      <c r="E859" s="1557"/>
      <c r="F859" s="1551"/>
      <c r="G859" s="1554"/>
      <c r="H859" s="1554"/>
      <c r="I859" s="1555"/>
      <c r="J859" s="1552"/>
      <c r="K859" s="1552"/>
      <c r="L859" s="149"/>
      <c r="M859" s="1553" t="s">
        <v>16918</v>
      </c>
      <c r="N859" s="1555" t="s">
        <v>17063</v>
      </c>
      <c r="O859" s="1552">
        <v>0.49</v>
      </c>
      <c r="P859" s="1552"/>
      <c r="Q859" s="1552"/>
      <c r="R859" s="1553"/>
      <c r="S859" s="1554"/>
      <c r="T859" s="1555"/>
      <c r="U859" s="1552"/>
      <c r="V859" s="1552"/>
      <c r="W859" s="149"/>
    </row>
    <row r="860" spans="1:23" ht="20.100000000000001" customHeight="1" thickBot="1" x14ac:dyDescent="0.3">
      <c r="A860" s="406"/>
      <c r="B860" s="395"/>
      <c r="C860" s="396"/>
      <c r="D860" s="396"/>
      <c r="E860" s="396"/>
      <c r="F860" s="397"/>
      <c r="G860" s="2716" t="s">
        <v>1833</v>
      </c>
      <c r="H860" s="2716"/>
      <c r="I860" s="2717"/>
      <c r="J860" s="181">
        <f>SUM(J857:J858)</f>
        <v>1.7386200000000001</v>
      </c>
      <c r="K860" s="151">
        <v>0.92</v>
      </c>
      <c r="L860" s="181">
        <f>J860/K860</f>
        <v>1.8898043478260869</v>
      </c>
      <c r="M860" s="2715" t="s">
        <v>1834</v>
      </c>
      <c r="N860" s="2717"/>
      <c r="O860" s="181">
        <f>SUM(O854:O859)</f>
        <v>2.4169999999999998</v>
      </c>
      <c r="P860" s="151">
        <v>0.92</v>
      </c>
      <c r="Q860" s="181">
        <f>O860/P860</f>
        <v>2.6271739130434781</v>
      </c>
      <c r="R860" s="2715" t="s">
        <v>1833</v>
      </c>
      <c r="S860" s="2716"/>
      <c r="T860" s="2717"/>
      <c r="U860" s="181">
        <f>SUM(U854:U858)</f>
        <v>0</v>
      </c>
      <c r="V860" s="151">
        <v>0.92</v>
      </c>
      <c r="W860" s="181">
        <f>U860/V860</f>
        <v>0</v>
      </c>
    </row>
    <row r="861" spans="1:23" ht="20.100000000000001" customHeight="1" x14ac:dyDescent="0.25">
      <c r="A861" s="2777" t="s">
        <v>2504</v>
      </c>
      <c r="B861" s="2631">
        <f>Итоговая!D356</f>
        <v>20</v>
      </c>
      <c r="C861" s="2633" t="str">
        <f>Итоговая!E356</f>
        <v>+</v>
      </c>
      <c r="D861" s="2633">
        <f>Итоговая!F356</f>
        <v>20</v>
      </c>
      <c r="E861" s="404"/>
      <c r="F861" s="405"/>
      <c r="G861" s="2808" t="s">
        <v>1961</v>
      </c>
      <c r="H861" s="2808"/>
      <c r="I861" s="2808"/>
      <c r="J861" s="2808"/>
      <c r="K861" s="2808"/>
      <c r="L861" s="2800"/>
      <c r="M861" s="4" t="s">
        <v>1667</v>
      </c>
      <c r="N861" s="4" t="s">
        <v>1668</v>
      </c>
      <c r="O861" s="4">
        <v>2.7E-2</v>
      </c>
      <c r="P861" s="4"/>
      <c r="Q861" s="4"/>
      <c r="R861" s="2811"/>
      <c r="S861" s="2791"/>
      <c r="T861" s="2791"/>
      <c r="U861" s="2791"/>
      <c r="V861" s="2791"/>
      <c r="W861" s="2792"/>
    </row>
    <row r="862" spans="1:23" ht="20.100000000000001" customHeight="1" x14ac:dyDescent="0.25">
      <c r="A862" s="2777"/>
      <c r="B862" s="2631"/>
      <c r="C862" s="2633"/>
      <c r="D862" s="2633"/>
      <c r="E862" s="404"/>
      <c r="F862" s="405"/>
      <c r="G862" s="66" t="s">
        <v>1669</v>
      </c>
      <c r="H862" s="2" t="s">
        <v>1670</v>
      </c>
      <c r="I862" s="2" t="s">
        <v>1671</v>
      </c>
      <c r="J862" s="48">
        <v>0.11</v>
      </c>
      <c r="K862" s="2"/>
      <c r="L862" s="142"/>
      <c r="M862" s="142" t="s">
        <v>130</v>
      </c>
      <c r="N862" s="142" t="s">
        <v>131</v>
      </c>
      <c r="O862" s="143">
        <v>0.115</v>
      </c>
      <c r="P862" s="143"/>
      <c r="Q862" s="143"/>
      <c r="R862" s="267"/>
      <c r="S862" s="142"/>
      <c r="T862" s="142"/>
      <c r="U862" s="285"/>
      <c r="V862" s="142"/>
      <c r="W862" s="142"/>
    </row>
    <row r="863" spans="1:23" ht="20.100000000000001" customHeight="1" x14ac:dyDescent="0.25">
      <c r="A863" s="2777"/>
      <c r="B863" s="2631"/>
      <c r="C863" s="2633"/>
      <c r="D863" s="2633"/>
      <c r="E863" s="404"/>
      <c r="F863" s="405"/>
      <c r="G863" s="66" t="s">
        <v>1672</v>
      </c>
      <c r="H863" s="2" t="s">
        <v>1673</v>
      </c>
      <c r="I863" s="2" t="s">
        <v>1674</v>
      </c>
      <c r="J863" s="2">
        <v>0.11</v>
      </c>
      <c r="K863" s="2"/>
      <c r="L863" s="142"/>
      <c r="M863" s="143" t="s">
        <v>1675</v>
      </c>
      <c r="N863" s="143" t="s">
        <v>1676</v>
      </c>
      <c r="O863" s="143">
        <v>0.02</v>
      </c>
      <c r="P863" s="143"/>
      <c r="Q863" s="143"/>
      <c r="R863" s="267"/>
      <c r="S863" s="142"/>
      <c r="T863" s="142"/>
      <c r="U863" s="142"/>
      <c r="V863" s="142"/>
      <c r="W863" s="142"/>
    </row>
    <row r="864" spans="1:23" ht="20.100000000000001" customHeight="1" x14ac:dyDescent="0.25">
      <c r="A864" s="402"/>
      <c r="B864" s="403"/>
      <c r="C864" s="404"/>
      <c r="D864" s="404"/>
      <c r="E864" s="404"/>
      <c r="F864" s="405"/>
      <c r="G864" s="203"/>
      <c r="H864" s="203"/>
      <c r="I864" s="121"/>
      <c r="J864" s="70"/>
      <c r="K864" s="70"/>
      <c r="L864" s="149"/>
      <c r="M864" s="143"/>
      <c r="N864" s="143"/>
      <c r="O864" s="143"/>
      <c r="P864" s="143"/>
      <c r="Q864" s="143"/>
      <c r="R864" s="365"/>
      <c r="S864" s="365"/>
      <c r="T864" s="176"/>
      <c r="U864" s="149"/>
      <c r="V864" s="149"/>
      <c r="W864" s="149"/>
    </row>
    <row r="865" spans="1:23" ht="20.100000000000001" customHeight="1" thickBot="1" x14ac:dyDescent="0.3">
      <c r="A865" s="406"/>
      <c r="B865" s="395"/>
      <c r="C865" s="396"/>
      <c r="D865" s="396"/>
      <c r="E865" s="396"/>
      <c r="F865" s="397"/>
      <c r="G865" s="2636" t="s">
        <v>1833</v>
      </c>
      <c r="H865" s="2636"/>
      <c r="I865" s="2637"/>
      <c r="J865" s="181">
        <f>SUM(J864)</f>
        <v>0</v>
      </c>
      <c r="K865" s="183">
        <v>0.92</v>
      </c>
      <c r="L865" s="136">
        <f>J865/K865</f>
        <v>0</v>
      </c>
      <c r="M865" s="2652" t="s">
        <v>1834</v>
      </c>
      <c r="N865" s="2637"/>
      <c r="O865" s="136">
        <f>SUM(O861:O863)</f>
        <v>0.16200000000000001</v>
      </c>
      <c r="P865" s="183">
        <v>0.92</v>
      </c>
      <c r="Q865" s="136">
        <f>O865/P865</f>
        <v>0.17608695652173914</v>
      </c>
      <c r="R865" s="2652" t="s">
        <v>1833</v>
      </c>
      <c r="S865" s="2636"/>
      <c r="T865" s="2637"/>
      <c r="U865" s="181">
        <f>SUM(U864)</f>
        <v>0</v>
      </c>
      <c r="V865" s="183">
        <v>0.92</v>
      </c>
      <c r="W865" s="136">
        <f>U865/V865</f>
        <v>0</v>
      </c>
    </row>
    <row r="866" spans="1:23" ht="20.100000000000001" customHeight="1" x14ac:dyDescent="0.25">
      <c r="A866" s="2776" t="str">
        <f>Итоговая!C357</f>
        <v xml:space="preserve">ПС 110/35/10 кВ Южная </v>
      </c>
      <c r="B866" s="2630">
        <f>Итоговая!D357</f>
        <v>40</v>
      </c>
      <c r="C866" s="2632" t="str">
        <f>Итоговая!E357</f>
        <v>+</v>
      </c>
      <c r="D866" s="2632">
        <f>Итоговая!F357</f>
        <v>40</v>
      </c>
      <c r="E866" s="400"/>
      <c r="F866" s="401"/>
      <c r="G866" s="2808" t="s">
        <v>1963</v>
      </c>
      <c r="H866" s="2808"/>
      <c r="I866" s="2808"/>
      <c r="J866" s="2808"/>
      <c r="K866" s="2808"/>
      <c r="L866" s="2800"/>
      <c r="M866" s="133"/>
      <c r="N866" s="175"/>
      <c r="O866" s="77"/>
      <c r="P866" s="77"/>
      <c r="Q866" s="77"/>
      <c r="R866" s="2811"/>
      <c r="S866" s="2791"/>
      <c r="T866" s="2791"/>
      <c r="U866" s="2791"/>
      <c r="V866" s="2791"/>
      <c r="W866" s="2792"/>
    </row>
    <row r="867" spans="1:23" ht="83.25" customHeight="1" x14ac:dyDescent="0.25">
      <c r="A867" s="2777"/>
      <c r="B867" s="2631"/>
      <c r="C867" s="2633"/>
      <c r="D867" s="2633"/>
      <c r="E867" s="404"/>
      <c r="F867" s="405"/>
      <c r="G867" s="66" t="s">
        <v>1688</v>
      </c>
      <c r="H867" s="2" t="s">
        <v>1689</v>
      </c>
      <c r="I867" s="2" t="s">
        <v>1690</v>
      </c>
      <c r="J867" s="2">
        <v>0.4</v>
      </c>
      <c r="K867" s="2"/>
      <c r="L867" s="142"/>
      <c r="M867" s="45" t="s">
        <v>1659</v>
      </c>
      <c r="N867" s="45" t="s">
        <v>1677</v>
      </c>
      <c r="O867" s="45">
        <v>0.03</v>
      </c>
      <c r="P867" s="45"/>
      <c r="Q867" s="45"/>
      <c r="R867" s="66" t="s">
        <v>1714</v>
      </c>
      <c r="S867" s="2" t="s">
        <v>1715</v>
      </c>
      <c r="T867" s="2" t="s">
        <v>3260</v>
      </c>
      <c r="U867" s="2">
        <v>0.3952</v>
      </c>
      <c r="V867" s="142"/>
      <c r="W867" s="142"/>
    </row>
    <row r="868" spans="1:23" ht="20.100000000000001" customHeight="1" x14ac:dyDescent="0.25">
      <c r="A868" s="2777"/>
      <c r="B868" s="2631"/>
      <c r="C868" s="2633"/>
      <c r="D868" s="2633"/>
      <c r="E868" s="404"/>
      <c r="F868" s="405"/>
      <c r="G868" s="2767" t="s">
        <v>1961</v>
      </c>
      <c r="H868" s="2767"/>
      <c r="I868" s="2767"/>
      <c r="J868" s="2767"/>
      <c r="K868" s="2767"/>
      <c r="L868" s="2768"/>
      <c r="M868" s="2" t="s">
        <v>1684</v>
      </c>
      <c r="N868" s="2" t="s">
        <v>1685</v>
      </c>
      <c r="O868" s="2">
        <v>1.7999999999999999E-2</v>
      </c>
      <c r="P868" s="45"/>
      <c r="Q868" s="45"/>
      <c r="R868" s="1" t="s">
        <v>3010</v>
      </c>
      <c r="S868" s="1" t="s">
        <v>3011</v>
      </c>
      <c r="T868" s="2" t="s">
        <v>3261</v>
      </c>
      <c r="U868" s="8">
        <v>0.1</v>
      </c>
      <c r="V868" s="2"/>
      <c r="W868" s="142"/>
    </row>
    <row r="869" spans="1:23" ht="20.100000000000001" customHeight="1" x14ac:dyDescent="0.25">
      <c r="A869" s="411"/>
      <c r="B869" s="566"/>
      <c r="C869" s="568"/>
      <c r="D869" s="568"/>
      <c r="E869" s="568"/>
      <c r="F869" s="569"/>
      <c r="G869" s="283" t="s">
        <v>1678</v>
      </c>
      <c r="H869" s="45" t="s">
        <v>1679</v>
      </c>
      <c r="I869" s="45" t="s">
        <v>1680</v>
      </c>
      <c r="J869" s="45">
        <v>0.21</v>
      </c>
      <c r="K869" s="45"/>
      <c r="L869" s="72"/>
      <c r="M869" s="2"/>
      <c r="N869" s="2"/>
      <c r="O869" s="2"/>
      <c r="P869" s="2"/>
      <c r="Q869" s="2"/>
      <c r="R869" s="1627" t="s">
        <v>3214</v>
      </c>
      <c r="S869" s="1627" t="s">
        <v>3215</v>
      </c>
      <c r="T869" s="70" t="s">
        <v>16746</v>
      </c>
      <c r="U869" s="1627">
        <v>0.1</v>
      </c>
      <c r="V869" s="142"/>
      <c r="W869" s="142"/>
    </row>
    <row r="870" spans="1:23" ht="20.100000000000001" customHeight="1" x14ac:dyDescent="0.25">
      <c r="A870" s="411"/>
      <c r="B870" s="566"/>
      <c r="C870" s="568"/>
      <c r="D870" s="568"/>
      <c r="E870" s="568"/>
      <c r="F870" s="569"/>
      <c r="G870" s="2767" t="s">
        <v>1960</v>
      </c>
      <c r="H870" s="2767"/>
      <c r="I870" s="2767"/>
      <c r="J870" s="2767"/>
      <c r="K870" s="2767"/>
      <c r="L870" s="2768"/>
      <c r="M870" s="2" t="s">
        <v>1686</v>
      </c>
      <c r="N870" s="2" t="s">
        <v>1687</v>
      </c>
      <c r="O870" s="2">
        <v>0.19</v>
      </c>
      <c r="P870" s="2"/>
      <c r="Q870" s="2"/>
      <c r="R870" s="295"/>
      <c r="S870" s="295"/>
      <c r="T870" s="295"/>
      <c r="U870" s="295"/>
      <c r="V870" s="295"/>
      <c r="W870" s="295"/>
    </row>
    <row r="871" spans="1:23" ht="20.100000000000001" customHeight="1" x14ac:dyDescent="0.25">
      <c r="A871" s="411"/>
      <c r="B871" s="566"/>
      <c r="C871" s="568"/>
      <c r="D871" s="568"/>
      <c r="E871" s="568"/>
      <c r="F871" s="569"/>
      <c r="G871" s="66" t="s">
        <v>1693</v>
      </c>
      <c r="H871" s="2" t="s">
        <v>1694</v>
      </c>
      <c r="I871" s="2" t="s">
        <v>1128</v>
      </c>
      <c r="J871" s="2">
        <v>3.5000000000000003E-2</v>
      </c>
      <c r="K871" s="2"/>
      <c r="L871" s="142"/>
      <c r="M871" s="2" t="s">
        <v>1691</v>
      </c>
      <c r="N871" s="2" t="s">
        <v>1692</v>
      </c>
      <c r="O871" s="2">
        <v>3.3</v>
      </c>
      <c r="P871" s="2"/>
      <c r="Q871" s="2"/>
      <c r="R871" s="142"/>
      <c r="S871" s="142"/>
      <c r="T871" s="142"/>
      <c r="U871" s="142"/>
      <c r="V871" s="142"/>
      <c r="W871" s="142"/>
    </row>
    <row r="872" spans="1:23" ht="20.100000000000001" customHeight="1" x14ac:dyDescent="0.25">
      <c r="A872" s="411"/>
      <c r="B872" s="566"/>
      <c r="C872" s="568"/>
      <c r="D872" s="568"/>
      <c r="E872" s="568"/>
      <c r="F872" s="569"/>
      <c r="G872" s="66" t="s">
        <v>1702</v>
      </c>
      <c r="H872" s="2" t="s">
        <v>1703</v>
      </c>
      <c r="I872" s="2" t="s">
        <v>1704</v>
      </c>
      <c r="J872" s="2">
        <v>1.6E-2</v>
      </c>
      <c r="K872" s="2"/>
      <c r="L872" s="142"/>
      <c r="M872" s="2" t="s">
        <v>1695</v>
      </c>
      <c r="N872" s="2" t="s">
        <v>1696</v>
      </c>
      <c r="O872" s="2">
        <v>2.5</v>
      </c>
      <c r="P872" s="2"/>
      <c r="Q872" s="2"/>
      <c r="R872" s="142"/>
      <c r="S872" s="142"/>
      <c r="T872" s="142"/>
      <c r="U872" s="142"/>
      <c r="V872" s="142"/>
      <c r="W872" s="142"/>
    </row>
    <row r="873" spans="1:23" ht="20.100000000000001" customHeight="1" x14ac:dyDescent="0.25">
      <c r="A873" s="411"/>
      <c r="B873" s="566"/>
      <c r="C873" s="568"/>
      <c r="D873" s="568"/>
      <c r="E873" s="568"/>
      <c r="F873" s="569"/>
      <c r="G873" s="66" t="s">
        <v>1681</v>
      </c>
      <c r="H873" s="2" t="s">
        <v>1682</v>
      </c>
      <c r="I873" s="2" t="s">
        <v>1683</v>
      </c>
      <c r="J873" s="2">
        <v>0.1</v>
      </c>
      <c r="K873" s="2"/>
      <c r="L873" s="142"/>
      <c r="M873" s="2" t="s">
        <v>1700</v>
      </c>
      <c r="N873" s="2" t="s">
        <v>1701</v>
      </c>
      <c r="O873" s="2">
        <v>2.5000000000000001E-2</v>
      </c>
      <c r="P873" s="2"/>
      <c r="Q873" s="2"/>
      <c r="R873" s="142"/>
      <c r="S873" s="142"/>
      <c r="T873" s="142"/>
      <c r="U873" s="142"/>
      <c r="V873" s="142"/>
      <c r="W873" s="142"/>
    </row>
    <row r="874" spans="1:23" ht="20.100000000000001" customHeight="1" x14ac:dyDescent="0.25">
      <c r="A874" s="411"/>
      <c r="B874" s="566"/>
      <c r="C874" s="568"/>
      <c r="D874" s="568"/>
      <c r="E874" s="568"/>
      <c r="F874" s="569"/>
      <c r="G874" s="2767" t="s">
        <v>1959</v>
      </c>
      <c r="H874" s="2767"/>
      <c r="I874" s="2767"/>
      <c r="J874" s="2767"/>
      <c r="K874" s="2767"/>
      <c r="L874" s="2768"/>
      <c r="M874" s="2"/>
      <c r="N874" s="2"/>
      <c r="O874" s="2"/>
      <c r="P874" s="2"/>
      <c r="Q874" s="2"/>
      <c r="R874" s="2771"/>
      <c r="S874" s="2772"/>
      <c r="T874" s="2772"/>
      <c r="U874" s="2772"/>
      <c r="V874" s="2772"/>
      <c r="W874" s="2468"/>
    </row>
    <row r="875" spans="1:23" ht="36.75" customHeight="1" x14ac:dyDescent="0.25">
      <c r="A875" s="411"/>
      <c r="B875" s="566"/>
      <c r="C875" s="568"/>
      <c r="D875" s="568"/>
      <c r="E875" s="568"/>
      <c r="F875" s="569"/>
      <c r="G875" s="66"/>
      <c r="H875" s="2"/>
      <c r="I875" s="2"/>
      <c r="J875" s="2"/>
      <c r="K875" s="2"/>
      <c r="L875" s="142"/>
      <c r="M875" s="2" t="s">
        <v>1678</v>
      </c>
      <c r="N875" s="2" t="s">
        <v>1705</v>
      </c>
      <c r="O875" s="2">
        <v>4.2000000000000003E-2</v>
      </c>
      <c r="P875" s="2"/>
      <c r="Q875" s="2"/>
      <c r="R875" s="142"/>
      <c r="S875" s="142"/>
      <c r="T875" s="142"/>
      <c r="U875" s="142"/>
      <c r="V875" s="142"/>
      <c r="W875" s="142"/>
    </row>
    <row r="876" spans="1:23" ht="20.100000000000001" customHeight="1" x14ac:dyDescent="0.25">
      <c r="A876" s="411"/>
      <c r="B876" s="566"/>
      <c r="C876" s="568"/>
      <c r="D876" s="568"/>
      <c r="E876" s="568"/>
      <c r="F876" s="569"/>
      <c r="G876" s="184" t="s">
        <v>1697</v>
      </c>
      <c r="H876" s="143" t="s">
        <v>1698</v>
      </c>
      <c r="I876" s="2" t="s">
        <v>1699</v>
      </c>
      <c r="J876" s="2">
        <v>0.06</v>
      </c>
      <c r="K876" s="2"/>
      <c r="L876" s="142"/>
      <c r="M876" s="2" t="s">
        <v>1712</v>
      </c>
      <c r="N876" s="2" t="s">
        <v>1713</v>
      </c>
      <c r="O876" s="2">
        <v>0.39050000000000001</v>
      </c>
      <c r="P876" s="2"/>
      <c r="Q876" s="2"/>
      <c r="R876" s="142"/>
      <c r="S876" s="142"/>
      <c r="T876" s="142"/>
      <c r="U876" s="142"/>
      <c r="V876" s="142"/>
      <c r="W876" s="142"/>
    </row>
    <row r="877" spans="1:23" ht="20.100000000000001" customHeight="1" x14ac:dyDescent="0.25">
      <c r="A877" s="411"/>
      <c r="B877" s="566"/>
      <c r="C877" s="568"/>
      <c r="D877" s="568"/>
      <c r="E877" s="568"/>
      <c r="F877" s="569"/>
      <c r="G877" s="184" t="s">
        <v>1709</v>
      </c>
      <c r="H877" s="143" t="s">
        <v>1710</v>
      </c>
      <c r="I877" s="2" t="s">
        <v>1711</v>
      </c>
      <c r="J877" s="2">
        <v>0.16</v>
      </c>
      <c r="K877" s="2"/>
      <c r="L877" s="142"/>
      <c r="M877" s="2" t="s">
        <v>1716</v>
      </c>
      <c r="N877" s="2" t="s">
        <v>1717</v>
      </c>
      <c r="O877" s="2">
        <v>0.25</v>
      </c>
      <c r="P877" s="2"/>
      <c r="Q877" s="2"/>
      <c r="R877" s="142"/>
      <c r="S877" s="142"/>
      <c r="T877" s="142"/>
      <c r="U877" s="142"/>
      <c r="V877" s="142"/>
      <c r="W877" s="142"/>
    </row>
    <row r="878" spans="1:23" ht="20.100000000000001" customHeight="1" x14ac:dyDescent="0.25">
      <c r="A878" s="411"/>
      <c r="B878" s="566"/>
      <c r="C878" s="568"/>
      <c r="D878" s="568"/>
      <c r="E878" s="568"/>
      <c r="F878" s="569"/>
      <c r="G878" s="184" t="s">
        <v>1706</v>
      </c>
      <c r="H878" s="143" t="s">
        <v>1707</v>
      </c>
      <c r="I878" s="2" t="s">
        <v>1708</v>
      </c>
      <c r="J878" s="143">
        <v>6.5000000000000002E-2</v>
      </c>
      <c r="K878" s="2"/>
      <c r="L878" s="142"/>
      <c r="M878" s="143" t="s">
        <v>1864</v>
      </c>
      <c r="N878" s="143" t="s">
        <v>1718</v>
      </c>
      <c r="O878" s="2">
        <v>6.9000000000000006E-2</v>
      </c>
      <c r="P878" s="2"/>
      <c r="Q878" s="2"/>
      <c r="R878" s="142"/>
      <c r="S878" s="142"/>
      <c r="T878" s="142"/>
      <c r="U878" s="142"/>
      <c r="V878" s="142"/>
      <c r="W878" s="142"/>
    </row>
    <row r="879" spans="1:23" ht="20.100000000000001" customHeight="1" x14ac:dyDescent="0.25">
      <c r="A879" s="411"/>
      <c r="B879" s="566"/>
      <c r="C879" s="568"/>
      <c r="D879" s="568"/>
      <c r="E879" s="568"/>
      <c r="F879" s="569"/>
      <c r="G879" s="2767" t="s">
        <v>2032</v>
      </c>
      <c r="H879" s="2767"/>
      <c r="I879" s="2767"/>
      <c r="J879" s="2767"/>
      <c r="K879" s="2767"/>
      <c r="L879" s="2768"/>
      <c r="M879" s="143" t="s">
        <v>1719</v>
      </c>
      <c r="N879" s="143" t="s">
        <v>1720</v>
      </c>
      <c r="O879" s="2">
        <v>0.05</v>
      </c>
      <c r="P879" s="2"/>
      <c r="Q879" s="2"/>
      <c r="R879" s="2771"/>
      <c r="S879" s="2772"/>
      <c r="T879" s="2772"/>
      <c r="U879" s="2772"/>
      <c r="V879" s="2772"/>
      <c r="W879" s="2468"/>
    </row>
    <row r="880" spans="1:23" ht="85.5" customHeight="1" x14ac:dyDescent="0.25">
      <c r="A880" s="411"/>
      <c r="B880" s="566"/>
      <c r="C880" s="568"/>
      <c r="D880" s="568"/>
      <c r="E880" s="568"/>
      <c r="F880" s="569"/>
      <c r="G880" s="280" t="s">
        <v>91</v>
      </c>
      <c r="H880" s="154" t="s">
        <v>92</v>
      </c>
      <c r="I880" s="143" t="s">
        <v>2214</v>
      </c>
      <c r="J880" s="143">
        <v>2.5000000000000001E-2</v>
      </c>
      <c r="K880" s="143"/>
      <c r="L880" s="143"/>
      <c r="M880" s="143" t="s">
        <v>1721</v>
      </c>
      <c r="N880" s="143" t="s">
        <v>1722</v>
      </c>
      <c r="O880" s="2">
        <v>2.5000000000000001E-2</v>
      </c>
      <c r="P880" s="2"/>
      <c r="Q880" s="2"/>
      <c r="R880" s="81"/>
      <c r="S880" s="81"/>
      <c r="T880" s="142"/>
      <c r="U880" s="142"/>
      <c r="V880" s="142"/>
      <c r="W880" s="142"/>
    </row>
    <row r="881" spans="1:23" ht="66.75" customHeight="1" x14ac:dyDescent="0.25">
      <c r="A881" s="411"/>
      <c r="B881" s="566"/>
      <c r="C881" s="568"/>
      <c r="D881" s="568"/>
      <c r="E881" s="568"/>
      <c r="F881" s="569"/>
      <c r="G881" s="564" t="s">
        <v>804</v>
      </c>
      <c r="H881" s="217" t="s">
        <v>0</v>
      </c>
      <c r="I881" s="151" t="s">
        <v>2376</v>
      </c>
      <c r="J881" s="143">
        <v>0.55000000000000004</v>
      </c>
      <c r="K881" s="143"/>
      <c r="L881" s="143"/>
      <c r="M881" s="2" t="s">
        <v>1723</v>
      </c>
      <c r="N881" s="2" t="s">
        <v>1724</v>
      </c>
      <c r="O881" s="2">
        <v>9.5000000000000001E-2</v>
      </c>
      <c r="P881" s="2"/>
      <c r="Q881" s="2"/>
      <c r="R881" s="378"/>
      <c r="S881" s="378"/>
      <c r="T881" s="149"/>
      <c r="U881" s="142"/>
      <c r="V881" s="142"/>
      <c r="W881" s="142"/>
    </row>
    <row r="882" spans="1:23" ht="20.100000000000001" customHeight="1" x14ac:dyDescent="0.25">
      <c r="A882" s="411"/>
      <c r="B882" s="566"/>
      <c r="C882" s="568"/>
      <c r="D882" s="568"/>
      <c r="E882" s="568"/>
      <c r="F882" s="569"/>
      <c r="G882" s="2767" t="s">
        <v>2477</v>
      </c>
      <c r="H882" s="2767"/>
      <c r="I882" s="2767"/>
      <c r="J882" s="2767"/>
      <c r="K882" s="2767"/>
      <c r="L882" s="2768"/>
      <c r="M882" s="143" t="s">
        <v>1725</v>
      </c>
      <c r="N882" s="143" t="s">
        <v>1726</v>
      </c>
      <c r="O882" s="143">
        <v>0.6</v>
      </c>
      <c r="P882" s="2"/>
      <c r="Q882" s="2"/>
      <c r="R882" s="142"/>
      <c r="S882" s="142"/>
      <c r="T882" s="142"/>
      <c r="U882" s="142"/>
      <c r="V882" s="142"/>
      <c r="W882" s="142"/>
    </row>
    <row r="883" spans="1:23" ht="20.100000000000001" customHeight="1" x14ac:dyDescent="0.25">
      <c r="A883" s="411"/>
      <c r="B883" s="566"/>
      <c r="C883" s="568"/>
      <c r="D883" s="568"/>
      <c r="E883" s="568"/>
      <c r="F883" s="569"/>
      <c r="G883" s="2" t="s">
        <v>2574</v>
      </c>
      <c r="H883" s="2" t="s">
        <v>2575</v>
      </c>
      <c r="I883" s="143" t="s">
        <v>2638</v>
      </c>
      <c r="J883" s="2">
        <v>0.27654000000000001</v>
      </c>
      <c r="K883" s="2"/>
      <c r="L883" s="142"/>
      <c r="M883" s="154" t="s">
        <v>93</v>
      </c>
      <c r="N883" s="154" t="s">
        <v>94</v>
      </c>
      <c r="O883" s="143">
        <v>0.52700000000000002</v>
      </c>
      <c r="P883" s="2"/>
      <c r="Q883" s="2"/>
      <c r="R883" s="142"/>
      <c r="S883" s="142"/>
      <c r="T883" s="142"/>
      <c r="U883" s="142"/>
      <c r="V883" s="142"/>
      <c r="W883" s="142"/>
    </row>
    <row r="884" spans="1:23" ht="20.100000000000001" customHeight="1" x14ac:dyDescent="0.25">
      <c r="A884" s="411"/>
      <c r="B884" s="566"/>
      <c r="C884" s="568"/>
      <c r="D884" s="568"/>
      <c r="E884" s="568"/>
      <c r="F884" s="569"/>
      <c r="G884" s="2" t="s">
        <v>2576</v>
      </c>
      <c r="H884" s="2" t="s">
        <v>2577</v>
      </c>
      <c r="I884" s="1437" t="s">
        <v>2639</v>
      </c>
      <c r="J884" s="143">
        <v>0.1</v>
      </c>
      <c r="K884" s="2"/>
      <c r="L884" s="142"/>
      <c r="M884" s="217" t="s">
        <v>2044</v>
      </c>
      <c r="N884" s="217" t="s">
        <v>2045</v>
      </c>
      <c r="O884" s="151">
        <v>0.14699999999999999</v>
      </c>
      <c r="P884" s="2"/>
      <c r="Q884" s="2"/>
      <c r="R884" s="142"/>
      <c r="S884" s="142"/>
      <c r="T884" s="142"/>
      <c r="U884" s="142"/>
      <c r="V884" s="142"/>
      <c r="W884" s="142"/>
    </row>
    <row r="885" spans="1:23" ht="20.100000000000001" customHeight="1" x14ac:dyDescent="0.25">
      <c r="A885" s="411"/>
      <c r="B885" s="566"/>
      <c r="C885" s="568"/>
      <c r="D885" s="568"/>
      <c r="E885" s="568"/>
      <c r="F885" s="569"/>
      <c r="G885" s="1496" t="s">
        <v>2423</v>
      </c>
      <c r="H885" s="151" t="s">
        <v>2751</v>
      </c>
      <c r="I885" s="2" t="s">
        <v>2752</v>
      </c>
      <c r="J885" s="2">
        <v>0.7</v>
      </c>
      <c r="K885" s="2"/>
      <c r="L885" s="142"/>
      <c r="M885" s="217" t="s">
        <v>1725</v>
      </c>
      <c r="N885" s="217" t="s">
        <v>2174</v>
      </c>
      <c r="O885" s="151">
        <v>0.25</v>
      </c>
      <c r="P885" s="2"/>
      <c r="Q885" s="2"/>
      <c r="R885" s="142"/>
      <c r="S885" s="142"/>
      <c r="T885" s="142"/>
      <c r="U885" s="142"/>
      <c r="V885" s="142"/>
      <c r="W885" s="142"/>
    </row>
    <row r="886" spans="1:23" ht="36" customHeight="1" x14ac:dyDescent="0.25">
      <c r="A886" s="411"/>
      <c r="B886" s="566"/>
      <c r="C886" s="568"/>
      <c r="D886" s="568"/>
      <c r="E886" s="568"/>
      <c r="F886" s="569"/>
      <c r="G886" s="1496" t="s">
        <v>2423</v>
      </c>
      <c r="H886" s="143" t="s">
        <v>2753</v>
      </c>
      <c r="I886" s="2" t="s">
        <v>2754</v>
      </c>
      <c r="J886" s="2">
        <v>0.7</v>
      </c>
      <c r="K886" s="2"/>
      <c r="L886" s="142"/>
      <c r="M886" s="217" t="s">
        <v>2522</v>
      </c>
      <c r="N886" s="217" t="s">
        <v>2523</v>
      </c>
      <c r="O886" s="151">
        <v>0.5</v>
      </c>
      <c r="P886" s="2"/>
      <c r="Q886" s="2"/>
      <c r="R886" s="142"/>
      <c r="S886" s="142"/>
      <c r="T886" s="142"/>
      <c r="U886" s="142"/>
      <c r="V886" s="142"/>
      <c r="W886" s="142"/>
    </row>
    <row r="887" spans="1:23" ht="20.100000000000001" customHeight="1" x14ac:dyDescent="0.25">
      <c r="A887" s="411"/>
      <c r="B887" s="566"/>
      <c r="C887" s="568"/>
      <c r="D887" s="568"/>
      <c r="E887" s="568"/>
      <c r="F887" s="569"/>
      <c r="G887" s="2" t="s">
        <v>2576</v>
      </c>
      <c r="H887" s="2" t="s">
        <v>2665</v>
      </c>
      <c r="I887" s="2" t="s">
        <v>2815</v>
      </c>
      <c r="J887" s="2">
        <v>0.55000000000000004</v>
      </c>
      <c r="K887" s="2"/>
      <c r="L887" s="142"/>
      <c r="M887" s="217" t="s">
        <v>1725</v>
      </c>
      <c r="N887" s="1" t="s">
        <v>2535</v>
      </c>
      <c r="O887" s="8">
        <v>2.7E-2</v>
      </c>
      <c r="P887" s="2"/>
      <c r="Q887" s="2"/>
      <c r="R887" s="142"/>
      <c r="S887" s="142"/>
      <c r="T887" s="142"/>
      <c r="U887" s="142"/>
      <c r="V887" s="142"/>
      <c r="W887" s="142"/>
    </row>
    <row r="888" spans="1:23" ht="20.100000000000001" customHeight="1" x14ac:dyDescent="0.25">
      <c r="A888" s="411"/>
      <c r="B888" s="566"/>
      <c r="C888" s="568"/>
      <c r="D888" s="568"/>
      <c r="E888" s="568"/>
      <c r="F888" s="569"/>
      <c r="G888" s="1" t="s">
        <v>2409</v>
      </c>
      <c r="H888" s="1" t="s">
        <v>2821</v>
      </c>
      <c r="I888" s="2" t="s">
        <v>2822</v>
      </c>
      <c r="J888" s="2">
        <v>0.65</v>
      </c>
      <c r="K888" s="2"/>
      <c r="L888" s="142"/>
      <c r="M888" s="217" t="s">
        <v>1725</v>
      </c>
      <c r="N888" s="1" t="s">
        <v>2537</v>
      </c>
      <c r="O888" s="8">
        <v>0.24</v>
      </c>
      <c r="P888" s="2"/>
      <c r="Q888" s="2"/>
      <c r="R888" s="142"/>
      <c r="S888" s="142"/>
      <c r="T888" s="142"/>
      <c r="U888" s="142"/>
      <c r="V888" s="142"/>
      <c r="W888" s="142"/>
    </row>
    <row r="889" spans="1:23" ht="20.100000000000001" customHeight="1" x14ac:dyDescent="0.25">
      <c r="A889" s="402"/>
      <c r="B889" s="403"/>
      <c r="C889" s="404"/>
      <c r="D889" s="404"/>
      <c r="E889" s="404"/>
      <c r="F889" s="405"/>
      <c r="G889" s="121" t="s">
        <v>2722</v>
      </c>
      <c r="H889" s="70" t="s">
        <v>2723</v>
      </c>
      <c r="I889" s="70" t="s">
        <v>2862</v>
      </c>
      <c r="J889" s="70">
        <v>2</v>
      </c>
      <c r="K889" s="70"/>
      <c r="L889" s="149"/>
      <c r="M889" s="70" t="s">
        <v>2620</v>
      </c>
      <c r="N889" s="70" t="s">
        <v>2623</v>
      </c>
      <c r="O889" s="70">
        <v>0.1</v>
      </c>
      <c r="P889" s="70"/>
      <c r="Q889" s="70"/>
      <c r="R889" s="149"/>
      <c r="S889" s="149"/>
      <c r="T889" s="149"/>
      <c r="U889" s="149"/>
      <c r="V889" s="149"/>
      <c r="W889" s="149"/>
    </row>
    <row r="890" spans="1:23" ht="20.100000000000001" customHeight="1" x14ac:dyDescent="0.25">
      <c r="A890" s="402"/>
      <c r="B890" s="403"/>
      <c r="C890" s="404"/>
      <c r="D890" s="404"/>
      <c r="E890" s="404"/>
      <c r="F890" s="405"/>
      <c r="G890" s="121" t="s">
        <v>2341</v>
      </c>
      <c r="H890" s="70" t="s">
        <v>2852</v>
      </c>
      <c r="I890" s="70" t="s">
        <v>2866</v>
      </c>
      <c r="J890" s="70">
        <v>0.12</v>
      </c>
      <c r="K890" s="70"/>
      <c r="L890" s="149"/>
      <c r="M890" s="1" t="s">
        <v>2409</v>
      </c>
      <c r="N890" s="1" t="s">
        <v>2790</v>
      </c>
      <c r="O890" s="8">
        <v>5</v>
      </c>
      <c r="P890" s="2"/>
      <c r="Q890" s="70"/>
      <c r="R890" s="149"/>
      <c r="S890" s="149"/>
      <c r="T890" s="149"/>
      <c r="U890" s="149"/>
      <c r="V890" s="149"/>
      <c r="W890" s="149"/>
    </row>
    <row r="891" spans="1:23" ht="20.100000000000001" customHeight="1" x14ac:dyDescent="0.25">
      <c r="A891" s="402"/>
      <c r="B891" s="403"/>
      <c r="C891" s="404"/>
      <c r="D891" s="404"/>
      <c r="E891" s="404"/>
      <c r="F891" s="405"/>
      <c r="G891" s="1442" t="s">
        <v>2889</v>
      </c>
      <c r="H891" s="24" t="s">
        <v>2890</v>
      </c>
      <c r="I891" s="70" t="s">
        <v>2928</v>
      </c>
      <c r="J891" s="92">
        <v>7.4999999999999997E-2</v>
      </c>
      <c r="K891" s="70"/>
      <c r="L891" s="149"/>
      <c r="M891" s="1" t="s">
        <v>2830</v>
      </c>
      <c r="N891" s="1" t="s">
        <v>2833</v>
      </c>
      <c r="O891" s="8">
        <v>0.05</v>
      </c>
      <c r="P891" s="2"/>
      <c r="Q891" s="70"/>
      <c r="R891" s="149"/>
      <c r="S891" s="149"/>
      <c r="T891" s="149"/>
      <c r="U891" s="149"/>
      <c r="V891" s="149"/>
      <c r="W891" s="149"/>
    </row>
    <row r="892" spans="1:23" ht="20.100000000000001" customHeight="1" x14ac:dyDescent="0.25">
      <c r="A892" s="608"/>
      <c r="B892" s="609"/>
      <c r="C892" s="610"/>
      <c r="D892" s="610"/>
      <c r="E892" s="610"/>
      <c r="F892" s="607"/>
      <c r="G892" s="2767" t="s">
        <v>3020</v>
      </c>
      <c r="H892" s="2767"/>
      <c r="I892" s="2767"/>
      <c r="J892" s="2767"/>
      <c r="K892" s="2767"/>
      <c r="L892" s="2768"/>
      <c r="M892" s="24" t="s">
        <v>2941</v>
      </c>
      <c r="N892" s="24" t="s">
        <v>2956</v>
      </c>
      <c r="O892" s="92">
        <f>4-0.65</f>
        <v>3.35</v>
      </c>
      <c r="P892" s="70"/>
      <c r="Q892" s="70"/>
      <c r="R892" s="149"/>
      <c r="S892" s="149"/>
      <c r="T892" s="149"/>
      <c r="U892" s="149"/>
      <c r="V892" s="149"/>
      <c r="W892" s="149"/>
    </row>
    <row r="893" spans="1:23" ht="70.5" customHeight="1" x14ac:dyDescent="0.25">
      <c r="A893" s="608"/>
      <c r="B893" s="609"/>
      <c r="C893" s="610"/>
      <c r="D893" s="610"/>
      <c r="E893" s="610"/>
      <c r="F893" s="607"/>
      <c r="G893" s="1442" t="s">
        <v>3010</v>
      </c>
      <c r="H893" s="1442" t="s">
        <v>3348</v>
      </c>
      <c r="I893" s="70" t="s">
        <v>15273</v>
      </c>
      <c r="J893" s="92">
        <f>0.1*0.9</f>
        <v>9.0000000000000011E-2</v>
      </c>
      <c r="K893" s="70"/>
      <c r="L893" s="149"/>
      <c r="M893" s="1" t="s">
        <v>2907</v>
      </c>
      <c r="N893" s="24" t="s">
        <v>2908</v>
      </c>
      <c r="O893" s="92">
        <v>0.02</v>
      </c>
      <c r="P893" s="70"/>
      <c r="Q893" s="70"/>
      <c r="R893" s="149"/>
      <c r="S893" s="149"/>
      <c r="T893" s="149"/>
      <c r="U893" s="149"/>
      <c r="V893" s="149"/>
      <c r="W893" s="149"/>
    </row>
    <row r="894" spans="1:23" ht="27" customHeight="1" x14ac:dyDescent="0.25">
      <c r="A894" s="608"/>
      <c r="B894" s="609"/>
      <c r="C894" s="610"/>
      <c r="D894" s="610"/>
      <c r="E894" s="610"/>
      <c r="F894" s="607"/>
      <c r="G894" s="1442" t="s">
        <v>3094</v>
      </c>
      <c r="H894" s="24" t="s">
        <v>3095</v>
      </c>
      <c r="I894" s="70" t="s">
        <v>3138</v>
      </c>
      <c r="J894" s="70">
        <f>0.11*0.75</f>
        <v>8.2500000000000004E-2</v>
      </c>
      <c r="K894" s="70"/>
      <c r="L894" s="149"/>
      <c r="M894" s="24" t="s">
        <v>779</v>
      </c>
      <c r="N894" s="24" t="s">
        <v>3063</v>
      </c>
      <c r="O894" s="92">
        <v>0.6</v>
      </c>
      <c r="P894" s="70"/>
      <c r="Q894" s="70"/>
      <c r="R894" s="149"/>
      <c r="S894" s="149"/>
      <c r="T894" s="149"/>
      <c r="U894" s="149"/>
      <c r="V894" s="149"/>
      <c r="W894" s="149"/>
    </row>
    <row r="895" spans="1:23" ht="48.75" customHeight="1" x14ac:dyDescent="0.25">
      <c r="A895" s="402"/>
      <c r="B895" s="403"/>
      <c r="C895" s="404"/>
      <c r="D895" s="404"/>
      <c r="E895" s="404"/>
      <c r="F895" s="405"/>
      <c r="G895" s="143"/>
      <c r="H895" s="143"/>
      <c r="I895" s="70"/>
      <c r="J895" s="143"/>
      <c r="K895" s="70"/>
      <c r="L895" s="149"/>
      <c r="M895" s="24" t="s">
        <v>3010</v>
      </c>
      <c r="N895" s="24" t="s">
        <v>3100</v>
      </c>
      <c r="O895" s="92">
        <f>4.38-0.1</f>
        <v>4.28</v>
      </c>
      <c r="P895" s="70"/>
      <c r="Q895" s="70"/>
      <c r="R895" s="149"/>
      <c r="S895" s="149"/>
      <c r="T895" s="149"/>
      <c r="U895" s="149"/>
      <c r="V895" s="149"/>
      <c r="W895" s="149"/>
    </row>
    <row r="896" spans="1:23" ht="66.75" customHeight="1" x14ac:dyDescent="0.25">
      <c r="A896" s="659"/>
      <c r="B896" s="660"/>
      <c r="C896" s="661"/>
      <c r="D896" s="661"/>
      <c r="E896" s="661"/>
      <c r="F896" s="658"/>
      <c r="G896" s="143" t="s">
        <v>3276</v>
      </c>
      <c r="H896" s="1496" t="s">
        <v>3277</v>
      </c>
      <c r="I896" s="70" t="s">
        <v>3306</v>
      </c>
      <c r="J896" s="70">
        <f>8.4*0.9</f>
        <v>7.5600000000000005</v>
      </c>
      <c r="K896" s="70"/>
      <c r="L896" s="149"/>
      <c r="M896" s="1534" t="s">
        <v>3094</v>
      </c>
      <c r="N896" s="1534" t="s">
        <v>16660</v>
      </c>
      <c r="O896" s="92">
        <v>0.11</v>
      </c>
      <c r="P896" s="70"/>
      <c r="Q896" s="70"/>
      <c r="R896" s="149"/>
      <c r="S896" s="149"/>
      <c r="T896" s="149"/>
      <c r="U896" s="149"/>
      <c r="V896" s="149"/>
      <c r="W896" s="149"/>
    </row>
    <row r="897" spans="1:23" ht="66.75" customHeight="1" x14ac:dyDescent="0.25">
      <c r="A897" s="793"/>
      <c r="B897" s="794"/>
      <c r="C897" s="796"/>
      <c r="D897" s="796"/>
      <c r="E897" s="796"/>
      <c r="F897" s="792"/>
      <c r="G897" s="143"/>
      <c r="H897" s="1496"/>
      <c r="I897" s="70"/>
      <c r="J897" s="70"/>
      <c r="K897" s="70"/>
      <c r="L897" s="149"/>
      <c r="M897" s="143"/>
      <c r="N897" s="1496"/>
      <c r="O897" s="143"/>
      <c r="P897" s="70"/>
      <c r="Q897" s="70"/>
      <c r="R897" s="2206" t="s">
        <v>3150</v>
      </c>
      <c r="S897" s="2206" t="s">
        <v>3285</v>
      </c>
      <c r="T897" s="70" t="s">
        <v>20049</v>
      </c>
      <c r="U897" s="70">
        <f>0.45*0.75</f>
        <v>0.33750000000000002</v>
      </c>
      <c r="V897" s="149"/>
      <c r="W897" s="149"/>
    </row>
    <row r="898" spans="1:23" ht="34.5" customHeight="1" x14ac:dyDescent="0.25">
      <c r="A898" s="803"/>
      <c r="B898" s="804"/>
      <c r="C898" s="805"/>
      <c r="D898" s="805"/>
      <c r="E898" s="805"/>
      <c r="F898" s="802"/>
      <c r="G898" s="2771"/>
      <c r="H898" s="2772"/>
      <c r="I898" s="2468"/>
      <c r="J898" s="149"/>
      <c r="K898" s="149"/>
      <c r="L898" s="149"/>
      <c r="M898" s="143" t="s">
        <v>3373</v>
      </c>
      <c r="N898" s="143" t="s">
        <v>3374</v>
      </c>
      <c r="O898" s="143">
        <v>1</v>
      </c>
      <c r="P898" s="70"/>
      <c r="Q898" s="70"/>
      <c r="R898" s="149"/>
      <c r="S898" s="149"/>
      <c r="T898" s="149"/>
      <c r="U898" s="149"/>
      <c r="V898" s="149"/>
      <c r="W898" s="149"/>
    </row>
    <row r="899" spans="1:23" ht="24" customHeight="1" x14ac:dyDescent="0.25">
      <c r="A899" s="841"/>
      <c r="B899" s="842"/>
      <c r="C899" s="843"/>
      <c r="D899" s="843"/>
      <c r="E899" s="843"/>
      <c r="F899" s="840"/>
      <c r="G899" s="2767" t="s">
        <v>3447</v>
      </c>
      <c r="H899" s="2767"/>
      <c r="I899" s="2767"/>
      <c r="J899" s="2767"/>
      <c r="K899" s="2767"/>
      <c r="L899" s="2768"/>
      <c r="M899" s="143" t="s">
        <v>3387</v>
      </c>
      <c r="N899" s="143" t="s">
        <v>3388</v>
      </c>
      <c r="O899" s="143">
        <v>0.6</v>
      </c>
      <c r="P899" s="70"/>
      <c r="Q899" s="70"/>
      <c r="R899" s="149"/>
      <c r="S899" s="149"/>
      <c r="T899" s="149"/>
      <c r="U899" s="149"/>
      <c r="V899" s="149"/>
      <c r="W899" s="149"/>
    </row>
    <row r="900" spans="1:23" ht="66.75" customHeight="1" x14ac:dyDescent="0.25">
      <c r="A900" s="1016"/>
      <c r="B900" s="1014"/>
      <c r="C900" s="1018"/>
      <c r="D900" s="1018"/>
      <c r="E900" s="1018"/>
      <c r="F900" s="1015"/>
      <c r="G900" s="1259" t="s">
        <v>3421</v>
      </c>
      <c r="H900" s="1259" t="s">
        <v>3422</v>
      </c>
      <c r="I900" s="70" t="s">
        <v>3488</v>
      </c>
      <c r="J900" s="70">
        <f>3*0.9</f>
        <v>2.7</v>
      </c>
      <c r="K900" s="70"/>
      <c r="L900" s="149"/>
      <c r="M900" s="1697" t="s">
        <v>16819</v>
      </c>
      <c r="N900" s="1697" t="s">
        <v>16820</v>
      </c>
      <c r="O900" s="1355">
        <v>0.1</v>
      </c>
      <c r="P900" s="70"/>
      <c r="Q900" s="70"/>
      <c r="R900" s="149"/>
      <c r="S900" s="149"/>
      <c r="T900" s="149"/>
      <c r="U900" s="149"/>
      <c r="V900" s="149"/>
      <c r="W900" s="149"/>
    </row>
    <row r="901" spans="1:23" ht="66.75" customHeight="1" x14ac:dyDescent="0.25">
      <c r="A901" s="1016"/>
      <c r="B901" s="1014"/>
      <c r="C901" s="1018"/>
      <c r="D901" s="1018"/>
      <c r="E901" s="1018"/>
      <c r="F901" s="1015"/>
      <c r="G901" s="1333" t="s">
        <v>3214</v>
      </c>
      <c r="H901" s="1333" t="s">
        <v>3510</v>
      </c>
      <c r="I901" s="1333" t="s">
        <v>3576</v>
      </c>
      <c r="J901" s="70">
        <f>0.2*0.75</f>
        <v>0.15000000000000002</v>
      </c>
      <c r="K901" s="70"/>
      <c r="L901" s="149"/>
      <c r="M901" s="1355" t="s">
        <v>3589</v>
      </c>
      <c r="N901" s="1355" t="s">
        <v>3590</v>
      </c>
      <c r="O901" s="143">
        <v>0.45</v>
      </c>
      <c r="P901" s="70"/>
      <c r="Q901" s="70"/>
      <c r="R901" s="149"/>
      <c r="S901" s="149"/>
      <c r="T901" s="149"/>
      <c r="U901" s="149"/>
      <c r="V901" s="149"/>
      <c r="W901" s="149"/>
    </row>
    <row r="902" spans="1:23" ht="19.5" customHeight="1" x14ac:dyDescent="0.25">
      <c r="A902" s="1375"/>
      <c r="B902" s="1381"/>
      <c r="C902" s="1384"/>
      <c r="D902" s="1384"/>
      <c r="E902" s="1384"/>
      <c r="F902" s="1382"/>
      <c r="G902" s="2784" t="s">
        <v>3401</v>
      </c>
      <c r="H902" s="2785"/>
      <c r="I902" s="2786"/>
      <c r="J902" s="775">
        <f>0.11*0.9</f>
        <v>9.9000000000000005E-2</v>
      </c>
      <c r="K902" s="70"/>
      <c r="L902" s="149"/>
      <c r="M902" s="1376" t="s">
        <v>1695</v>
      </c>
      <c r="N902" s="1376" t="s">
        <v>3621</v>
      </c>
      <c r="O902" s="1376">
        <v>0.1</v>
      </c>
      <c r="P902" s="70"/>
      <c r="Q902" s="70"/>
      <c r="R902" s="149"/>
      <c r="S902" s="149"/>
      <c r="T902" s="149"/>
      <c r="U902" s="149"/>
      <c r="V902" s="149"/>
      <c r="W902" s="149"/>
    </row>
    <row r="903" spans="1:23" ht="66.75" customHeight="1" x14ac:dyDescent="0.25">
      <c r="A903" s="1492"/>
      <c r="B903" s="1504"/>
      <c r="C903" s="1511"/>
      <c r="D903" s="1511"/>
      <c r="E903" s="1511"/>
      <c r="F903" s="1505"/>
      <c r="G903" s="1552" t="s">
        <v>3010</v>
      </c>
      <c r="H903" s="1552" t="s">
        <v>16708</v>
      </c>
      <c r="I903" s="1493" t="s">
        <v>16893</v>
      </c>
      <c r="J903" s="70">
        <f>4.38*0.9</f>
        <v>3.9420000000000002</v>
      </c>
      <c r="K903" s="70"/>
      <c r="L903" s="149"/>
      <c r="M903" s="1493" t="s">
        <v>15320</v>
      </c>
      <c r="N903" s="1493" t="s">
        <v>15321</v>
      </c>
      <c r="O903" s="1493">
        <v>2.4</v>
      </c>
      <c r="P903" s="70"/>
      <c r="Q903" s="70"/>
      <c r="R903" s="149"/>
      <c r="S903" s="149"/>
      <c r="T903" s="149"/>
      <c r="U903" s="149"/>
      <c r="V903" s="149"/>
      <c r="W903" s="149"/>
    </row>
    <row r="904" spans="1:23" ht="66.75" customHeight="1" x14ac:dyDescent="0.25">
      <c r="A904" s="1525"/>
      <c r="B904" s="1532"/>
      <c r="C904" s="1535"/>
      <c r="D904" s="1535"/>
      <c r="E904" s="1535"/>
      <c r="F904" s="1533"/>
      <c r="G904" s="1812" t="s">
        <v>16758</v>
      </c>
      <c r="H904" s="1812" t="s">
        <v>16759</v>
      </c>
      <c r="I904" s="1526" t="s">
        <v>16908</v>
      </c>
      <c r="J904" s="70">
        <f>6.5*0.9</f>
        <v>5.8500000000000005</v>
      </c>
      <c r="K904" s="70"/>
      <c r="L904" s="149"/>
      <c r="M904" s="1526" t="s">
        <v>16662</v>
      </c>
      <c r="N904" s="1526" t="s">
        <v>16663</v>
      </c>
      <c r="O904" s="1526">
        <v>0.05</v>
      </c>
      <c r="P904" s="70"/>
      <c r="Q904" s="70"/>
      <c r="R904" s="149"/>
      <c r="S904" s="149"/>
      <c r="T904" s="149"/>
      <c r="U904" s="149"/>
      <c r="V904" s="149"/>
      <c r="W904" s="149"/>
    </row>
    <row r="905" spans="1:23" ht="66.75" customHeight="1" x14ac:dyDescent="0.25">
      <c r="A905" s="1556"/>
      <c r="B905" s="1550"/>
      <c r="C905" s="1557"/>
      <c r="D905" s="1557"/>
      <c r="E905" s="1557"/>
      <c r="F905" s="1551"/>
      <c r="G905" s="2767" t="s">
        <v>17005</v>
      </c>
      <c r="H905" s="2767"/>
      <c r="I905" s="2767"/>
      <c r="J905" s="2767"/>
      <c r="K905" s="2767"/>
      <c r="L905" s="2768"/>
      <c r="M905" s="1798"/>
      <c r="N905" s="1798"/>
      <c r="O905" s="1777"/>
      <c r="P905" s="70"/>
      <c r="Q905" s="70"/>
      <c r="R905" s="149"/>
      <c r="S905" s="149"/>
      <c r="T905" s="149"/>
      <c r="U905" s="149"/>
      <c r="V905" s="149"/>
      <c r="W905" s="149"/>
    </row>
    <row r="906" spans="1:23" ht="66.75" customHeight="1" x14ac:dyDescent="0.25">
      <c r="A906" s="1556"/>
      <c r="B906" s="1550"/>
      <c r="C906" s="1557"/>
      <c r="D906" s="1557"/>
      <c r="E906" s="1557"/>
      <c r="F906" s="1551"/>
      <c r="G906" s="2090" t="s">
        <v>19867</v>
      </c>
      <c r="H906" s="2090" t="s">
        <v>19868</v>
      </c>
      <c r="I906" s="2090" t="s">
        <v>19869</v>
      </c>
      <c r="J906" s="70">
        <f>0.2*0.9</f>
        <v>0.18000000000000002</v>
      </c>
      <c r="K906" s="70"/>
      <c r="L906" s="149"/>
      <c r="M906" s="1552" t="s">
        <v>3214</v>
      </c>
      <c r="N906" s="1552" t="s">
        <v>16722</v>
      </c>
      <c r="O906" s="1552">
        <v>0.2</v>
      </c>
      <c r="P906" s="70"/>
      <c r="Q906" s="70"/>
      <c r="R906" s="149"/>
      <c r="S906" s="149"/>
      <c r="T906" s="149"/>
      <c r="U906" s="149"/>
      <c r="V906" s="149"/>
      <c r="W906" s="149"/>
    </row>
    <row r="907" spans="1:23" ht="66.75" customHeight="1" x14ac:dyDescent="0.25">
      <c r="A907" s="1686"/>
      <c r="B907" s="1673"/>
      <c r="C907" s="1674"/>
      <c r="D907" s="1674"/>
      <c r="E907" s="1674"/>
      <c r="F907" s="1675"/>
      <c r="G907" s="1683" t="s">
        <v>19883</v>
      </c>
      <c r="H907" s="1687" t="s">
        <v>19884</v>
      </c>
      <c r="I907" s="1687" t="s">
        <v>19885</v>
      </c>
      <c r="J907" s="70">
        <f>0.1*0.15</f>
        <v>1.4999999999999999E-2</v>
      </c>
      <c r="K907" s="70"/>
      <c r="L907" s="149"/>
      <c r="M907" s="1687"/>
      <c r="N907" s="1687"/>
      <c r="O907" s="1687"/>
      <c r="P907" s="70"/>
      <c r="Q907" s="70"/>
      <c r="R907" s="149"/>
      <c r="S907" s="149"/>
      <c r="T907" s="149"/>
      <c r="U907" s="149"/>
      <c r="V907" s="149"/>
      <c r="W907" s="149"/>
    </row>
    <row r="908" spans="1:23" ht="66.75" customHeight="1" x14ac:dyDescent="0.25">
      <c r="A908" s="2159"/>
      <c r="B908" s="2142"/>
      <c r="C908" s="2143"/>
      <c r="D908" s="2143"/>
      <c r="E908" s="2143"/>
      <c r="F908" s="2144"/>
      <c r="G908" s="2157" t="s">
        <v>19867</v>
      </c>
      <c r="H908" s="2157" t="s">
        <v>19868</v>
      </c>
      <c r="I908" s="2157" t="s">
        <v>19968</v>
      </c>
      <c r="J908" s="70">
        <f>0.635*0.9</f>
        <v>0.57150000000000001</v>
      </c>
      <c r="K908" s="70"/>
      <c r="L908" s="149"/>
      <c r="M908" s="2157"/>
      <c r="N908" s="2157"/>
      <c r="O908" s="2157"/>
      <c r="P908" s="70"/>
      <c r="Q908" s="70"/>
      <c r="R908" s="149"/>
      <c r="S908" s="149"/>
      <c r="T908" s="149"/>
      <c r="U908" s="149"/>
      <c r="V908" s="149"/>
      <c r="W908" s="149"/>
    </row>
    <row r="909" spans="1:23" ht="20.100000000000001" customHeight="1" thickBot="1" x14ac:dyDescent="0.3">
      <c r="A909" s="406"/>
      <c r="B909" s="395"/>
      <c r="C909" s="396"/>
      <c r="D909" s="396"/>
      <c r="E909" s="396"/>
      <c r="F909" s="397"/>
      <c r="G909" s="2637"/>
      <c r="H909" s="2810"/>
      <c r="I909" s="2810"/>
      <c r="J909" s="136">
        <f>SUM(J893:J908)</f>
        <v>21.240000000000002</v>
      </c>
      <c r="K909" s="183">
        <v>0.92</v>
      </c>
      <c r="L909" s="136">
        <f>J909/K909</f>
        <v>23.086956521739133</v>
      </c>
      <c r="M909" s="2810" t="s">
        <v>1834</v>
      </c>
      <c r="N909" s="2810"/>
      <c r="O909" s="136">
        <f>SUM(O867:O907)</f>
        <v>27.685500000000005</v>
      </c>
      <c r="P909" s="183">
        <v>0.92</v>
      </c>
      <c r="Q909" s="136">
        <f>O909/P909</f>
        <v>30.092934782608701</v>
      </c>
      <c r="R909" s="2810" t="s">
        <v>1833</v>
      </c>
      <c r="S909" s="2810"/>
      <c r="T909" s="2810"/>
      <c r="U909" s="136">
        <f>SUM(U867:U908)</f>
        <v>0.93269999999999997</v>
      </c>
      <c r="V909" s="183">
        <v>0.92</v>
      </c>
      <c r="W909" s="136">
        <f>U909/V909</f>
        <v>1.013804347826087</v>
      </c>
    </row>
    <row r="910" spans="1:23" ht="20.100000000000001" customHeight="1" x14ac:dyDescent="0.25">
      <c r="A910" s="2776" t="str">
        <f>Итоговая!C360</f>
        <v xml:space="preserve">ПС 110/35/10 кВ Северная </v>
      </c>
      <c r="B910" s="2630">
        <f>Итоговая!D360</f>
        <v>40</v>
      </c>
      <c r="C910" s="2632" t="str">
        <f>Итоговая!E360</f>
        <v>+</v>
      </c>
      <c r="D910" s="2632">
        <f>Итоговая!F360</f>
        <v>40</v>
      </c>
      <c r="E910" s="400"/>
      <c r="F910" s="401"/>
      <c r="G910" s="2808" t="s">
        <v>1961</v>
      </c>
      <c r="H910" s="2808"/>
      <c r="I910" s="2808"/>
      <c r="J910" s="2808"/>
      <c r="K910" s="2808"/>
      <c r="L910" s="2800"/>
      <c r="M910" s="77"/>
      <c r="N910" s="77"/>
      <c r="O910" s="77"/>
      <c r="P910" s="77"/>
      <c r="Q910" s="77"/>
      <c r="R910" s="2811"/>
      <c r="S910" s="2791"/>
      <c r="T910" s="2791"/>
      <c r="U910" s="2791"/>
      <c r="V910" s="2791"/>
      <c r="W910" s="2792"/>
    </row>
    <row r="911" spans="1:23" ht="55.5" customHeight="1" x14ac:dyDescent="0.25">
      <c r="A911" s="2777"/>
      <c r="B911" s="2631"/>
      <c r="C911" s="2633"/>
      <c r="D911" s="2633"/>
      <c r="E911" s="404"/>
      <c r="F911" s="405"/>
      <c r="G911" s="283" t="s">
        <v>1727</v>
      </c>
      <c r="H911" s="45" t="s">
        <v>1728</v>
      </c>
      <c r="I911" s="45" t="s">
        <v>1729</v>
      </c>
      <c r="J911" s="45">
        <v>0.46</v>
      </c>
      <c r="K911" s="45"/>
      <c r="L911" s="72"/>
      <c r="M911" s="45" t="s">
        <v>1730</v>
      </c>
      <c r="N911" s="45" t="s">
        <v>1731</v>
      </c>
      <c r="O911" s="45">
        <v>0.13900000000000001</v>
      </c>
      <c r="P911" s="45"/>
      <c r="Q911" s="45"/>
      <c r="R911" s="66" t="s">
        <v>1732</v>
      </c>
      <c r="S911" s="2" t="s">
        <v>1733</v>
      </c>
      <c r="T911" s="2" t="s">
        <v>20045</v>
      </c>
      <c r="U911" s="2">
        <v>0.128</v>
      </c>
      <c r="V911" s="72"/>
      <c r="W911" s="72"/>
    </row>
    <row r="912" spans="1:23" ht="20.100000000000001" customHeight="1" x14ac:dyDescent="0.25">
      <c r="A912" s="411"/>
      <c r="B912" s="566"/>
      <c r="C912" s="568"/>
      <c r="D912" s="568"/>
      <c r="E912" s="568"/>
      <c r="F912" s="569"/>
      <c r="G912" s="2767" t="s">
        <v>1960</v>
      </c>
      <c r="H912" s="2767"/>
      <c r="I912" s="2767"/>
      <c r="J912" s="2767"/>
      <c r="K912" s="2767"/>
      <c r="L912" s="2768"/>
      <c r="M912" s="45"/>
      <c r="N912" s="45"/>
      <c r="O912" s="45"/>
      <c r="P912" s="45"/>
      <c r="Q912" s="45"/>
      <c r="R912" s="2771"/>
      <c r="S912" s="2772"/>
      <c r="T912" s="2772"/>
      <c r="U912" s="2772"/>
      <c r="V912" s="2772"/>
      <c r="W912" s="2468"/>
    </row>
    <row r="913" spans="1:23" ht="20.100000000000001" customHeight="1" x14ac:dyDescent="0.25">
      <c r="A913" s="411"/>
      <c r="B913" s="566"/>
      <c r="C913" s="568"/>
      <c r="D913" s="568"/>
      <c r="E913" s="568"/>
      <c r="F913" s="569"/>
      <c r="G913" s="66"/>
      <c r="H913" s="2"/>
      <c r="I913" s="2"/>
      <c r="J913" s="2"/>
      <c r="K913" s="2"/>
      <c r="L913" s="142"/>
      <c r="M913" s="2" t="s">
        <v>1312</v>
      </c>
      <c r="N913" s="2" t="s">
        <v>1313</v>
      </c>
      <c r="O913" s="2">
        <v>0.28299999999999997</v>
      </c>
      <c r="P913" s="2"/>
      <c r="Q913" s="2"/>
      <c r="R913" s="142"/>
      <c r="S913" s="142"/>
      <c r="T913" s="142"/>
      <c r="U913" s="142"/>
      <c r="V913" s="142"/>
      <c r="W913" s="142"/>
    </row>
    <row r="914" spans="1:23" ht="20.100000000000001" customHeight="1" x14ac:dyDescent="0.25">
      <c r="A914" s="411"/>
      <c r="B914" s="566"/>
      <c r="C914" s="568"/>
      <c r="D914" s="568"/>
      <c r="E914" s="568"/>
      <c r="F914" s="569"/>
      <c r="G914" s="66" t="s">
        <v>1315</v>
      </c>
      <c r="H914" s="2" t="s">
        <v>1316</v>
      </c>
      <c r="I914" s="2" t="s">
        <v>1317</v>
      </c>
      <c r="J914" s="2">
        <v>6</v>
      </c>
      <c r="K914" s="2"/>
      <c r="L914" s="142"/>
      <c r="M914" s="2" t="s">
        <v>1102</v>
      </c>
      <c r="N914" s="2" t="s">
        <v>1314</v>
      </c>
      <c r="O914" s="2">
        <v>8.8999999999999996E-2</v>
      </c>
      <c r="P914" s="2"/>
      <c r="Q914" s="2"/>
      <c r="R914" s="142"/>
      <c r="S914" s="142"/>
      <c r="T914" s="142"/>
      <c r="U914" s="142"/>
      <c r="V914" s="142"/>
      <c r="W914" s="142"/>
    </row>
    <row r="915" spans="1:23" ht="20.100000000000001" customHeight="1" x14ac:dyDescent="0.25">
      <c r="A915" s="411"/>
      <c r="B915" s="566"/>
      <c r="C915" s="568"/>
      <c r="D915" s="568"/>
      <c r="E915" s="568"/>
      <c r="F915" s="569"/>
      <c r="G915" s="66" t="s">
        <v>1320</v>
      </c>
      <c r="H915" s="2" t="s">
        <v>1321</v>
      </c>
      <c r="I915" s="2" t="s">
        <v>1322</v>
      </c>
      <c r="J915" s="2">
        <v>0.14000000000000001</v>
      </c>
      <c r="K915" s="2"/>
      <c r="L915" s="142"/>
      <c r="M915" s="2" t="s">
        <v>1318</v>
      </c>
      <c r="N915" s="2" t="s">
        <v>1319</v>
      </c>
      <c r="O915" s="2">
        <v>0.24</v>
      </c>
      <c r="P915" s="2"/>
      <c r="Q915" s="2"/>
      <c r="R915" s="142"/>
      <c r="S915" s="142"/>
      <c r="T915" s="142"/>
      <c r="U915" s="142"/>
      <c r="V915" s="142"/>
      <c r="W915" s="142"/>
    </row>
    <row r="916" spans="1:23" ht="20.100000000000001" customHeight="1" x14ac:dyDescent="0.25">
      <c r="A916" s="411"/>
      <c r="B916" s="566"/>
      <c r="C916" s="568"/>
      <c r="D916" s="568"/>
      <c r="E916" s="568"/>
      <c r="F916" s="569"/>
      <c r="G916" s="2767" t="s">
        <v>1959</v>
      </c>
      <c r="H916" s="2767"/>
      <c r="I916" s="2767"/>
      <c r="J916" s="2767"/>
      <c r="K916" s="2767"/>
      <c r="L916" s="2768"/>
      <c r="M916" s="2"/>
      <c r="N916" s="2"/>
      <c r="O916" s="2"/>
      <c r="P916" s="2"/>
      <c r="Q916" s="2"/>
      <c r="R916" s="2771"/>
      <c r="S916" s="2772"/>
      <c r="T916" s="2772"/>
      <c r="U916" s="2772"/>
      <c r="V916" s="2772"/>
      <c r="W916" s="2468"/>
    </row>
    <row r="917" spans="1:23" ht="44.25" customHeight="1" x14ac:dyDescent="0.25">
      <c r="A917" s="411"/>
      <c r="B917" s="566"/>
      <c r="C917" s="568"/>
      <c r="D917" s="568"/>
      <c r="E917" s="568"/>
      <c r="F917" s="569"/>
      <c r="G917" s="66" t="s">
        <v>1325</v>
      </c>
      <c r="H917" s="2" t="s">
        <v>1326</v>
      </c>
      <c r="I917" s="2" t="s">
        <v>1327</v>
      </c>
      <c r="J917" s="2">
        <v>2.5000000000000001E-2</v>
      </c>
      <c r="K917" s="2"/>
      <c r="L917" s="142"/>
      <c r="M917" s="2" t="s">
        <v>1323</v>
      </c>
      <c r="N917" s="2" t="s">
        <v>1324</v>
      </c>
      <c r="O917" s="2">
        <v>0.27800000000000002</v>
      </c>
      <c r="P917" s="2"/>
      <c r="Q917" s="2"/>
      <c r="R917" s="142"/>
      <c r="S917" s="142"/>
      <c r="T917" s="142"/>
      <c r="U917" s="142"/>
      <c r="V917" s="142"/>
      <c r="W917" s="142"/>
    </row>
    <row r="918" spans="1:23" ht="20.100000000000001" customHeight="1" x14ac:dyDescent="0.25">
      <c r="A918" s="411"/>
      <c r="B918" s="566"/>
      <c r="C918" s="568"/>
      <c r="D918" s="568"/>
      <c r="E918" s="568"/>
      <c r="F918" s="569"/>
      <c r="G918" s="66" t="s">
        <v>1330</v>
      </c>
      <c r="H918" s="2" t="s">
        <v>1331</v>
      </c>
      <c r="I918" s="2" t="s">
        <v>1332</v>
      </c>
      <c r="J918" s="2">
        <v>0.185</v>
      </c>
      <c r="K918" s="2"/>
      <c r="L918" s="142"/>
      <c r="M918" s="2" t="s">
        <v>1328</v>
      </c>
      <c r="N918" s="2" t="s">
        <v>1329</v>
      </c>
      <c r="O918" s="2">
        <v>0.02</v>
      </c>
      <c r="P918" s="2"/>
      <c r="Q918" s="2"/>
      <c r="R918" s="142"/>
      <c r="S918" s="142"/>
      <c r="T918" s="142"/>
      <c r="U918" s="142"/>
      <c r="V918" s="142"/>
      <c r="W918" s="142"/>
    </row>
    <row r="919" spans="1:23" ht="20.100000000000001" customHeight="1" x14ac:dyDescent="0.25">
      <c r="A919" s="411"/>
      <c r="B919" s="566"/>
      <c r="C919" s="568"/>
      <c r="D919" s="568"/>
      <c r="E919" s="568"/>
      <c r="F919" s="569"/>
      <c r="G919" s="2767" t="s">
        <v>2033</v>
      </c>
      <c r="H919" s="2767"/>
      <c r="I919" s="2767"/>
      <c r="J919" s="2767"/>
      <c r="K919" s="2767"/>
      <c r="L919" s="2768"/>
      <c r="M919" s="2" t="s">
        <v>1333</v>
      </c>
      <c r="N919" s="2" t="s">
        <v>1334</v>
      </c>
      <c r="O919" s="2">
        <v>0.24099999999999999</v>
      </c>
      <c r="P919" s="2"/>
      <c r="Q919" s="2"/>
      <c r="R919" s="2771"/>
      <c r="S919" s="2772"/>
      <c r="T919" s="2772"/>
      <c r="U919" s="2772"/>
      <c r="V919" s="2772"/>
      <c r="W919" s="2468"/>
    </row>
    <row r="920" spans="1:23" ht="48.75" customHeight="1" x14ac:dyDescent="0.25">
      <c r="A920" s="411"/>
      <c r="B920" s="566"/>
      <c r="C920" s="568"/>
      <c r="D920" s="568"/>
      <c r="E920" s="568"/>
      <c r="F920" s="569"/>
      <c r="G920" s="66" t="s">
        <v>2459</v>
      </c>
      <c r="H920" s="2" t="s">
        <v>2460</v>
      </c>
      <c r="I920" s="48" t="s">
        <v>2461</v>
      </c>
      <c r="J920" s="2">
        <v>0.3</v>
      </c>
      <c r="K920" s="2"/>
      <c r="L920" s="142"/>
      <c r="M920" s="2" t="s">
        <v>1335</v>
      </c>
      <c r="N920" s="2" t="s">
        <v>1336</v>
      </c>
      <c r="O920" s="2">
        <v>0.16039999999999999</v>
      </c>
      <c r="P920" s="2"/>
      <c r="Q920" s="2"/>
      <c r="R920" s="142"/>
      <c r="S920" s="142"/>
      <c r="T920" s="285"/>
      <c r="U920" s="142"/>
      <c r="V920" s="142"/>
      <c r="W920" s="142"/>
    </row>
    <row r="921" spans="1:23" ht="20.100000000000001" customHeight="1" x14ac:dyDescent="0.25">
      <c r="A921" s="411"/>
      <c r="B921" s="566"/>
      <c r="C921" s="568"/>
      <c r="D921" s="568"/>
      <c r="E921" s="568"/>
      <c r="F921" s="569"/>
      <c r="G921" s="2767" t="s">
        <v>2640</v>
      </c>
      <c r="H921" s="2767"/>
      <c r="I921" s="2767"/>
      <c r="J921" s="2767"/>
      <c r="K921" s="2767"/>
      <c r="L921" s="2768"/>
      <c r="M921" s="2"/>
      <c r="N921" s="2"/>
      <c r="O921" s="2"/>
      <c r="P921" s="2"/>
      <c r="Q921" s="2"/>
      <c r="R921" s="142"/>
      <c r="S921" s="142"/>
      <c r="T921" s="364"/>
      <c r="U921" s="142"/>
      <c r="V921" s="142"/>
      <c r="W921" s="142"/>
    </row>
    <row r="922" spans="1:23" ht="20.100000000000001" customHeight="1" x14ac:dyDescent="0.25">
      <c r="A922" s="411"/>
      <c r="B922" s="566"/>
      <c r="C922" s="568"/>
      <c r="D922" s="568"/>
      <c r="E922" s="568"/>
      <c r="F922" s="569"/>
      <c r="G922" s="66" t="s">
        <v>1312</v>
      </c>
      <c r="H922" s="2" t="s">
        <v>2599</v>
      </c>
      <c r="I922" s="48" t="s">
        <v>2861</v>
      </c>
      <c r="J922" s="2">
        <v>0</v>
      </c>
      <c r="K922" s="2"/>
      <c r="L922" s="142"/>
      <c r="M922" s="2" t="s">
        <v>1337</v>
      </c>
      <c r="N922" s="2" t="s">
        <v>1338</v>
      </c>
      <c r="O922" s="2">
        <v>0.1</v>
      </c>
      <c r="P922" s="2"/>
      <c r="Q922" s="2"/>
      <c r="R922" s="142"/>
      <c r="S922" s="142"/>
      <c r="T922" s="364"/>
      <c r="U922" s="142"/>
      <c r="V922" s="142"/>
      <c r="W922" s="142"/>
    </row>
    <row r="923" spans="1:23" ht="20.100000000000001" customHeight="1" x14ac:dyDescent="0.25">
      <c r="A923" s="411"/>
      <c r="B923" s="566"/>
      <c r="C923" s="568"/>
      <c r="D923" s="568"/>
      <c r="E923" s="568"/>
      <c r="F923" s="569"/>
      <c r="G923" s="66" t="s">
        <v>2750</v>
      </c>
      <c r="H923" s="2" t="s">
        <v>2805</v>
      </c>
      <c r="I923" s="48" t="s">
        <v>2873</v>
      </c>
      <c r="J923" s="2">
        <f>0.7-0.2</f>
        <v>0.49999999999999994</v>
      </c>
      <c r="K923" s="2"/>
      <c r="L923" s="142"/>
      <c r="M923" s="2" t="s">
        <v>1339</v>
      </c>
      <c r="N923" s="2" t="s">
        <v>1340</v>
      </c>
      <c r="O923" s="2">
        <v>0.03</v>
      </c>
      <c r="P923" s="2"/>
      <c r="Q923" s="2"/>
      <c r="R923" s="142"/>
      <c r="S923" s="142"/>
      <c r="T923" s="364"/>
      <c r="U923" s="142"/>
      <c r="V923" s="142"/>
      <c r="W923" s="142"/>
    </row>
    <row r="924" spans="1:23" ht="20.100000000000001" customHeight="1" x14ac:dyDescent="0.25">
      <c r="A924" s="411"/>
      <c r="B924" s="566"/>
      <c r="C924" s="568"/>
      <c r="D924" s="568"/>
      <c r="E924" s="568"/>
      <c r="F924" s="569"/>
      <c r="G924" s="2767" t="s">
        <v>3405</v>
      </c>
      <c r="H924" s="2767"/>
      <c r="I924" s="2767"/>
      <c r="J924" s="2767"/>
      <c r="K924" s="2767"/>
      <c r="L924" s="2768"/>
      <c r="M924" s="2" t="s">
        <v>1341</v>
      </c>
      <c r="N924" s="2" t="s">
        <v>1342</v>
      </c>
      <c r="O924" s="2">
        <v>7.0000000000000007E-2</v>
      </c>
      <c r="P924" s="2"/>
      <c r="Q924" s="2"/>
      <c r="R924" s="142"/>
      <c r="S924" s="142"/>
      <c r="T924" s="364"/>
      <c r="U924" s="142"/>
      <c r="V924" s="142"/>
      <c r="W924" s="142"/>
    </row>
    <row r="925" spans="1:23" ht="20.100000000000001" customHeight="1" x14ac:dyDescent="0.25">
      <c r="A925" s="411"/>
      <c r="B925" s="566"/>
      <c r="C925" s="568"/>
      <c r="D925" s="568"/>
      <c r="E925" s="568"/>
      <c r="F925" s="569"/>
      <c r="G925" s="2" t="s">
        <v>3568</v>
      </c>
      <c r="H925" s="2" t="s">
        <v>3569</v>
      </c>
      <c r="I925" s="48" t="s">
        <v>3630</v>
      </c>
      <c r="J925" s="2">
        <f>(0.04-0.015)*0.75</f>
        <v>1.8750000000000003E-2</v>
      </c>
      <c r="K925" s="2"/>
      <c r="L925" s="142"/>
      <c r="M925" s="2" t="s">
        <v>1343</v>
      </c>
      <c r="N925" s="2" t="s">
        <v>1344</v>
      </c>
      <c r="O925" s="201">
        <v>0.1</v>
      </c>
      <c r="P925" s="2"/>
      <c r="Q925" s="2"/>
      <c r="R925" s="142"/>
      <c r="S925" s="142"/>
      <c r="T925" s="364"/>
      <c r="U925" s="142"/>
      <c r="V925" s="142"/>
      <c r="W925" s="142"/>
    </row>
    <row r="926" spans="1:23" ht="20.100000000000001" customHeight="1" x14ac:dyDescent="0.25">
      <c r="A926" s="411"/>
      <c r="B926" s="566"/>
      <c r="C926" s="568"/>
      <c r="D926" s="568"/>
      <c r="E926" s="568"/>
      <c r="F926" s="569"/>
      <c r="G926" s="2" t="s">
        <v>3618</v>
      </c>
      <c r="H926" s="2" t="s">
        <v>3619</v>
      </c>
      <c r="I926" s="48" t="s">
        <v>15288</v>
      </c>
      <c r="J926" s="2">
        <f>(0.13-0.053)*0.75</f>
        <v>5.775000000000001E-2</v>
      </c>
      <c r="K926" s="2"/>
      <c r="L926" s="142"/>
      <c r="M926" s="2" t="s">
        <v>1345</v>
      </c>
      <c r="N926" s="2" t="s">
        <v>1346</v>
      </c>
      <c r="O926" s="2">
        <v>9.9000000000000005E-2</v>
      </c>
      <c r="P926" s="2"/>
      <c r="Q926" s="2"/>
      <c r="R926" s="142"/>
      <c r="S926" s="142"/>
      <c r="T926" s="364"/>
      <c r="U926" s="142"/>
      <c r="V926" s="142"/>
      <c r="W926" s="142"/>
    </row>
    <row r="927" spans="1:23" s="116" customFormat="1" ht="20.100000000000001" customHeight="1" x14ac:dyDescent="0.25">
      <c r="A927" s="411"/>
      <c r="B927" s="566"/>
      <c r="C927" s="568"/>
      <c r="D927" s="568"/>
      <c r="E927" s="568"/>
      <c r="F927" s="569"/>
      <c r="G927" s="66"/>
      <c r="H927" s="2"/>
      <c r="I927" s="200"/>
      <c r="J927" s="2"/>
      <c r="K927" s="2"/>
      <c r="L927" s="142"/>
      <c r="M927" s="2" t="s">
        <v>1347</v>
      </c>
      <c r="N927" s="2" t="s">
        <v>1348</v>
      </c>
      <c r="O927" s="2">
        <v>0.1</v>
      </c>
      <c r="P927" s="2"/>
      <c r="Q927" s="2"/>
      <c r="R927" s="142"/>
      <c r="S927" s="142"/>
      <c r="T927" s="364"/>
      <c r="U927" s="142"/>
      <c r="V927" s="142"/>
      <c r="W927" s="142"/>
    </row>
    <row r="928" spans="1:23" ht="20.100000000000001" customHeight="1" x14ac:dyDescent="0.25">
      <c r="A928" s="411"/>
      <c r="B928" s="566"/>
      <c r="C928" s="568"/>
      <c r="D928" s="568"/>
      <c r="E928" s="568"/>
      <c r="F928" s="569"/>
      <c r="G928" s="66"/>
      <c r="H928" s="2"/>
      <c r="I928" s="200"/>
      <c r="J928" s="2"/>
      <c r="K928" s="2"/>
      <c r="L928" s="142"/>
      <c r="M928" s="143" t="s">
        <v>1349</v>
      </c>
      <c r="N928" s="143" t="s">
        <v>1350</v>
      </c>
      <c r="O928" s="2">
        <v>0.125</v>
      </c>
      <c r="P928" s="2"/>
      <c r="Q928" s="2"/>
      <c r="R928" s="142"/>
      <c r="S928" s="142"/>
      <c r="T928" s="364"/>
      <c r="U928" s="142"/>
      <c r="V928" s="142"/>
      <c r="W928" s="142"/>
    </row>
    <row r="929" spans="1:23" ht="20.100000000000001" customHeight="1" x14ac:dyDescent="0.25">
      <c r="A929" s="411"/>
      <c r="B929" s="566"/>
      <c r="C929" s="568"/>
      <c r="D929" s="568"/>
      <c r="E929" s="568"/>
      <c r="F929" s="569"/>
      <c r="G929" s="66"/>
      <c r="H929" s="2"/>
      <c r="I929" s="200"/>
      <c r="J929" s="2"/>
      <c r="K929" s="2"/>
      <c r="L929" s="142"/>
      <c r="M929" s="143" t="s">
        <v>1351</v>
      </c>
      <c r="N929" s="143" t="s">
        <v>1352</v>
      </c>
      <c r="O929" s="2">
        <v>0.04</v>
      </c>
      <c r="P929" s="2"/>
      <c r="Q929" s="2"/>
      <c r="R929" s="142"/>
      <c r="S929" s="142"/>
      <c r="T929" s="364"/>
      <c r="U929" s="142"/>
      <c r="V929" s="142"/>
      <c r="W929" s="142"/>
    </row>
    <row r="930" spans="1:23" ht="20.100000000000001" customHeight="1" x14ac:dyDescent="0.25">
      <c r="A930" s="411"/>
      <c r="B930" s="566"/>
      <c r="C930" s="568"/>
      <c r="D930" s="568"/>
      <c r="E930" s="568"/>
      <c r="F930" s="569"/>
      <c r="G930" s="66"/>
      <c r="H930" s="2"/>
      <c r="I930" s="200"/>
      <c r="J930" s="2"/>
      <c r="K930" s="2"/>
      <c r="L930" s="142"/>
      <c r="M930" s="142" t="s">
        <v>1353</v>
      </c>
      <c r="N930" s="142" t="s">
        <v>1354</v>
      </c>
      <c r="O930" s="2">
        <v>8.5000000000000006E-2</v>
      </c>
      <c r="P930" s="2"/>
      <c r="Q930" s="2"/>
      <c r="R930" s="142"/>
      <c r="S930" s="142"/>
      <c r="T930" s="364"/>
      <c r="U930" s="142"/>
      <c r="V930" s="142"/>
      <c r="W930" s="142"/>
    </row>
    <row r="931" spans="1:23" ht="109.5" customHeight="1" x14ac:dyDescent="0.25">
      <c r="A931" s="411"/>
      <c r="B931" s="566"/>
      <c r="C931" s="568"/>
      <c r="D931" s="568"/>
      <c r="E931" s="568"/>
      <c r="F931" s="569"/>
      <c r="G931" s="66"/>
      <c r="H931" s="2"/>
      <c r="I931" s="200"/>
      <c r="J931" s="2"/>
      <c r="K931" s="2"/>
      <c r="L931" s="142"/>
      <c r="M931" s="143" t="s">
        <v>1700</v>
      </c>
      <c r="N931" s="143" t="s">
        <v>1355</v>
      </c>
      <c r="O931" s="2">
        <v>0.3</v>
      </c>
      <c r="P931" s="2"/>
      <c r="Q931" s="2"/>
      <c r="R931" s="142"/>
      <c r="S931" s="142"/>
      <c r="T931" s="364"/>
      <c r="U931" s="142"/>
      <c r="V931" s="142"/>
      <c r="W931" s="142"/>
    </row>
    <row r="932" spans="1:23" ht="20.100000000000001" customHeight="1" x14ac:dyDescent="0.25">
      <c r="A932" s="411"/>
      <c r="B932" s="566"/>
      <c r="C932" s="568"/>
      <c r="D932" s="568"/>
      <c r="E932" s="568"/>
      <c r="F932" s="569"/>
      <c r="G932" s="66"/>
      <c r="H932" s="2"/>
      <c r="I932" s="200"/>
      <c r="J932" s="2"/>
      <c r="K932" s="2"/>
      <c r="L932" s="142"/>
      <c r="M932" s="143" t="s">
        <v>1356</v>
      </c>
      <c r="N932" s="143" t="s">
        <v>1357</v>
      </c>
      <c r="O932" s="2">
        <v>0.92300000000000004</v>
      </c>
      <c r="P932" s="2"/>
      <c r="Q932" s="2"/>
      <c r="R932" s="142"/>
      <c r="S932" s="142"/>
      <c r="T932" s="364"/>
      <c r="U932" s="142"/>
      <c r="V932" s="142"/>
      <c r="W932" s="142"/>
    </row>
    <row r="933" spans="1:23" ht="20.100000000000001" customHeight="1" x14ac:dyDescent="0.25">
      <c r="A933" s="411"/>
      <c r="B933" s="566"/>
      <c r="C933" s="568"/>
      <c r="D933" s="568"/>
      <c r="E933" s="568"/>
      <c r="F933" s="569"/>
      <c r="G933" s="66"/>
      <c r="H933" s="2"/>
      <c r="I933" s="200"/>
      <c r="J933" s="2"/>
      <c r="K933" s="2"/>
      <c r="L933" s="142"/>
      <c r="M933" s="142" t="s">
        <v>1358</v>
      </c>
      <c r="N933" s="147" t="s">
        <v>1359</v>
      </c>
      <c r="O933" s="2">
        <v>0.11799999999999999</v>
      </c>
      <c r="P933" s="2"/>
      <c r="Q933" s="2"/>
      <c r="R933" s="142"/>
      <c r="S933" s="142"/>
      <c r="T933" s="364"/>
      <c r="U933" s="142"/>
      <c r="V933" s="142"/>
      <c r="W933" s="142"/>
    </row>
    <row r="934" spans="1:23" ht="20.100000000000001" customHeight="1" x14ac:dyDescent="0.25">
      <c r="A934" s="411"/>
      <c r="B934" s="566"/>
      <c r="C934" s="568"/>
      <c r="D934" s="568"/>
      <c r="E934" s="568"/>
      <c r="F934" s="569"/>
      <c r="G934" s="66"/>
      <c r="H934" s="2"/>
      <c r="I934" s="200"/>
      <c r="J934" s="2"/>
      <c r="K934" s="2"/>
      <c r="L934" s="142"/>
      <c r="M934" s="143" t="s">
        <v>2068</v>
      </c>
      <c r="N934" s="143" t="s">
        <v>1360</v>
      </c>
      <c r="O934" s="2">
        <v>0.5</v>
      </c>
      <c r="P934" s="2"/>
      <c r="Q934" s="2"/>
      <c r="R934" s="142"/>
      <c r="S934" s="142"/>
      <c r="T934" s="364"/>
      <c r="U934" s="142"/>
      <c r="V934" s="142"/>
      <c r="W934" s="142"/>
    </row>
    <row r="935" spans="1:23" ht="20.100000000000001" customHeight="1" x14ac:dyDescent="0.25">
      <c r="A935" s="411"/>
      <c r="B935" s="566"/>
      <c r="C935" s="568"/>
      <c r="D935" s="568"/>
      <c r="E935" s="568"/>
      <c r="F935" s="569"/>
      <c r="G935" s="66"/>
      <c r="H935" s="2"/>
      <c r="I935" s="200"/>
      <c r="J935" s="2"/>
      <c r="K935" s="2"/>
      <c r="L935" s="142"/>
      <c r="M935" s="143" t="s">
        <v>2068</v>
      </c>
      <c r="N935" s="1672" t="s">
        <v>16757</v>
      </c>
      <c r="O935" s="2">
        <v>0.47</v>
      </c>
      <c r="P935" s="2"/>
      <c r="Q935" s="2"/>
      <c r="R935" s="142"/>
      <c r="S935" s="142"/>
      <c r="T935" s="364"/>
      <c r="U935" s="142"/>
      <c r="V935" s="142"/>
      <c r="W935" s="142"/>
    </row>
    <row r="936" spans="1:23" ht="20.100000000000001" customHeight="1" x14ac:dyDescent="0.25">
      <c r="A936" s="411"/>
      <c r="B936" s="566"/>
      <c r="C936" s="568"/>
      <c r="D936" s="568"/>
      <c r="E936" s="568"/>
      <c r="F936" s="569"/>
      <c r="G936" s="66"/>
      <c r="H936" s="2"/>
      <c r="I936" s="200"/>
      <c r="J936" s="2"/>
      <c r="K936" s="2"/>
      <c r="L936" s="142"/>
      <c r="M936" s="143" t="s">
        <v>1970</v>
      </c>
      <c r="N936" s="143" t="s">
        <v>1361</v>
      </c>
      <c r="O936" s="2">
        <v>3.5299999999999998E-2</v>
      </c>
      <c r="P936" s="2"/>
      <c r="Q936" s="2"/>
      <c r="R936" s="142"/>
      <c r="S936" s="142"/>
      <c r="T936" s="364"/>
      <c r="U936" s="142"/>
      <c r="V936" s="142"/>
      <c r="W936" s="142"/>
    </row>
    <row r="937" spans="1:23" ht="20.100000000000001" customHeight="1" x14ac:dyDescent="0.25">
      <c r="A937" s="402"/>
      <c r="B937" s="403"/>
      <c r="C937" s="404"/>
      <c r="D937" s="404"/>
      <c r="E937" s="404"/>
      <c r="F937" s="405"/>
      <c r="G937" s="203"/>
      <c r="H937" s="2"/>
      <c r="I937" s="200"/>
      <c r="J937" s="70"/>
      <c r="K937" s="70"/>
      <c r="L937" s="149"/>
      <c r="M937" s="143" t="s">
        <v>2172</v>
      </c>
      <c r="N937" s="143" t="s">
        <v>2173</v>
      </c>
      <c r="O937" s="2">
        <v>0.3</v>
      </c>
      <c r="P937" s="2"/>
      <c r="Q937" s="2"/>
      <c r="R937" s="142"/>
      <c r="S937" s="142"/>
      <c r="T937" s="364"/>
      <c r="U937" s="142"/>
      <c r="V937" s="142"/>
      <c r="W937" s="142"/>
    </row>
    <row r="938" spans="1:23" ht="20.100000000000001" customHeight="1" x14ac:dyDescent="0.25">
      <c r="A938" s="608"/>
      <c r="B938" s="609"/>
      <c r="C938" s="610"/>
      <c r="D938" s="610"/>
      <c r="E938" s="610"/>
      <c r="F938" s="607"/>
      <c r="G938" s="2"/>
      <c r="H938" s="2"/>
      <c r="I938" s="200"/>
      <c r="J938" s="2"/>
      <c r="K938" s="2"/>
      <c r="L938" s="1392"/>
      <c r="M938" s="1378" t="s">
        <v>2172</v>
      </c>
      <c r="N938" s="1378" t="s">
        <v>2516</v>
      </c>
      <c r="O938" s="2">
        <v>0.39100000000000001</v>
      </c>
      <c r="P938" s="2"/>
      <c r="Q938" s="2"/>
      <c r="R938" s="1392"/>
      <c r="S938" s="1392"/>
      <c r="T938" s="364"/>
      <c r="U938" s="1392"/>
      <c r="V938" s="1392"/>
      <c r="W938" s="1392"/>
    </row>
    <row r="939" spans="1:23" ht="20.100000000000001" customHeight="1" x14ac:dyDescent="0.25">
      <c r="A939" s="623"/>
      <c r="B939" s="624"/>
      <c r="C939" s="625"/>
      <c r="D939" s="625"/>
      <c r="E939" s="625"/>
      <c r="F939" s="622"/>
      <c r="G939" s="2"/>
      <c r="H939" s="2"/>
      <c r="I939" s="200"/>
      <c r="J939" s="2"/>
      <c r="K939" s="2"/>
      <c r="L939" s="1392"/>
      <c r="M939" s="1378" t="s">
        <v>2172</v>
      </c>
      <c r="N939" s="1378" t="s">
        <v>2517</v>
      </c>
      <c r="O939" s="2">
        <v>0.08</v>
      </c>
      <c r="P939" s="2"/>
      <c r="Q939" s="2"/>
      <c r="R939" s="1392"/>
      <c r="S939" s="1392"/>
      <c r="T939" s="364"/>
      <c r="U939" s="1392"/>
      <c r="V939" s="1392"/>
      <c r="W939" s="1392"/>
    </row>
    <row r="940" spans="1:23" ht="20.100000000000001" customHeight="1" x14ac:dyDescent="0.25">
      <c r="A940" s="754"/>
      <c r="B940" s="755"/>
      <c r="C940" s="756"/>
      <c r="D940" s="756"/>
      <c r="E940" s="756"/>
      <c r="F940" s="753"/>
      <c r="G940" s="2"/>
      <c r="H940" s="2"/>
      <c r="I940" s="200"/>
      <c r="J940" s="2"/>
      <c r="K940" s="2"/>
      <c r="L940" s="1392"/>
      <c r="M940" s="2" t="s">
        <v>2997</v>
      </c>
      <c r="N940" s="2" t="s">
        <v>2998</v>
      </c>
      <c r="O940" s="2">
        <v>0.56720000000000004</v>
      </c>
      <c r="P940" s="2"/>
      <c r="Q940" s="2"/>
      <c r="R940" s="1392"/>
      <c r="S940" s="1392"/>
      <c r="T940" s="364"/>
      <c r="U940" s="1392"/>
      <c r="V940" s="1392"/>
      <c r="W940" s="1392"/>
    </row>
    <row r="941" spans="1:23" ht="42.75" customHeight="1" x14ac:dyDescent="0.25">
      <c r="A941" s="1330"/>
      <c r="B941" s="1336"/>
      <c r="C941" s="1339"/>
      <c r="D941" s="1339"/>
      <c r="E941" s="1339"/>
      <c r="F941" s="1337"/>
      <c r="G941" s="2"/>
      <c r="H941" s="2"/>
      <c r="I941" s="200"/>
      <c r="J941" s="2"/>
      <c r="K941" s="2"/>
      <c r="L941" s="1392"/>
      <c r="M941" s="2" t="s">
        <v>16674</v>
      </c>
      <c r="N941" s="2" t="s">
        <v>16675</v>
      </c>
      <c r="O941" s="2">
        <v>1.27494</v>
      </c>
      <c r="P941" s="2"/>
      <c r="Q941" s="2"/>
      <c r="R941" s="1392"/>
      <c r="S941" s="1392"/>
      <c r="T941" s="364"/>
      <c r="U941" s="1392"/>
      <c r="V941" s="1392"/>
      <c r="W941" s="1392"/>
    </row>
    <row r="942" spans="1:23" ht="20.100000000000001" customHeight="1" x14ac:dyDescent="0.25">
      <c r="A942" s="1375"/>
      <c r="B942" s="1381"/>
      <c r="C942" s="1384"/>
      <c r="D942" s="1384"/>
      <c r="E942" s="1384"/>
      <c r="F942" s="1382"/>
      <c r="G942" s="2"/>
      <c r="H942" s="2"/>
      <c r="I942" s="200"/>
      <c r="J942" s="2"/>
      <c r="K942" s="2"/>
      <c r="L942" s="1392"/>
      <c r="M942" s="2" t="s">
        <v>16674</v>
      </c>
      <c r="N942" s="2" t="s">
        <v>16711</v>
      </c>
      <c r="O942" s="2">
        <v>2.4077999999999999</v>
      </c>
      <c r="P942" s="2"/>
      <c r="Q942" s="2"/>
      <c r="R942" s="1392"/>
      <c r="S942" s="1392"/>
      <c r="T942" s="364"/>
      <c r="U942" s="1392"/>
      <c r="V942" s="1392"/>
      <c r="W942" s="1392"/>
    </row>
    <row r="943" spans="1:23" ht="20.100000000000001" customHeight="1" x14ac:dyDescent="0.25">
      <c r="A943" s="1686"/>
      <c r="B943" s="1673"/>
      <c r="C943" s="1674"/>
      <c r="D943" s="1674"/>
      <c r="E943" s="1674"/>
      <c r="F943" s="1675"/>
      <c r="G943" s="203"/>
      <c r="H943" s="203"/>
      <c r="I943" s="1727"/>
      <c r="J943" s="70"/>
      <c r="K943" s="70"/>
      <c r="L943" s="149"/>
      <c r="M943" s="2"/>
      <c r="N943" s="2"/>
      <c r="O943" s="2"/>
      <c r="P943" s="2"/>
      <c r="Q943" s="2"/>
      <c r="R943" s="1688"/>
      <c r="S943" s="1688"/>
      <c r="T943" s="364"/>
      <c r="U943" s="1688"/>
      <c r="V943" s="1688"/>
      <c r="W943" s="1688"/>
    </row>
    <row r="944" spans="1:23" ht="20.100000000000001" customHeight="1" thickBot="1" x14ac:dyDescent="0.3">
      <c r="A944" s="406"/>
      <c r="B944" s="395"/>
      <c r="C944" s="396"/>
      <c r="D944" s="396"/>
      <c r="E944" s="396"/>
      <c r="F944" s="397"/>
      <c r="G944" s="2636" t="s">
        <v>1833</v>
      </c>
      <c r="H944" s="2636"/>
      <c r="I944" s="2637"/>
      <c r="J944" s="136">
        <f>SUM(J925:J936)</f>
        <v>7.6500000000000012E-2</v>
      </c>
      <c r="K944" s="183">
        <v>0.92</v>
      </c>
      <c r="L944" s="136">
        <f>J944/K944</f>
        <v>8.3152173913043484E-2</v>
      </c>
      <c r="M944" s="2652" t="s">
        <v>1834</v>
      </c>
      <c r="N944" s="2637"/>
      <c r="O944" s="136">
        <f>SUM(O911:O942)</f>
        <v>9.5666399999999996</v>
      </c>
      <c r="P944" s="183">
        <v>0.92</v>
      </c>
      <c r="Q944" s="136">
        <f>O944/P944</f>
        <v>10.398521739130434</v>
      </c>
      <c r="R944" s="2652" t="s">
        <v>1833</v>
      </c>
      <c r="S944" s="2636"/>
      <c r="T944" s="2637"/>
      <c r="U944" s="136">
        <f>SUM(U910:U936)</f>
        <v>0.128</v>
      </c>
      <c r="V944" s="183">
        <v>0.92</v>
      </c>
      <c r="W944" s="136">
        <f>U944/V944</f>
        <v>0.1391304347826087</v>
      </c>
    </row>
    <row r="945" spans="1:23" s="67" customFormat="1" ht="20.100000000000001" customHeight="1" x14ac:dyDescent="0.25">
      <c r="A945" s="2776" t="str">
        <f>Итоговая!C363</f>
        <v xml:space="preserve">ПС 110/35/10 кВ Лазурная </v>
      </c>
      <c r="B945" s="2630">
        <f>Итоговая!D363</f>
        <v>40</v>
      </c>
      <c r="C945" s="2632" t="str">
        <f>Итоговая!E363</f>
        <v>+</v>
      </c>
      <c r="D945" s="2632">
        <f>Итоговая!F363</f>
        <v>40</v>
      </c>
      <c r="E945" s="400"/>
      <c r="F945" s="401"/>
      <c r="G945" s="2808" t="s">
        <v>1963</v>
      </c>
      <c r="H945" s="2808"/>
      <c r="I945" s="2808"/>
      <c r="J945" s="2808"/>
      <c r="K945" s="2808"/>
      <c r="L945" s="2800"/>
      <c r="M945" s="133"/>
      <c r="N945" s="175"/>
      <c r="O945" s="77"/>
      <c r="P945" s="77"/>
      <c r="Q945" s="281"/>
      <c r="R945" s="2811"/>
      <c r="S945" s="2791"/>
      <c r="T945" s="2791"/>
      <c r="U945" s="2791"/>
      <c r="V945" s="2791"/>
      <c r="W945" s="2792"/>
    </row>
    <row r="946" spans="1:23" ht="43.5" customHeight="1" x14ac:dyDescent="0.25">
      <c r="A946" s="2777"/>
      <c r="B946" s="2631"/>
      <c r="C946" s="2633"/>
      <c r="D946" s="2633"/>
      <c r="E946" s="404"/>
      <c r="F946" s="405"/>
      <c r="G946" s="264" t="s">
        <v>1362</v>
      </c>
      <c r="H946" s="42" t="s">
        <v>1363</v>
      </c>
      <c r="I946" s="42" t="s">
        <v>1364</v>
      </c>
      <c r="J946" s="42">
        <v>0.3</v>
      </c>
      <c r="K946" s="42"/>
      <c r="L946" s="72"/>
      <c r="M946" s="42"/>
      <c r="N946" s="42"/>
      <c r="O946" s="42"/>
      <c r="P946" s="42"/>
      <c r="Q946" s="286"/>
      <c r="R946" s="72"/>
      <c r="S946" s="72"/>
      <c r="T946" s="72"/>
      <c r="U946" s="72"/>
      <c r="V946" s="72"/>
      <c r="W946" s="72"/>
    </row>
    <row r="947" spans="1:23" ht="20.100000000000001" customHeight="1" x14ac:dyDescent="0.25">
      <c r="A947" s="2777"/>
      <c r="B947" s="2631"/>
      <c r="C947" s="2633"/>
      <c r="D947" s="2633"/>
      <c r="E947" s="404"/>
      <c r="F947" s="405"/>
      <c r="G947" s="2767" t="s">
        <v>1961</v>
      </c>
      <c r="H947" s="2767"/>
      <c r="I947" s="2767"/>
      <c r="J947" s="2767"/>
      <c r="K947" s="2767"/>
      <c r="L947" s="2768"/>
      <c r="M947" s="42"/>
      <c r="N947" s="42"/>
      <c r="O947" s="42"/>
      <c r="P947" s="42"/>
      <c r="Q947" s="286"/>
      <c r="R947" s="2771"/>
      <c r="S947" s="2772"/>
      <c r="T947" s="2772"/>
      <c r="U947" s="2772"/>
      <c r="V947" s="2772"/>
      <c r="W947" s="2468"/>
    </row>
    <row r="948" spans="1:23" ht="20.100000000000001" customHeight="1" x14ac:dyDescent="0.25">
      <c r="A948" s="2777"/>
      <c r="B948" s="2631"/>
      <c r="C948" s="2633"/>
      <c r="D948" s="2633"/>
      <c r="E948" s="404"/>
      <c r="F948" s="405"/>
      <c r="G948" s="184" t="s">
        <v>1365</v>
      </c>
      <c r="H948" s="143" t="s">
        <v>1366</v>
      </c>
      <c r="I948" s="143" t="s">
        <v>1367</v>
      </c>
      <c r="J948" s="143">
        <v>0.192</v>
      </c>
      <c r="K948" s="143"/>
      <c r="L948" s="142"/>
      <c r="M948" s="143" t="s">
        <v>1368</v>
      </c>
      <c r="N948" s="143" t="s">
        <v>1369</v>
      </c>
      <c r="O948" s="143">
        <v>3</v>
      </c>
      <c r="P948" s="143"/>
      <c r="Q948" s="284"/>
      <c r="R948" s="142"/>
      <c r="S948" s="142"/>
      <c r="T948" s="142"/>
      <c r="U948" s="142"/>
      <c r="V948" s="142"/>
      <c r="W948" s="142"/>
    </row>
    <row r="949" spans="1:23" ht="63.75" customHeight="1" x14ac:dyDescent="0.25">
      <c r="A949" s="2777"/>
      <c r="B949" s="2631"/>
      <c r="C949" s="2633"/>
      <c r="D949" s="2633"/>
      <c r="E949" s="404"/>
      <c r="F949" s="405"/>
      <c r="G949" s="184" t="s">
        <v>1368</v>
      </c>
      <c r="H949" s="143" t="s">
        <v>1370</v>
      </c>
      <c r="I949" s="143" t="s">
        <v>1371</v>
      </c>
      <c r="J949" s="143">
        <v>0.93</v>
      </c>
      <c r="K949" s="143"/>
      <c r="L949" s="142"/>
      <c r="M949" s="143" t="s">
        <v>1372</v>
      </c>
      <c r="N949" s="143" t="s">
        <v>1373</v>
      </c>
      <c r="O949" s="143">
        <v>0.747</v>
      </c>
      <c r="P949" s="143"/>
      <c r="Q949" s="284"/>
      <c r="R949" s="142"/>
      <c r="S949" s="142"/>
      <c r="T949" s="142"/>
      <c r="U949" s="142"/>
      <c r="V949" s="142"/>
      <c r="W949" s="142"/>
    </row>
    <row r="950" spans="1:23" ht="88.5" customHeight="1" x14ac:dyDescent="0.25">
      <c r="A950" s="411"/>
      <c r="B950" s="566"/>
      <c r="C950" s="568"/>
      <c r="D950" s="568"/>
      <c r="E950" s="568"/>
      <c r="F950" s="569"/>
      <c r="G950" s="184" t="s">
        <v>1374</v>
      </c>
      <c r="H950" s="143" t="s">
        <v>1375</v>
      </c>
      <c r="I950" s="143" t="s">
        <v>1376</v>
      </c>
      <c r="J950" s="143">
        <v>2.125</v>
      </c>
      <c r="K950" s="143"/>
      <c r="L950" s="142"/>
      <c r="M950" s="143" t="s">
        <v>1377</v>
      </c>
      <c r="N950" s="184" t="s">
        <v>1378</v>
      </c>
      <c r="O950" s="143">
        <v>2.9600000000000001E-2</v>
      </c>
      <c r="P950" s="143"/>
      <c r="Q950" s="284"/>
      <c r="R950" s="142"/>
      <c r="S950" s="142"/>
      <c r="T950" s="142"/>
      <c r="U950" s="142"/>
      <c r="V950" s="142"/>
      <c r="W950" s="142"/>
    </row>
    <row r="951" spans="1:23" ht="15.75" customHeight="1" x14ac:dyDescent="0.25">
      <c r="A951" s="411"/>
      <c r="B951" s="566"/>
      <c r="C951" s="568"/>
      <c r="D951" s="568"/>
      <c r="E951" s="568"/>
      <c r="F951" s="569"/>
      <c r="G951" s="2767" t="s">
        <v>1960</v>
      </c>
      <c r="H951" s="2767"/>
      <c r="I951" s="2767"/>
      <c r="J951" s="2767"/>
      <c r="K951" s="2767"/>
      <c r="L951" s="2768"/>
      <c r="M951" s="143"/>
      <c r="N951" s="143"/>
      <c r="O951" s="143"/>
      <c r="P951" s="143"/>
      <c r="Q951" s="287"/>
      <c r="R951" s="2771"/>
      <c r="S951" s="2772"/>
      <c r="T951" s="2772"/>
      <c r="U951" s="2772"/>
      <c r="V951" s="2772"/>
      <c r="W951" s="2468"/>
    </row>
    <row r="952" spans="1:23" ht="85.5" customHeight="1" x14ac:dyDescent="0.25">
      <c r="A952" s="411"/>
      <c r="B952" s="566"/>
      <c r="C952" s="568"/>
      <c r="D952" s="568"/>
      <c r="E952" s="568"/>
      <c r="F952" s="569"/>
      <c r="G952" s="184" t="s">
        <v>1379</v>
      </c>
      <c r="H952" s="143" t="s">
        <v>1380</v>
      </c>
      <c r="I952" s="143" t="s">
        <v>1381</v>
      </c>
      <c r="J952" s="143">
        <v>3</v>
      </c>
      <c r="K952" s="143"/>
      <c r="L952" s="142"/>
      <c r="M952" s="143" t="s">
        <v>1382</v>
      </c>
      <c r="N952" s="143" t="s">
        <v>1383</v>
      </c>
      <c r="O952" s="143">
        <v>0.05</v>
      </c>
      <c r="P952" s="143"/>
      <c r="Q952" s="287"/>
      <c r="R952" s="142"/>
      <c r="S952" s="142"/>
      <c r="T952" s="142"/>
      <c r="U952" s="142"/>
      <c r="V952" s="142"/>
      <c r="W952" s="142"/>
    </row>
    <row r="953" spans="1:23" ht="20.100000000000001" customHeight="1" x14ac:dyDescent="0.25">
      <c r="A953" s="411"/>
      <c r="B953" s="566"/>
      <c r="C953" s="568"/>
      <c r="D953" s="568"/>
      <c r="E953" s="568"/>
      <c r="F953" s="569"/>
      <c r="G953" s="2767" t="s">
        <v>1959</v>
      </c>
      <c r="H953" s="2767"/>
      <c r="I953" s="2767"/>
      <c r="J953" s="2767"/>
      <c r="K953" s="2767"/>
      <c r="L953" s="2768"/>
      <c r="M953" s="143"/>
      <c r="N953" s="143"/>
      <c r="O953" s="143"/>
      <c r="P953" s="143"/>
      <c r="Q953" s="287"/>
      <c r="R953" s="2771"/>
      <c r="S953" s="2772"/>
      <c r="T953" s="2772"/>
      <c r="U953" s="2772"/>
      <c r="V953" s="2772"/>
      <c r="W953" s="2468"/>
    </row>
    <row r="954" spans="1:23" ht="56.25" customHeight="1" x14ac:dyDescent="0.25">
      <c r="A954" s="411"/>
      <c r="B954" s="566"/>
      <c r="C954" s="568"/>
      <c r="D954" s="568"/>
      <c r="E954" s="568"/>
      <c r="F954" s="569"/>
      <c r="G954" s="184" t="s">
        <v>625</v>
      </c>
      <c r="H954" s="143" t="s">
        <v>1384</v>
      </c>
      <c r="I954" s="143" t="s">
        <v>1385</v>
      </c>
      <c r="J954" s="143">
        <v>0.17</v>
      </c>
      <c r="K954" s="143"/>
      <c r="L954" s="142"/>
      <c r="M954" s="143" t="s">
        <v>1388</v>
      </c>
      <c r="N954" s="143" t="s">
        <v>1389</v>
      </c>
      <c r="O954" s="143">
        <v>0.1</v>
      </c>
      <c r="P954" s="143"/>
      <c r="Q954" s="284"/>
      <c r="R954" s="142"/>
      <c r="S954" s="142"/>
      <c r="T954" s="142"/>
      <c r="U954" s="142"/>
      <c r="V954" s="142"/>
      <c r="W954" s="142"/>
    </row>
    <row r="955" spans="1:23" ht="38.25" customHeight="1" x14ac:dyDescent="0.25">
      <c r="A955" s="411"/>
      <c r="B955" s="566"/>
      <c r="C955" s="568"/>
      <c r="D955" s="568"/>
      <c r="E955" s="568"/>
      <c r="F955" s="569"/>
      <c r="G955" s="184" t="s">
        <v>2554</v>
      </c>
      <c r="H955" s="143" t="s">
        <v>1386</v>
      </c>
      <c r="I955" s="143" t="s">
        <v>1387</v>
      </c>
      <c r="J955" s="143">
        <v>0.1</v>
      </c>
      <c r="K955" s="143"/>
      <c r="L955" s="72"/>
      <c r="M955" s="143"/>
      <c r="N955" s="143"/>
      <c r="O955" s="143"/>
      <c r="P955" s="143"/>
      <c r="Q955" s="284"/>
      <c r="R955" s="142"/>
      <c r="S955" s="142"/>
      <c r="T955" s="142"/>
      <c r="U955" s="142"/>
      <c r="V955" s="142"/>
      <c r="W955" s="72"/>
    </row>
    <row r="956" spans="1:23" ht="37.5" customHeight="1" x14ac:dyDescent="0.25">
      <c r="A956" s="402"/>
      <c r="B956" s="403"/>
      <c r="C956" s="404"/>
      <c r="D956" s="404"/>
      <c r="E956" s="404"/>
      <c r="F956" s="405"/>
      <c r="G956" s="180" t="s">
        <v>2554</v>
      </c>
      <c r="H956" s="151" t="s">
        <v>1974</v>
      </c>
      <c r="I956" s="151" t="s">
        <v>2553</v>
      </c>
      <c r="J956" s="151">
        <v>0.1</v>
      </c>
      <c r="K956" s="151"/>
      <c r="L956" s="157"/>
      <c r="M956" s="142" t="s">
        <v>2034</v>
      </c>
      <c r="N956" s="142" t="s">
        <v>2035</v>
      </c>
      <c r="O956" s="142">
        <f>5.557-4.957</f>
        <v>0.60000000000000053</v>
      </c>
      <c r="P956" s="143"/>
      <c r="Q956" s="287"/>
      <c r="R956" s="149"/>
      <c r="S956" s="149"/>
      <c r="T956" s="149"/>
      <c r="U956" s="149"/>
      <c r="V956" s="149"/>
      <c r="W956" s="157"/>
    </row>
    <row r="957" spans="1:23" ht="20.100000000000001" customHeight="1" x14ac:dyDescent="0.25">
      <c r="A957" s="402"/>
      <c r="B957" s="403"/>
      <c r="C957" s="404"/>
      <c r="D957" s="404"/>
      <c r="E957" s="404"/>
      <c r="F957" s="405"/>
      <c r="G957" s="2767" t="s">
        <v>2032</v>
      </c>
      <c r="H957" s="2767"/>
      <c r="I957" s="2767"/>
      <c r="J957" s="2767"/>
      <c r="K957" s="2767"/>
      <c r="L957" s="2768"/>
      <c r="M957" s="149" t="s">
        <v>2169</v>
      </c>
      <c r="N957" s="149" t="s">
        <v>2170</v>
      </c>
      <c r="O957" s="149">
        <v>0.06</v>
      </c>
      <c r="P957" s="142"/>
      <c r="Q957" s="282"/>
      <c r="R957" s="2771"/>
      <c r="S957" s="2772"/>
      <c r="T957" s="2772"/>
      <c r="U957" s="2772"/>
      <c r="V957" s="2772"/>
      <c r="W957" s="2468"/>
    </row>
    <row r="958" spans="1:23" ht="86.25" customHeight="1" x14ac:dyDescent="0.25">
      <c r="A958" s="402"/>
      <c r="B958" s="403"/>
      <c r="C958" s="404"/>
      <c r="D958" s="404"/>
      <c r="E958" s="404"/>
      <c r="F958" s="405"/>
      <c r="G958" s="184" t="s">
        <v>801</v>
      </c>
      <c r="H958" s="143" t="s">
        <v>802</v>
      </c>
      <c r="I958" s="143" t="s">
        <v>2263</v>
      </c>
      <c r="J958" s="72">
        <v>0.05</v>
      </c>
      <c r="K958" s="72"/>
      <c r="L958" s="72"/>
      <c r="M958" s="149" t="s">
        <v>2567</v>
      </c>
      <c r="N958" s="149" t="s">
        <v>2568</v>
      </c>
      <c r="O958" s="149">
        <f>3.5-1.2</f>
        <v>2.2999999999999998</v>
      </c>
      <c r="P958" s="142"/>
      <c r="Q958" s="282"/>
      <c r="R958" s="142"/>
      <c r="S958" s="142"/>
      <c r="T958" s="142"/>
      <c r="U958" s="72"/>
      <c r="V958" s="72"/>
      <c r="W958" s="72"/>
    </row>
    <row r="959" spans="1:23" ht="86.25" customHeight="1" x14ac:dyDescent="0.25">
      <c r="A959" s="402"/>
      <c r="B959" s="403"/>
      <c r="C959" s="404"/>
      <c r="D959" s="404"/>
      <c r="E959" s="404"/>
      <c r="F959" s="405"/>
      <c r="G959" s="184" t="s">
        <v>2169</v>
      </c>
      <c r="H959" s="143" t="s">
        <v>2170</v>
      </c>
      <c r="I959" s="143" t="s">
        <v>2344</v>
      </c>
      <c r="J959" s="142">
        <v>0.06</v>
      </c>
      <c r="K959" s="142"/>
      <c r="L959" s="142"/>
      <c r="M959" s="149"/>
      <c r="N959" s="149"/>
      <c r="O959" s="149"/>
      <c r="P959" s="142"/>
      <c r="Q959" s="282"/>
      <c r="R959" s="142"/>
      <c r="S959" s="142"/>
      <c r="T959" s="142"/>
      <c r="U959" s="142"/>
      <c r="V959" s="142"/>
      <c r="W959" s="142"/>
    </row>
    <row r="960" spans="1:23" ht="33" customHeight="1" x14ac:dyDescent="0.25">
      <c r="A960" s="402"/>
      <c r="B960" s="403"/>
      <c r="C960" s="404"/>
      <c r="D960" s="404"/>
      <c r="E960" s="404"/>
      <c r="F960" s="405"/>
      <c r="G960" s="176" t="s">
        <v>2171</v>
      </c>
      <c r="H960" s="149" t="s">
        <v>2346</v>
      </c>
      <c r="I960" s="263" t="s">
        <v>2347</v>
      </c>
      <c r="J960" s="157">
        <v>0.1</v>
      </c>
      <c r="K960" s="157"/>
      <c r="L960" s="157"/>
      <c r="M960" s="142" t="s">
        <v>3174</v>
      </c>
      <c r="N960" s="142" t="s">
        <v>3294</v>
      </c>
      <c r="O960" s="142">
        <f>3.425-2.125</f>
        <v>1.2999999999999998</v>
      </c>
      <c r="P960" s="157"/>
      <c r="Q960" s="294"/>
      <c r="R960" s="149"/>
      <c r="S960" s="149"/>
      <c r="T960" s="199"/>
      <c r="U960" s="157"/>
      <c r="V960" s="157"/>
      <c r="W960" s="157"/>
    </row>
    <row r="961" spans="1:23" ht="42" customHeight="1" x14ac:dyDescent="0.25">
      <c r="A961" s="1002"/>
      <c r="B961" s="1003"/>
      <c r="C961" s="1005"/>
      <c r="D961" s="1005"/>
      <c r="E961" s="1005"/>
      <c r="F961" s="1004"/>
      <c r="G961" s="2767" t="s">
        <v>3020</v>
      </c>
      <c r="H961" s="2767"/>
      <c r="I961" s="2767"/>
      <c r="J961" s="2767"/>
      <c r="K961" s="2767"/>
      <c r="L961" s="2768"/>
      <c r="M961" s="149" t="s">
        <v>1368</v>
      </c>
      <c r="N961" s="149" t="s">
        <v>3185</v>
      </c>
      <c r="O961" s="149">
        <f>0.565-0.29</f>
        <v>0.27499999999999997</v>
      </c>
      <c r="P961" s="157"/>
      <c r="Q961" s="55"/>
      <c r="R961" s="149"/>
      <c r="S961" s="149"/>
      <c r="T961" s="199"/>
      <c r="U961" s="157"/>
      <c r="V961" s="157"/>
      <c r="W961" s="157"/>
    </row>
    <row r="962" spans="1:23" ht="33" customHeight="1" x14ac:dyDescent="0.25">
      <c r="A962" s="845"/>
      <c r="B962" s="847"/>
      <c r="C962" s="848"/>
      <c r="D962" s="848"/>
      <c r="E962" s="848"/>
      <c r="F962" s="844"/>
      <c r="G962" s="142" t="s">
        <v>1368</v>
      </c>
      <c r="H962" s="142" t="s">
        <v>2999</v>
      </c>
      <c r="I962" s="143" t="s">
        <v>3036</v>
      </c>
      <c r="J962" s="142">
        <f>0.29*0.9</f>
        <v>0.26100000000000001</v>
      </c>
      <c r="K962" s="142"/>
      <c r="L962" s="142"/>
      <c r="M962" s="142" t="s">
        <v>3353</v>
      </c>
      <c r="N962" s="1248" t="s">
        <v>3354</v>
      </c>
      <c r="O962" s="142">
        <v>0.25</v>
      </c>
      <c r="P962" s="142"/>
      <c r="Q962" s="142"/>
      <c r="R962" s="142"/>
      <c r="S962" s="142"/>
      <c r="T962" s="142"/>
      <c r="U962" s="142"/>
      <c r="V962" s="142"/>
      <c r="W962" s="142"/>
    </row>
    <row r="963" spans="1:23" ht="33" customHeight="1" x14ac:dyDescent="0.25">
      <c r="A963" s="1124"/>
      <c r="B963" s="1122"/>
      <c r="C963" s="1125"/>
      <c r="D963" s="1125"/>
      <c r="E963" s="1125"/>
      <c r="F963" s="1123"/>
      <c r="G963" s="142" t="s">
        <v>3238</v>
      </c>
      <c r="H963" s="142" t="s">
        <v>3239</v>
      </c>
      <c r="I963" s="151" t="s">
        <v>3309</v>
      </c>
      <c r="J963" s="149">
        <f>0.1*0.75</f>
        <v>7.5000000000000011E-2</v>
      </c>
      <c r="K963" s="149"/>
      <c r="L963" s="149"/>
      <c r="M963" s="149" t="s">
        <v>1368</v>
      </c>
      <c r="N963" s="149" t="s">
        <v>3446</v>
      </c>
      <c r="O963" s="149">
        <f>0.389-0.29</f>
        <v>9.9000000000000032E-2</v>
      </c>
      <c r="P963" s="149"/>
      <c r="Q963" s="147"/>
      <c r="R963" s="149"/>
      <c r="S963" s="149"/>
      <c r="T963" s="149"/>
      <c r="U963" s="149"/>
      <c r="V963" s="149"/>
      <c r="W963" s="149"/>
    </row>
    <row r="964" spans="1:23" ht="33" customHeight="1" x14ac:dyDescent="0.25">
      <c r="A964" s="1256"/>
      <c r="B964" s="1263"/>
      <c r="C964" s="1267"/>
      <c r="D964" s="1267"/>
      <c r="E964" s="1267"/>
      <c r="F964" s="1264"/>
      <c r="G964" s="2767" t="s">
        <v>3447</v>
      </c>
      <c r="H964" s="2767"/>
      <c r="I964" s="2767"/>
      <c r="J964" s="2767"/>
      <c r="K964" s="2767"/>
      <c r="L964" s="2768"/>
      <c r="M964" s="149" t="s">
        <v>15328</v>
      </c>
      <c r="N964" s="149" t="s">
        <v>15329</v>
      </c>
      <c r="O964" s="149">
        <f>0.05</f>
        <v>0.05</v>
      </c>
      <c r="P964" s="149"/>
      <c r="Q964" s="1279"/>
      <c r="R964" s="149"/>
      <c r="S964" s="149"/>
      <c r="T964" s="149"/>
      <c r="U964" s="149"/>
      <c r="V964" s="149"/>
      <c r="W964" s="149"/>
    </row>
    <row r="965" spans="1:23" ht="33" customHeight="1" x14ac:dyDescent="0.25">
      <c r="A965" s="1256"/>
      <c r="B965" s="1263"/>
      <c r="C965" s="1267"/>
      <c r="D965" s="1267"/>
      <c r="E965" s="1267"/>
      <c r="F965" s="1264"/>
      <c r="G965" s="149" t="s">
        <v>3096</v>
      </c>
      <c r="H965" s="149" t="s">
        <v>3097</v>
      </c>
      <c r="I965" s="1257" t="s">
        <v>3489</v>
      </c>
      <c r="J965" s="149">
        <f>(0.053-0.023)*0.75</f>
        <v>2.2499999999999999E-2</v>
      </c>
      <c r="K965" s="149"/>
      <c r="L965" s="149"/>
      <c r="M965" s="149"/>
      <c r="N965" s="149"/>
      <c r="O965" s="149"/>
      <c r="P965" s="149"/>
      <c r="Q965" s="1279"/>
      <c r="R965" s="149"/>
      <c r="S965" s="149"/>
      <c r="T965" s="149"/>
      <c r="U965" s="149"/>
      <c r="V965" s="149"/>
      <c r="W965" s="149"/>
    </row>
    <row r="966" spans="1:23" ht="33" customHeight="1" x14ac:dyDescent="0.25">
      <c r="A966" s="1756"/>
      <c r="B966" s="1741"/>
      <c r="C966" s="1742"/>
      <c r="D966" s="1742"/>
      <c r="E966" s="1742"/>
      <c r="F966" s="1743"/>
      <c r="G966" s="149" t="s">
        <v>16715</v>
      </c>
      <c r="H966" s="149" t="s">
        <v>16716</v>
      </c>
      <c r="I966" s="1757" t="s">
        <v>16854</v>
      </c>
      <c r="J966" s="149">
        <f>(2.18-0.93)*0.75</f>
        <v>0.9375</v>
      </c>
      <c r="K966" s="149"/>
      <c r="L966" s="149"/>
      <c r="M966" s="149"/>
      <c r="N966" s="149"/>
      <c r="O966" s="149"/>
      <c r="P966" s="149"/>
      <c r="Q966" s="1761"/>
      <c r="R966" s="149"/>
      <c r="S966" s="149"/>
      <c r="T966" s="149"/>
      <c r="U966" s="149"/>
      <c r="V966" s="149"/>
      <c r="W966" s="149"/>
    </row>
    <row r="967" spans="1:23" ht="33" customHeight="1" x14ac:dyDescent="0.25">
      <c r="A967" s="2189"/>
      <c r="B967" s="2175"/>
      <c r="C967" s="2176"/>
      <c r="D967" s="2176"/>
      <c r="E967" s="2176"/>
      <c r="F967" s="2177"/>
      <c r="G967" s="2767" t="s">
        <v>17005</v>
      </c>
      <c r="H967" s="2767"/>
      <c r="I967" s="2767"/>
      <c r="J967" s="2767"/>
      <c r="K967" s="2767"/>
      <c r="L967" s="2768"/>
      <c r="M967" s="149"/>
      <c r="N967" s="149"/>
      <c r="O967" s="149"/>
      <c r="P967" s="149"/>
      <c r="Q967" s="2193"/>
      <c r="R967" s="149"/>
      <c r="S967" s="149"/>
      <c r="T967" s="149"/>
      <c r="U967" s="149"/>
      <c r="V967" s="149"/>
      <c r="W967" s="149"/>
    </row>
    <row r="968" spans="1:23" ht="33" customHeight="1" x14ac:dyDescent="0.25">
      <c r="A968" s="2189"/>
      <c r="B968" s="2175"/>
      <c r="C968" s="2176"/>
      <c r="D968" s="2176"/>
      <c r="E968" s="2176"/>
      <c r="F968" s="2177"/>
      <c r="G968" s="2192" t="s">
        <v>2185</v>
      </c>
      <c r="H968" s="149" t="s">
        <v>20022</v>
      </c>
      <c r="I968" s="2190" t="s">
        <v>20023</v>
      </c>
      <c r="J968" s="149">
        <f>0.25*0.75</f>
        <v>0.1875</v>
      </c>
      <c r="K968" s="149"/>
      <c r="L968" s="149"/>
      <c r="M968" s="149"/>
      <c r="N968" s="149"/>
      <c r="O968" s="149"/>
      <c r="P968" s="149"/>
      <c r="Q968" s="2193"/>
      <c r="R968" s="149"/>
      <c r="S968" s="149"/>
      <c r="T968" s="149"/>
      <c r="U968" s="149"/>
      <c r="V968" s="149"/>
      <c r="W968" s="149"/>
    </row>
    <row r="969" spans="1:23" ht="33" customHeight="1" x14ac:dyDescent="0.25">
      <c r="A969" s="2331"/>
      <c r="B969" s="2316"/>
      <c r="C969" s="2317"/>
      <c r="D969" s="2317"/>
      <c r="E969" s="2317"/>
      <c r="F969" s="2320"/>
      <c r="G969" s="2337" t="s">
        <v>20196</v>
      </c>
      <c r="H969" s="149" t="s">
        <v>20265</v>
      </c>
      <c r="I969" s="2332" t="s">
        <v>20266</v>
      </c>
      <c r="J969" s="149">
        <f>2*0.75</f>
        <v>1.5</v>
      </c>
      <c r="K969" s="149"/>
      <c r="L969" s="149"/>
      <c r="M969" s="149"/>
      <c r="N969" s="149"/>
      <c r="O969" s="149"/>
      <c r="P969" s="149"/>
      <c r="Q969" s="2335"/>
      <c r="R969" s="149"/>
      <c r="S969" s="149"/>
      <c r="T969" s="149"/>
      <c r="U969" s="149"/>
      <c r="V969" s="149"/>
      <c r="W969" s="149"/>
    </row>
    <row r="970" spans="1:23" ht="20.100000000000001" customHeight="1" thickBot="1" x14ac:dyDescent="0.3">
      <c r="A970" s="406"/>
      <c r="B970" s="395"/>
      <c r="C970" s="396"/>
      <c r="D970" s="396"/>
      <c r="E970" s="396"/>
      <c r="F970" s="397"/>
      <c r="G970" s="2717" t="s">
        <v>1833</v>
      </c>
      <c r="H970" s="2781"/>
      <c r="I970" s="2781"/>
      <c r="J970" s="181">
        <f>SUM(J962:J969)</f>
        <v>2.9835000000000003</v>
      </c>
      <c r="K970" s="151">
        <v>0.92</v>
      </c>
      <c r="L970" s="181">
        <f>J970/K970</f>
        <v>3.2429347826086956</v>
      </c>
      <c r="M970" s="2781" t="s">
        <v>1834</v>
      </c>
      <c r="N970" s="2781"/>
      <c r="O970" s="181">
        <f>SUM(O948:O965)</f>
        <v>8.8605999999999998</v>
      </c>
      <c r="P970" s="151">
        <v>0.92</v>
      </c>
      <c r="Q970" s="276">
        <f>O970/P970</f>
        <v>9.6310869565217381</v>
      </c>
      <c r="R970" s="2781" t="s">
        <v>1833</v>
      </c>
      <c r="S970" s="2781"/>
      <c r="T970" s="2781"/>
      <c r="U970" s="181">
        <f>SUM(U952,U954:U956,U958:U960)</f>
        <v>0</v>
      </c>
      <c r="V970" s="151">
        <v>0.92</v>
      </c>
      <c r="W970" s="181">
        <f>U970/V970</f>
        <v>0</v>
      </c>
    </row>
    <row r="971" spans="1:23" ht="20.100000000000001" customHeight="1" x14ac:dyDescent="0.25">
      <c r="A971" s="2776" t="s">
        <v>2505</v>
      </c>
      <c r="B971" s="2630">
        <f>Итоговая!D367</f>
        <v>20</v>
      </c>
      <c r="C971" s="2632" t="str">
        <f>Итоговая!E367</f>
        <v>+</v>
      </c>
      <c r="D971" s="2632">
        <f>Итоговая!F367</f>
        <v>20</v>
      </c>
      <c r="E971" s="400"/>
      <c r="F971" s="401"/>
      <c r="G971" s="2808" t="s">
        <v>1961</v>
      </c>
      <c r="H971" s="2808"/>
      <c r="I971" s="2808"/>
      <c r="J971" s="2808"/>
      <c r="K971" s="2808"/>
      <c r="L971" s="2800"/>
      <c r="M971" s="133"/>
      <c r="N971" s="175"/>
      <c r="O971" s="77"/>
      <c r="P971" s="77"/>
      <c r="Q971" s="281"/>
      <c r="R971" s="2791"/>
      <c r="S971" s="2791"/>
      <c r="T971" s="2791"/>
      <c r="U971" s="2791"/>
      <c r="V971" s="2791"/>
      <c r="W971" s="2792"/>
    </row>
    <row r="972" spans="1:23" ht="56.25" customHeight="1" x14ac:dyDescent="0.25">
      <c r="A972" s="2777"/>
      <c r="B972" s="2631"/>
      <c r="C972" s="2633"/>
      <c r="D972" s="2633"/>
      <c r="E972" s="404"/>
      <c r="F972" s="405"/>
      <c r="G972" s="283" t="s">
        <v>1391</v>
      </c>
      <c r="H972" s="123" t="s">
        <v>1392</v>
      </c>
      <c r="I972" s="45" t="s">
        <v>1393</v>
      </c>
      <c r="J972" s="45">
        <v>0.13300000000000001</v>
      </c>
      <c r="K972" s="42"/>
      <c r="L972" s="72"/>
      <c r="M972" s="42" t="s">
        <v>1056</v>
      </c>
      <c r="N972" s="72" t="s">
        <v>1390</v>
      </c>
      <c r="O972" s="42">
        <v>0.6</v>
      </c>
      <c r="P972" s="42"/>
      <c r="Q972" s="286"/>
      <c r="R972" s="273"/>
      <c r="S972" s="379"/>
      <c r="T972" s="72"/>
      <c r="U972" s="72"/>
      <c r="V972" s="72"/>
      <c r="W972" s="72"/>
    </row>
    <row r="973" spans="1:23" ht="20.100000000000001" customHeight="1" x14ac:dyDescent="0.25">
      <c r="A973" s="575"/>
      <c r="B973" s="403"/>
      <c r="C973" s="404"/>
      <c r="D973" s="404"/>
      <c r="E973" s="404"/>
      <c r="F973" s="405"/>
      <c r="G973" s="2767" t="s">
        <v>1960</v>
      </c>
      <c r="H973" s="2767"/>
      <c r="I973" s="2767"/>
      <c r="J973" s="2767"/>
      <c r="K973" s="2767"/>
      <c r="L973" s="2768"/>
      <c r="M973" s="42"/>
      <c r="N973" s="72"/>
      <c r="O973" s="42"/>
      <c r="P973" s="42"/>
      <c r="Q973" s="286"/>
      <c r="R973" s="2772"/>
      <c r="S973" s="2772"/>
      <c r="T973" s="2772"/>
      <c r="U973" s="2772"/>
      <c r="V973" s="2772"/>
      <c r="W973" s="2468"/>
    </row>
    <row r="974" spans="1:23" s="18" customFormat="1" ht="20.100000000000001" customHeight="1" x14ac:dyDescent="0.25">
      <c r="A974" s="411"/>
      <c r="B974" s="403"/>
      <c r="C974" s="404"/>
      <c r="D974" s="404"/>
      <c r="E974" s="404"/>
      <c r="F974" s="405"/>
      <c r="G974" s="66" t="s">
        <v>1396</v>
      </c>
      <c r="H974" s="2" t="s">
        <v>1734</v>
      </c>
      <c r="I974" s="2" t="s">
        <v>1735</v>
      </c>
      <c r="J974" s="2">
        <v>1.95E-2</v>
      </c>
      <c r="K974" s="2"/>
      <c r="L974" s="142"/>
      <c r="M974" s="2" t="s">
        <v>1394</v>
      </c>
      <c r="N974" s="48" t="s">
        <v>1395</v>
      </c>
      <c r="O974" s="2">
        <v>0.1</v>
      </c>
      <c r="P974" s="2"/>
      <c r="Q974" s="296"/>
      <c r="R974" s="267"/>
      <c r="S974" s="142"/>
      <c r="T974" s="142"/>
      <c r="U974" s="142"/>
      <c r="V974" s="142"/>
      <c r="W974" s="142"/>
    </row>
    <row r="975" spans="1:23" ht="20.100000000000001" customHeight="1" x14ac:dyDescent="0.25">
      <c r="A975" s="411"/>
      <c r="B975" s="403"/>
      <c r="C975" s="404"/>
      <c r="D975" s="404"/>
      <c r="E975" s="404"/>
      <c r="F975" s="405"/>
      <c r="G975" s="66" t="s">
        <v>1736</v>
      </c>
      <c r="H975" s="2" t="s">
        <v>1737</v>
      </c>
      <c r="I975" s="2" t="s">
        <v>1738</v>
      </c>
      <c r="J975" s="2">
        <v>0.20499999999999999</v>
      </c>
      <c r="K975" s="2"/>
      <c r="L975" s="142"/>
      <c r="P975" s="2"/>
      <c r="Q975" s="296"/>
      <c r="R975" s="267"/>
      <c r="S975" s="142"/>
      <c r="T975" s="142"/>
      <c r="U975" s="142"/>
      <c r="V975" s="142"/>
      <c r="W975" s="142"/>
    </row>
    <row r="976" spans="1:23" s="18" customFormat="1" ht="29.25" customHeight="1" x14ac:dyDescent="0.25">
      <c r="A976" s="411"/>
      <c r="B976" s="403"/>
      <c r="C976" s="404"/>
      <c r="D976" s="404"/>
      <c r="E976" s="404"/>
      <c r="F976" s="405"/>
      <c r="G976" s="66" t="s">
        <v>1739</v>
      </c>
      <c r="H976" s="48" t="s">
        <v>1740</v>
      </c>
      <c r="I976" s="2" t="s">
        <v>1741</v>
      </c>
      <c r="J976" s="2">
        <v>0.03</v>
      </c>
      <c r="K976" s="2"/>
      <c r="L976" s="142"/>
      <c r="M976" s="143" t="s">
        <v>2172</v>
      </c>
      <c r="N976" s="143" t="s">
        <v>2416</v>
      </c>
      <c r="O976" s="143">
        <v>1.7999999999999999E-2</v>
      </c>
      <c r="P976" s="2"/>
      <c r="Q976" s="296"/>
      <c r="R976" s="267"/>
      <c r="S976" s="285"/>
      <c r="T976" s="142"/>
      <c r="U976" s="142"/>
      <c r="V976" s="142"/>
      <c r="W976" s="142"/>
    </row>
    <row r="977" spans="1:23" s="18" customFormat="1" ht="64.5" customHeight="1" x14ac:dyDescent="0.25">
      <c r="A977" s="411"/>
      <c r="B977" s="403"/>
      <c r="C977" s="404"/>
      <c r="D977" s="404"/>
      <c r="E977" s="404"/>
      <c r="F977" s="405"/>
      <c r="G977" s="66" t="s">
        <v>1742</v>
      </c>
      <c r="H977" s="2" t="s">
        <v>1743</v>
      </c>
      <c r="I977" s="2" t="s">
        <v>1744</v>
      </c>
      <c r="J977" s="2">
        <v>0.1</v>
      </c>
      <c r="K977" s="2"/>
      <c r="L977" s="142"/>
      <c r="M977" s="1333" t="s">
        <v>17061</v>
      </c>
      <c r="N977" s="1333" t="s">
        <v>17062</v>
      </c>
      <c r="O977" s="143">
        <v>0.66890000000000005</v>
      </c>
      <c r="P977" s="2"/>
      <c r="Q977" s="296"/>
      <c r="R977" s="267"/>
      <c r="S977" s="142"/>
      <c r="T977" s="142"/>
      <c r="U977" s="142"/>
      <c r="V977" s="142"/>
      <c r="W977" s="142"/>
    </row>
    <row r="978" spans="1:23" s="18" customFormat="1" ht="20.100000000000001" customHeight="1" x14ac:dyDescent="0.25">
      <c r="A978" s="411"/>
      <c r="B978" s="403"/>
      <c r="C978" s="404"/>
      <c r="D978" s="404"/>
      <c r="E978" s="404"/>
      <c r="F978" s="405"/>
      <c r="G978" s="2767" t="s">
        <v>1959</v>
      </c>
      <c r="H978" s="2767"/>
      <c r="I978" s="2767"/>
      <c r="J978" s="2767"/>
      <c r="K978" s="2767"/>
      <c r="L978" s="2768"/>
      <c r="M978" s="295"/>
      <c r="N978" s="295"/>
      <c r="O978" s="295"/>
      <c r="P978" s="295"/>
      <c r="Q978" s="297"/>
      <c r="R978" s="2772"/>
      <c r="S978" s="2772"/>
      <c r="T978" s="2772"/>
      <c r="U978" s="2772"/>
      <c r="V978" s="2772"/>
      <c r="W978" s="2468"/>
    </row>
    <row r="979" spans="1:23" s="116" customFormat="1" ht="60.75" customHeight="1" x14ac:dyDescent="0.25">
      <c r="A979" s="411"/>
      <c r="B979" s="403"/>
      <c r="C979" s="404"/>
      <c r="D979" s="404"/>
      <c r="E979" s="404"/>
      <c r="F979" s="405"/>
      <c r="G979" s="184" t="s">
        <v>1745</v>
      </c>
      <c r="H979" s="143" t="s">
        <v>1746</v>
      </c>
      <c r="I979" s="2" t="s">
        <v>1747</v>
      </c>
      <c r="J979" s="2">
        <v>7.0000000000000007E-2</v>
      </c>
      <c r="K979" s="2"/>
      <c r="L979" s="142"/>
      <c r="M979" s="236"/>
      <c r="N979" s="236"/>
      <c r="O979" s="236"/>
      <c r="P979" s="2"/>
      <c r="Q979" s="296"/>
      <c r="R979" s="267"/>
      <c r="S979" s="142"/>
      <c r="T979" s="142"/>
      <c r="U979" s="142"/>
      <c r="V979" s="142"/>
      <c r="W979" s="142"/>
    </row>
    <row r="980" spans="1:23" s="116" customFormat="1" ht="20.25" customHeight="1" x14ac:dyDescent="0.25">
      <c r="A980" s="411"/>
      <c r="B980" s="403"/>
      <c r="C980" s="404"/>
      <c r="D980" s="404"/>
      <c r="E980" s="404"/>
      <c r="F980" s="405"/>
      <c r="G980" s="2767" t="s">
        <v>2032</v>
      </c>
      <c r="H980" s="2767"/>
      <c r="I980" s="2767"/>
      <c r="J980" s="2767"/>
      <c r="K980" s="2767"/>
      <c r="L980" s="2768"/>
      <c r="M980" s="143"/>
      <c r="N980" s="143"/>
      <c r="O980" s="143"/>
      <c r="P980" s="2"/>
      <c r="Q980" s="296"/>
      <c r="R980" s="2772"/>
      <c r="S980" s="2772"/>
      <c r="T980" s="2772"/>
      <c r="U980" s="2772"/>
      <c r="V980" s="2772"/>
      <c r="W980" s="2468"/>
    </row>
    <row r="981" spans="1:23" ht="75" customHeight="1" x14ac:dyDescent="0.25">
      <c r="A981" s="411"/>
      <c r="B981" s="403"/>
      <c r="C981" s="404"/>
      <c r="D981" s="404"/>
      <c r="E981" s="404"/>
      <c r="F981" s="405"/>
      <c r="G981" s="184" t="s">
        <v>2042</v>
      </c>
      <c r="H981" s="143" t="s">
        <v>2043</v>
      </c>
      <c r="I981" s="143" t="s">
        <v>2236</v>
      </c>
      <c r="J981" s="2">
        <v>9.5000000000000001E-2</v>
      </c>
      <c r="K981" s="2"/>
      <c r="L981" s="142"/>
      <c r="M981" s="143"/>
      <c r="N981" s="143"/>
      <c r="O981" s="143"/>
      <c r="P981" s="2"/>
      <c r="Q981" s="296"/>
      <c r="R981" s="267"/>
      <c r="S981" s="142"/>
      <c r="T981" s="142"/>
      <c r="U981" s="142"/>
      <c r="V981" s="142"/>
      <c r="W981" s="142"/>
    </row>
    <row r="982" spans="1:23" ht="20.100000000000001" customHeight="1" x14ac:dyDescent="0.25">
      <c r="A982" s="549"/>
      <c r="B982" s="428"/>
      <c r="C982" s="429"/>
      <c r="D982" s="429"/>
      <c r="E982" s="429"/>
      <c r="F982" s="430"/>
      <c r="G982" s="2618" t="s">
        <v>1833</v>
      </c>
      <c r="H982" s="2581"/>
      <c r="I982" s="2581"/>
      <c r="J982" s="277">
        <f>SUM(0)</f>
        <v>0</v>
      </c>
      <c r="K982" s="143">
        <v>0.92</v>
      </c>
      <c r="L982" s="277">
        <f>J982/K982</f>
        <v>0</v>
      </c>
      <c r="M982" s="2581" t="s">
        <v>1834</v>
      </c>
      <c r="N982" s="2581"/>
      <c r="O982" s="277">
        <f>SUM(O972:O981)</f>
        <v>1.3869</v>
      </c>
      <c r="P982" s="143">
        <v>0.92</v>
      </c>
      <c r="Q982" s="298">
        <f>O982/P982</f>
        <v>1.5075000000000001</v>
      </c>
      <c r="R982" s="2618" t="s">
        <v>1833</v>
      </c>
      <c r="S982" s="2581"/>
      <c r="T982" s="2581"/>
      <c r="U982" s="277">
        <f>SUM(U974:U981)</f>
        <v>0</v>
      </c>
      <c r="V982" s="143">
        <v>0.92</v>
      </c>
      <c r="W982" s="277">
        <f>U982/V982</f>
        <v>0</v>
      </c>
    </row>
    <row r="983" spans="1:23" ht="20.100000000000001" customHeight="1" x14ac:dyDescent="0.25">
      <c r="A983" s="2777" t="s">
        <v>2506</v>
      </c>
      <c r="B983" s="2631">
        <f>Итоговая!D368</f>
        <v>20</v>
      </c>
      <c r="C983" s="2633" t="str">
        <f>Итоговая!E368</f>
        <v>+</v>
      </c>
      <c r="D983" s="2633">
        <f>Итоговая!F368</f>
        <v>20</v>
      </c>
      <c r="E983" s="404"/>
      <c r="F983" s="405"/>
      <c r="G983" s="2809" t="s">
        <v>1960</v>
      </c>
      <c r="H983" s="2809"/>
      <c r="I983" s="2809"/>
      <c r="J983" s="2809"/>
      <c r="K983" s="2809"/>
      <c r="L983" s="2774"/>
      <c r="M983" s="72"/>
      <c r="N983" s="72"/>
      <c r="O983" s="72"/>
      <c r="P983" s="72"/>
      <c r="Q983" s="290"/>
      <c r="R983" s="2812"/>
      <c r="S983" s="2813"/>
      <c r="T983" s="2813"/>
      <c r="U983" s="2813"/>
      <c r="V983" s="2813"/>
      <c r="W983" s="2795"/>
    </row>
    <row r="984" spans="1:23" ht="20.100000000000001" customHeight="1" x14ac:dyDescent="0.25">
      <c r="A984" s="2777"/>
      <c r="B984" s="2631"/>
      <c r="C984" s="2633"/>
      <c r="D984" s="2633"/>
      <c r="E984" s="404"/>
      <c r="F984" s="405"/>
      <c r="G984" s="264" t="s">
        <v>1748</v>
      </c>
      <c r="H984" s="42" t="s">
        <v>1749</v>
      </c>
      <c r="I984" s="42" t="s">
        <v>1750</v>
      </c>
      <c r="J984" s="42">
        <v>0.245</v>
      </c>
      <c r="K984" s="42"/>
      <c r="L984" s="72"/>
      <c r="M984" s="45" t="s">
        <v>1751</v>
      </c>
      <c r="N984" s="45" t="s">
        <v>1752</v>
      </c>
      <c r="O984" s="45">
        <v>1.1000000000000001</v>
      </c>
      <c r="P984" s="42"/>
      <c r="Q984" s="286"/>
      <c r="R984" s="184" t="s">
        <v>1753</v>
      </c>
      <c r="S984" s="143" t="s">
        <v>1754</v>
      </c>
      <c r="T984" s="143" t="s">
        <v>2749</v>
      </c>
      <c r="U984" s="72">
        <v>0.2</v>
      </c>
      <c r="V984" s="72"/>
      <c r="W984" s="72"/>
    </row>
    <row r="985" spans="1:23" ht="20.100000000000001" customHeight="1" x14ac:dyDescent="0.25">
      <c r="A985" s="2777"/>
      <c r="B985" s="566"/>
      <c r="C985" s="568"/>
      <c r="D985" s="568"/>
      <c r="E985" s="568"/>
      <c r="F985" s="569"/>
      <c r="G985" s="184"/>
      <c r="H985" s="143"/>
      <c r="I985" s="143"/>
      <c r="J985" s="143"/>
      <c r="K985" s="143"/>
      <c r="L985" s="142"/>
      <c r="M985" s="2" t="s">
        <v>1755</v>
      </c>
      <c r="N985" s="2" t="s">
        <v>1756</v>
      </c>
      <c r="O985" s="2">
        <v>4</v>
      </c>
      <c r="P985" s="143"/>
      <c r="Q985" s="284"/>
      <c r="R985" s="142"/>
      <c r="S985" s="142"/>
      <c r="T985" s="142"/>
      <c r="U985" s="142"/>
      <c r="V985" s="142"/>
      <c r="W985" s="142"/>
    </row>
    <row r="986" spans="1:23" ht="20.100000000000001" customHeight="1" x14ac:dyDescent="0.25">
      <c r="A986" s="411"/>
      <c r="B986" s="566"/>
      <c r="C986" s="568"/>
      <c r="D986" s="568"/>
      <c r="E986" s="568"/>
      <c r="F986" s="569"/>
      <c r="G986" s="184" t="s">
        <v>843</v>
      </c>
      <c r="H986" s="143" t="s">
        <v>1757</v>
      </c>
      <c r="I986" s="143" t="s">
        <v>1758</v>
      </c>
      <c r="J986" s="143">
        <v>0.745</v>
      </c>
      <c r="K986" s="143"/>
      <c r="L986" s="142"/>
      <c r="M986" s="2"/>
      <c r="N986" s="2"/>
      <c r="O986" s="2"/>
      <c r="P986" s="143"/>
      <c r="Q986" s="284"/>
      <c r="R986" s="142"/>
      <c r="S986" s="142"/>
      <c r="T986" s="142"/>
      <c r="U986" s="142"/>
      <c r="V986" s="142"/>
      <c r="W986" s="142"/>
    </row>
    <row r="987" spans="1:23" s="18" customFormat="1" ht="20.100000000000001" customHeight="1" x14ac:dyDescent="0.25">
      <c r="A987" s="411"/>
      <c r="B987" s="566"/>
      <c r="C987" s="568"/>
      <c r="D987" s="568"/>
      <c r="E987" s="568"/>
      <c r="F987" s="569"/>
      <c r="G987" s="267" t="s">
        <v>1760</v>
      </c>
      <c r="H987" s="142" t="s">
        <v>283</v>
      </c>
      <c r="I987" s="143" t="s">
        <v>284</v>
      </c>
      <c r="J987" s="142">
        <v>0.55000000000000004</v>
      </c>
      <c r="K987" s="143"/>
      <c r="L987" s="142"/>
      <c r="M987" s="2" t="s">
        <v>285</v>
      </c>
      <c r="N987" s="2" t="s">
        <v>286</v>
      </c>
      <c r="O987" s="2">
        <v>0.18</v>
      </c>
      <c r="P987" s="143"/>
      <c r="Q987" s="284"/>
      <c r="R987" s="142"/>
      <c r="S987" s="142"/>
      <c r="T987" s="142"/>
      <c r="U987" s="142"/>
      <c r="V987" s="142"/>
      <c r="W987" s="142"/>
    </row>
    <row r="988" spans="1:23" s="18" customFormat="1" ht="20.100000000000001" customHeight="1" x14ac:dyDescent="0.25">
      <c r="A988" s="411"/>
      <c r="B988" s="566"/>
      <c r="C988" s="568"/>
      <c r="D988" s="568"/>
      <c r="E988" s="568"/>
      <c r="F988" s="569"/>
      <c r="G988" s="184" t="s">
        <v>1059</v>
      </c>
      <c r="H988" s="143" t="s">
        <v>287</v>
      </c>
      <c r="I988" s="143" t="s">
        <v>288</v>
      </c>
      <c r="J988" s="143">
        <v>6.9000000000000006E-2</v>
      </c>
      <c r="K988" s="143"/>
      <c r="L988" s="142"/>
      <c r="M988" s="2" t="s">
        <v>289</v>
      </c>
      <c r="N988" s="48" t="s">
        <v>290</v>
      </c>
      <c r="O988" s="2">
        <v>0.08</v>
      </c>
      <c r="P988" s="143"/>
      <c r="Q988" s="284"/>
      <c r="R988" s="142"/>
      <c r="S988" s="142"/>
      <c r="T988" s="142"/>
      <c r="U988" s="142"/>
      <c r="V988" s="142"/>
      <c r="W988" s="142"/>
    </row>
    <row r="989" spans="1:23" ht="20.100000000000001" customHeight="1" x14ac:dyDescent="0.25">
      <c r="A989" s="411"/>
      <c r="B989" s="566"/>
      <c r="C989" s="568"/>
      <c r="D989" s="568"/>
      <c r="E989" s="568"/>
      <c r="F989" s="569"/>
      <c r="G989" s="184" t="s">
        <v>291</v>
      </c>
      <c r="H989" s="143" t="s">
        <v>292</v>
      </c>
      <c r="I989" s="143" t="s">
        <v>293</v>
      </c>
      <c r="J989" s="143">
        <v>0.16</v>
      </c>
      <c r="K989" s="143"/>
      <c r="L989" s="142"/>
      <c r="M989" s="2" t="s">
        <v>294</v>
      </c>
      <c r="N989" s="2" t="s">
        <v>295</v>
      </c>
      <c r="O989" s="2">
        <v>0.64500000000000002</v>
      </c>
      <c r="P989" s="143"/>
      <c r="Q989" s="284"/>
      <c r="R989" s="142"/>
      <c r="S989" s="142"/>
      <c r="T989" s="142"/>
      <c r="U989" s="142"/>
      <c r="V989" s="142"/>
      <c r="W989" s="142"/>
    </row>
    <row r="990" spans="1:23" ht="20.100000000000001" customHeight="1" x14ac:dyDescent="0.25">
      <c r="A990" s="411"/>
      <c r="B990" s="566"/>
      <c r="C990" s="568"/>
      <c r="D990" s="568"/>
      <c r="E990" s="568"/>
      <c r="F990" s="569"/>
      <c r="G990" s="2767" t="s">
        <v>1959</v>
      </c>
      <c r="H990" s="2767"/>
      <c r="I990" s="2767"/>
      <c r="J990" s="2767"/>
      <c r="K990" s="2767"/>
      <c r="L990" s="2768"/>
      <c r="M990" s="2"/>
      <c r="N990" s="2"/>
      <c r="O990" s="2"/>
      <c r="P990" s="143"/>
      <c r="Q990" s="284"/>
      <c r="R990" s="2771"/>
      <c r="S990" s="2772"/>
      <c r="T990" s="2772"/>
      <c r="U990" s="2772"/>
      <c r="V990" s="2772"/>
      <c r="W990" s="2468"/>
    </row>
    <row r="991" spans="1:23" ht="20.100000000000001" customHeight="1" x14ac:dyDescent="0.25">
      <c r="A991" s="411"/>
      <c r="B991" s="566"/>
      <c r="C991" s="568"/>
      <c r="D991" s="568"/>
      <c r="E991" s="568"/>
      <c r="F991" s="569"/>
      <c r="G991" s="184" t="s">
        <v>296</v>
      </c>
      <c r="H991" s="143" t="s">
        <v>297</v>
      </c>
      <c r="I991" s="143" t="s">
        <v>298</v>
      </c>
      <c r="J991" s="143">
        <v>0.4</v>
      </c>
      <c r="K991" s="143"/>
      <c r="L991" s="142"/>
      <c r="M991" s="2" t="s">
        <v>299</v>
      </c>
      <c r="N991" s="2" t="s">
        <v>300</v>
      </c>
      <c r="O991" s="2">
        <v>1.304</v>
      </c>
      <c r="P991" s="143"/>
      <c r="Q991" s="284"/>
      <c r="R991" s="142"/>
      <c r="S991" s="142"/>
      <c r="T991" s="142"/>
      <c r="U991" s="142"/>
      <c r="V991" s="142"/>
      <c r="W991" s="142"/>
    </row>
    <row r="992" spans="1:23" s="18" customFormat="1" ht="20.100000000000001" customHeight="1" x14ac:dyDescent="0.25">
      <c r="A992" s="411"/>
      <c r="B992" s="566"/>
      <c r="C992" s="568"/>
      <c r="D992" s="568"/>
      <c r="E992" s="568"/>
      <c r="F992" s="569"/>
      <c r="G992" s="2767" t="s">
        <v>2032</v>
      </c>
      <c r="H992" s="2767"/>
      <c r="I992" s="2767"/>
      <c r="J992" s="2767"/>
      <c r="K992" s="2767"/>
      <c r="L992" s="2768"/>
      <c r="M992" s="2" t="s">
        <v>301</v>
      </c>
      <c r="N992" s="48" t="s">
        <v>302</v>
      </c>
      <c r="O992" s="2">
        <v>0.6</v>
      </c>
      <c r="P992" s="143"/>
      <c r="Q992" s="284"/>
      <c r="R992" s="142"/>
      <c r="S992" s="142"/>
      <c r="T992" s="142"/>
      <c r="U992" s="142"/>
      <c r="V992" s="142"/>
      <c r="W992" s="142"/>
    </row>
    <row r="993" spans="1:23" ht="20.100000000000001" customHeight="1" x14ac:dyDescent="0.25">
      <c r="A993" s="411"/>
      <c r="B993" s="566"/>
      <c r="C993" s="568"/>
      <c r="D993" s="568"/>
      <c r="E993" s="568"/>
      <c r="F993" s="569"/>
      <c r="G993" s="184" t="s">
        <v>882</v>
      </c>
      <c r="H993" s="143" t="s">
        <v>883</v>
      </c>
      <c r="I993" s="143" t="s">
        <v>2345</v>
      </c>
      <c r="J993" s="143">
        <v>0.504</v>
      </c>
      <c r="K993" s="143"/>
      <c r="L993" s="142"/>
      <c r="M993" s="143" t="s">
        <v>303</v>
      </c>
      <c r="N993" s="143" t="s">
        <v>304</v>
      </c>
      <c r="O993" s="143">
        <v>7.1999999999999995E-2</v>
      </c>
      <c r="P993" s="143"/>
      <c r="Q993" s="284"/>
      <c r="R993" s="142"/>
      <c r="S993" s="142"/>
      <c r="T993" s="142"/>
      <c r="U993" s="142"/>
      <c r="V993" s="142"/>
      <c r="W993" s="142"/>
    </row>
    <row r="994" spans="1:23" ht="27" customHeight="1" x14ac:dyDescent="0.25">
      <c r="A994" s="411"/>
      <c r="B994" s="566"/>
      <c r="C994" s="568"/>
      <c r="D994" s="568"/>
      <c r="E994" s="568"/>
      <c r="F994" s="569"/>
      <c r="G994" s="2767" t="s">
        <v>2477</v>
      </c>
      <c r="H994" s="2767"/>
      <c r="I994" s="2767"/>
      <c r="J994" s="2767"/>
      <c r="K994" s="2767"/>
      <c r="L994" s="2768"/>
      <c r="M994" s="143" t="s">
        <v>1725</v>
      </c>
      <c r="N994" s="143" t="s">
        <v>2539</v>
      </c>
      <c r="O994" s="143">
        <v>1.1000000000000001</v>
      </c>
      <c r="P994" s="143"/>
      <c r="Q994" s="284"/>
      <c r="R994" s="142"/>
      <c r="S994" s="142"/>
      <c r="T994" s="142"/>
      <c r="U994" s="142"/>
      <c r="V994" s="142"/>
      <c r="W994" s="142"/>
    </row>
    <row r="995" spans="1:23" ht="48.75" customHeight="1" x14ac:dyDescent="0.25">
      <c r="A995" s="411"/>
      <c r="B995" s="566"/>
      <c r="C995" s="568"/>
      <c r="D995" s="568"/>
      <c r="E995" s="568"/>
      <c r="F995" s="569"/>
      <c r="G995" s="2" t="s">
        <v>1759</v>
      </c>
      <c r="H995" s="2" t="s">
        <v>1308</v>
      </c>
      <c r="I995" s="151" t="s">
        <v>2737</v>
      </c>
      <c r="J995" s="2">
        <v>0.3</v>
      </c>
      <c r="K995" s="151"/>
      <c r="L995" s="149"/>
      <c r="M995" s="1259" t="s">
        <v>3483</v>
      </c>
      <c r="N995" s="1333" t="s">
        <v>3484</v>
      </c>
      <c r="O995" s="143">
        <v>0.06</v>
      </c>
      <c r="P995" s="151"/>
      <c r="Q995" s="287"/>
      <c r="R995" s="149"/>
      <c r="S995" s="149"/>
      <c r="T995" s="149"/>
      <c r="U995" s="149"/>
      <c r="V995" s="149"/>
      <c r="W995" s="149"/>
    </row>
    <row r="996" spans="1:23" ht="48.75" customHeight="1" x14ac:dyDescent="0.25">
      <c r="A996" s="411"/>
      <c r="B996" s="566"/>
      <c r="C996" s="568"/>
      <c r="D996" s="568"/>
      <c r="E996" s="568"/>
      <c r="F996" s="569"/>
      <c r="G996" s="151" t="s">
        <v>2614</v>
      </c>
      <c r="H996" s="151" t="s">
        <v>2721</v>
      </c>
      <c r="I996" s="151" t="s">
        <v>2758</v>
      </c>
      <c r="J996" s="151">
        <v>2.5</v>
      </c>
      <c r="K996" s="151"/>
      <c r="L996" s="149"/>
      <c r="M996" s="1378"/>
      <c r="N996" s="1378"/>
      <c r="O996" s="1333"/>
      <c r="P996" s="151"/>
      <c r="Q996" s="287"/>
      <c r="R996" s="149"/>
      <c r="S996" s="149"/>
      <c r="T996" s="149"/>
      <c r="U996" s="149"/>
      <c r="V996" s="149"/>
      <c r="W996" s="149"/>
    </row>
    <row r="997" spans="1:23" ht="23.25" customHeight="1" x14ac:dyDescent="0.25">
      <c r="A997" s="411"/>
      <c r="B997" s="566"/>
      <c r="C997" s="568"/>
      <c r="D997" s="568"/>
      <c r="E997" s="568"/>
      <c r="F997" s="569"/>
      <c r="G997" s="2767" t="s">
        <v>3020</v>
      </c>
      <c r="H997" s="2767"/>
      <c r="I997" s="2767"/>
      <c r="J997" s="2767"/>
      <c r="K997" s="2767"/>
      <c r="L997" s="2768"/>
      <c r="M997" s="70" t="s">
        <v>15326</v>
      </c>
      <c r="N997" s="70" t="s">
        <v>15327</v>
      </c>
      <c r="O997" s="70">
        <v>0.1</v>
      </c>
      <c r="P997" s="151"/>
      <c r="Q997" s="287"/>
      <c r="R997" s="149"/>
      <c r="S997" s="149"/>
      <c r="T997" s="149"/>
      <c r="U997" s="149"/>
      <c r="V997" s="149"/>
      <c r="W997" s="149"/>
    </row>
    <row r="998" spans="1:23" ht="48.75" customHeight="1" x14ac:dyDescent="0.25">
      <c r="A998" s="411"/>
      <c r="B998" s="566"/>
      <c r="C998" s="568"/>
      <c r="D998" s="568"/>
      <c r="E998" s="568"/>
      <c r="F998" s="569"/>
      <c r="G998" s="2" t="s">
        <v>2007</v>
      </c>
      <c r="H998" s="2" t="s">
        <v>2662</v>
      </c>
      <c r="I998" s="151" t="s">
        <v>3208</v>
      </c>
      <c r="J998" s="151">
        <f>3*0.75</f>
        <v>2.25</v>
      </c>
      <c r="K998" s="151"/>
      <c r="L998" s="149"/>
      <c r="M998" s="149"/>
      <c r="N998" s="149"/>
      <c r="O998" s="149"/>
      <c r="P998" s="151"/>
      <c r="Q998" s="287"/>
      <c r="R998" s="149"/>
      <c r="S998" s="149"/>
      <c r="T998" s="149"/>
      <c r="U998" s="149"/>
      <c r="V998" s="149"/>
      <c r="W998" s="149"/>
    </row>
    <row r="999" spans="1:23" ht="48.75" customHeight="1" x14ac:dyDescent="0.25">
      <c r="A999" s="411"/>
      <c r="B999" s="566"/>
      <c r="C999" s="568"/>
      <c r="D999" s="568"/>
      <c r="E999" s="568"/>
      <c r="F999" s="569"/>
      <c r="G999" s="149" t="s">
        <v>2341</v>
      </c>
      <c r="H999" s="149" t="s">
        <v>3098</v>
      </c>
      <c r="I999" s="151" t="s">
        <v>3305</v>
      </c>
      <c r="J999" s="151">
        <f>0.185*0.9</f>
        <v>0.16650000000000001</v>
      </c>
      <c r="K999" s="151"/>
      <c r="L999" s="149"/>
      <c r="M999" s="149"/>
      <c r="N999" s="149"/>
      <c r="O999" s="149"/>
      <c r="P999" s="151"/>
      <c r="Q999" s="287"/>
      <c r="R999" s="149"/>
      <c r="S999" s="149"/>
      <c r="T999" s="149"/>
      <c r="U999" s="149"/>
      <c r="V999" s="149"/>
      <c r="W999" s="149"/>
    </row>
    <row r="1000" spans="1:23" ht="19.5" customHeight="1" x14ac:dyDescent="0.25">
      <c r="A1000" s="411"/>
      <c r="B1000" s="566"/>
      <c r="C1000" s="568"/>
      <c r="D1000" s="568"/>
      <c r="E1000" s="568"/>
      <c r="F1000" s="569"/>
      <c r="G1000" s="2767" t="s">
        <v>17005</v>
      </c>
      <c r="H1000" s="2767"/>
      <c r="I1000" s="2767"/>
      <c r="J1000" s="2767"/>
      <c r="K1000" s="2767"/>
      <c r="L1000" s="2768"/>
      <c r="M1000" s="149"/>
      <c r="N1000" s="149"/>
      <c r="O1000" s="149"/>
      <c r="P1000" s="1885"/>
      <c r="Q1000" s="287"/>
      <c r="R1000" s="149"/>
      <c r="S1000" s="149"/>
      <c r="T1000" s="149"/>
      <c r="U1000" s="149"/>
      <c r="V1000" s="149"/>
      <c r="W1000" s="149"/>
    </row>
    <row r="1001" spans="1:23" ht="48.75" customHeight="1" x14ac:dyDescent="0.25">
      <c r="A1001" s="411"/>
      <c r="B1001" s="566"/>
      <c r="C1001" s="568"/>
      <c r="D1001" s="568"/>
      <c r="E1001" s="568"/>
      <c r="F1001" s="569"/>
      <c r="G1001" s="1865" t="s">
        <v>3626</v>
      </c>
      <c r="H1001" s="1865" t="s">
        <v>3627</v>
      </c>
      <c r="I1001" s="1885" t="s">
        <v>17006</v>
      </c>
      <c r="J1001" s="1885">
        <f>6*0.9</f>
        <v>5.4</v>
      </c>
      <c r="K1001" s="1885"/>
      <c r="L1001" s="149"/>
      <c r="M1001" s="149"/>
      <c r="N1001" s="149"/>
      <c r="O1001" s="149"/>
      <c r="P1001" s="1885"/>
      <c r="Q1001" s="287"/>
      <c r="R1001" s="149"/>
      <c r="S1001" s="149"/>
      <c r="T1001" s="149"/>
      <c r="U1001" s="149"/>
      <c r="V1001" s="149"/>
      <c r="W1001" s="149"/>
    </row>
    <row r="1002" spans="1:23" ht="20.100000000000001" customHeight="1" thickBot="1" x14ac:dyDescent="0.3">
      <c r="A1002" s="406"/>
      <c r="B1002" s="395"/>
      <c r="C1002" s="396"/>
      <c r="D1002" s="396"/>
      <c r="E1002" s="396"/>
      <c r="F1002" s="397"/>
      <c r="G1002" s="2637" t="s">
        <v>1833</v>
      </c>
      <c r="H1002" s="2810"/>
      <c r="I1002" s="2810"/>
      <c r="J1002" s="136">
        <f>SUM(J998:J1001)</f>
        <v>7.8165000000000004</v>
      </c>
      <c r="K1002" s="183">
        <v>0.92</v>
      </c>
      <c r="L1002" s="136">
        <f>J1002/K1002</f>
        <v>8.4961956521739133</v>
      </c>
      <c r="M1002" s="2810" t="s">
        <v>1834</v>
      </c>
      <c r="N1002" s="2810"/>
      <c r="O1002" s="136">
        <f>SUM(O984:O998)</f>
        <v>9.2409999999999997</v>
      </c>
      <c r="P1002" s="183">
        <v>0.92</v>
      </c>
      <c r="Q1002" s="275">
        <f>O1002/P1002</f>
        <v>10.044565217391304</v>
      </c>
      <c r="R1002" s="2810" t="s">
        <v>1833</v>
      </c>
      <c r="S1002" s="2810"/>
      <c r="T1002" s="2810"/>
      <c r="U1002" s="136">
        <f>SUM(U984:U994)</f>
        <v>0.2</v>
      </c>
      <c r="V1002" s="183">
        <v>0.92</v>
      </c>
      <c r="W1002" s="136">
        <f>U1002/V1002</f>
        <v>0.21739130434782608</v>
      </c>
    </row>
    <row r="1003" spans="1:23" ht="36" customHeight="1" x14ac:dyDescent="0.25">
      <c r="A1003" s="576" t="str">
        <f>Итоговая!C369</f>
        <v xml:space="preserve">ПС 110/35/10 кВ Медновский в-ор </v>
      </c>
      <c r="B1003" s="399">
        <f>Итоговая!D369</f>
        <v>10</v>
      </c>
      <c r="C1003" s="400" t="str">
        <f>Итоговая!E369</f>
        <v>+</v>
      </c>
      <c r="D1003" s="400">
        <f>Итоговая!F369</f>
        <v>10</v>
      </c>
      <c r="E1003" s="400"/>
      <c r="F1003" s="401"/>
      <c r="G1003" s="2767">
        <v>2014</v>
      </c>
      <c r="H1003" s="2767"/>
      <c r="I1003" s="2767"/>
      <c r="J1003" s="2767"/>
      <c r="K1003" s="2767"/>
      <c r="L1003" s="2768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72"/>
    </row>
    <row r="1004" spans="1:23" ht="36" customHeight="1" x14ac:dyDescent="0.25">
      <c r="A1004" s="1182"/>
      <c r="B1004" s="1183"/>
      <c r="C1004" s="1187"/>
      <c r="D1004" s="1187"/>
      <c r="E1004" s="1187"/>
      <c r="F1004" s="1184"/>
      <c r="G1004" s="2784" t="s">
        <v>3401</v>
      </c>
      <c r="H1004" s="2785"/>
      <c r="I1004" s="2786"/>
      <c r="J1004" s="775">
        <f>0.17*0.9</f>
        <v>0.15300000000000002</v>
      </c>
      <c r="K1004" s="157"/>
      <c r="L1004" s="157"/>
      <c r="M1004" s="156"/>
      <c r="N1004" s="263"/>
      <c r="O1004" s="159"/>
      <c r="P1004" s="159"/>
      <c r="Q1004" s="159"/>
      <c r="R1004" s="156"/>
      <c r="S1004" s="153"/>
      <c r="T1004" s="263"/>
      <c r="U1004" s="159"/>
      <c r="V1004" s="159"/>
      <c r="W1004" s="157"/>
    </row>
    <row r="1005" spans="1:23" ht="20.100000000000001" customHeight="1" thickBot="1" x14ac:dyDescent="0.3">
      <c r="A1005" s="406"/>
      <c r="B1005" s="395"/>
      <c r="C1005" s="396"/>
      <c r="D1005" s="396"/>
      <c r="E1005" s="396"/>
      <c r="F1005" s="397"/>
      <c r="G1005" s="2636"/>
      <c r="H1005" s="2636"/>
      <c r="I1005" s="2637"/>
      <c r="J1005" s="136">
        <f>SUM(J1003:J1004)</f>
        <v>0.15300000000000002</v>
      </c>
      <c r="K1005" s="183">
        <v>0.92</v>
      </c>
      <c r="L1005" s="136">
        <f>J1005/K1005</f>
        <v>0.16630434782608697</v>
      </c>
      <c r="M1005" s="2652" t="s">
        <v>1834</v>
      </c>
      <c r="N1005" s="2637"/>
      <c r="O1005" s="136">
        <f>SUM(O1003:O1003)</f>
        <v>0</v>
      </c>
      <c r="P1005" s="183">
        <v>0.92</v>
      </c>
      <c r="Q1005" s="136">
        <f>O1005/P1005</f>
        <v>0</v>
      </c>
      <c r="R1005" s="2652" t="s">
        <v>1833</v>
      </c>
      <c r="S1005" s="2636"/>
      <c r="T1005" s="2637"/>
      <c r="U1005" s="136">
        <f>SUM(U1003:U1003)</f>
        <v>0</v>
      </c>
      <c r="V1005" s="183">
        <v>0.92</v>
      </c>
      <c r="W1005" s="136">
        <f>U1005/V1005</f>
        <v>0</v>
      </c>
    </row>
    <row r="1006" spans="1:23" s="67" customFormat="1" ht="20.100000000000001" customHeight="1" x14ac:dyDescent="0.25">
      <c r="A1006" s="2776" t="str">
        <f>Итоговая!C372</f>
        <v xml:space="preserve">ПС 110/35/10 кВ Лихославль </v>
      </c>
      <c r="B1006" s="2630">
        <f>Итоговая!D372</f>
        <v>25</v>
      </c>
      <c r="C1006" s="2632" t="str">
        <f>Итоговая!E372</f>
        <v>+</v>
      </c>
      <c r="D1006" s="2632">
        <f>Итоговая!F372</f>
        <v>25</v>
      </c>
      <c r="E1006" s="400"/>
      <c r="F1006" s="401"/>
      <c r="G1006" s="2808" t="s">
        <v>1961</v>
      </c>
      <c r="H1006" s="2808"/>
      <c r="I1006" s="2808"/>
      <c r="J1006" s="2808"/>
      <c r="K1006" s="2808"/>
      <c r="L1006" s="2800"/>
      <c r="M1006" s="147"/>
      <c r="N1006" s="176"/>
      <c r="O1006" s="149"/>
      <c r="P1006" s="149"/>
      <c r="Q1006" s="149"/>
      <c r="R1006" s="2811"/>
      <c r="S1006" s="2791"/>
      <c r="T1006" s="2791"/>
      <c r="U1006" s="2791"/>
      <c r="V1006" s="2791"/>
      <c r="W1006" s="2792"/>
    </row>
    <row r="1007" spans="1:23" ht="57.75" customHeight="1" x14ac:dyDescent="0.25">
      <c r="A1007" s="2777"/>
      <c r="B1007" s="2631"/>
      <c r="C1007" s="2633"/>
      <c r="D1007" s="2633"/>
      <c r="E1007" s="404"/>
      <c r="F1007" s="405"/>
      <c r="G1007" s="216" t="s">
        <v>511</v>
      </c>
      <c r="H1007" s="143" t="s">
        <v>512</v>
      </c>
      <c r="I1007" s="143" t="s">
        <v>513</v>
      </c>
      <c r="J1007" s="53">
        <v>0.105</v>
      </c>
      <c r="K1007" s="143"/>
      <c r="L1007" s="142"/>
      <c r="M1007" s="143"/>
      <c r="N1007" s="143"/>
      <c r="O1007" s="53"/>
      <c r="P1007" s="143"/>
      <c r="Q1007" s="143"/>
      <c r="R1007" s="184" t="s">
        <v>2468</v>
      </c>
      <c r="S1007" s="143" t="s">
        <v>2469</v>
      </c>
      <c r="T1007" s="1627" t="s">
        <v>16748</v>
      </c>
      <c r="U1007" s="143">
        <v>3.5000000000000003E-2</v>
      </c>
      <c r="V1007" s="142"/>
      <c r="W1007" s="142"/>
    </row>
    <row r="1008" spans="1:23" ht="29.25" customHeight="1" x14ac:dyDescent="0.25">
      <c r="A1008" s="402"/>
      <c r="B1008" s="403"/>
      <c r="C1008" s="404"/>
      <c r="D1008" s="404"/>
      <c r="E1008" s="404"/>
      <c r="F1008" s="405"/>
      <c r="G1008" s="2798" t="s">
        <v>1959</v>
      </c>
      <c r="H1008" s="2798"/>
      <c r="I1008" s="2798"/>
      <c r="J1008" s="2798"/>
      <c r="K1008" s="2798"/>
      <c r="L1008" s="2799"/>
      <c r="M1008" s="143" t="s">
        <v>2155</v>
      </c>
      <c r="N1008" s="143" t="s">
        <v>2156</v>
      </c>
      <c r="O1008" s="53">
        <v>1.2</v>
      </c>
      <c r="P1008" s="143"/>
      <c r="Q1008" s="143"/>
      <c r="R1008" s="2820"/>
      <c r="S1008" s="2821"/>
      <c r="T1008" s="2821"/>
      <c r="U1008" s="2821"/>
      <c r="V1008" s="2821"/>
      <c r="W1008" s="2822"/>
    </row>
    <row r="1009" spans="1:23" s="18" customFormat="1" ht="43.5" customHeight="1" x14ac:dyDescent="0.25">
      <c r="A1009" s="402"/>
      <c r="B1009" s="403"/>
      <c r="C1009" s="404"/>
      <c r="D1009" s="404"/>
      <c r="E1009" s="404"/>
      <c r="F1009" s="405"/>
      <c r="G1009" s="184" t="s">
        <v>514</v>
      </c>
      <c r="H1009" s="143" t="s">
        <v>515</v>
      </c>
      <c r="I1009" s="143" t="s">
        <v>516</v>
      </c>
      <c r="J1009" s="143">
        <v>0.23100000000000001</v>
      </c>
      <c r="K1009" s="143"/>
      <c r="L1009" s="142"/>
      <c r="M1009" s="184"/>
      <c r="N1009" s="143"/>
      <c r="O1009" s="143"/>
      <c r="P1009" s="143"/>
      <c r="Q1009" s="143"/>
      <c r="R1009" s="142"/>
      <c r="S1009" s="142"/>
      <c r="T1009" s="142"/>
      <c r="U1009" s="142"/>
      <c r="V1009" s="142"/>
      <c r="W1009" s="142"/>
    </row>
    <row r="1010" spans="1:23" s="18" customFormat="1" ht="28.5" customHeight="1" x14ac:dyDescent="0.25">
      <c r="A1010" s="402"/>
      <c r="B1010" s="403"/>
      <c r="C1010" s="404"/>
      <c r="D1010" s="404"/>
      <c r="E1010" s="404"/>
      <c r="F1010" s="405"/>
      <c r="G1010" s="2798" t="s">
        <v>2033</v>
      </c>
      <c r="H1010" s="2798"/>
      <c r="I1010" s="2798"/>
      <c r="J1010" s="2798"/>
      <c r="K1010" s="2798"/>
      <c r="L1010" s="2799"/>
      <c r="M1010" s="1"/>
      <c r="N1010" s="1"/>
      <c r="O1010" s="143"/>
      <c r="P1010" s="143"/>
      <c r="Q1010" s="143"/>
      <c r="R1010" s="2820"/>
      <c r="S1010" s="2821"/>
      <c r="T1010" s="2821"/>
      <c r="U1010" s="2821"/>
      <c r="V1010" s="2821"/>
      <c r="W1010" s="2822"/>
    </row>
    <row r="1011" spans="1:23" s="18" customFormat="1" ht="42.75" customHeight="1" x14ac:dyDescent="0.25">
      <c r="A1011" s="402"/>
      <c r="B1011" s="403"/>
      <c r="C1011" s="404"/>
      <c r="D1011" s="404"/>
      <c r="E1011" s="404"/>
      <c r="F1011" s="405"/>
      <c r="G1011" s="184" t="s">
        <v>2161</v>
      </c>
      <c r="H1011" s="143" t="s">
        <v>2162</v>
      </c>
      <c r="I1011" s="143" t="s">
        <v>2507</v>
      </c>
      <c r="J1011" s="143">
        <v>0.15</v>
      </c>
      <c r="K1011" s="143"/>
      <c r="L1011" s="142"/>
      <c r="M1011" s="143" t="s">
        <v>2850</v>
      </c>
      <c r="N1011" s="143" t="s">
        <v>2851</v>
      </c>
      <c r="O1011" s="143">
        <v>9.9000000000000005E-2</v>
      </c>
      <c r="P1011" s="143"/>
      <c r="Q1011" s="143"/>
      <c r="R1011" s="142"/>
      <c r="S1011" s="142"/>
      <c r="T1011" s="142"/>
      <c r="U1011" s="142"/>
      <c r="V1011" s="142"/>
      <c r="W1011" s="142"/>
    </row>
    <row r="1012" spans="1:23" s="18" customFormat="1" ht="22.5" customHeight="1" x14ac:dyDescent="0.25">
      <c r="A1012" s="705"/>
      <c r="B1012" s="706"/>
      <c r="C1012" s="707"/>
      <c r="D1012" s="707"/>
      <c r="E1012" s="707"/>
      <c r="F1012" s="704"/>
      <c r="G1012" s="2798" t="s">
        <v>2640</v>
      </c>
      <c r="H1012" s="2798"/>
      <c r="I1012" s="2798"/>
      <c r="J1012" s="2798"/>
      <c r="K1012" s="2798"/>
      <c r="L1012" s="2799"/>
      <c r="M1012" s="143" t="s">
        <v>16951</v>
      </c>
      <c r="N1012" s="143" t="s">
        <v>16952</v>
      </c>
      <c r="O1012" s="143">
        <v>2.3E-2</v>
      </c>
      <c r="P1012" s="143"/>
      <c r="Q1012" s="143"/>
      <c r="R1012" s="142"/>
      <c r="S1012" s="142"/>
      <c r="T1012" s="142"/>
      <c r="U1012" s="142"/>
      <c r="V1012" s="142"/>
      <c r="W1012" s="142"/>
    </row>
    <row r="1013" spans="1:23" s="18" customFormat="1" ht="61.5" customHeight="1" x14ac:dyDescent="0.25">
      <c r="A1013" s="402"/>
      <c r="B1013" s="403"/>
      <c r="C1013" s="404"/>
      <c r="D1013" s="404"/>
      <c r="E1013" s="404"/>
      <c r="F1013" s="405"/>
      <c r="G1013" s="184" t="s">
        <v>2628</v>
      </c>
      <c r="H1013" s="143" t="s">
        <v>2629</v>
      </c>
      <c r="I1013" s="143" t="s">
        <v>2701</v>
      </c>
      <c r="J1013" s="143">
        <f>0.88-0.3028</f>
        <v>0.57719999999999994</v>
      </c>
      <c r="K1013" s="143"/>
      <c r="L1013" s="142"/>
      <c r="M1013" s="1912" t="s">
        <v>2850</v>
      </c>
      <c r="N1013" s="1912" t="s">
        <v>17060</v>
      </c>
      <c r="O1013" s="143">
        <v>0.05</v>
      </c>
      <c r="P1013" s="143"/>
      <c r="Q1013" s="143"/>
      <c r="R1013" s="142"/>
      <c r="S1013" s="142"/>
      <c r="T1013" s="142"/>
      <c r="U1013" s="142"/>
      <c r="V1013" s="142"/>
      <c r="W1013" s="142"/>
    </row>
    <row r="1014" spans="1:23" s="18" customFormat="1" ht="61.5" customHeight="1" x14ac:dyDescent="0.25">
      <c r="A1014" s="821"/>
      <c r="B1014" s="822"/>
      <c r="C1014" s="823"/>
      <c r="D1014" s="823"/>
      <c r="E1014" s="823"/>
      <c r="F1014" s="820"/>
      <c r="G1014" s="1"/>
      <c r="H1014" s="1"/>
      <c r="I1014" s="180"/>
      <c r="J1014" s="151"/>
      <c r="K1014" s="151"/>
      <c r="L1014" s="149"/>
      <c r="M1014" s="143"/>
      <c r="N1014" s="143"/>
      <c r="O1014" s="151"/>
      <c r="P1014" s="151"/>
      <c r="Q1014" s="151"/>
      <c r="R1014" s="2205" t="s">
        <v>2838</v>
      </c>
      <c r="S1014" s="2205" t="s">
        <v>2839</v>
      </c>
      <c r="T1014" s="2230" t="s">
        <v>20048</v>
      </c>
      <c r="U1014" s="2235">
        <v>0.03</v>
      </c>
      <c r="V1014" s="149"/>
      <c r="W1014" s="149"/>
    </row>
    <row r="1015" spans="1:23" s="18" customFormat="1" ht="61.5" customHeight="1" x14ac:dyDescent="0.25">
      <c r="A1015" s="841"/>
      <c r="B1015" s="842"/>
      <c r="C1015" s="843"/>
      <c r="D1015" s="843"/>
      <c r="E1015" s="843"/>
      <c r="F1015" s="840"/>
      <c r="G1015" s="143" t="s">
        <v>2850</v>
      </c>
      <c r="H1015" s="143" t="s">
        <v>2913</v>
      </c>
      <c r="I1015" s="180" t="s">
        <v>2983</v>
      </c>
      <c r="J1015" s="151">
        <v>0.25230000000000002</v>
      </c>
      <c r="K1015" s="151"/>
      <c r="L1015" s="149"/>
      <c r="M1015" s="143"/>
      <c r="N1015" s="143"/>
      <c r="O1015" s="151"/>
      <c r="P1015" s="151"/>
      <c r="Q1015" s="151"/>
      <c r="R1015" s="147"/>
      <c r="S1015" s="365"/>
      <c r="T1015" s="176"/>
      <c r="U1015" s="149"/>
      <c r="V1015" s="149"/>
      <c r="W1015" s="149"/>
    </row>
    <row r="1016" spans="1:23" s="18" customFormat="1" ht="29.25" customHeight="1" x14ac:dyDescent="0.25">
      <c r="A1016" s="1185"/>
      <c r="B1016" s="1183"/>
      <c r="C1016" s="1187"/>
      <c r="D1016" s="1187"/>
      <c r="E1016" s="1187"/>
      <c r="F1016" s="1184"/>
      <c r="G1016" s="2798" t="s">
        <v>3019</v>
      </c>
      <c r="H1016" s="2798"/>
      <c r="I1016" s="2798"/>
      <c r="J1016" s="2798"/>
      <c r="K1016" s="2798"/>
      <c r="L1016" s="2799"/>
      <c r="M1016" s="146"/>
      <c r="N1016" s="180"/>
      <c r="O1016" s="151"/>
      <c r="P1016" s="151"/>
      <c r="Q1016" s="151"/>
      <c r="R1016" s="147"/>
      <c r="S1016" s="365"/>
      <c r="T1016" s="176"/>
      <c r="U1016" s="149"/>
      <c r="V1016" s="149"/>
      <c r="W1016" s="149"/>
    </row>
    <row r="1017" spans="1:23" s="18" customFormat="1" ht="29.25" customHeight="1" x14ac:dyDescent="0.25">
      <c r="A1017" s="1185"/>
      <c r="B1017" s="1183"/>
      <c r="C1017" s="1187"/>
      <c r="D1017" s="1187"/>
      <c r="E1017" s="1187"/>
      <c r="F1017" s="1184"/>
      <c r="G1017" s="2771"/>
      <c r="H1017" s="2772"/>
      <c r="I1017" s="2468"/>
      <c r="J1017" s="149"/>
      <c r="K1017" s="149"/>
      <c r="L1017" s="149"/>
      <c r="M1017" s="146"/>
      <c r="N1017" s="180"/>
      <c r="O1017" s="151"/>
      <c r="P1017" s="151"/>
      <c r="Q1017" s="151"/>
      <c r="R1017" s="147"/>
      <c r="S1017" s="365"/>
      <c r="T1017" s="176"/>
      <c r="U1017" s="149"/>
      <c r="V1017" s="149"/>
      <c r="W1017" s="149"/>
    </row>
    <row r="1018" spans="1:23" s="18" customFormat="1" ht="29.25" customHeight="1" x14ac:dyDescent="0.25">
      <c r="A1018" s="1237"/>
      <c r="B1018" s="1231"/>
      <c r="C1018" s="1239"/>
      <c r="D1018" s="1239"/>
      <c r="E1018" s="1239"/>
      <c r="F1018" s="1232"/>
      <c r="G1018" s="2798" t="s">
        <v>3405</v>
      </c>
      <c r="H1018" s="2798"/>
      <c r="I1018" s="2798"/>
      <c r="J1018" s="2798"/>
      <c r="K1018" s="2798"/>
      <c r="L1018" s="2799"/>
      <c r="M1018" s="1234"/>
      <c r="N1018" s="1236"/>
      <c r="O1018" s="1233"/>
      <c r="P1018" s="1233"/>
      <c r="Q1018" s="1233"/>
      <c r="R1018" s="1251"/>
      <c r="S1018" s="1249"/>
      <c r="T1018" s="1250"/>
      <c r="U1018" s="149"/>
      <c r="V1018" s="149"/>
      <c r="W1018" s="149"/>
    </row>
    <row r="1019" spans="1:23" s="18" customFormat="1" ht="29.25" customHeight="1" x14ac:dyDescent="0.25">
      <c r="A1019" s="1237"/>
      <c r="B1019" s="1231"/>
      <c r="C1019" s="1239"/>
      <c r="D1019" s="1239"/>
      <c r="E1019" s="1239"/>
      <c r="F1019" s="1232"/>
      <c r="G1019" s="1241" t="s">
        <v>2468</v>
      </c>
      <c r="H1019" s="1230" t="s">
        <v>3334</v>
      </c>
      <c r="I1019" s="285" t="s">
        <v>3450</v>
      </c>
      <c r="J1019" s="285">
        <v>2.3E-2</v>
      </c>
      <c r="K1019" s="285"/>
      <c r="L1019" s="285"/>
      <c r="M1019" s="1234"/>
      <c r="N1019" s="1236"/>
      <c r="O1019" s="1233"/>
      <c r="P1019" s="1233"/>
      <c r="Q1019" s="1233"/>
      <c r="R1019" s="1251"/>
      <c r="S1019" s="1249"/>
      <c r="T1019" s="1250"/>
      <c r="U1019" s="149"/>
      <c r="V1019" s="149"/>
      <c r="W1019" s="149"/>
    </row>
    <row r="1020" spans="1:23" s="18" customFormat="1" ht="29.25" customHeight="1" x14ac:dyDescent="0.25">
      <c r="A1020" s="1592"/>
      <c r="B1020" s="1598"/>
      <c r="C1020" s="1601"/>
      <c r="D1020" s="1601"/>
      <c r="E1020" s="1601"/>
      <c r="F1020" s="1599"/>
      <c r="G1020" s="2784" t="s">
        <v>3401</v>
      </c>
      <c r="H1020" s="2785"/>
      <c r="I1020" s="2786"/>
      <c r="J1020" s="775">
        <f>0.138*0.9</f>
        <v>0.12420000000000002</v>
      </c>
      <c r="K1020" s="344"/>
      <c r="L1020" s="344"/>
      <c r="M1020" s="1595"/>
      <c r="N1020" s="1597"/>
      <c r="O1020" s="1593"/>
      <c r="P1020" s="1593"/>
      <c r="Q1020" s="1593"/>
      <c r="R1020" s="1610"/>
      <c r="S1020" s="1611"/>
      <c r="T1020" s="1612"/>
      <c r="U1020" s="149"/>
      <c r="V1020" s="149"/>
      <c r="W1020" s="149"/>
    </row>
    <row r="1021" spans="1:23" s="18" customFormat="1" ht="29.25" customHeight="1" x14ac:dyDescent="0.25">
      <c r="A1021" s="2091"/>
      <c r="B1021" s="2073"/>
      <c r="C1021" s="2074"/>
      <c r="D1021" s="2074"/>
      <c r="E1021" s="2074"/>
      <c r="F1021" s="2077"/>
      <c r="G1021" s="2798" t="s">
        <v>17067</v>
      </c>
      <c r="H1021" s="2798"/>
      <c r="I1021" s="2798"/>
      <c r="J1021" s="2798"/>
      <c r="K1021" s="2798"/>
      <c r="L1021" s="2799"/>
      <c r="M1021" s="2083"/>
      <c r="N1021" s="2085"/>
      <c r="O1021" s="2090"/>
      <c r="P1021" s="2090"/>
      <c r="Q1021" s="2090"/>
      <c r="R1021" s="2093"/>
      <c r="S1021" s="2094"/>
      <c r="T1021" s="2095"/>
      <c r="U1021" s="149"/>
      <c r="V1021" s="149"/>
      <c r="W1021" s="149"/>
    </row>
    <row r="1022" spans="1:23" s="18" customFormat="1" ht="29.25" customHeight="1" x14ac:dyDescent="0.25">
      <c r="A1022" s="2091"/>
      <c r="B1022" s="2073"/>
      <c r="C1022" s="2074"/>
      <c r="D1022" s="2074"/>
      <c r="E1022" s="2074"/>
      <c r="F1022" s="2077"/>
      <c r="G1022" s="2094" t="s">
        <v>19886</v>
      </c>
      <c r="H1022" s="2094" t="s">
        <v>19887</v>
      </c>
      <c r="I1022" s="285" t="s">
        <v>19888</v>
      </c>
      <c r="J1022" s="149">
        <f>0.149*0.15</f>
        <v>2.2349999999999998E-2</v>
      </c>
      <c r="K1022" s="344"/>
      <c r="L1022" s="344"/>
      <c r="M1022" s="2083"/>
      <c r="N1022" s="2085"/>
      <c r="O1022" s="2090"/>
      <c r="P1022" s="2090"/>
      <c r="Q1022" s="2090"/>
      <c r="R1022" s="2093"/>
      <c r="S1022" s="2094"/>
      <c r="T1022" s="2095"/>
      <c r="U1022" s="149"/>
      <c r="V1022" s="149"/>
      <c r="W1022" s="149"/>
    </row>
    <row r="1023" spans="1:23" s="18" customFormat="1" ht="29.25" customHeight="1" x14ac:dyDescent="0.25">
      <c r="A1023" s="2159"/>
      <c r="B1023" s="2142"/>
      <c r="C1023" s="2143"/>
      <c r="D1023" s="2143"/>
      <c r="E1023" s="2143"/>
      <c r="F1023" s="2144"/>
      <c r="G1023" s="2161" t="s">
        <v>19987</v>
      </c>
      <c r="H1023" s="2161" t="s">
        <v>19988</v>
      </c>
      <c r="I1023" s="814" t="s">
        <v>19989</v>
      </c>
      <c r="J1023" s="149">
        <f>(0.1-0.03)*0.15</f>
        <v>1.0500000000000001E-2</v>
      </c>
      <c r="K1023" s="344"/>
      <c r="L1023" s="344"/>
      <c r="M1023" s="2148"/>
      <c r="N1023" s="2150"/>
      <c r="O1023" s="2157"/>
      <c r="P1023" s="2157"/>
      <c r="Q1023" s="2157"/>
      <c r="R1023" s="2160"/>
      <c r="S1023" s="2161"/>
      <c r="T1023" s="2162"/>
      <c r="U1023" s="149"/>
      <c r="V1023" s="149"/>
      <c r="W1023" s="149"/>
    </row>
    <row r="1024" spans="1:23" s="18" customFormat="1" ht="29.25" customHeight="1" x14ac:dyDescent="0.25">
      <c r="A1024" s="2236"/>
      <c r="B1024" s="2214"/>
      <c r="C1024" s="2215"/>
      <c r="D1024" s="2215"/>
      <c r="E1024" s="2215"/>
      <c r="F1024" s="2219"/>
      <c r="G1024" s="2784" t="s">
        <v>3401</v>
      </c>
      <c r="H1024" s="2785"/>
      <c r="I1024" s="2786"/>
      <c r="J1024" s="775">
        <f>0.2685*0.9</f>
        <v>0.24165000000000003</v>
      </c>
      <c r="K1024" s="344"/>
      <c r="L1024" s="344"/>
      <c r="M1024" s="2228"/>
      <c r="N1024" s="2230"/>
      <c r="O1024" s="2235"/>
      <c r="P1024" s="2235"/>
      <c r="Q1024" s="2235"/>
      <c r="R1024" s="2242"/>
      <c r="S1024" s="2243"/>
      <c r="T1024" s="2244"/>
      <c r="U1024" s="149"/>
      <c r="V1024" s="149"/>
      <c r="W1024" s="149"/>
    </row>
    <row r="1025" spans="1:23" ht="20.100000000000001" customHeight="1" thickBot="1" x14ac:dyDescent="0.3">
      <c r="A1025" s="406"/>
      <c r="B1025" s="395"/>
      <c r="C1025" s="396"/>
      <c r="D1025" s="396"/>
      <c r="E1025" s="396"/>
      <c r="F1025" s="397"/>
      <c r="G1025" s="2636" t="s">
        <v>1833</v>
      </c>
      <c r="H1025" s="2636"/>
      <c r="I1025" s="2637"/>
      <c r="J1025" s="136">
        <f>SUM(J1017:J1024)</f>
        <v>0.42170000000000007</v>
      </c>
      <c r="K1025" s="183">
        <v>0.93</v>
      </c>
      <c r="L1025" s="136">
        <f>J1025/K1025</f>
        <v>0.45344086021505381</v>
      </c>
      <c r="M1025" s="2652" t="s">
        <v>1834</v>
      </c>
      <c r="N1025" s="2637"/>
      <c r="O1025" s="136">
        <f>SUM(O1007:O1013)</f>
        <v>1.3719999999999999</v>
      </c>
      <c r="P1025" s="183">
        <v>0.92</v>
      </c>
      <c r="Q1025" s="136">
        <f>O1025/P1025</f>
        <v>1.4913043478260868</v>
      </c>
      <c r="R1025" s="2652" t="s">
        <v>1833</v>
      </c>
      <c r="S1025" s="2636"/>
      <c r="T1025" s="2637"/>
      <c r="U1025" s="136">
        <f>SUM(U1007:U1014)</f>
        <v>6.5000000000000002E-2</v>
      </c>
      <c r="V1025" s="183">
        <v>0.92</v>
      </c>
      <c r="W1025" s="136">
        <f>U1025/V1025</f>
        <v>7.0652173913043473E-2</v>
      </c>
    </row>
    <row r="1026" spans="1:23" ht="20.100000000000001" customHeight="1" x14ac:dyDescent="0.25">
      <c r="A1026" s="407" t="str">
        <f>Итоговая!C375</f>
        <v xml:space="preserve">ПС 110/35/6 кВ Безбородово </v>
      </c>
      <c r="B1026" s="399">
        <f>Итоговая!D375</f>
        <v>16</v>
      </c>
      <c r="C1026" s="400" t="str">
        <f>Итоговая!E375</f>
        <v>+</v>
      </c>
      <c r="D1026" s="400">
        <f>Итоговая!F375</f>
        <v>16</v>
      </c>
      <c r="E1026" s="400"/>
      <c r="F1026" s="401"/>
      <c r="G1026" s="273"/>
      <c r="H1026" s="72"/>
      <c r="I1026" s="72"/>
      <c r="J1026" s="72"/>
      <c r="K1026" s="72"/>
      <c r="L1026" s="72"/>
      <c r="M1026" s="72"/>
      <c r="N1026" s="72"/>
      <c r="O1026" s="72"/>
      <c r="P1026" s="72"/>
      <c r="Q1026" s="72"/>
      <c r="R1026" s="72"/>
      <c r="S1026" s="72"/>
      <c r="T1026" s="72"/>
      <c r="U1026" s="72"/>
      <c r="V1026" s="72"/>
      <c r="W1026" s="72"/>
    </row>
    <row r="1027" spans="1:23" ht="20.100000000000001" customHeight="1" thickBot="1" x14ac:dyDescent="0.3">
      <c r="A1027" s="406"/>
      <c r="B1027" s="395"/>
      <c r="C1027" s="396"/>
      <c r="D1027" s="396"/>
      <c r="E1027" s="396"/>
      <c r="F1027" s="397"/>
      <c r="G1027" s="2636" t="s">
        <v>1833</v>
      </c>
      <c r="H1027" s="2636"/>
      <c r="I1027" s="2637"/>
      <c r="J1027" s="136">
        <f>SUM(0)</f>
        <v>0</v>
      </c>
      <c r="K1027" s="183">
        <v>0.92</v>
      </c>
      <c r="L1027" s="136">
        <f>J1027/K1027</f>
        <v>0</v>
      </c>
      <c r="M1027" s="2652" t="s">
        <v>1834</v>
      </c>
      <c r="N1027" s="2637"/>
      <c r="O1027" s="136">
        <f>SUM(0)</f>
        <v>0</v>
      </c>
      <c r="P1027" s="183">
        <v>0.92</v>
      </c>
      <c r="Q1027" s="136">
        <f>O1027/P1027</f>
        <v>0</v>
      </c>
      <c r="R1027" s="2652" t="s">
        <v>1833</v>
      </c>
      <c r="S1027" s="2636"/>
      <c r="T1027" s="2637"/>
      <c r="U1027" s="136">
        <f>SUM(U1011:U1026)</f>
        <v>9.5000000000000001E-2</v>
      </c>
      <c r="V1027" s="183">
        <v>0.92</v>
      </c>
      <c r="W1027" s="136">
        <f>U1027/V1027</f>
        <v>0.10326086956521739</v>
      </c>
    </row>
    <row r="1028" spans="1:23" s="67" customFormat="1" ht="20.100000000000001" customHeight="1" x14ac:dyDescent="0.25">
      <c r="A1028" s="2776" t="str">
        <f>Итоговая!C378</f>
        <v xml:space="preserve">ПС 110/35/6 кВ Редкино  </v>
      </c>
      <c r="B1028" s="2630">
        <f>Итоговая!D378</f>
        <v>40</v>
      </c>
      <c r="C1028" s="2632" t="str">
        <f>Итоговая!E378</f>
        <v>+</v>
      </c>
      <c r="D1028" s="2632">
        <f>Итоговая!F378</f>
        <v>40.5</v>
      </c>
      <c r="E1028" s="400"/>
      <c r="F1028" s="401"/>
      <c r="G1028" s="2808" t="s">
        <v>1961</v>
      </c>
      <c r="H1028" s="2808"/>
      <c r="I1028" s="2808"/>
      <c r="J1028" s="2808"/>
      <c r="K1028" s="2808"/>
      <c r="L1028" s="2800"/>
      <c r="M1028" s="147"/>
      <c r="N1028" s="176"/>
      <c r="O1028" s="149"/>
      <c r="P1028" s="149"/>
      <c r="Q1028" s="149"/>
      <c r="R1028" s="2811"/>
      <c r="S1028" s="2791"/>
      <c r="T1028" s="2791"/>
      <c r="U1028" s="2791"/>
      <c r="V1028" s="2791"/>
      <c r="W1028" s="2792"/>
    </row>
    <row r="1029" spans="1:23" ht="20.100000000000001" customHeight="1" x14ac:dyDescent="0.25">
      <c r="A1029" s="2777"/>
      <c r="B1029" s="2631"/>
      <c r="C1029" s="2633"/>
      <c r="D1029" s="2633"/>
      <c r="E1029" s="404"/>
      <c r="F1029" s="405"/>
      <c r="G1029" s="66" t="s">
        <v>715</v>
      </c>
      <c r="H1029" s="2" t="s">
        <v>716</v>
      </c>
      <c r="I1029" s="143" t="s">
        <v>717</v>
      </c>
      <c r="J1029" s="63">
        <v>1.5</v>
      </c>
      <c r="K1029" s="143"/>
      <c r="L1029" s="142"/>
      <c r="M1029" s="26" t="s">
        <v>718</v>
      </c>
      <c r="N1029" s="26" t="s">
        <v>719</v>
      </c>
      <c r="O1029" s="59">
        <v>0.17199999999999999</v>
      </c>
      <c r="P1029" s="143"/>
      <c r="Q1029" s="143"/>
      <c r="R1029" s="142"/>
      <c r="S1029" s="142"/>
      <c r="T1029" s="142"/>
      <c r="U1029" s="380"/>
      <c r="V1029" s="142"/>
      <c r="W1029" s="142"/>
    </row>
    <row r="1030" spans="1:23" ht="20.100000000000001" customHeight="1" x14ac:dyDescent="0.25">
      <c r="A1030" s="402"/>
      <c r="B1030" s="403"/>
      <c r="C1030" s="404"/>
      <c r="D1030" s="404"/>
      <c r="E1030" s="404"/>
      <c r="F1030" s="405"/>
      <c r="G1030" s="2767" t="s">
        <v>1960</v>
      </c>
      <c r="H1030" s="2767"/>
      <c r="I1030" s="2767"/>
      <c r="J1030" s="2767"/>
      <c r="K1030" s="2767"/>
      <c r="L1030" s="2768"/>
      <c r="M1030" s="26"/>
      <c r="N1030" s="26"/>
      <c r="O1030" s="59"/>
      <c r="P1030" s="143"/>
      <c r="Q1030" s="143"/>
      <c r="R1030" s="2771"/>
      <c r="S1030" s="2772"/>
      <c r="T1030" s="2772"/>
      <c r="U1030" s="2772"/>
      <c r="V1030" s="2772"/>
      <c r="W1030" s="2468"/>
    </row>
    <row r="1031" spans="1:23" ht="20.100000000000001" customHeight="1" x14ac:dyDescent="0.25">
      <c r="A1031" s="402"/>
      <c r="B1031" s="403"/>
      <c r="C1031" s="404"/>
      <c r="D1031" s="404"/>
      <c r="E1031" s="404"/>
      <c r="F1031" s="405"/>
      <c r="G1031" s="184" t="s">
        <v>720</v>
      </c>
      <c r="H1031" s="143" t="s">
        <v>721</v>
      </c>
      <c r="I1031" s="143" t="s">
        <v>722</v>
      </c>
      <c r="J1031" s="64">
        <v>1.5</v>
      </c>
      <c r="K1031" s="143"/>
      <c r="L1031" s="142"/>
      <c r="M1031" s="142" t="s">
        <v>723</v>
      </c>
      <c r="N1031" s="142" t="s">
        <v>724</v>
      </c>
      <c r="O1031" s="6">
        <v>2</v>
      </c>
      <c r="P1031" s="143"/>
      <c r="Q1031" s="143"/>
      <c r="R1031" s="142"/>
      <c r="S1031" s="142"/>
      <c r="T1031" s="142"/>
      <c r="U1031" s="380"/>
      <c r="V1031" s="142"/>
      <c r="W1031" s="142"/>
    </row>
    <row r="1032" spans="1:23" ht="20.100000000000001" customHeight="1" x14ac:dyDescent="0.25">
      <c r="A1032" s="402"/>
      <c r="B1032" s="403"/>
      <c r="C1032" s="404"/>
      <c r="D1032" s="404"/>
      <c r="E1032" s="404"/>
      <c r="F1032" s="405"/>
      <c r="G1032" s="2767" t="s">
        <v>3447</v>
      </c>
      <c r="H1032" s="2767"/>
      <c r="I1032" s="2767"/>
      <c r="J1032" s="2767"/>
      <c r="K1032" s="2767"/>
      <c r="L1032" s="2768"/>
      <c r="M1032" s="142" t="s">
        <v>725</v>
      </c>
      <c r="N1032" s="142" t="s">
        <v>726</v>
      </c>
      <c r="O1032" s="6">
        <v>0.245</v>
      </c>
      <c r="P1032" s="143"/>
      <c r="Q1032" s="143"/>
      <c r="R1032" s="142"/>
      <c r="S1032" s="142"/>
      <c r="T1032" s="364"/>
      <c r="U1032" s="380"/>
      <c r="V1032" s="142"/>
      <c r="W1032" s="142"/>
    </row>
    <row r="1033" spans="1:23" ht="20.100000000000001" customHeight="1" x14ac:dyDescent="0.25">
      <c r="A1033" s="402"/>
      <c r="B1033" s="403"/>
      <c r="C1033" s="404"/>
      <c r="D1033" s="404"/>
      <c r="E1033" s="404"/>
      <c r="F1033" s="405"/>
      <c r="G1033" s="1305" t="s">
        <v>727</v>
      </c>
      <c r="H1033" s="1303" t="s">
        <v>3445</v>
      </c>
      <c r="I1033" s="1303" t="s">
        <v>3498</v>
      </c>
      <c r="J1033" s="64">
        <f>0.25*0.9</f>
        <v>0.22500000000000001</v>
      </c>
      <c r="K1033" s="143"/>
      <c r="L1033" s="142"/>
      <c r="M1033" s="142" t="s">
        <v>727</v>
      </c>
      <c r="N1033" s="1275" t="s">
        <v>728</v>
      </c>
      <c r="O1033" s="6">
        <v>2.63</v>
      </c>
      <c r="P1033" s="143"/>
      <c r="Q1033" s="143"/>
      <c r="R1033" s="142"/>
      <c r="S1033" s="142"/>
      <c r="T1033" s="364"/>
      <c r="U1033" s="380"/>
      <c r="V1033" s="142"/>
      <c r="W1033" s="142"/>
    </row>
    <row r="1034" spans="1:23" ht="20.100000000000001" customHeight="1" x14ac:dyDescent="0.25">
      <c r="A1034" s="402"/>
      <c r="B1034" s="403"/>
      <c r="C1034" s="404"/>
      <c r="D1034" s="404"/>
      <c r="E1034" s="404"/>
      <c r="F1034" s="405"/>
      <c r="G1034" s="184"/>
      <c r="H1034" s="143"/>
      <c r="I1034" s="143"/>
      <c r="J1034" s="143"/>
      <c r="K1034" s="143"/>
      <c r="L1034" s="142"/>
      <c r="M1034" s="1246" t="s">
        <v>1497</v>
      </c>
      <c r="N1034" s="154" t="s">
        <v>1498</v>
      </c>
      <c r="O1034" s="143">
        <v>6.25E-2</v>
      </c>
      <c r="P1034" s="143"/>
      <c r="Q1034" s="143"/>
      <c r="R1034" s="142"/>
      <c r="S1034" s="142"/>
      <c r="T1034" s="142"/>
      <c r="U1034" s="142"/>
      <c r="V1034" s="142"/>
      <c r="W1034" s="142"/>
    </row>
    <row r="1035" spans="1:23" ht="20.100000000000001" customHeight="1" x14ac:dyDescent="0.25">
      <c r="A1035" s="1237"/>
      <c r="B1035" s="1231"/>
      <c r="C1035" s="1239"/>
      <c r="D1035" s="1239"/>
      <c r="E1035" s="1239"/>
      <c r="F1035" s="1232"/>
      <c r="G1035" s="1235"/>
      <c r="H1035" s="1235"/>
      <c r="I1035" s="1236"/>
      <c r="J1035" s="1233"/>
      <c r="K1035" s="1233"/>
      <c r="L1035" s="149"/>
      <c r="M1035" s="1275"/>
      <c r="N1035" s="1272"/>
      <c r="O1035" s="1259"/>
      <c r="P1035" s="1259"/>
      <c r="Q1035" s="1259"/>
      <c r="R1035" s="1275"/>
      <c r="S1035" s="1275"/>
      <c r="T1035" s="1275"/>
      <c r="U1035" s="1275"/>
      <c r="V1035" s="1275"/>
      <c r="W1035" s="1275"/>
    </row>
    <row r="1036" spans="1:23" ht="20.100000000000001" customHeight="1" x14ac:dyDescent="0.25">
      <c r="A1036" s="1256"/>
      <c r="B1036" s="1263"/>
      <c r="C1036" s="1267"/>
      <c r="D1036" s="1267"/>
      <c r="E1036" s="1267"/>
      <c r="F1036" s="1264"/>
      <c r="G1036" s="1261"/>
      <c r="H1036" s="1261"/>
      <c r="I1036" s="1262"/>
      <c r="J1036" s="1257"/>
      <c r="K1036" s="1257"/>
      <c r="L1036" s="149"/>
      <c r="M1036" s="1275" t="s">
        <v>3455</v>
      </c>
      <c r="N1036" s="1272" t="s">
        <v>3456</v>
      </c>
      <c r="O1036" s="1259">
        <f>0.1</f>
        <v>0.1</v>
      </c>
      <c r="P1036" s="1259"/>
      <c r="Q1036" s="1259"/>
      <c r="R1036" s="1275"/>
      <c r="S1036" s="1275"/>
      <c r="T1036" s="1275"/>
      <c r="U1036" s="1275"/>
      <c r="V1036" s="1275"/>
      <c r="W1036" s="1275"/>
    </row>
    <row r="1037" spans="1:23" ht="20.100000000000001" customHeight="1" x14ac:dyDescent="0.25">
      <c r="A1037" s="1256"/>
      <c r="B1037" s="1263"/>
      <c r="C1037" s="1267"/>
      <c r="D1037" s="1267"/>
      <c r="E1037" s="1267"/>
      <c r="F1037" s="1264"/>
      <c r="G1037" s="1261"/>
      <c r="H1037" s="1261"/>
      <c r="I1037" s="1262"/>
      <c r="J1037" s="1257"/>
      <c r="K1037" s="1257"/>
      <c r="L1037" s="149"/>
      <c r="M1037" s="1279"/>
      <c r="N1037" s="564"/>
      <c r="O1037" s="1257"/>
      <c r="P1037" s="1257"/>
      <c r="Q1037" s="1257"/>
      <c r="R1037" s="1279"/>
      <c r="S1037" s="1277"/>
      <c r="T1037" s="1278"/>
      <c r="U1037" s="149"/>
      <c r="V1037" s="149"/>
      <c r="W1037" s="149"/>
    </row>
    <row r="1038" spans="1:23" ht="20.100000000000001" customHeight="1" thickBot="1" x14ac:dyDescent="0.3">
      <c r="A1038" s="406"/>
      <c r="B1038" s="395"/>
      <c r="C1038" s="396"/>
      <c r="D1038" s="396"/>
      <c r="E1038" s="396"/>
      <c r="F1038" s="397"/>
      <c r="G1038" s="2636" t="s">
        <v>1833</v>
      </c>
      <c r="H1038" s="2636"/>
      <c r="I1038" s="2637"/>
      <c r="J1038" s="202">
        <f>SUM(J1033)</f>
        <v>0.22500000000000001</v>
      </c>
      <c r="K1038" s="183">
        <v>0.92</v>
      </c>
      <c r="L1038" s="136">
        <f>J1038/K1038</f>
        <v>0.24456521739130435</v>
      </c>
      <c r="M1038" s="2652" t="s">
        <v>1834</v>
      </c>
      <c r="N1038" s="2637"/>
      <c r="O1038" s="218">
        <f>SUM(O1029:O1036)</f>
        <v>5.2095000000000002</v>
      </c>
      <c r="P1038" s="183">
        <v>0.92</v>
      </c>
      <c r="Q1038" s="136">
        <f>O1038/P1038</f>
        <v>5.6624999999999996</v>
      </c>
      <c r="R1038" s="2652" t="s">
        <v>1833</v>
      </c>
      <c r="S1038" s="2636"/>
      <c r="T1038" s="2637"/>
      <c r="U1038" s="202">
        <f>SUM(U1031:U1034)</f>
        <v>0</v>
      </c>
      <c r="V1038" s="183">
        <v>0.92</v>
      </c>
      <c r="W1038" s="136">
        <f>U1038/V1038</f>
        <v>0</v>
      </c>
    </row>
    <row r="1039" spans="1:23" s="67" customFormat="1" ht="20.100000000000001" customHeight="1" x14ac:dyDescent="0.25">
      <c r="A1039" s="2776" t="str">
        <f>Итоговая!C381</f>
        <v xml:space="preserve">ПС 110/35/10 кВ Рамешки </v>
      </c>
      <c r="B1039" s="2630">
        <f>Итоговая!D381</f>
        <v>10</v>
      </c>
      <c r="C1039" s="2632" t="str">
        <f>Итоговая!E381</f>
        <v>+</v>
      </c>
      <c r="D1039" s="2632">
        <f>Итоговая!F381</f>
        <v>25</v>
      </c>
      <c r="E1039" s="400"/>
      <c r="F1039" s="401"/>
      <c r="G1039" s="2808" t="s">
        <v>1961</v>
      </c>
      <c r="H1039" s="2808"/>
      <c r="I1039" s="2808"/>
      <c r="J1039" s="2808"/>
      <c r="K1039" s="2808"/>
      <c r="L1039" s="2800"/>
      <c r="M1039" s="133"/>
      <c r="N1039" s="175"/>
      <c r="O1039" s="77"/>
      <c r="P1039" s="77"/>
      <c r="Q1039" s="77"/>
      <c r="R1039" s="2811"/>
      <c r="S1039" s="2791"/>
      <c r="T1039" s="2791"/>
      <c r="U1039" s="2791"/>
      <c r="V1039" s="2791"/>
      <c r="W1039" s="2792"/>
    </row>
    <row r="1040" spans="1:23" s="18" customFormat="1" ht="47.25" customHeight="1" x14ac:dyDescent="0.25">
      <c r="A1040" s="2777"/>
      <c r="B1040" s="2631"/>
      <c r="C1040" s="2633"/>
      <c r="D1040" s="2633"/>
      <c r="E1040" s="404"/>
      <c r="F1040" s="405"/>
      <c r="G1040" s="283" t="s">
        <v>1864</v>
      </c>
      <c r="H1040" s="45" t="s">
        <v>732</v>
      </c>
      <c r="I1040" s="45" t="s">
        <v>733</v>
      </c>
      <c r="J1040" s="45">
        <v>3.5000000000000003E-2</v>
      </c>
      <c r="K1040" s="45"/>
      <c r="L1040" s="72"/>
      <c r="M1040" s="65"/>
      <c r="N1040" s="65"/>
      <c r="O1040" s="65"/>
      <c r="P1040" s="45"/>
      <c r="Q1040" s="45"/>
      <c r="R1040" s="72"/>
      <c r="S1040" s="72"/>
      <c r="T1040" s="72"/>
      <c r="U1040" s="72"/>
      <c r="V1040" s="72"/>
      <c r="W1040" s="72"/>
    </row>
    <row r="1041" spans="1:23" s="18" customFormat="1" ht="20.100000000000001" customHeight="1" x14ac:dyDescent="0.25">
      <c r="A1041" s="402"/>
      <c r="B1041" s="403"/>
      <c r="C1041" s="404"/>
      <c r="D1041" s="404"/>
      <c r="E1041" s="404"/>
      <c r="F1041" s="405"/>
      <c r="G1041" s="2767" t="s">
        <v>1960</v>
      </c>
      <c r="H1041" s="2767"/>
      <c r="I1041" s="2767"/>
      <c r="J1041" s="2767"/>
      <c r="K1041" s="2767"/>
      <c r="L1041" s="2768"/>
      <c r="M1041" s="2" t="s">
        <v>739</v>
      </c>
      <c r="N1041" s="2" t="s">
        <v>740</v>
      </c>
      <c r="O1041" s="2">
        <v>2.8000000000000001E-2</v>
      </c>
      <c r="P1041" s="45"/>
      <c r="Q1041" s="45"/>
      <c r="R1041" s="2771"/>
      <c r="S1041" s="2772"/>
      <c r="T1041" s="2772"/>
      <c r="U1041" s="2772"/>
      <c r="V1041" s="2772"/>
      <c r="W1041" s="2468"/>
    </row>
    <row r="1042" spans="1:23" s="18" customFormat="1" ht="57.75" customHeight="1" x14ac:dyDescent="0.25">
      <c r="A1042" s="402"/>
      <c r="B1042" s="403"/>
      <c r="C1042" s="404"/>
      <c r="D1042" s="404"/>
      <c r="E1042" s="404"/>
      <c r="F1042" s="405"/>
      <c r="G1042" s="66" t="s">
        <v>737</v>
      </c>
      <c r="H1042" s="2" t="s">
        <v>1496</v>
      </c>
      <c r="I1042" s="2" t="s">
        <v>738</v>
      </c>
      <c r="J1042" s="48">
        <v>2.5000000000000001E-2</v>
      </c>
      <c r="K1042" s="2"/>
      <c r="L1042" s="142"/>
      <c r="M1042" s="2"/>
      <c r="N1042" s="2"/>
      <c r="O1042" s="2"/>
      <c r="P1042" s="45"/>
      <c r="Q1042" s="45"/>
      <c r="R1042" s="142"/>
      <c r="S1042" s="142"/>
      <c r="T1042" s="142"/>
      <c r="U1042" s="285"/>
      <c r="V1042" s="142"/>
      <c r="W1042" s="142"/>
    </row>
    <row r="1043" spans="1:23" s="18" customFormat="1" ht="20.25" customHeight="1" x14ac:dyDescent="0.25">
      <c r="A1043" s="578"/>
      <c r="B1043" s="579"/>
      <c r="C1043" s="580"/>
      <c r="D1043" s="580"/>
      <c r="E1043" s="580"/>
      <c r="F1043" s="577"/>
      <c r="G1043" s="2798" t="s">
        <v>2033</v>
      </c>
      <c r="H1043" s="2798"/>
      <c r="I1043" s="2798"/>
      <c r="J1043" s="2798"/>
      <c r="K1043" s="2798"/>
      <c r="L1043" s="2799"/>
      <c r="M1043" s="1"/>
      <c r="N1043" s="1"/>
      <c r="O1043" s="2"/>
      <c r="P1043" s="45"/>
      <c r="Q1043" s="45"/>
      <c r="R1043" s="142"/>
      <c r="S1043" s="142"/>
      <c r="T1043" s="142"/>
      <c r="U1043" s="285"/>
      <c r="V1043" s="142"/>
      <c r="W1043" s="142"/>
    </row>
    <row r="1044" spans="1:23" ht="59.25" customHeight="1" x14ac:dyDescent="0.25">
      <c r="A1044" s="402"/>
      <c r="B1044" s="403"/>
      <c r="C1044" s="404"/>
      <c r="D1044" s="404"/>
      <c r="E1044" s="404"/>
      <c r="F1044" s="405"/>
      <c r="G1044" s="66" t="s">
        <v>735</v>
      </c>
      <c r="H1044" s="2" t="s">
        <v>736</v>
      </c>
      <c r="I1044" s="48" t="s">
        <v>2377</v>
      </c>
      <c r="J1044" s="143">
        <v>2.8000000000000001E-2</v>
      </c>
      <c r="K1044" s="2"/>
      <c r="L1044" s="142"/>
      <c r="M1044" s="65" t="s">
        <v>2914</v>
      </c>
      <c r="N1044" s="2" t="s">
        <v>2915</v>
      </c>
      <c r="O1044" s="2">
        <v>0.1</v>
      </c>
      <c r="P1044" s="45"/>
      <c r="Q1044" s="45"/>
      <c r="R1044" s="142"/>
      <c r="S1044" s="142"/>
      <c r="T1044" s="285"/>
      <c r="U1044" s="142"/>
      <c r="V1044" s="142"/>
      <c r="W1044" s="142"/>
    </row>
    <row r="1045" spans="1:23" ht="17.25" customHeight="1" x14ac:dyDescent="0.25">
      <c r="A1045" s="672"/>
      <c r="B1045" s="673"/>
      <c r="C1045" s="674"/>
      <c r="D1045" s="674"/>
      <c r="E1045" s="674"/>
      <c r="F1045" s="671"/>
      <c r="G1045" s="2798" t="s">
        <v>2640</v>
      </c>
      <c r="H1045" s="2798"/>
      <c r="I1045" s="2798"/>
      <c r="J1045" s="2798"/>
      <c r="K1045" s="2798"/>
      <c r="L1045" s="2799"/>
      <c r="M1045" s="48"/>
      <c r="N1045" s="2"/>
      <c r="O1045" s="2"/>
      <c r="P1045" s="2"/>
      <c r="Q1045" s="2"/>
      <c r="R1045" s="142"/>
      <c r="S1045" s="142"/>
      <c r="T1045" s="285"/>
      <c r="U1045" s="142"/>
      <c r="V1045" s="142"/>
      <c r="W1045" s="142"/>
    </row>
    <row r="1046" spans="1:23" ht="59.25" customHeight="1" x14ac:dyDescent="0.25">
      <c r="A1046" s="672"/>
      <c r="B1046" s="673"/>
      <c r="C1046" s="674"/>
      <c r="D1046" s="674"/>
      <c r="E1046" s="674"/>
      <c r="F1046" s="671"/>
      <c r="G1046" s="2" t="s">
        <v>2561</v>
      </c>
      <c r="H1046" s="2" t="s">
        <v>2562</v>
      </c>
      <c r="I1046" s="679" t="s">
        <v>2641</v>
      </c>
      <c r="J1046" s="2">
        <f>0.042-0.012</f>
        <v>3.0000000000000002E-2</v>
      </c>
      <c r="K1046" s="70"/>
      <c r="L1046" s="149"/>
      <c r="M1046" s="1268"/>
      <c r="N1046" s="1517"/>
      <c r="O1046" s="2"/>
      <c r="P1046" s="2"/>
      <c r="Q1046" s="2"/>
      <c r="R1046" s="142"/>
      <c r="S1046" s="142"/>
      <c r="T1046" s="285"/>
      <c r="U1046" s="142"/>
      <c r="V1046" s="142"/>
      <c r="W1046" s="142"/>
    </row>
    <row r="1047" spans="1:23" ht="28.5" customHeight="1" x14ac:dyDescent="0.25">
      <c r="A1047" s="793"/>
      <c r="B1047" s="794"/>
      <c r="C1047" s="796"/>
      <c r="D1047" s="796"/>
      <c r="E1047" s="796"/>
      <c r="F1047" s="792"/>
      <c r="G1047" s="2" t="s">
        <v>734</v>
      </c>
      <c r="H1047" s="2" t="s">
        <v>2617</v>
      </c>
      <c r="I1047" s="48" t="s">
        <v>2872</v>
      </c>
      <c r="J1047" s="2">
        <v>0.06</v>
      </c>
      <c r="K1047" s="2"/>
      <c r="L1047" s="142"/>
      <c r="M1047" s="813"/>
      <c r="N1047" s="121"/>
      <c r="O1047" s="70"/>
      <c r="P1047" s="70"/>
      <c r="Q1047" s="70"/>
      <c r="R1047" s="147"/>
      <c r="S1047" s="365"/>
      <c r="T1047" s="814"/>
      <c r="U1047" s="149"/>
      <c r="V1047" s="149"/>
      <c r="W1047" s="149"/>
    </row>
    <row r="1048" spans="1:23" ht="28.5" customHeight="1" x14ac:dyDescent="0.25">
      <c r="A1048" s="821"/>
      <c r="B1048" s="822"/>
      <c r="C1048" s="823"/>
      <c r="D1048" s="823"/>
      <c r="E1048" s="823"/>
      <c r="F1048" s="820"/>
      <c r="G1048" s="1495" t="s">
        <v>2511</v>
      </c>
      <c r="H1048" s="1495" t="s">
        <v>2893</v>
      </c>
      <c r="I1048" s="679" t="s">
        <v>2923</v>
      </c>
      <c r="J1048" s="70">
        <v>2.3E-2</v>
      </c>
      <c r="K1048" s="70"/>
      <c r="L1048" s="149"/>
      <c r="M1048" s="813"/>
      <c r="N1048" s="121"/>
      <c r="O1048" s="70"/>
      <c r="P1048" s="70"/>
      <c r="Q1048" s="70"/>
      <c r="R1048" s="147"/>
      <c r="S1048" s="365"/>
      <c r="T1048" s="814"/>
      <c r="U1048" s="149"/>
      <c r="V1048" s="149"/>
      <c r="W1048" s="149"/>
    </row>
    <row r="1049" spans="1:23" ht="14.25" customHeight="1" x14ac:dyDescent="0.25">
      <c r="A1049" s="1185"/>
      <c r="B1049" s="1183"/>
      <c r="C1049" s="1187"/>
      <c r="D1049" s="1187"/>
      <c r="E1049" s="1187"/>
      <c r="F1049" s="1184"/>
      <c r="G1049" s="2798" t="s">
        <v>3019</v>
      </c>
      <c r="H1049" s="2798"/>
      <c r="I1049" s="2798"/>
      <c r="J1049" s="2798"/>
      <c r="K1049" s="2798"/>
      <c r="L1049" s="2799"/>
      <c r="M1049" s="813"/>
      <c r="N1049" s="121"/>
      <c r="O1049" s="70"/>
      <c r="P1049" s="70"/>
      <c r="Q1049" s="70"/>
      <c r="R1049" s="147"/>
      <c r="S1049" s="365"/>
      <c r="T1049" s="814"/>
      <c r="U1049" s="149"/>
      <c r="V1049" s="149"/>
      <c r="W1049" s="149"/>
    </row>
    <row r="1050" spans="1:23" ht="28.5" customHeight="1" x14ac:dyDescent="0.25">
      <c r="A1050" s="1185"/>
      <c r="B1050" s="1183"/>
      <c r="C1050" s="1187"/>
      <c r="D1050" s="1187"/>
      <c r="E1050" s="1187"/>
      <c r="F1050" s="1184"/>
      <c r="G1050" s="2723"/>
      <c r="H1050" s="2724"/>
      <c r="I1050" s="2619"/>
      <c r="J1050" s="70"/>
      <c r="K1050" s="70"/>
      <c r="L1050" s="149"/>
      <c r="M1050" s="813"/>
      <c r="N1050" s="121"/>
      <c r="O1050" s="70"/>
      <c r="P1050" s="70"/>
      <c r="Q1050" s="70"/>
      <c r="R1050" s="147"/>
      <c r="S1050" s="365"/>
      <c r="T1050" s="814"/>
      <c r="U1050" s="149"/>
      <c r="V1050" s="149"/>
      <c r="W1050" s="149"/>
    </row>
    <row r="1051" spans="1:23" ht="28.5" customHeight="1" x14ac:dyDescent="0.25">
      <c r="A1051" s="1592"/>
      <c r="B1051" s="1598"/>
      <c r="C1051" s="1601"/>
      <c r="D1051" s="1601"/>
      <c r="E1051" s="1601"/>
      <c r="F1051" s="1599"/>
      <c r="G1051" s="2798" t="s">
        <v>3405</v>
      </c>
      <c r="H1051" s="2798"/>
      <c r="I1051" s="2798"/>
      <c r="J1051" s="2798"/>
      <c r="K1051" s="2798"/>
      <c r="L1051" s="2799"/>
      <c r="M1051" s="813"/>
      <c r="N1051" s="121"/>
      <c r="O1051" s="70"/>
      <c r="P1051" s="70"/>
      <c r="Q1051" s="70"/>
      <c r="R1051" s="1610"/>
      <c r="S1051" s="1611"/>
      <c r="T1051" s="814"/>
      <c r="U1051" s="149"/>
      <c r="V1051" s="149"/>
      <c r="W1051" s="149"/>
    </row>
    <row r="1052" spans="1:23" ht="28.5" customHeight="1" x14ac:dyDescent="0.25">
      <c r="A1052" s="1592"/>
      <c r="B1052" s="1598"/>
      <c r="C1052" s="1601"/>
      <c r="D1052" s="1601"/>
      <c r="E1052" s="1601"/>
      <c r="F1052" s="1599"/>
      <c r="G1052" s="2679" t="s">
        <v>3401</v>
      </c>
      <c r="H1052" s="2680"/>
      <c r="I1052" s="2681"/>
      <c r="J1052" s="775">
        <f>0.169*0.9</f>
        <v>0.15210000000000001</v>
      </c>
      <c r="K1052" s="775"/>
      <c r="L1052" s="775"/>
      <c r="M1052" s="813"/>
      <c r="N1052" s="121"/>
      <c r="O1052" s="70"/>
      <c r="P1052" s="70"/>
      <c r="Q1052" s="70"/>
      <c r="R1052" s="1610"/>
      <c r="S1052" s="1611"/>
      <c r="T1052" s="814"/>
      <c r="U1052" s="149"/>
      <c r="V1052" s="149"/>
      <c r="W1052" s="149"/>
    </row>
    <row r="1053" spans="1:23" ht="28.5" customHeight="1" x14ac:dyDescent="0.25">
      <c r="A1053" s="2236"/>
      <c r="B1053" s="2214"/>
      <c r="C1053" s="2215"/>
      <c r="D1053" s="2215"/>
      <c r="E1053" s="2215"/>
      <c r="F1053" s="2219"/>
      <c r="G1053" s="2798" t="s">
        <v>17067</v>
      </c>
      <c r="H1053" s="2798"/>
      <c r="I1053" s="2798"/>
      <c r="J1053" s="2798"/>
      <c r="K1053" s="2798"/>
      <c r="L1053" s="2799"/>
      <c r="M1053" s="813"/>
      <c r="N1053" s="121"/>
      <c r="O1053" s="70"/>
      <c r="P1053" s="70"/>
      <c r="Q1053" s="70"/>
      <c r="R1053" s="2242"/>
      <c r="S1053" s="2243"/>
      <c r="T1053" s="814"/>
      <c r="U1053" s="149"/>
      <c r="V1053" s="149"/>
      <c r="W1053" s="149"/>
    </row>
    <row r="1054" spans="1:23" ht="28.5" customHeight="1" x14ac:dyDescent="0.25">
      <c r="A1054" s="2236"/>
      <c r="B1054" s="2214"/>
      <c r="C1054" s="2215"/>
      <c r="D1054" s="2215"/>
      <c r="E1054" s="2215"/>
      <c r="F1054" s="2219"/>
      <c r="G1054" s="2679" t="s">
        <v>3401</v>
      </c>
      <c r="H1054" s="2680"/>
      <c r="I1054" s="2681"/>
      <c r="J1054" s="775">
        <f>0.141*0.9</f>
        <v>0.12689999999999999</v>
      </c>
      <c r="K1054" s="775"/>
      <c r="L1054" s="775"/>
      <c r="M1054" s="813"/>
      <c r="N1054" s="121"/>
      <c r="O1054" s="70"/>
      <c r="P1054" s="70"/>
      <c r="Q1054" s="70"/>
      <c r="R1054" s="2242"/>
      <c r="S1054" s="2243"/>
      <c r="T1054" s="814"/>
      <c r="U1054" s="149"/>
      <c r="V1054" s="149"/>
      <c r="W1054" s="149"/>
    </row>
    <row r="1055" spans="1:23" ht="20.100000000000001" customHeight="1" thickBot="1" x14ac:dyDescent="0.3">
      <c r="A1055" s="406"/>
      <c r="B1055" s="395"/>
      <c r="C1055" s="396"/>
      <c r="D1055" s="396"/>
      <c r="E1055" s="396"/>
      <c r="F1055" s="397"/>
      <c r="G1055" s="2636" t="s">
        <v>1833</v>
      </c>
      <c r="H1055" s="2636"/>
      <c r="I1055" s="2637"/>
      <c r="J1055" s="136">
        <f>SUM(J1050:J1054)</f>
        <v>0.27900000000000003</v>
      </c>
      <c r="K1055" s="183">
        <v>0.92</v>
      </c>
      <c r="L1055" s="136">
        <f>J1055/K1055</f>
        <v>0.30326086956521742</v>
      </c>
      <c r="M1055" s="2652" t="s">
        <v>1834</v>
      </c>
      <c r="N1055" s="2637"/>
      <c r="O1055" s="136">
        <f>SUM(O1040:O1046)</f>
        <v>0.128</v>
      </c>
      <c r="P1055" s="183">
        <v>0.92</v>
      </c>
      <c r="Q1055" s="136">
        <f>O1055/P1055</f>
        <v>0.1391304347826087</v>
      </c>
      <c r="R1055" s="2652" t="s">
        <v>1833</v>
      </c>
      <c r="S1055" s="2636"/>
      <c r="T1055" s="2637"/>
      <c r="U1055" s="136">
        <f>SUM(U1042:U1044)</f>
        <v>0</v>
      </c>
      <c r="V1055" s="183">
        <v>0.92</v>
      </c>
      <c r="W1055" s="136">
        <f>U1055/V1055</f>
        <v>0</v>
      </c>
    </row>
    <row r="1056" spans="1:23" ht="20.100000000000001" customHeight="1" x14ac:dyDescent="0.25">
      <c r="A1056" s="407" t="str">
        <f>Итоговая!C384</f>
        <v xml:space="preserve">ПС 110/35/10 кВ Тучево </v>
      </c>
      <c r="B1056" s="399">
        <f>Итоговая!D384</f>
        <v>25</v>
      </c>
      <c r="C1056" s="400" t="str">
        <f>Итоговая!E384</f>
        <v>+</v>
      </c>
      <c r="D1056" s="400">
        <f>Итоговая!F384</f>
        <v>25</v>
      </c>
      <c r="E1056" s="400"/>
      <c r="F1056" s="401"/>
      <c r="G1056" s="184"/>
      <c r="H1056" s="143"/>
      <c r="I1056" s="143"/>
      <c r="J1056" s="143"/>
      <c r="K1056" s="143"/>
      <c r="L1056" s="142"/>
      <c r="M1056" s="143"/>
      <c r="N1056" s="143"/>
      <c r="O1056" s="143"/>
      <c r="P1056" s="143"/>
      <c r="Q1056" s="143"/>
      <c r="R1056" s="143"/>
      <c r="S1056" s="143"/>
      <c r="T1056" s="143"/>
      <c r="U1056" s="143"/>
      <c r="V1056" s="143"/>
      <c r="W1056" s="142"/>
    </row>
    <row r="1057" spans="1:23" ht="20.100000000000001" customHeight="1" thickBot="1" x14ac:dyDescent="0.3">
      <c r="A1057" s="406"/>
      <c r="B1057" s="395"/>
      <c r="C1057" s="396"/>
      <c r="D1057" s="396"/>
      <c r="E1057" s="396"/>
      <c r="F1057" s="397"/>
      <c r="G1057" s="2716" t="s">
        <v>1833</v>
      </c>
      <c r="H1057" s="2716"/>
      <c r="I1057" s="2717"/>
      <c r="J1057" s="181">
        <f>SUM(J1056:J1056)</f>
        <v>0</v>
      </c>
      <c r="K1057" s="151">
        <v>0.92</v>
      </c>
      <c r="L1057" s="181">
        <f>J1057/K1057</f>
        <v>0</v>
      </c>
      <c r="M1057" s="2715" t="s">
        <v>1834</v>
      </c>
      <c r="N1057" s="2717"/>
      <c r="O1057" s="181">
        <f>SUM(O1056:O1056)</f>
        <v>0</v>
      </c>
      <c r="P1057" s="151">
        <v>0.92</v>
      </c>
      <c r="Q1057" s="181">
        <f>O1057/P1057</f>
        <v>0</v>
      </c>
      <c r="R1057" s="2715" t="s">
        <v>1833</v>
      </c>
      <c r="S1057" s="2716"/>
      <c r="T1057" s="2717"/>
      <c r="U1057" s="181">
        <f>SUM(U1056:U1056)</f>
        <v>0</v>
      </c>
      <c r="V1057" s="151">
        <v>0.92</v>
      </c>
      <c r="W1057" s="181">
        <f>U1057/V1057</f>
        <v>0</v>
      </c>
    </row>
    <row r="1058" spans="1:23" ht="20.100000000000001" customHeight="1" thickBot="1" x14ac:dyDescent="0.3">
      <c r="A1058" s="2756" t="s">
        <v>1962</v>
      </c>
      <c r="B1058" s="2757"/>
      <c r="C1058" s="498"/>
      <c r="D1058" s="498"/>
      <c r="E1058" s="498"/>
      <c r="F1058" s="498"/>
      <c r="G1058" s="190"/>
      <c r="H1058" s="191"/>
      <c r="I1058" s="191"/>
      <c r="J1058" s="209">
        <f>J15+J25+J36+J157+J38+J44+J62+J67+J72+J75+J77+J82+J85+J88+J100+J111+J120+J122+J124+J129+J170+J179+J184+J191+J212+J217+J242+J254+J258+J274+J346+J361+J373+J392+J410+J423+J438+J450+J469+J476+J486+J496+J542+J544+J554+J574+J586+J603+J613+J631+J639+J660+J674+J677+J694+J716+J730+J765+J770+J789+J810+J817+J847+J853+J865+J909+J944+J970+J982+J1025+J1057</f>
        <v>86.687814000000003</v>
      </c>
      <c r="K1058" s="191"/>
      <c r="L1058" s="209">
        <f>L15+L25+L36+L157+L38+L44+L62+L67+L72+L75+L77+L82+L85+L88+L100+L111+L120+L122+L124+L129+L170+L179+L184+L191+L212+L217+L242+L254+L258+L274+L346+L361+L373+L392+L410+L423+L438+L450+L469+L476+L486+L496+L542+L544+L554+L574+L586+L603+L613+L631+L639+L660+L674+L677+L694+L716+L730+L765+L770+L789+L810+L817+L847+L853+L865+L909+L944+L970+L982+L1025+L1057</f>
        <v>94.207418209443674</v>
      </c>
      <c r="M1058" s="191"/>
      <c r="N1058" s="191"/>
      <c r="O1058" s="191"/>
      <c r="P1058" s="190"/>
      <c r="Q1058" s="190"/>
      <c r="R1058" s="381"/>
      <c r="S1058" s="363"/>
      <c r="T1058" s="363"/>
      <c r="U1058" s="363"/>
      <c r="V1058" s="363"/>
      <c r="W1058" s="382"/>
    </row>
    <row r="1059" spans="1:23" ht="64.5" customHeight="1" x14ac:dyDescent="0.25">
      <c r="L1059" s="135"/>
    </row>
    <row r="1060" spans="1:23" x14ac:dyDescent="0.25">
      <c r="L1060" s="135"/>
    </row>
    <row r="1061" spans="1:23" ht="33.75" customHeight="1" x14ac:dyDescent="0.25">
      <c r="L1061" s="135"/>
    </row>
    <row r="1062" spans="1:23" ht="30" customHeight="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135"/>
      <c r="M1062" s="3"/>
      <c r="N1062" s="3"/>
      <c r="O1062" s="3"/>
      <c r="P1062" s="3"/>
      <c r="Q1062" s="3"/>
      <c r="R1062" s="3"/>
    </row>
    <row r="1063" spans="1:23" ht="40.5" customHeight="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135"/>
      <c r="M1063" s="3"/>
      <c r="N1063" s="3"/>
      <c r="O1063" s="3"/>
      <c r="P1063" s="3"/>
      <c r="Q1063" s="3"/>
      <c r="R1063" s="3"/>
    </row>
    <row r="1064" spans="1:23" ht="45" customHeight="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135"/>
      <c r="M1064" s="3"/>
      <c r="N1064" s="3"/>
      <c r="O1064" s="3"/>
      <c r="P1064" s="3"/>
      <c r="Q1064" s="3"/>
      <c r="R1064" s="3"/>
    </row>
    <row r="1065" spans="1:23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135"/>
      <c r="M1065" s="3"/>
      <c r="N1065" s="3"/>
      <c r="O1065" s="3"/>
      <c r="P1065" s="3"/>
      <c r="Q1065" s="3"/>
      <c r="R1065" s="3"/>
    </row>
    <row r="1066" spans="1:23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135"/>
      <c r="M1066" s="3"/>
      <c r="N1066" s="3"/>
      <c r="O1066" s="3"/>
      <c r="P1066" s="3"/>
      <c r="Q1066" s="3"/>
      <c r="R1066" s="3"/>
    </row>
    <row r="1067" spans="1:23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135"/>
      <c r="M1067" s="3"/>
      <c r="N1067" s="3"/>
      <c r="O1067" s="3"/>
      <c r="P1067" s="3"/>
      <c r="Q1067" s="3"/>
      <c r="R1067" s="3"/>
    </row>
    <row r="1068" spans="1:23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135"/>
      <c r="M1068" s="3"/>
      <c r="N1068" s="3"/>
      <c r="O1068" s="3"/>
      <c r="P1068" s="3"/>
      <c r="Q1068" s="3"/>
      <c r="R1068" s="3"/>
    </row>
    <row r="1069" spans="1:23" ht="51" customHeight="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135"/>
      <c r="M1069" s="3"/>
      <c r="N1069" s="3"/>
      <c r="O1069" s="3"/>
      <c r="P1069" s="3"/>
      <c r="Q1069" s="3"/>
      <c r="R1069" s="3"/>
    </row>
    <row r="1070" spans="1:23" ht="44.25" customHeight="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135"/>
      <c r="M1070" s="3"/>
      <c r="N1070" s="3"/>
      <c r="O1070" s="3"/>
      <c r="P1070" s="3"/>
      <c r="Q1070" s="3"/>
      <c r="R1070" s="3"/>
    </row>
    <row r="1071" spans="1:23" ht="39" customHeight="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135"/>
      <c r="M1071" s="3"/>
      <c r="N1071" s="3"/>
      <c r="O1071" s="3"/>
      <c r="P1071" s="3"/>
      <c r="Q1071" s="3"/>
      <c r="R1071" s="3"/>
    </row>
    <row r="1072" spans="1:23" ht="42" customHeight="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135"/>
      <c r="M1072" s="3"/>
      <c r="N1072" s="3"/>
      <c r="O1072" s="3"/>
      <c r="P1072" s="3"/>
      <c r="Q1072" s="3"/>
      <c r="R1072" s="3"/>
    </row>
    <row r="1073" spans="1:23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135"/>
      <c r="M1073" s="3"/>
      <c r="N1073" s="3"/>
      <c r="O1073" s="3"/>
      <c r="P1073" s="3"/>
      <c r="Q1073" s="3"/>
      <c r="R1073" s="3"/>
    </row>
    <row r="1074" spans="1:23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135"/>
      <c r="M1074" s="3"/>
      <c r="N1074" s="3"/>
      <c r="O1074" s="3"/>
      <c r="P1074" s="3"/>
      <c r="Q1074" s="3"/>
      <c r="R1074" s="3"/>
    </row>
    <row r="1075" spans="1:23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135"/>
      <c r="M1075" s="3"/>
      <c r="N1075" s="3"/>
      <c r="O1075" s="3"/>
      <c r="P1075" s="3"/>
      <c r="Q1075" s="3"/>
      <c r="R1075" s="3"/>
    </row>
    <row r="1076" spans="1:23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135"/>
      <c r="M1076" s="3"/>
      <c r="N1076" s="3"/>
      <c r="O1076" s="3"/>
      <c r="P1076" s="3"/>
      <c r="Q1076" s="3"/>
      <c r="R1076" s="3"/>
    </row>
    <row r="1077" spans="1:23" ht="58.5" customHeight="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135"/>
      <c r="M1077" s="3"/>
      <c r="N1077" s="3"/>
      <c r="O1077" s="3"/>
      <c r="P1077" s="3"/>
      <c r="Q1077" s="3"/>
      <c r="R1077" s="3"/>
    </row>
    <row r="1078" spans="1:23" ht="49.5" customHeight="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135"/>
    </row>
    <row r="1079" spans="1:23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135"/>
    </row>
    <row r="1080" spans="1:23" ht="78.75" customHeight="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135"/>
    </row>
    <row r="1081" spans="1:23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135"/>
    </row>
    <row r="1082" spans="1:23" ht="57" customHeight="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135"/>
    </row>
    <row r="1083" spans="1:23" ht="63.75" customHeight="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135"/>
    </row>
    <row r="1084" spans="1:23" ht="51" customHeight="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135"/>
    </row>
    <row r="1085" spans="1:23" ht="60.75" customHeight="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135"/>
      <c r="S1085" s="67"/>
      <c r="T1085" s="67"/>
      <c r="U1085" s="67"/>
      <c r="V1085" s="67"/>
      <c r="W1085" s="67"/>
    </row>
    <row r="1086" spans="1:23" ht="43.5" customHeight="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135"/>
      <c r="S1086" s="67"/>
      <c r="T1086" s="67"/>
      <c r="U1086" s="67"/>
      <c r="V1086" s="67"/>
      <c r="W1086" s="67"/>
    </row>
    <row r="1087" spans="1:23" ht="76.5" customHeight="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135"/>
      <c r="S1087" s="67"/>
      <c r="T1087" s="67"/>
      <c r="U1087" s="67"/>
      <c r="V1087" s="67"/>
      <c r="W1087" s="67"/>
    </row>
    <row r="1088" spans="1:23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135"/>
      <c r="S1088" s="67"/>
      <c r="T1088" s="67"/>
      <c r="U1088" s="67"/>
      <c r="V1088" s="67"/>
      <c r="W1088" s="67"/>
    </row>
    <row r="1089" spans="1:23" ht="50.25" customHeight="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135"/>
      <c r="S1089" s="67"/>
      <c r="T1089" s="67"/>
      <c r="U1089" s="67"/>
      <c r="V1089" s="67"/>
      <c r="W1089" s="67"/>
    </row>
    <row r="1090" spans="1:23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135"/>
      <c r="S1090" s="67"/>
      <c r="T1090" s="67"/>
      <c r="U1090" s="67"/>
      <c r="V1090" s="67"/>
      <c r="W1090" s="67"/>
    </row>
    <row r="1091" spans="1:23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135"/>
      <c r="S1091" s="67"/>
      <c r="T1091" s="67"/>
      <c r="U1091" s="67"/>
      <c r="V1091" s="67"/>
      <c r="W1091" s="67"/>
    </row>
    <row r="1092" spans="1:23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135"/>
      <c r="S1092" s="67"/>
      <c r="T1092" s="67"/>
      <c r="U1092" s="67"/>
      <c r="V1092" s="67"/>
      <c r="W1092" s="67"/>
    </row>
    <row r="1093" spans="1:23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135"/>
    </row>
    <row r="1094" spans="1:23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135"/>
      <c r="M1094" s="3"/>
      <c r="N1094" s="3"/>
      <c r="O1094" s="3"/>
      <c r="P1094" s="3"/>
      <c r="Q1094" s="3"/>
      <c r="R1094" s="3"/>
    </row>
    <row r="1095" spans="1:23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135"/>
      <c r="M1095" s="3"/>
      <c r="N1095" s="3"/>
      <c r="O1095" s="3"/>
      <c r="P1095" s="3"/>
      <c r="Q1095" s="3"/>
      <c r="R1095" s="3"/>
    </row>
    <row r="1096" spans="1:23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135"/>
      <c r="M1096" s="3"/>
      <c r="N1096" s="3"/>
      <c r="O1096" s="3"/>
      <c r="P1096" s="3"/>
      <c r="Q1096" s="3"/>
      <c r="R1096" s="3"/>
    </row>
    <row r="1097" spans="1:23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135"/>
      <c r="M1097" s="3"/>
      <c r="N1097" s="3"/>
      <c r="O1097" s="3"/>
      <c r="P1097" s="3"/>
      <c r="Q1097" s="3"/>
      <c r="R1097" s="3"/>
    </row>
    <row r="1098" spans="1:23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135"/>
      <c r="M1098" s="3"/>
      <c r="N1098" s="3"/>
      <c r="O1098" s="3"/>
      <c r="P1098" s="3"/>
      <c r="Q1098" s="3"/>
      <c r="R1098" s="3"/>
    </row>
    <row r="1099" spans="1:23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135"/>
      <c r="M1099" s="3"/>
      <c r="N1099" s="3"/>
      <c r="O1099" s="3"/>
      <c r="P1099" s="3"/>
      <c r="Q1099" s="3"/>
      <c r="R1099" s="3"/>
    </row>
    <row r="1100" spans="1:23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135"/>
      <c r="M1100" s="3"/>
      <c r="N1100" s="3"/>
      <c r="O1100" s="3"/>
      <c r="P1100" s="3"/>
      <c r="Q1100" s="3"/>
      <c r="R1100" s="3"/>
    </row>
    <row r="1101" spans="1:23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135"/>
      <c r="M1101" s="3"/>
      <c r="N1101" s="3"/>
      <c r="O1101" s="3"/>
      <c r="P1101" s="3"/>
      <c r="Q1101" s="3"/>
      <c r="R1101" s="3"/>
    </row>
    <row r="1102" spans="1:23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135"/>
      <c r="M1102" s="3"/>
      <c r="N1102" s="3"/>
      <c r="O1102" s="3"/>
      <c r="P1102" s="3"/>
      <c r="Q1102" s="3"/>
      <c r="R1102" s="3"/>
    </row>
    <row r="1103" spans="1:23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135"/>
      <c r="M1103" s="3"/>
      <c r="N1103" s="3"/>
      <c r="O1103" s="3"/>
      <c r="P1103" s="3"/>
      <c r="Q1103" s="3"/>
      <c r="R1103" s="3"/>
    </row>
    <row r="1104" spans="1:23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135"/>
      <c r="M1104" s="3"/>
      <c r="N1104" s="3"/>
      <c r="O1104" s="3"/>
      <c r="P1104" s="3"/>
      <c r="Q1104" s="3"/>
      <c r="R1104" s="3"/>
    </row>
    <row r="1128" spans="1:18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135"/>
      <c r="M1128" s="3"/>
      <c r="N1128" s="3"/>
      <c r="O1128" s="3"/>
      <c r="P1128" s="3"/>
      <c r="Q1128" s="3"/>
      <c r="R1128" s="3"/>
    </row>
    <row r="1129" spans="1:18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135"/>
      <c r="M1129" s="3"/>
      <c r="N1129" s="3"/>
      <c r="O1129" s="3"/>
      <c r="P1129" s="3"/>
      <c r="Q1129" s="3"/>
      <c r="R1129" s="3"/>
    </row>
    <row r="1130" spans="1:18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135"/>
      <c r="M1130" s="3"/>
      <c r="N1130" s="3"/>
      <c r="O1130" s="3"/>
      <c r="P1130" s="3"/>
      <c r="Q1130" s="3"/>
      <c r="R1130" s="3"/>
    </row>
    <row r="1131" spans="1:18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135"/>
      <c r="M1131" s="3"/>
      <c r="N1131" s="3"/>
      <c r="O1131" s="3"/>
      <c r="P1131" s="3"/>
      <c r="Q1131" s="3"/>
      <c r="R1131" s="3"/>
    </row>
    <row r="1132" spans="1:18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135"/>
      <c r="M1132" s="3"/>
      <c r="N1132" s="3"/>
      <c r="O1132" s="3"/>
      <c r="P1132" s="3"/>
      <c r="Q1132" s="3"/>
      <c r="R1132" s="3"/>
    </row>
    <row r="1133" spans="1:18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135"/>
      <c r="M1133" s="3"/>
      <c r="N1133" s="3"/>
      <c r="O1133" s="3"/>
      <c r="P1133" s="3"/>
      <c r="Q1133" s="3"/>
      <c r="R1133" s="3"/>
    </row>
    <row r="1134" spans="1:18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135"/>
      <c r="M1134" s="3"/>
      <c r="N1134" s="3"/>
      <c r="O1134" s="3"/>
      <c r="P1134" s="3"/>
      <c r="Q1134" s="3"/>
      <c r="R1134" s="3"/>
    </row>
    <row r="1135" spans="1:18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135"/>
      <c r="M1135" s="3"/>
      <c r="N1135" s="3"/>
      <c r="O1135" s="3"/>
      <c r="P1135" s="3"/>
      <c r="Q1135" s="3"/>
      <c r="R1135" s="3"/>
    </row>
    <row r="1136" spans="1:18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135"/>
      <c r="M1136" s="3"/>
      <c r="N1136" s="3"/>
      <c r="O1136" s="3"/>
      <c r="P1136" s="3"/>
      <c r="Q1136" s="3"/>
      <c r="R1136" s="3"/>
    </row>
    <row r="1137" spans="1:18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135"/>
      <c r="M1137" s="3"/>
      <c r="N1137" s="3"/>
      <c r="O1137" s="3"/>
      <c r="P1137" s="3"/>
      <c r="Q1137" s="3"/>
      <c r="R1137" s="3"/>
    </row>
    <row r="1138" spans="1:18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135"/>
      <c r="M1138" s="3"/>
      <c r="N1138" s="3"/>
      <c r="O1138" s="3"/>
      <c r="P1138" s="3"/>
      <c r="Q1138" s="3"/>
      <c r="R1138" s="3"/>
    </row>
    <row r="1139" spans="1:18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135"/>
      <c r="M1139" s="3"/>
      <c r="N1139" s="3"/>
      <c r="O1139" s="3"/>
      <c r="P1139" s="3"/>
      <c r="Q1139" s="3"/>
      <c r="R1139" s="3"/>
    </row>
    <row r="1140" spans="1:18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135"/>
      <c r="M1140" s="3"/>
      <c r="N1140" s="3"/>
      <c r="O1140" s="3"/>
      <c r="P1140" s="3"/>
      <c r="Q1140" s="3"/>
      <c r="R1140" s="3"/>
    </row>
    <row r="1141" spans="1:18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135"/>
      <c r="M1141" s="3"/>
      <c r="N1141" s="3"/>
      <c r="O1141" s="3"/>
      <c r="P1141" s="3"/>
      <c r="Q1141" s="3"/>
      <c r="R1141" s="3"/>
    </row>
    <row r="1142" spans="1:18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135"/>
      <c r="M1142" s="3"/>
      <c r="N1142" s="3"/>
      <c r="O1142" s="3"/>
      <c r="P1142" s="3"/>
      <c r="Q1142" s="3"/>
      <c r="R1142" s="3"/>
    </row>
    <row r="1143" spans="1:18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135"/>
      <c r="M1143" s="3"/>
      <c r="N1143" s="3"/>
      <c r="O1143" s="3"/>
      <c r="P1143" s="3"/>
      <c r="Q1143" s="3"/>
      <c r="R1143" s="3"/>
    </row>
    <row r="1144" spans="1:18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135"/>
      <c r="M1144" s="3"/>
      <c r="N1144" s="3"/>
      <c r="O1144" s="3"/>
      <c r="P1144" s="3"/>
      <c r="Q1144" s="3"/>
      <c r="R1144" s="3"/>
    </row>
    <row r="1145" spans="1:18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135"/>
      <c r="M1145" s="3"/>
      <c r="N1145" s="3"/>
      <c r="O1145" s="3"/>
      <c r="P1145" s="3"/>
      <c r="Q1145" s="3"/>
      <c r="R1145" s="3"/>
    </row>
    <row r="1146" spans="1:18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135"/>
      <c r="M1146" s="3"/>
      <c r="N1146" s="3"/>
      <c r="O1146" s="3"/>
      <c r="P1146" s="3"/>
      <c r="Q1146" s="3"/>
      <c r="R1146" s="3"/>
    </row>
    <row r="1147" spans="1:18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135"/>
      <c r="M1147" s="3"/>
      <c r="N1147" s="3"/>
      <c r="O1147" s="3"/>
      <c r="P1147" s="3"/>
      <c r="Q1147" s="3"/>
      <c r="R1147" s="3"/>
    </row>
    <row r="1148" spans="1:18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135"/>
      <c r="M1148" s="3"/>
      <c r="N1148" s="3"/>
      <c r="O1148" s="3"/>
      <c r="P1148" s="3"/>
      <c r="Q1148" s="3"/>
      <c r="R1148" s="3"/>
    </row>
    <row r="1149" spans="1:18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135"/>
      <c r="M1149" s="3"/>
      <c r="N1149" s="3"/>
      <c r="O1149" s="3"/>
      <c r="P1149" s="3"/>
      <c r="Q1149" s="3"/>
      <c r="R1149" s="3"/>
    </row>
    <row r="1150" spans="1:18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135"/>
      <c r="M1150" s="3"/>
      <c r="N1150" s="3"/>
      <c r="O1150" s="3"/>
      <c r="P1150" s="3"/>
      <c r="Q1150" s="3"/>
      <c r="R1150" s="3"/>
    </row>
    <row r="1151" spans="1:18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135"/>
      <c r="M1151" s="3"/>
      <c r="N1151" s="3"/>
      <c r="O1151" s="3"/>
      <c r="P1151" s="3"/>
      <c r="Q1151" s="3"/>
      <c r="R1151" s="3"/>
    </row>
    <row r="1152" spans="1:18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135"/>
      <c r="M1152" s="3"/>
      <c r="N1152" s="3"/>
      <c r="O1152" s="3"/>
      <c r="P1152" s="3"/>
      <c r="Q1152" s="3"/>
      <c r="R1152" s="3"/>
    </row>
    <row r="1153" spans="1:18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135"/>
      <c r="M1153" s="3"/>
      <c r="N1153" s="3"/>
      <c r="O1153" s="3"/>
      <c r="P1153" s="3"/>
      <c r="Q1153" s="3"/>
      <c r="R1153" s="3"/>
    </row>
    <row r="1154" spans="1:18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135"/>
      <c r="M1154" s="3"/>
      <c r="N1154" s="3"/>
      <c r="O1154" s="3"/>
      <c r="P1154" s="3"/>
      <c r="Q1154" s="3"/>
      <c r="R1154" s="3"/>
    </row>
    <row r="1155" spans="1:18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135"/>
      <c r="M1155" s="3"/>
      <c r="N1155" s="3"/>
      <c r="O1155" s="3"/>
      <c r="P1155" s="3"/>
      <c r="Q1155" s="3"/>
      <c r="R1155" s="3"/>
    </row>
    <row r="1156" spans="1:18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135"/>
      <c r="M1156" s="3"/>
      <c r="N1156" s="3"/>
      <c r="O1156" s="3"/>
      <c r="P1156" s="3"/>
      <c r="Q1156" s="3"/>
      <c r="R1156" s="3"/>
    </row>
    <row r="1157" spans="1:18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135"/>
      <c r="M1157" s="3"/>
      <c r="N1157" s="3"/>
      <c r="O1157" s="3"/>
      <c r="P1157" s="3"/>
      <c r="Q1157" s="3"/>
      <c r="R1157" s="3"/>
    </row>
    <row r="1158" spans="1:18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135"/>
      <c r="M1158" s="3"/>
      <c r="N1158" s="3"/>
      <c r="O1158" s="3"/>
      <c r="P1158" s="3"/>
      <c r="Q1158" s="3"/>
      <c r="R1158" s="3"/>
    </row>
    <row r="1159" spans="1:18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135"/>
      <c r="M1159" s="3"/>
      <c r="N1159" s="3"/>
      <c r="O1159" s="3"/>
      <c r="P1159" s="3"/>
      <c r="Q1159" s="3"/>
      <c r="R1159" s="3"/>
    </row>
    <row r="1160" spans="1:18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135"/>
      <c r="M1160" s="3"/>
      <c r="N1160" s="3"/>
      <c r="O1160" s="3"/>
      <c r="P1160" s="3"/>
      <c r="Q1160" s="3"/>
      <c r="R1160" s="3"/>
    </row>
    <row r="1161" spans="1:18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135"/>
      <c r="M1161" s="3"/>
      <c r="N1161" s="3"/>
      <c r="O1161" s="3"/>
      <c r="P1161" s="3"/>
      <c r="Q1161" s="3"/>
      <c r="R1161" s="3"/>
    </row>
    <row r="1162" spans="1:18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135"/>
      <c r="M1162" s="3"/>
      <c r="N1162" s="3"/>
      <c r="O1162" s="3"/>
      <c r="P1162" s="3"/>
      <c r="Q1162" s="3"/>
      <c r="R1162" s="3"/>
    </row>
    <row r="1163" spans="1:18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135"/>
      <c r="M1163" s="3"/>
      <c r="N1163" s="3"/>
      <c r="O1163" s="3"/>
      <c r="P1163" s="3"/>
      <c r="Q1163" s="3"/>
      <c r="R1163" s="3"/>
    </row>
    <row r="1164" spans="1:18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135"/>
      <c r="M1164" s="3"/>
      <c r="N1164" s="3"/>
      <c r="O1164" s="3"/>
      <c r="P1164" s="3"/>
      <c r="Q1164" s="3"/>
      <c r="R1164" s="3"/>
    </row>
    <row r="1165" spans="1:18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135"/>
      <c r="M1165" s="3"/>
      <c r="N1165" s="3"/>
      <c r="O1165" s="3"/>
      <c r="P1165" s="3"/>
      <c r="Q1165" s="3"/>
      <c r="R1165" s="3"/>
    </row>
    <row r="1166" spans="1:18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135"/>
      <c r="M1166" s="3"/>
      <c r="N1166" s="3"/>
      <c r="O1166" s="3"/>
      <c r="P1166" s="3"/>
      <c r="Q1166" s="3"/>
      <c r="R1166" s="3"/>
    </row>
    <row r="1167" spans="1:18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135"/>
      <c r="M1167" s="3"/>
      <c r="N1167" s="3"/>
      <c r="O1167" s="3"/>
      <c r="P1167" s="3"/>
      <c r="Q1167" s="3"/>
      <c r="R1167" s="3"/>
    </row>
    <row r="1168" spans="1:18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135"/>
      <c r="M1168" s="3"/>
      <c r="N1168" s="3"/>
      <c r="O1168" s="3"/>
      <c r="P1168" s="3"/>
      <c r="Q1168" s="3"/>
      <c r="R1168" s="3"/>
    </row>
    <row r="1169" spans="1:18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135"/>
      <c r="M1169" s="3"/>
      <c r="N1169" s="3"/>
      <c r="O1169" s="3"/>
      <c r="P1169" s="3"/>
      <c r="Q1169" s="3"/>
      <c r="R1169" s="3"/>
    </row>
    <row r="1170" spans="1:18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135"/>
      <c r="M1170" s="3"/>
      <c r="N1170" s="3"/>
      <c r="O1170" s="3"/>
      <c r="P1170" s="3"/>
      <c r="Q1170" s="3"/>
      <c r="R1170" s="3"/>
    </row>
    <row r="1171" spans="1:18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135"/>
      <c r="M1171" s="3"/>
      <c r="N1171" s="3"/>
      <c r="O1171" s="3"/>
      <c r="P1171" s="3"/>
      <c r="Q1171" s="3"/>
      <c r="R1171" s="3"/>
    </row>
    <row r="1172" spans="1:18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135"/>
      <c r="M1172" s="3"/>
      <c r="N1172" s="3"/>
      <c r="O1172" s="3"/>
      <c r="P1172" s="3"/>
      <c r="Q1172" s="3"/>
      <c r="R1172" s="3"/>
    </row>
    <row r="1173" spans="1:18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135"/>
      <c r="M1173" s="3"/>
      <c r="N1173" s="3"/>
      <c r="O1173" s="3"/>
      <c r="P1173" s="3"/>
      <c r="Q1173" s="3"/>
      <c r="R1173" s="3"/>
    </row>
    <row r="1174" spans="1:18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135"/>
      <c r="M1174" s="3"/>
      <c r="N1174" s="3"/>
      <c r="O1174" s="3"/>
      <c r="P1174" s="3"/>
      <c r="Q1174" s="3"/>
      <c r="R1174" s="3"/>
    </row>
    <row r="1175" spans="1:18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135"/>
      <c r="M1175" s="3"/>
      <c r="N1175" s="3"/>
      <c r="O1175" s="3"/>
      <c r="P1175" s="3"/>
      <c r="Q1175" s="3"/>
      <c r="R1175" s="3"/>
    </row>
    <row r="1176" spans="1:18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135"/>
      <c r="M1176" s="3"/>
      <c r="N1176" s="3"/>
      <c r="O1176" s="3"/>
      <c r="P1176" s="3"/>
      <c r="Q1176" s="3"/>
      <c r="R1176" s="3"/>
    </row>
    <row r="1177" spans="1:18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135"/>
      <c r="M1177" s="3"/>
      <c r="N1177" s="3"/>
      <c r="O1177" s="3"/>
      <c r="P1177" s="3"/>
      <c r="Q1177" s="3"/>
      <c r="R1177" s="3"/>
    </row>
    <row r="1178" spans="1:18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135"/>
      <c r="M1178" s="3"/>
      <c r="N1178" s="3"/>
      <c r="O1178" s="3"/>
      <c r="P1178" s="3"/>
      <c r="Q1178" s="3"/>
      <c r="R1178" s="3"/>
    </row>
    <row r="1179" spans="1:18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135"/>
      <c r="M1179" s="3"/>
      <c r="N1179" s="3"/>
      <c r="O1179" s="3"/>
      <c r="P1179" s="3"/>
      <c r="Q1179" s="3"/>
      <c r="R1179" s="3"/>
    </row>
    <row r="1180" spans="1:18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135"/>
      <c r="M1180" s="3"/>
      <c r="N1180" s="3"/>
      <c r="O1180" s="3"/>
      <c r="P1180" s="3"/>
      <c r="Q1180" s="3"/>
      <c r="R1180" s="3"/>
    </row>
    <row r="1181" spans="1:18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135"/>
      <c r="M1181" s="3"/>
      <c r="N1181" s="3"/>
      <c r="O1181" s="3"/>
      <c r="P1181" s="3"/>
      <c r="Q1181" s="3"/>
      <c r="R1181" s="3"/>
    </row>
    <row r="1182" spans="1:18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135"/>
      <c r="M1182" s="3"/>
      <c r="N1182" s="3"/>
      <c r="O1182" s="3"/>
      <c r="P1182" s="3"/>
      <c r="Q1182" s="3"/>
      <c r="R1182" s="3"/>
    </row>
    <row r="1183" spans="1:18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135"/>
      <c r="M1183" s="3"/>
      <c r="N1183" s="3"/>
      <c r="O1183" s="3"/>
      <c r="P1183" s="3"/>
      <c r="Q1183" s="3"/>
      <c r="R1183" s="3"/>
    </row>
    <row r="1184" spans="1:18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135"/>
      <c r="M1184" s="3"/>
      <c r="N1184" s="3"/>
      <c r="O1184" s="3"/>
      <c r="P1184" s="3"/>
      <c r="Q1184" s="3"/>
      <c r="R1184" s="3"/>
    </row>
    <row r="1185" spans="1:18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135"/>
      <c r="M1185" s="3"/>
      <c r="N1185" s="3"/>
      <c r="O1185" s="3"/>
      <c r="P1185" s="3"/>
      <c r="Q1185" s="3"/>
      <c r="R1185" s="3"/>
    </row>
    <row r="1186" spans="1:18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135"/>
      <c r="M1186" s="3"/>
      <c r="N1186" s="3"/>
      <c r="O1186" s="3"/>
      <c r="P1186" s="3"/>
      <c r="Q1186" s="3"/>
      <c r="R1186" s="3"/>
    </row>
    <row r="1187" spans="1:18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135"/>
      <c r="M1187" s="3"/>
      <c r="N1187" s="3"/>
      <c r="O1187" s="3"/>
      <c r="P1187" s="3"/>
      <c r="Q1187" s="3"/>
      <c r="R1187" s="3"/>
    </row>
    <row r="1188" spans="1:18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135"/>
      <c r="M1188" s="3"/>
      <c r="N1188" s="3"/>
      <c r="O1188" s="3"/>
      <c r="P1188" s="3"/>
      <c r="Q1188" s="3"/>
      <c r="R1188" s="3"/>
    </row>
    <row r="1189" spans="1:18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135"/>
      <c r="M1189" s="3"/>
      <c r="N1189" s="3"/>
      <c r="O1189" s="3"/>
      <c r="P1189" s="3"/>
      <c r="Q1189" s="3"/>
      <c r="R1189" s="3"/>
    </row>
    <row r="1190" spans="1:18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135"/>
      <c r="M1190" s="3"/>
      <c r="N1190" s="3"/>
      <c r="O1190" s="3"/>
      <c r="P1190" s="3"/>
      <c r="Q1190" s="3"/>
      <c r="R1190" s="3"/>
    </row>
    <row r="1191" spans="1:18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135"/>
      <c r="M1191" s="3"/>
      <c r="N1191" s="3"/>
      <c r="O1191" s="3"/>
      <c r="P1191" s="3"/>
      <c r="Q1191" s="3"/>
      <c r="R1191" s="3"/>
    </row>
    <row r="1192" spans="1:18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135"/>
      <c r="M1192" s="3"/>
      <c r="N1192" s="3"/>
      <c r="O1192" s="3"/>
      <c r="P1192" s="3"/>
      <c r="Q1192" s="3"/>
      <c r="R1192" s="3"/>
    </row>
    <row r="1193" spans="1:18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135"/>
      <c r="M1193" s="3"/>
      <c r="N1193" s="3"/>
      <c r="O1193" s="3"/>
      <c r="P1193" s="3"/>
      <c r="Q1193" s="3"/>
      <c r="R1193" s="3"/>
    </row>
    <row r="1194" spans="1:18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135"/>
      <c r="M1194" s="3"/>
      <c r="N1194" s="3"/>
      <c r="O1194" s="3"/>
      <c r="P1194" s="3"/>
      <c r="Q1194" s="3"/>
      <c r="R1194" s="3"/>
    </row>
    <row r="1195" spans="1:18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135"/>
      <c r="M1195" s="3"/>
      <c r="N1195" s="3"/>
      <c r="O1195" s="3"/>
      <c r="P1195" s="3"/>
      <c r="Q1195" s="3"/>
      <c r="R1195" s="3"/>
    </row>
    <row r="1196" spans="1:18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135"/>
      <c r="M1196" s="3"/>
      <c r="N1196" s="3"/>
      <c r="O1196" s="3"/>
      <c r="P1196" s="3"/>
      <c r="Q1196" s="3"/>
      <c r="R1196" s="3"/>
    </row>
    <row r="1197" spans="1:18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135"/>
      <c r="M1197" s="3"/>
      <c r="N1197" s="3"/>
      <c r="O1197" s="3"/>
      <c r="P1197" s="3"/>
      <c r="Q1197" s="3"/>
      <c r="R1197" s="3"/>
    </row>
    <row r="1198" spans="1:18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135"/>
      <c r="M1198" s="3"/>
      <c r="N1198" s="3"/>
      <c r="O1198" s="3"/>
      <c r="P1198" s="3"/>
      <c r="Q1198" s="3"/>
      <c r="R1198" s="3"/>
    </row>
    <row r="1199" spans="1:18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135"/>
      <c r="M1199" s="3"/>
      <c r="N1199" s="3"/>
      <c r="O1199" s="3"/>
      <c r="P1199" s="3"/>
      <c r="Q1199" s="3"/>
      <c r="R1199" s="3"/>
    </row>
    <row r="1200" spans="1:18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135"/>
      <c r="M1200" s="3"/>
      <c r="N1200" s="3"/>
      <c r="O1200" s="3"/>
      <c r="P1200" s="3"/>
      <c r="Q1200" s="3"/>
      <c r="R1200" s="3"/>
    </row>
    <row r="1201" spans="1:18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135"/>
      <c r="M1201" s="3"/>
      <c r="N1201" s="3"/>
      <c r="O1201" s="3"/>
      <c r="P1201" s="3"/>
      <c r="Q1201" s="3"/>
      <c r="R1201" s="3"/>
    </row>
    <row r="1202" spans="1:18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135"/>
      <c r="M1202" s="3"/>
      <c r="N1202" s="3"/>
      <c r="O1202" s="3"/>
      <c r="P1202" s="3"/>
      <c r="Q1202" s="3"/>
      <c r="R1202" s="3"/>
    </row>
    <row r="1203" spans="1:18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135"/>
      <c r="M1203" s="3"/>
      <c r="N1203" s="3"/>
      <c r="O1203" s="3"/>
      <c r="P1203" s="3"/>
      <c r="Q1203" s="3"/>
      <c r="R1203" s="3"/>
    </row>
    <row r="1204" spans="1:18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135"/>
      <c r="M1204" s="3"/>
      <c r="N1204" s="3"/>
      <c r="O1204" s="3"/>
      <c r="P1204" s="3"/>
      <c r="Q1204" s="3"/>
      <c r="R1204" s="3"/>
    </row>
    <row r="1205" spans="1:18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135"/>
      <c r="M1205" s="3"/>
      <c r="N1205" s="3"/>
      <c r="O1205" s="3"/>
      <c r="P1205" s="3"/>
      <c r="Q1205" s="3"/>
      <c r="R1205" s="3"/>
    </row>
    <row r="1206" spans="1:18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135"/>
      <c r="M1206" s="3"/>
      <c r="N1206" s="3"/>
      <c r="O1206" s="3"/>
      <c r="P1206" s="3"/>
      <c r="Q1206" s="3"/>
      <c r="R1206" s="3"/>
    </row>
    <row r="1207" spans="1:18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135"/>
      <c r="M1207" s="3"/>
      <c r="N1207" s="3"/>
      <c r="O1207" s="3"/>
      <c r="P1207" s="3"/>
      <c r="Q1207" s="3"/>
      <c r="R1207" s="3"/>
    </row>
    <row r="1208" spans="1:18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135"/>
      <c r="M1208" s="3"/>
      <c r="N1208" s="3"/>
      <c r="O1208" s="3"/>
      <c r="P1208" s="3"/>
      <c r="Q1208" s="3"/>
      <c r="R1208" s="3"/>
    </row>
    <row r="1209" spans="1:18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135"/>
      <c r="M1209" s="3"/>
      <c r="N1209" s="3"/>
      <c r="O1209" s="3"/>
      <c r="P1209" s="3"/>
      <c r="Q1209" s="3"/>
      <c r="R1209" s="3"/>
    </row>
    <row r="1210" spans="1:18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135"/>
      <c r="M1210" s="3"/>
      <c r="N1210" s="3"/>
      <c r="O1210" s="3"/>
      <c r="P1210" s="3"/>
      <c r="Q1210" s="3"/>
      <c r="R1210" s="3"/>
    </row>
    <row r="1211" spans="1:18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135"/>
      <c r="M1211" s="3"/>
      <c r="N1211" s="3"/>
      <c r="O1211" s="3"/>
      <c r="P1211" s="3"/>
      <c r="Q1211" s="3"/>
      <c r="R1211" s="3"/>
    </row>
    <row r="1212" spans="1:18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135"/>
      <c r="M1212" s="3"/>
      <c r="N1212" s="3"/>
      <c r="O1212" s="3"/>
      <c r="P1212" s="3"/>
      <c r="Q1212" s="3"/>
      <c r="R1212" s="3"/>
    </row>
    <row r="1213" spans="1:18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135"/>
      <c r="M1213" s="3"/>
      <c r="N1213" s="3"/>
      <c r="O1213" s="3"/>
      <c r="P1213" s="3"/>
      <c r="Q1213" s="3"/>
      <c r="R1213" s="3"/>
    </row>
    <row r="1214" spans="1:18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135"/>
      <c r="M1214" s="3"/>
      <c r="N1214" s="3"/>
      <c r="O1214" s="3"/>
      <c r="P1214" s="3"/>
      <c r="Q1214" s="3"/>
      <c r="R1214" s="3"/>
    </row>
    <row r="1215" spans="1:18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135"/>
      <c r="M1215" s="3"/>
      <c r="N1215" s="3"/>
      <c r="O1215" s="3"/>
      <c r="P1215" s="3"/>
      <c r="Q1215" s="3"/>
      <c r="R1215" s="3"/>
    </row>
    <row r="1216" spans="1:18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135"/>
      <c r="M1216" s="3"/>
      <c r="N1216" s="3"/>
      <c r="O1216" s="3"/>
      <c r="P1216" s="3"/>
      <c r="Q1216" s="3"/>
      <c r="R1216" s="3"/>
    </row>
    <row r="1217" spans="1:18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135"/>
      <c r="M1217" s="3"/>
      <c r="N1217" s="3"/>
      <c r="O1217" s="3"/>
      <c r="P1217" s="3"/>
      <c r="Q1217" s="3"/>
      <c r="R1217" s="3"/>
    </row>
    <row r="1218" spans="1:18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135"/>
      <c r="M1218" s="3"/>
      <c r="N1218" s="3"/>
      <c r="O1218" s="3"/>
      <c r="P1218" s="3"/>
      <c r="Q1218" s="3"/>
      <c r="R1218" s="3"/>
    </row>
    <row r="1219" spans="1:18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135"/>
      <c r="M1219" s="3"/>
      <c r="N1219" s="3"/>
      <c r="O1219" s="3"/>
      <c r="P1219" s="3"/>
      <c r="Q1219" s="3"/>
      <c r="R1219" s="3"/>
    </row>
    <row r="1220" spans="1:18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135"/>
      <c r="M1220" s="3"/>
      <c r="N1220" s="3"/>
      <c r="O1220" s="3"/>
      <c r="P1220" s="3"/>
      <c r="Q1220" s="3"/>
      <c r="R1220" s="3"/>
    </row>
    <row r="1221" spans="1:18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135"/>
      <c r="M1221" s="3"/>
      <c r="N1221" s="3"/>
      <c r="O1221" s="3"/>
      <c r="P1221" s="3"/>
      <c r="Q1221" s="3"/>
      <c r="R1221" s="3"/>
    </row>
    <row r="1222" spans="1:18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135"/>
      <c r="M1222" s="3"/>
      <c r="N1222" s="3"/>
      <c r="O1222" s="3"/>
      <c r="P1222" s="3"/>
      <c r="Q1222" s="3"/>
      <c r="R1222" s="3"/>
    </row>
    <row r="1223" spans="1:18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135"/>
      <c r="M1223" s="3"/>
      <c r="N1223" s="3"/>
      <c r="O1223" s="3"/>
      <c r="P1223" s="3"/>
      <c r="Q1223" s="3"/>
      <c r="R1223" s="3"/>
    </row>
    <row r="1224" spans="1:18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135"/>
      <c r="M1224" s="3"/>
      <c r="N1224" s="3"/>
      <c r="O1224" s="3"/>
      <c r="P1224" s="3"/>
      <c r="Q1224" s="3"/>
      <c r="R1224" s="3"/>
    </row>
    <row r="1225" spans="1:18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135"/>
      <c r="M1225" s="3"/>
      <c r="N1225" s="3"/>
      <c r="O1225" s="3"/>
      <c r="P1225" s="3"/>
      <c r="Q1225" s="3"/>
      <c r="R1225" s="3"/>
    </row>
    <row r="1226" spans="1:18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135"/>
      <c r="M1226" s="3"/>
      <c r="N1226" s="3"/>
      <c r="O1226" s="3"/>
      <c r="P1226" s="3"/>
      <c r="Q1226" s="3"/>
      <c r="R1226" s="3"/>
    </row>
    <row r="1227" spans="1:18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135"/>
      <c r="M1227" s="3"/>
      <c r="N1227" s="3"/>
      <c r="O1227" s="3"/>
      <c r="P1227" s="3"/>
      <c r="Q1227" s="3"/>
      <c r="R1227" s="3"/>
    </row>
    <row r="1228" spans="1:18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135"/>
      <c r="M1228" s="3"/>
      <c r="N1228" s="3"/>
      <c r="O1228" s="3"/>
      <c r="P1228" s="3"/>
      <c r="Q1228" s="3"/>
      <c r="R1228" s="3"/>
    </row>
    <row r="1229" spans="1:18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135"/>
      <c r="M1229" s="3"/>
      <c r="N1229" s="3"/>
      <c r="O1229" s="3"/>
      <c r="P1229" s="3"/>
      <c r="Q1229" s="3"/>
      <c r="R1229" s="3"/>
    </row>
    <row r="1230" spans="1:18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135"/>
      <c r="M1230" s="3"/>
      <c r="N1230" s="3"/>
      <c r="O1230" s="3"/>
      <c r="P1230" s="3"/>
      <c r="Q1230" s="3"/>
      <c r="R1230" s="3"/>
    </row>
    <row r="1231" spans="1:18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135"/>
      <c r="M1231" s="3"/>
      <c r="N1231" s="3"/>
      <c r="O1231" s="3"/>
      <c r="P1231" s="3"/>
      <c r="Q1231" s="3"/>
      <c r="R1231" s="3"/>
    </row>
    <row r="1232" spans="1:18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135"/>
      <c r="M1232" s="3"/>
      <c r="N1232" s="3"/>
      <c r="O1232" s="3"/>
      <c r="P1232" s="3"/>
      <c r="Q1232" s="3"/>
      <c r="R1232" s="3"/>
    </row>
    <row r="1233" spans="1:18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135"/>
      <c r="M1233" s="3"/>
      <c r="N1233" s="3"/>
      <c r="O1233" s="3"/>
      <c r="P1233" s="3"/>
      <c r="Q1233" s="3"/>
      <c r="R1233" s="3"/>
    </row>
    <row r="1234" spans="1:18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135"/>
      <c r="M1234" s="3"/>
      <c r="N1234" s="3"/>
      <c r="O1234" s="3"/>
      <c r="P1234" s="3"/>
      <c r="Q1234" s="3"/>
      <c r="R1234" s="3"/>
    </row>
    <row r="1235" spans="1:18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135"/>
      <c r="M1235" s="3"/>
      <c r="N1235" s="3"/>
      <c r="O1235" s="3"/>
      <c r="P1235" s="3"/>
      <c r="Q1235" s="3"/>
      <c r="R1235" s="3"/>
    </row>
    <row r="1236" spans="1:18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135"/>
      <c r="M1236" s="3"/>
      <c r="N1236" s="3"/>
      <c r="O1236" s="3"/>
      <c r="P1236" s="3"/>
      <c r="Q1236" s="3"/>
      <c r="R1236" s="3"/>
    </row>
    <row r="1237" spans="1:18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135"/>
      <c r="M1237" s="3"/>
      <c r="N1237" s="3"/>
      <c r="O1237" s="3"/>
      <c r="P1237" s="3"/>
      <c r="Q1237" s="3"/>
      <c r="R1237" s="3"/>
    </row>
    <row r="1238" spans="1:18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135"/>
      <c r="M1238" s="3"/>
      <c r="N1238" s="3"/>
      <c r="O1238" s="3"/>
      <c r="P1238" s="3"/>
      <c r="Q1238" s="3"/>
      <c r="R1238" s="3"/>
    </row>
    <row r="1239" spans="1:18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135"/>
      <c r="M1239" s="3"/>
      <c r="N1239" s="3"/>
      <c r="O1239" s="3"/>
      <c r="P1239" s="3"/>
      <c r="Q1239" s="3"/>
      <c r="R1239" s="3"/>
    </row>
    <row r="1240" spans="1:18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135"/>
      <c r="M1240" s="3"/>
      <c r="N1240" s="3"/>
      <c r="O1240" s="3"/>
      <c r="P1240" s="3"/>
      <c r="Q1240" s="3"/>
      <c r="R1240" s="3"/>
    </row>
    <row r="1241" spans="1:18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135"/>
      <c r="M1241" s="3"/>
      <c r="N1241" s="3"/>
      <c r="O1241" s="3"/>
      <c r="P1241" s="3"/>
      <c r="Q1241" s="3"/>
      <c r="R1241" s="3"/>
    </row>
    <row r="1242" spans="1:18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135"/>
      <c r="M1242" s="3"/>
      <c r="N1242" s="3"/>
      <c r="O1242" s="3"/>
      <c r="P1242" s="3"/>
      <c r="Q1242" s="3"/>
      <c r="R1242" s="3"/>
    </row>
    <row r="1243" spans="1:18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135"/>
      <c r="M1243" s="3"/>
      <c r="N1243" s="3"/>
      <c r="O1243" s="3"/>
      <c r="P1243" s="3"/>
      <c r="Q1243" s="3"/>
      <c r="R1243" s="3"/>
    </row>
    <row r="1244" spans="1:18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135"/>
      <c r="M1244" s="3"/>
      <c r="N1244" s="3"/>
      <c r="O1244" s="3"/>
      <c r="P1244" s="3"/>
      <c r="Q1244" s="3"/>
      <c r="R1244" s="3"/>
    </row>
    <row r="1245" spans="1:18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135"/>
      <c r="M1245" s="3"/>
      <c r="N1245" s="3"/>
      <c r="O1245" s="3"/>
      <c r="P1245" s="3"/>
      <c r="Q1245" s="3"/>
      <c r="R1245" s="3"/>
    </row>
    <row r="1246" spans="1:18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135"/>
      <c r="M1246" s="3"/>
      <c r="N1246" s="3"/>
      <c r="O1246" s="3"/>
      <c r="P1246" s="3"/>
      <c r="Q1246" s="3"/>
      <c r="R1246" s="3"/>
    </row>
    <row r="1247" spans="1:18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135"/>
      <c r="M1247" s="3"/>
      <c r="N1247" s="3"/>
      <c r="O1247" s="3"/>
      <c r="P1247" s="3"/>
      <c r="Q1247" s="3"/>
      <c r="R1247" s="3"/>
    </row>
    <row r="1248" spans="1:18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135"/>
      <c r="M1248" s="3"/>
      <c r="N1248" s="3"/>
      <c r="O1248" s="3"/>
      <c r="P1248" s="3"/>
      <c r="Q1248" s="3"/>
      <c r="R1248" s="3"/>
    </row>
    <row r="1249" spans="1:18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135"/>
      <c r="M1249" s="3"/>
      <c r="N1249" s="3"/>
      <c r="O1249" s="3"/>
      <c r="P1249" s="3"/>
      <c r="Q1249" s="3"/>
      <c r="R1249" s="3"/>
    </row>
    <row r="1250" spans="1:18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135"/>
      <c r="M1250" s="3"/>
      <c r="N1250" s="3"/>
      <c r="O1250" s="3"/>
      <c r="P1250" s="3"/>
      <c r="Q1250" s="3"/>
      <c r="R1250" s="3"/>
    </row>
    <row r="1251" spans="1:18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135"/>
      <c r="M1251" s="3"/>
      <c r="N1251" s="3"/>
      <c r="O1251" s="3"/>
      <c r="P1251" s="3"/>
      <c r="Q1251" s="3"/>
      <c r="R1251" s="3"/>
    </row>
    <row r="1252" spans="1:18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135"/>
      <c r="M1252" s="3"/>
      <c r="N1252" s="3"/>
      <c r="O1252" s="3"/>
      <c r="P1252" s="3"/>
      <c r="Q1252" s="3"/>
      <c r="R1252" s="3"/>
    </row>
    <row r="1253" spans="1:18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135"/>
      <c r="M1253" s="3"/>
      <c r="N1253" s="3"/>
      <c r="O1253" s="3"/>
      <c r="P1253" s="3"/>
      <c r="Q1253" s="3"/>
      <c r="R1253" s="3"/>
    </row>
    <row r="1254" spans="1:18" x14ac:dyDescent="0.25">
      <c r="A1254" s="86"/>
      <c r="B1254" s="86"/>
      <c r="C1254" s="86"/>
      <c r="D1254" s="86"/>
      <c r="E1254" s="86"/>
      <c r="F1254" s="86"/>
      <c r="G1254" s="86"/>
      <c r="H1254" s="86"/>
      <c r="I1254" s="86"/>
      <c r="J1254" s="86"/>
      <c r="K1254" s="86"/>
      <c r="L1254" s="86"/>
      <c r="M1254" s="86"/>
      <c r="N1254" s="86"/>
      <c r="O1254" s="86"/>
      <c r="P1254" s="86"/>
      <c r="Q1254" s="86"/>
      <c r="R1254" s="87"/>
    </row>
    <row r="1255" spans="1:18" x14ac:dyDescent="0.25">
      <c r="A1255" s="86"/>
      <c r="B1255" s="86"/>
      <c r="C1255" s="86"/>
      <c r="D1255" s="86"/>
      <c r="E1255" s="86"/>
      <c r="F1255" s="86"/>
      <c r="G1255" s="86"/>
      <c r="H1255" s="86"/>
      <c r="I1255" s="86"/>
      <c r="J1255" s="86"/>
      <c r="K1255" s="86"/>
      <c r="L1255" s="86"/>
      <c r="M1255" s="86"/>
      <c r="N1255" s="86"/>
      <c r="O1255" s="86"/>
      <c r="P1255" s="86"/>
      <c r="Q1255" s="86"/>
      <c r="R1255" s="87"/>
    </row>
    <row r="1256" spans="1:18" x14ac:dyDescent="0.25">
      <c r="A1256" s="86"/>
      <c r="B1256" s="86"/>
      <c r="C1256" s="86"/>
      <c r="D1256" s="86"/>
      <c r="E1256" s="86"/>
      <c r="F1256" s="86"/>
      <c r="G1256" s="86"/>
      <c r="H1256" s="86"/>
      <c r="I1256" s="86"/>
      <c r="J1256" s="86"/>
      <c r="K1256" s="86"/>
      <c r="L1256" s="86"/>
      <c r="M1256" s="86"/>
      <c r="N1256" s="86"/>
      <c r="O1256" s="86"/>
      <c r="P1256" s="86"/>
      <c r="Q1256" s="86"/>
      <c r="R1256" s="87"/>
    </row>
    <row r="1257" spans="1:18" x14ac:dyDescent="0.25">
      <c r="A1257" s="86"/>
      <c r="B1257" s="86"/>
      <c r="C1257" s="86"/>
      <c r="D1257" s="86"/>
      <c r="E1257" s="86"/>
      <c r="F1257" s="86"/>
      <c r="G1257" s="86"/>
      <c r="H1257" s="86"/>
      <c r="I1257" s="86"/>
      <c r="J1257" s="86"/>
      <c r="K1257" s="86"/>
      <c r="L1257" s="86"/>
      <c r="M1257" s="86"/>
      <c r="N1257" s="86"/>
      <c r="O1257" s="86"/>
      <c r="P1257" s="86"/>
      <c r="Q1257" s="86"/>
      <c r="R1257" s="87"/>
    </row>
    <row r="1258" spans="1:18" x14ac:dyDescent="0.25">
      <c r="A1258" s="86"/>
      <c r="B1258" s="86"/>
      <c r="C1258" s="86"/>
      <c r="D1258" s="86"/>
      <c r="E1258" s="86"/>
      <c r="F1258" s="86"/>
      <c r="G1258" s="86"/>
      <c r="H1258" s="86"/>
      <c r="I1258" s="86"/>
      <c r="J1258" s="86"/>
      <c r="K1258" s="86"/>
      <c r="L1258" s="86"/>
      <c r="M1258" s="86"/>
      <c r="N1258" s="86"/>
      <c r="O1258" s="86"/>
      <c r="P1258" s="86"/>
      <c r="Q1258" s="86"/>
      <c r="R1258" s="87"/>
    </row>
    <row r="1259" spans="1:18" x14ac:dyDescent="0.25">
      <c r="A1259" s="86"/>
      <c r="B1259" s="86"/>
      <c r="C1259" s="86"/>
      <c r="D1259" s="86"/>
      <c r="E1259" s="86"/>
      <c r="F1259" s="86"/>
      <c r="G1259" s="86"/>
      <c r="H1259" s="86"/>
      <c r="I1259" s="86"/>
      <c r="J1259" s="86"/>
      <c r="K1259" s="86"/>
      <c r="L1259" s="86"/>
      <c r="M1259" s="86"/>
      <c r="N1259" s="86"/>
      <c r="O1259" s="86"/>
      <c r="P1259" s="86"/>
      <c r="Q1259" s="86"/>
      <c r="R1259" s="87"/>
    </row>
    <row r="1260" spans="1:18" x14ac:dyDescent="0.25">
      <c r="A1260" s="86"/>
      <c r="B1260" s="86"/>
      <c r="C1260" s="86"/>
      <c r="D1260" s="86"/>
      <c r="E1260" s="86"/>
      <c r="F1260" s="86"/>
      <c r="G1260" s="86"/>
      <c r="H1260" s="86"/>
      <c r="I1260" s="86"/>
      <c r="J1260" s="86"/>
      <c r="K1260" s="86"/>
      <c r="L1260" s="86"/>
      <c r="M1260" s="86"/>
      <c r="N1260" s="86"/>
      <c r="O1260" s="86"/>
      <c r="P1260" s="86"/>
      <c r="Q1260" s="86"/>
      <c r="R1260" s="87"/>
    </row>
    <row r="1261" spans="1:18" x14ac:dyDescent="0.25">
      <c r="A1261" s="86"/>
      <c r="B1261" s="86"/>
      <c r="C1261" s="86"/>
      <c r="D1261" s="86"/>
      <c r="E1261" s="86"/>
      <c r="F1261" s="86"/>
      <c r="G1261" s="86"/>
      <c r="H1261" s="86"/>
      <c r="I1261" s="86"/>
      <c r="J1261" s="86"/>
      <c r="K1261" s="86"/>
      <c r="L1261" s="86"/>
      <c r="M1261" s="86"/>
      <c r="N1261" s="86"/>
      <c r="O1261" s="86"/>
      <c r="P1261" s="86"/>
      <c r="Q1261" s="86"/>
      <c r="R1261" s="87"/>
    </row>
    <row r="1262" spans="1:18" x14ac:dyDescent="0.25">
      <c r="A1262" s="86"/>
      <c r="B1262" s="86"/>
      <c r="C1262" s="86"/>
      <c r="D1262" s="86"/>
      <c r="E1262" s="86"/>
      <c r="F1262" s="86"/>
      <c r="G1262" s="86"/>
      <c r="H1262" s="86"/>
      <c r="I1262" s="86"/>
      <c r="J1262" s="86"/>
      <c r="K1262" s="86"/>
      <c r="L1262" s="86"/>
      <c r="M1262" s="86"/>
      <c r="N1262" s="86"/>
      <c r="O1262" s="86"/>
      <c r="P1262" s="86"/>
      <c r="Q1262" s="86"/>
      <c r="R1262" s="87"/>
    </row>
    <row r="1263" spans="1:18" x14ac:dyDescent="0.25">
      <c r="A1263" s="86"/>
      <c r="B1263" s="86"/>
      <c r="C1263" s="86"/>
      <c r="D1263" s="86"/>
      <c r="E1263" s="86"/>
      <c r="F1263" s="86"/>
      <c r="G1263" s="86"/>
      <c r="H1263" s="86"/>
      <c r="I1263" s="86"/>
      <c r="J1263" s="86"/>
      <c r="K1263" s="86"/>
      <c r="L1263" s="86"/>
      <c r="M1263" s="86"/>
      <c r="N1263" s="86"/>
      <c r="O1263" s="86"/>
      <c r="P1263" s="86"/>
      <c r="Q1263" s="86"/>
      <c r="R1263" s="87"/>
    </row>
    <row r="1264" spans="1:18" x14ac:dyDescent="0.25">
      <c r="A1264" s="86"/>
      <c r="B1264" s="86"/>
      <c r="C1264" s="86"/>
      <c r="D1264" s="86"/>
      <c r="E1264" s="86"/>
      <c r="F1264" s="86"/>
      <c r="G1264" s="86"/>
      <c r="H1264" s="86"/>
      <c r="I1264" s="86"/>
      <c r="J1264" s="86"/>
      <c r="K1264" s="86"/>
      <c r="L1264" s="86"/>
      <c r="M1264" s="86"/>
      <c r="N1264" s="86"/>
      <c r="O1264" s="86"/>
      <c r="P1264" s="86"/>
      <c r="Q1264" s="86"/>
      <c r="R1264" s="87"/>
    </row>
    <row r="1265" spans="1:18" x14ac:dyDescent="0.25">
      <c r="A1265" s="86"/>
      <c r="B1265" s="86"/>
      <c r="C1265" s="86"/>
      <c r="D1265" s="86"/>
      <c r="E1265" s="86"/>
      <c r="F1265" s="86"/>
      <c r="G1265" s="86"/>
      <c r="H1265" s="86"/>
      <c r="I1265" s="86"/>
      <c r="J1265" s="86"/>
      <c r="K1265" s="86"/>
      <c r="L1265" s="86"/>
      <c r="M1265" s="86"/>
      <c r="N1265" s="86"/>
      <c r="O1265" s="86"/>
      <c r="P1265" s="86"/>
      <c r="Q1265" s="86"/>
      <c r="R1265" s="87"/>
    </row>
    <row r="1266" spans="1:18" x14ac:dyDescent="0.25">
      <c r="A1266" s="86"/>
      <c r="B1266" s="86"/>
      <c r="C1266" s="86"/>
      <c r="D1266" s="86"/>
      <c r="E1266" s="86"/>
      <c r="F1266" s="86"/>
      <c r="G1266" s="86"/>
      <c r="H1266" s="86"/>
      <c r="I1266" s="86"/>
      <c r="J1266" s="86"/>
      <c r="K1266" s="86"/>
      <c r="L1266" s="86"/>
      <c r="M1266" s="86"/>
      <c r="N1266" s="86"/>
      <c r="O1266" s="86"/>
      <c r="P1266" s="86"/>
      <c r="Q1266" s="86"/>
      <c r="R1266" s="87"/>
    </row>
    <row r="1267" spans="1:18" x14ac:dyDescent="0.25">
      <c r="A1267" s="86"/>
      <c r="B1267" s="86"/>
      <c r="C1267" s="86"/>
      <c r="D1267" s="86"/>
      <c r="E1267" s="86"/>
      <c r="F1267" s="86"/>
      <c r="G1267" s="86"/>
      <c r="H1267" s="86"/>
      <c r="I1267" s="86"/>
      <c r="J1267" s="86"/>
      <c r="K1267" s="86"/>
      <c r="L1267" s="86"/>
      <c r="M1267" s="86"/>
      <c r="N1267" s="86"/>
      <c r="O1267" s="86"/>
      <c r="P1267" s="86"/>
      <c r="Q1267" s="86"/>
      <c r="R1267" s="87"/>
    </row>
    <row r="1268" spans="1:18" x14ac:dyDescent="0.25">
      <c r="A1268" s="86"/>
      <c r="B1268" s="86"/>
      <c r="C1268" s="86"/>
      <c r="D1268" s="86"/>
      <c r="E1268" s="86"/>
      <c r="F1268" s="86"/>
      <c r="G1268" s="86"/>
      <c r="H1268" s="86"/>
      <c r="I1268" s="86"/>
      <c r="J1268" s="86"/>
      <c r="K1268" s="86"/>
      <c r="L1268" s="86"/>
      <c r="M1268" s="86"/>
      <c r="N1268" s="86"/>
      <c r="O1268" s="86"/>
      <c r="P1268" s="86"/>
      <c r="Q1268" s="86"/>
      <c r="R1268" s="87"/>
    </row>
    <row r="1269" spans="1:18" x14ac:dyDescent="0.25">
      <c r="A1269" s="86"/>
      <c r="B1269" s="86"/>
      <c r="C1269" s="86"/>
      <c r="D1269" s="86"/>
      <c r="E1269" s="86"/>
      <c r="F1269" s="86"/>
      <c r="G1269" s="86"/>
      <c r="H1269" s="86"/>
      <c r="I1269" s="86"/>
      <c r="J1269" s="86"/>
      <c r="K1269" s="86"/>
      <c r="L1269" s="86"/>
      <c r="M1269" s="86"/>
      <c r="N1269" s="86"/>
      <c r="O1269" s="86"/>
      <c r="P1269" s="86"/>
      <c r="Q1269" s="86"/>
      <c r="R1269" s="87"/>
    </row>
    <row r="1270" spans="1:18" x14ac:dyDescent="0.25">
      <c r="A1270" s="86"/>
      <c r="B1270" s="86"/>
      <c r="C1270" s="86"/>
      <c r="D1270" s="86"/>
      <c r="E1270" s="86"/>
      <c r="F1270" s="86"/>
      <c r="G1270" s="86"/>
      <c r="H1270" s="86"/>
      <c r="I1270" s="86"/>
      <c r="J1270" s="86"/>
      <c r="K1270" s="86"/>
      <c r="L1270" s="86"/>
      <c r="M1270" s="86"/>
      <c r="N1270" s="86"/>
      <c r="O1270" s="86"/>
      <c r="P1270" s="86"/>
      <c r="Q1270" s="86"/>
      <c r="R1270" s="87"/>
    </row>
    <row r="1271" spans="1:18" x14ac:dyDescent="0.25">
      <c r="A1271" s="86"/>
      <c r="B1271" s="86"/>
      <c r="C1271" s="86"/>
      <c r="D1271" s="86"/>
      <c r="E1271" s="86"/>
      <c r="F1271" s="86"/>
      <c r="G1271" s="86"/>
      <c r="H1271" s="86"/>
      <c r="I1271" s="86"/>
      <c r="J1271" s="86"/>
      <c r="K1271" s="86"/>
      <c r="L1271" s="86"/>
      <c r="M1271" s="86"/>
      <c r="N1271" s="86"/>
      <c r="O1271" s="86"/>
      <c r="P1271" s="86"/>
      <c r="Q1271" s="86"/>
      <c r="R1271" s="87"/>
    </row>
    <row r="1272" spans="1:18" x14ac:dyDescent="0.25">
      <c r="A1272" s="86"/>
      <c r="B1272" s="86"/>
      <c r="C1272" s="86"/>
      <c r="D1272" s="86"/>
      <c r="E1272" s="86"/>
      <c r="F1272" s="86"/>
      <c r="G1272" s="86"/>
      <c r="H1272" s="86"/>
      <c r="I1272" s="86"/>
      <c r="J1272" s="86"/>
      <c r="K1272" s="86"/>
      <c r="L1272" s="86"/>
      <c r="M1272" s="86"/>
      <c r="N1272" s="86"/>
      <c r="O1272" s="86"/>
      <c r="P1272" s="86"/>
      <c r="Q1272" s="86"/>
      <c r="R1272" s="87"/>
    </row>
    <row r="1273" spans="1:18" x14ac:dyDescent="0.25">
      <c r="A1273" s="86"/>
      <c r="B1273" s="86"/>
      <c r="C1273" s="86"/>
      <c r="D1273" s="86"/>
      <c r="E1273" s="86"/>
      <c r="F1273" s="86"/>
      <c r="G1273" s="86"/>
      <c r="H1273" s="86"/>
      <c r="I1273" s="86"/>
      <c r="J1273" s="86"/>
      <c r="K1273" s="86"/>
      <c r="L1273" s="86"/>
      <c r="M1273" s="86"/>
      <c r="N1273" s="86"/>
      <c r="O1273" s="86"/>
      <c r="P1273" s="86"/>
      <c r="Q1273" s="86"/>
      <c r="R1273" s="87"/>
    </row>
    <row r="1274" spans="1:18" x14ac:dyDescent="0.25">
      <c r="A1274" s="86"/>
      <c r="B1274" s="86"/>
      <c r="C1274" s="86"/>
      <c r="D1274" s="86"/>
      <c r="E1274" s="86"/>
      <c r="F1274" s="86"/>
      <c r="G1274" s="86"/>
      <c r="H1274" s="86"/>
      <c r="I1274" s="86"/>
      <c r="J1274" s="86"/>
      <c r="K1274" s="86"/>
      <c r="L1274" s="86"/>
      <c r="M1274" s="86"/>
      <c r="N1274" s="86"/>
      <c r="O1274" s="86"/>
      <c r="P1274" s="86"/>
      <c r="Q1274" s="86"/>
      <c r="R1274" s="87"/>
    </row>
    <row r="1275" spans="1:18" x14ac:dyDescent="0.25">
      <c r="A1275" s="86"/>
      <c r="B1275" s="86"/>
      <c r="C1275" s="86"/>
      <c r="D1275" s="86"/>
      <c r="E1275" s="86"/>
      <c r="F1275" s="86"/>
      <c r="G1275" s="86"/>
      <c r="H1275" s="86"/>
      <c r="I1275" s="86"/>
      <c r="J1275" s="86"/>
      <c r="K1275" s="86"/>
      <c r="L1275" s="86"/>
      <c r="M1275" s="86"/>
      <c r="N1275" s="86"/>
      <c r="O1275" s="86"/>
      <c r="P1275" s="86"/>
      <c r="Q1275" s="86"/>
      <c r="R1275" s="87"/>
    </row>
    <row r="1276" spans="1:18" x14ac:dyDescent="0.25">
      <c r="A1276" s="86"/>
      <c r="B1276" s="86"/>
      <c r="C1276" s="86"/>
      <c r="D1276" s="86"/>
      <c r="E1276" s="86"/>
      <c r="F1276" s="86"/>
      <c r="G1276" s="86"/>
      <c r="H1276" s="86"/>
      <c r="I1276" s="86"/>
      <c r="J1276" s="86"/>
      <c r="K1276" s="86"/>
      <c r="L1276" s="86"/>
      <c r="M1276" s="86"/>
      <c r="N1276" s="86"/>
      <c r="O1276" s="86"/>
      <c r="P1276" s="86"/>
      <c r="Q1276" s="86"/>
      <c r="R1276" s="87"/>
    </row>
    <row r="1277" spans="1:18" x14ac:dyDescent="0.25">
      <c r="A1277" s="86"/>
      <c r="B1277" s="86"/>
      <c r="C1277" s="86"/>
      <c r="D1277" s="86"/>
      <c r="E1277" s="86"/>
      <c r="F1277" s="86"/>
      <c r="G1277" s="86"/>
      <c r="H1277" s="86"/>
      <c r="I1277" s="86"/>
      <c r="J1277" s="86"/>
      <c r="K1277" s="86"/>
      <c r="L1277" s="86"/>
      <c r="M1277" s="86"/>
      <c r="N1277" s="86"/>
      <c r="O1277" s="86"/>
      <c r="P1277" s="86"/>
      <c r="Q1277" s="86"/>
      <c r="R1277" s="87"/>
    </row>
    <row r="1278" spans="1:18" x14ac:dyDescent="0.25">
      <c r="A1278" s="86"/>
      <c r="B1278" s="86"/>
      <c r="C1278" s="86"/>
      <c r="D1278" s="86"/>
      <c r="E1278" s="86"/>
      <c r="F1278" s="86"/>
      <c r="G1278" s="86"/>
      <c r="H1278" s="86"/>
      <c r="I1278" s="86"/>
      <c r="J1278" s="86"/>
      <c r="K1278" s="86"/>
      <c r="L1278" s="86"/>
      <c r="M1278" s="86"/>
      <c r="N1278" s="86"/>
      <c r="O1278" s="86"/>
      <c r="P1278" s="86"/>
      <c r="Q1278" s="86"/>
      <c r="R1278" s="87"/>
    </row>
    <row r="1279" spans="1:18" x14ac:dyDescent="0.25">
      <c r="A1279" s="86"/>
      <c r="B1279" s="86"/>
      <c r="C1279" s="86"/>
      <c r="D1279" s="86"/>
      <c r="E1279" s="86"/>
      <c r="F1279" s="86"/>
      <c r="G1279" s="86"/>
      <c r="H1279" s="86"/>
      <c r="I1279" s="86"/>
      <c r="J1279" s="86"/>
      <c r="K1279" s="86"/>
      <c r="L1279" s="86"/>
      <c r="M1279" s="86"/>
      <c r="N1279" s="86"/>
      <c r="O1279" s="86"/>
      <c r="P1279" s="86"/>
      <c r="Q1279" s="86"/>
      <c r="R1279" s="87"/>
    </row>
    <row r="1280" spans="1:18" x14ac:dyDescent="0.25">
      <c r="A1280" s="86"/>
      <c r="B1280" s="86"/>
      <c r="C1280" s="86"/>
      <c r="D1280" s="86"/>
      <c r="E1280" s="86"/>
      <c r="F1280" s="86"/>
      <c r="G1280" s="86"/>
      <c r="H1280" s="86"/>
      <c r="I1280" s="86"/>
      <c r="J1280" s="86"/>
      <c r="K1280" s="86"/>
      <c r="L1280" s="86"/>
      <c r="M1280" s="86"/>
      <c r="N1280" s="86"/>
      <c r="O1280" s="86"/>
      <c r="P1280" s="86"/>
      <c r="Q1280" s="86"/>
      <c r="R1280" s="87"/>
    </row>
    <row r="1281" spans="1:18" ht="15" customHeight="1" x14ac:dyDescent="0.25">
      <c r="A1281" s="2845"/>
      <c r="B1281" s="2845"/>
      <c r="C1281" s="2845"/>
      <c r="D1281" s="2845"/>
      <c r="E1281" s="2845"/>
      <c r="F1281" s="2845"/>
      <c r="G1281" s="2845"/>
      <c r="H1281" s="2845"/>
      <c r="I1281" s="2845"/>
      <c r="J1281" s="2845"/>
      <c r="K1281" s="2845"/>
      <c r="L1281" s="2845"/>
      <c r="M1281" s="2845"/>
      <c r="N1281" s="2845"/>
      <c r="O1281" s="2845"/>
      <c r="P1281" s="2845"/>
      <c r="Q1281" s="2845"/>
      <c r="R1281" s="87"/>
    </row>
    <row r="1282" spans="1:18" ht="15" customHeight="1" x14ac:dyDescent="0.25">
      <c r="A1282" s="2856"/>
      <c r="B1282" s="2856"/>
      <c r="C1282" s="2856"/>
      <c r="D1282" s="2856"/>
      <c r="E1282" s="2856"/>
      <c r="F1282" s="2856"/>
      <c r="G1282" s="2856"/>
      <c r="H1282" s="2856"/>
      <c r="I1282" s="2856"/>
      <c r="J1282" s="2856"/>
      <c r="K1282" s="2856"/>
      <c r="L1282" s="2856"/>
      <c r="M1282" s="2856"/>
      <c r="N1282" s="2856"/>
      <c r="O1282" s="2856"/>
      <c r="P1282" s="2856"/>
      <c r="Q1282" s="2856"/>
      <c r="R1282" s="87"/>
    </row>
    <row r="1283" spans="1:18" x14ac:dyDescent="0.25">
      <c r="A1283" s="86"/>
      <c r="B1283" s="86"/>
      <c r="C1283" s="86"/>
      <c r="D1283" s="86"/>
      <c r="E1283" s="86"/>
      <c r="F1283" s="86"/>
      <c r="G1283" s="86"/>
      <c r="H1283" s="86"/>
      <c r="I1283" s="86"/>
      <c r="J1283" s="86"/>
      <c r="K1283" s="86"/>
      <c r="L1283" s="86"/>
      <c r="M1283" s="86"/>
      <c r="N1283" s="86"/>
      <c r="O1283" s="86"/>
      <c r="P1283" s="86"/>
      <c r="Q1283" s="86"/>
      <c r="R1283" s="87"/>
    </row>
    <row r="1284" spans="1:18" x14ac:dyDescent="0.25">
      <c r="A1284" s="86"/>
      <c r="B1284" s="86"/>
      <c r="C1284" s="86"/>
      <c r="D1284" s="86"/>
      <c r="E1284" s="86"/>
      <c r="F1284" s="86"/>
      <c r="G1284" s="86"/>
      <c r="H1284" s="86"/>
      <c r="I1284" s="86"/>
      <c r="J1284" s="86"/>
      <c r="K1284" s="86"/>
      <c r="L1284" s="86"/>
      <c r="M1284" s="86"/>
      <c r="N1284" s="86"/>
      <c r="O1284" s="86"/>
      <c r="P1284" s="86"/>
      <c r="Q1284" s="86"/>
      <c r="R1284" s="87"/>
    </row>
    <row r="1285" spans="1:18" x14ac:dyDescent="0.25">
      <c r="A1285" s="86"/>
      <c r="B1285" s="86"/>
      <c r="C1285" s="86"/>
      <c r="D1285" s="86"/>
      <c r="E1285" s="86"/>
      <c r="F1285" s="86"/>
      <c r="G1285" s="86"/>
      <c r="H1285" s="86"/>
      <c r="I1285" s="86"/>
      <c r="J1285" s="86"/>
      <c r="K1285" s="86"/>
      <c r="L1285" s="86"/>
      <c r="M1285" s="86"/>
      <c r="N1285" s="86"/>
      <c r="O1285" s="86"/>
      <c r="P1285" s="86"/>
      <c r="Q1285" s="86"/>
      <c r="R1285" s="87"/>
    </row>
    <row r="1286" spans="1:18" x14ac:dyDescent="0.25">
      <c r="A1286" s="86"/>
      <c r="B1286" s="86"/>
      <c r="C1286" s="86"/>
      <c r="D1286" s="86"/>
      <c r="E1286" s="86"/>
      <c r="F1286" s="86"/>
      <c r="G1286" s="86"/>
      <c r="H1286" s="86"/>
      <c r="I1286" s="86"/>
      <c r="J1286" s="86"/>
      <c r="K1286" s="86"/>
      <c r="L1286" s="86"/>
      <c r="M1286" s="86"/>
      <c r="N1286" s="86"/>
      <c r="O1286" s="86"/>
      <c r="P1286" s="86"/>
      <c r="Q1286" s="86"/>
      <c r="R1286" s="87"/>
    </row>
    <row r="1287" spans="1:18" x14ac:dyDescent="0.25">
      <c r="A1287" s="86"/>
      <c r="B1287" s="86"/>
      <c r="C1287" s="86"/>
      <c r="D1287" s="86"/>
      <c r="E1287" s="86"/>
      <c r="F1287" s="86"/>
      <c r="G1287" s="86"/>
      <c r="H1287" s="86"/>
      <c r="I1287" s="86"/>
      <c r="J1287" s="86"/>
      <c r="K1287" s="86"/>
      <c r="L1287" s="86"/>
      <c r="M1287" s="86"/>
      <c r="N1287" s="86"/>
      <c r="O1287" s="86"/>
      <c r="P1287" s="86"/>
      <c r="Q1287" s="86"/>
      <c r="R1287" s="87"/>
    </row>
    <row r="1288" spans="1:18" x14ac:dyDescent="0.25">
      <c r="A1288" s="86"/>
      <c r="B1288" s="86"/>
      <c r="C1288" s="86"/>
      <c r="D1288" s="86"/>
      <c r="E1288" s="86"/>
      <c r="F1288" s="86"/>
      <c r="G1288" s="86"/>
      <c r="H1288" s="86"/>
      <c r="I1288" s="86"/>
      <c r="J1288" s="86"/>
      <c r="K1288" s="86"/>
      <c r="L1288" s="86"/>
      <c r="M1288" s="86"/>
      <c r="N1288" s="86"/>
      <c r="O1288" s="86"/>
      <c r="P1288" s="86"/>
      <c r="Q1288" s="86"/>
      <c r="R1288" s="87"/>
    </row>
    <row r="1289" spans="1:18" x14ac:dyDescent="0.25">
      <c r="L1289" s="135"/>
    </row>
    <row r="1290" spans="1:18" x14ac:dyDescent="0.25">
      <c r="L1290" s="135"/>
    </row>
    <row r="1291" spans="1:18" x14ac:dyDescent="0.25">
      <c r="L1291" s="135"/>
    </row>
    <row r="1292" spans="1:18" x14ac:dyDescent="0.25">
      <c r="L1292" s="135"/>
    </row>
    <row r="1293" spans="1:18" x14ac:dyDescent="0.25">
      <c r="L1293" s="135"/>
    </row>
    <row r="1294" spans="1:18" x14ac:dyDescent="0.25">
      <c r="L1294" s="135"/>
    </row>
    <row r="1295" spans="1:18" x14ac:dyDescent="0.25">
      <c r="L1295" s="135"/>
    </row>
    <row r="1296" spans="1:18" x14ac:dyDescent="0.25">
      <c r="L1296" s="135"/>
    </row>
    <row r="1297" spans="1:18" x14ac:dyDescent="0.25">
      <c r="L1297" s="135"/>
    </row>
    <row r="1298" spans="1:18" x14ac:dyDescent="0.25">
      <c r="L1298" s="135"/>
    </row>
    <row r="1299" spans="1:18" x14ac:dyDescent="0.25">
      <c r="L1299" s="135"/>
    </row>
    <row r="1300" spans="1:18" x14ac:dyDescent="0.25">
      <c r="L1300" s="135"/>
    </row>
    <row r="1301" spans="1:18" x14ac:dyDescent="0.25">
      <c r="L1301" s="135"/>
    </row>
    <row r="1302" spans="1:18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135"/>
      <c r="M1302" s="3"/>
      <c r="N1302" s="3"/>
      <c r="O1302" s="3"/>
      <c r="P1302" s="3"/>
      <c r="Q1302" s="3"/>
      <c r="R1302" s="3"/>
    </row>
    <row r="1303" spans="1:18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135"/>
      <c r="M1303" s="3"/>
      <c r="N1303" s="3"/>
      <c r="O1303" s="3"/>
      <c r="P1303" s="3"/>
      <c r="Q1303" s="3"/>
      <c r="R1303" s="3"/>
    </row>
    <row r="1304" spans="1:18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135"/>
      <c r="M1304" s="3"/>
      <c r="N1304" s="3"/>
      <c r="O1304" s="3"/>
      <c r="P1304" s="3"/>
      <c r="Q1304" s="3"/>
      <c r="R1304" s="3"/>
    </row>
    <row r="1305" spans="1:18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135"/>
      <c r="M1305" s="3"/>
      <c r="N1305" s="3"/>
      <c r="O1305" s="3"/>
      <c r="P1305" s="3"/>
      <c r="Q1305" s="3"/>
      <c r="R1305" s="3"/>
    </row>
    <row r="1306" spans="1:18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135"/>
      <c r="M1306" s="3"/>
      <c r="N1306" s="3"/>
      <c r="O1306" s="3"/>
      <c r="P1306" s="3"/>
      <c r="Q1306" s="3"/>
      <c r="R1306" s="3"/>
    </row>
    <row r="1307" spans="1:18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135"/>
      <c r="M1307" s="3"/>
      <c r="N1307" s="3"/>
      <c r="O1307" s="3"/>
      <c r="P1307" s="3"/>
      <c r="Q1307" s="3"/>
      <c r="R1307" s="3"/>
    </row>
    <row r="1308" spans="1:18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135"/>
      <c r="M1308" s="3"/>
      <c r="N1308" s="3"/>
      <c r="O1308" s="3"/>
      <c r="P1308" s="3"/>
      <c r="Q1308" s="3"/>
      <c r="R1308" s="3"/>
    </row>
    <row r="1309" spans="1:18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135"/>
      <c r="M1309" s="3"/>
      <c r="N1309" s="3"/>
      <c r="O1309" s="3"/>
      <c r="P1309" s="3"/>
      <c r="Q1309" s="3"/>
      <c r="R1309" s="3"/>
    </row>
    <row r="1310" spans="1:18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135"/>
      <c r="M1310" s="3"/>
      <c r="N1310" s="3"/>
      <c r="O1310" s="3"/>
      <c r="P1310" s="3"/>
      <c r="Q1310" s="3"/>
      <c r="R1310" s="3"/>
    </row>
    <row r="1311" spans="1:18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135"/>
      <c r="M1311" s="3"/>
      <c r="N1311" s="3"/>
      <c r="O1311" s="3"/>
      <c r="P1311" s="3"/>
      <c r="Q1311" s="3"/>
      <c r="R1311" s="3"/>
    </row>
    <row r="1312" spans="1:18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135"/>
      <c r="M1312" s="3"/>
      <c r="N1312" s="3"/>
      <c r="O1312" s="3"/>
      <c r="P1312" s="3"/>
      <c r="Q1312" s="3"/>
      <c r="R1312" s="3"/>
    </row>
    <row r="1313" spans="1:18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135"/>
      <c r="M1313" s="3"/>
      <c r="N1313" s="3"/>
      <c r="O1313" s="3"/>
      <c r="P1313" s="3"/>
      <c r="Q1313" s="3"/>
      <c r="R1313" s="3"/>
    </row>
    <row r="1314" spans="1:18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135"/>
      <c r="M1314" s="3"/>
      <c r="N1314" s="3"/>
      <c r="O1314" s="3"/>
      <c r="P1314" s="3"/>
      <c r="Q1314" s="3"/>
      <c r="R1314" s="3"/>
    </row>
    <row r="1315" spans="1:18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135"/>
      <c r="M1315" s="3"/>
      <c r="N1315" s="3"/>
      <c r="O1315" s="3"/>
      <c r="P1315" s="3"/>
      <c r="Q1315" s="3"/>
      <c r="R1315" s="3"/>
    </row>
    <row r="1316" spans="1:18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135"/>
      <c r="M1316" s="3"/>
      <c r="N1316" s="3"/>
      <c r="O1316" s="3"/>
      <c r="P1316" s="3"/>
      <c r="Q1316" s="3"/>
      <c r="R1316" s="3"/>
    </row>
    <row r="1317" spans="1:18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135"/>
      <c r="M1317" s="3"/>
      <c r="N1317" s="3"/>
      <c r="O1317" s="3"/>
      <c r="P1317" s="3"/>
      <c r="Q1317" s="3"/>
      <c r="R1317" s="3"/>
    </row>
    <row r="1318" spans="1:18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135"/>
      <c r="M1318" s="3"/>
      <c r="N1318" s="3"/>
      <c r="O1318" s="3"/>
      <c r="P1318" s="3"/>
      <c r="Q1318" s="3"/>
      <c r="R1318" s="3"/>
    </row>
    <row r="1319" spans="1:18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135"/>
      <c r="M1319" s="3"/>
      <c r="N1319" s="3"/>
      <c r="O1319" s="3"/>
      <c r="P1319" s="3"/>
      <c r="Q1319" s="3"/>
      <c r="R1319" s="3"/>
    </row>
    <row r="1320" spans="1:18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135"/>
      <c r="M1320" s="3"/>
      <c r="N1320" s="3"/>
      <c r="O1320" s="3"/>
      <c r="P1320" s="3"/>
      <c r="Q1320" s="3"/>
      <c r="R1320" s="3"/>
    </row>
    <row r="1321" spans="1:18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135"/>
      <c r="M1321" s="3"/>
      <c r="N1321" s="3"/>
      <c r="O1321" s="3"/>
      <c r="P1321" s="3"/>
      <c r="Q1321" s="3"/>
      <c r="R1321" s="3"/>
    </row>
    <row r="1322" spans="1:18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135"/>
      <c r="M1322" s="3"/>
      <c r="N1322" s="3"/>
      <c r="O1322" s="3"/>
      <c r="P1322" s="3"/>
      <c r="Q1322" s="3"/>
      <c r="R1322" s="3"/>
    </row>
    <row r="1323" spans="1:18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135"/>
      <c r="M1323" s="3"/>
      <c r="N1323" s="3"/>
      <c r="O1323" s="3"/>
      <c r="P1323" s="3"/>
      <c r="Q1323" s="3"/>
      <c r="R1323" s="3"/>
    </row>
    <row r="1324" spans="1:18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135"/>
      <c r="M1324" s="3"/>
      <c r="N1324" s="3"/>
      <c r="O1324" s="3"/>
      <c r="P1324" s="3"/>
      <c r="Q1324" s="3"/>
      <c r="R1324" s="3"/>
    </row>
    <row r="1325" spans="1:18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135"/>
      <c r="M1325" s="3"/>
      <c r="N1325" s="3"/>
      <c r="O1325" s="3"/>
      <c r="P1325" s="3"/>
      <c r="Q1325" s="3"/>
      <c r="R1325" s="3"/>
    </row>
    <row r="1326" spans="1:18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135"/>
      <c r="M1326" s="3"/>
      <c r="N1326" s="3"/>
      <c r="O1326" s="3"/>
      <c r="P1326" s="3"/>
      <c r="Q1326" s="3"/>
      <c r="R1326" s="3"/>
    </row>
    <row r="1327" spans="1:18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135"/>
      <c r="M1327" s="3"/>
      <c r="N1327" s="3"/>
      <c r="O1327" s="3"/>
      <c r="P1327" s="3"/>
      <c r="Q1327" s="3"/>
      <c r="R1327" s="3"/>
    </row>
    <row r="1328" spans="1:18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135"/>
      <c r="M1328" s="3"/>
      <c r="N1328" s="3"/>
      <c r="O1328" s="3"/>
      <c r="P1328" s="3"/>
      <c r="Q1328" s="3"/>
      <c r="R1328" s="3"/>
    </row>
    <row r="1329" spans="1:18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135"/>
      <c r="M1329" s="3"/>
      <c r="N1329" s="3"/>
      <c r="O1329" s="3"/>
      <c r="P1329" s="3"/>
      <c r="Q1329" s="3"/>
      <c r="R1329" s="3"/>
    </row>
    <row r="1330" spans="1:18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135"/>
      <c r="M1330" s="3"/>
      <c r="N1330" s="3"/>
      <c r="O1330" s="3"/>
      <c r="P1330" s="3"/>
      <c r="Q1330" s="3"/>
      <c r="R1330" s="3"/>
    </row>
    <row r="1331" spans="1:18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135"/>
      <c r="M1331" s="3"/>
      <c r="N1331" s="3"/>
      <c r="O1331" s="3"/>
      <c r="P1331" s="3"/>
      <c r="Q1331" s="3"/>
      <c r="R1331" s="3"/>
    </row>
    <row r="1332" spans="1:18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135"/>
      <c r="M1332" s="3"/>
      <c r="N1332" s="3"/>
      <c r="O1332" s="3"/>
      <c r="P1332" s="3"/>
      <c r="Q1332" s="3"/>
      <c r="R1332" s="3"/>
    </row>
    <row r="1333" spans="1:18" ht="15.75" thickBot="1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135"/>
      <c r="M1333" s="3"/>
      <c r="N1333" s="3"/>
      <c r="O1333" s="3"/>
      <c r="P1333" s="3"/>
      <c r="Q1333" s="3"/>
      <c r="R1333" s="3"/>
    </row>
    <row r="1334" spans="1:18" ht="15" customHeight="1" x14ac:dyDescent="0.25">
      <c r="A1334" s="2852" t="s">
        <v>1842</v>
      </c>
      <c r="B1334" s="2853"/>
      <c r="C1334" s="2853"/>
      <c r="D1334" s="2853"/>
      <c r="E1334" s="2853"/>
      <c r="F1334" s="2853"/>
      <c r="G1334" s="2853"/>
      <c r="H1334" s="2853"/>
      <c r="I1334" s="2853"/>
      <c r="J1334" s="2853"/>
      <c r="K1334" s="2853"/>
      <c r="L1334" s="2853"/>
      <c r="M1334" s="2853"/>
      <c r="N1334" s="2853"/>
      <c r="O1334" s="2853"/>
      <c r="P1334" s="2853"/>
      <c r="Q1334" s="2853"/>
      <c r="R1334" s="3"/>
    </row>
    <row r="1335" spans="1:18" x14ac:dyDescent="0.25">
      <c r="L1335" s="135"/>
      <c r="R1335" s="3"/>
    </row>
    <row r="1336" spans="1:18" ht="15" customHeight="1" x14ac:dyDescent="0.25">
      <c r="L1336" s="135"/>
      <c r="R1336" s="3"/>
    </row>
    <row r="1337" spans="1:18" x14ac:dyDescent="0.25">
      <c r="L1337" s="135"/>
      <c r="R1337" s="3"/>
    </row>
    <row r="1338" spans="1:18" x14ac:dyDescent="0.25">
      <c r="L1338" s="135"/>
      <c r="R1338" s="3"/>
    </row>
    <row r="1339" spans="1:18" x14ac:dyDescent="0.25">
      <c r="L1339" s="135"/>
      <c r="R1339" s="3"/>
    </row>
    <row r="1340" spans="1:18" x14ac:dyDescent="0.25">
      <c r="L1340" s="135"/>
      <c r="R1340" s="3"/>
    </row>
    <row r="1341" spans="1:18" x14ac:dyDescent="0.25">
      <c r="L1341" s="135"/>
      <c r="R1341" s="3"/>
    </row>
    <row r="1342" spans="1:18" x14ac:dyDescent="0.25">
      <c r="L1342" s="135"/>
      <c r="R1342" s="3"/>
    </row>
    <row r="1343" spans="1:18" x14ac:dyDescent="0.25">
      <c r="L1343" s="135"/>
      <c r="R1343" s="3"/>
    </row>
    <row r="1344" spans="1:18" x14ac:dyDescent="0.25">
      <c r="L1344" s="135"/>
      <c r="R1344" s="3"/>
    </row>
    <row r="1345" spans="1:18" x14ac:dyDescent="0.25">
      <c r="L1345" s="135"/>
      <c r="R1345" s="3"/>
    </row>
    <row r="1346" spans="1:18" x14ac:dyDescent="0.25">
      <c r="L1346" s="135"/>
      <c r="R1346" s="3"/>
    </row>
    <row r="1347" spans="1:18" x14ac:dyDescent="0.25">
      <c r="L1347" s="135"/>
      <c r="R1347" s="3"/>
    </row>
    <row r="1348" spans="1:18" x14ac:dyDescent="0.25">
      <c r="L1348" s="135"/>
      <c r="R1348" s="3"/>
    </row>
    <row r="1349" spans="1:18" x14ac:dyDescent="0.25">
      <c r="L1349" s="135"/>
      <c r="R1349" s="3"/>
    </row>
    <row r="1350" spans="1:18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135"/>
      <c r="M1350" s="3"/>
      <c r="N1350" s="3"/>
      <c r="O1350" s="3"/>
      <c r="P1350" s="3"/>
      <c r="Q1350" s="3"/>
      <c r="R1350" s="3"/>
    </row>
    <row r="1351" spans="1:18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135"/>
      <c r="M1351" s="3"/>
      <c r="N1351" s="3"/>
      <c r="O1351" s="3"/>
      <c r="P1351" s="3"/>
      <c r="Q1351" s="3"/>
      <c r="R1351" s="3"/>
    </row>
    <row r="1352" spans="1:18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135"/>
      <c r="M1352" s="3"/>
      <c r="N1352" s="3"/>
      <c r="O1352" s="3"/>
      <c r="P1352" s="3"/>
      <c r="Q1352" s="3"/>
      <c r="R1352" s="3"/>
    </row>
    <row r="1353" spans="1:18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135"/>
      <c r="M1353" s="3"/>
      <c r="N1353" s="3"/>
      <c r="O1353" s="3"/>
      <c r="P1353" s="3"/>
      <c r="Q1353" s="3"/>
      <c r="R1353" s="3"/>
    </row>
    <row r="1354" spans="1:18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135"/>
      <c r="M1354" s="3"/>
      <c r="N1354" s="3"/>
      <c r="O1354" s="3"/>
      <c r="P1354" s="3"/>
      <c r="Q1354" s="3"/>
      <c r="R1354" s="3"/>
    </row>
    <row r="1355" spans="1:18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135"/>
      <c r="M1355" s="3"/>
      <c r="N1355" s="3"/>
      <c r="O1355" s="3"/>
      <c r="P1355" s="3"/>
      <c r="Q1355" s="3"/>
      <c r="R1355" s="3"/>
    </row>
    <row r="1356" spans="1:18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135"/>
      <c r="M1356" s="3"/>
      <c r="N1356" s="3"/>
      <c r="O1356" s="3"/>
      <c r="P1356" s="3"/>
      <c r="Q1356" s="3"/>
      <c r="R1356" s="3"/>
    </row>
    <row r="1357" spans="1:18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135"/>
      <c r="M1357" s="3"/>
      <c r="N1357" s="3"/>
      <c r="O1357" s="3"/>
      <c r="P1357" s="3"/>
      <c r="Q1357" s="3"/>
      <c r="R1357" s="3"/>
    </row>
    <row r="1358" spans="1:18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135"/>
      <c r="M1358" s="3"/>
      <c r="N1358" s="3"/>
      <c r="O1358" s="3"/>
      <c r="P1358" s="3"/>
      <c r="Q1358" s="3"/>
      <c r="R1358" s="3"/>
    </row>
    <row r="1359" spans="1:18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135"/>
      <c r="M1359" s="3"/>
      <c r="N1359" s="3"/>
      <c r="O1359" s="3"/>
      <c r="P1359" s="3"/>
      <c r="Q1359" s="3"/>
      <c r="R1359" s="3"/>
    </row>
    <row r="1360" spans="1:18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135"/>
      <c r="M1360" s="3"/>
      <c r="N1360" s="3"/>
      <c r="O1360" s="3"/>
      <c r="P1360" s="3"/>
      <c r="Q1360" s="3"/>
      <c r="R1360" s="3"/>
    </row>
    <row r="1361" spans="1:18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135"/>
      <c r="M1361" s="3"/>
      <c r="N1361" s="3"/>
      <c r="O1361" s="3"/>
      <c r="P1361" s="3"/>
      <c r="Q1361" s="3"/>
      <c r="R1361" s="3"/>
    </row>
    <row r="1362" spans="1:18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135"/>
      <c r="M1362" s="3"/>
      <c r="N1362" s="3"/>
      <c r="O1362" s="3"/>
      <c r="P1362" s="3"/>
      <c r="Q1362" s="3"/>
      <c r="R1362" s="3"/>
    </row>
    <row r="1363" spans="1:18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135"/>
      <c r="M1363" s="3"/>
      <c r="N1363" s="3"/>
      <c r="O1363" s="3"/>
      <c r="P1363" s="3"/>
      <c r="Q1363" s="3"/>
      <c r="R1363" s="3"/>
    </row>
    <row r="1364" spans="1:18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135"/>
      <c r="M1364" s="3"/>
      <c r="N1364" s="3"/>
      <c r="O1364" s="3"/>
      <c r="P1364" s="3"/>
      <c r="Q1364" s="3"/>
      <c r="R1364" s="3"/>
    </row>
    <row r="1365" spans="1:18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135"/>
      <c r="M1365" s="3"/>
      <c r="N1365" s="3"/>
      <c r="O1365" s="3"/>
      <c r="P1365" s="3"/>
      <c r="Q1365" s="3"/>
      <c r="R1365" s="3"/>
    </row>
    <row r="1366" spans="1:18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135"/>
      <c r="M1366" s="3"/>
      <c r="N1366" s="3"/>
      <c r="O1366" s="3"/>
      <c r="P1366" s="3"/>
      <c r="Q1366" s="3"/>
      <c r="R1366" s="3"/>
    </row>
    <row r="1367" spans="1:18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135"/>
      <c r="M1367" s="3"/>
      <c r="N1367" s="3"/>
      <c r="O1367" s="3"/>
      <c r="P1367" s="3"/>
      <c r="Q1367" s="3"/>
      <c r="R1367" s="3"/>
    </row>
    <row r="1368" spans="1:18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135"/>
      <c r="M1368" s="3"/>
      <c r="N1368" s="3"/>
      <c r="O1368" s="3"/>
      <c r="P1368" s="3"/>
      <c r="Q1368" s="3"/>
      <c r="R1368" s="3"/>
    </row>
    <row r="1369" spans="1:18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135"/>
      <c r="M1369" s="3"/>
      <c r="N1369" s="3"/>
      <c r="O1369" s="3"/>
      <c r="P1369" s="3"/>
      <c r="Q1369" s="3"/>
      <c r="R1369" s="3"/>
    </row>
    <row r="1370" spans="1:18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135"/>
      <c r="M1370" s="3"/>
      <c r="N1370" s="3"/>
      <c r="O1370" s="3"/>
      <c r="P1370" s="3"/>
      <c r="Q1370" s="3"/>
      <c r="R1370" s="3"/>
    </row>
    <row r="1371" spans="1:18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135"/>
      <c r="M1371" s="3"/>
      <c r="N1371" s="3"/>
      <c r="O1371" s="3"/>
      <c r="P1371" s="3"/>
      <c r="Q1371" s="3"/>
      <c r="R1371" s="3"/>
    </row>
    <row r="1372" spans="1:18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135"/>
      <c r="M1372" s="3"/>
      <c r="N1372" s="3"/>
      <c r="O1372" s="3"/>
      <c r="P1372" s="3"/>
      <c r="Q1372" s="3"/>
      <c r="R1372" s="3"/>
    </row>
    <row r="1373" spans="1:18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135"/>
      <c r="M1373" s="3"/>
      <c r="N1373" s="3"/>
      <c r="O1373" s="3"/>
      <c r="P1373" s="3"/>
      <c r="Q1373" s="3"/>
      <c r="R1373" s="3"/>
    </row>
    <row r="1374" spans="1:18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135"/>
      <c r="M1374" s="3"/>
      <c r="N1374" s="3"/>
      <c r="O1374" s="3"/>
      <c r="P1374" s="3"/>
      <c r="Q1374" s="3"/>
      <c r="R1374" s="3"/>
    </row>
    <row r="1375" spans="1:18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135"/>
      <c r="M1375" s="3"/>
      <c r="N1375" s="3"/>
      <c r="O1375" s="3"/>
      <c r="P1375" s="3"/>
      <c r="Q1375" s="3"/>
      <c r="R1375" s="3"/>
    </row>
    <row r="1376" spans="1:18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135"/>
      <c r="M1376" s="3"/>
      <c r="N1376" s="3"/>
      <c r="O1376" s="3"/>
      <c r="P1376" s="3"/>
      <c r="Q1376" s="3"/>
      <c r="R1376" s="3"/>
    </row>
    <row r="1377" spans="1:18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135"/>
      <c r="M1377" s="3"/>
      <c r="N1377" s="3"/>
      <c r="O1377" s="3"/>
      <c r="P1377" s="3"/>
      <c r="Q1377" s="3"/>
      <c r="R1377" s="3"/>
    </row>
    <row r="1378" spans="1:18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135"/>
      <c r="M1378" s="3"/>
      <c r="N1378" s="3"/>
      <c r="O1378" s="3"/>
      <c r="P1378" s="3"/>
      <c r="Q1378" s="3"/>
      <c r="R1378" s="3"/>
    </row>
    <row r="1379" spans="1:18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135"/>
      <c r="M1379" s="3"/>
      <c r="N1379" s="3"/>
      <c r="O1379" s="3"/>
      <c r="P1379" s="3"/>
      <c r="Q1379" s="3"/>
      <c r="R1379" s="3"/>
    </row>
    <row r="1380" spans="1:18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135"/>
      <c r="M1380" s="3"/>
      <c r="N1380" s="3"/>
      <c r="O1380" s="3"/>
      <c r="P1380" s="3"/>
      <c r="Q1380" s="3"/>
      <c r="R1380" s="3"/>
    </row>
    <row r="1381" spans="1:18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135"/>
      <c r="M1381" s="3"/>
      <c r="N1381" s="3"/>
      <c r="O1381" s="3"/>
      <c r="P1381" s="3"/>
      <c r="Q1381" s="3"/>
      <c r="R1381" s="3"/>
    </row>
    <row r="1382" spans="1:18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135"/>
      <c r="M1382" s="3"/>
      <c r="N1382" s="3"/>
      <c r="O1382" s="3"/>
      <c r="P1382" s="3"/>
      <c r="Q1382" s="3"/>
      <c r="R1382" s="3"/>
    </row>
    <row r="1383" spans="1:18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135"/>
      <c r="M1383" s="3"/>
      <c r="N1383" s="3"/>
      <c r="O1383" s="3"/>
      <c r="P1383" s="3"/>
      <c r="Q1383" s="3"/>
      <c r="R1383" s="3"/>
    </row>
    <row r="1384" spans="1:18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135"/>
      <c r="M1384" s="3"/>
      <c r="N1384" s="3"/>
      <c r="O1384" s="3"/>
      <c r="P1384" s="3"/>
      <c r="Q1384" s="3"/>
      <c r="R1384" s="3"/>
    </row>
    <row r="1385" spans="1:18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135"/>
      <c r="M1385" s="3"/>
      <c r="N1385" s="3"/>
      <c r="O1385" s="3"/>
      <c r="P1385" s="3"/>
      <c r="Q1385" s="3"/>
      <c r="R1385" s="3"/>
    </row>
    <row r="1386" spans="1:18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135"/>
      <c r="M1386" s="3"/>
      <c r="N1386" s="3"/>
      <c r="O1386" s="3"/>
      <c r="P1386" s="3"/>
      <c r="Q1386" s="3"/>
      <c r="R1386" s="3"/>
    </row>
    <row r="1387" spans="1:18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135"/>
      <c r="M1387" s="3"/>
      <c r="N1387" s="3"/>
      <c r="O1387" s="3"/>
      <c r="P1387" s="3"/>
      <c r="Q1387" s="3"/>
      <c r="R1387" s="3"/>
    </row>
    <row r="1388" spans="1:18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135"/>
      <c r="M1388" s="3"/>
      <c r="N1388" s="3"/>
      <c r="O1388" s="3"/>
      <c r="P1388" s="3"/>
      <c r="Q1388" s="3"/>
      <c r="R1388" s="3"/>
    </row>
    <row r="1389" spans="1:18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135"/>
      <c r="M1389" s="3"/>
      <c r="N1389" s="3"/>
      <c r="O1389" s="3"/>
      <c r="P1389" s="3"/>
      <c r="Q1389" s="3"/>
      <c r="R1389" s="3"/>
    </row>
    <row r="1390" spans="1:18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135"/>
      <c r="M1390" s="3"/>
      <c r="N1390" s="3"/>
      <c r="O1390" s="3"/>
      <c r="P1390" s="3"/>
      <c r="Q1390" s="3"/>
      <c r="R1390" s="3"/>
    </row>
    <row r="1391" spans="1:18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135"/>
      <c r="M1391" s="3"/>
      <c r="N1391" s="3"/>
      <c r="O1391" s="3"/>
      <c r="P1391" s="3"/>
      <c r="Q1391" s="3"/>
      <c r="R1391" s="3"/>
    </row>
    <row r="1392" spans="1:18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135"/>
      <c r="M1392" s="3"/>
      <c r="N1392" s="3"/>
      <c r="O1392" s="3"/>
      <c r="P1392" s="3"/>
      <c r="Q1392" s="3"/>
      <c r="R1392" s="3"/>
    </row>
    <row r="1393" spans="1:18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135"/>
      <c r="M1393" s="3"/>
      <c r="N1393" s="3"/>
      <c r="O1393" s="3"/>
      <c r="P1393" s="3"/>
      <c r="Q1393" s="3"/>
      <c r="R1393" s="3"/>
    </row>
    <row r="1394" spans="1:18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135"/>
      <c r="M1394" s="3"/>
      <c r="N1394" s="3"/>
      <c r="O1394" s="3"/>
      <c r="P1394" s="3"/>
      <c r="Q1394" s="3"/>
      <c r="R1394" s="3"/>
    </row>
    <row r="1395" spans="1:18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135"/>
      <c r="M1395" s="3"/>
      <c r="N1395" s="3"/>
      <c r="O1395" s="3"/>
      <c r="P1395" s="3"/>
      <c r="Q1395" s="3"/>
      <c r="R1395" s="3"/>
    </row>
    <row r="1396" spans="1:18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135"/>
      <c r="M1396" s="3"/>
      <c r="N1396" s="3"/>
      <c r="O1396" s="3"/>
      <c r="P1396" s="3"/>
      <c r="Q1396" s="3"/>
      <c r="R1396" s="3"/>
    </row>
    <row r="1397" spans="1:18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135"/>
      <c r="M1397" s="3"/>
      <c r="N1397" s="3"/>
      <c r="O1397" s="3"/>
      <c r="P1397" s="3"/>
      <c r="Q1397" s="3"/>
      <c r="R1397" s="3"/>
    </row>
    <row r="1398" spans="1:18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135"/>
      <c r="M1398" s="3"/>
      <c r="N1398" s="3"/>
      <c r="O1398" s="3"/>
      <c r="P1398" s="3"/>
      <c r="Q1398" s="3"/>
      <c r="R1398" s="3"/>
    </row>
    <row r="1399" spans="1:18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135"/>
      <c r="M1399" s="3"/>
      <c r="N1399" s="3"/>
      <c r="O1399" s="3"/>
      <c r="P1399" s="3"/>
      <c r="Q1399" s="3"/>
      <c r="R1399" s="3"/>
    </row>
    <row r="1400" spans="1:18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135"/>
      <c r="M1400" s="3"/>
      <c r="N1400" s="3"/>
      <c r="O1400" s="3"/>
      <c r="P1400" s="3"/>
      <c r="Q1400" s="3"/>
      <c r="R1400" s="3"/>
    </row>
    <row r="1401" spans="1:18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135"/>
      <c r="M1401" s="3"/>
      <c r="N1401" s="3"/>
      <c r="O1401" s="3"/>
      <c r="P1401" s="3"/>
      <c r="Q1401" s="3"/>
      <c r="R1401" s="3"/>
    </row>
    <row r="1402" spans="1:18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135"/>
      <c r="M1402" s="3"/>
      <c r="N1402" s="3"/>
      <c r="O1402" s="3"/>
      <c r="P1402" s="3"/>
      <c r="Q1402" s="3"/>
      <c r="R1402" s="3"/>
    </row>
    <row r="1403" spans="1:18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135"/>
      <c r="M1403" s="3"/>
      <c r="N1403" s="3"/>
      <c r="O1403" s="3"/>
      <c r="P1403" s="3"/>
      <c r="Q1403" s="3"/>
      <c r="R1403" s="3"/>
    </row>
    <row r="1404" spans="1:18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135"/>
      <c r="M1404" s="3"/>
      <c r="N1404" s="3"/>
      <c r="O1404" s="3"/>
      <c r="P1404" s="3"/>
      <c r="Q1404" s="3"/>
      <c r="R1404" s="3"/>
    </row>
    <row r="1405" spans="1:18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135"/>
      <c r="M1405" s="3"/>
      <c r="N1405" s="3"/>
      <c r="O1405" s="3"/>
      <c r="P1405" s="3"/>
      <c r="Q1405" s="3"/>
      <c r="R1405" s="3"/>
    </row>
    <row r="1406" spans="1:18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135"/>
      <c r="M1406" s="3"/>
      <c r="N1406" s="3"/>
      <c r="O1406" s="3"/>
      <c r="P1406" s="3"/>
      <c r="Q1406" s="3"/>
      <c r="R1406" s="3"/>
    </row>
    <row r="1407" spans="1:18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135"/>
      <c r="M1407" s="3"/>
      <c r="N1407" s="3"/>
      <c r="O1407" s="3"/>
      <c r="P1407" s="3"/>
      <c r="Q1407" s="3"/>
      <c r="R1407" s="3"/>
    </row>
    <row r="1408" spans="1:18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135"/>
      <c r="M1408" s="3"/>
      <c r="N1408" s="3"/>
      <c r="O1408" s="3"/>
      <c r="P1408" s="3"/>
      <c r="Q1408" s="3"/>
      <c r="R1408" s="3"/>
    </row>
    <row r="1409" spans="1:18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135"/>
      <c r="M1409" s="3"/>
      <c r="N1409" s="3"/>
      <c r="O1409" s="3"/>
      <c r="P1409" s="3"/>
      <c r="Q1409" s="3"/>
      <c r="R1409" s="3"/>
    </row>
    <row r="1410" spans="1:18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135"/>
      <c r="M1410" s="3"/>
      <c r="N1410" s="3"/>
      <c r="O1410" s="3"/>
      <c r="P1410" s="3"/>
      <c r="Q1410" s="3"/>
      <c r="R1410" s="3"/>
    </row>
    <row r="1411" spans="1:18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135"/>
      <c r="M1411" s="3"/>
      <c r="N1411" s="3"/>
      <c r="O1411" s="3"/>
      <c r="P1411" s="3"/>
      <c r="Q1411" s="3"/>
      <c r="R1411" s="3"/>
    </row>
    <row r="1412" spans="1:18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135"/>
      <c r="M1412" s="3"/>
      <c r="N1412" s="3"/>
      <c r="O1412" s="3"/>
      <c r="P1412" s="3"/>
      <c r="Q1412" s="3"/>
      <c r="R1412" s="3"/>
    </row>
    <row r="1413" spans="1:18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135"/>
      <c r="M1413" s="3"/>
      <c r="N1413" s="3"/>
      <c r="O1413" s="3"/>
      <c r="P1413" s="3"/>
      <c r="Q1413" s="3"/>
      <c r="R1413" s="3"/>
    </row>
    <row r="1414" spans="1:18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135"/>
      <c r="M1414" s="3"/>
      <c r="N1414" s="3"/>
      <c r="O1414" s="3"/>
      <c r="P1414" s="3"/>
      <c r="Q1414" s="3"/>
      <c r="R1414" s="3"/>
    </row>
    <row r="1415" spans="1:18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135"/>
      <c r="M1415" s="3"/>
      <c r="N1415" s="3"/>
      <c r="O1415" s="3"/>
      <c r="P1415" s="3"/>
      <c r="Q1415" s="3"/>
      <c r="R1415" s="3"/>
    </row>
    <row r="1416" spans="1:18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135"/>
      <c r="M1416" s="3"/>
      <c r="N1416" s="3"/>
      <c r="O1416" s="3"/>
      <c r="P1416" s="3"/>
      <c r="Q1416" s="3"/>
      <c r="R1416" s="3"/>
    </row>
    <row r="1417" spans="1:18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135"/>
      <c r="M1417" s="3"/>
      <c r="N1417" s="3"/>
      <c r="O1417" s="3"/>
      <c r="P1417" s="3"/>
      <c r="Q1417" s="3"/>
      <c r="R1417" s="3"/>
    </row>
    <row r="1418" spans="1:18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135"/>
      <c r="M1418" s="3"/>
      <c r="N1418" s="3"/>
      <c r="O1418" s="3"/>
      <c r="P1418" s="3"/>
      <c r="Q1418" s="3"/>
      <c r="R1418" s="3"/>
    </row>
    <row r="1419" spans="1:18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135"/>
      <c r="M1419" s="3"/>
      <c r="N1419" s="3"/>
      <c r="O1419" s="3"/>
      <c r="P1419" s="3"/>
      <c r="Q1419" s="3"/>
      <c r="R1419" s="3"/>
    </row>
    <row r="1420" spans="1:18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135"/>
      <c r="M1420" s="3"/>
      <c r="N1420" s="3"/>
      <c r="O1420" s="3"/>
      <c r="P1420" s="3"/>
      <c r="Q1420" s="3"/>
      <c r="R1420" s="3"/>
    </row>
    <row r="1421" spans="1:18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135"/>
      <c r="M1421" s="3"/>
      <c r="N1421" s="3"/>
      <c r="O1421" s="3"/>
      <c r="P1421" s="3"/>
      <c r="Q1421" s="3"/>
      <c r="R1421" s="3"/>
    </row>
    <row r="1422" spans="1:18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135"/>
      <c r="M1422" s="3"/>
      <c r="N1422" s="3"/>
      <c r="O1422" s="3"/>
      <c r="P1422" s="3"/>
      <c r="Q1422" s="3"/>
      <c r="R1422" s="3"/>
    </row>
    <row r="1423" spans="1:18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135"/>
      <c r="M1423" s="3"/>
      <c r="N1423" s="3"/>
      <c r="O1423" s="3"/>
      <c r="P1423" s="3"/>
      <c r="Q1423" s="3"/>
      <c r="R1423" s="3"/>
    </row>
    <row r="1424" spans="1:18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135"/>
      <c r="M1424" s="3"/>
      <c r="N1424" s="3"/>
      <c r="O1424" s="3"/>
      <c r="P1424" s="3"/>
      <c r="Q1424" s="3"/>
      <c r="R1424" s="3"/>
    </row>
    <row r="1425" spans="1:18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135"/>
      <c r="M1425" s="3"/>
      <c r="N1425" s="3"/>
      <c r="O1425" s="3"/>
      <c r="P1425" s="3"/>
      <c r="Q1425" s="3"/>
      <c r="R1425" s="3"/>
    </row>
    <row r="1426" spans="1:18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135"/>
      <c r="M1426" s="3"/>
      <c r="N1426" s="3"/>
      <c r="O1426" s="3"/>
      <c r="P1426" s="3"/>
      <c r="Q1426" s="3"/>
      <c r="R1426" s="3"/>
    </row>
    <row r="1427" spans="1:18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135"/>
      <c r="M1427" s="3"/>
      <c r="N1427" s="3"/>
      <c r="O1427" s="3"/>
      <c r="P1427" s="3"/>
      <c r="Q1427" s="3"/>
      <c r="R1427" s="3"/>
    </row>
    <row r="1428" spans="1:18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135"/>
      <c r="M1428" s="3"/>
      <c r="N1428" s="3"/>
      <c r="O1428" s="3"/>
      <c r="P1428" s="3"/>
      <c r="Q1428" s="3"/>
      <c r="R1428" s="3"/>
    </row>
    <row r="1429" spans="1:18" ht="15.75" thickBot="1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135"/>
      <c r="M1429" s="3"/>
      <c r="N1429" s="3"/>
      <c r="O1429" s="3"/>
      <c r="P1429" s="3"/>
      <c r="Q1429" s="3"/>
      <c r="R1429" s="3"/>
    </row>
    <row r="1430" spans="1:18" ht="15" customHeight="1" x14ac:dyDescent="0.25">
      <c r="A1430" s="2850" t="s">
        <v>499</v>
      </c>
      <c r="B1430" s="2851"/>
      <c r="C1430" s="2851"/>
      <c r="D1430" s="2851"/>
      <c r="E1430" s="2851"/>
      <c r="F1430" s="2851"/>
      <c r="G1430" s="2851"/>
      <c r="H1430" s="2851"/>
      <c r="I1430" s="2851"/>
      <c r="J1430" s="2851"/>
      <c r="K1430" s="2851"/>
      <c r="L1430" s="2851"/>
      <c r="M1430" s="2851"/>
      <c r="N1430" s="2851"/>
      <c r="O1430" s="2851"/>
      <c r="P1430" s="2851"/>
      <c r="Q1430" s="2851"/>
      <c r="R1430" s="3"/>
    </row>
    <row r="1431" spans="1:18" ht="15.75" customHeight="1" thickBot="1" x14ac:dyDescent="0.3">
      <c r="A1431" s="2848" t="s">
        <v>1829</v>
      </c>
      <c r="B1431" s="2849"/>
      <c r="C1431" s="2849"/>
      <c r="D1431" s="2849"/>
      <c r="E1431" s="2849"/>
      <c r="F1431" s="2849"/>
      <c r="G1431" s="2849"/>
      <c r="H1431" s="2849"/>
      <c r="I1431" s="2849"/>
      <c r="J1431" s="2849"/>
      <c r="K1431" s="2849"/>
      <c r="L1431" s="2849"/>
      <c r="M1431" s="2849"/>
      <c r="N1431" s="2849"/>
      <c r="O1431" s="2849"/>
      <c r="P1431" s="2849"/>
      <c r="Q1431" s="2849"/>
      <c r="R1431" s="3"/>
    </row>
    <row r="1432" spans="1:18" x14ac:dyDescent="0.25">
      <c r="L1432" s="135"/>
      <c r="R1432" s="3"/>
    </row>
    <row r="1433" spans="1:18" x14ac:dyDescent="0.25">
      <c r="L1433" s="135"/>
      <c r="R1433" s="3"/>
    </row>
    <row r="1434" spans="1:18" x14ac:dyDescent="0.25">
      <c r="L1434" s="135"/>
      <c r="R1434" s="3"/>
    </row>
    <row r="1435" spans="1:18" x14ac:dyDescent="0.25">
      <c r="L1435" s="135"/>
      <c r="R1435" s="3"/>
    </row>
    <row r="1436" spans="1:18" x14ac:dyDescent="0.25">
      <c r="L1436" s="135"/>
      <c r="R1436" s="3"/>
    </row>
    <row r="1437" spans="1:18" x14ac:dyDescent="0.25">
      <c r="L1437" s="135"/>
      <c r="R1437" s="3"/>
    </row>
    <row r="1438" spans="1:18" x14ac:dyDescent="0.25">
      <c r="L1438" s="135"/>
      <c r="R1438" s="3"/>
    </row>
    <row r="1439" spans="1:18" x14ac:dyDescent="0.25">
      <c r="L1439" s="135"/>
      <c r="R1439" s="3"/>
    </row>
    <row r="1440" spans="1:18" x14ac:dyDescent="0.25">
      <c r="L1440" s="135"/>
      <c r="R1440" s="3"/>
    </row>
    <row r="1441" spans="1:18" x14ac:dyDescent="0.25">
      <c r="L1441" s="135"/>
      <c r="R1441" s="3"/>
    </row>
    <row r="1442" spans="1:18" x14ac:dyDescent="0.25">
      <c r="L1442" s="135"/>
      <c r="R1442" s="3"/>
    </row>
    <row r="1443" spans="1:18" ht="15.75" thickBot="1" x14ac:dyDescent="0.3">
      <c r="L1443" s="135"/>
      <c r="R1443" s="3"/>
    </row>
    <row r="1444" spans="1:18" ht="15.75" customHeight="1" thickBot="1" x14ac:dyDescent="0.3">
      <c r="A1444" s="2846" t="s">
        <v>1842</v>
      </c>
      <c r="B1444" s="2847"/>
      <c r="C1444" s="2847"/>
      <c r="D1444" s="2847"/>
      <c r="E1444" s="2847"/>
      <c r="F1444" s="2847"/>
      <c r="G1444" s="2847"/>
      <c r="H1444" s="2847"/>
      <c r="I1444" s="2847"/>
      <c r="J1444" s="2847"/>
      <c r="K1444" s="2847"/>
      <c r="L1444" s="2847"/>
      <c r="M1444" s="2847"/>
      <c r="N1444" s="2847"/>
      <c r="O1444" s="2847"/>
      <c r="P1444" s="2847"/>
      <c r="Q1444" s="2847"/>
      <c r="R1444" s="3"/>
    </row>
    <row r="1445" spans="1:18" x14ac:dyDescent="0.25">
      <c r="L1445" s="135"/>
      <c r="R1445" s="3"/>
    </row>
    <row r="1446" spans="1:18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135"/>
      <c r="M1446" s="3"/>
      <c r="N1446" s="3"/>
      <c r="O1446" s="3"/>
      <c r="P1446" s="3"/>
      <c r="Q1446" s="3"/>
      <c r="R1446" s="3"/>
    </row>
    <row r="1447" spans="1:18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135"/>
      <c r="M1447" s="3"/>
      <c r="N1447" s="3"/>
      <c r="O1447" s="3"/>
      <c r="P1447" s="3"/>
      <c r="Q1447" s="3"/>
      <c r="R1447" s="3"/>
    </row>
    <row r="1448" spans="1:18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135"/>
      <c r="M1448" s="3"/>
      <c r="N1448" s="3"/>
      <c r="O1448" s="3"/>
      <c r="P1448" s="3"/>
      <c r="Q1448" s="3"/>
      <c r="R1448" s="3"/>
    </row>
    <row r="1449" spans="1:18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135"/>
      <c r="M1449" s="3"/>
      <c r="N1449" s="3"/>
      <c r="O1449" s="3"/>
      <c r="P1449" s="3"/>
      <c r="Q1449" s="3"/>
      <c r="R1449" s="3"/>
    </row>
    <row r="1450" spans="1:18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135"/>
      <c r="M1450" s="3"/>
      <c r="N1450" s="3"/>
      <c r="O1450" s="3"/>
      <c r="P1450" s="3"/>
      <c r="Q1450" s="3"/>
      <c r="R1450" s="3"/>
    </row>
    <row r="1451" spans="1:18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135"/>
      <c r="M1451" s="3"/>
      <c r="N1451" s="3"/>
      <c r="O1451" s="3"/>
      <c r="P1451" s="3"/>
      <c r="Q1451" s="3"/>
      <c r="R1451" s="3"/>
    </row>
    <row r="1452" spans="1:18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135"/>
      <c r="M1452" s="3"/>
      <c r="N1452" s="3"/>
      <c r="O1452" s="3"/>
      <c r="P1452" s="3"/>
      <c r="Q1452" s="3"/>
      <c r="R1452" s="3"/>
    </row>
    <row r="1453" spans="1:18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135"/>
      <c r="M1453" s="3"/>
      <c r="N1453" s="3"/>
      <c r="O1453" s="3"/>
      <c r="P1453" s="3"/>
      <c r="Q1453" s="3"/>
      <c r="R1453" s="3"/>
    </row>
    <row r="1454" spans="1:18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135"/>
      <c r="M1454" s="3"/>
      <c r="N1454" s="3"/>
      <c r="O1454" s="3"/>
      <c r="P1454" s="3"/>
      <c r="Q1454" s="3"/>
      <c r="R1454" s="3"/>
    </row>
    <row r="1455" spans="1:18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135"/>
      <c r="M1455" s="3"/>
      <c r="N1455" s="3"/>
      <c r="O1455" s="3"/>
      <c r="P1455" s="3"/>
      <c r="Q1455" s="3"/>
      <c r="R1455" s="3"/>
    </row>
    <row r="1456" spans="1:18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135"/>
      <c r="M1456" s="3"/>
      <c r="N1456" s="3"/>
      <c r="O1456" s="3"/>
      <c r="P1456" s="3"/>
      <c r="Q1456" s="3"/>
      <c r="R1456" s="3"/>
    </row>
    <row r="1457" spans="1:18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135"/>
      <c r="M1457" s="3"/>
      <c r="N1457" s="3"/>
      <c r="O1457" s="3"/>
      <c r="P1457" s="3"/>
      <c r="Q1457" s="3"/>
      <c r="R1457" s="3"/>
    </row>
    <row r="1458" spans="1:18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135"/>
      <c r="M1458" s="3"/>
      <c r="N1458" s="3"/>
      <c r="O1458" s="3"/>
      <c r="P1458" s="3"/>
      <c r="Q1458" s="3"/>
      <c r="R1458" s="3"/>
    </row>
    <row r="1459" spans="1:18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135"/>
      <c r="M1459" s="3"/>
      <c r="N1459" s="3"/>
      <c r="O1459" s="3"/>
      <c r="P1459" s="3"/>
      <c r="Q1459" s="3"/>
      <c r="R1459" s="3"/>
    </row>
    <row r="1460" spans="1:18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135"/>
      <c r="M1460" s="3"/>
      <c r="N1460" s="3"/>
      <c r="O1460" s="3"/>
      <c r="P1460" s="3"/>
      <c r="Q1460" s="3"/>
      <c r="R1460" s="3"/>
    </row>
    <row r="1461" spans="1:18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135"/>
      <c r="M1461" s="3"/>
      <c r="N1461" s="3"/>
      <c r="O1461" s="3"/>
      <c r="P1461" s="3"/>
      <c r="Q1461" s="3"/>
      <c r="R1461" s="3"/>
    </row>
    <row r="1462" spans="1:18" x14ac:dyDescent="0.25">
      <c r="L1462" s="135"/>
      <c r="R1462" s="3"/>
    </row>
    <row r="1463" spans="1:18" x14ac:dyDescent="0.25">
      <c r="L1463" s="135"/>
      <c r="R1463" s="3"/>
    </row>
    <row r="1464" spans="1:18" x14ac:dyDescent="0.25">
      <c r="L1464" s="135"/>
      <c r="R1464" s="3"/>
    </row>
    <row r="1465" spans="1:18" x14ac:dyDescent="0.25">
      <c r="L1465" s="135"/>
      <c r="R1465" s="3"/>
    </row>
    <row r="1466" spans="1:18" x14ac:dyDescent="0.25">
      <c r="L1466" s="135"/>
      <c r="R1466" s="3"/>
    </row>
    <row r="1467" spans="1:18" ht="15.75" thickBot="1" x14ac:dyDescent="0.3">
      <c r="L1467" s="135"/>
      <c r="R1467" s="3"/>
    </row>
    <row r="1468" spans="1:18" ht="15" customHeight="1" x14ac:dyDescent="0.25">
      <c r="A1468" s="2850" t="s">
        <v>517</v>
      </c>
      <c r="B1468" s="2851"/>
      <c r="C1468" s="2851"/>
      <c r="D1468" s="2851"/>
      <c r="E1468" s="2851"/>
      <c r="F1468" s="2851"/>
      <c r="G1468" s="2851"/>
      <c r="H1468" s="2851"/>
      <c r="I1468" s="2851"/>
      <c r="J1468" s="2851"/>
      <c r="K1468" s="2851"/>
      <c r="L1468" s="2851"/>
      <c r="M1468" s="2851"/>
      <c r="N1468" s="2851"/>
      <c r="O1468" s="2851"/>
      <c r="P1468" s="2851"/>
      <c r="Q1468" s="2851"/>
      <c r="R1468" s="3"/>
    </row>
    <row r="1469" spans="1:18" ht="15" customHeight="1" x14ac:dyDescent="0.25">
      <c r="A1469" s="2854" t="s">
        <v>1829</v>
      </c>
      <c r="B1469" s="2855"/>
      <c r="C1469" s="2855"/>
      <c r="D1469" s="2855"/>
      <c r="E1469" s="2855"/>
      <c r="F1469" s="2855"/>
      <c r="G1469" s="2855"/>
      <c r="H1469" s="2855"/>
      <c r="I1469" s="2855"/>
      <c r="J1469" s="2855"/>
      <c r="K1469" s="2855"/>
      <c r="L1469" s="2855"/>
      <c r="M1469" s="2855"/>
      <c r="N1469" s="2855"/>
      <c r="O1469" s="2855"/>
      <c r="P1469" s="2855"/>
      <c r="Q1469" s="2855"/>
      <c r="R1469" s="3"/>
    </row>
    <row r="1470" spans="1:18" x14ac:dyDescent="0.25">
      <c r="L1470" s="135"/>
      <c r="R1470" s="3"/>
    </row>
    <row r="1471" spans="1:18" x14ac:dyDescent="0.25">
      <c r="L1471" s="135"/>
      <c r="R1471" s="3"/>
    </row>
    <row r="1472" spans="1:18" x14ac:dyDescent="0.25">
      <c r="L1472" s="135"/>
      <c r="R1472" s="3"/>
    </row>
    <row r="1473" spans="1:18" x14ac:dyDescent="0.25">
      <c r="L1473" s="135"/>
      <c r="R1473" s="3"/>
    </row>
    <row r="1474" spans="1:18" x14ac:dyDescent="0.25">
      <c r="L1474" s="135"/>
      <c r="R1474" s="3"/>
    </row>
    <row r="1475" spans="1:18" x14ac:dyDescent="0.25">
      <c r="L1475" s="135"/>
      <c r="R1475" s="3"/>
    </row>
    <row r="1476" spans="1:18" x14ac:dyDescent="0.25">
      <c r="L1476" s="135"/>
      <c r="R1476" s="3"/>
    </row>
    <row r="1477" spans="1:18" x14ac:dyDescent="0.25">
      <c r="L1477" s="135"/>
      <c r="R1477" s="3"/>
    </row>
    <row r="1478" spans="1:18" x14ac:dyDescent="0.25">
      <c r="L1478" s="135"/>
      <c r="R1478" s="3"/>
    </row>
    <row r="1479" spans="1:18" x14ac:dyDescent="0.25">
      <c r="L1479" s="135"/>
      <c r="R1479" s="3"/>
    </row>
    <row r="1480" spans="1:18" x14ac:dyDescent="0.25">
      <c r="L1480" s="135"/>
      <c r="R1480" s="3"/>
    </row>
    <row r="1481" spans="1:18" x14ac:dyDescent="0.25">
      <c r="L1481" s="135"/>
      <c r="R1481" s="3"/>
    </row>
    <row r="1482" spans="1:18" ht="15.75" thickBot="1" x14ac:dyDescent="0.3">
      <c r="L1482" s="135"/>
      <c r="R1482" s="3"/>
    </row>
    <row r="1483" spans="1:18" ht="15" customHeight="1" x14ac:dyDescent="0.25">
      <c r="A1483" s="2852" t="s">
        <v>1842</v>
      </c>
      <c r="B1483" s="2853"/>
      <c r="C1483" s="2853"/>
      <c r="D1483" s="2853"/>
      <c r="E1483" s="2853"/>
      <c r="F1483" s="2853"/>
      <c r="G1483" s="2853"/>
      <c r="H1483" s="2853"/>
      <c r="I1483" s="2853"/>
      <c r="J1483" s="2853"/>
      <c r="K1483" s="2853"/>
      <c r="L1483" s="2853"/>
      <c r="M1483" s="2853"/>
      <c r="N1483" s="2853"/>
      <c r="O1483" s="2853"/>
      <c r="P1483" s="2853"/>
      <c r="Q1483" s="2853"/>
      <c r="R1483" s="3"/>
    </row>
    <row r="1484" spans="1:18" x14ac:dyDescent="0.25">
      <c r="L1484" s="135"/>
      <c r="R1484" s="3"/>
    </row>
    <row r="1485" spans="1:18" x14ac:dyDescent="0.25">
      <c r="L1485" s="135"/>
      <c r="R1485" s="3"/>
    </row>
    <row r="1486" spans="1:18" x14ac:dyDescent="0.25">
      <c r="L1486" s="135"/>
      <c r="R1486" s="3"/>
    </row>
    <row r="1487" spans="1:18" x14ac:dyDescent="0.25">
      <c r="L1487" s="135"/>
      <c r="R1487" s="3"/>
    </row>
    <row r="1488" spans="1:18" x14ac:dyDescent="0.25">
      <c r="L1488" s="135"/>
      <c r="R1488" s="3"/>
    </row>
    <row r="1489" spans="1:18" x14ac:dyDescent="0.25">
      <c r="L1489" s="135"/>
      <c r="R1489" s="3"/>
    </row>
    <row r="1490" spans="1:18" x14ac:dyDescent="0.25">
      <c r="L1490" s="135"/>
      <c r="R1490" s="3"/>
    </row>
    <row r="1491" spans="1:18" x14ac:dyDescent="0.25">
      <c r="L1491" s="135"/>
      <c r="R1491" s="3"/>
    </row>
    <row r="1492" spans="1:18" x14ac:dyDescent="0.25">
      <c r="L1492" s="135"/>
      <c r="R1492" s="3"/>
    </row>
    <row r="1493" spans="1:18" x14ac:dyDescent="0.25">
      <c r="L1493" s="135"/>
      <c r="R1493" s="3"/>
    </row>
    <row r="1494" spans="1:18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135"/>
      <c r="M1494" s="3"/>
      <c r="N1494" s="3"/>
      <c r="O1494" s="3"/>
      <c r="P1494" s="3"/>
      <c r="Q1494" s="3"/>
      <c r="R1494" s="3"/>
    </row>
    <row r="1495" spans="1:18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135"/>
      <c r="M1495" s="3"/>
      <c r="N1495" s="3"/>
      <c r="O1495" s="3"/>
      <c r="P1495" s="3"/>
      <c r="Q1495" s="3"/>
      <c r="R1495" s="3"/>
    </row>
    <row r="1496" spans="1:18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135"/>
      <c r="M1496" s="3"/>
      <c r="N1496" s="3"/>
      <c r="O1496" s="3"/>
      <c r="P1496" s="3"/>
      <c r="Q1496" s="3"/>
      <c r="R1496" s="3"/>
    </row>
    <row r="1497" spans="1:18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135"/>
      <c r="M1497" s="3"/>
      <c r="N1497" s="3"/>
      <c r="O1497" s="3"/>
      <c r="P1497" s="3"/>
      <c r="Q1497" s="3"/>
      <c r="R1497" s="3"/>
    </row>
    <row r="1498" spans="1:18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135"/>
      <c r="M1498" s="3"/>
      <c r="N1498" s="3"/>
      <c r="O1498" s="3"/>
      <c r="P1498" s="3"/>
      <c r="Q1498" s="3"/>
      <c r="R1498" s="3"/>
    </row>
    <row r="1499" spans="1:18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135"/>
      <c r="M1499" s="3"/>
      <c r="N1499" s="3"/>
      <c r="O1499" s="3"/>
      <c r="P1499" s="3"/>
      <c r="Q1499" s="3"/>
      <c r="R1499" s="3"/>
    </row>
    <row r="1500" spans="1:18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135"/>
      <c r="M1500" s="3"/>
      <c r="N1500" s="3"/>
      <c r="O1500" s="3"/>
      <c r="P1500" s="3"/>
      <c r="Q1500" s="3"/>
      <c r="R1500" s="3"/>
    </row>
    <row r="1501" spans="1:18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135"/>
      <c r="M1501" s="3"/>
      <c r="N1501" s="3"/>
      <c r="O1501" s="3"/>
      <c r="P1501" s="3"/>
      <c r="Q1501" s="3"/>
      <c r="R1501" s="3"/>
    </row>
    <row r="1502" spans="1:18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135"/>
      <c r="M1502" s="3"/>
      <c r="N1502" s="3"/>
      <c r="O1502" s="3"/>
      <c r="P1502" s="3"/>
      <c r="Q1502" s="3"/>
      <c r="R1502" s="3"/>
    </row>
    <row r="1503" spans="1:18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135"/>
      <c r="M1503" s="3"/>
      <c r="N1503" s="3"/>
      <c r="O1503" s="3"/>
      <c r="P1503" s="3"/>
      <c r="Q1503" s="3"/>
      <c r="R1503" s="3"/>
    </row>
    <row r="1504" spans="1:18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135"/>
      <c r="M1504" s="3"/>
      <c r="N1504" s="3"/>
      <c r="O1504" s="3"/>
      <c r="P1504" s="3"/>
      <c r="Q1504" s="3"/>
      <c r="R1504" s="3"/>
    </row>
    <row r="1505" spans="1:18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135"/>
      <c r="M1505" s="3"/>
      <c r="N1505" s="3"/>
      <c r="O1505" s="3"/>
      <c r="P1505" s="3"/>
      <c r="Q1505" s="3"/>
      <c r="R1505" s="3"/>
    </row>
    <row r="1506" spans="1:18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135"/>
      <c r="M1506" s="3"/>
      <c r="N1506" s="3"/>
      <c r="O1506" s="3"/>
      <c r="P1506" s="3"/>
      <c r="Q1506" s="3"/>
      <c r="R1506" s="3"/>
    </row>
    <row r="1507" spans="1:18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135"/>
      <c r="M1507" s="3"/>
      <c r="N1507" s="3"/>
      <c r="O1507" s="3"/>
      <c r="P1507" s="3"/>
      <c r="Q1507" s="3"/>
      <c r="R1507" s="3"/>
    </row>
    <row r="1508" spans="1:18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135"/>
      <c r="M1508" s="3"/>
      <c r="N1508" s="3"/>
      <c r="O1508" s="3"/>
      <c r="P1508" s="3"/>
      <c r="Q1508" s="3"/>
      <c r="R1508" s="3"/>
    </row>
    <row r="1509" spans="1:18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135"/>
      <c r="M1509" s="3"/>
      <c r="N1509" s="3"/>
      <c r="O1509" s="3"/>
      <c r="P1509" s="3"/>
      <c r="Q1509" s="3"/>
      <c r="R1509" s="3"/>
    </row>
    <row r="1510" spans="1:18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135"/>
      <c r="M1510" s="3"/>
      <c r="N1510" s="3"/>
      <c r="O1510" s="3"/>
      <c r="P1510" s="3"/>
      <c r="Q1510" s="3"/>
      <c r="R1510" s="3"/>
    </row>
    <row r="1511" spans="1:18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135"/>
      <c r="M1511" s="3"/>
      <c r="N1511" s="3"/>
      <c r="O1511" s="3"/>
      <c r="P1511" s="3"/>
      <c r="Q1511" s="3"/>
      <c r="R1511" s="3"/>
    </row>
    <row r="1512" spans="1:18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135"/>
      <c r="M1512" s="3"/>
      <c r="N1512" s="3"/>
      <c r="O1512" s="3"/>
      <c r="P1512" s="3"/>
      <c r="Q1512" s="3"/>
      <c r="R1512" s="3"/>
    </row>
    <row r="1513" spans="1:18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135"/>
      <c r="M1513" s="3"/>
      <c r="N1513" s="3"/>
      <c r="O1513" s="3"/>
      <c r="P1513" s="3"/>
      <c r="Q1513" s="3"/>
      <c r="R1513" s="3"/>
    </row>
    <row r="1514" spans="1:18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135"/>
      <c r="M1514" s="3"/>
      <c r="N1514" s="3"/>
      <c r="O1514" s="3"/>
      <c r="P1514" s="3"/>
      <c r="Q1514" s="3"/>
      <c r="R1514" s="3"/>
    </row>
    <row r="1515" spans="1:18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135"/>
      <c r="M1515" s="3"/>
      <c r="N1515" s="3"/>
      <c r="O1515" s="3"/>
      <c r="P1515" s="3"/>
      <c r="Q1515" s="3"/>
      <c r="R1515" s="3"/>
    </row>
    <row r="1516" spans="1:18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135"/>
      <c r="M1516" s="3"/>
      <c r="N1516" s="3"/>
      <c r="O1516" s="3"/>
      <c r="P1516" s="3"/>
      <c r="Q1516" s="3"/>
      <c r="R1516" s="3"/>
    </row>
    <row r="1517" spans="1:18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135"/>
      <c r="M1517" s="3"/>
      <c r="N1517" s="3"/>
      <c r="O1517" s="3"/>
      <c r="P1517" s="3"/>
      <c r="Q1517" s="3"/>
      <c r="R1517" s="3"/>
    </row>
    <row r="1518" spans="1:18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135"/>
      <c r="M1518" s="3"/>
      <c r="N1518" s="3"/>
      <c r="O1518" s="3"/>
      <c r="P1518" s="3"/>
      <c r="Q1518" s="3"/>
      <c r="R1518" s="3"/>
    </row>
    <row r="1519" spans="1:18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135"/>
      <c r="M1519" s="3"/>
      <c r="N1519" s="3"/>
      <c r="O1519" s="3"/>
      <c r="P1519" s="3"/>
      <c r="Q1519" s="3"/>
      <c r="R1519" s="3"/>
    </row>
    <row r="1520" spans="1:18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135"/>
      <c r="M1520" s="3"/>
      <c r="N1520" s="3"/>
      <c r="O1520" s="3"/>
      <c r="P1520" s="3"/>
      <c r="Q1520" s="3"/>
      <c r="R1520" s="3"/>
    </row>
    <row r="1521" spans="1:18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135"/>
      <c r="M1521" s="3"/>
      <c r="N1521" s="3"/>
      <c r="O1521" s="3"/>
      <c r="P1521" s="3"/>
      <c r="Q1521" s="3"/>
      <c r="R1521" s="3"/>
    </row>
    <row r="1522" spans="1:18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135"/>
      <c r="M1522" s="3"/>
      <c r="N1522" s="3"/>
      <c r="O1522" s="3"/>
      <c r="P1522" s="3"/>
      <c r="Q1522" s="3"/>
      <c r="R1522" s="3"/>
    </row>
    <row r="1523" spans="1:18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135"/>
      <c r="M1523" s="3"/>
      <c r="N1523" s="3"/>
      <c r="O1523" s="3"/>
      <c r="P1523" s="3"/>
      <c r="Q1523" s="3"/>
      <c r="R1523" s="3"/>
    </row>
    <row r="1524" spans="1:18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135"/>
      <c r="M1524" s="3"/>
      <c r="N1524" s="3"/>
      <c r="O1524" s="3"/>
      <c r="P1524" s="3"/>
      <c r="Q1524" s="3"/>
      <c r="R1524" s="3"/>
    </row>
    <row r="1525" spans="1:18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135"/>
      <c r="M1525" s="3"/>
      <c r="N1525" s="3"/>
      <c r="O1525" s="3"/>
      <c r="P1525" s="3"/>
      <c r="Q1525" s="3"/>
      <c r="R1525" s="3"/>
    </row>
    <row r="1526" spans="1:18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135"/>
      <c r="M1526" s="3"/>
      <c r="N1526" s="3"/>
      <c r="O1526" s="3"/>
      <c r="P1526" s="3"/>
      <c r="Q1526" s="3"/>
      <c r="R1526" s="3"/>
    </row>
    <row r="1527" spans="1:18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135"/>
      <c r="M1527" s="3"/>
      <c r="N1527" s="3"/>
      <c r="O1527" s="3"/>
      <c r="P1527" s="3"/>
      <c r="Q1527" s="3"/>
      <c r="R1527" s="3"/>
    </row>
    <row r="1528" spans="1:18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135"/>
      <c r="M1528" s="3"/>
      <c r="N1528" s="3"/>
      <c r="O1528" s="3"/>
      <c r="P1528" s="3"/>
      <c r="Q1528" s="3"/>
      <c r="R1528" s="3"/>
    </row>
    <row r="1529" spans="1:18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135"/>
      <c r="M1529" s="3"/>
      <c r="N1529" s="3"/>
      <c r="O1529" s="3"/>
      <c r="P1529" s="3"/>
      <c r="Q1529" s="3"/>
      <c r="R1529" s="3"/>
    </row>
    <row r="1530" spans="1:18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135"/>
      <c r="M1530" s="3"/>
      <c r="N1530" s="3"/>
      <c r="O1530" s="3"/>
      <c r="P1530" s="3"/>
      <c r="Q1530" s="3"/>
      <c r="R1530" s="3"/>
    </row>
    <row r="1531" spans="1:18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135"/>
      <c r="M1531" s="3"/>
      <c r="N1531" s="3"/>
      <c r="O1531" s="3"/>
      <c r="P1531" s="3"/>
      <c r="Q1531" s="3"/>
      <c r="R1531" s="3"/>
    </row>
    <row r="1532" spans="1:18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135"/>
      <c r="M1532" s="3"/>
      <c r="N1532" s="3"/>
      <c r="O1532" s="3"/>
      <c r="P1532" s="3"/>
      <c r="Q1532" s="3"/>
      <c r="R1532" s="3"/>
    </row>
    <row r="1533" spans="1:18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135"/>
      <c r="M1533" s="3"/>
      <c r="N1533" s="3"/>
      <c r="O1533" s="3"/>
      <c r="P1533" s="3"/>
      <c r="Q1533" s="3"/>
      <c r="R1533" s="3"/>
    </row>
    <row r="1534" spans="1:18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135"/>
      <c r="M1534" s="3"/>
      <c r="N1534" s="3"/>
      <c r="O1534" s="3"/>
      <c r="P1534" s="3"/>
      <c r="Q1534" s="3"/>
      <c r="R1534" s="3"/>
    </row>
    <row r="1535" spans="1:18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135"/>
      <c r="M1535" s="3"/>
      <c r="N1535" s="3"/>
      <c r="O1535" s="3"/>
      <c r="P1535" s="3"/>
      <c r="Q1535" s="3"/>
      <c r="R1535" s="3"/>
    </row>
    <row r="1536" spans="1:18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135"/>
      <c r="M1536" s="3"/>
      <c r="N1536" s="3"/>
      <c r="O1536" s="3"/>
      <c r="P1536" s="3"/>
      <c r="Q1536" s="3"/>
      <c r="R1536" s="3"/>
    </row>
    <row r="1537" spans="1:18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135"/>
      <c r="M1537" s="3"/>
      <c r="N1537" s="3"/>
      <c r="O1537" s="3"/>
      <c r="P1537" s="3"/>
      <c r="Q1537" s="3"/>
      <c r="R1537" s="3"/>
    </row>
    <row r="1538" spans="1:18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135"/>
      <c r="M1538" s="3"/>
      <c r="N1538" s="3"/>
      <c r="O1538" s="3"/>
      <c r="P1538" s="3"/>
      <c r="Q1538" s="3"/>
      <c r="R1538" s="3"/>
    </row>
    <row r="1539" spans="1:18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135"/>
      <c r="M1539" s="3"/>
      <c r="N1539" s="3"/>
      <c r="O1539" s="3"/>
      <c r="P1539" s="3"/>
      <c r="Q1539" s="3"/>
      <c r="R1539" s="3"/>
    </row>
    <row r="1540" spans="1:18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135"/>
      <c r="M1540" s="3"/>
      <c r="N1540" s="3"/>
      <c r="O1540" s="3"/>
      <c r="P1540" s="3"/>
      <c r="Q1540" s="3"/>
      <c r="R1540" s="3"/>
    </row>
    <row r="1541" spans="1:18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135"/>
      <c r="M1541" s="3"/>
      <c r="N1541" s="3"/>
      <c r="O1541" s="3"/>
      <c r="P1541" s="3"/>
      <c r="Q1541" s="3"/>
      <c r="R1541" s="3"/>
    </row>
    <row r="1542" spans="1:18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135"/>
      <c r="M1542" s="3"/>
      <c r="N1542" s="3"/>
      <c r="O1542" s="3"/>
      <c r="P1542" s="3"/>
      <c r="Q1542" s="3"/>
      <c r="R1542" s="3"/>
    </row>
    <row r="1543" spans="1:18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135"/>
      <c r="M1543" s="3"/>
      <c r="N1543" s="3"/>
      <c r="O1543" s="3"/>
      <c r="P1543" s="3"/>
      <c r="Q1543" s="3"/>
      <c r="R1543" s="3"/>
    </row>
    <row r="1544" spans="1:18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135"/>
      <c r="M1544" s="3"/>
      <c r="N1544" s="3"/>
      <c r="O1544" s="3"/>
      <c r="P1544" s="3"/>
      <c r="Q1544" s="3"/>
      <c r="R1544" s="3"/>
    </row>
    <row r="1545" spans="1:18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135"/>
      <c r="M1545" s="3"/>
      <c r="N1545" s="3"/>
      <c r="O1545" s="3"/>
      <c r="P1545" s="3"/>
      <c r="Q1545" s="3"/>
      <c r="R1545" s="3"/>
    </row>
    <row r="1546" spans="1:18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135"/>
      <c r="M1546" s="3"/>
      <c r="N1546" s="3"/>
      <c r="O1546" s="3"/>
      <c r="P1546" s="3"/>
      <c r="Q1546" s="3"/>
      <c r="R1546" s="3"/>
    </row>
    <row r="1547" spans="1:18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135"/>
      <c r="M1547" s="3"/>
      <c r="N1547" s="3"/>
      <c r="O1547" s="3"/>
      <c r="P1547" s="3"/>
      <c r="Q1547" s="3"/>
      <c r="R1547" s="3"/>
    </row>
    <row r="1548" spans="1:18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135"/>
      <c r="M1548" s="3"/>
      <c r="N1548" s="3"/>
      <c r="O1548" s="3"/>
      <c r="P1548" s="3"/>
      <c r="Q1548" s="3"/>
      <c r="R1548" s="3"/>
    </row>
    <row r="1549" spans="1:18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135"/>
      <c r="M1549" s="3"/>
      <c r="N1549" s="3"/>
      <c r="O1549" s="3"/>
      <c r="P1549" s="3"/>
      <c r="Q1549" s="3"/>
      <c r="R1549" s="3"/>
    </row>
    <row r="1550" spans="1:18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135"/>
      <c r="M1550" s="3"/>
      <c r="N1550" s="3"/>
      <c r="O1550" s="3"/>
      <c r="P1550" s="3"/>
      <c r="Q1550" s="3"/>
      <c r="R1550" s="3"/>
    </row>
    <row r="1551" spans="1:18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135"/>
      <c r="M1551" s="3"/>
      <c r="N1551" s="3"/>
      <c r="O1551" s="3"/>
      <c r="P1551" s="3"/>
      <c r="Q1551" s="3"/>
      <c r="R1551" s="3"/>
    </row>
    <row r="1552" spans="1:18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135"/>
      <c r="M1552" s="3"/>
      <c r="N1552" s="3"/>
      <c r="O1552" s="3"/>
      <c r="P1552" s="3"/>
      <c r="Q1552" s="3"/>
      <c r="R1552" s="3"/>
    </row>
    <row r="1553" spans="1:18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135"/>
      <c r="M1553" s="3"/>
      <c r="N1553" s="3"/>
      <c r="O1553" s="3"/>
      <c r="P1553" s="3"/>
      <c r="Q1553" s="3"/>
      <c r="R1553" s="3"/>
    </row>
    <row r="1554" spans="1:18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135"/>
      <c r="M1554" s="3"/>
      <c r="N1554" s="3"/>
      <c r="O1554" s="3"/>
      <c r="P1554" s="3"/>
      <c r="Q1554" s="3"/>
      <c r="R1554" s="3"/>
    </row>
    <row r="1555" spans="1:18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135"/>
      <c r="M1555" s="3"/>
      <c r="N1555" s="3"/>
      <c r="O1555" s="3"/>
      <c r="P1555" s="3"/>
      <c r="Q1555" s="3"/>
      <c r="R1555" s="3"/>
    </row>
    <row r="1556" spans="1:18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135"/>
      <c r="M1556" s="3"/>
      <c r="N1556" s="3"/>
      <c r="O1556" s="3"/>
      <c r="P1556" s="3"/>
      <c r="Q1556" s="3"/>
      <c r="R1556" s="3"/>
    </row>
    <row r="1557" spans="1:18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135"/>
      <c r="M1557" s="3"/>
      <c r="N1557" s="3"/>
      <c r="O1557" s="3"/>
      <c r="P1557" s="3"/>
      <c r="Q1557" s="3"/>
      <c r="R1557" s="3"/>
    </row>
    <row r="1558" spans="1:18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135"/>
      <c r="M1558" s="3"/>
      <c r="N1558" s="3"/>
      <c r="O1558" s="3"/>
      <c r="P1558" s="3"/>
      <c r="Q1558" s="3"/>
      <c r="R1558" s="3"/>
    </row>
    <row r="1559" spans="1:18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135"/>
      <c r="M1559" s="3"/>
      <c r="N1559" s="3"/>
      <c r="O1559" s="3"/>
      <c r="P1559" s="3"/>
      <c r="Q1559" s="3"/>
      <c r="R1559" s="3"/>
    </row>
    <row r="1560" spans="1:18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135"/>
      <c r="M1560" s="3"/>
      <c r="N1560" s="3"/>
      <c r="O1560" s="3"/>
      <c r="P1560" s="3"/>
      <c r="Q1560" s="3"/>
      <c r="R1560" s="3"/>
    </row>
    <row r="1561" spans="1:18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135"/>
      <c r="M1561" s="3"/>
      <c r="N1561" s="3"/>
      <c r="O1561" s="3"/>
      <c r="P1561" s="3"/>
      <c r="Q1561" s="3"/>
      <c r="R1561" s="3"/>
    </row>
    <row r="1562" spans="1:18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135"/>
      <c r="M1562" s="3"/>
      <c r="N1562" s="3"/>
      <c r="O1562" s="3"/>
      <c r="P1562" s="3"/>
      <c r="Q1562" s="3"/>
      <c r="R1562" s="3"/>
    </row>
    <row r="1563" spans="1:18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135"/>
      <c r="M1563" s="3"/>
      <c r="N1563" s="3"/>
      <c r="O1563" s="3"/>
      <c r="P1563" s="3"/>
      <c r="Q1563" s="3"/>
      <c r="R1563" s="3"/>
    </row>
    <row r="1564" spans="1:18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135"/>
      <c r="M1564" s="3"/>
      <c r="N1564" s="3"/>
      <c r="O1564" s="3"/>
      <c r="P1564" s="3"/>
      <c r="Q1564" s="3"/>
      <c r="R1564" s="3"/>
    </row>
    <row r="1565" spans="1:18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135"/>
      <c r="M1565" s="3"/>
      <c r="N1565" s="3"/>
      <c r="O1565" s="3"/>
      <c r="P1565" s="3"/>
      <c r="Q1565" s="3"/>
      <c r="R1565" s="3"/>
    </row>
    <row r="1566" spans="1:18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135"/>
      <c r="M1566" s="3"/>
      <c r="N1566" s="3"/>
      <c r="O1566" s="3"/>
      <c r="P1566" s="3"/>
      <c r="Q1566" s="3"/>
      <c r="R1566" s="3"/>
    </row>
    <row r="1567" spans="1:18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135"/>
      <c r="M1567" s="3"/>
      <c r="N1567" s="3"/>
      <c r="O1567" s="3"/>
      <c r="P1567" s="3"/>
      <c r="Q1567" s="3"/>
      <c r="R1567" s="3"/>
    </row>
    <row r="1568" spans="1:18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135"/>
      <c r="M1568" s="3"/>
      <c r="N1568" s="3"/>
      <c r="O1568" s="3"/>
      <c r="P1568" s="3"/>
      <c r="Q1568" s="3"/>
      <c r="R1568" s="3"/>
    </row>
    <row r="1569" spans="1:18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135"/>
      <c r="M1569" s="3"/>
      <c r="N1569" s="3"/>
      <c r="O1569" s="3"/>
      <c r="P1569" s="3"/>
      <c r="Q1569" s="3"/>
      <c r="R1569" s="3"/>
    </row>
    <row r="1570" spans="1:18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135"/>
      <c r="M1570" s="3"/>
      <c r="N1570" s="3"/>
      <c r="O1570" s="3"/>
      <c r="P1570" s="3"/>
      <c r="Q1570" s="3"/>
      <c r="R1570" s="3"/>
    </row>
    <row r="1571" spans="1:18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135"/>
      <c r="M1571" s="3"/>
      <c r="N1571" s="3"/>
      <c r="O1571" s="3"/>
      <c r="P1571" s="3"/>
      <c r="Q1571" s="3"/>
      <c r="R1571" s="3"/>
    </row>
    <row r="1572" spans="1:18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135"/>
      <c r="M1572" s="3"/>
      <c r="N1572" s="3"/>
      <c r="O1572" s="3"/>
      <c r="P1572" s="3"/>
      <c r="Q1572" s="3"/>
      <c r="R1572" s="3"/>
    </row>
    <row r="1573" spans="1:18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135"/>
      <c r="M1573" s="3"/>
      <c r="N1573" s="3"/>
      <c r="O1573" s="3"/>
      <c r="P1573" s="3"/>
      <c r="Q1573" s="3"/>
      <c r="R1573" s="3"/>
    </row>
    <row r="1574" spans="1:18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135"/>
      <c r="M1574" s="3"/>
      <c r="N1574" s="3"/>
      <c r="O1574" s="3"/>
      <c r="P1574" s="3"/>
      <c r="Q1574" s="3"/>
      <c r="R1574" s="3"/>
    </row>
    <row r="1575" spans="1:18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135"/>
      <c r="M1575" s="3"/>
      <c r="N1575" s="3"/>
      <c r="O1575" s="3"/>
      <c r="P1575" s="3"/>
      <c r="Q1575" s="3"/>
      <c r="R1575" s="3"/>
    </row>
    <row r="1576" spans="1:18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135"/>
      <c r="M1576" s="3"/>
      <c r="N1576" s="3"/>
      <c r="O1576" s="3"/>
      <c r="P1576" s="3"/>
      <c r="Q1576" s="3"/>
      <c r="R1576" s="3"/>
    </row>
    <row r="1577" spans="1:18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135"/>
      <c r="M1577" s="3"/>
      <c r="N1577" s="3"/>
      <c r="O1577" s="3"/>
      <c r="P1577" s="3"/>
      <c r="Q1577" s="3"/>
      <c r="R1577" s="3"/>
    </row>
    <row r="1578" spans="1:18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135"/>
      <c r="M1578" s="3"/>
      <c r="N1578" s="3"/>
      <c r="O1578" s="3"/>
      <c r="P1578" s="3"/>
      <c r="Q1578" s="3"/>
      <c r="R1578" s="3"/>
    </row>
    <row r="1579" spans="1:18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135"/>
      <c r="M1579" s="3"/>
      <c r="N1579" s="3"/>
      <c r="O1579" s="3"/>
      <c r="P1579" s="3"/>
      <c r="Q1579" s="3"/>
      <c r="R1579" s="3"/>
    </row>
    <row r="1580" spans="1:18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135"/>
      <c r="M1580" s="3"/>
      <c r="N1580" s="3"/>
      <c r="O1580" s="3"/>
      <c r="P1580" s="3"/>
      <c r="Q1580" s="3"/>
      <c r="R1580" s="3"/>
    </row>
    <row r="1581" spans="1:18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135"/>
      <c r="M1581" s="3"/>
      <c r="N1581" s="3"/>
      <c r="O1581" s="3"/>
      <c r="P1581" s="3"/>
      <c r="Q1581" s="3"/>
      <c r="R1581" s="3"/>
    </row>
    <row r="1582" spans="1:18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135"/>
      <c r="M1582" s="3"/>
      <c r="N1582" s="3"/>
      <c r="O1582" s="3"/>
      <c r="P1582" s="3"/>
      <c r="Q1582" s="3"/>
      <c r="R1582" s="3"/>
    </row>
    <row r="1583" spans="1:18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135"/>
      <c r="M1583" s="3"/>
      <c r="N1583" s="3"/>
      <c r="O1583" s="3"/>
      <c r="P1583" s="3"/>
      <c r="Q1583" s="3"/>
      <c r="R1583" s="3"/>
    </row>
    <row r="1584" spans="1:18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135"/>
      <c r="M1584" s="3"/>
      <c r="N1584" s="3"/>
      <c r="O1584" s="3"/>
      <c r="P1584" s="3"/>
      <c r="Q1584" s="3"/>
      <c r="R1584" s="3"/>
    </row>
    <row r="1585" spans="1:18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135"/>
      <c r="M1585" s="3"/>
      <c r="N1585" s="3"/>
      <c r="O1585" s="3"/>
      <c r="P1585" s="3"/>
      <c r="Q1585" s="3"/>
      <c r="R1585" s="3"/>
    </row>
    <row r="1586" spans="1:18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135"/>
      <c r="M1586" s="3"/>
      <c r="N1586" s="3"/>
      <c r="O1586" s="3"/>
      <c r="P1586" s="3"/>
      <c r="Q1586" s="3"/>
      <c r="R1586" s="3"/>
    </row>
    <row r="1587" spans="1:18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135"/>
      <c r="M1587" s="3"/>
      <c r="N1587" s="3"/>
      <c r="O1587" s="3"/>
      <c r="P1587" s="3"/>
      <c r="Q1587" s="3"/>
      <c r="R1587" s="3"/>
    </row>
    <row r="1593" spans="1:18" ht="15.75" thickBot="1" x14ac:dyDescent="0.3">
      <c r="R1593" s="3"/>
    </row>
    <row r="1594" spans="1:18" ht="15" customHeight="1" x14ac:dyDescent="0.25">
      <c r="A1594" s="2850" t="s">
        <v>729</v>
      </c>
      <c r="B1594" s="2851"/>
      <c r="C1594" s="2851"/>
      <c r="D1594" s="2851"/>
      <c r="E1594" s="2851"/>
      <c r="F1594" s="2851"/>
      <c r="G1594" s="2851"/>
      <c r="H1594" s="2851"/>
      <c r="I1594" s="2851"/>
      <c r="J1594" s="2851"/>
      <c r="K1594" s="2851"/>
      <c r="L1594" s="2851"/>
      <c r="M1594" s="2851"/>
      <c r="N1594" s="2851"/>
      <c r="O1594" s="2851"/>
      <c r="P1594" s="2851"/>
      <c r="Q1594" s="2851"/>
      <c r="R1594" s="3"/>
    </row>
    <row r="1595" spans="1:18" ht="15.75" customHeight="1" thickBot="1" x14ac:dyDescent="0.3">
      <c r="A1595" s="2848" t="s">
        <v>1829</v>
      </c>
      <c r="B1595" s="2849"/>
      <c r="C1595" s="2849"/>
      <c r="D1595" s="2849"/>
      <c r="E1595" s="2849"/>
      <c r="F1595" s="2849"/>
      <c r="G1595" s="2849"/>
      <c r="H1595" s="2849"/>
      <c r="I1595" s="2849"/>
      <c r="J1595" s="2849"/>
      <c r="K1595" s="2849"/>
      <c r="L1595" s="2849"/>
      <c r="M1595" s="2849"/>
      <c r="N1595" s="2849"/>
      <c r="O1595" s="2849"/>
      <c r="P1595" s="2849"/>
      <c r="Q1595" s="2849"/>
      <c r="R1595" s="3"/>
    </row>
    <row r="1596" spans="1:18" x14ac:dyDescent="0.25">
      <c r="L1596" s="135"/>
      <c r="R1596" s="3"/>
    </row>
    <row r="1597" spans="1:18" x14ac:dyDescent="0.25">
      <c r="L1597" s="135"/>
      <c r="R1597" s="3"/>
    </row>
    <row r="1598" spans="1:18" x14ac:dyDescent="0.25">
      <c r="L1598" s="135"/>
      <c r="R1598" s="3"/>
    </row>
    <row r="1599" spans="1:18" x14ac:dyDescent="0.25">
      <c r="L1599" s="135"/>
      <c r="R1599" s="3"/>
    </row>
    <row r="1600" spans="1:18" x14ac:dyDescent="0.25">
      <c r="L1600" s="135"/>
      <c r="R1600" s="3"/>
    </row>
    <row r="1601" spans="1:18" x14ac:dyDescent="0.25">
      <c r="L1601" s="135"/>
      <c r="R1601" s="3"/>
    </row>
    <row r="1602" spans="1:18" x14ac:dyDescent="0.25">
      <c r="L1602" s="135"/>
      <c r="R1602" s="3"/>
    </row>
    <row r="1603" spans="1:18" x14ac:dyDescent="0.25">
      <c r="L1603" s="135"/>
      <c r="R1603" s="3"/>
    </row>
    <row r="1604" spans="1:18" ht="15.75" thickBot="1" x14ac:dyDescent="0.3">
      <c r="L1604" s="135"/>
      <c r="R1604" s="3"/>
    </row>
    <row r="1605" spans="1:18" ht="15.75" customHeight="1" thickBot="1" x14ac:dyDescent="0.3">
      <c r="A1605" s="2846" t="s">
        <v>1842</v>
      </c>
      <c r="B1605" s="2847"/>
      <c r="C1605" s="2847"/>
      <c r="D1605" s="2847"/>
      <c r="E1605" s="2847"/>
      <c r="F1605" s="2847"/>
      <c r="G1605" s="2847"/>
      <c r="H1605" s="2847"/>
      <c r="I1605" s="2847"/>
      <c r="J1605" s="2847"/>
      <c r="K1605" s="2847"/>
      <c r="L1605" s="2847"/>
      <c r="M1605" s="2847"/>
      <c r="N1605" s="2847"/>
      <c r="O1605" s="2847"/>
      <c r="P1605" s="2847"/>
      <c r="Q1605" s="2847"/>
      <c r="R1605" s="3"/>
    </row>
    <row r="1610" spans="1:18" ht="15" customHeight="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M1610" s="3"/>
      <c r="N1610" s="3"/>
      <c r="O1610" s="3"/>
      <c r="P1610" s="3"/>
      <c r="Q1610" s="3"/>
      <c r="R1610" s="3"/>
    </row>
    <row r="1618" spans="1:18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135"/>
      <c r="M1618" s="3"/>
      <c r="N1618" s="3"/>
      <c r="O1618" s="3"/>
      <c r="P1618" s="3"/>
      <c r="Q1618" s="3"/>
      <c r="R1618" s="3"/>
    </row>
    <row r="1619" spans="1:18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135"/>
      <c r="M1619" s="3"/>
      <c r="N1619" s="3"/>
      <c r="O1619" s="3"/>
      <c r="P1619" s="3"/>
      <c r="Q1619" s="3"/>
      <c r="R1619" s="3"/>
    </row>
    <row r="1620" spans="1:18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135"/>
      <c r="M1620" s="3"/>
      <c r="N1620" s="3"/>
      <c r="O1620" s="3"/>
      <c r="P1620" s="3"/>
      <c r="Q1620" s="3"/>
      <c r="R1620" s="3"/>
    </row>
    <row r="1621" spans="1:18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135"/>
      <c r="M1621" s="3"/>
      <c r="N1621" s="3"/>
      <c r="O1621" s="3"/>
      <c r="P1621" s="3"/>
      <c r="Q1621" s="3"/>
      <c r="R1621" s="3"/>
    </row>
    <row r="1622" spans="1:18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135"/>
      <c r="M1622" s="3"/>
      <c r="N1622" s="3"/>
      <c r="O1622" s="3"/>
      <c r="P1622" s="3"/>
      <c r="Q1622" s="3"/>
      <c r="R1622" s="3"/>
    </row>
    <row r="1623" spans="1:18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135"/>
      <c r="M1623" s="3"/>
      <c r="N1623" s="3"/>
      <c r="O1623" s="3"/>
      <c r="P1623" s="3"/>
      <c r="Q1623" s="3"/>
      <c r="R1623" s="3"/>
    </row>
    <row r="1624" spans="1:18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135"/>
      <c r="M1624" s="3"/>
      <c r="N1624" s="3"/>
      <c r="O1624" s="3"/>
      <c r="P1624" s="3"/>
      <c r="Q1624" s="3"/>
      <c r="R1624" s="3"/>
    </row>
  </sheetData>
  <mergeCells count="936">
    <mergeCell ref="G22:L22"/>
    <mergeCell ref="G23:I23"/>
    <mergeCell ref="G1024:I1024"/>
    <mergeCell ref="G343:I343"/>
    <mergeCell ref="G573:I573"/>
    <mergeCell ref="G764:I764"/>
    <mergeCell ref="G60:L60"/>
    <mergeCell ref="G61:I61"/>
    <mergeCell ref="G66:I66"/>
    <mergeCell ref="G65:L65"/>
    <mergeCell ref="G73:L73"/>
    <mergeCell ref="G239:L239"/>
    <mergeCell ref="G238:I238"/>
    <mergeCell ref="G221:L221"/>
    <mergeCell ref="G191:I191"/>
    <mergeCell ref="G127:L127"/>
    <mergeCell ref="G177:L177"/>
    <mergeCell ref="G141:I141"/>
    <mergeCell ref="G264:L264"/>
    <mergeCell ref="G241:I241"/>
    <mergeCell ref="G629:L629"/>
    <mergeCell ref="G630:I630"/>
    <mergeCell ref="G612:I612"/>
    <mergeCell ref="G447:I447"/>
    <mergeCell ref="G258:I258"/>
    <mergeCell ref="G272:L272"/>
    <mergeCell ref="G275:L275"/>
    <mergeCell ref="G284:I284"/>
    <mergeCell ref="G419:I419"/>
    <mergeCell ref="G423:I423"/>
    <mergeCell ref="G396:L396"/>
    <mergeCell ref="G406:L406"/>
    <mergeCell ref="G296:L296"/>
    <mergeCell ref="G333:L333"/>
    <mergeCell ref="G434:L434"/>
    <mergeCell ref="G251:L251"/>
    <mergeCell ref="G390:L390"/>
    <mergeCell ref="G371:L371"/>
    <mergeCell ref="G453:L453"/>
    <mergeCell ref="G436:L436"/>
    <mergeCell ref="G451:L451"/>
    <mergeCell ref="G466:L466"/>
    <mergeCell ref="G463:I463"/>
    <mergeCell ref="G497:L497"/>
    <mergeCell ref="G580:L580"/>
    <mergeCell ref="G446:L446"/>
    <mergeCell ref="G1054:I1054"/>
    <mergeCell ref="G1053:L1053"/>
    <mergeCell ref="G474:L474"/>
    <mergeCell ref="G475:I475"/>
    <mergeCell ref="G483:L483"/>
    <mergeCell ref="G484:I484"/>
    <mergeCell ref="G638:I638"/>
    <mergeCell ref="G635:L635"/>
    <mergeCell ref="G719:L719"/>
    <mergeCell ref="G705:L705"/>
    <mergeCell ref="G600:L600"/>
    <mergeCell ref="G614:L614"/>
    <mergeCell ref="G445:I445"/>
    <mergeCell ref="G424:L424"/>
    <mergeCell ref="G438:I438"/>
    <mergeCell ref="G450:I450"/>
    <mergeCell ref="G443:L443"/>
    <mergeCell ref="G716:I716"/>
    <mergeCell ref="G610:L610"/>
    <mergeCell ref="G680:L680"/>
    <mergeCell ref="G608:L608"/>
    <mergeCell ref="G570:L570"/>
    <mergeCell ref="G682:L682"/>
    <mergeCell ref="G582:L582"/>
    <mergeCell ref="G620:L620"/>
    <mergeCell ref="G606:L606"/>
    <mergeCell ref="G563:L563"/>
    <mergeCell ref="G455:L455"/>
    <mergeCell ref="G480:L480"/>
    <mergeCell ref="G481:I481"/>
    <mergeCell ref="G699:L699"/>
    <mergeCell ref="G697:L697"/>
    <mergeCell ref="G687:L687"/>
    <mergeCell ref="G669:L669"/>
    <mergeCell ref="G691:L691"/>
    <mergeCell ref="G671:L671"/>
    <mergeCell ref="G565:L565"/>
    <mergeCell ref="G1041:L1041"/>
    <mergeCell ref="G1003:L1003"/>
    <mergeCell ref="G597:L597"/>
    <mergeCell ref="G584:L584"/>
    <mergeCell ref="G579:I579"/>
    <mergeCell ref="G790:L790"/>
    <mergeCell ref="G666:L666"/>
    <mergeCell ref="G654:L654"/>
    <mergeCell ref="G806:L806"/>
    <mergeCell ref="G695:L695"/>
    <mergeCell ref="G684:L684"/>
    <mergeCell ref="G752:I752"/>
    <mergeCell ref="G718:I718"/>
    <mergeCell ref="G717:L717"/>
    <mergeCell ref="G674:I674"/>
    <mergeCell ref="G677:I677"/>
    <mergeCell ref="G632:L632"/>
    <mergeCell ref="M639:N639"/>
    <mergeCell ref="G678:L678"/>
    <mergeCell ref="M677:N677"/>
    <mergeCell ref="G648:L648"/>
    <mergeCell ref="G649:I649"/>
    <mergeCell ref="G640:L640"/>
    <mergeCell ref="G644:L644"/>
    <mergeCell ref="M660:N660"/>
    <mergeCell ref="G689:I689"/>
    <mergeCell ref="G686:I686"/>
    <mergeCell ref="M674:N674"/>
    <mergeCell ref="G661:L661"/>
    <mergeCell ref="M579:N579"/>
    <mergeCell ref="G496:I496"/>
    <mergeCell ref="G464:L464"/>
    <mergeCell ref="G465:I465"/>
    <mergeCell ref="G472:L472"/>
    <mergeCell ref="G473:I473"/>
    <mergeCell ref="G552:L552"/>
    <mergeCell ref="G553:I553"/>
    <mergeCell ref="G567:I567"/>
    <mergeCell ref="G526:L526"/>
    <mergeCell ref="G527:I527"/>
    <mergeCell ref="G537:L537"/>
    <mergeCell ref="G494:L494"/>
    <mergeCell ref="M576:N576"/>
    <mergeCell ref="G545:L545"/>
    <mergeCell ref="G521:I521"/>
    <mergeCell ref="G561:L561"/>
    <mergeCell ref="G467:I467"/>
    <mergeCell ref="G540:I540"/>
    <mergeCell ref="G491:L491"/>
    <mergeCell ref="G492:I492"/>
    <mergeCell ref="G555:L555"/>
    <mergeCell ref="G577:L577"/>
    <mergeCell ref="G510:L510"/>
    <mergeCell ref="A1605:Q1605"/>
    <mergeCell ref="A1595:Q1595"/>
    <mergeCell ref="A1594:Q1594"/>
    <mergeCell ref="A1483:Q1483"/>
    <mergeCell ref="A1430:Q1430"/>
    <mergeCell ref="M1005:N1005"/>
    <mergeCell ref="A1444:Q1444"/>
    <mergeCell ref="A1469:Q1469"/>
    <mergeCell ref="A1334:Q1334"/>
    <mergeCell ref="A1431:Q1431"/>
    <mergeCell ref="A1468:Q1468"/>
    <mergeCell ref="B1039:B1040"/>
    <mergeCell ref="A1282:Q1282"/>
    <mergeCell ref="G1038:I1038"/>
    <mergeCell ref="M1038:N1038"/>
    <mergeCell ref="A1058:B1058"/>
    <mergeCell ref="M1055:N1055"/>
    <mergeCell ref="A1006:A1007"/>
    <mergeCell ref="B1006:B1007"/>
    <mergeCell ref="G1025:I1025"/>
    <mergeCell ref="C1039:C1040"/>
    <mergeCell ref="G1051:L1051"/>
    <mergeCell ref="G1052:I1052"/>
    <mergeCell ref="G1020:I1020"/>
    <mergeCell ref="A1039:A1040"/>
    <mergeCell ref="G1057:I1057"/>
    <mergeCell ref="A1281:Q1281"/>
    <mergeCell ref="M1057:N1057"/>
    <mergeCell ref="G1055:I1055"/>
    <mergeCell ref="A632:A633"/>
    <mergeCell ref="A695:A696"/>
    <mergeCell ref="B695:B696"/>
    <mergeCell ref="B678:B679"/>
    <mergeCell ref="C771:C773"/>
    <mergeCell ref="B731:B732"/>
    <mergeCell ref="C811:C814"/>
    <mergeCell ref="A818:A820"/>
    <mergeCell ref="D771:D773"/>
    <mergeCell ref="B910:B911"/>
    <mergeCell ref="B854:B858"/>
    <mergeCell ref="G792:L792"/>
    <mergeCell ref="G771:L771"/>
    <mergeCell ref="G817:I817"/>
    <mergeCell ref="G802:L802"/>
    <mergeCell ref="G797:L797"/>
    <mergeCell ref="G650:L650"/>
    <mergeCell ref="G651:I651"/>
    <mergeCell ref="G657:I657"/>
    <mergeCell ref="A1028:A1029"/>
    <mergeCell ref="A731:A732"/>
    <mergeCell ref="M88:N88"/>
    <mergeCell ref="G89:L89"/>
    <mergeCell ref="M170:N170"/>
    <mergeCell ref="G218:L218"/>
    <mergeCell ref="G214:L214"/>
    <mergeCell ref="G184:I184"/>
    <mergeCell ref="G576:I576"/>
    <mergeCell ref="G616:L616"/>
    <mergeCell ref="G618:L618"/>
    <mergeCell ref="G591:L591"/>
    <mergeCell ref="G587:L587"/>
    <mergeCell ref="G603:I603"/>
    <mergeCell ref="G574:I574"/>
    <mergeCell ref="G544:I544"/>
    <mergeCell ref="M129:N129"/>
    <mergeCell ref="G192:L192"/>
    <mergeCell ref="G129:I129"/>
    <mergeCell ref="G441:L441"/>
    <mergeCell ref="G462:L462"/>
    <mergeCell ref="G627:L627"/>
    <mergeCell ref="M450:N450"/>
    <mergeCell ref="M542:N542"/>
    <mergeCell ref="B1028:B1029"/>
    <mergeCell ref="G978:L978"/>
    <mergeCell ref="M770:N770"/>
    <mergeCell ref="M469:N469"/>
    <mergeCell ref="M554:N554"/>
    <mergeCell ref="G477:L477"/>
    <mergeCell ref="M496:N496"/>
    <mergeCell ref="G586:I586"/>
    <mergeCell ref="G542:I542"/>
    <mergeCell ref="G547:L547"/>
    <mergeCell ref="G604:L604"/>
    <mergeCell ref="G502:L502"/>
    <mergeCell ref="G551:I551"/>
    <mergeCell ref="G525:I525"/>
    <mergeCell ref="G550:L550"/>
    <mergeCell ref="G522:L522"/>
    <mergeCell ref="M586:N586"/>
    <mergeCell ref="C1028:C1029"/>
    <mergeCell ref="D1028:D1029"/>
    <mergeCell ref="G631:I631"/>
    <mergeCell ref="M574:N574"/>
    <mergeCell ref="M694:N694"/>
    <mergeCell ref="M631:N631"/>
    <mergeCell ref="M613:N613"/>
    <mergeCell ref="M438:N438"/>
    <mergeCell ref="D614:D615"/>
    <mergeCell ref="M476:N476"/>
    <mergeCell ref="G411:L411"/>
    <mergeCell ref="M486:N486"/>
    <mergeCell ref="M392:N392"/>
    <mergeCell ref="G414:L414"/>
    <mergeCell ref="G430:L430"/>
    <mergeCell ref="G410:I410"/>
    <mergeCell ref="G469:I469"/>
    <mergeCell ref="G476:I476"/>
    <mergeCell ref="G418:L418"/>
    <mergeCell ref="M493:N493"/>
    <mergeCell ref="M544:N544"/>
    <mergeCell ref="G486:I486"/>
    <mergeCell ref="G490:I490"/>
    <mergeCell ref="G489:L489"/>
    <mergeCell ref="G428:L428"/>
    <mergeCell ref="G426:L426"/>
    <mergeCell ref="G420:L420"/>
    <mergeCell ref="D451:D452"/>
    <mergeCell ref="M603:N603"/>
    <mergeCell ref="G559:L559"/>
    <mergeCell ref="M423:N423"/>
    <mergeCell ref="M410:N410"/>
    <mergeCell ref="M191:N191"/>
    <mergeCell ref="M361:N361"/>
    <mergeCell ref="M254:N254"/>
    <mergeCell ref="M258:N258"/>
    <mergeCell ref="M346:N346"/>
    <mergeCell ref="G299:L299"/>
    <mergeCell ref="M274:N274"/>
    <mergeCell ref="M242:N242"/>
    <mergeCell ref="G312:L312"/>
    <mergeCell ref="G346:I346"/>
    <mergeCell ref="M217:N217"/>
    <mergeCell ref="G259:L259"/>
    <mergeCell ref="G319:L319"/>
    <mergeCell ref="G329:I329"/>
    <mergeCell ref="M373:N373"/>
    <mergeCell ref="M212:N212"/>
    <mergeCell ref="G309:L309"/>
    <mergeCell ref="G367:L367"/>
    <mergeCell ref="G249:L249"/>
    <mergeCell ref="G234:L234"/>
    <mergeCell ref="G361:I361"/>
    <mergeCell ref="G285:L285"/>
    <mergeCell ref="G352:I352"/>
    <mergeCell ref="B171:B173"/>
    <mergeCell ref="C171:C173"/>
    <mergeCell ref="D171:D173"/>
    <mergeCell ref="G142:L142"/>
    <mergeCell ref="G170:I170"/>
    <mergeCell ref="D185:D187"/>
    <mergeCell ref="G159:L159"/>
    <mergeCell ref="A185:A187"/>
    <mergeCell ref="D180:D183"/>
    <mergeCell ref="A180:A183"/>
    <mergeCell ref="B180:B183"/>
    <mergeCell ref="B185:B187"/>
    <mergeCell ref="G185:L185"/>
    <mergeCell ref="G167:I167"/>
    <mergeCell ref="C180:C183"/>
    <mergeCell ref="G175:L175"/>
    <mergeCell ref="G163:L163"/>
    <mergeCell ref="G173:L173"/>
    <mergeCell ref="G168:L168"/>
    <mergeCell ref="G169:I169"/>
    <mergeCell ref="G171:L171"/>
    <mergeCell ref="A171:A173"/>
    <mergeCell ref="G179:I179"/>
    <mergeCell ref="G161:L161"/>
    <mergeCell ref="G39:L39"/>
    <mergeCell ref="A39:A40"/>
    <mergeCell ref="G15:I15"/>
    <mergeCell ref="A130:A131"/>
    <mergeCell ref="G72:I72"/>
    <mergeCell ref="G124:I124"/>
    <mergeCell ref="G111:I111"/>
    <mergeCell ref="G120:I120"/>
    <mergeCell ref="G88:I88"/>
    <mergeCell ref="G100:I100"/>
    <mergeCell ref="G116:L116"/>
    <mergeCell ref="G117:I117"/>
    <mergeCell ref="G105:L105"/>
    <mergeCell ref="G118:L118"/>
    <mergeCell ref="G94:L94"/>
    <mergeCell ref="G98:L98"/>
    <mergeCell ref="G86:L86"/>
    <mergeCell ref="G87:I87"/>
    <mergeCell ref="G109:L109"/>
    <mergeCell ref="G85:I85"/>
    <mergeCell ref="G44:I44"/>
    <mergeCell ref="A89:A90"/>
    <mergeCell ref="B89:B90"/>
    <mergeCell ref="C130:C131"/>
    <mergeCell ref="M2:Q2"/>
    <mergeCell ref="A16:A18"/>
    <mergeCell ref="A26:A27"/>
    <mergeCell ref="B26:B27"/>
    <mergeCell ref="M3:Q4"/>
    <mergeCell ref="G47:L47"/>
    <mergeCell ref="M15:N15"/>
    <mergeCell ref="A7:A8"/>
    <mergeCell ref="B9:B11"/>
    <mergeCell ref="G38:I38"/>
    <mergeCell ref="M44:N44"/>
    <mergeCell ref="M25:N25"/>
    <mergeCell ref="G28:L28"/>
    <mergeCell ref="M36:N36"/>
    <mergeCell ref="M38:N38"/>
    <mergeCell ref="G36:I36"/>
    <mergeCell ref="G16:L16"/>
    <mergeCell ref="G3:L4"/>
    <mergeCell ref="A45:A46"/>
    <mergeCell ref="B45:B46"/>
    <mergeCell ref="G11:L11"/>
    <mergeCell ref="B6:F6"/>
    <mergeCell ref="B7:B8"/>
    <mergeCell ref="G32:L32"/>
    <mergeCell ref="D275:D284"/>
    <mergeCell ref="E275:E284"/>
    <mergeCell ref="F275:F284"/>
    <mergeCell ref="A2:A5"/>
    <mergeCell ref="G2:L2"/>
    <mergeCell ref="G7:L7"/>
    <mergeCell ref="G9:L9"/>
    <mergeCell ref="G26:L26"/>
    <mergeCell ref="G122:I122"/>
    <mergeCell ref="G82:I82"/>
    <mergeCell ref="A101:A102"/>
    <mergeCell ref="B101:B102"/>
    <mergeCell ref="G112:L112"/>
    <mergeCell ref="A112:A120"/>
    <mergeCell ref="G25:I25"/>
    <mergeCell ref="G49:L49"/>
    <mergeCell ref="G67:I67"/>
    <mergeCell ref="G20:L20"/>
    <mergeCell ref="G21:I21"/>
    <mergeCell ref="G75:I75"/>
    <mergeCell ref="G42:L42"/>
    <mergeCell ref="G55:L55"/>
    <mergeCell ref="G62:I62"/>
    <mergeCell ref="G101:L101"/>
    <mergeCell ref="G353:L353"/>
    <mergeCell ref="G422:I422"/>
    <mergeCell ref="A424:A425"/>
    <mergeCell ref="A363:A369"/>
    <mergeCell ref="B363:B369"/>
    <mergeCell ref="C411:C412"/>
    <mergeCell ref="B424:B425"/>
    <mergeCell ref="A411:A412"/>
    <mergeCell ref="A347:A353"/>
    <mergeCell ref="G357:L357"/>
    <mergeCell ref="G384:L384"/>
    <mergeCell ref="G377:L377"/>
    <mergeCell ref="G360:I360"/>
    <mergeCell ref="G408:L408"/>
    <mergeCell ref="G409:I409"/>
    <mergeCell ref="B259:B272"/>
    <mergeCell ref="A213:A215"/>
    <mergeCell ref="C243:C249"/>
    <mergeCell ref="C219:C222"/>
    <mergeCell ref="B219:B222"/>
    <mergeCell ref="C213:C215"/>
    <mergeCell ref="A243:A249"/>
    <mergeCell ref="B243:B249"/>
    <mergeCell ref="B213:B215"/>
    <mergeCell ref="A219:A222"/>
    <mergeCell ref="A275:A284"/>
    <mergeCell ref="B275:B284"/>
    <mergeCell ref="C275:C284"/>
    <mergeCell ref="B411:B412"/>
    <mergeCell ref="A587:A588"/>
    <mergeCell ref="C580:C581"/>
    <mergeCell ref="C587:C588"/>
    <mergeCell ref="A439:A440"/>
    <mergeCell ref="B497:B498"/>
    <mergeCell ref="A497:A498"/>
    <mergeCell ref="A580:A581"/>
    <mergeCell ref="C451:C452"/>
    <mergeCell ref="C497:C498"/>
    <mergeCell ref="B580:B581"/>
    <mergeCell ref="C439:C440"/>
    <mergeCell ref="C555:C556"/>
    <mergeCell ref="A451:A452"/>
    <mergeCell ref="B451:B452"/>
    <mergeCell ref="A555:A556"/>
    <mergeCell ref="B555:B556"/>
    <mergeCell ref="B587:B588"/>
    <mergeCell ref="B439:B440"/>
    <mergeCell ref="A192:A198"/>
    <mergeCell ref="B192:B198"/>
    <mergeCell ref="G212:I212"/>
    <mergeCell ref="G194:L194"/>
    <mergeCell ref="G196:L196"/>
    <mergeCell ref="C185:C187"/>
    <mergeCell ref="G386:I386"/>
    <mergeCell ref="G180:L180"/>
    <mergeCell ref="A285:A286"/>
    <mergeCell ref="G287:L287"/>
    <mergeCell ref="G374:L374"/>
    <mergeCell ref="G373:I373"/>
    <mergeCell ref="C363:C369"/>
    <mergeCell ref="D347:D353"/>
    <mergeCell ref="A259:A272"/>
    <mergeCell ref="B347:B353"/>
    <mergeCell ref="C259:C272"/>
    <mergeCell ref="B285:B286"/>
    <mergeCell ref="C347:C353"/>
    <mergeCell ref="D243:D249"/>
    <mergeCell ref="D219:D222"/>
    <mergeCell ref="D259:D272"/>
    <mergeCell ref="D213:D215"/>
    <mergeCell ref="G270:L270"/>
    <mergeCell ref="A983:A985"/>
    <mergeCell ref="B983:B984"/>
    <mergeCell ref="G982:I982"/>
    <mergeCell ref="A971:A972"/>
    <mergeCell ref="B971:B972"/>
    <mergeCell ref="D640:D641"/>
    <mergeCell ref="C726:C727"/>
    <mergeCell ref="B632:B633"/>
    <mergeCell ref="C424:C425"/>
    <mergeCell ref="D587:D588"/>
    <mergeCell ref="D424:D425"/>
    <mergeCell ref="G799:L799"/>
    <mergeCell ref="G720:I720"/>
    <mergeCell ref="G810:I810"/>
    <mergeCell ref="G694:I694"/>
    <mergeCell ref="G804:L804"/>
    <mergeCell ref="G707:L707"/>
    <mergeCell ref="G685:L685"/>
    <mergeCell ref="C661:C662"/>
    <mergeCell ref="D661:D662"/>
    <mergeCell ref="C678:C679"/>
    <mergeCell ref="C640:C641"/>
    <mergeCell ref="G554:I554"/>
    <mergeCell ref="D580:D581"/>
    <mergeCell ref="A771:A773"/>
    <mergeCell ref="A640:A641"/>
    <mergeCell ref="B640:B641"/>
    <mergeCell ref="A661:A662"/>
    <mergeCell ref="C731:C732"/>
    <mergeCell ref="C614:C615"/>
    <mergeCell ref="C632:C633"/>
    <mergeCell ref="C695:C696"/>
    <mergeCell ref="D678:D679"/>
    <mergeCell ref="D695:D696"/>
    <mergeCell ref="B661:B662"/>
    <mergeCell ref="A678:A679"/>
    <mergeCell ref="A726:A727"/>
    <mergeCell ref="B726:B727"/>
    <mergeCell ref="B771:B773"/>
    <mergeCell ref="D632:D633"/>
    <mergeCell ref="A614:A615"/>
    <mergeCell ref="B614:B615"/>
    <mergeCell ref="G77:I77"/>
    <mergeCell ref="M77:N77"/>
    <mergeCell ref="G274:I274"/>
    <mergeCell ref="G63:L63"/>
    <mergeCell ref="G52:L52"/>
    <mergeCell ref="G92:L92"/>
    <mergeCell ref="G103:L103"/>
    <mergeCell ref="M100:N100"/>
    <mergeCell ref="M122:N122"/>
    <mergeCell ref="G114:L114"/>
    <mergeCell ref="G125:L125"/>
    <mergeCell ref="M62:N62"/>
    <mergeCell ref="M72:N72"/>
    <mergeCell ref="M111:N111"/>
    <mergeCell ref="M124:N124"/>
    <mergeCell ref="M85:N85"/>
    <mergeCell ref="M120:N120"/>
    <mergeCell ref="M67:N67"/>
    <mergeCell ref="M82:N82"/>
    <mergeCell ref="M157:N157"/>
    <mergeCell ref="M179:N179"/>
    <mergeCell ref="M184:N184"/>
    <mergeCell ref="G155:L155"/>
    <mergeCell ref="G156:I156"/>
    <mergeCell ref="R2:W2"/>
    <mergeCell ref="R3:W4"/>
    <mergeCell ref="R7:W7"/>
    <mergeCell ref="R15:T15"/>
    <mergeCell ref="R25:T25"/>
    <mergeCell ref="R89:W89"/>
    <mergeCell ref="R92:W92"/>
    <mergeCell ref="R100:T100"/>
    <mergeCell ref="R101:W101"/>
    <mergeCell ref="R72:T72"/>
    <mergeCell ref="R75:T75"/>
    <mergeCell ref="R77:T77"/>
    <mergeCell ref="R82:T82"/>
    <mergeCell ref="R85:T85"/>
    <mergeCell ref="R88:T88"/>
    <mergeCell ref="R52:W52"/>
    <mergeCell ref="R62:T62"/>
    <mergeCell ref="R47:W47"/>
    <mergeCell ref="R28:W28"/>
    <mergeCell ref="R36:T36"/>
    <mergeCell ref="R49:W49"/>
    <mergeCell ref="R67:T67"/>
    <mergeCell ref="R26:W26"/>
    <mergeCell ref="R38:T38"/>
    <mergeCell ref="R39:W39"/>
    <mergeCell ref="R44:T44"/>
    <mergeCell ref="R45:W45"/>
    <mergeCell ref="R217:T217"/>
    <mergeCell ref="R218:W218"/>
    <mergeCell ref="R120:T120"/>
    <mergeCell ref="R122:T122"/>
    <mergeCell ref="R124:T124"/>
    <mergeCell ref="R129:T129"/>
    <mergeCell ref="R159:W159"/>
    <mergeCell ref="R130:W130"/>
    <mergeCell ref="R133:W133"/>
    <mergeCell ref="R111:T111"/>
    <mergeCell ref="R112:W112"/>
    <mergeCell ref="R170:T170"/>
    <mergeCell ref="R171:W171"/>
    <mergeCell ref="R173:W173"/>
    <mergeCell ref="R179:T179"/>
    <mergeCell ref="R184:T184"/>
    <mergeCell ref="R185:W185"/>
    <mergeCell ref="R221:W221"/>
    <mergeCell ref="R223:W223"/>
    <mergeCell ref="R242:T242"/>
    <mergeCell ref="R243:W243"/>
    <mergeCell ref="R191:T191"/>
    <mergeCell ref="R192:W192"/>
    <mergeCell ref="R194:W194"/>
    <mergeCell ref="R196:W196"/>
    <mergeCell ref="R212:T212"/>
    <mergeCell ref="R214:W214"/>
    <mergeCell ref="R285:W285"/>
    <mergeCell ref="R287:W287"/>
    <mergeCell ref="R292:W292"/>
    <mergeCell ref="R296:W296"/>
    <mergeCell ref="R299:W299"/>
    <mergeCell ref="R346:T346"/>
    <mergeCell ref="R303:W303"/>
    <mergeCell ref="R254:T254"/>
    <mergeCell ref="R258:T258"/>
    <mergeCell ref="R259:W259"/>
    <mergeCell ref="R264:W264"/>
    <mergeCell ref="R268:W268"/>
    <mergeCell ref="R274:T274"/>
    <mergeCell ref="R284:T284"/>
    <mergeCell ref="R410:T410"/>
    <mergeCell ref="R411:W411"/>
    <mergeCell ref="R423:T423"/>
    <mergeCell ref="R424:W424"/>
    <mergeCell ref="R426:W426"/>
    <mergeCell ref="R347:W347"/>
    <mergeCell ref="R361:T361"/>
    <mergeCell ref="R362:W362"/>
    <mergeCell ref="R438:T438"/>
    <mergeCell ref="R373:T373"/>
    <mergeCell ref="R374:W374"/>
    <mergeCell ref="R392:T392"/>
    <mergeCell ref="R393:W393"/>
    <mergeCell ref="R476:T476"/>
    <mergeCell ref="R486:T486"/>
    <mergeCell ref="R493:T493"/>
    <mergeCell ref="R496:T496"/>
    <mergeCell ref="R497:W497"/>
    <mergeCell ref="R502:W502"/>
    <mergeCell ref="R439:W439"/>
    <mergeCell ref="R450:T450"/>
    <mergeCell ref="R451:W451"/>
    <mergeCell ref="R453:W453"/>
    <mergeCell ref="R469:T469"/>
    <mergeCell ref="R559:W559"/>
    <mergeCell ref="R574:T574"/>
    <mergeCell ref="R576:T576"/>
    <mergeCell ref="R579:T579"/>
    <mergeCell ref="R580:W580"/>
    <mergeCell ref="R586:T586"/>
    <mergeCell ref="R516:W516"/>
    <mergeCell ref="R542:T542"/>
    <mergeCell ref="R544:T544"/>
    <mergeCell ref="R554:T554"/>
    <mergeCell ref="R555:W555"/>
    <mergeCell ref="R618:W618"/>
    <mergeCell ref="R631:T631"/>
    <mergeCell ref="R632:W632"/>
    <mergeCell ref="R640:W640"/>
    <mergeCell ref="R660:T660"/>
    <mergeCell ref="R661:W661"/>
    <mergeCell ref="R587:W587"/>
    <mergeCell ref="R603:T603"/>
    <mergeCell ref="R604:W604"/>
    <mergeCell ref="R613:T613"/>
    <mergeCell ref="R614:W614"/>
    <mergeCell ref="R616:W616"/>
    <mergeCell ref="R694:T694"/>
    <mergeCell ref="R695:W695"/>
    <mergeCell ref="R697:W697"/>
    <mergeCell ref="R699:W699"/>
    <mergeCell ref="R716:T716"/>
    <mergeCell ref="R725:T725"/>
    <mergeCell ref="R664:W664"/>
    <mergeCell ref="R666:W666"/>
    <mergeCell ref="R674:T674"/>
    <mergeCell ref="R677:T677"/>
    <mergeCell ref="R678:W678"/>
    <mergeCell ref="R680:W680"/>
    <mergeCell ref="R789:T789"/>
    <mergeCell ref="R790:W790"/>
    <mergeCell ref="R792:W792"/>
    <mergeCell ref="R726:W726"/>
    <mergeCell ref="R730:T730"/>
    <mergeCell ref="R731:W731"/>
    <mergeCell ref="R734:W734"/>
    <mergeCell ref="R765:T765"/>
    <mergeCell ref="R770:T770"/>
    <mergeCell ref="R774:W774"/>
    <mergeCell ref="R1041:W1041"/>
    <mergeCell ref="R1055:T1055"/>
    <mergeCell ref="R1057:T1057"/>
    <mergeCell ref="A1:W1"/>
    <mergeCell ref="R1008:W1008"/>
    <mergeCell ref="R1010:W1010"/>
    <mergeCell ref="R1025:T1025"/>
    <mergeCell ref="R1028:W1028"/>
    <mergeCell ref="B2:F5"/>
    <mergeCell ref="R1030:W1030"/>
    <mergeCell ref="R1038:T1038"/>
    <mergeCell ref="R982:T982"/>
    <mergeCell ref="R983:W983"/>
    <mergeCell ref="R990:W990"/>
    <mergeCell ref="R1002:T1002"/>
    <mergeCell ref="R1005:T1005"/>
    <mergeCell ref="R1006:W1006"/>
    <mergeCell ref="R866:W866"/>
    <mergeCell ref="R874:W874"/>
    <mergeCell ref="R823:W823"/>
    <mergeCell ref="R825:W825"/>
    <mergeCell ref="R828:W828"/>
    <mergeCell ref="R847:T847"/>
    <mergeCell ref="C861:C863"/>
    <mergeCell ref="M817:N817"/>
    <mergeCell ref="G861:L861"/>
    <mergeCell ref="G823:L823"/>
    <mergeCell ref="M847:N847"/>
    <mergeCell ref="G825:L825"/>
    <mergeCell ref="D130:D131"/>
    <mergeCell ref="B16:B18"/>
    <mergeCell ref="B130:B131"/>
    <mergeCell ref="B112:B120"/>
    <mergeCell ref="B39:B40"/>
    <mergeCell ref="M765:N765"/>
    <mergeCell ref="D731:D732"/>
    <mergeCell ref="D726:D727"/>
    <mergeCell ref="G789:I789"/>
    <mergeCell ref="G770:I770"/>
    <mergeCell ref="G743:L743"/>
    <mergeCell ref="G779:L779"/>
    <mergeCell ref="G780:I780"/>
    <mergeCell ref="G766:L766"/>
    <mergeCell ref="G748:L748"/>
    <mergeCell ref="G767:I767"/>
    <mergeCell ref="M789:N789"/>
    <mergeCell ref="M75:N75"/>
    <mergeCell ref="G130:L130"/>
    <mergeCell ref="M810:N810"/>
    <mergeCell ref="G704:I704"/>
    <mergeCell ref="G774:L774"/>
    <mergeCell ref="M716:N716"/>
    <mergeCell ref="G710:I710"/>
    <mergeCell ref="M725:N725"/>
    <mergeCell ref="G725:I725"/>
    <mergeCell ref="G723:L723"/>
    <mergeCell ref="G742:I742"/>
    <mergeCell ref="G734:L734"/>
    <mergeCell ref="G747:I747"/>
    <mergeCell ref="G730:I730"/>
    <mergeCell ref="G726:L726"/>
    <mergeCell ref="G777:L777"/>
    <mergeCell ref="G765:I765"/>
    <mergeCell ref="G713:L713"/>
    <mergeCell ref="G784:L784"/>
    <mergeCell ref="M730:N730"/>
    <mergeCell ref="G781:L781"/>
    <mergeCell ref="G731:L731"/>
    <mergeCell ref="G757:L757"/>
    <mergeCell ref="G721:L721"/>
    <mergeCell ref="G808:L808"/>
    <mergeCell ref="R853:T853"/>
    <mergeCell ref="M860:N860"/>
    <mergeCell ref="G830:L830"/>
    <mergeCell ref="G854:L854"/>
    <mergeCell ref="G945:L945"/>
    <mergeCell ref="G899:L899"/>
    <mergeCell ref="G919:L919"/>
    <mergeCell ref="G870:L870"/>
    <mergeCell ref="C945:C949"/>
    <mergeCell ref="G902:I902"/>
    <mergeCell ref="G840:L840"/>
    <mergeCell ref="D910:D911"/>
    <mergeCell ref="G909:I909"/>
    <mergeCell ref="G882:L882"/>
    <mergeCell ref="G892:L892"/>
    <mergeCell ref="M853:N853"/>
    <mergeCell ref="G833:L833"/>
    <mergeCell ref="C854:C858"/>
    <mergeCell ref="R919:W919"/>
    <mergeCell ref="G912:L912"/>
    <mergeCell ref="D861:D863"/>
    <mergeCell ref="G921:L921"/>
    <mergeCell ref="G905:L905"/>
    <mergeCell ref="A945:A949"/>
    <mergeCell ref="R879:W879"/>
    <mergeCell ref="R909:T909"/>
    <mergeCell ref="R910:W910"/>
    <mergeCell ref="R912:W912"/>
    <mergeCell ref="G879:L879"/>
    <mergeCell ref="G874:L874"/>
    <mergeCell ref="B945:B949"/>
    <mergeCell ref="B811:B814"/>
    <mergeCell ref="A811:A814"/>
    <mergeCell ref="A854:A856"/>
    <mergeCell ref="B861:B863"/>
    <mergeCell ref="R916:W916"/>
    <mergeCell ref="G811:L811"/>
    <mergeCell ref="G847:I847"/>
    <mergeCell ref="R811:W811"/>
    <mergeCell ref="R817:T817"/>
    <mergeCell ref="R818:W818"/>
    <mergeCell ref="D818:D820"/>
    <mergeCell ref="E818:E820"/>
    <mergeCell ref="E811:E814"/>
    <mergeCell ref="D811:D814"/>
    <mergeCell ref="G836:L836"/>
    <mergeCell ref="G837:I837"/>
    <mergeCell ref="B818:B820"/>
    <mergeCell ref="R860:T860"/>
    <mergeCell ref="A866:A868"/>
    <mergeCell ref="A910:A911"/>
    <mergeCell ref="R861:W861"/>
    <mergeCell ref="R865:T865"/>
    <mergeCell ref="M865:N865"/>
    <mergeCell ref="M909:N909"/>
    <mergeCell ref="C910:C911"/>
    <mergeCell ref="G910:L910"/>
    <mergeCell ref="G860:I860"/>
    <mergeCell ref="G853:I853"/>
    <mergeCell ref="G818:L818"/>
    <mergeCell ref="G828:L828"/>
    <mergeCell ref="B866:B868"/>
    <mergeCell ref="G868:L868"/>
    <mergeCell ref="C818:C820"/>
    <mergeCell ref="D854:D858"/>
    <mergeCell ref="E854:E858"/>
    <mergeCell ref="C866:C868"/>
    <mergeCell ref="D866:D868"/>
    <mergeCell ref="G865:I865"/>
    <mergeCell ref="G898:I898"/>
    <mergeCell ref="G866:L866"/>
    <mergeCell ref="A861:A863"/>
    <mergeCell ref="G848:L848"/>
    <mergeCell ref="G850:L850"/>
    <mergeCell ref="R810:T810"/>
    <mergeCell ref="R771:W771"/>
    <mergeCell ref="R953:W953"/>
    <mergeCell ref="G961:L961"/>
    <mergeCell ref="M1002:N1002"/>
    <mergeCell ref="M982:N982"/>
    <mergeCell ref="R973:W973"/>
    <mergeCell ref="R970:T970"/>
    <mergeCell ref="R971:W971"/>
    <mergeCell ref="G947:L947"/>
    <mergeCell ref="M944:N944"/>
    <mergeCell ref="G970:I970"/>
    <mergeCell ref="G951:L951"/>
    <mergeCell ref="G944:I944"/>
    <mergeCell ref="R947:W947"/>
    <mergeCell ref="R951:W951"/>
    <mergeCell ref="G953:L953"/>
    <mergeCell ref="G957:L957"/>
    <mergeCell ref="R944:T944"/>
    <mergeCell ref="R945:W945"/>
    <mergeCell ref="R957:W957"/>
    <mergeCell ref="G1002:I1002"/>
    <mergeCell ref="G990:L990"/>
    <mergeCell ref="M970:N970"/>
    <mergeCell ref="G973:L973"/>
    <mergeCell ref="G1004:I1004"/>
    <mergeCell ref="G992:L992"/>
    <mergeCell ref="D1006:D1007"/>
    <mergeCell ref="R1039:W1039"/>
    <mergeCell ref="G1030:L1030"/>
    <mergeCell ref="G1039:L1039"/>
    <mergeCell ref="M1027:N1027"/>
    <mergeCell ref="R1027:T1027"/>
    <mergeCell ref="R978:W978"/>
    <mergeCell ref="R980:W980"/>
    <mergeCell ref="G980:L980"/>
    <mergeCell ref="M1025:N1025"/>
    <mergeCell ref="G1028:L1028"/>
    <mergeCell ref="G1012:L1012"/>
    <mergeCell ref="G1032:L1032"/>
    <mergeCell ref="G1021:L1021"/>
    <mergeCell ref="D1039:D1040"/>
    <mergeCell ref="G1027:I1027"/>
    <mergeCell ref="G1018:L1018"/>
    <mergeCell ref="D971:D972"/>
    <mergeCell ref="C1006:C1007"/>
    <mergeCell ref="G983:L983"/>
    <mergeCell ref="G924:L924"/>
    <mergeCell ref="D497:D498"/>
    <mergeCell ref="D555:D556"/>
    <mergeCell ref="G516:L516"/>
    <mergeCell ref="G564:I564"/>
    <mergeCell ref="G807:I807"/>
    <mergeCell ref="G660:I660"/>
    <mergeCell ref="G664:L664"/>
    <mergeCell ref="G701:L701"/>
    <mergeCell ref="G1000:L1000"/>
    <mergeCell ref="G1005:I1005"/>
    <mergeCell ref="G1006:L1006"/>
    <mergeCell ref="G997:L997"/>
    <mergeCell ref="G994:L994"/>
    <mergeCell ref="G964:L964"/>
    <mergeCell ref="G856:L856"/>
    <mergeCell ref="G916:L916"/>
    <mergeCell ref="G613:I613"/>
    <mergeCell ref="G609:I609"/>
    <mergeCell ref="G967:L967"/>
    <mergeCell ref="G739:L739"/>
    <mergeCell ref="G971:L971"/>
    <mergeCell ref="C983:C984"/>
    <mergeCell ref="D983:D984"/>
    <mergeCell ref="C971:C972"/>
    <mergeCell ref="C192:C198"/>
    <mergeCell ref="G350:L350"/>
    <mergeCell ref="G292:L292"/>
    <mergeCell ref="G254:I254"/>
    <mergeCell ref="C285:C286"/>
    <mergeCell ref="D192:D198"/>
    <mergeCell ref="D439:D440"/>
    <mergeCell ref="G347:L347"/>
    <mergeCell ref="G393:L393"/>
    <mergeCell ref="G398:L398"/>
    <mergeCell ref="G392:I392"/>
    <mergeCell ref="G433:I433"/>
    <mergeCell ref="G402:L402"/>
    <mergeCell ref="D285:D286"/>
    <mergeCell ref="G404:L404"/>
    <mergeCell ref="D945:D949"/>
    <mergeCell ref="G675:L675"/>
    <mergeCell ref="F811:F814"/>
    <mergeCell ref="F818:F820"/>
    <mergeCell ref="D363:D369"/>
    <mergeCell ref="D411:D412"/>
    <mergeCell ref="G33:I33"/>
    <mergeCell ref="G247:L247"/>
    <mergeCell ref="G248:I248"/>
    <mergeCell ref="G255:L255"/>
    <mergeCell ref="G382:L382"/>
    <mergeCell ref="G383:I383"/>
    <mergeCell ref="G34:L34"/>
    <mergeCell ref="G35:I35"/>
    <mergeCell ref="G68:L68"/>
    <mergeCell ref="G139:L139"/>
    <mergeCell ref="G45:L45"/>
    <mergeCell ref="G268:L268"/>
    <mergeCell ref="G217:I217"/>
    <mergeCell ref="G242:I242"/>
    <mergeCell ref="G223:L223"/>
    <mergeCell ref="G243:L243"/>
    <mergeCell ref="G231:L231"/>
    <mergeCell ref="G356:I356"/>
    <mergeCell ref="G59:I59"/>
    <mergeCell ref="G58:L58"/>
    <mergeCell ref="G133:L133"/>
    <mergeCell ref="G136:L136"/>
    <mergeCell ref="G362:L362"/>
    <mergeCell ref="G154:I154"/>
    <mergeCell ref="M284:N284"/>
    <mergeCell ref="G278:L278"/>
    <mergeCell ref="G1049:L1049"/>
    <mergeCell ref="G1050:I1050"/>
    <mergeCell ref="G470:L470"/>
    <mergeCell ref="G471:I471"/>
    <mergeCell ref="G479:I479"/>
    <mergeCell ref="G728:L728"/>
    <mergeCell ref="G1017:I1017"/>
    <mergeCell ref="G1016:L1016"/>
    <mergeCell ref="G457:L457"/>
    <mergeCell ref="G439:L439"/>
    <mergeCell ref="G460:L460"/>
    <mergeCell ref="G625:L625"/>
    <mergeCell ref="G487:L487"/>
    <mergeCell ref="G593:L593"/>
    <mergeCell ref="G493:I493"/>
    <mergeCell ref="G1045:L1045"/>
    <mergeCell ref="G1043:L1043"/>
    <mergeCell ref="G416:L416"/>
    <mergeCell ref="G706:I706"/>
    <mergeCell ref="G1010:L1010"/>
    <mergeCell ref="G442:I442"/>
    <mergeCell ref="G1008:L1008"/>
  </mergeCells>
  <phoneticPr fontId="4" type="noConversion"/>
  <hyperlinks>
    <hyperlink ref="G1007" r:id="rId1"/>
    <hyperlink ref="G1044" r:id="rId2" display="Тверское отделение №8607 сбербанка РФ"/>
    <hyperlink ref="M547" r:id="rId3" display="ООО &quot;АМ&quot; 1 очередь"/>
    <hyperlink ref="M548" r:id="rId4" display="ООО &quot;АМ&quot; 2 очередь"/>
  </hyperlinks>
  <pageMargins left="0.7" right="0.7" top="0.75" bottom="0.75" header="0.3" footer="0.3"/>
  <pageSetup paperSize="9" orientation="portrait" horizontalDpi="300" verticalDpi="300" r:id="rId5"/>
  <ignoredErrors>
    <ignoredError sqref="J14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W445"/>
  <sheetViews>
    <sheetView topLeftCell="A147" zoomScale="55" zoomScaleNormal="55" workbookViewId="0">
      <selection activeCell="J169" sqref="J169"/>
    </sheetView>
  </sheetViews>
  <sheetFormatPr defaultRowHeight="15" x14ac:dyDescent="0.25"/>
  <cols>
    <col min="1" max="1" width="26.7109375" style="135" customWidth="1"/>
    <col min="2" max="2" width="6.7109375" style="3" customWidth="1"/>
    <col min="3" max="3" width="3.7109375" style="3" customWidth="1"/>
    <col min="4" max="4" width="6.7109375" style="3" customWidth="1"/>
    <col min="5" max="5" width="3.7109375" style="3" customWidth="1"/>
    <col min="6" max="6" width="6.7109375" style="3" customWidth="1"/>
    <col min="7" max="7" width="18.7109375" style="3" customWidth="1"/>
    <col min="8" max="8" width="26.5703125" style="3" customWidth="1"/>
    <col min="9" max="11" width="15.7109375" style="3" customWidth="1"/>
    <col min="12" max="12" width="15.7109375" style="67" customWidth="1"/>
    <col min="13" max="13" width="23.7109375" style="3" customWidth="1"/>
    <col min="14" max="14" width="37.42578125" style="3" customWidth="1"/>
    <col min="15" max="17" width="15.7109375" style="3" customWidth="1"/>
    <col min="18" max="18" width="9.140625" style="68" customWidth="1"/>
    <col min="19" max="19" width="12.5703125" style="44" customWidth="1"/>
    <col min="20" max="20" width="27.28515625" style="44" customWidth="1"/>
    <col min="21" max="16384" width="9.140625" style="44"/>
  </cols>
  <sheetData>
    <row r="1" spans="1:23" ht="15.75" x14ac:dyDescent="0.25">
      <c r="A1" s="2605" t="s">
        <v>2206</v>
      </c>
      <c r="B1" s="2883"/>
      <c r="C1" s="2883"/>
      <c r="D1" s="2883"/>
      <c r="E1" s="2883"/>
      <c r="F1" s="2883"/>
      <c r="G1" s="2883"/>
      <c r="H1" s="2883"/>
      <c r="I1" s="2883"/>
      <c r="J1" s="2883"/>
      <c r="K1" s="2883"/>
      <c r="L1" s="2883"/>
      <c r="M1" s="2883"/>
      <c r="N1" s="2883"/>
      <c r="O1" s="2883"/>
      <c r="P1" s="2883"/>
      <c r="Q1" s="2883"/>
    </row>
    <row r="2" spans="1:23" ht="15" customHeight="1" x14ac:dyDescent="0.25">
      <c r="A2" s="2781" t="s">
        <v>330</v>
      </c>
      <c r="B2" s="2715" t="s">
        <v>1762</v>
      </c>
      <c r="C2" s="2716"/>
      <c r="D2" s="2716"/>
      <c r="E2" s="2716"/>
      <c r="F2" s="2717"/>
      <c r="G2" s="2877" t="s">
        <v>1814</v>
      </c>
      <c r="H2" s="2886"/>
      <c r="I2" s="2886"/>
      <c r="J2" s="2886"/>
      <c r="K2" s="2886"/>
      <c r="L2" s="2878"/>
      <c r="M2" s="2884" t="s">
        <v>1815</v>
      </c>
      <c r="N2" s="2884"/>
      <c r="O2" s="2884"/>
      <c r="P2" s="2884"/>
      <c r="Q2" s="2884"/>
      <c r="R2" s="2580" t="s">
        <v>2500</v>
      </c>
      <c r="S2" s="2580"/>
      <c r="T2" s="2580"/>
      <c r="U2" s="2580"/>
      <c r="V2" s="2580"/>
      <c r="W2" s="2580"/>
    </row>
    <row r="3" spans="1:23" ht="15" customHeight="1" x14ac:dyDescent="0.25">
      <c r="A3" s="2782"/>
      <c r="B3" s="2718"/>
      <c r="C3" s="2610"/>
      <c r="D3" s="2610"/>
      <c r="E3" s="2610"/>
      <c r="F3" s="2719"/>
      <c r="G3" s="2581" t="s">
        <v>1818</v>
      </c>
      <c r="H3" s="2884"/>
      <c r="I3" s="2884"/>
      <c r="J3" s="2884"/>
      <c r="K3" s="2884"/>
      <c r="L3" s="2884"/>
      <c r="M3" s="2581" t="s">
        <v>1819</v>
      </c>
      <c r="N3" s="2884"/>
      <c r="O3" s="2884"/>
      <c r="P3" s="2884"/>
      <c r="Q3" s="2884"/>
      <c r="R3" s="2581" t="s">
        <v>2501</v>
      </c>
      <c r="S3" s="2580"/>
      <c r="T3" s="2580"/>
      <c r="U3" s="2580"/>
      <c r="V3" s="2580"/>
      <c r="W3" s="2580"/>
    </row>
    <row r="4" spans="1:23" x14ac:dyDescent="0.25">
      <c r="A4" s="2782"/>
      <c r="B4" s="2718"/>
      <c r="C4" s="2610"/>
      <c r="D4" s="2610"/>
      <c r="E4" s="2610"/>
      <c r="F4" s="2719"/>
      <c r="G4" s="2884"/>
      <c r="H4" s="2884"/>
      <c r="I4" s="2884"/>
      <c r="J4" s="2884"/>
      <c r="K4" s="2884"/>
      <c r="L4" s="2884"/>
      <c r="M4" s="2884"/>
      <c r="N4" s="2884"/>
      <c r="O4" s="2884"/>
      <c r="P4" s="2884"/>
      <c r="Q4" s="2884"/>
      <c r="R4" s="2580"/>
      <c r="S4" s="2580"/>
      <c r="T4" s="2580"/>
      <c r="U4" s="2580"/>
      <c r="V4" s="2580"/>
      <c r="W4" s="2580"/>
    </row>
    <row r="5" spans="1:23" ht="75" x14ac:dyDescent="0.25">
      <c r="A5" s="2783"/>
      <c r="B5" s="2720"/>
      <c r="C5" s="2721"/>
      <c r="D5" s="2721"/>
      <c r="E5" s="2721"/>
      <c r="F5" s="2722"/>
      <c r="G5" s="8" t="s">
        <v>1822</v>
      </c>
      <c r="H5" s="8" t="s">
        <v>1828</v>
      </c>
      <c r="I5" s="8" t="s">
        <v>1824</v>
      </c>
      <c r="J5" s="8" t="s">
        <v>1825</v>
      </c>
      <c r="K5" s="8" t="s">
        <v>1826</v>
      </c>
      <c r="L5" s="145" t="s">
        <v>1827</v>
      </c>
      <c r="M5" s="8" t="s">
        <v>1822</v>
      </c>
      <c r="N5" s="8" t="s">
        <v>1828</v>
      </c>
      <c r="O5" s="8" t="s">
        <v>1825</v>
      </c>
      <c r="P5" s="8" t="s">
        <v>1826</v>
      </c>
      <c r="Q5" s="8" t="s">
        <v>1827</v>
      </c>
      <c r="R5" s="8" t="s">
        <v>1822</v>
      </c>
      <c r="S5" s="8" t="s">
        <v>1828</v>
      </c>
      <c r="T5" s="8" t="s">
        <v>1824</v>
      </c>
      <c r="U5" s="8" t="s">
        <v>1825</v>
      </c>
      <c r="V5" s="8" t="s">
        <v>1826</v>
      </c>
      <c r="W5" s="145" t="s">
        <v>1827</v>
      </c>
    </row>
    <row r="6" spans="1:23" ht="15.75" thickBot="1" x14ac:dyDescent="0.3">
      <c r="A6" s="151">
        <v>1</v>
      </c>
      <c r="B6" s="2570">
        <v>2</v>
      </c>
      <c r="C6" s="2571"/>
      <c r="D6" s="2571"/>
      <c r="E6" s="2571"/>
      <c r="F6" s="2572"/>
      <c r="G6" s="8">
        <v>3</v>
      </c>
      <c r="H6" s="8">
        <v>4</v>
      </c>
      <c r="I6" s="8">
        <v>5</v>
      </c>
      <c r="J6" s="8">
        <v>6</v>
      </c>
      <c r="K6" s="8">
        <v>7</v>
      </c>
      <c r="L6" s="145">
        <v>8</v>
      </c>
      <c r="M6" s="8">
        <v>9</v>
      </c>
      <c r="N6" s="8">
        <v>10</v>
      </c>
      <c r="O6" s="8">
        <v>11</v>
      </c>
      <c r="P6" s="8">
        <v>12</v>
      </c>
      <c r="Q6" s="8">
        <v>13</v>
      </c>
      <c r="R6" s="8">
        <v>14</v>
      </c>
      <c r="S6" s="8">
        <v>15</v>
      </c>
      <c r="T6" s="8">
        <v>16</v>
      </c>
      <c r="U6" s="8">
        <v>17</v>
      </c>
      <c r="V6" s="8">
        <v>18</v>
      </c>
      <c r="W6" s="8">
        <v>19</v>
      </c>
    </row>
    <row r="7" spans="1:23" ht="34.5" customHeight="1" x14ac:dyDescent="0.25">
      <c r="A7" s="554" t="str">
        <f>Итоговая!C387</f>
        <v>ПС  35/10 кВ Страшевичи</v>
      </c>
      <c r="B7" s="555">
        <f>Итоговая!D387</f>
        <v>2.5</v>
      </c>
      <c r="C7" s="556"/>
      <c r="D7" s="556"/>
      <c r="E7" s="556"/>
      <c r="F7" s="557"/>
      <c r="G7" s="550"/>
      <c r="H7" s="97"/>
      <c r="I7" s="97"/>
      <c r="J7" s="97"/>
      <c r="K7" s="97"/>
      <c r="L7" s="74"/>
      <c r="M7" s="97"/>
      <c r="N7" s="97"/>
      <c r="O7" s="97"/>
      <c r="P7" s="97"/>
      <c r="Q7" s="97"/>
      <c r="R7" s="97"/>
      <c r="S7" s="97"/>
      <c r="T7" s="97"/>
      <c r="U7" s="97"/>
      <c r="V7" s="97"/>
      <c r="W7" s="74"/>
    </row>
    <row r="8" spans="1:23" x14ac:dyDescent="0.25">
      <c r="A8" s="528"/>
      <c r="B8" s="558"/>
      <c r="C8" s="559"/>
      <c r="D8" s="559"/>
      <c r="E8" s="559"/>
      <c r="F8" s="560"/>
      <c r="G8" s="96"/>
      <c r="H8" s="8"/>
      <c r="I8" s="8"/>
      <c r="J8" s="8"/>
      <c r="K8" s="8"/>
      <c r="L8" s="145"/>
      <c r="M8" s="8"/>
      <c r="N8" s="8"/>
      <c r="O8" s="8"/>
      <c r="P8" s="8"/>
      <c r="Q8" s="8"/>
      <c r="R8" s="8"/>
      <c r="S8" s="8"/>
      <c r="T8" s="8"/>
      <c r="U8" s="8"/>
      <c r="V8" s="8"/>
      <c r="W8" s="145"/>
    </row>
    <row r="9" spans="1:23" ht="15.75" customHeight="1" thickBot="1" x14ac:dyDescent="0.3">
      <c r="A9" s="406"/>
      <c r="B9" s="395"/>
      <c r="C9" s="396"/>
      <c r="D9" s="396"/>
      <c r="E9" s="396"/>
      <c r="F9" s="397"/>
      <c r="G9" s="2861" t="s">
        <v>1833</v>
      </c>
      <c r="H9" s="2861"/>
      <c r="I9" s="2862"/>
      <c r="J9" s="25">
        <f>SUM(J7:J8)</f>
        <v>0</v>
      </c>
      <c r="K9" s="93">
        <v>0.92</v>
      </c>
      <c r="L9" s="25">
        <f>J9/K9</f>
        <v>0</v>
      </c>
      <c r="M9" s="2873" t="s">
        <v>1834</v>
      </c>
      <c r="N9" s="2862"/>
      <c r="O9" s="25">
        <f>SUM(O7:O8)</f>
        <v>0</v>
      </c>
      <c r="P9" s="93">
        <v>0.92</v>
      </c>
      <c r="Q9" s="25">
        <f>O9/P9</f>
        <v>0</v>
      </c>
      <c r="R9" s="2873" t="s">
        <v>1833</v>
      </c>
      <c r="S9" s="2861"/>
      <c r="T9" s="2862"/>
      <c r="U9" s="25">
        <f>SUM(U7:U8)</f>
        <v>0</v>
      </c>
      <c r="V9" s="93">
        <v>0.92</v>
      </c>
      <c r="W9" s="25">
        <f>U9/V9</f>
        <v>0</v>
      </c>
    </row>
    <row r="10" spans="1:23" x14ac:dyDescent="0.25">
      <c r="A10" s="526" t="str">
        <f>Итоговая!C388</f>
        <v xml:space="preserve">ПС 35/10 кВ Сукромля </v>
      </c>
      <c r="B10" s="527">
        <f>Итоговая!D388</f>
        <v>2.5</v>
      </c>
      <c r="C10" s="508"/>
      <c r="D10" s="508"/>
      <c r="E10" s="508"/>
      <c r="F10" s="509"/>
      <c r="G10" s="2648" t="s">
        <v>3020</v>
      </c>
      <c r="H10" s="2858"/>
      <c r="I10" s="2858"/>
      <c r="J10" s="2858"/>
      <c r="K10" s="2858"/>
      <c r="L10" s="2859"/>
      <c r="M10" s="1"/>
      <c r="N10" s="1"/>
      <c r="O10" s="8"/>
      <c r="P10" s="8"/>
      <c r="Q10" s="8"/>
      <c r="R10" s="8"/>
      <c r="S10" s="8"/>
      <c r="T10" s="8"/>
      <c r="U10" s="8"/>
      <c r="V10" s="8"/>
      <c r="W10" s="145"/>
    </row>
    <row r="11" spans="1:23" ht="102.75" customHeight="1" x14ac:dyDescent="0.25">
      <c r="A11" s="528"/>
      <c r="B11" s="511"/>
      <c r="C11" s="499"/>
      <c r="D11" s="499"/>
      <c r="E11" s="499"/>
      <c r="F11" s="510"/>
      <c r="G11" s="1" t="s">
        <v>3009</v>
      </c>
      <c r="H11" s="1" t="s">
        <v>3154</v>
      </c>
      <c r="I11" s="1" t="s">
        <v>3134</v>
      </c>
      <c r="J11" s="8">
        <f>0.3*0.75</f>
        <v>0.22499999999999998</v>
      </c>
      <c r="K11" s="8"/>
      <c r="L11" s="145"/>
      <c r="M11" s="1"/>
      <c r="N11" s="1"/>
      <c r="O11" s="8"/>
      <c r="P11" s="8"/>
      <c r="Q11" s="8"/>
      <c r="R11" s="8"/>
      <c r="S11" s="8"/>
      <c r="T11" s="8"/>
      <c r="U11" s="8"/>
      <c r="V11" s="8"/>
      <c r="W11" s="145"/>
    </row>
    <row r="12" spans="1:23" ht="75.75" thickBot="1" x14ac:dyDescent="0.3">
      <c r="A12" s="1066"/>
      <c r="B12" s="1062"/>
      <c r="C12" s="1063"/>
      <c r="D12" s="1063"/>
      <c r="E12" s="1063"/>
      <c r="F12" s="1061"/>
      <c r="G12" s="1" t="s">
        <v>3102</v>
      </c>
      <c r="H12" s="1" t="s">
        <v>3101</v>
      </c>
      <c r="I12" s="20" t="s">
        <v>3162</v>
      </c>
      <c r="J12" s="8">
        <f>0.3*0.75</f>
        <v>0.22499999999999998</v>
      </c>
      <c r="K12" s="92"/>
      <c r="L12" s="75"/>
      <c r="M12" s="19"/>
      <c r="N12" s="20"/>
      <c r="O12" s="92"/>
      <c r="P12" s="92"/>
      <c r="Q12" s="92"/>
      <c r="R12" s="94"/>
      <c r="S12" s="747"/>
      <c r="T12" s="95"/>
      <c r="U12" s="92"/>
      <c r="V12" s="92"/>
      <c r="W12" s="75"/>
    </row>
    <row r="13" spans="1:23" x14ac:dyDescent="0.25">
      <c r="A13" s="2030"/>
      <c r="B13" s="2012"/>
      <c r="C13" s="2013"/>
      <c r="D13" s="2013"/>
      <c r="E13" s="2013"/>
      <c r="F13" s="2011"/>
      <c r="G13" s="2648" t="s">
        <v>17005</v>
      </c>
      <c r="H13" s="2858"/>
      <c r="I13" s="2858"/>
      <c r="J13" s="2858"/>
      <c r="K13" s="2858"/>
      <c r="L13" s="2859"/>
      <c r="M13" s="1997"/>
      <c r="N13" s="1999"/>
      <c r="O13" s="1656"/>
      <c r="P13" s="1656"/>
      <c r="Q13" s="1656"/>
      <c r="R13" s="1991"/>
      <c r="S13" s="1992"/>
      <c r="T13" s="1993"/>
      <c r="U13" s="1656"/>
      <c r="V13" s="1656"/>
      <c r="W13" s="75"/>
    </row>
    <row r="14" spans="1:23" ht="165" x14ac:dyDescent="0.25">
      <c r="A14" s="2030"/>
      <c r="B14" s="2012"/>
      <c r="C14" s="2013"/>
      <c r="D14" s="2013"/>
      <c r="E14" s="2013"/>
      <c r="F14" s="2011"/>
      <c r="G14" s="1994" t="s">
        <v>17090</v>
      </c>
      <c r="H14" s="1994" t="s">
        <v>17091</v>
      </c>
      <c r="I14" s="1994" t="s">
        <v>17092</v>
      </c>
      <c r="J14" s="2032">
        <f>(0.65-0.1)*0.9</f>
        <v>0.49500000000000005</v>
      </c>
      <c r="K14" s="2032"/>
      <c r="L14" s="2029"/>
      <c r="M14" s="1997"/>
      <c r="N14" s="1999"/>
      <c r="O14" s="1656"/>
      <c r="P14" s="1656"/>
      <c r="Q14" s="1656"/>
      <c r="R14" s="1991"/>
      <c r="S14" s="1992"/>
      <c r="T14" s="1993"/>
      <c r="U14" s="1656"/>
      <c r="V14" s="1656"/>
      <c r="W14" s="75"/>
    </row>
    <row r="15" spans="1:23" ht="15.75" customHeight="1" thickBot="1" x14ac:dyDescent="0.3">
      <c r="A15" s="406"/>
      <c r="B15" s="395"/>
      <c r="C15" s="396"/>
      <c r="D15" s="396"/>
      <c r="E15" s="396"/>
      <c r="F15" s="397"/>
      <c r="G15" s="2861" t="s">
        <v>1833</v>
      </c>
      <c r="H15" s="2861"/>
      <c r="I15" s="2862"/>
      <c r="J15" s="25">
        <f>SUM(J10:J14)</f>
        <v>0.94500000000000006</v>
      </c>
      <c r="K15" s="93">
        <v>0.92</v>
      </c>
      <c r="L15" s="25">
        <f>J15/K15</f>
        <v>1.0271739130434783</v>
      </c>
      <c r="M15" s="2873" t="s">
        <v>1834</v>
      </c>
      <c r="N15" s="2862"/>
      <c r="O15" s="25">
        <f>SUM(O10:O11)</f>
        <v>0</v>
      </c>
      <c r="P15" s="93">
        <v>0.92</v>
      </c>
      <c r="Q15" s="25">
        <f>O15/P15</f>
        <v>0</v>
      </c>
      <c r="R15" s="2873" t="s">
        <v>1833</v>
      </c>
      <c r="S15" s="2861"/>
      <c r="T15" s="2862"/>
      <c r="U15" s="25">
        <f>SUM(U10:U11)</f>
        <v>0</v>
      </c>
      <c r="V15" s="93">
        <v>0.92</v>
      </c>
      <c r="W15" s="25">
        <f>U15/V15</f>
        <v>0</v>
      </c>
    </row>
    <row r="16" spans="1:23" x14ac:dyDescent="0.25">
      <c r="A16" s="526" t="str">
        <f>Итоговая!C389</f>
        <v xml:space="preserve">ПС 35/10 кВ Кр. Городок </v>
      </c>
      <c r="B16" s="527">
        <f>Итоговая!D389</f>
        <v>0.56000000000000005</v>
      </c>
      <c r="C16" s="508"/>
      <c r="D16" s="508"/>
      <c r="E16" s="508"/>
      <c r="F16" s="509"/>
      <c r="G16" s="550"/>
      <c r="H16" s="97"/>
      <c r="I16" s="97"/>
      <c r="J16" s="97"/>
      <c r="K16" s="97"/>
      <c r="L16" s="74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74"/>
    </row>
    <row r="17" spans="1:23" x14ac:dyDescent="0.25">
      <c r="A17" s="528"/>
      <c r="B17" s="511"/>
      <c r="C17" s="499"/>
      <c r="D17" s="499"/>
      <c r="E17" s="499"/>
      <c r="F17" s="510"/>
      <c r="G17" s="96"/>
      <c r="H17" s="8"/>
      <c r="I17" s="8"/>
      <c r="J17" s="8"/>
      <c r="K17" s="8"/>
      <c r="L17" s="145"/>
      <c r="M17" s="8"/>
      <c r="N17" s="8"/>
      <c r="O17" s="8"/>
      <c r="P17" s="8"/>
      <c r="Q17" s="8"/>
      <c r="R17" s="8"/>
      <c r="S17" s="8"/>
      <c r="T17" s="8"/>
      <c r="U17" s="8"/>
      <c r="V17" s="8"/>
      <c r="W17" s="145"/>
    </row>
    <row r="18" spans="1:23" ht="21" customHeight="1" thickBot="1" x14ac:dyDescent="0.3">
      <c r="A18" s="406"/>
      <c r="B18" s="395"/>
      <c r="C18" s="396"/>
      <c r="D18" s="396"/>
      <c r="E18" s="396"/>
      <c r="F18" s="397"/>
      <c r="G18" s="2861" t="s">
        <v>1833</v>
      </c>
      <c r="H18" s="2861"/>
      <c r="I18" s="2862"/>
      <c r="J18" s="25">
        <f>SUM(J16:J17)</f>
        <v>0</v>
      </c>
      <c r="K18" s="93">
        <v>0.92</v>
      </c>
      <c r="L18" s="25">
        <f>J18/K18</f>
        <v>0</v>
      </c>
      <c r="M18" s="2873" t="s">
        <v>1834</v>
      </c>
      <c r="N18" s="2862"/>
      <c r="O18" s="25">
        <f>SUM(O16:O17)</f>
        <v>0</v>
      </c>
      <c r="P18" s="93">
        <v>0.92</v>
      </c>
      <c r="Q18" s="25">
        <f>O18/P18</f>
        <v>0</v>
      </c>
      <c r="R18" s="2873" t="s">
        <v>1833</v>
      </c>
      <c r="S18" s="2861"/>
      <c r="T18" s="2862"/>
      <c r="U18" s="25">
        <f>SUM(U16:U17)</f>
        <v>0</v>
      </c>
      <c r="V18" s="93">
        <v>0.92</v>
      </c>
      <c r="W18" s="25">
        <f>U18/V18</f>
        <v>0</v>
      </c>
    </row>
    <row r="19" spans="1:23" x14ac:dyDescent="0.25">
      <c r="A19" s="526" t="str">
        <f>Итоговая!C390</f>
        <v xml:space="preserve">ПС 35/10 кВ Прямухино </v>
      </c>
      <c r="B19" s="527">
        <f>Итоговая!D390</f>
        <v>2.5</v>
      </c>
      <c r="C19" s="508"/>
      <c r="D19" s="508"/>
      <c r="E19" s="508"/>
      <c r="F19" s="509"/>
      <c r="G19" s="96"/>
      <c r="H19" s="8"/>
      <c r="I19" s="8"/>
      <c r="J19" s="8"/>
      <c r="K19" s="8"/>
      <c r="L19" s="145"/>
      <c r="M19" s="8"/>
      <c r="N19" s="8"/>
      <c r="O19" s="8"/>
      <c r="P19" s="8"/>
      <c r="Q19" s="8"/>
      <c r="R19" s="8"/>
      <c r="S19" s="8"/>
      <c r="T19" s="8"/>
      <c r="U19" s="8"/>
      <c r="V19" s="8"/>
      <c r="W19" s="145"/>
    </row>
    <row r="20" spans="1:23" x14ac:dyDescent="0.25">
      <c r="A20" s="528"/>
      <c r="B20" s="511"/>
      <c r="C20" s="499"/>
      <c r="D20" s="499"/>
      <c r="E20" s="499"/>
      <c r="F20" s="510"/>
      <c r="G20" s="96"/>
      <c r="H20" s="8"/>
      <c r="I20" s="8"/>
      <c r="J20" s="8"/>
      <c r="K20" s="8"/>
      <c r="L20" s="145"/>
      <c r="M20" s="8"/>
      <c r="N20" s="8"/>
      <c r="O20" s="8"/>
      <c r="P20" s="8"/>
      <c r="Q20" s="8"/>
      <c r="R20" s="8"/>
      <c r="S20" s="8"/>
      <c r="T20" s="8"/>
      <c r="U20" s="8"/>
      <c r="V20" s="8"/>
      <c r="W20" s="145"/>
    </row>
    <row r="21" spans="1:23" ht="18.75" customHeight="1" thickBot="1" x14ac:dyDescent="0.3">
      <c r="A21" s="406"/>
      <c r="B21" s="395"/>
      <c r="C21" s="396"/>
      <c r="D21" s="396"/>
      <c r="E21" s="396"/>
      <c r="F21" s="397"/>
      <c r="G21" s="2861" t="s">
        <v>1833</v>
      </c>
      <c r="H21" s="2861"/>
      <c r="I21" s="2862"/>
      <c r="J21" s="25">
        <f>SUM(J19:J20)</f>
        <v>0</v>
      </c>
      <c r="K21" s="93">
        <v>0.92</v>
      </c>
      <c r="L21" s="25">
        <f>J21/K21</f>
        <v>0</v>
      </c>
      <c r="M21" s="2873" t="s">
        <v>1834</v>
      </c>
      <c r="N21" s="2862"/>
      <c r="O21" s="25">
        <f>SUM(O19:O20)</f>
        <v>0</v>
      </c>
      <c r="P21" s="93">
        <v>0.92</v>
      </c>
      <c r="Q21" s="25">
        <f>O21/P21</f>
        <v>0</v>
      </c>
      <c r="R21" s="2873" t="s">
        <v>1833</v>
      </c>
      <c r="S21" s="2861"/>
      <c r="T21" s="2862"/>
      <c r="U21" s="25">
        <f>SUM(U19:U20)</f>
        <v>0</v>
      </c>
      <c r="V21" s="93">
        <v>0.92</v>
      </c>
      <c r="W21" s="25">
        <f>U21/V21</f>
        <v>0</v>
      </c>
    </row>
    <row r="22" spans="1:23" x14ac:dyDescent="0.25">
      <c r="A22" s="526" t="str">
        <f>Итоговая!C391</f>
        <v xml:space="preserve">ПС 35/10 кВ Пень  </v>
      </c>
      <c r="B22" s="527">
        <f>Итоговая!D391</f>
        <v>1.6</v>
      </c>
      <c r="C22" s="533"/>
      <c r="D22" s="533"/>
      <c r="E22" s="533"/>
      <c r="F22" s="534"/>
      <c r="G22" s="96"/>
      <c r="H22" s="8"/>
      <c r="I22" s="8"/>
      <c r="J22" s="8"/>
      <c r="K22" s="8"/>
      <c r="L22" s="145"/>
      <c r="M22" s="8"/>
      <c r="N22" s="8"/>
      <c r="O22" s="8"/>
      <c r="P22" s="8"/>
      <c r="Q22" s="8"/>
      <c r="R22" s="8"/>
      <c r="S22" s="8"/>
      <c r="T22" s="8"/>
      <c r="U22" s="8"/>
      <c r="V22" s="8"/>
      <c r="W22" s="145"/>
    </row>
    <row r="23" spans="1:23" x14ac:dyDescent="0.25">
      <c r="A23" s="528"/>
      <c r="B23" s="500"/>
      <c r="C23" s="501"/>
      <c r="D23" s="501"/>
      <c r="E23" s="501"/>
      <c r="F23" s="502"/>
      <c r="G23" s="96"/>
      <c r="H23" s="8"/>
      <c r="I23" s="8"/>
      <c r="J23" s="8"/>
      <c r="K23" s="8"/>
      <c r="L23" s="145"/>
      <c r="M23" s="8"/>
      <c r="N23" s="8"/>
      <c r="O23" s="8"/>
      <c r="P23" s="8"/>
      <c r="Q23" s="8"/>
      <c r="R23" s="8"/>
      <c r="S23" s="8"/>
      <c r="T23" s="8"/>
      <c r="U23" s="8"/>
      <c r="V23" s="8"/>
      <c r="W23" s="145"/>
    </row>
    <row r="24" spans="1:23" ht="18.75" customHeight="1" thickBot="1" x14ac:dyDescent="0.3">
      <c r="A24" s="406"/>
      <c r="B24" s="395"/>
      <c r="C24" s="396"/>
      <c r="D24" s="396"/>
      <c r="E24" s="396"/>
      <c r="F24" s="397"/>
      <c r="G24" s="2861" t="s">
        <v>1833</v>
      </c>
      <c r="H24" s="2861"/>
      <c r="I24" s="2862"/>
      <c r="J24" s="25">
        <f>SUM(J22:J23)</f>
        <v>0</v>
      </c>
      <c r="K24" s="93">
        <v>0.92</v>
      </c>
      <c r="L24" s="25">
        <f>J24/K24</f>
        <v>0</v>
      </c>
      <c r="M24" s="2873" t="s">
        <v>1834</v>
      </c>
      <c r="N24" s="2862"/>
      <c r="O24" s="25">
        <f>SUM(O22:O23)</f>
        <v>0</v>
      </c>
      <c r="P24" s="93">
        <v>0.92</v>
      </c>
      <c r="Q24" s="25">
        <f>O24/P24</f>
        <v>0</v>
      </c>
      <c r="R24" s="2873" t="s">
        <v>1833</v>
      </c>
      <c r="S24" s="2861"/>
      <c r="T24" s="2862"/>
      <c r="U24" s="25">
        <f>SUM(U22:U23)</f>
        <v>0</v>
      </c>
      <c r="V24" s="93">
        <v>0.92</v>
      </c>
      <c r="W24" s="25">
        <f>U24/V24</f>
        <v>0</v>
      </c>
    </row>
    <row r="25" spans="1:23" x14ac:dyDescent="0.25">
      <c r="A25" s="526" t="str">
        <f>Итоговая!C392</f>
        <v xml:space="preserve">ПС 35/10 кВ Печниково </v>
      </c>
      <c r="B25" s="527">
        <f>Итоговая!D392</f>
        <v>2.5</v>
      </c>
      <c r="C25" s="533"/>
      <c r="D25" s="533"/>
      <c r="E25" s="533"/>
      <c r="F25" s="534"/>
      <c r="G25" s="2648" t="s">
        <v>3020</v>
      </c>
      <c r="H25" s="2858"/>
      <c r="I25" s="2858"/>
      <c r="J25" s="2858"/>
      <c r="K25" s="2858"/>
      <c r="L25" s="2859"/>
      <c r="M25" s="8"/>
      <c r="N25" s="8"/>
      <c r="O25" s="8"/>
      <c r="P25" s="8"/>
      <c r="Q25" s="8"/>
      <c r="R25" s="8"/>
      <c r="S25" s="8"/>
      <c r="T25" s="8"/>
      <c r="U25" s="8"/>
      <c r="V25" s="8"/>
      <c r="W25" s="145"/>
    </row>
    <row r="26" spans="1:23" ht="120" x14ac:dyDescent="0.25">
      <c r="A26" s="528"/>
      <c r="B26" s="500"/>
      <c r="C26" s="501"/>
      <c r="D26" s="501"/>
      <c r="E26" s="501"/>
      <c r="F26" s="502"/>
      <c r="G26" s="152" t="s">
        <v>3091</v>
      </c>
      <c r="H26" s="1" t="s">
        <v>3092</v>
      </c>
      <c r="I26" s="1" t="s">
        <v>3093</v>
      </c>
      <c r="J26" s="8">
        <v>0.06</v>
      </c>
      <c r="K26" s="8"/>
      <c r="L26" s="145"/>
      <c r="M26" s="8"/>
      <c r="N26" s="8"/>
      <c r="O26" s="8"/>
      <c r="P26" s="8"/>
      <c r="Q26" s="8"/>
      <c r="R26" s="8"/>
      <c r="S26" s="8"/>
      <c r="T26" s="8"/>
      <c r="U26" s="8"/>
      <c r="V26" s="8"/>
      <c r="W26" s="145"/>
    </row>
    <row r="27" spans="1:23" ht="15.75" customHeight="1" thickBot="1" x14ac:dyDescent="0.3">
      <c r="A27" s="406"/>
      <c r="B27" s="395"/>
      <c r="C27" s="396"/>
      <c r="D27" s="396"/>
      <c r="E27" s="396"/>
      <c r="F27" s="397"/>
      <c r="G27" s="2861" t="s">
        <v>1833</v>
      </c>
      <c r="H27" s="2861"/>
      <c r="I27" s="2862"/>
      <c r="J27" s="25">
        <f>SUM(J25:J26)</f>
        <v>0.06</v>
      </c>
      <c r="K27" s="93">
        <v>0.92</v>
      </c>
      <c r="L27" s="25">
        <f>J27/K27</f>
        <v>6.5217391304347824E-2</v>
      </c>
      <c r="M27" s="2873" t="s">
        <v>1834</v>
      </c>
      <c r="N27" s="2862"/>
      <c r="O27" s="25">
        <f>SUM(O25:O26)</f>
        <v>0</v>
      </c>
      <c r="P27" s="93">
        <v>0.92</v>
      </c>
      <c r="Q27" s="25">
        <f>O27/P27</f>
        <v>0</v>
      </c>
      <c r="R27" s="2873" t="s">
        <v>1833</v>
      </c>
      <c r="S27" s="2861"/>
      <c r="T27" s="2862"/>
      <c r="U27" s="25">
        <f>SUM(U25:U26)</f>
        <v>0</v>
      </c>
      <c r="V27" s="93">
        <v>0.92</v>
      </c>
      <c r="W27" s="25">
        <f>U27/V27</f>
        <v>0</v>
      </c>
    </row>
    <row r="28" spans="1:23" x14ac:dyDescent="0.25">
      <c r="A28" s="526" t="str">
        <f>Итоговая!C393</f>
        <v xml:space="preserve">ПС 35/10 кВ Максимково </v>
      </c>
      <c r="B28" s="527">
        <f>Итоговая!D393</f>
        <v>2.5</v>
      </c>
      <c r="C28" s="561"/>
      <c r="D28" s="561"/>
      <c r="E28" s="561"/>
      <c r="F28" s="562"/>
      <c r="G28" s="550"/>
      <c r="H28" s="97"/>
      <c r="I28" s="97"/>
      <c r="J28" s="97"/>
      <c r="K28" s="97"/>
      <c r="L28" s="74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74"/>
    </row>
    <row r="29" spans="1:23" ht="16.5" customHeight="1" thickBot="1" x14ac:dyDescent="0.3">
      <c r="A29" s="406"/>
      <c r="B29" s="395"/>
      <c r="C29" s="396"/>
      <c r="D29" s="396"/>
      <c r="E29" s="396"/>
      <c r="F29" s="397"/>
      <c r="G29" s="2861" t="s">
        <v>1833</v>
      </c>
      <c r="H29" s="2861"/>
      <c r="I29" s="2862"/>
      <c r="J29" s="25">
        <f>SUM(J28:J28)</f>
        <v>0</v>
      </c>
      <c r="K29" s="93">
        <v>0.92</v>
      </c>
      <c r="L29" s="25">
        <f>J29/K29</f>
        <v>0</v>
      </c>
      <c r="M29" s="2873" t="s">
        <v>1834</v>
      </c>
      <c r="N29" s="2862"/>
      <c r="O29" s="25">
        <f>SUM(O28:O28)</f>
        <v>0</v>
      </c>
      <c r="P29" s="93">
        <v>0.92</v>
      </c>
      <c r="Q29" s="25">
        <f>O29/P29</f>
        <v>0</v>
      </c>
      <c r="R29" s="2873" t="s">
        <v>1833</v>
      </c>
      <c r="S29" s="2861"/>
      <c r="T29" s="2862"/>
      <c r="U29" s="25">
        <f>SUM(U28:U28)</f>
        <v>0</v>
      </c>
      <c r="V29" s="93">
        <v>0.92</v>
      </c>
      <c r="W29" s="25">
        <f>U29/V29</f>
        <v>0</v>
      </c>
    </row>
    <row r="30" spans="1:23" x14ac:dyDescent="0.25">
      <c r="A30" s="526" t="str">
        <f>Итоговая!C394</f>
        <v xml:space="preserve">ПС 35/10 кВ Филистово </v>
      </c>
      <c r="B30" s="527">
        <f>Итоговая!D394</f>
        <v>1.6</v>
      </c>
      <c r="C30" s="561"/>
      <c r="D30" s="561"/>
      <c r="E30" s="561"/>
      <c r="F30" s="562"/>
      <c r="G30" s="96"/>
      <c r="H30" s="8"/>
      <c r="I30" s="8"/>
      <c r="J30" s="8"/>
      <c r="K30" s="8"/>
      <c r="L30" s="145"/>
      <c r="M30" s="8"/>
      <c r="N30" s="8"/>
      <c r="O30" s="8"/>
      <c r="P30" s="8"/>
      <c r="Q30" s="8"/>
      <c r="R30" s="8"/>
      <c r="S30" s="8"/>
      <c r="T30" s="8"/>
      <c r="U30" s="8"/>
      <c r="V30" s="8"/>
      <c r="W30" s="145"/>
    </row>
    <row r="31" spans="1:23" x14ac:dyDescent="0.25">
      <c r="A31" s="528"/>
      <c r="B31" s="558"/>
      <c r="C31" s="559"/>
      <c r="D31" s="559"/>
      <c r="E31" s="559"/>
      <c r="F31" s="560"/>
      <c r="G31" s="96"/>
      <c r="H31" s="8"/>
      <c r="I31" s="8"/>
      <c r="J31" s="8"/>
      <c r="K31" s="8"/>
      <c r="L31" s="145"/>
      <c r="M31" s="8"/>
      <c r="N31" s="8"/>
      <c r="O31" s="8"/>
      <c r="P31" s="8"/>
      <c r="Q31" s="8"/>
      <c r="R31" s="8"/>
      <c r="S31" s="8"/>
      <c r="T31" s="8"/>
      <c r="U31" s="8"/>
      <c r="V31" s="8"/>
      <c r="W31" s="145"/>
    </row>
    <row r="32" spans="1:23" ht="19.5" customHeight="1" thickBot="1" x14ac:dyDescent="0.3">
      <c r="A32" s="406"/>
      <c r="B32" s="395"/>
      <c r="C32" s="396"/>
      <c r="D32" s="396"/>
      <c r="E32" s="396"/>
      <c r="F32" s="397"/>
      <c r="G32" s="2861" t="s">
        <v>1833</v>
      </c>
      <c r="H32" s="2861"/>
      <c r="I32" s="2862"/>
      <c r="J32" s="25">
        <f>SUM(J30:J31)</f>
        <v>0</v>
      </c>
      <c r="K32" s="93">
        <v>0.92</v>
      </c>
      <c r="L32" s="25">
        <f>J32/K32</f>
        <v>0</v>
      </c>
      <c r="M32" s="2873" t="s">
        <v>1834</v>
      </c>
      <c r="N32" s="2862"/>
      <c r="O32" s="25">
        <f>SUM(O30:O31)</f>
        <v>0</v>
      </c>
      <c r="P32" s="93">
        <v>0.92</v>
      </c>
      <c r="Q32" s="25">
        <f>O32/P32</f>
        <v>0</v>
      </c>
      <c r="R32" s="2873" t="s">
        <v>1833</v>
      </c>
      <c r="S32" s="2861"/>
      <c r="T32" s="2862"/>
      <c r="U32" s="25">
        <f>SUM(U30:U31)</f>
        <v>0</v>
      </c>
      <c r="V32" s="93">
        <v>0.92</v>
      </c>
      <c r="W32" s="25">
        <f>U32/V32</f>
        <v>0</v>
      </c>
    </row>
    <row r="33" spans="1:23" x14ac:dyDescent="0.25">
      <c r="A33" s="526" t="str">
        <f>Итоговая!C395</f>
        <v xml:space="preserve">ПС 35/10 кВ Оковцы  </v>
      </c>
      <c r="B33" s="527">
        <f>Итоговая!D395</f>
        <v>1</v>
      </c>
      <c r="C33" s="561"/>
      <c r="D33" s="561"/>
      <c r="E33" s="561"/>
      <c r="F33" s="562"/>
      <c r="G33" s="96"/>
      <c r="H33" s="8"/>
      <c r="I33" s="8"/>
      <c r="J33" s="8"/>
      <c r="K33" s="8"/>
      <c r="L33" s="145"/>
      <c r="M33" s="8"/>
      <c r="N33" s="8"/>
      <c r="O33" s="8"/>
      <c r="P33" s="8"/>
      <c r="Q33" s="8"/>
      <c r="R33" s="8"/>
      <c r="S33" s="8"/>
      <c r="T33" s="8"/>
      <c r="U33" s="8"/>
      <c r="V33" s="8"/>
      <c r="W33" s="145"/>
    </row>
    <row r="34" spans="1:23" ht="18.75" customHeight="1" thickBot="1" x14ac:dyDescent="0.3">
      <c r="A34" s="406"/>
      <c r="B34" s="395"/>
      <c r="C34" s="396"/>
      <c r="D34" s="396"/>
      <c r="E34" s="396"/>
      <c r="F34" s="397"/>
      <c r="G34" s="2861" t="s">
        <v>1833</v>
      </c>
      <c r="H34" s="2861"/>
      <c r="I34" s="2862"/>
      <c r="J34" s="25">
        <f>SUM(J33:J33)</f>
        <v>0</v>
      </c>
      <c r="K34" s="93">
        <v>0.92</v>
      </c>
      <c r="L34" s="25">
        <f>J34/K34</f>
        <v>0</v>
      </c>
      <c r="M34" s="2873" t="s">
        <v>1834</v>
      </c>
      <c r="N34" s="2862"/>
      <c r="O34" s="25">
        <f>SUM(O33:O33)</f>
        <v>0</v>
      </c>
      <c r="P34" s="93">
        <v>0.92</v>
      </c>
      <c r="Q34" s="25">
        <f>O34/P34</f>
        <v>0</v>
      </c>
      <c r="R34" s="2873" t="s">
        <v>1833</v>
      </c>
      <c r="S34" s="2861"/>
      <c r="T34" s="2862"/>
      <c r="U34" s="25">
        <f>SUM(U33:U33)</f>
        <v>0</v>
      </c>
      <c r="V34" s="93">
        <v>0.92</v>
      </c>
      <c r="W34" s="25">
        <f>U34/V34</f>
        <v>0</v>
      </c>
    </row>
    <row r="35" spans="1:23" x14ac:dyDescent="0.25">
      <c r="A35" s="2879" t="str">
        <f>Итоговая!C396</f>
        <v xml:space="preserve">ПС 35/10 кВ Селигер  </v>
      </c>
      <c r="B35" s="2689">
        <f>Итоговая!D396</f>
        <v>6.3</v>
      </c>
      <c r="C35" s="2691"/>
      <c r="D35" s="2691"/>
      <c r="E35" s="2691"/>
      <c r="F35" s="2687"/>
      <c r="G35" s="2648" t="s">
        <v>1961</v>
      </c>
      <c r="H35" s="2858"/>
      <c r="I35" s="2858"/>
      <c r="J35" s="2858"/>
      <c r="K35" s="2858"/>
      <c r="L35" s="2859"/>
      <c r="M35" s="164"/>
      <c r="N35" s="166"/>
      <c r="O35" s="165"/>
      <c r="P35" s="74"/>
      <c r="Q35" s="74"/>
      <c r="R35" s="2644"/>
      <c r="S35" s="2871"/>
      <c r="T35" s="2871"/>
      <c r="U35" s="2871"/>
      <c r="V35" s="2871"/>
      <c r="W35" s="2872"/>
    </row>
    <row r="36" spans="1:23" ht="32.25" customHeight="1" x14ac:dyDescent="0.25">
      <c r="A36" s="2880"/>
      <c r="B36" s="2690"/>
      <c r="C36" s="2692"/>
      <c r="D36" s="2692"/>
      <c r="E36" s="2692"/>
      <c r="F36" s="2688"/>
      <c r="G36" s="89" t="s">
        <v>1581</v>
      </c>
      <c r="H36" s="79" t="s">
        <v>1582</v>
      </c>
      <c r="I36" s="302" t="s">
        <v>1583</v>
      </c>
      <c r="J36" s="79">
        <v>1</v>
      </c>
      <c r="K36" s="79"/>
      <c r="L36" s="76"/>
      <c r="M36" s="79" t="s">
        <v>1424</v>
      </c>
      <c r="N36" s="89" t="s">
        <v>1425</v>
      </c>
      <c r="O36" s="8">
        <v>0.04</v>
      </c>
      <c r="P36" s="79"/>
      <c r="Q36" s="79"/>
      <c r="R36" s="9" t="s">
        <v>2631</v>
      </c>
      <c r="S36" s="104" t="s">
        <v>2632</v>
      </c>
      <c r="T36" s="2205" t="s">
        <v>2759</v>
      </c>
      <c r="U36" s="2249">
        <v>0.15</v>
      </c>
      <c r="V36" s="76"/>
      <c r="W36" s="76"/>
    </row>
    <row r="37" spans="1:23" x14ac:dyDescent="0.25">
      <c r="A37" s="528"/>
      <c r="B37" s="558"/>
      <c r="C37" s="559"/>
      <c r="D37" s="559"/>
      <c r="E37" s="559"/>
      <c r="F37" s="560"/>
      <c r="G37" s="89" t="s">
        <v>1590</v>
      </c>
      <c r="H37" s="79" t="s">
        <v>1591</v>
      </c>
      <c r="I37" s="79" t="s">
        <v>1592</v>
      </c>
      <c r="J37" s="79">
        <v>0.1</v>
      </c>
      <c r="K37" s="79"/>
      <c r="L37" s="76"/>
      <c r="M37" s="9"/>
      <c r="N37" s="104"/>
      <c r="P37" s="79"/>
      <c r="Q37" s="79"/>
      <c r="R37" s="76"/>
      <c r="S37" s="76"/>
      <c r="T37" s="76"/>
      <c r="U37" s="76"/>
      <c r="V37" s="76"/>
      <c r="W37" s="76"/>
    </row>
    <row r="38" spans="1:23" x14ac:dyDescent="0.25">
      <c r="A38" s="528"/>
      <c r="B38" s="558"/>
      <c r="C38" s="559"/>
      <c r="D38" s="559"/>
      <c r="E38" s="559"/>
      <c r="F38" s="560"/>
      <c r="G38" s="89" t="s">
        <v>1584</v>
      </c>
      <c r="H38" s="79" t="s">
        <v>1585</v>
      </c>
      <c r="I38" s="79" t="s">
        <v>1586</v>
      </c>
      <c r="J38" s="79">
        <v>0.04</v>
      </c>
      <c r="K38" s="79"/>
      <c r="L38" s="76"/>
      <c r="M38" s="8"/>
      <c r="N38" s="8"/>
      <c r="O38" s="8"/>
      <c r="P38" s="79"/>
      <c r="Q38" s="79"/>
      <c r="R38" s="76"/>
      <c r="S38" s="76"/>
      <c r="T38" s="76"/>
      <c r="U38" s="76"/>
      <c r="V38" s="76"/>
      <c r="W38" s="76"/>
    </row>
    <row r="39" spans="1:23" x14ac:dyDescent="0.25">
      <c r="A39" s="528"/>
      <c r="B39" s="558"/>
      <c r="C39" s="559"/>
      <c r="D39" s="559"/>
      <c r="E39" s="559"/>
      <c r="F39" s="560"/>
      <c r="G39" s="2787" t="s">
        <v>1960</v>
      </c>
      <c r="H39" s="2863"/>
      <c r="I39" s="2863"/>
      <c r="J39" s="2863"/>
      <c r="K39" s="2863"/>
      <c r="L39" s="2864"/>
      <c r="M39" s="79"/>
      <c r="N39" s="79"/>
      <c r="O39" s="79"/>
      <c r="P39" s="79"/>
      <c r="Q39" s="79"/>
      <c r="R39" s="2624"/>
      <c r="S39" s="2616"/>
      <c r="T39" s="2616"/>
      <c r="U39" s="2616"/>
      <c r="V39" s="2616"/>
      <c r="W39" s="2617"/>
    </row>
    <row r="40" spans="1:23" x14ac:dyDescent="0.25">
      <c r="A40" s="528"/>
      <c r="B40" s="558"/>
      <c r="C40" s="559"/>
      <c r="D40" s="559"/>
      <c r="E40" s="559"/>
      <c r="F40" s="560"/>
      <c r="G40" s="89" t="s">
        <v>1587</v>
      </c>
      <c r="H40" s="79" t="s">
        <v>1588</v>
      </c>
      <c r="I40" s="79" t="s">
        <v>1589</v>
      </c>
      <c r="J40" s="79">
        <v>0.04</v>
      </c>
      <c r="K40" s="79"/>
      <c r="L40" s="76"/>
      <c r="M40" s="79"/>
      <c r="N40" s="79"/>
      <c r="O40" s="79"/>
      <c r="P40" s="79"/>
      <c r="Q40" s="79"/>
      <c r="R40" s="76"/>
      <c r="S40" s="76"/>
      <c r="T40" s="76"/>
      <c r="U40" s="76"/>
      <c r="V40" s="76"/>
      <c r="W40" s="76"/>
    </row>
    <row r="41" spans="1:23" x14ac:dyDescent="0.25">
      <c r="A41" s="528"/>
      <c r="B41" s="558"/>
      <c r="C41" s="559"/>
      <c r="D41" s="559"/>
      <c r="E41" s="559"/>
      <c r="F41" s="560"/>
      <c r="G41" s="89" t="s">
        <v>1593</v>
      </c>
      <c r="H41" s="79" t="s">
        <v>1594</v>
      </c>
      <c r="I41" s="79" t="s">
        <v>1595</v>
      </c>
      <c r="J41" s="79">
        <v>0.04</v>
      </c>
      <c r="K41" s="79"/>
      <c r="L41" s="76"/>
      <c r="M41" s="8"/>
      <c r="N41" s="8"/>
      <c r="O41" s="8"/>
      <c r="P41" s="8"/>
      <c r="Q41" s="8"/>
      <c r="R41" s="145"/>
      <c r="S41" s="145"/>
      <c r="T41" s="145"/>
      <c r="U41" s="145"/>
      <c r="V41" s="145"/>
      <c r="W41" s="145"/>
    </row>
    <row r="42" spans="1:23" x14ac:dyDescent="0.25">
      <c r="A42" s="528"/>
      <c r="B42" s="558"/>
      <c r="C42" s="559"/>
      <c r="D42" s="559"/>
      <c r="E42" s="559"/>
      <c r="F42" s="560"/>
      <c r="G42" s="89" t="s">
        <v>1596</v>
      </c>
      <c r="H42" s="79" t="s">
        <v>1597</v>
      </c>
      <c r="I42" s="8" t="s">
        <v>1598</v>
      </c>
      <c r="J42" s="79">
        <v>0.04</v>
      </c>
      <c r="K42" s="8"/>
      <c r="L42" s="145"/>
      <c r="M42" s="8"/>
      <c r="N42" s="8"/>
      <c r="O42" s="8"/>
      <c r="P42" s="8"/>
      <c r="Q42" s="8"/>
      <c r="R42" s="145"/>
      <c r="S42" s="145"/>
      <c r="T42" s="145"/>
      <c r="U42" s="145"/>
      <c r="V42" s="145"/>
      <c r="W42" s="145"/>
    </row>
    <row r="43" spans="1:23" x14ac:dyDescent="0.25">
      <c r="A43" s="528"/>
      <c r="B43" s="558"/>
      <c r="C43" s="559"/>
      <c r="D43" s="559"/>
      <c r="E43" s="559"/>
      <c r="F43" s="560"/>
      <c r="G43" s="2787" t="s">
        <v>2477</v>
      </c>
      <c r="H43" s="2863"/>
      <c r="I43" s="2863"/>
      <c r="J43" s="2863"/>
      <c r="K43" s="2863"/>
      <c r="L43" s="2864"/>
      <c r="M43" s="8"/>
      <c r="N43" s="8"/>
      <c r="O43" s="8"/>
      <c r="P43" s="8"/>
      <c r="Q43" s="8"/>
      <c r="R43" s="8"/>
      <c r="S43" s="8"/>
      <c r="T43" s="8"/>
      <c r="U43" s="8"/>
      <c r="V43" s="8"/>
      <c r="W43" s="145"/>
    </row>
    <row r="44" spans="1:23" x14ac:dyDescent="0.25">
      <c r="A44" s="748"/>
      <c r="B44" s="558"/>
      <c r="C44" s="559"/>
      <c r="D44" s="559"/>
      <c r="E44" s="559"/>
      <c r="F44" s="560"/>
      <c r="G44" s="9"/>
      <c r="H44" s="104"/>
      <c r="I44" s="1"/>
      <c r="J44" s="8"/>
      <c r="K44" s="8"/>
      <c r="L44" s="145"/>
      <c r="M44" s="8"/>
      <c r="N44" s="8"/>
      <c r="O44" s="8"/>
      <c r="P44" s="8"/>
      <c r="Q44" s="8"/>
      <c r="R44" s="8"/>
      <c r="S44" s="8"/>
      <c r="T44" s="8"/>
      <c r="U44" s="8"/>
      <c r="V44" s="8"/>
      <c r="W44" s="145"/>
    </row>
    <row r="45" spans="1:23" x14ac:dyDescent="0.25">
      <c r="A45" s="748"/>
      <c r="B45" s="558"/>
      <c r="C45" s="559"/>
      <c r="D45" s="559"/>
      <c r="E45" s="559"/>
      <c r="F45" s="560"/>
      <c r="G45" s="2787" t="s">
        <v>3019</v>
      </c>
      <c r="H45" s="2863"/>
      <c r="I45" s="2863"/>
      <c r="J45" s="2863"/>
      <c r="K45" s="2863"/>
      <c r="L45" s="2864"/>
      <c r="M45" s="61"/>
      <c r="N45" s="700"/>
      <c r="O45" s="85"/>
      <c r="P45" s="85"/>
      <c r="Q45" s="85"/>
      <c r="R45" s="61"/>
      <c r="S45" s="98"/>
      <c r="T45" s="700"/>
      <c r="U45" s="85"/>
      <c r="V45" s="85"/>
      <c r="W45" s="117"/>
    </row>
    <row r="46" spans="1:23" x14ac:dyDescent="0.25">
      <c r="A46" s="1193"/>
      <c r="B46" s="558"/>
      <c r="C46" s="559"/>
      <c r="D46" s="559"/>
      <c r="E46" s="559"/>
      <c r="F46" s="560"/>
      <c r="G46" s="2624"/>
      <c r="H46" s="2616"/>
      <c r="I46" s="2617"/>
      <c r="J46" s="75"/>
      <c r="K46" s="75"/>
      <c r="L46" s="75"/>
      <c r="M46" s="61"/>
      <c r="N46" s="700"/>
      <c r="O46" s="85"/>
      <c r="P46" s="85"/>
      <c r="Q46" s="85"/>
      <c r="R46" s="61"/>
      <c r="S46" s="98"/>
      <c r="T46" s="700"/>
      <c r="U46" s="85"/>
      <c r="V46" s="85"/>
      <c r="W46" s="117"/>
    </row>
    <row r="47" spans="1:23" x14ac:dyDescent="0.25">
      <c r="A47" s="1615"/>
      <c r="B47" s="558"/>
      <c r="C47" s="559"/>
      <c r="D47" s="559"/>
      <c r="E47" s="559"/>
      <c r="F47" s="560"/>
      <c r="G47" s="2787" t="s">
        <v>3405</v>
      </c>
      <c r="H47" s="2863"/>
      <c r="I47" s="2863"/>
      <c r="J47" s="2863"/>
      <c r="K47" s="2863"/>
      <c r="L47" s="2864"/>
      <c r="M47" s="61"/>
      <c r="N47" s="700"/>
      <c r="O47" s="85"/>
      <c r="P47" s="85"/>
      <c r="Q47" s="85"/>
      <c r="R47" s="61"/>
      <c r="S47" s="98"/>
      <c r="T47" s="700"/>
      <c r="U47" s="85"/>
      <c r="V47" s="85"/>
      <c r="W47" s="117"/>
    </row>
    <row r="48" spans="1:23" ht="30" customHeight="1" x14ac:dyDescent="0.25">
      <c r="A48" s="1615"/>
      <c r="B48" s="558"/>
      <c r="C48" s="559"/>
      <c r="D48" s="559"/>
      <c r="E48" s="559"/>
      <c r="F48" s="560"/>
      <c r="G48" s="2679" t="s">
        <v>3401</v>
      </c>
      <c r="H48" s="2892"/>
      <c r="I48" s="2893"/>
      <c r="J48" s="1201">
        <f>0.128*0.9</f>
        <v>0.11520000000000001</v>
      </c>
      <c r="K48" s="1201"/>
      <c r="L48" s="1201"/>
      <c r="M48" s="61"/>
      <c r="N48" s="700"/>
      <c r="O48" s="85"/>
      <c r="P48" s="85"/>
      <c r="Q48" s="85"/>
      <c r="R48" s="61"/>
      <c r="S48" s="98"/>
      <c r="T48" s="700"/>
      <c r="U48" s="85"/>
      <c r="V48" s="85"/>
      <c r="W48" s="117"/>
    </row>
    <row r="49" spans="1:23" ht="30" customHeight="1" x14ac:dyDescent="0.25">
      <c r="A49" s="2245"/>
      <c r="B49" s="558"/>
      <c r="C49" s="559"/>
      <c r="D49" s="559"/>
      <c r="E49" s="559"/>
      <c r="F49" s="560"/>
      <c r="G49" s="2787" t="s">
        <v>3405</v>
      </c>
      <c r="H49" s="2863"/>
      <c r="I49" s="2863"/>
      <c r="J49" s="2863"/>
      <c r="K49" s="2863"/>
      <c r="L49" s="2864"/>
      <c r="M49" s="2212"/>
      <c r="N49" s="700"/>
      <c r="O49" s="85"/>
      <c r="P49" s="85"/>
      <c r="Q49" s="85"/>
      <c r="R49" s="2212"/>
      <c r="S49" s="2203"/>
      <c r="T49" s="700"/>
      <c r="U49" s="85"/>
      <c r="V49" s="85"/>
      <c r="W49" s="117"/>
    </row>
    <row r="50" spans="1:23" ht="30" customHeight="1" x14ac:dyDescent="0.25">
      <c r="A50" s="2245"/>
      <c r="B50" s="558"/>
      <c r="C50" s="559"/>
      <c r="D50" s="559"/>
      <c r="E50" s="559"/>
      <c r="F50" s="560"/>
      <c r="G50" s="2679" t="s">
        <v>3401</v>
      </c>
      <c r="H50" s="2892"/>
      <c r="I50" s="2893"/>
      <c r="J50" s="1201">
        <f>0.215*0.9</f>
        <v>0.19350000000000001</v>
      </c>
      <c r="K50" s="1201"/>
      <c r="L50" s="1201"/>
      <c r="M50" s="2212"/>
      <c r="N50" s="700"/>
      <c r="O50" s="85"/>
      <c r="P50" s="85"/>
      <c r="Q50" s="85"/>
      <c r="R50" s="2212"/>
      <c r="S50" s="2203"/>
      <c r="T50" s="700"/>
      <c r="U50" s="85"/>
      <c r="V50" s="85"/>
      <c r="W50" s="117"/>
    </row>
    <row r="51" spans="1:23" ht="19.5" customHeight="1" thickBot="1" x14ac:dyDescent="0.3">
      <c r="A51" s="406"/>
      <c r="B51" s="395"/>
      <c r="C51" s="396"/>
      <c r="D51" s="396"/>
      <c r="E51" s="396"/>
      <c r="F51" s="397"/>
      <c r="G51" s="2861" t="s">
        <v>1833</v>
      </c>
      <c r="H51" s="2861"/>
      <c r="I51" s="2862"/>
      <c r="J51" s="25">
        <f>SUM(J48:J50)</f>
        <v>0.30870000000000003</v>
      </c>
      <c r="K51" s="93">
        <v>0.92</v>
      </c>
      <c r="L51" s="25">
        <f>J51/K51</f>
        <v>0.33554347826086961</v>
      </c>
      <c r="M51" s="2873" t="s">
        <v>1834</v>
      </c>
      <c r="N51" s="2862"/>
      <c r="O51" s="25">
        <f>SUM(O36:O42)</f>
        <v>0.04</v>
      </c>
      <c r="P51" s="93">
        <v>0.92</v>
      </c>
      <c r="Q51" s="25">
        <f>O51/P51</f>
        <v>4.3478260869565216E-2</v>
      </c>
      <c r="R51" s="2873" t="s">
        <v>1833</v>
      </c>
      <c r="S51" s="2861"/>
      <c r="T51" s="2862"/>
      <c r="U51" s="25">
        <f>SUM(U36:U48)</f>
        <v>0.15</v>
      </c>
      <c r="V51" s="93">
        <v>0.92</v>
      </c>
      <c r="W51" s="25">
        <f>U51/V51</f>
        <v>0.16304347826086954</v>
      </c>
    </row>
    <row r="52" spans="1:23" ht="39.75" customHeight="1" x14ac:dyDescent="0.25">
      <c r="A52" s="526" t="str">
        <f>Итоговая!C397</f>
        <v xml:space="preserve">ПС 35/10 кВ Мошары  </v>
      </c>
      <c r="B52" s="527">
        <f>Итоговая!D397</f>
        <v>1.6</v>
      </c>
      <c r="C52" s="533"/>
      <c r="D52" s="533"/>
      <c r="E52" s="533"/>
      <c r="F52" s="534"/>
      <c r="G52" s="550"/>
      <c r="H52" s="97"/>
      <c r="I52" s="97"/>
      <c r="J52" s="97"/>
      <c r="K52" s="97"/>
      <c r="L52" s="74"/>
      <c r="M52" s="8"/>
      <c r="N52" s="8"/>
      <c r="O52" s="8"/>
      <c r="P52" s="97"/>
      <c r="Q52" s="97"/>
      <c r="R52" s="97"/>
      <c r="S52" s="97"/>
      <c r="T52" s="97"/>
      <c r="U52" s="97"/>
      <c r="V52" s="97"/>
      <c r="W52" s="74"/>
    </row>
    <row r="53" spans="1:23" ht="16.5" customHeight="1" thickBot="1" x14ac:dyDescent="0.3">
      <c r="A53" s="406"/>
      <c r="B53" s="395"/>
      <c r="C53" s="396"/>
      <c r="D53" s="396"/>
      <c r="E53" s="396"/>
      <c r="F53" s="397"/>
      <c r="G53" s="2861" t="s">
        <v>1833</v>
      </c>
      <c r="H53" s="2861"/>
      <c r="I53" s="2862"/>
      <c r="J53" s="25">
        <f>SUM(J52:J52)</f>
        <v>0</v>
      </c>
      <c r="K53" s="93">
        <v>0.92</v>
      </c>
      <c r="L53" s="25">
        <f>J53/K53</f>
        <v>0</v>
      </c>
      <c r="M53" s="2873" t="s">
        <v>1834</v>
      </c>
      <c r="N53" s="2862"/>
      <c r="O53" s="25">
        <f>SUM(O52:O52)</f>
        <v>0</v>
      </c>
      <c r="P53" s="93">
        <v>0.92</v>
      </c>
      <c r="Q53" s="25">
        <f>O53/P53</f>
        <v>0</v>
      </c>
      <c r="R53" s="2873" t="s">
        <v>1833</v>
      </c>
      <c r="S53" s="2861"/>
      <c r="T53" s="2862"/>
      <c r="U53" s="25">
        <f>SUM(U52:U52)</f>
        <v>0</v>
      </c>
      <c r="V53" s="93">
        <v>0.92</v>
      </c>
      <c r="W53" s="25">
        <f>U53/V53</f>
        <v>0</v>
      </c>
    </row>
    <row r="54" spans="1:23" ht="59.25" customHeight="1" x14ac:dyDescent="0.25">
      <c r="A54" s="526" t="str">
        <f>Итоговая!C398</f>
        <v xml:space="preserve">ПС  35/10 кВ Ворошилово </v>
      </c>
      <c r="B54" s="527">
        <f>Итоговая!D398</f>
        <v>2.5</v>
      </c>
      <c r="C54" s="533"/>
      <c r="D54" s="533"/>
      <c r="E54" s="533"/>
      <c r="F54" s="534"/>
      <c r="G54" s="96"/>
      <c r="H54" s="8"/>
      <c r="I54" s="8"/>
      <c r="J54" s="8"/>
      <c r="K54" s="8"/>
      <c r="L54" s="145"/>
      <c r="M54" s="8" t="s">
        <v>1622</v>
      </c>
      <c r="N54" s="8" t="s">
        <v>1623</v>
      </c>
      <c r="O54" s="8">
        <v>0.04</v>
      </c>
      <c r="P54" s="8"/>
      <c r="Q54" s="8"/>
      <c r="R54" s="8"/>
      <c r="S54" s="8"/>
      <c r="T54" s="8"/>
      <c r="U54" s="8"/>
      <c r="V54" s="8"/>
      <c r="W54" s="145"/>
    </row>
    <row r="55" spans="1:23" ht="30" x14ac:dyDescent="0.25">
      <c r="A55" s="528"/>
      <c r="B55" s="500"/>
      <c r="C55" s="501"/>
      <c r="D55" s="501"/>
      <c r="E55" s="501"/>
      <c r="F55" s="502"/>
      <c r="G55" s="96"/>
      <c r="H55" s="8"/>
      <c r="I55" s="8"/>
      <c r="J55" s="8"/>
      <c r="K55" s="8"/>
      <c r="L55" s="145"/>
      <c r="M55" s="22" t="s">
        <v>1426</v>
      </c>
      <c r="N55" s="22" t="s">
        <v>1427</v>
      </c>
      <c r="O55" s="8">
        <v>1.2749999999999999</v>
      </c>
      <c r="P55" s="8"/>
      <c r="Q55" s="8"/>
      <c r="R55" s="8"/>
      <c r="S55" s="8"/>
      <c r="T55" s="8"/>
      <c r="U55" s="8"/>
      <c r="V55" s="8"/>
      <c r="W55" s="145"/>
    </row>
    <row r="56" spans="1:23" ht="19.5" customHeight="1" thickBot="1" x14ac:dyDescent="0.3">
      <c r="A56" s="406"/>
      <c r="B56" s="395"/>
      <c r="C56" s="396"/>
      <c r="D56" s="396"/>
      <c r="E56" s="396"/>
      <c r="F56" s="397"/>
      <c r="G56" s="2861" t="s">
        <v>1833</v>
      </c>
      <c r="H56" s="2861"/>
      <c r="I56" s="2862"/>
      <c r="J56" s="25">
        <f>SUM(J54:J55)</f>
        <v>0</v>
      </c>
      <c r="K56" s="93">
        <v>0.92</v>
      </c>
      <c r="L56" s="25">
        <f>J56/K56</f>
        <v>0</v>
      </c>
      <c r="M56" s="2873" t="s">
        <v>1834</v>
      </c>
      <c r="N56" s="2862"/>
      <c r="O56" s="25">
        <f>SUM(O54:O55)</f>
        <v>1.3149999999999999</v>
      </c>
      <c r="P56" s="93">
        <v>0.92</v>
      </c>
      <c r="Q56" s="25">
        <f>O56/P56</f>
        <v>1.4293478260869563</v>
      </c>
      <c r="R56" s="2873" t="s">
        <v>1833</v>
      </c>
      <c r="S56" s="2861"/>
      <c r="T56" s="2862"/>
      <c r="U56" s="25">
        <f>SUM(U54:U55)</f>
        <v>0</v>
      </c>
      <c r="V56" s="93">
        <v>0.92</v>
      </c>
      <c r="W56" s="25">
        <f>U56/V56</f>
        <v>0</v>
      </c>
    </row>
    <row r="57" spans="1:23" x14ac:dyDescent="0.25">
      <c r="A57" s="2879" t="str">
        <f>Итоговая!C399</f>
        <v xml:space="preserve">ПС 35/10 кВ Слаутино   </v>
      </c>
      <c r="B57" s="2881">
        <f>Итоговая!D399</f>
        <v>1.6</v>
      </c>
      <c r="C57" s="2887"/>
      <c r="D57" s="2887"/>
      <c r="E57" s="2887"/>
      <c r="F57" s="2889"/>
      <c r="G57" s="2648" t="s">
        <v>1960</v>
      </c>
      <c r="H57" s="2858"/>
      <c r="I57" s="2858"/>
      <c r="J57" s="2858"/>
      <c r="K57" s="2858"/>
      <c r="L57" s="2859"/>
      <c r="M57" s="118"/>
      <c r="N57" s="167"/>
      <c r="O57" s="75"/>
      <c r="P57" s="75"/>
      <c r="Q57" s="75"/>
      <c r="R57" s="2644"/>
      <c r="S57" s="2871"/>
      <c r="T57" s="2871"/>
      <c r="U57" s="2871"/>
      <c r="V57" s="2871"/>
      <c r="W57" s="2872"/>
    </row>
    <row r="58" spans="1:23" ht="75.75" customHeight="1" x14ac:dyDescent="0.25">
      <c r="A58" s="2880"/>
      <c r="B58" s="2882"/>
      <c r="C58" s="2888"/>
      <c r="D58" s="2888"/>
      <c r="E58" s="2888"/>
      <c r="F58" s="2890"/>
      <c r="G58" s="96" t="s">
        <v>1624</v>
      </c>
      <c r="H58" s="8" t="s">
        <v>1625</v>
      </c>
      <c r="I58" s="8" t="s">
        <v>1626</v>
      </c>
      <c r="J58" s="8">
        <v>0.03</v>
      </c>
      <c r="K58" s="8"/>
      <c r="L58" s="145"/>
      <c r="M58" s="1" t="s">
        <v>2390</v>
      </c>
      <c r="N58" s="1" t="s">
        <v>2391</v>
      </c>
      <c r="O58" s="8">
        <v>2.1000000000000001E-2</v>
      </c>
      <c r="P58" s="8"/>
      <c r="Q58" s="8"/>
      <c r="R58" s="145"/>
      <c r="S58" s="145"/>
      <c r="T58" s="145"/>
      <c r="U58" s="145"/>
      <c r="V58" s="145"/>
      <c r="W58" s="145"/>
    </row>
    <row r="59" spans="1:23" ht="21" customHeight="1" x14ac:dyDescent="0.25">
      <c r="A59" s="1022"/>
      <c r="B59" s="1025"/>
      <c r="C59" s="1023"/>
      <c r="D59" s="1023"/>
      <c r="E59" s="1023"/>
      <c r="F59" s="1024"/>
      <c r="G59" s="2759" t="s">
        <v>3020</v>
      </c>
      <c r="H59" s="2860"/>
      <c r="I59" s="2860"/>
      <c r="J59" s="2860"/>
      <c r="K59" s="2860"/>
      <c r="L59" s="2860"/>
      <c r="M59" s="1"/>
      <c r="N59" s="1"/>
      <c r="O59" s="8"/>
      <c r="P59" s="8"/>
      <c r="Q59" s="8"/>
      <c r="R59" s="145"/>
      <c r="S59" s="145"/>
      <c r="T59" s="145"/>
      <c r="U59" s="145"/>
      <c r="V59" s="145"/>
      <c r="W59" s="145"/>
    </row>
    <row r="60" spans="1:23" ht="75.75" customHeight="1" x14ac:dyDescent="0.25">
      <c r="A60" s="1009"/>
      <c r="B60" s="1010"/>
      <c r="C60" s="1011"/>
      <c r="D60" s="1011"/>
      <c r="E60" s="1011"/>
      <c r="F60" s="1012"/>
      <c r="G60" s="1" t="s">
        <v>3072</v>
      </c>
      <c r="H60" s="1" t="s">
        <v>3073</v>
      </c>
      <c r="I60" s="1" t="s">
        <v>3075</v>
      </c>
      <c r="J60" s="8">
        <f>0.015*0.9</f>
        <v>1.35E-2</v>
      </c>
      <c r="K60" s="8"/>
      <c r="L60" s="145"/>
      <c r="M60" s="1"/>
      <c r="N60" s="1"/>
      <c r="O60" s="8"/>
      <c r="P60" s="8"/>
      <c r="Q60" s="8"/>
      <c r="R60" s="145"/>
      <c r="S60" s="145"/>
      <c r="T60" s="145"/>
      <c r="U60" s="145"/>
      <c r="V60" s="145"/>
      <c r="W60" s="145"/>
    </row>
    <row r="61" spans="1:23" ht="18.75" customHeight="1" thickBot="1" x14ac:dyDescent="0.3">
      <c r="A61" s="406"/>
      <c r="B61" s="395"/>
      <c r="C61" s="396"/>
      <c r="D61" s="396"/>
      <c r="E61" s="396"/>
      <c r="F61" s="397"/>
      <c r="G61" s="2861" t="s">
        <v>1833</v>
      </c>
      <c r="H61" s="2861"/>
      <c r="I61" s="2862"/>
      <c r="J61" s="25">
        <f>SUM(J60)</f>
        <v>1.35E-2</v>
      </c>
      <c r="K61" s="93">
        <v>0.92</v>
      </c>
      <c r="L61" s="25">
        <f>J61/K61</f>
        <v>1.4673913043478259E-2</v>
      </c>
      <c r="M61" s="2873" t="s">
        <v>1834</v>
      </c>
      <c r="N61" s="2862"/>
      <c r="O61" s="25">
        <f>SUM(O58:O60)</f>
        <v>2.1000000000000001E-2</v>
      </c>
      <c r="P61" s="93">
        <v>0.92</v>
      </c>
      <c r="Q61" s="25">
        <f>O61/P61</f>
        <v>2.2826086956521739E-2</v>
      </c>
      <c r="R61" s="2873" t="s">
        <v>1833</v>
      </c>
      <c r="S61" s="2861"/>
      <c r="T61" s="2862"/>
      <c r="U61" s="25">
        <f>SUM(U58:U58)</f>
        <v>0</v>
      </c>
      <c r="V61" s="93">
        <v>0.92</v>
      </c>
      <c r="W61" s="25">
        <f>U61/V61</f>
        <v>0</v>
      </c>
    </row>
    <row r="62" spans="1:23" x14ac:dyDescent="0.25">
      <c r="A62" s="2879" t="str">
        <f>Итоговая!C400</f>
        <v xml:space="preserve">ПС 35/10 кВ Мошки </v>
      </c>
      <c r="B62" s="2689">
        <f>Итоговая!D400</f>
        <v>2.5</v>
      </c>
      <c r="C62" s="2691" t="str">
        <f>Итоговая!E400</f>
        <v>+</v>
      </c>
      <c r="D62" s="2691">
        <f>Итоговая!F400</f>
        <v>1.6</v>
      </c>
      <c r="E62" s="2691"/>
      <c r="F62" s="2687"/>
      <c r="G62" s="2648" t="s">
        <v>1963</v>
      </c>
      <c r="H62" s="2858"/>
      <c r="I62" s="2858"/>
      <c r="J62" s="2858"/>
      <c r="K62" s="2858"/>
      <c r="L62" s="2859"/>
      <c r="M62" s="118"/>
      <c r="N62" s="167"/>
      <c r="O62" s="75"/>
      <c r="P62" s="75"/>
      <c r="Q62" s="75"/>
      <c r="R62" s="2644"/>
      <c r="S62" s="2871"/>
      <c r="T62" s="2871"/>
      <c r="U62" s="2871"/>
      <c r="V62" s="2871"/>
      <c r="W62" s="2872"/>
    </row>
    <row r="63" spans="1:23" ht="27.75" customHeight="1" x14ac:dyDescent="0.25">
      <c r="A63" s="2880"/>
      <c r="B63" s="2690"/>
      <c r="C63" s="2692"/>
      <c r="D63" s="2692"/>
      <c r="E63" s="2692"/>
      <c r="F63" s="2688"/>
      <c r="G63" s="199" t="s">
        <v>849</v>
      </c>
      <c r="H63" s="157" t="s">
        <v>850</v>
      </c>
      <c r="I63" s="3" t="s">
        <v>851</v>
      </c>
      <c r="J63" s="85">
        <v>0.05</v>
      </c>
      <c r="K63" s="85"/>
      <c r="L63" s="117"/>
      <c r="M63" s="8"/>
      <c r="N63" s="8"/>
      <c r="O63" s="8"/>
      <c r="P63" s="8"/>
      <c r="Q63" s="8"/>
      <c r="R63" s="72"/>
      <c r="S63" s="72"/>
      <c r="T63" s="67"/>
      <c r="U63" s="76"/>
      <c r="V63" s="76"/>
      <c r="W63" s="76"/>
    </row>
    <row r="64" spans="1:23" ht="27.75" customHeight="1" x14ac:dyDescent="0.25">
      <c r="A64" s="2880"/>
      <c r="B64" s="2690"/>
      <c r="C64" s="2692"/>
      <c r="D64" s="2692"/>
      <c r="E64" s="2692"/>
      <c r="F64" s="2688"/>
      <c r="G64" s="2759" t="s">
        <v>2032</v>
      </c>
      <c r="H64" s="2860"/>
      <c r="I64" s="2860"/>
      <c r="J64" s="2860"/>
      <c r="K64" s="2860"/>
      <c r="L64" s="2860"/>
      <c r="M64" s="8"/>
      <c r="N64" s="8"/>
      <c r="O64" s="8"/>
      <c r="P64" s="8"/>
      <c r="Q64" s="8"/>
      <c r="R64" s="157"/>
      <c r="S64" s="157"/>
      <c r="T64" s="67"/>
      <c r="U64" s="117"/>
      <c r="V64" s="117"/>
      <c r="W64" s="117"/>
    </row>
    <row r="65" spans="1:23" ht="60" x14ac:dyDescent="0.25">
      <c r="A65" s="2880"/>
      <c r="B65" s="2690"/>
      <c r="C65" s="2692"/>
      <c r="D65" s="2692"/>
      <c r="E65" s="2692"/>
      <c r="F65" s="2688"/>
      <c r="G65" s="95" t="s">
        <v>625</v>
      </c>
      <c r="H65" s="92" t="s">
        <v>852</v>
      </c>
      <c r="I65" s="211">
        <v>40200</v>
      </c>
      <c r="J65" s="85">
        <v>4.2000000000000003E-2</v>
      </c>
      <c r="K65" s="85"/>
      <c r="L65" s="117"/>
      <c r="M65" s="1839" t="s">
        <v>2570</v>
      </c>
      <c r="N65" s="1839" t="s">
        <v>2571</v>
      </c>
      <c r="O65" s="1855">
        <v>0.12</v>
      </c>
      <c r="P65" s="8"/>
      <c r="Q65" s="8"/>
      <c r="R65" s="75"/>
      <c r="S65" s="75"/>
      <c r="T65" s="358"/>
      <c r="U65" s="117"/>
      <c r="V65" s="117"/>
      <c r="W65" s="117"/>
    </row>
    <row r="66" spans="1:23" ht="27" customHeight="1" x14ac:dyDescent="0.25">
      <c r="A66" s="1193"/>
      <c r="B66" s="1189"/>
      <c r="C66" s="1190"/>
      <c r="D66" s="1190"/>
      <c r="E66" s="1190"/>
      <c r="F66" s="1188"/>
      <c r="G66" s="2759" t="s">
        <v>17005</v>
      </c>
      <c r="H66" s="2860"/>
      <c r="I66" s="2860"/>
      <c r="J66" s="2860"/>
      <c r="K66" s="2860"/>
      <c r="L66" s="2860"/>
      <c r="M66" s="1839"/>
      <c r="N66" s="1839"/>
      <c r="O66" s="1839"/>
      <c r="P66" s="92"/>
      <c r="Q66" s="92"/>
      <c r="R66" s="118"/>
      <c r="S66" s="789"/>
      <c r="T66" s="1205"/>
      <c r="U66" s="117"/>
      <c r="V66" s="117"/>
      <c r="W66" s="117"/>
    </row>
    <row r="67" spans="1:23" ht="99.75" customHeight="1" x14ac:dyDescent="0.25">
      <c r="A67" s="1193"/>
      <c r="B67" s="1189"/>
      <c r="C67" s="1190"/>
      <c r="D67" s="1190"/>
      <c r="E67" s="1190"/>
      <c r="F67" s="1188"/>
      <c r="G67" s="2123" t="s">
        <v>15307</v>
      </c>
      <c r="H67" s="2124" t="s">
        <v>19999</v>
      </c>
      <c r="I67" s="314" t="s">
        <v>20000</v>
      </c>
      <c r="J67" s="117">
        <f>0.025*0.9</f>
        <v>2.2500000000000003E-2</v>
      </c>
      <c r="K67" s="117"/>
      <c r="L67" s="117"/>
      <c r="M67" s="1839"/>
      <c r="N67" s="1839"/>
      <c r="O67" s="1839"/>
      <c r="P67" s="92"/>
      <c r="Q67" s="92"/>
      <c r="R67" s="118"/>
      <c r="S67" s="789"/>
      <c r="T67" s="1205"/>
      <c r="U67" s="117"/>
      <c r="V67" s="117"/>
      <c r="W67" s="117"/>
    </row>
    <row r="68" spans="1:23" ht="99.75" customHeight="1" x14ac:dyDescent="0.25">
      <c r="A68" s="2195"/>
      <c r="B68" s="2182"/>
      <c r="C68" s="2183"/>
      <c r="D68" s="2183"/>
      <c r="E68" s="2183"/>
      <c r="F68" s="2181"/>
      <c r="G68" s="809"/>
      <c r="H68" s="809" t="s">
        <v>20006</v>
      </c>
      <c r="I68" s="810" t="s">
        <v>20007</v>
      </c>
      <c r="J68" s="117">
        <f>0.025*0.9</f>
        <v>2.2500000000000003E-2</v>
      </c>
      <c r="K68" s="117"/>
      <c r="L68" s="117"/>
      <c r="M68" s="2169"/>
      <c r="N68" s="2171"/>
      <c r="O68" s="2168"/>
      <c r="P68" s="1656"/>
      <c r="Q68" s="1656"/>
      <c r="R68" s="118"/>
      <c r="S68" s="2174"/>
      <c r="T68" s="1205"/>
      <c r="U68" s="117"/>
      <c r="V68" s="117"/>
      <c r="W68" s="117"/>
    </row>
    <row r="69" spans="1:23" ht="18" customHeight="1" thickBot="1" x14ac:dyDescent="0.3">
      <c r="A69" s="406"/>
      <c r="B69" s="395"/>
      <c r="C69" s="396"/>
      <c r="D69" s="396"/>
      <c r="E69" s="396"/>
      <c r="F69" s="397"/>
      <c r="G69" s="2861" t="s">
        <v>1833</v>
      </c>
      <c r="H69" s="2861"/>
      <c r="I69" s="2862"/>
      <c r="J69" s="25">
        <f>SUM(J67:J68)</f>
        <v>4.5000000000000005E-2</v>
      </c>
      <c r="K69" s="93">
        <v>0.92</v>
      </c>
      <c r="L69" s="25">
        <f>J69/K69</f>
        <v>4.8913043478260872E-2</v>
      </c>
      <c r="M69" s="2570" t="s">
        <v>1834</v>
      </c>
      <c r="N69" s="2572"/>
      <c r="O69" s="83">
        <f>SUM(O65:O67)</f>
        <v>0.12</v>
      </c>
      <c r="P69" s="93">
        <v>0.92</v>
      </c>
      <c r="Q69" s="25">
        <f>O69/P69</f>
        <v>0.13043478260869565</v>
      </c>
      <c r="R69" s="2873" t="s">
        <v>1833</v>
      </c>
      <c r="S69" s="2861"/>
      <c r="T69" s="2862"/>
      <c r="U69" s="25">
        <f>SUM(U63:U65)</f>
        <v>0</v>
      </c>
      <c r="V69" s="93">
        <v>0.92</v>
      </c>
      <c r="W69" s="25">
        <f>U69/V69</f>
        <v>0</v>
      </c>
    </row>
    <row r="70" spans="1:23" ht="35.25" customHeight="1" x14ac:dyDescent="0.25">
      <c r="A70" s="526" t="str">
        <f>Итоговая!C401</f>
        <v xml:space="preserve">ПС 35/10 кВ Высокое  </v>
      </c>
      <c r="B70" s="527">
        <f>Итоговая!D401</f>
        <v>4</v>
      </c>
      <c r="C70" s="508" t="str">
        <f>Итоговая!E401</f>
        <v>+</v>
      </c>
      <c r="D70" s="508">
        <f>Итоговая!F401</f>
        <v>2.5</v>
      </c>
      <c r="E70" s="508"/>
      <c r="F70" s="509"/>
      <c r="G70" s="2759" t="s">
        <v>3020</v>
      </c>
      <c r="H70" s="2860"/>
      <c r="I70" s="2860"/>
      <c r="J70" s="2860"/>
      <c r="K70" s="2860"/>
      <c r="L70" s="2860"/>
      <c r="M70" s="1839"/>
      <c r="N70" s="1839"/>
      <c r="O70" s="1855"/>
      <c r="P70" s="8"/>
      <c r="Q70" s="8"/>
      <c r="R70" s="8"/>
      <c r="S70" s="8"/>
      <c r="T70" s="8"/>
      <c r="U70" s="8"/>
      <c r="V70" s="8"/>
      <c r="W70" s="145"/>
    </row>
    <row r="71" spans="1:23" x14ac:dyDescent="0.25">
      <c r="A71" s="1181"/>
      <c r="B71" s="1178"/>
      <c r="C71" s="1179"/>
      <c r="D71" s="1179"/>
      <c r="E71" s="1179"/>
      <c r="F71" s="1180"/>
      <c r="G71" s="2624"/>
      <c r="H71" s="2616"/>
      <c r="I71" s="2617"/>
      <c r="J71" s="75"/>
      <c r="K71" s="75"/>
      <c r="L71" s="75"/>
      <c r="M71" s="1843"/>
      <c r="N71" s="1843"/>
      <c r="O71" s="1843"/>
      <c r="P71" s="92"/>
      <c r="Q71" s="92"/>
      <c r="R71" s="94"/>
      <c r="S71" s="747"/>
      <c r="T71" s="95"/>
      <c r="U71" s="92"/>
      <c r="V71" s="92"/>
      <c r="W71" s="75"/>
    </row>
    <row r="72" spans="1:23" x14ac:dyDescent="0.25">
      <c r="A72" s="1891"/>
      <c r="B72" s="1877"/>
      <c r="C72" s="1878"/>
      <c r="D72" s="1878"/>
      <c r="E72" s="1878"/>
      <c r="F72" s="1884"/>
      <c r="G72" s="2759" t="s">
        <v>17005</v>
      </c>
      <c r="H72" s="2860"/>
      <c r="I72" s="2860"/>
      <c r="J72" s="2860"/>
      <c r="K72" s="2860"/>
      <c r="L72" s="2860"/>
      <c r="M72" s="129"/>
      <c r="N72" s="130"/>
      <c r="O72" s="62"/>
      <c r="P72" s="1656"/>
      <c r="Q72" s="1656"/>
      <c r="R72" s="1868"/>
      <c r="S72" s="1863"/>
      <c r="T72" s="1869"/>
      <c r="U72" s="1656"/>
      <c r="V72" s="1656"/>
      <c r="W72" s="75"/>
    </row>
    <row r="73" spans="1:23" ht="36.75" customHeight="1" x14ac:dyDescent="0.25">
      <c r="A73" s="1891"/>
      <c r="B73" s="1877"/>
      <c r="C73" s="1878"/>
      <c r="D73" s="1878"/>
      <c r="E73" s="1878"/>
      <c r="F73" s="1884"/>
      <c r="G73" s="1864" t="s">
        <v>3247</v>
      </c>
      <c r="H73" s="1864" t="s">
        <v>16913</v>
      </c>
      <c r="I73" s="130" t="s">
        <v>17022</v>
      </c>
      <c r="J73" s="75">
        <f>0.127*0.9</f>
        <v>0.1143</v>
      </c>
      <c r="K73" s="75"/>
      <c r="L73" s="75"/>
      <c r="M73" s="129"/>
      <c r="N73" s="130"/>
      <c r="O73" s="62"/>
      <c r="P73" s="1656"/>
      <c r="Q73" s="1656"/>
      <c r="R73" s="1868"/>
      <c r="S73" s="1863"/>
      <c r="T73" s="1869"/>
      <c r="U73" s="1656"/>
      <c r="V73" s="1656"/>
      <c r="W73" s="75"/>
    </row>
    <row r="74" spans="1:23" ht="36.75" customHeight="1" x14ac:dyDescent="0.25">
      <c r="A74" s="2195"/>
      <c r="B74" s="2182"/>
      <c r="C74" s="2183"/>
      <c r="D74" s="2183"/>
      <c r="E74" s="2183"/>
      <c r="F74" s="2181"/>
      <c r="G74" s="2170" t="s">
        <v>15307</v>
      </c>
      <c r="H74" s="2170" t="s">
        <v>20008</v>
      </c>
      <c r="I74" s="2186" t="s">
        <v>20009</v>
      </c>
      <c r="J74" s="75">
        <f>0.025*0.9</f>
        <v>2.2500000000000003E-2</v>
      </c>
      <c r="K74" s="75"/>
      <c r="L74" s="75"/>
      <c r="M74" s="2184"/>
      <c r="N74" s="2186"/>
      <c r="O74" s="62"/>
      <c r="P74" s="1656"/>
      <c r="Q74" s="1656"/>
      <c r="R74" s="2164"/>
      <c r="S74" s="2165"/>
      <c r="T74" s="2166"/>
      <c r="U74" s="1656"/>
      <c r="V74" s="1656"/>
      <c r="W74" s="75"/>
    </row>
    <row r="75" spans="1:23" ht="19.5" customHeight="1" thickBot="1" x14ac:dyDescent="0.3">
      <c r="A75" s="406"/>
      <c r="B75" s="395"/>
      <c r="C75" s="396"/>
      <c r="D75" s="396"/>
      <c r="E75" s="396"/>
      <c r="F75" s="397"/>
      <c r="G75" s="2861" t="s">
        <v>1833</v>
      </c>
      <c r="H75" s="2861"/>
      <c r="I75" s="2862"/>
      <c r="J75" s="25">
        <f>SUM(J73:J74)</f>
        <v>0.1368</v>
      </c>
      <c r="K75" s="93">
        <v>0.92</v>
      </c>
      <c r="L75" s="25">
        <f>J75/K75</f>
        <v>0.14869565217391303</v>
      </c>
      <c r="M75" s="2873" t="s">
        <v>1834</v>
      </c>
      <c r="N75" s="2862"/>
      <c r="O75" s="25">
        <f>SUM(O70:O71)</f>
        <v>0</v>
      </c>
      <c r="P75" s="93">
        <v>0.92</v>
      </c>
      <c r="Q75" s="25">
        <f>O75/P75</f>
        <v>0</v>
      </c>
      <c r="R75" s="2873" t="s">
        <v>1833</v>
      </c>
      <c r="S75" s="2861"/>
      <c r="T75" s="2862"/>
      <c r="U75" s="25">
        <f>SUM(U70:U70)</f>
        <v>0</v>
      </c>
      <c r="V75" s="93">
        <v>0.92</v>
      </c>
      <c r="W75" s="25">
        <f>U75/V75</f>
        <v>0</v>
      </c>
    </row>
    <row r="76" spans="1:23" x14ac:dyDescent="0.25">
      <c r="A76" s="2879" t="str">
        <f>Итоговая!C402</f>
        <v xml:space="preserve">ПС 35/10 кВ Бубеньево  </v>
      </c>
      <c r="B76" s="2689">
        <f>Итоговая!D402</f>
        <v>4</v>
      </c>
      <c r="C76" s="2691" t="str">
        <f>Итоговая!E402</f>
        <v>+</v>
      </c>
      <c r="D76" s="2691">
        <f>Итоговая!F402</f>
        <v>4</v>
      </c>
      <c r="E76" s="2691"/>
      <c r="F76" s="2687"/>
      <c r="G76" s="2778" t="s">
        <v>1961</v>
      </c>
      <c r="H76" s="2868"/>
      <c r="I76" s="2868"/>
      <c r="J76" s="2868"/>
      <c r="K76" s="2868"/>
      <c r="L76" s="2869"/>
      <c r="M76" s="76"/>
      <c r="N76" s="76"/>
      <c r="O76" s="76"/>
      <c r="P76" s="76"/>
      <c r="Q76" s="76"/>
      <c r="R76" s="2770"/>
      <c r="S76" s="2622"/>
      <c r="T76" s="2622"/>
      <c r="U76" s="2622"/>
      <c r="V76" s="2622"/>
      <c r="W76" s="2874"/>
    </row>
    <row r="77" spans="1:23" ht="30" x14ac:dyDescent="0.25">
      <c r="A77" s="2880"/>
      <c r="B77" s="2690"/>
      <c r="C77" s="2692"/>
      <c r="D77" s="2692"/>
      <c r="E77" s="2692"/>
      <c r="F77" s="2688"/>
      <c r="G77" s="96" t="s">
        <v>853</v>
      </c>
      <c r="H77" s="8" t="s">
        <v>854</v>
      </c>
      <c r="I77" s="8" t="s">
        <v>855</v>
      </c>
      <c r="J77" s="8">
        <v>1.6E-2</v>
      </c>
      <c r="K77" s="8"/>
      <c r="L77" s="145"/>
      <c r="M77" s="8"/>
      <c r="N77" s="8"/>
      <c r="O77" s="8"/>
      <c r="P77" s="8"/>
      <c r="Q77" s="8"/>
      <c r="R77" s="145"/>
      <c r="S77" s="145"/>
      <c r="T77" s="145"/>
      <c r="U77" s="145"/>
      <c r="V77" s="145"/>
      <c r="W77" s="145"/>
    </row>
    <row r="78" spans="1:23" x14ac:dyDescent="0.25">
      <c r="A78" s="528"/>
      <c r="B78" s="511"/>
      <c r="C78" s="499"/>
      <c r="D78" s="499"/>
      <c r="E78" s="499"/>
      <c r="F78" s="510"/>
      <c r="G78" s="2787" t="s">
        <v>1960</v>
      </c>
      <c r="H78" s="2863"/>
      <c r="I78" s="2863"/>
      <c r="J78" s="2863"/>
      <c r="K78" s="2863"/>
      <c r="L78" s="2864"/>
      <c r="M78" s="8"/>
      <c r="N78" s="8"/>
      <c r="O78" s="8"/>
      <c r="P78" s="8"/>
      <c r="Q78" s="8"/>
      <c r="R78" s="2875" t="s">
        <v>1960</v>
      </c>
      <c r="S78" s="2863"/>
      <c r="T78" s="2863"/>
      <c r="U78" s="2863"/>
      <c r="V78" s="2863"/>
      <c r="W78" s="2864"/>
    </row>
    <row r="79" spans="1:23" ht="30" x14ac:dyDescent="0.25">
      <c r="A79" s="528"/>
      <c r="B79" s="511"/>
      <c r="C79" s="499"/>
      <c r="D79" s="499"/>
      <c r="E79" s="499"/>
      <c r="F79" s="510"/>
      <c r="G79" s="96" t="s">
        <v>856</v>
      </c>
      <c r="H79" s="8" t="s">
        <v>857</v>
      </c>
      <c r="I79" s="8" t="s">
        <v>858</v>
      </c>
      <c r="J79" s="8">
        <v>2.1000000000000001E-2</v>
      </c>
      <c r="K79" s="8"/>
      <c r="L79" s="145"/>
      <c r="M79" s="8" t="s">
        <v>859</v>
      </c>
      <c r="N79" s="8" t="s">
        <v>862</v>
      </c>
      <c r="O79" s="8">
        <v>0.80500000000000005</v>
      </c>
      <c r="P79" s="8"/>
      <c r="Q79" s="8"/>
      <c r="R79" s="8"/>
      <c r="S79" s="8"/>
      <c r="T79" s="8"/>
      <c r="U79" s="8"/>
      <c r="V79" s="8"/>
      <c r="W79" s="145"/>
    </row>
    <row r="80" spans="1:23" ht="30" x14ac:dyDescent="0.25">
      <c r="A80" s="528"/>
      <c r="B80" s="511"/>
      <c r="C80" s="499"/>
      <c r="D80" s="499"/>
      <c r="E80" s="499"/>
      <c r="F80" s="510"/>
      <c r="G80" s="96" t="s">
        <v>859</v>
      </c>
      <c r="H80" s="8" t="s">
        <v>860</v>
      </c>
      <c r="I80" s="8" t="s">
        <v>861</v>
      </c>
      <c r="J80" s="8">
        <v>0.04</v>
      </c>
      <c r="K80" s="8"/>
      <c r="L80" s="145"/>
      <c r="M80" s="1" t="s">
        <v>13</v>
      </c>
      <c r="N80" s="1" t="s">
        <v>14</v>
      </c>
      <c r="O80" s="8">
        <v>2.4E-2</v>
      </c>
      <c r="P80" s="8"/>
      <c r="Q80" s="8"/>
      <c r="R80" s="8"/>
      <c r="S80" s="8"/>
      <c r="T80" s="8"/>
      <c r="U80" s="8"/>
      <c r="V80" s="8"/>
      <c r="W80" s="145"/>
    </row>
    <row r="81" spans="1:23" ht="58.5" customHeight="1" x14ac:dyDescent="0.25">
      <c r="A81" s="528"/>
      <c r="B81" s="511"/>
      <c r="C81" s="499"/>
      <c r="D81" s="499"/>
      <c r="E81" s="499"/>
      <c r="F81" s="510"/>
      <c r="G81" s="551"/>
      <c r="H81" s="309"/>
      <c r="I81" s="310"/>
      <c r="J81" s="309"/>
      <c r="K81" s="309"/>
      <c r="L81" s="311"/>
      <c r="M81" s="1" t="s">
        <v>2776</v>
      </c>
      <c r="N81" s="1" t="s">
        <v>2777</v>
      </c>
      <c r="O81" s="1">
        <v>0.1</v>
      </c>
      <c r="P81" s="8"/>
      <c r="Q81" s="8"/>
      <c r="R81" s="360" t="s">
        <v>859</v>
      </c>
      <c r="S81" s="360" t="s">
        <v>863</v>
      </c>
      <c r="T81" s="361" t="s">
        <v>2488</v>
      </c>
      <c r="U81" s="360">
        <v>2.1000000000000001E-2</v>
      </c>
      <c r="V81" s="360"/>
      <c r="W81" s="362"/>
    </row>
    <row r="82" spans="1:23" ht="44.25" customHeight="1" thickBot="1" x14ac:dyDescent="0.3">
      <c r="A82" s="528"/>
      <c r="B82" s="511"/>
      <c r="C82" s="499"/>
      <c r="D82" s="499"/>
      <c r="E82" s="499"/>
      <c r="F82" s="510"/>
      <c r="G82" s="2763" t="s">
        <v>1959</v>
      </c>
      <c r="H82" s="2860"/>
      <c r="I82" s="2860"/>
      <c r="J82" s="2860"/>
      <c r="K82" s="2860"/>
      <c r="L82" s="2860"/>
      <c r="M82" s="22" t="s">
        <v>2776</v>
      </c>
      <c r="N82" s="22" t="s">
        <v>2799</v>
      </c>
      <c r="O82" s="145">
        <v>0.1</v>
      </c>
      <c r="P82" s="8"/>
      <c r="Q82" s="92"/>
      <c r="R82" s="2650"/>
      <c r="S82" s="2876"/>
      <c r="T82" s="2876"/>
      <c r="U82" s="2876"/>
      <c r="V82" s="2876"/>
      <c r="W82" s="2876"/>
    </row>
    <row r="83" spans="1:23" ht="103.5" customHeight="1" x14ac:dyDescent="0.25">
      <c r="A83" s="528"/>
      <c r="B83" s="511"/>
      <c r="C83" s="499"/>
      <c r="D83" s="499"/>
      <c r="E83" s="499"/>
      <c r="F83" s="510"/>
      <c r="G83" s="184" t="s">
        <v>859</v>
      </c>
      <c r="H83" s="143" t="s">
        <v>1431</v>
      </c>
      <c r="I83" s="143" t="s">
        <v>864</v>
      </c>
      <c r="J83" s="92">
        <v>5.8000000000000003E-2</v>
      </c>
      <c r="K83" s="92"/>
      <c r="L83" s="8"/>
      <c r="M83" s="17" t="s">
        <v>15307</v>
      </c>
      <c r="N83" s="17" t="s">
        <v>16810</v>
      </c>
      <c r="O83" s="17">
        <v>2.5000000000000001E-2</v>
      </c>
      <c r="P83" s="8"/>
      <c r="Q83" s="92"/>
      <c r="R83" s="142"/>
      <c r="S83" s="142"/>
      <c r="T83" s="142"/>
      <c r="U83" s="75"/>
      <c r="V83" s="75"/>
      <c r="W83" s="145"/>
    </row>
    <row r="84" spans="1:23" ht="117.75" customHeight="1" x14ac:dyDescent="0.25">
      <c r="A84" s="528"/>
      <c r="B84" s="511"/>
      <c r="C84" s="499"/>
      <c r="D84" s="499"/>
      <c r="E84" s="499"/>
      <c r="F84" s="510"/>
      <c r="G84" s="96" t="s">
        <v>859</v>
      </c>
      <c r="H84" s="8" t="s">
        <v>1433</v>
      </c>
      <c r="I84" s="143" t="s">
        <v>1432</v>
      </c>
      <c r="J84" s="8">
        <v>0.1</v>
      </c>
      <c r="K84" s="92"/>
      <c r="L84" s="75"/>
      <c r="M84" s="1710"/>
      <c r="N84" s="1710"/>
      <c r="O84" s="145"/>
      <c r="P84" s="92"/>
      <c r="Q84" s="92"/>
      <c r="R84" s="145"/>
      <c r="S84" s="145"/>
      <c r="T84" s="142"/>
      <c r="U84" s="145"/>
      <c r="V84" s="75"/>
      <c r="W84" s="75"/>
    </row>
    <row r="85" spans="1:23" ht="21.75" customHeight="1" x14ac:dyDescent="0.25">
      <c r="A85" s="594"/>
      <c r="B85" s="589"/>
      <c r="C85" s="591"/>
      <c r="D85" s="591"/>
      <c r="E85" s="591"/>
      <c r="F85" s="595"/>
      <c r="G85" s="2763" t="s">
        <v>2032</v>
      </c>
      <c r="H85" s="2860"/>
      <c r="I85" s="2860"/>
      <c r="J85" s="2860"/>
      <c r="K85" s="2860"/>
      <c r="L85" s="2860"/>
      <c r="M85" s="22" t="s">
        <v>3039</v>
      </c>
      <c r="N85" s="22" t="s">
        <v>3040</v>
      </c>
      <c r="O85" s="145">
        <v>8.3599999999999994E-2</v>
      </c>
      <c r="P85" s="92"/>
      <c r="Q85" s="92"/>
      <c r="R85" s="145"/>
      <c r="S85" s="145"/>
      <c r="T85" s="176"/>
      <c r="U85" s="75"/>
      <c r="V85" s="75"/>
      <c r="W85" s="75"/>
    </row>
    <row r="86" spans="1:23" ht="87" customHeight="1" x14ac:dyDescent="0.25">
      <c r="A86" s="528"/>
      <c r="B86" s="511"/>
      <c r="C86" s="499"/>
      <c r="D86" s="499"/>
      <c r="E86" s="499"/>
      <c r="F86" s="510"/>
      <c r="G86" s="152" t="s">
        <v>2191</v>
      </c>
      <c r="H86" s="1" t="s">
        <v>2192</v>
      </c>
      <c r="I86" s="180" t="s">
        <v>2353</v>
      </c>
      <c r="J86" s="92">
        <v>0.15</v>
      </c>
      <c r="K86" s="92"/>
      <c r="L86" s="75"/>
      <c r="M86" s="22" t="s">
        <v>16899</v>
      </c>
      <c r="N86" s="22" t="s">
        <v>16943</v>
      </c>
      <c r="O86" s="145">
        <f>0.04-0.012</f>
        <v>2.8000000000000001E-2</v>
      </c>
      <c r="P86" s="92"/>
      <c r="Q86" s="92"/>
      <c r="R86" s="22"/>
      <c r="S86" s="22"/>
      <c r="T86" s="176"/>
      <c r="U86" s="75"/>
      <c r="V86" s="75"/>
      <c r="W86" s="75"/>
    </row>
    <row r="87" spans="1:23" ht="20.25" customHeight="1" x14ac:dyDescent="0.25">
      <c r="A87" s="801"/>
      <c r="B87" s="799"/>
      <c r="C87" s="797"/>
      <c r="D87" s="797"/>
      <c r="E87" s="797"/>
      <c r="F87" s="800"/>
      <c r="G87" s="2763" t="s">
        <v>2477</v>
      </c>
      <c r="H87" s="2860"/>
      <c r="I87" s="2860"/>
      <c r="J87" s="2860"/>
      <c r="K87" s="2860"/>
      <c r="L87" s="2860"/>
      <c r="M87" s="22"/>
      <c r="N87" s="22"/>
      <c r="O87" s="145"/>
      <c r="P87" s="8"/>
      <c r="Q87" s="8"/>
      <c r="R87" s="22"/>
      <c r="S87" s="22"/>
      <c r="T87" s="142"/>
      <c r="U87" s="145"/>
      <c r="V87" s="145"/>
      <c r="W87" s="145"/>
    </row>
    <row r="88" spans="1:23" ht="21.75" customHeight="1" x14ac:dyDescent="0.25">
      <c r="A88" s="801"/>
      <c r="B88" s="799"/>
      <c r="C88" s="797"/>
      <c r="D88" s="797"/>
      <c r="E88" s="797"/>
      <c r="F88" s="800"/>
      <c r="G88" s="1" t="s">
        <v>2341</v>
      </c>
      <c r="H88" s="1495" t="s">
        <v>2793</v>
      </c>
      <c r="I88" s="143" t="s">
        <v>2864</v>
      </c>
      <c r="J88" s="8">
        <v>0.09</v>
      </c>
      <c r="K88" s="8"/>
      <c r="L88" s="145"/>
      <c r="M88" s="145"/>
      <c r="N88" s="145"/>
      <c r="O88" s="145"/>
      <c r="P88" s="8"/>
      <c r="Q88" s="8"/>
      <c r="R88" s="22"/>
      <c r="S88" s="22"/>
      <c r="T88" s="142"/>
      <c r="U88" s="145"/>
      <c r="V88" s="145"/>
      <c r="W88" s="145"/>
    </row>
    <row r="89" spans="1:23" ht="23.25" customHeight="1" x14ac:dyDescent="0.25">
      <c r="A89" s="801"/>
      <c r="B89" s="799"/>
      <c r="C89" s="797"/>
      <c r="D89" s="797"/>
      <c r="E89" s="797"/>
      <c r="F89" s="800"/>
      <c r="G89" s="1" t="s">
        <v>2341</v>
      </c>
      <c r="H89" s="1495" t="s">
        <v>2794</v>
      </c>
      <c r="I89" s="143" t="s">
        <v>2865</v>
      </c>
      <c r="J89" s="8">
        <v>0.09</v>
      </c>
      <c r="K89" s="8"/>
      <c r="L89" s="145"/>
      <c r="M89" s="145"/>
      <c r="N89" s="145"/>
      <c r="O89" s="145"/>
      <c r="P89" s="8"/>
      <c r="Q89" s="8"/>
      <c r="R89" s="22"/>
      <c r="S89" s="22"/>
      <c r="T89" s="142"/>
      <c r="U89" s="145"/>
      <c r="V89" s="145"/>
      <c r="W89" s="145"/>
    </row>
    <row r="90" spans="1:23" ht="23.25" customHeight="1" x14ac:dyDescent="0.25">
      <c r="A90" s="1181"/>
      <c r="B90" s="1178"/>
      <c r="C90" s="1179"/>
      <c r="D90" s="1179"/>
      <c r="E90" s="1179"/>
      <c r="F90" s="1180"/>
      <c r="G90" s="2763" t="s">
        <v>3020</v>
      </c>
      <c r="H90" s="2860"/>
      <c r="I90" s="2860"/>
      <c r="J90" s="2860"/>
      <c r="K90" s="2860"/>
      <c r="L90" s="2860"/>
      <c r="M90" s="118"/>
      <c r="N90" s="167"/>
      <c r="O90" s="75"/>
      <c r="P90" s="92"/>
      <c r="Q90" s="92"/>
      <c r="R90" s="129"/>
      <c r="S90" s="652"/>
      <c r="T90" s="176"/>
      <c r="U90" s="75"/>
      <c r="V90" s="75"/>
      <c r="W90" s="75"/>
    </row>
    <row r="91" spans="1:23" ht="23.25" customHeight="1" x14ac:dyDescent="0.25">
      <c r="A91" s="1181"/>
      <c r="B91" s="1178"/>
      <c r="C91" s="1179"/>
      <c r="D91" s="1179"/>
      <c r="E91" s="1179"/>
      <c r="F91" s="1180"/>
      <c r="G91" s="2624"/>
      <c r="H91" s="2599"/>
      <c r="I91" s="2600"/>
      <c r="J91" s="75"/>
      <c r="K91" s="75"/>
      <c r="L91" s="75"/>
      <c r="M91" s="118"/>
      <c r="N91" s="167"/>
      <c r="O91" s="75"/>
      <c r="P91" s="92"/>
      <c r="Q91" s="92"/>
      <c r="R91" s="129"/>
      <c r="S91" s="652"/>
      <c r="T91" s="176"/>
      <c r="U91" s="75"/>
      <c r="V91" s="75"/>
      <c r="W91" s="75"/>
    </row>
    <row r="92" spans="1:23" ht="23.25" customHeight="1" x14ac:dyDescent="0.25">
      <c r="A92" s="1797"/>
      <c r="B92" s="1787"/>
      <c r="C92" s="1788"/>
      <c r="D92" s="1788"/>
      <c r="E92" s="1788"/>
      <c r="F92" s="1786"/>
      <c r="G92" s="2763" t="s">
        <v>3447</v>
      </c>
      <c r="H92" s="2860"/>
      <c r="I92" s="2860"/>
      <c r="J92" s="2860"/>
      <c r="K92" s="2860"/>
      <c r="L92" s="2860"/>
      <c r="M92" s="118"/>
      <c r="N92" s="167"/>
      <c r="O92" s="75"/>
      <c r="P92" s="1656"/>
      <c r="Q92" s="1656"/>
      <c r="R92" s="129"/>
      <c r="S92" s="652"/>
      <c r="T92" s="1794"/>
      <c r="U92" s="75"/>
      <c r="V92" s="75"/>
      <c r="W92" s="75"/>
    </row>
    <row r="93" spans="1:23" ht="23.25" customHeight="1" x14ac:dyDescent="0.25">
      <c r="A93" s="1797"/>
      <c r="B93" s="1787"/>
      <c r="C93" s="1788"/>
      <c r="D93" s="1788"/>
      <c r="E93" s="1788"/>
      <c r="F93" s="1786"/>
      <c r="G93" s="1785" t="s">
        <v>16899</v>
      </c>
      <c r="H93" s="1785" t="s">
        <v>16900</v>
      </c>
      <c r="I93" s="1785" t="s">
        <v>16901</v>
      </c>
      <c r="J93" s="1796">
        <f>(0.028-0.012)*0.75</f>
        <v>1.2E-2</v>
      </c>
      <c r="K93" s="1796"/>
      <c r="L93" s="1796"/>
      <c r="M93" s="118"/>
      <c r="N93" s="167"/>
      <c r="O93" s="75"/>
      <c r="P93" s="1656"/>
      <c r="Q93" s="1656"/>
      <c r="R93" s="129"/>
      <c r="S93" s="652"/>
      <c r="T93" s="1794"/>
      <c r="U93" s="75"/>
      <c r="V93" s="75"/>
      <c r="W93" s="75"/>
    </row>
    <row r="94" spans="1:23" ht="23.25" customHeight="1" x14ac:dyDescent="0.25">
      <c r="A94" s="1891"/>
      <c r="B94" s="1877"/>
      <c r="C94" s="1878"/>
      <c r="D94" s="1878"/>
      <c r="E94" s="1878"/>
      <c r="F94" s="1884"/>
      <c r="G94" s="2763" t="s">
        <v>17005</v>
      </c>
      <c r="H94" s="2860"/>
      <c r="I94" s="2860"/>
      <c r="J94" s="2860"/>
      <c r="K94" s="2860"/>
      <c r="L94" s="2860"/>
      <c r="M94" s="118"/>
      <c r="N94" s="167"/>
      <c r="O94" s="75"/>
      <c r="P94" s="1656"/>
      <c r="Q94" s="1656"/>
      <c r="R94" s="129"/>
      <c r="S94" s="652"/>
      <c r="T94" s="1890"/>
      <c r="U94" s="75"/>
      <c r="V94" s="75"/>
      <c r="W94" s="75"/>
    </row>
    <row r="95" spans="1:23" ht="23.25" customHeight="1" x14ac:dyDescent="0.25">
      <c r="A95" s="1891"/>
      <c r="B95" s="1877"/>
      <c r="C95" s="1878"/>
      <c r="D95" s="1878"/>
      <c r="E95" s="1878"/>
      <c r="F95" s="1884"/>
      <c r="G95" s="1875" t="s">
        <v>3247</v>
      </c>
      <c r="H95" s="1875" t="s">
        <v>17021</v>
      </c>
      <c r="I95" s="1875" t="s">
        <v>17020</v>
      </c>
      <c r="J95" s="1892">
        <f>0.1015*0.9</f>
        <v>9.1350000000000015E-2</v>
      </c>
      <c r="K95" s="1892"/>
      <c r="L95" s="1892"/>
      <c r="M95" s="118"/>
      <c r="N95" s="167"/>
      <c r="O95" s="75"/>
      <c r="P95" s="1656"/>
      <c r="Q95" s="1656"/>
      <c r="R95" s="129"/>
      <c r="S95" s="652"/>
      <c r="T95" s="1890"/>
      <c r="U95" s="75"/>
      <c r="V95" s="75"/>
      <c r="W95" s="75"/>
    </row>
    <row r="96" spans="1:23" ht="23.25" customHeight="1" x14ac:dyDescent="0.25">
      <c r="A96" s="2195"/>
      <c r="B96" s="2182"/>
      <c r="C96" s="2183"/>
      <c r="D96" s="2183"/>
      <c r="E96" s="2183"/>
      <c r="F96" s="2181"/>
      <c r="G96" s="2185" t="s">
        <v>20016</v>
      </c>
      <c r="H96" s="2185" t="s">
        <v>20017</v>
      </c>
      <c r="I96" s="2186" t="s">
        <v>20018</v>
      </c>
      <c r="J96" s="75">
        <f>0.25*0.9</f>
        <v>0.22500000000000001</v>
      </c>
      <c r="K96" s="75"/>
      <c r="L96" s="75"/>
      <c r="M96" s="118"/>
      <c r="N96" s="2194"/>
      <c r="O96" s="75"/>
      <c r="P96" s="1656"/>
      <c r="Q96" s="1656"/>
      <c r="R96" s="2184"/>
      <c r="S96" s="2185"/>
      <c r="T96" s="2192"/>
      <c r="U96" s="75"/>
      <c r="V96" s="75"/>
      <c r="W96" s="75"/>
    </row>
    <row r="97" spans="1:23" ht="23.25" customHeight="1" x14ac:dyDescent="0.25">
      <c r="A97" s="2245"/>
      <c r="B97" s="2221"/>
      <c r="C97" s="2222"/>
      <c r="D97" s="2222"/>
      <c r="E97" s="2222"/>
      <c r="F97" s="2234"/>
      <c r="G97" s="2679" t="s">
        <v>3401</v>
      </c>
      <c r="H97" s="2892"/>
      <c r="I97" s="2893"/>
      <c r="J97" s="1201">
        <f>0.103*0.9</f>
        <v>9.2699999999999991E-2</v>
      </c>
      <c r="K97" s="1201"/>
      <c r="L97" s="1201"/>
      <c r="M97" s="118"/>
      <c r="N97" s="2251"/>
      <c r="O97" s="75"/>
      <c r="P97" s="1656"/>
      <c r="Q97" s="1656"/>
      <c r="R97" s="2231"/>
      <c r="S97" s="2232"/>
      <c r="T97" s="2244"/>
      <c r="U97" s="75"/>
      <c r="V97" s="75"/>
      <c r="W97" s="75"/>
    </row>
    <row r="98" spans="1:23" ht="19.5" customHeight="1" thickBot="1" x14ac:dyDescent="0.3">
      <c r="A98" s="406"/>
      <c r="B98" s="395"/>
      <c r="C98" s="396"/>
      <c r="D98" s="396"/>
      <c r="E98" s="396"/>
      <c r="F98" s="397"/>
      <c r="G98" s="2861" t="s">
        <v>1833</v>
      </c>
      <c r="H98" s="2861"/>
      <c r="I98" s="2862"/>
      <c r="J98" s="25">
        <f>SUM(J91:J97)</f>
        <v>0.42105000000000004</v>
      </c>
      <c r="K98" s="93">
        <v>0.92</v>
      </c>
      <c r="L98" s="25">
        <f>J98/K98</f>
        <v>0.45766304347826087</v>
      </c>
      <c r="M98" s="2873" t="s">
        <v>1834</v>
      </c>
      <c r="N98" s="2862"/>
      <c r="O98" s="25">
        <f>SUM(O77:O87)</f>
        <v>1.1656</v>
      </c>
      <c r="P98" s="93">
        <v>0.92</v>
      </c>
      <c r="Q98" s="25">
        <f>O98/P98</f>
        <v>1.2669565217391303</v>
      </c>
      <c r="R98" s="2873" t="s">
        <v>1833</v>
      </c>
      <c r="S98" s="2861"/>
      <c r="T98" s="2862"/>
      <c r="U98" s="25">
        <f>SUM(U79:U86)</f>
        <v>2.1000000000000001E-2</v>
      </c>
      <c r="V98" s="93">
        <v>0.92</v>
      </c>
      <c r="W98" s="25">
        <f>U98/V98</f>
        <v>2.2826086956521739E-2</v>
      </c>
    </row>
    <row r="99" spans="1:23" ht="15.75" thickBot="1" x14ac:dyDescent="0.3">
      <c r="A99" s="526" t="str">
        <f>Итоговая!C403</f>
        <v xml:space="preserve">ПС 35/10 кВ Б.Вишенье </v>
      </c>
      <c r="B99" s="527">
        <f>Итоговая!D403</f>
        <v>2.5</v>
      </c>
      <c r="C99" s="508" t="str">
        <f>Итоговая!E403</f>
        <v>+</v>
      </c>
      <c r="D99" s="508">
        <f>Итоговая!F403</f>
        <v>2.5</v>
      </c>
      <c r="E99" s="508"/>
      <c r="F99" s="509"/>
      <c r="G99" s="2763" t="s">
        <v>17005</v>
      </c>
      <c r="H99" s="2860"/>
      <c r="I99" s="2860"/>
      <c r="J99" s="2860"/>
      <c r="K99" s="2860"/>
      <c r="L99" s="2860"/>
      <c r="M99" s="8"/>
      <c r="N99" s="8"/>
      <c r="O99" s="8"/>
      <c r="P99" s="8"/>
      <c r="Q99" s="8"/>
      <c r="R99" s="8"/>
      <c r="S99" s="8"/>
      <c r="T99" s="8"/>
      <c r="U99" s="8"/>
      <c r="V99" s="8"/>
      <c r="W99" s="145"/>
    </row>
    <row r="100" spans="1:23" ht="75" x14ac:dyDescent="0.25">
      <c r="A100" s="1181"/>
      <c r="B100" s="1178"/>
      <c r="C100" s="1179"/>
      <c r="D100" s="1179"/>
      <c r="E100" s="1179"/>
      <c r="F100" s="1180"/>
      <c r="G100" s="2127" t="s">
        <v>19891</v>
      </c>
      <c r="H100" s="2128" t="s">
        <v>19892</v>
      </c>
      <c r="I100" s="2076" t="s">
        <v>19893</v>
      </c>
      <c r="J100" s="1970">
        <f>(0.045-0.015)*0.9</f>
        <v>2.7E-2</v>
      </c>
      <c r="K100" s="1970"/>
      <c r="L100" s="1970"/>
      <c r="M100" s="94"/>
      <c r="N100" s="95"/>
      <c r="O100" s="92"/>
      <c r="P100" s="92"/>
      <c r="Q100" s="92"/>
      <c r="R100" s="94"/>
      <c r="S100" s="747"/>
      <c r="T100" s="95"/>
      <c r="U100" s="92"/>
      <c r="V100" s="92"/>
      <c r="W100" s="75"/>
    </row>
    <row r="101" spans="1:23" x14ac:dyDescent="0.25">
      <c r="A101" s="2096"/>
      <c r="B101" s="2079"/>
      <c r="C101" s="2080"/>
      <c r="D101" s="2080"/>
      <c r="E101" s="2080"/>
      <c r="F101" s="2089"/>
      <c r="G101" s="71"/>
      <c r="H101" s="2065"/>
      <c r="I101" s="2126"/>
      <c r="J101" s="75"/>
      <c r="K101" s="75"/>
      <c r="L101" s="75"/>
      <c r="M101" s="2071"/>
      <c r="N101" s="2072"/>
      <c r="O101" s="1656"/>
      <c r="P101" s="1656"/>
      <c r="Q101" s="1656"/>
      <c r="R101" s="2071"/>
      <c r="S101" s="2064"/>
      <c r="T101" s="2072"/>
      <c r="U101" s="1656"/>
      <c r="V101" s="1656"/>
      <c r="W101" s="75"/>
    </row>
    <row r="102" spans="1:23" ht="24" customHeight="1" thickBot="1" x14ac:dyDescent="0.3">
      <c r="A102" s="406"/>
      <c r="B102" s="395"/>
      <c r="C102" s="396"/>
      <c r="D102" s="396"/>
      <c r="E102" s="396"/>
      <c r="F102" s="397"/>
      <c r="G102" s="2861" t="s">
        <v>1833</v>
      </c>
      <c r="H102" s="2861"/>
      <c r="I102" s="2862"/>
      <c r="J102" s="25">
        <f>SUM(J100)</f>
        <v>2.7E-2</v>
      </c>
      <c r="K102" s="93">
        <v>0.92</v>
      </c>
      <c r="L102" s="25">
        <f>J102/K102</f>
        <v>2.9347826086956519E-2</v>
      </c>
      <c r="M102" s="2873" t="s">
        <v>1834</v>
      </c>
      <c r="N102" s="2862"/>
      <c r="O102" s="25">
        <f>SUM(O99:O99)</f>
        <v>0</v>
      </c>
      <c r="P102" s="93">
        <v>0.92</v>
      </c>
      <c r="Q102" s="25">
        <f>O102/P102</f>
        <v>0</v>
      </c>
      <c r="R102" s="2873" t="s">
        <v>1833</v>
      </c>
      <c r="S102" s="2861"/>
      <c r="T102" s="2862"/>
      <c r="U102" s="25">
        <f>SUM(U99:U99)</f>
        <v>0</v>
      </c>
      <c r="V102" s="93">
        <v>0.92</v>
      </c>
      <c r="W102" s="25">
        <f>U102/V102</f>
        <v>0</v>
      </c>
    </row>
    <row r="103" spans="1:23" ht="27" customHeight="1" x14ac:dyDescent="0.25">
      <c r="A103" s="526" t="str">
        <f>Итоговая!C404</f>
        <v xml:space="preserve">ПС 35/10 кВ Будово </v>
      </c>
      <c r="B103" s="527">
        <f>Итоговая!D404</f>
        <v>2.5</v>
      </c>
      <c r="C103" s="508" t="str">
        <f>Итоговая!E404</f>
        <v>+</v>
      </c>
      <c r="D103" s="508">
        <f>Итоговая!F404</f>
        <v>2.5</v>
      </c>
      <c r="E103" s="508"/>
      <c r="F103" s="509"/>
      <c r="G103" s="2778" t="s">
        <v>2032</v>
      </c>
      <c r="H103" s="2868"/>
      <c r="I103" s="2868"/>
      <c r="J103" s="2868"/>
      <c r="K103" s="2868"/>
      <c r="L103" s="2869"/>
      <c r="M103" s="11" t="s">
        <v>73</v>
      </c>
      <c r="N103" s="11" t="s">
        <v>1434</v>
      </c>
      <c r="O103" s="8">
        <v>1.3640000000000001</v>
      </c>
      <c r="P103" s="8"/>
      <c r="Q103" s="8"/>
      <c r="R103" s="11"/>
      <c r="S103" s="11"/>
      <c r="T103" s="1"/>
      <c r="U103" s="8"/>
      <c r="V103" s="8"/>
      <c r="W103" s="145"/>
    </row>
    <row r="104" spans="1:23" ht="33" customHeight="1" x14ac:dyDescent="0.25">
      <c r="A104" s="528"/>
      <c r="B104" s="511"/>
      <c r="C104" s="499"/>
      <c r="D104" s="499"/>
      <c r="E104" s="499"/>
      <c r="F104" s="510"/>
      <c r="G104" s="268" t="s">
        <v>2147</v>
      </c>
      <c r="H104" s="11" t="s">
        <v>2148</v>
      </c>
      <c r="I104" s="1" t="s">
        <v>2453</v>
      </c>
      <c r="J104" s="8">
        <v>0.15</v>
      </c>
      <c r="K104" s="8"/>
      <c r="L104" s="145"/>
      <c r="M104" s="1"/>
      <c r="N104" s="1"/>
      <c r="O104" s="8"/>
      <c r="P104" s="8"/>
      <c r="Q104" s="8"/>
      <c r="R104" s="8"/>
      <c r="S104" s="8"/>
      <c r="T104" s="96"/>
      <c r="U104" s="8"/>
      <c r="V104" s="8"/>
      <c r="W104" s="145"/>
    </row>
    <row r="105" spans="1:23" ht="18.75" customHeight="1" thickBot="1" x14ac:dyDescent="0.3">
      <c r="A105" s="801"/>
      <c r="B105" s="799"/>
      <c r="C105" s="797"/>
      <c r="D105" s="797"/>
      <c r="E105" s="797"/>
      <c r="F105" s="800"/>
      <c r="G105" s="2778" t="s">
        <v>2477</v>
      </c>
      <c r="H105" s="2868"/>
      <c r="I105" s="2868"/>
      <c r="J105" s="2868"/>
      <c r="K105" s="2868"/>
      <c r="L105" s="2869"/>
      <c r="M105" s="1388" t="s">
        <v>73</v>
      </c>
      <c r="N105" s="1377" t="s">
        <v>3615</v>
      </c>
      <c r="O105" s="8">
        <v>7.9000000000000001E-2</v>
      </c>
      <c r="P105" s="8"/>
      <c r="Q105" s="8"/>
      <c r="R105" s="2058"/>
      <c r="S105" s="2877"/>
      <c r="T105" s="2878"/>
      <c r="U105" s="92"/>
      <c r="V105" s="92"/>
      <c r="W105" s="75"/>
    </row>
    <row r="106" spans="1:23" ht="33" customHeight="1" x14ac:dyDescent="0.25">
      <c r="A106" s="801"/>
      <c r="B106" s="799"/>
      <c r="C106" s="797"/>
      <c r="D106" s="797"/>
      <c r="E106" s="797"/>
      <c r="F106" s="800"/>
      <c r="G106" s="11" t="s">
        <v>2845</v>
      </c>
      <c r="H106" s="11" t="s">
        <v>2846</v>
      </c>
      <c r="I106" s="1" t="s">
        <v>2870</v>
      </c>
      <c r="J106" s="8">
        <v>0.1</v>
      </c>
      <c r="K106" s="8"/>
      <c r="L106" s="145"/>
      <c r="M106" s="17"/>
      <c r="N106" s="17"/>
      <c r="O106" s="17">
        <v>2.5000000000000001E-2</v>
      </c>
      <c r="P106" s="8"/>
      <c r="Q106" s="8"/>
      <c r="R106" s="8"/>
      <c r="S106" s="8"/>
      <c r="T106" s="95"/>
      <c r="U106" s="92"/>
      <c r="V106" s="92"/>
      <c r="W106" s="75"/>
    </row>
    <row r="107" spans="1:23" ht="21" customHeight="1" x14ac:dyDescent="0.25">
      <c r="A107" s="1022"/>
      <c r="B107" s="1020"/>
      <c r="C107" s="1021"/>
      <c r="D107" s="1021"/>
      <c r="E107" s="1021"/>
      <c r="F107" s="1019"/>
      <c r="G107" s="2778">
        <v>2012</v>
      </c>
      <c r="H107" s="2868"/>
      <c r="I107" s="2868"/>
      <c r="J107" s="2868"/>
      <c r="K107" s="2868"/>
      <c r="L107" s="2869"/>
      <c r="M107" s="19"/>
      <c r="N107" s="20"/>
      <c r="O107" s="92"/>
      <c r="P107" s="92"/>
      <c r="Q107" s="92"/>
      <c r="R107" s="2056" t="s">
        <v>3371</v>
      </c>
      <c r="S107" s="2059" t="s">
        <v>19803</v>
      </c>
      <c r="T107" s="2059" t="s">
        <v>19804</v>
      </c>
      <c r="U107" s="2058">
        <v>0.70984999999999998</v>
      </c>
      <c r="V107" s="2058"/>
      <c r="W107" s="2057"/>
    </row>
    <row r="108" spans="1:23" ht="33" customHeight="1" x14ac:dyDescent="0.25">
      <c r="A108" s="1022"/>
      <c r="B108" s="1020"/>
      <c r="C108" s="1021"/>
      <c r="D108" s="1021"/>
      <c r="E108" s="1021"/>
      <c r="F108" s="1019"/>
      <c r="G108" s="1" t="s">
        <v>3041</v>
      </c>
      <c r="H108" s="1" t="s">
        <v>3042</v>
      </c>
      <c r="I108" s="20" t="s">
        <v>3077</v>
      </c>
      <c r="J108" s="8">
        <f>0.4*0.9</f>
        <v>0.36000000000000004</v>
      </c>
      <c r="K108" s="92"/>
      <c r="L108" s="75"/>
      <c r="M108" s="19"/>
      <c r="N108" s="20"/>
      <c r="O108" s="92"/>
      <c r="P108" s="92"/>
      <c r="Q108" s="92"/>
      <c r="R108" s="94"/>
      <c r="S108" s="747"/>
      <c r="T108" s="95"/>
      <c r="U108" s="92"/>
      <c r="V108" s="92"/>
      <c r="W108" s="75"/>
    </row>
    <row r="109" spans="1:23" ht="33" customHeight="1" x14ac:dyDescent="0.25">
      <c r="A109" s="1170"/>
      <c r="B109" s="1168"/>
      <c r="C109" s="1169"/>
      <c r="D109" s="1169"/>
      <c r="E109" s="1169"/>
      <c r="F109" s="1167"/>
      <c r="G109" s="1" t="s">
        <v>3266</v>
      </c>
      <c r="H109" s="1" t="s">
        <v>3330</v>
      </c>
      <c r="I109" s="20" t="s">
        <v>3395</v>
      </c>
      <c r="J109" s="8">
        <f>0.099</f>
        <v>9.9000000000000005E-2</v>
      </c>
      <c r="K109" s="92"/>
      <c r="L109" s="75"/>
      <c r="M109" s="19"/>
      <c r="N109" s="20"/>
      <c r="O109" s="92"/>
      <c r="P109" s="92"/>
      <c r="Q109" s="92"/>
      <c r="R109" s="94"/>
      <c r="S109" s="747"/>
      <c r="T109" s="95"/>
      <c r="U109" s="92"/>
      <c r="V109" s="92"/>
      <c r="W109" s="75"/>
    </row>
    <row r="110" spans="1:23" ht="23.25" customHeight="1" x14ac:dyDescent="0.25">
      <c r="A110" s="1181"/>
      <c r="B110" s="1178"/>
      <c r="C110" s="1179"/>
      <c r="D110" s="1179"/>
      <c r="E110" s="1179"/>
      <c r="F110" s="1180"/>
      <c r="G110" s="2624"/>
      <c r="H110" s="2599"/>
      <c r="I110" s="2600"/>
      <c r="J110" s="75"/>
      <c r="K110" s="75"/>
      <c r="L110" s="75"/>
      <c r="M110" s="19"/>
      <c r="N110" s="20"/>
      <c r="O110" s="92"/>
      <c r="P110" s="92"/>
      <c r="Q110" s="92"/>
      <c r="R110" s="94"/>
      <c r="S110" s="747"/>
      <c r="T110" s="95"/>
      <c r="U110" s="92"/>
      <c r="V110" s="92"/>
      <c r="W110" s="75"/>
    </row>
    <row r="111" spans="1:23" ht="23.25" customHeight="1" x14ac:dyDescent="0.25">
      <c r="A111" s="1765"/>
      <c r="B111" s="1748"/>
      <c r="C111" s="1749"/>
      <c r="D111" s="1749"/>
      <c r="E111" s="1749"/>
      <c r="F111" s="1747"/>
      <c r="G111" s="2763" t="s">
        <v>17005</v>
      </c>
      <c r="H111" s="2860"/>
      <c r="I111" s="2860"/>
      <c r="J111" s="2860"/>
      <c r="K111" s="2860"/>
      <c r="L111" s="2860"/>
      <c r="M111" s="1735"/>
      <c r="N111" s="1737"/>
      <c r="O111" s="1656"/>
      <c r="P111" s="1656"/>
      <c r="Q111" s="1656"/>
      <c r="R111" s="1729"/>
      <c r="S111" s="1730"/>
      <c r="T111" s="1731"/>
      <c r="U111" s="1656"/>
      <c r="V111" s="1656"/>
      <c r="W111" s="75"/>
    </row>
    <row r="112" spans="1:23" ht="23.25" customHeight="1" x14ac:dyDescent="0.25">
      <c r="A112" s="1765"/>
      <c r="B112" s="1748"/>
      <c r="C112" s="1749"/>
      <c r="D112" s="1749"/>
      <c r="E112" s="1749"/>
      <c r="F112" s="1747"/>
      <c r="G112" s="1732" t="s">
        <v>19936</v>
      </c>
      <c r="H112" s="1732" t="s">
        <v>19937</v>
      </c>
      <c r="I112" s="1732" t="s">
        <v>19938</v>
      </c>
      <c r="J112" s="1767">
        <f>0.08*0.9</f>
        <v>7.2000000000000008E-2</v>
      </c>
      <c r="K112" s="75"/>
      <c r="L112" s="75"/>
      <c r="M112" s="1735"/>
      <c r="N112" s="1737"/>
      <c r="O112" s="1656"/>
      <c r="P112" s="1656"/>
      <c r="Q112" s="1656"/>
      <c r="R112" s="1729"/>
      <c r="S112" s="1730"/>
      <c r="T112" s="1731"/>
      <c r="U112" s="1656"/>
      <c r="V112" s="1656"/>
      <c r="W112" s="75"/>
    </row>
    <row r="113" spans="1:23" ht="23.25" customHeight="1" x14ac:dyDescent="0.25">
      <c r="A113" s="1943"/>
      <c r="B113" s="1924"/>
      <c r="C113" s="1925"/>
      <c r="D113" s="1925"/>
      <c r="E113" s="1925"/>
      <c r="F113" s="1933"/>
      <c r="G113" s="2679" t="s">
        <v>3403</v>
      </c>
      <c r="H113" s="2680"/>
      <c r="I113" s="2681"/>
      <c r="J113" s="1201">
        <f>0.264*0.9</f>
        <v>0.23760000000000001</v>
      </c>
      <c r="K113" s="75"/>
      <c r="L113" s="75"/>
      <c r="M113" s="1915"/>
      <c r="N113" s="1914"/>
      <c r="O113" s="1656"/>
      <c r="P113" s="1656"/>
      <c r="Q113" s="1656"/>
      <c r="R113" s="1917"/>
      <c r="S113" s="1910"/>
      <c r="T113" s="1918"/>
      <c r="U113" s="1656"/>
      <c r="V113" s="1656"/>
      <c r="W113" s="75"/>
    </row>
    <row r="114" spans="1:23" ht="23.25" customHeight="1" x14ac:dyDescent="0.25">
      <c r="A114" s="2195"/>
      <c r="B114" s="2182"/>
      <c r="C114" s="2183"/>
      <c r="D114" s="2183"/>
      <c r="E114" s="2183"/>
      <c r="F114" s="2181"/>
      <c r="G114" s="2167" t="s">
        <v>20001</v>
      </c>
      <c r="H114" s="2167" t="s">
        <v>20004</v>
      </c>
      <c r="I114" s="2171" t="s">
        <v>20005</v>
      </c>
      <c r="J114" s="2196">
        <f>0.025*0.9</f>
        <v>2.2500000000000003E-2</v>
      </c>
      <c r="K114" s="1656"/>
      <c r="L114" s="75"/>
      <c r="M114" s="2169"/>
      <c r="N114" s="2171"/>
      <c r="O114" s="1656"/>
      <c r="P114" s="1656"/>
      <c r="Q114" s="1656"/>
      <c r="R114" s="2164"/>
      <c r="S114" s="2165"/>
      <c r="T114" s="2166"/>
      <c r="U114" s="1656"/>
      <c r="V114" s="1656"/>
      <c r="W114" s="75"/>
    </row>
    <row r="115" spans="1:23" ht="24.75" customHeight="1" thickBot="1" x14ac:dyDescent="0.3">
      <c r="A115" s="406"/>
      <c r="B115" s="395"/>
      <c r="C115" s="396"/>
      <c r="D115" s="396"/>
      <c r="E115" s="396"/>
      <c r="F115" s="397"/>
      <c r="G115" s="2861" t="s">
        <v>1833</v>
      </c>
      <c r="H115" s="2861"/>
      <c r="I115" s="2862"/>
      <c r="J115" s="25">
        <f>SUM(J108:J114)</f>
        <v>0.79110000000000014</v>
      </c>
      <c r="K115" s="93">
        <v>0.93</v>
      </c>
      <c r="L115" s="25">
        <f>J115/K115</f>
        <v>0.85064516129032264</v>
      </c>
      <c r="M115" s="2577" t="s">
        <v>1834</v>
      </c>
      <c r="N115" s="2862"/>
      <c r="O115" s="25">
        <f>SUM(O103:O105)</f>
        <v>1.4430000000000001</v>
      </c>
      <c r="P115" s="93">
        <v>0.92</v>
      </c>
      <c r="Q115" s="25">
        <f>O115/P115</f>
        <v>1.5684782608695653</v>
      </c>
      <c r="R115" s="2873" t="s">
        <v>1833</v>
      </c>
      <c r="S115" s="2861"/>
      <c r="T115" s="2862"/>
      <c r="U115" s="25">
        <f>SUM(U103:U113)</f>
        <v>0.70984999999999998</v>
      </c>
      <c r="V115" s="93">
        <v>0.92</v>
      </c>
      <c r="W115" s="25">
        <f>U115/V115</f>
        <v>0.77157608695652169</v>
      </c>
    </row>
    <row r="116" spans="1:23" ht="54.75" customHeight="1" x14ac:dyDescent="0.25">
      <c r="A116" s="526" t="str">
        <f>Итоговая!C405</f>
        <v xml:space="preserve">ПС 35/10 кВ Ельцы  </v>
      </c>
      <c r="B116" s="527">
        <f>Итоговая!D405</f>
        <v>4</v>
      </c>
      <c r="C116" s="508" t="str">
        <f>Итоговая!E405</f>
        <v>+</v>
      </c>
      <c r="D116" s="508">
        <f>Итоговая!F405</f>
        <v>4</v>
      </c>
      <c r="E116" s="508"/>
      <c r="F116" s="509"/>
      <c r="G116" s="2778" t="s">
        <v>3020</v>
      </c>
      <c r="H116" s="2868"/>
      <c r="I116" s="2868"/>
      <c r="J116" s="2868"/>
      <c r="K116" s="2868"/>
      <c r="L116" s="2869"/>
      <c r="M116" s="8" t="s">
        <v>1567</v>
      </c>
      <c r="N116" s="8" t="s">
        <v>1568</v>
      </c>
      <c r="O116" s="8">
        <v>2.5000000000000001E-2</v>
      </c>
      <c r="P116" s="8"/>
      <c r="Q116" s="8"/>
      <c r="R116" s="8"/>
      <c r="S116" s="8"/>
      <c r="T116" s="8"/>
      <c r="U116" s="3"/>
      <c r="V116" s="8"/>
      <c r="W116" s="145"/>
    </row>
    <row r="117" spans="1:23" ht="42.75" customHeight="1" x14ac:dyDescent="0.25">
      <c r="A117" s="528"/>
      <c r="B117" s="511"/>
      <c r="C117" s="499"/>
      <c r="D117" s="499"/>
      <c r="E117" s="499"/>
      <c r="F117" s="510"/>
      <c r="G117" s="2624"/>
      <c r="H117" s="2599"/>
      <c r="I117" s="2600"/>
      <c r="J117" s="75"/>
      <c r="K117" s="1970"/>
      <c r="L117" s="1970"/>
      <c r="M117" s="11" t="s">
        <v>1428</v>
      </c>
      <c r="N117" s="11" t="s">
        <v>1429</v>
      </c>
      <c r="O117" s="11">
        <v>0.6</v>
      </c>
      <c r="P117" s="8"/>
      <c r="Q117" s="8"/>
      <c r="R117" s="8"/>
      <c r="S117" s="8"/>
      <c r="T117" s="8"/>
      <c r="U117" s="8"/>
      <c r="V117" s="8"/>
      <c r="W117" s="145"/>
    </row>
    <row r="118" spans="1:23" ht="38.25" x14ac:dyDescent="0.25">
      <c r="A118" s="528"/>
      <c r="B118" s="511"/>
      <c r="C118" s="499"/>
      <c r="D118" s="499"/>
      <c r="E118" s="499"/>
      <c r="F118" s="510"/>
      <c r="G118" s="1968"/>
      <c r="H118" s="1970"/>
      <c r="I118" s="1970"/>
      <c r="J118" s="1970"/>
      <c r="K118" s="1970"/>
      <c r="L118" s="1970"/>
      <c r="M118" s="11" t="s">
        <v>1428</v>
      </c>
      <c r="N118" s="11" t="s">
        <v>1430</v>
      </c>
      <c r="O118" s="11">
        <v>1</v>
      </c>
      <c r="P118" s="8"/>
      <c r="Q118" s="8"/>
      <c r="R118" s="8"/>
      <c r="S118" s="8"/>
      <c r="T118" s="8"/>
      <c r="U118" s="8"/>
      <c r="V118" s="8"/>
      <c r="W118" s="145"/>
    </row>
    <row r="119" spans="1:23" ht="63.75" x14ac:dyDescent="0.25">
      <c r="A119" s="528"/>
      <c r="B119" s="511"/>
      <c r="C119" s="499"/>
      <c r="D119" s="499"/>
      <c r="E119" s="499"/>
      <c r="F119" s="510"/>
      <c r="G119" s="96"/>
      <c r="H119" s="8"/>
      <c r="I119" s="8"/>
      <c r="J119" s="8"/>
      <c r="K119" s="8"/>
      <c r="L119" s="75"/>
      <c r="M119" s="11" t="s">
        <v>20</v>
      </c>
      <c r="N119" s="11" t="s">
        <v>21</v>
      </c>
      <c r="O119" s="11">
        <v>0.15</v>
      </c>
      <c r="P119" s="92"/>
      <c r="Q119" s="92"/>
      <c r="R119" s="8"/>
      <c r="S119" s="8"/>
      <c r="T119" s="8"/>
      <c r="U119" s="8"/>
      <c r="V119" s="8"/>
      <c r="W119" s="75"/>
    </row>
    <row r="120" spans="1:23" ht="43.5" customHeight="1" x14ac:dyDescent="0.25">
      <c r="A120" s="1372"/>
      <c r="B120" s="1364"/>
      <c r="C120" s="1365"/>
      <c r="D120" s="1365"/>
      <c r="E120" s="1365"/>
      <c r="F120" s="1363"/>
      <c r="G120" s="1369"/>
      <c r="H120" s="1369"/>
      <c r="I120" s="1370"/>
      <c r="J120" s="92"/>
      <c r="K120" s="92"/>
      <c r="L120" s="75"/>
      <c r="M120" s="1368" t="s">
        <v>3612</v>
      </c>
      <c r="N120" s="1368" t="s">
        <v>3613</v>
      </c>
      <c r="O120" s="1368">
        <v>0.03</v>
      </c>
      <c r="P120" s="1373"/>
      <c r="Q120" s="1373"/>
      <c r="R120" s="1373"/>
      <c r="S120" s="1373"/>
      <c r="T120" s="1373"/>
      <c r="U120" s="1373"/>
      <c r="V120" s="1373"/>
      <c r="W120" s="1371"/>
    </row>
    <row r="121" spans="1:23" ht="18.75" customHeight="1" thickBot="1" x14ac:dyDescent="0.3">
      <c r="A121" s="406"/>
      <c r="B121" s="395"/>
      <c r="C121" s="396"/>
      <c r="D121" s="396"/>
      <c r="E121" s="396"/>
      <c r="F121" s="397"/>
      <c r="G121" s="2861" t="s">
        <v>1833</v>
      </c>
      <c r="H121" s="2861"/>
      <c r="I121" s="2862"/>
      <c r="J121" s="25">
        <f>SUM(J116:J118)</f>
        <v>0</v>
      </c>
      <c r="K121" s="93">
        <v>0.92</v>
      </c>
      <c r="L121" s="25">
        <f>J121/K121</f>
        <v>0</v>
      </c>
      <c r="M121" s="2873" t="s">
        <v>1834</v>
      </c>
      <c r="N121" s="2862"/>
      <c r="O121" s="25">
        <f>SUM(O116:O120)</f>
        <v>1.8049999999999999</v>
      </c>
      <c r="P121" s="93">
        <v>0.92</v>
      </c>
      <c r="Q121" s="25">
        <f>O121/P121</f>
        <v>1.9619565217391304</v>
      </c>
      <c r="R121" s="2873" t="s">
        <v>1833</v>
      </c>
      <c r="S121" s="2861"/>
      <c r="T121" s="2862"/>
      <c r="U121" s="25">
        <f>SUM(U116:U118)</f>
        <v>0</v>
      </c>
      <c r="V121" s="93">
        <v>0.92</v>
      </c>
      <c r="W121" s="25">
        <f>U121/V121</f>
        <v>0</v>
      </c>
    </row>
    <row r="122" spans="1:23" x14ac:dyDescent="0.25">
      <c r="A122" s="2879" t="str">
        <f>Итоговая!C406</f>
        <v xml:space="preserve">ПС 35/10 кВ Селище </v>
      </c>
      <c r="B122" s="2689">
        <f>Итоговая!D406</f>
        <v>4</v>
      </c>
      <c r="C122" s="2691" t="str">
        <f>Итоговая!E406</f>
        <v>+</v>
      </c>
      <c r="D122" s="2691">
        <f>Итоговая!F406</f>
        <v>4</v>
      </c>
      <c r="E122" s="508"/>
      <c r="F122" s="509"/>
      <c r="G122" s="2648" t="s">
        <v>1961</v>
      </c>
      <c r="H122" s="2858"/>
      <c r="I122" s="2858"/>
      <c r="J122" s="2858"/>
      <c r="K122" s="2858"/>
      <c r="L122" s="2859"/>
      <c r="M122" s="164"/>
      <c r="N122" s="165"/>
      <c r="O122" s="165"/>
      <c r="P122" s="74"/>
      <c r="Q122" s="74"/>
      <c r="R122" s="2644"/>
      <c r="S122" s="2871"/>
      <c r="T122" s="2871"/>
      <c r="U122" s="2871"/>
      <c r="V122" s="2871"/>
      <c r="W122" s="2872"/>
    </row>
    <row r="123" spans="1:23" ht="30" x14ac:dyDescent="0.25">
      <c r="A123" s="2880"/>
      <c r="B123" s="2690"/>
      <c r="C123" s="2692"/>
      <c r="D123" s="2692"/>
      <c r="E123" s="499"/>
      <c r="F123" s="510"/>
      <c r="G123" s="96" t="s">
        <v>1571</v>
      </c>
      <c r="H123" s="8" t="s">
        <v>1572</v>
      </c>
      <c r="I123" s="8" t="s">
        <v>879</v>
      </c>
      <c r="J123" s="8">
        <v>0.378</v>
      </c>
      <c r="K123" s="79"/>
      <c r="L123" s="76"/>
      <c r="M123" s="8"/>
      <c r="N123" s="8"/>
      <c r="O123" s="8"/>
      <c r="P123" s="8"/>
      <c r="Q123" s="79"/>
      <c r="R123" s="145"/>
      <c r="S123" s="145"/>
      <c r="T123" s="145"/>
      <c r="U123" s="145"/>
      <c r="V123" s="76"/>
      <c r="W123" s="76"/>
    </row>
    <row r="124" spans="1:23" x14ac:dyDescent="0.25">
      <c r="A124" s="528"/>
      <c r="B124" s="511"/>
      <c r="C124" s="499"/>
      <c r="D124" s="499"/>
      <c r="E124" s="499"/>
      <c r="F124" s="510"/>
      <c r="G124" s="2763" t="s">
        <v>1960</v>
      </c>
      <c r="H124" s="2860"/>
      <c r="I124" s="2860"/>
      <c r="J124" s="2860"/>
      <c r="K124" s="2860"/>
      <c r="L124" s="2860"/>
      <c r="M124" s="8"/>
      <c r="N124" s="8"/>
      <c r="O124" s="8"/>
      <c r="P124" s="8"/>
      <c r="Q124" s="79"/>
      <c r="R124" s="2759" t="s">
        <v>1960</v>
      </c>
      <c r="S124" s="2860"/>
      <c r="T124" s="2860"/>
      <c r="U124" s="2860"/>
      <c r="V124" s="2860"/>
      <c r="W124" s="2860"/>
    </row>
    <row r="125" spans="1:23" ht="77.25" customHeight="1" x14ac:dyDescent="0.25">
      <c r="A125" s="528"/>
      <c r="B125" s="511"/>
      <c r="C125" s="499"/>
      <c r="D125" s="499"/>
      <c r="E125" s="499"/>
      <c r="F125" s="510"/>
      <c r="G125" s="541"/>
      <c r="H125" s="305"/>
      <c r="I125" s="305"/>
      <c r="J125" s="305"/>
      <c r="K125" s="145"/>
      <c r="L125" s="145"/>
      <c r="M125" s="8" t="s">
        <v>1573</v>
      </c>
      <c r="N125" s="8" t="s">
        <v>1574</v>
      </c>
      <c r="O125" s="8">
        <v>8.5000000000000006E-2</v>
      </c>
      <c r="P125" s="8"/>
      <c r="Q125" s="79"/>
      <c r="R125" s="340" t="s">
        <v>1569</v>
      </c>
      <c r="S125" s="340" t="s">
        <v>1570</v>
      </c>
      <c r="T125" s="340" t="s">
        <v>2486</v>
      </c>
      <c r="U125" s="340">
        <v>0.74</v>
      </c>
      <c r="V125" s="355"/>
      <c r="W125" s="355"/>
    </row>
    <row r="126" spans="1:23" x14ac:dyDescent="0.25">
      <c r="A126" s="528"/>
      <c r="B126" s="511"/>
      <c r="C126" s="499"/>
      <c r="D126" s="499"/>
      <c r="E126" s="499"/>
      <c r="F126" s="510"/>
      <c r="G126" s="96" t="s">
        <v>1575</v>
      </c>
      <c r="H126" s="8" t="s">
        <v>1576</v>
      </c>
      <c r="I126" s="8" t="s">
        <v>1577</v>
      </c>
      <c r="J126" s="8">
        <v>0.04</v>
      </c>
      <c r="K126" s="8"/>
      <c r="L126" s="145"/>
      <c r="M126" s="1495"/>
      <c r="N126" s="1495"/>
      <c r="O126" s="8"/>
      <c r="P126" s="8"/>
      <c r="Q126" s="8"/>
      <c r="R126" s="8"/>
      <c r="S126" s="8"/>
      <c r="T126" s="8"/>
      <c r="U126" s="8"/>
      <c r="V126" s="8"/>
      <c r="W126" s="145"/>
    </row>
    <row r="127" spans="1:23" x14ac:dyDescent="0.25">
      <c r="A127" s="528"/>
      <c r="B127" s="511"/>
      <c r="C127" s="499"/>
      <c r="D127" s="499"/>
      <c r="E127" s="499"/>
      <c r="F127" s="510"/>
      <c r="G127" s="2787" t="s">
        <v>1959</v>
      </c>
      <c r="H127" s="2863"/>
      <c r="I127" s="2863"/>
      <c r="J127" s="2863"/>
      <c r="K127" s="2863"/>
      <c r="L127" s="2864"/>
      <c r="M127" s="8"/>
      <c r="N127" s="8"/>
      <c r="O127" s="8"/>
      <c r="P127" s="8"/>
      <c r="Q127" s="8"/>
      <c r="R127" s="2624"/>
      <c r="S127" s="2616"/>
      <c r="T127" s="2616"/>
      <c r="U127" s="2616"/>
      <c r="V127" s="2616"/>
      <c r="W127" s="2617"/>
    </row>
    <row r="128" spans="1:23" x14ac:dyDescent="0.25">
      <c r="A128" s="528"/>
      <c r="B128" s="511"/>
      <c r="C128" s="499"/>
      <c r="D128" s="499"/>
      <c r="E128" s="499"/>
      <c r="F128" s="510"/>
      <c r="G128" s="96" t="s">
        <v>1578</v>
      </c>
      <c r="H128" s="8" t="s">
        <v>1579</v>
      </c>
      <c r="I128" s="8" t="s">
        <v>1580</v>
      </c>
      <c r="J128" s="8">
        <v>9.2999999999999999E-2</v>
      </c>
      <c r="K128" s="8"/>
      <c r="L128" s="145"/>
      <c r="M128" s="8"/>
      <c r="N128" s="8"/>
      <c r="O128" s="8"/>
      <c r="P128" s="8"/>
      <c r="Q128" s="8"/>
      <c r="R128" s="145"/>
      <c r="S128" s="145"/>
      <c r="T128" s="145"/>
      <c r="U128" s="145"/>
      <c r="V128" s="145"/>
      <c r="W128" s="145"/>
    </row>
    <row r="129" spans="1:23" x14ac:dyDescent="0.25">
      <c r="A129" s="1546"/>
      <c r="B129" s="1536"/>
      <c r="C129" s="1537"/>
      <c r="D129" s="1537"/>
      <c r="E129" s="1537"/>
      <c r="F129" s="1539"/>
      <c r="G129" s="2763" t="s">
        <v>3447</v>
      </c>
      <c r="H129" s="2860"/>
      <c r="I129" s="2860"/>
      <c r="J129" s="2860"/>
      <c r="K129" s="2860"/>
      <c r="L129" s="2860"/>
      <c r="M129" s="1545"/>
      <c r="N129" s="1544"/>
      <c r="O129" s="92"/>
      <c r="P129" s="92"/>
      <c r="Q129" s="92"/>
      <c r="R129" s="118"/>
      <c r="S129" s="789"/>
      <c r="T129" s="167"/>
      <c r="U129" s="75"/>
      <c r="V129" s="75"/>
      <c r="W129" s="75"/>
    </row>
    <row r="130" spans="1:23" ht="105" x14ac:dyDescent="0.25">
      <c r="A130" s="1546"/>
      <c r="B130" s="1536"/>
      <c r="C130" s="1537"/>
      <c r="D130" s="1537"/>
      <c r="E130" s="1537"/>
      <c r="F130" s="1539"/>
      <c r="G130" s="1527" t="s">
        <v>15353</v>
      </c>
      <c r="H130" s="1527" t="s">
        <v>15354</v>
      </c>
      <c r="I130" s="1523" t="s">
        <v>16650</v>
      </c>
      <c r="J130" s="92">
        <v>4.2999999999999997E-2</v>
      </c>
      <c r="K130" s="92"/>
      <c r="L130" s="75"/>
      <c r="M130" s="1545"/>
      <c r="N130" s="1544"/>
      <c r="O130" s="92"/>
      <c r="P130" s="92"/>
      <c r="Q130" s="92"/>
      <c r="R130" s="118"/>
      <c r="S130" s="789"/>
      <c r="T130" s="167"/>
      <c r="U130" s="75"/>
      <c r="V130" s="75"/>
      <c r="W130" s="75"/>
    </row>
    <row r="131" spans="1:23" ht="33" customHeight="1" x14ac:dyDescent="0.25">
      <c r="A131" s="1615"/>
      <c r="B131" s="1603"/>
      <c r="C131" s="1604"/>
      <c r="D131" s="1604"/>
      <c r="E131" s="1604"/>
      <c r="F131" s="1607"/>
      <c r="G131" s="315"/>
      <c r="H131" s="315"/>
      <c r="I131" s="315"/>
      <c r="J131" s="315"/>
      <c r="K131" s="315"/>
      <c r="L131" s="315"/>
      <c r="M131" s="1614"/>
      <c r="N131" s="1613"/>
      <c r="O131" s="92"/>
      <c r="P131" s="92"/>
      <c r="Q131" s="92"/>
      <c r="R131" s="118"/>
      <c r="S131" s="789"/>
      <c r="T131" s="167"/>
      <c r="U131" s="75"/>
      <c r="V131" s="75"/>
      <c r="W131" s="75"/>
    </row>
    <row r="132" spans="1:23" ht="19.5" customHeight="1" thickBot="1" x14ac:dyDescent="0.3">
      <c r="A132" s="406"/>
      <c r="B132" s="395"/>
      <c r="C132" s="396"/>
      <c r="D132" s="396"/>
      <c r="E132" s="396"/>
      <c r="F132" s="397"/>
      <c r="G132" s="2861" t="s">
        <v>1833</v>
      </c>
      <c r="H132" s="2861"/>
      <c r="I132" s="2862"/>
      <c r="J132" s="25">
        <f>SUM(J130:J131)</f>
        <v>4.2999999999999997E-2</v>
      </c>
      <c r="K132" s="93">
        <v>0.92</v>
      </c>
      <c r="L132" s="25">
        <f>J132/K132</f>
        <v>4.6739130434782603E-2</v>
      </c>
      <c r="M132" s="2873" t="s">
        <v>1834</v>
      </c>
      <c r="N132" s="2862"/>
      <c r="O132" s="25">
        <f>SUM(O123:O128)</f>
        <v>8.5000000000000006E-2</v>
      </c>
      <c r="P132" s="93">
        <v>0.92</v>
      </c>
      <c r="Q132" s="25">
        <f>O132/P132</f>
        <v>9.2391304347826095E-2</v>
      </c>
      <c r="R132" s="2873" t="s">
        <v>1833</v>
      </c>
      <c r="S132" s="2861"/>
      <c r="T132" s="2862"/>
      <c r="U132" s="25">
        <f>SUM(U125:U126,U128)</f>
        <v>0.74</v>
      </c>
      <c r="V132" s="93">
        <v>0.92</v>
      </c>
      <c r="W132" s="25">
        <f>U132/V132</f>
        <v>0.80434782608695643</v>
      </c>
    </row>
    <row r="133" spans="1:23" x14ac:dyDescent="0.25">
      <c r="A133" s="2879" t="str">
        <f>Итоговая!C407</f>
        <v xml:space="preserve">ПС 35/10 кВ Святое </v>
      </c>
      <c r="B133" s="2689">
        <f>Итоговая!D407</f>
        <v>2.5</v>
      </c>
      <c r="C133" s="2691" t="str">
        <f>Итоговая!E407</f>
        <v>+</v>
      </c>
      <c r="D133" s="2691">
        <f>Итоговая!F407</f>
        <v>1.6</v>
      </c>
      <c r="E133" s="2691"/>
      <c r="F133" s="2687"/>
      <c r="G133" s="2648" t="s">
        <v>1961</v>
      </c>
      <c r="H133" s="2858"/>
      <c r="I133" s="2858"/>
      <c r="J133" s="2858"/>
      <c r="K133" s="2858"/>
      <c r="L133" s="2859"/>
      <c r="M133" s="118"/>
      <c r="N133" s="167"/>
      <c r="O133" s="75"/>
      <c r="P133" s="75"/>
      <c r="Q133" s="75"/>
      <c r="R133" s="2644"/>
      <c r="S133" s="2871"/>
      <c r="T133" s="2871"/>
      <c r="U133" s="2871"/>
      <c r="V133" s="2871"/>
      <c r="W133" s="2872"/>
    </row>
    <row r="134" spans="1:23" ht="80.25" customHeight="1" x14ac:dyDescent="0.25">
      <c r="A134" s="2880"/>
      <c r="B134" s="2690"/>
      <c r="C134" s="2692"/>
      <c r="D134" s="2692"/>
      <c r="E134" s="2692"/>
      <c r="F134" s="2688"/>
      <c r="G134" s="96" t="s">
        <v>625</v>
      </c>
      <c r="H134" s="8" t="s">
        <v>1611</v>
      </c>
      <c r="I134" s="8" t="s">
        <v>1612</v>
      </c>
      <c r="J134" s="8">
        <v>0.121</v>
      </c>
      <c r="K134" s="8"/>
      <c r="L134" s="145"/>
      <c r="M134" s="8"/>
      <c r="N134" s="8"/>
      <c r="O134" s="8"/>
      <c r="P134" s="8"/>
      <c r="Q134" s="8"/>
      <c r="R134" s="145"/>
      <c r="S134" s="145"/>
      <c r="T134" s="145"/>
      <c r="U134" s="145"/>
      <c r="V134" s="145"/>
      <c r="W134" s="145"/>
    </row>
    <row r="135" spans="1:23" ht="14.25" customHeight="1" x14ac:dyDescent="0.25">
      <c r="A135" s="528"/>
      <c r="B135" s="511"/>
      <c r="C135" s="499"/>
      <c r="D135" s="499"/>
      <c r="E135" s="499"/>
      <c r="F135" s="510"/>
      <c r="G135" s="2787" t="s">
        <v>1960</v>
      </c>
      <c r="H135" s="2863"/>
      <c r="I135" s="2863"/>
      <c r="J135" s="2863"/>
      <c r="K135" s="2863"/>
      <c r="L135" s="2864"/>
      <c r="M135" s="8"/>
      <c r="N135" s="8"/>
      <c r="O135" s="8"/>
      <c r="P135" s="8"/>
      <c r="Q135" s="8"/>
      <c r="R135" s="2624"/>
      <c r="S135" s="2616"/>
      <c r="T135" s="2616"/>
      <c r="U135" s="2616"/>
      <c r="V135" s="2616"/>
      <c r="W135" s="2617"/>
    </row>
    <row r="136" spans="1:23" ht="62.25" customHeight="1" x14ac:dyDescent="0.25">
      <c r="A136" s="528"/>
      <c r="B136" s="511"/>
      <c r="C136" s="499"/>
      <c r="D136" s="499"/>
      <c r="E136" s="499"/>
      <c r="F136" s="510"/>
      <c r="G136" s="96" t="s">
        <v>1423</v>
      </c>
      <c r="H136" s="8" t="s">
        <v>1613</v>
      </c>
      <c r="I136" s="8" t="s">
        <v>1614</v>
      </c>
      <c r="J136" s="8">
        <v>0.1</v>
      </c>
      <c r="K136" s="8"/>
      <c r="L136" s="145"/>
      <c r="M136" s="241"/>
      <c r="N136" s="241"/>
      <c r="O136" s="241"/>
      <c r="P136" s="8"/>
      <c r="Q136" s="8"/>
      <c r="R136" s="145"/>
      <c r="S136" s="145"/>
      <c r="T136" s="145"/>
      <c r="U136" s="145"/>
      <c r="V136" s="145"/>
      <c r="W136" s="145"/>
    </row>
    <row r="137" spans="1:23" ht="19.5" customHeight="1" x14ac:dyDescent="0.25">
      <c r="A137" s="594"/>
      <c r="B137" s="589"/>
      <c r="C137" s="591"/>
      <c r="D137" s="591"/>
      <c r="E137" s="591"/>
      <c r="F137" s="595"/>
      <c r="G137" s="2787" t="s">
        <v>2032</v>
      </c>
      <c r="H137" s="2863"/>
      <c r="I137" s="2863"/>
      <c r="J137" s="2863"/>
      <c r="K137" s="2863"/>
      <c r="L137" s="2864"/>
      <c r="M137" s="241"/>
      <c r="N137" s="241"/>
      <c r="O137" s="241"/>
      <c r="P137" s="8"/>
      <c r="Q137" s="8"/>
      <c r="R137" s="145"/>
      <c r="S137" s="145"/>
      <c r="T137" s="145"/>
      <c r="U137" s="75"/>
      <c r="V137" s="75"/>
      <c r="W137" s="75"/>
    </row>
    <row r="138" spans="1:23" ht="62.25" customHeight="1" x14ac:dyDescent="0.25">
      <c r="A138" s="528"/>
      <c r="B138" s="511"/>
      <c r="C138" s="499"/>
      <c r="D138" s="499"/>
      <c r="E138" s="499"/>
      <c r="F138" s="510"/>
      <c r="G138" s="152" t="s">
        <v>11</v>
      </c>
      <c r="H138" s="1" t="s">
        <v>12</v>
      </c>
      <c r="I138" s="1" t="s">
        <v>2275</v>
      </c>
      <c r="J138" s="92">
        <v>7.4999999999999997E-2</v>
      </c>
      <c r="K138" s="92"/>
      <c r="L138" s="75"/>
      <c r="M138" s="1"/>
      <c r="N138" s="1"/>
      <c r="O138" s="8"/>
      <c r="P138" s="8"/>
      <c r="Q138" s="8"/>
      <c r="R138" s="22"/>
      <c r="S138" s="22"/>
      <c r="T138" s="22"/>
      <c r="U138" s="75"/>
      <c r="V138" s="75"/>
      <c r="W138" s="75"/>
    </row>
    <row r="139" spans="1:23" ht="22.5" customHeight="1" x14ac:dyDescent="0.25">
      <c r="A139" s="1193"/>
      <c r="B139" s="1189"/>
      <c r="C139" s="1190"/>
      <c r="D139" s="1190"/>
      <c r="E139" s="1190"/>
      <c r="F139" s="1188"/>
      <c r="G139" s="2787" t="s">
        <v>3019</v>
      </c>
      <c r="H139" s="2863"/>
      <c r="I139" s="2863"/>
      <c r="J139" s="2863"/>
      <c r="K139" s="2863"/>
      <c r="L139" s="2864"/>
      <c r="M139" s="19"/>
      <c r="N139" s="20"/>
      <c r="O139" s="92"/>
      <c r="P139" s="92"/>
      <c r="Q139" s="92"/>
      <c r="R139" s="129"/>
      <c r="S139" s="652"/>
      <c r="T139" s="130"/>
      <c r="U139" s="75"/>
      <c r="V139" s="75"/>
      <c r="W139" s="75"/>
    </row>
    <row r="140" spans="1:23" ht="29.25" customHeight="1" x14ac:dyDescent="0.25">
      <c r="A140" s="1193"/>
      <c r="B140" s="1189"/>
      <c r="C140" s="1190"/>
      <c r="D140" s="1190"/>
      <c r="E140" s="1190"/>
      <c r="F140" s="1188"/>
      <c r="G140" s="2624"/>
      <c r="H140" s="2599"/>
      <c r="I140" s="2600"/>
      <c r="J140" s="75"/>
      <c r="K140" s="75"/>
      <c r="L140" s="75"/>
      <c r="M140" s="19"/>
      <c r="N140" s="20"/>
      <c r="O140" s="92"/>
      <c r="P140" s="92"/>
      <c r="Q140" s="92"/>
      <c r="R140" s="129"/>
      <c r="S140" s="652"/>
      <c r="T140" s="130"/>
      <c r="U140" s="75"/>
      <c r="V140" s="75"/>
      <c r="W140" s="75"/>
    </row>
    <row r="141" spans="1:23" ht="21.75" customHeight="1" thickBot="1" x14ac:dyDescent="0.3">
      <c r="A141" s="406"/>
      <c r="B141" s="395"/>
      <c r="C141" s="396"/>
      <c r="D141" s="396"/>
      <c r="E141" s="396"/>
      <c r="F141" s="397"/>
      <c r="G141" s="2861" t="s">
        <v>1833</v>
      </c>
      <c r="H141" s="2861"/>
      <c r="I141" s="2862"/>
      <c r="J141" s="25">
        <f>SUM(J140)</f>
        <v>0</v>
      </c>
      <c r="K141" s="93">
        <v>0.92</v>
      </c>
      <c r="L141" s="25">
        <f>J141/K141</f>
        <v>0</v>
      </c>
      <c r="M141" s="2873" t="s">
        <v>1834</v>
      </c>
      <c r="N141" s="2862"/>
      <c r="O141" s="25">
        <f>SUM(O134:O136)</f>
        <v>0</v>
      </c>
      <c r="P141" s="93">
        <v>0.92</v>
      </c>
      <c r="Q141" s="25">
        <f>O141/P141</f>
        <v>0</v>
      </c>
      <c r="R141" s="2873" t="s">
        <v>1833</v>
      </c>
      <c r="S141" s="2861"/>
      <c r="T141" s="2862"/>
      <c r="U141" s="25">
        <f>SUM(U136:U138)</f>
        <v>0</v>
      </c>
      <c r="V141" s="93">
        <v>0.92</v>
      </c>
      <c r="W141" s="25">
        <f>U141/V141</f>
        <v>0</v>
      </c>
    </row>
    <row r="142" spans="1:23" ht="28.5" customHeight="1" x14ac:dyDescent="0.25">
      <c r="A142" s="526" t="str">
        <f>Итоговая!C408</f>
        <v xml:space="preserve">ПС 35/10 кВ Крапивня  </v>
      </c>
      <c r="B142" s="527">
        <f>Итоговая!D408</f>
        <v>2.5</v>
      </c>
      <c r="C142" s="508" t="str">
        <f>Итоговая!E408</f>
        <v>+</v>
      </c>
      <c r="D142" s="508">
        <f>Итоговая!F408</f>
        <v>2.5</v>
      </c>
      <c r="E142" s="508"/>
      <c r="F142" s="509"/>
      <c r="G142" s="2648" t="s">
        <v>3020</v>
      </c>
      <c r="H142" s="2858"/>
      <c r="I142" s="2858"/>
      <c r="J142" s="2858"/>
      <c r="K142" s="2858"/>
      <c r="L142" s="2859"/>
      <c r="M142" s="1839" t="s">
        <v>16975</v>
      </c>
      <c r="N142" s="1839" t="s">
        <v>16976</v>
      </c>
      <c r="O142" s="8">
        <v>4.5999999999999999E-2</v>
      </c>
      <c r="P142" s="8"/>
      <c r="Q142" s="8"/>
      <c r="R142" s="8"/>
      <c r="S142" s="8"/>
      <c r="T142" s="8"/>
      <c r="U142" s="8"/>
      <c r="V142" s="8"/>
      <c r="W142" s="145"/>
    </row>
    <row r="143" spans="1:23" x14ac:dyDescent="0.25">
      <c r="A143" s="1193"/>
      <c r="B143" s="1189"/>
      <c r="C143" s="1190"/>
      <c r="D143" s="1190"/>
      <c r="E143" s="1190"/>
      <c r="F143" s="1188"/>
      <c r="G143" s="2624"/>
      <c r="H143" s="2616"/>
      <c r="I143" s="2617"/>
      <c r="J143" s="75"/>
      <c r="K143" s="75"/>
      <c r="L143" s="75"/>
      <c r="M143" s="94"/>
      <c r="N143" s="95"/>
      <c r="O143" s="92"/>
      <c r="P143" s="92"/>
      <c r="Q143" s="92"/>
      <c r="R143" s="94"/>
      <c r="S143" s="747"/>
      <c r="T143" s="95"/>
      <c r="U143" s="92"/>
      <c r="V143" s="92"/>
      <c r="W143" s="75"/>
    </row>
    <row r="144" spans="1:23" ht="21.75" customHeight="1" thickBot="1" x14ac:dyDescent="0.3">
      <c r="A144" s="406"/>
      <c r="B144" s="395"/>
      <c r="C144" s="396"/>
      <c r="D144" s="396"/>
      <c r="E144" s="396"/>
      <c r="F144" s="397"/>
      <c r="G144" s="2861" t="s">
        <v>1833</v>
      </c>
      <c r="H144" s="2861"/>
      <c r="I144" s="2862"/>
      <c r="J144" s="25">
        <f>SUM(J143)</f>
        <v>0</v>
      </c>
      <c r="K144" s="93">
        <v>0.92</v>
      </c>
      <c r="L144" s="25">
        <f>J144/K144</f>
        <v>0</v>
      </c>
      <c r="M144" s="2873" t="s">
        <v>1834</v>
      </c>
      <c r="N144" s="2862"/>
      <c r="O144" s="25">
        <f>SUM(O142:O142)</f>
        <v>4.5999999999999999E-2</v>
      </c>
      <c r="P144" s="93">
        <v>0.92</v>
      </c>
      <c r="Q144" s="25">
        <f>O144/P144</f>
        <v>4.9999999999999996E-2</v>
      </c>
      <c r="R144" s="2873" t="s">
        <v>1833</v>
      </c>
      <c r="S144" s="2861"/>
      <c r="T144" s="2862"/>
      <c r="U144" s="25">
        <f>SUM(U142)</f>
        <v>0</v>
      </c>
      <c r="V144" s="93">
        <v>0.92</v>
      </c>
      <c r="W144" s="25">
        <f>U144/V144</f>
        <v>0</v>
      </c>
    </row>
    <row r="145" spans="1:23" x14ac:dyDescent="0.25">
      <c r="A145" s="2879" t="str">
        <f>Итоговая!C409</f>
        <v xml:space="preserve">ПС 35/10 кВ Светлица  </v>
      </c>
      <c r="B145" s="2689">
        <f>Итоговая!D409</f>
        <v>2.5</v>
      </c>
      <c r="C145" s="2691" t="str">
        <f>Итоговая!E409</f>
        <v>+</v>
      </c>
      <c r="D145" s="2691">
        <f>Итоговая!F409</f>
        <v>2.5</v>
      </c>
      <c r="E145" s="508"/>
      <c r="F145" s="509"/>
      <c r="G145" s="2648" t="s">
        <v>1961</v>
      </c>
      <c r="H145" s="2858"/>
      <c r="I145" s="2858"/>
      <c r="J145" s="2858"/>
      <c r="K145" s="2858"/>
      <c r="L145" s="2859"/>
      <c r="M145" s="118"/>
      <c r="N145" s="167"/>
      <c r="O145" s="75"/>
      <c r="P145" s="75"/>
      <c r="Q145" s="75"/>
      <c r="R145" s="2647" t="s">
        <v>1961</v>
      </c>
      <c r="S145" s="2858"/>
      <c r="T145" s="2858"/>
      <c r="U145" s="2858"/>
      <c r="V145" s="2858"/>
      <c r="W145" s="2859"/>
    </row>
    <row r="146" spans="1:23" ht="49.5" customHeight="1" x14ac:dyDescent="0.25">
      <c r="A146" s="2880"/>
      <c r="B146" s="2690"/>
      <c r="C146" s="2692"/>
      <c r="D146" s="2692"/>
      <c r="E146" s="499"/>
      <c r="F146" s="510"/>
      <c r="G146" s="308"/>
      <c r="H146" s="303"/>
      <c r="I146" s="303"/>
      <c r="J146" s="303"/>
      <c r="K146" s="8"/>
      <c r="L146" s="145"/>
      <c r="M146" s="145" t="s">
        <v>1617</v>
      </c>
      <c r="N146" s="145" t="s">
        <v>1618</v>
      </c>
      <c r="O146" s="8">
        <v>0.3</v>
      </c>
      <c r="P146" s="8"/>
      <c r="Q146" s="8"/>
      <c r="R146" s="347" t="s">
        <v>1615</v>
      </c>
      <c r="S146" s="347" t="s">
        <v>1616</v>
      </c>
      <c r="T146" s="347" t="s">
        <v>2490</v>
      </c>
      <c r="U146" s="347">
        <v>0.2</v>
      </c>
      <c r="V146" s="347"/>
      <c r="W146" s="355"/>
    </row>
    <row r="147" spans="1:23" ht="31.5" customHeight="1" x14ac:dyDescent="0.25">
      <c r="A147" s="528"/>
      <c r="B147" s="511"/>
      <c r="C147" s="499"/>
      <c r="D147" s="499"/>
      <c r="E147" s="499"/>
      <c r="F147" s="510"/>
      <c r="G147" s="96" t="s">
        <v>1619</v>
      </c>
      <c r="H147" s="8" t="s">
        <v>1620</v>
      </c>
      <c r="I147" s="8" t="s">
        <v>1621</v>
      </c>
      <c r="J147" s="8">
        <v>0.05</v>
      </c>
      <c r="K147" s="8"/>
      <c r="L147" s="145"/>
      <c r="M147" s="1" t="s">
        <v>2195</v>
      </c>
      <c r="N147" s="1" t="s">
        <v>2196</v>
      </c>
      <c r="O147" s="8">
        <v>0.04</v>
      </c>
      <c r="P147" s="8"/>
      <c r="Q147" s="8"/>
      <c r="R147" s="8"/>
      <c r="S147" s="8"/>
      <c r="T147" s="8"/>
      <c r="U147" s="8"/>
      <c r="V147" s="8"/>
      <c r="W147" s="145"/>
    </row>
    <row r="148" spans="1:23" ht="31.5" customHeight="1" x14ac:dyDescent="0.25">
      <c r="A148" s="528"/>
      <c r="B148" s="511"/>
      <c r="C148" s="499"/>
      <c r="D148" s="499"/>
      <c r="E148" s="499"/>
      <c r="F148" s="510"/>
      <c r="G148" s="2787" t="s">
        <v>3020</v>
      </c>
      <c r="H148" s="2863"/>
      <c r="I148" s="2863"/>
      <c r="J148" s="2863"/>
      <c r="K148" s="2863"/>
      <c r="L148" s="2864"/>
      <c r="M148" s="1" t="s">
        <v>3168</v>
      </c>
      <c r="N148" s="1" t="s">
        <v>3169</v>
      </c>
      <c r="O148" s="8">
        <f>0.04-0.015</f>
        <v>2.5000000000000001E-2</v>
      </c>
      <c r="P148" s="8"/>
      <c r="Q148" s="8"/>
      <c r="R148" s="8"/>
      <c r="S148" s="8"/>
      <c r="T148" s="8"/>
      <c r="U148" s="8"/>
      <c r="V148" s="8"/>
      <c r="W148" s="145"/>
    </row>
    <row r="149" spans="1:23" ht="32.25" customHeight="1" x14ac:dyDescent="0.25">
      <c r="A149" s="528"/>
      <c r="B149" s="511"/>
      <c r="C149" s="499"/>
      <c r="D149" s="499"/>
      <c r="E149" s="499"/>
      <c r="F149" s="510"/>
      <c r="G149" s="1" t="s">
        <v>3183</v>
      </c>
      <c r="H149" s="1" t="s">
        <v>3184</v>
      </c>
      <c r="I149" s="1" t="s">
        <v>3228</v>
      </c>
      <c r="J149" s="8">
        <f>0.045*0.75</f>
        <v>3.3750000000000002E-2</v>
      </c>
      <c r="K149" s="8"/>
      <c r="L149" s="145"/>
      <c r="M149" s="1" t="s">
        <v>3249</v>
      </c>
      <c r="N149" s="1" t="s">
        <v>3250</v>
      </c>
      <c r="O149" s="8">
        <v>2.5000000000000001E-2</v>
      </c>
      <c r="P149" s="8"/>
      <c r="Q149" s="8"/>
      <c r="R149" s="8"/>
      <c r="S149" s="8"/>
      <c r="T149" s="8"/>
      <c r="U149" s="8"/>
      <c r="V149" s="8"/>
      <c r="W149" s="145"/>
    </row>
    <row r="150" spans="1:23" ht="32.25" customHeight="1" x14ac:dyDescent="0.25">
      <c r="A150" s="1152"/>
      <c r="B150" s="1148"/>
      <c r="C150" s="1149"/>
      <c r="D150" s="1149"/>
      <c r="E150" s="1149"/>
      <c r="F150" s="1151"/>
      <c r="G150" s="2787" t="s">
        <v>17005</v>
      </c>
      <c r="H150" s="2863"/>
      <c r="I150" s="2863"/>
      <c r="J150" s="2863"/>
      <c r="K150" s="2863"/>
      <c r="L150" s="2864"/>
      <c r="M150" s="1" t="s">
        <v>3321</v>
      </c>
      <c r="N150" s="1" t="s">
        <v>3322</v>
      </c>
      <c r="O150" s="8">
        <v>0.03</v>
      </c>
      <c r="P150" s="8"/>
      <c r="Q150" s="8"/>
      <c r="R150" s="8"/>
      <c r="S150" s="8"/>
      <c r="T150" s="8"/>
      <c r="U150" s="8"/>
      <c r="V150" s="8"/>
      <c r="W150" s="145"/>
    </row>
    <row r="151" spans="1:23" ht="38.25" customHeight="1" x14ac:dyDescent="0.25">
      <c r="A151" s="1152"/>
      <c r="B151" s="1148"/>
      <c r="C151" s="1149"/>
      <c r="D151" s="1149"/>
      <c r="E151" s="1149"/>
      <c r="F151" s="1151"/>
      <c r="G151" s="2123" t="s">
        <v>19945</v>
      </c>
      <c r="H151" s="2124" t="s">
        <v>19946</v>
      </c>
      <c r="I151" s="314" t="s">
        <v>19947</v>
      </c>
      <c r="J151" s="75">
        <f>0.7*0.15</f>
        <v>0.105</v>
      </c>
      <c r="K151" s="1970"/>
      <c r="L151" s="1970"/>
      <c r="M151" s="1" t="s">
        <v>3321</v>
      </c>
      <c r="N151" s="1" t="s">
        <v>3323</v>
      </c>
      <c r="O151" s="8">
        <v>2.5000000000000001E-2</v>
      </c>
      <c r="P151" s="8"/>
      <c r="Q151" s="8"/>
      <c r="R151" s="8"/>
      <c r="S151" s="8"/>
      <c r="T151" s="8"/>
      <c r="U151" s="8"/>
      <c r="V151" s="8"/>
      <c r="W151" s="145"/>
    </row>
    <row r="152" spans="1:23" ht="38.25" customHeight="1" x14ac:dyDescent="0.25">
      <c r="A152" s="2245"/>
      <c r="B152" s="2221"/>
      <c r="C152" s="2222"/>
      <c r="D152" s="2222"/>
      <c r="E152" s="2222"/>
      <c r="F152" s="2234"/>
      <c r="G152" s="2679" t="s">
        <v>3403</v>
      </c>
      <c r="H152" s="2680"/>
      <c r="I152" s="2681"/>
      <c r="J152" s="1201">
        <f>0.115*0.9</f>
        <v>0.10350000000000001</v>
      </c>
      <c r="K152" s="75"/>
      <c r="L152" s="75"/>
      <c r="M152" s="2198"/>
      <c r="N152" s="2199"/>
      <c r="O152" s="1656"/>
      <c r="P152" s="1656"/>
      <c r="Q152" s="1656"/>
      <c r="R152" s="2211"/>
      <c r="S152" s="2202"/>
      <c r="T152" s="2213"/>
      <c r="U152" s="1656"/>
      <c r="V152" s="1656"/>
      <c r="W152" s="75"/>
    </row>
    <row r="153" spans="1:23" ht="17.25" customHeight="1" thickBot="1" x14ac:dyDescent="0.3">
      <c r="A153" s="406"/>
      <c r="B153" s="395"/>
      <c r="C153" s="396"/>
      <c r="D153" s="396"/>
      <c r="E153" s="396"/>
      <c r="F153" s="397"/>
      <c r="G153" s="2861" t="s">
        <v>1833</v>
      </c>
      <c r="H153" s="2861"/>
      <c r="I153" s="2862"/>
      <c r="J153" s="25">
        <f>SUM(J149:J152)</f>
        <v>0.24224999999999999</v>
      </c>
      <c r="K153" s="93">
        <v>0.92</v>
      </c>
      <c r="L153" s="25">
        <f>J153/K153</f>
        <v>0.26331521739130431</v>
      </c>
      <c r="M153" s="2873" t="s">
        <v>1834</v>
      </c>
      <c r="N153" s="2862"/>
      <c r="O153" s="25">
        <f>SUM(O146:O151)</f>
        <v>0.44500000000000006</v>
      </c>
      <c r="P153" s="93">
        <v>0.92</v>
      </c>
      <c r="Q153" s="25">
        <f>O153/P153</f>
        <v>0.48369565217391308</v>
      </c>
      <c r="R153" s="2873" t="s">
        <v>1833</v>
      </c>
      <c r="S153" s="2861"/>
      <c r="T153" s="2862"/>
      <c r="U153" s="25">
        <f>SUM(U146:U149)</f>
        <v>0.2</v>
      </c>
      <c r="V153" s="93">
        <v>0.92</v>
      </c>
      <c r="W153" s="25">
        <f>U153/V153</f>
        <v>0.21739130434782608</v>
      </c>
    </row>
    <row r="154" spans="1:23" x14ac:dyDescent="0.25">
      <c r="A154" s="526" t="str">
        <f>Итоговая!C410</f>
        <v xml:space="preserve">ПС  110/6 кВ КС-20  </v>
      </c>
      <c r="B154" s="527">
        <f>Итоговая!D410</f>
        <v>63</v>
      </c>
      <c r="C154" s="508" t="str">
        <f>Итоговая!E410</f>
        <v>+</v>
      </c>
      <c r="D154" s="508">
        <f>Итоговая!F410</f>
        <v>63</v>
      </c>
      <c r="E154" s="508"/>
      <c r="F154" s="509"/>
      <c r="G154" s="96"/>
      <c r="H154" s="8"/>
      <c r="I154" s="8"/>
      <c r="J154" s="8"/>
      <c r="K154" s="8"/>
      <c r="L154" s="145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145"/>
    </row>
    <row r="155" spans="1:23" ht="15" customHeight="1" thickBot="1" x14ac:dyDescent="0.3">
      <c r="A155" s="406"/>
      <c r="B155" s="395"/>
      <c r="C155" s="396"/>
      <c r="D155" s="396"/>
      <c r="E155" s="396"/>
      <c r="F155" s="397"/>
      <c r="G155" s="2861" t="s">
        <v>1833</v>
      </c>
      <c r="H155" s="2861"/>
      <c r="I155" s="2862"/>
      <c r="J155" s="25">
        <f>SUM(J154:J154)</f>
        <v>0</v>
      </c>
      <c r="K155" s="93">
        <v>0.92</v>
      </c>
      <c r="L155" s="25">
        <f>J155/K155</f>
        <v>0</v>
      </c>
      <c r="M155" s="2873" t="s">
        <v>1834</v>
      </c>
      <c r="N155" s="2862"/>
      <c r="O155" s="25">
        <f>SUM(O154:O154)</f>
        <v>0</v>
      </c>
      <c r="P155" s="93">
        <v>0.92</v>
      </c>
      <c r="Q155" s="25">
        <f>O155/P155</f>
        <v>0</v>
      </c>
      <c r="R155" s="2873" t="s">
        <v>1833</v>
      </c>
      <c r="S155" s="2861"/>
      <c r="T155" s="2862"/>
      <c r="U155" s="25">
        <f>SUM(U154:U154)</f>
        <v>0</v>
      </c>
      <c r="V155" s="93">
        <v>0.92</v>
      </c>
      <c r="W155" s="25">
        <f>U155/V155</f>
        <v>0</v>
      </c>
    </row>
    <row r="156" spans="1:23" ht="22.5" customHeight="1" x14ac:dyDescent="0.25">
      <c r="A156" s="2879" t="str">
        <f>Итоговая!C411</f>
        <v xml:space="preserve">ПС 110/10 кВ  Полиграфкраски </v>
      </c>
      <c r="B156" s="527">
        <f>Итоговая!D411</f>
        <v>10</v>
      </c>
      <c r="C156" s="508" t="str">
        <f>Итоговая!E411</f>
        <v>+</v>
      </c>
      <c r="D156" s="508">
        <f>Итоговая!F411</f>
        <v>10</v>
      </c>
      <c r="E156" s="508"/>
      <c r="F156" s="509"/>
      <c r="G156" s="2894" t="s">
        <v>2640</v>
      </c>
      <c r="H156" s="2895"/>
      <c r="I156" s="2895"/>
      <c r="J156" s="2895"/>
      <c r="K156" s="2895"/>
      <c r="L156" s="2896"/>
      <c r="M156" s="79" t="s">
        <v>847</v>
      </c>
      <c r="N156" s="79" t="s">
        <v>848</v>
      </c>
      <c r="O156" s="79">
        <v>0.2</v>
      </c>
      <c r="P156" s="8"/>
      <c r="Q156" s="8"/>
      <c r="R156" s="97"/>
      <c r="S156" s="97"/>
      <c r="T156" s="97"/>
      <c r="U156" s="8"/>
      <c r="V156" s="8"/>
      <c r="W156" s="145"/>
    </row>
    <row r="157" spans="1:23" ht="36.75" customHeight="1" x14ac:dyDescent="0.25">
      <c r="A157" s="2880"/>
      <c r="B157" s="629"/>
      <c r="C157" s="635"/>
      <c r="D157" s="635"/>
      <c r="E157" s="635"/>
      <c r="F157" s="641"/>
      <c r="G157" s="1" t="s">
        <v>2855</v>
      </c>
      <c r="H157" s="1" t="s">
        <v>2856</v>
      </c>
      <c r="I157" s="1" t="s">
        <v>2863</v>
      </c>
      <c r="J157" s="8">
        <v>0.4</v>
      </c>
      <c r="K157" s="8"/>
      <c r="L157" s="145"/>
      <c r="M157" s="1" t="s">
        <v>2579</v>
      </c>
      <c r="N157" s="1" t="s">
        <v>2580</v>
      </c>
      <c r="O157" s="8">
        <f>0.1-0.005</f>
        <v>9.5000000000000001E-2</v>
      </c>
      <c r="P157" s="8"/>
      <c r="Q157" s="8"/>
      <c r="R157" s="8"/>
      <c r="S157" s="8"/>
      <c r="T157" s="8"/>
      <c r="U157" s="8"/>
      <c r="V157" s="8"/>
      <c r="W157" s="145"/>
    </row>
    <row r="158" spans="1:23" ht="36.75" customHeight="1" x14ac:dyDescent="0.25">
      <c r="A158" s="695"/>
      <c r="B158" s="691"/>
      <c r="C158" s="692"/>
      <c r="D158" s="692"/>
      <c r="E158" s="692"/>
      <c r="F158" s="696"/>
      <c r="G158" s="2787" t="s">
        <v>3020</v>
      </c>
      <c r="H158" s="2863"/>
      <c r="I158" s="2863"/>
      <c r="J158" s="2863"/>
      <c r="K158" s="2863"/>
      <c r="L158" s="2864"/>
      <c r="M158" s="1" t="s">
        <v>2697</v>
      </c>
      <c r="N158" s="1" t="s">
        <v>2724</v>
      </c>
      <c r="O158" s="8">
        <v>8.3000000000000004E-2</v>
      </c>
      <c r="P158" s="8"/>
      <c r="Q158" s="8"/>
      <c r="R158" s="8"/>
      <c r="S158" s="8"/>
      <c r="T158" s="8"/>
      <c r="U158" s="8"/>
      <c r="V158" s="8"/>
      <c r="W158" s="145"/>
    </row>
    <row r="159" spans="1:23" ht="36.75" customHeight="1" x14ac:dyDescent="0.25">
      <c r="A159" s="748"/>
      <c r="B159" s="743"/>
      <c r="C159" s="744"/>
      <c r="D159" s="744"/>
      <c r="E159" s="744"/>
      <c r="F159" s="749"/>
      <c r="G159" s="19" t="s">
        <v>3349</v>
      </c>
      <c r="H159" s="20" t="s">
        <v>3350</v>
      </c>
      <c r="I159" s="1" t="s">
        <v>3363</v>
      </c>
      <c r="J159" s="8">
        <v>1.4999999999999999E-2</v>
      </c>
      <c r="K159" s="8"/>
      <c r="L159" s="145"/>
      <c r="M159" s="1" t="s">
        <v>2795</v>
      </c>
      <c r="N159" s="1" t="s">
        <v>2796</v>
      </c>
      <c r="O159" s="8">
        <v>8.3000000000000004E-2</v>
      </c>
      <c r="P159" s="92"/>
      <c r="Q159" s="92"/>
      <c r="R159" s="94"/>
      <c r="S159" s="747"/>
      <c r="T159" s="95"/>
      <c r="U159" s="92"/>
      <c r="V159" s="92"/>
      <c r="W159" s="75"/>
    </row>
    <row r="160" spans="1:23" ht="36.75" customHeight="1" x14ac:dyDescent="0.25">
      <c r="A160" s="1455"/>
      <c r="B160" s="1446"/>
      <c r="C160" s="1447"/>
      <c r="D160" s="1447"/>
      <c r="E160" s="1447"/>
      <c r="F160" s="1449"/>
      <c r="G160" s="1443" t="s">
        <v>3192</v>
      </c>
      <c r="H160" s="1443" t="s">
        <v>3432</v>
      </c>
      <c r="I160" s="1444" t="s">
        <v>15274</v>
      </c>
      <c r="J160" s="1451">
        <v>0.11</v>
      </c>
      <c r="K160" s="1451"/>
      <c r="L160" s="1456"/>
      <c r="M160" s="1696" t="s">
        <v>16790</v>
      </c>
      <c r="N160" s="1696" t="s">
        <v>16791</v>
      </c>
      <c r="O160" s="1725">
        <v>0.04</v>
      </c>
      <c r="P160" s="92"/>
      <c r="Q160" s="92"/>
      <c r="R160" s="1454"/>
      <c r="S160" s="1452"/>
      <c r="T160" s="1453"/>
      <c r="U160" s="92"/>
      <c r="V160" s="92"/>
      <c r="W160" s="75"/>
    </row>
    <row r="161" spans="1:23" ht="36.75" customHeight="1" x14ac:dyDescent="0.25">
      <c r="A161" s="782"/>
      <c r="B161" s="780"/>
      <c r="C161" s="781"/>
      <c r="D161" s="781"/>
      <c r="E161" s="781"/>
      <c r="F161" s="783"/>
      <c r="G161" s="2624"/>
      <c r="H161" s="2616"/>
      <c r="I161" s="2617"/>
      <c r="J161" s="1970"/>
      <c r="K161" s="1970"/>
      <c r="L161" s="1970"/>
      <c r="M161" s="1" t="s">
        <v>3043</v>
      </c>
      <c r="N161" s="1" t="s">
        <v>3044</v>
      </c>
      <c r="O161" s="8">
        <f>0.06</f>
        <v>0.06</v>
      </c>
      <c r="P161" s="92"/>
      <c r="Q161" s="92"/>
      <c r="R161" s="94"/>
      <c r="S161" s="747"/>
      <c r="T161" s="95"/>
      <c r="U161" s="92"/>
      <c r="V161" s="92"/>
      <c r="W161" s="75"/>
    </row>
    <row r="162" spans="1:23" ht="36.75" customHeight="1" x14ac:dyDescent="0.25">
      <c r="A162" s="1009"/>
      <c r="B162" s="1006"/>
      <c r="C162" s="1007"/>
      <c r="D162" s="1007"/>
      <c r="E162" s="1007"/>
      <c r="F162" s="1008"/>
      <c r="G162" s="2787" t="s">
        <v>3447</v>
      </c>
      <c r="H162" s="2863"/>
      <c r="I162" s="2863"/>
      <c r="J162" s="2863"/>
      <c r="K162" s="2863"/>
      <c r="L162" s="2864"/>
      <c r="M162" s="1" t="s">
        <v>1864</v>
      </c>
      <c r="N162" s="1" t="s">
        <v>3070</v>
      </c>
      <c r="O162" s="8">
        <v>0.09</v>
      </c>
      <c r="P162" s="92"/>
      <c r="Q162" s="92"/>
      <c r="R162" s="94"/>
      <c r="S162" s="747"/>
      <c r="T162" s="95"/>
      <c r="U162" s="92"/>
      <c r="V162" s="92"/>
      <c r="W162" s="75"/>
    </row>
    <row r="163" spans="1:23" ht="36.75" customHeight="1" x14ac:dyDescent="0.25">
      <c r="A163" s="1079"/>
      <c r="B163" s="1077"/>
      <c r="C163" s="1078"/>
      <c r="D163" s="1078"/>
      <c r="E163" s="1078"/>
      <c r="F163" s="1076"/>
      <c r="G163" s="1229" t="s">
        <v>3351</v>
      </c>
      <c r="H163" s="1229" t="s">
        <v>3352</v>
      </c>
      <c r="I163" s="1229" t="s">
        <v>3451</v>
      </c>
      <c r="J163" s="8">
        <v>2.8000000000000001E-2</v>
      </c>
      <c r="K163" s="8"/>
      <c r="L163" s="145"/>
      <c r="M163" s="1839"/>
      <c r="N163" s="1839"/>
      <c r="O163" s="1855"/>
      <c r="P163" s="8"/>
      <c r="Q163" s="8"/>
      <c r="R163" s="94"/>
      <c r="S163" s="747"/>
      <c r="T163" s="95"/>
      <c r="U163" s="92"/>
      <c r="V163" s="92"/>
      <c r="W163" s="75"/>
    </row>
    <row r="164" spans="1:23" ht="36.75" customHeight="1" x14ac:dyDescent="0.25">
      <c r="A164" s="1131"/>
      <c r="B164" s="1127"/>
      <c r="C164" s="1128"/>
      <c r="D164" s="1128"/>
      <c r="E164" s="1128"/>
      <c r="F164" s="1126"/>
      <c r="G164" s="1394" t="s">
        <v>3517</v>
      </c>
      <c r="H164" s="1395" t="s">
        <v>3518</v>
      </c>
      <c r="I164" s="1396" t="s">
        <v>3628</v>
      </c>
      <c r="J164" s="8">
        <v>0.05</v>
      </c>
      <c r="K164" s="8"/>
      <c r="L164" s="145"/>
      <c r="M164" s="1839"/>
      <c r="N164" s="1839"/>
      <c r="O164" s="1855"/>
      <c r="P164" s="92"/>
      <c r="Q164" s="92"/>
      <c r="R164" s="94"/>
      <c r="S164" s="747"/>
      <c r="T164" s="95"/>
      <c r="U164" s="92"/>
      <c r="V164" s="92"/>
      <c r="W164" s="75"/>
    </row>
    <row r="165" spans="1:23" ht="36.75" customHeight="1" x14ac:dyDescent="0.25">
      <c r="A165" s="1161"/>
      <c r="B165" s="1158"/>
      <c r="C165" s="1159"/>
      <c r="D165" s="1159"/>
      <c r="E165" s="1159"/>
      <c r="F165" s="1157"/>
      <c r="G165" s="1802" t="s">
        <v>15305</v>
      </c>
      <c r="H165" s="1802" t="s">
        <v>15306</v>
      </c>
      <c r="I165" s="1802" t="s">
        <v>16905</v>
      </c>
      <c r="J165" s="8">
        <v>0.83499999999999996</v>
      </c>
      <c r="K165" s="8"/>
      <c r="L165" s="145"/>
      <c r="M165" s="1839" t="s">
        <v>15310</v>
      </c>
      <c r="N165" s="1839" t="s">
        <v>15311</v>
      </c>
      <c r="O165" s="1855">
        <f>0.035-0.015</f>
        <v>2.0000000000000004E-2</v>
      </c>
      <c r="P165" s="92"/>
      <c r="Q165" s="92"/>
      <c r="R165" s="94"/>
      <c r="S165" s="747"/>
      <c r="T165" s="95"/>
      <c r="U165" s="92"/>
      <c r="V165" s="92"/>
      <c r="W165" s="75"/>
    </row>
    <row r="166" spans="1:23" ht="36.75" customHeight="1" x14ac:dyDescent="0.25">
      <c r="A166" s="1726"/>
      <c r="B166" s="1712"/>
      <c r="C166" s="1713"/>
      <c r="D166" s="1713"/>
      <c r="E166" s="1713"/>
      <c r="F166" s="1718"/>
      <c r="G166" s="2787" t="s">
        <v>17005</v>
      </c>
      <c r="H166" s="2863"/>
      <c r="I166" s="2863"/>
      <c r="J166" s="2863"/>
      <c r="K166" s="2863"/>
      <c r="L166" s="2864"/>
      <c r="M166" s="9" t="s">
        <v>15307</v>
      </c>
      <c r="N166" s="9" t="s">
        <v>16808</v>
      </c>
      <c r="O166" s="9">
        <v>2.5000000000000001E-2</v>
      </c>
      <c r="P166" s="1656"/>
      <c r="Q166" s="1656"/>
      <c r="R166" s="1703"/>
      <c r="S166" s="1695"/>
      <c r="T166" s="1704"/>
      <c r="U166" s="1656"/>
      <c r="V166" s="1656"/>
      <c r="W166" s="75"/>
    </row>
    <row r="167" spans="1:23" ht="36.75" customHeight="1" x14ac:dyDescent="0.25">
      <c r="A167" s="2030"/>
      <c r="B167" s="2012"/>
      <c r="C167" s="2013"/>
      <c r="D167" s="2013"/>
      <c r="E167" s="2013"/>
      <c r="F167" s="2011"/>
      <c r="G167" s="1994" t="s">
        <v>16980</v>
      </c>
      <c r="H167" s="1994" t="s">
        <v>16981</v>
      </c>
      <c r="I167" s="1999" t="s">
        <v>17072</v>
      </c>
      <c r="J167" s="1656">
        <f>0.03*0.9</f>
        <v>2.7E-2</v>
      </c>
      <c r="K167" s="1656"/>
      <c r="L167" s="75"/>
      <c r="M167" s="2009"/>
      <c r="N167" s="2010"/>
      <c r="O167" s="2000"/>
      <c r="P167" s="1656"/>
      <c r="Q167" s="1656"/>
      <c r="R167" s="1991"/>
      <c r="S167" s="1992"/>
      <c r="T167" s="1993"/>
      <c r="U167" s="1656"/>
      <c r="V167" s="1656"/>
      <c r="W167" s="75"/>
    </row>
    <row r="168" spans="1:23" ht="36.75" customHeight="1" x14ac:dyDescent="0.25">
      <c r="A168" s="2195"/>
      <c r="B168" s="2182"/>
      <c r="C168" s="2183"/>
      <c r="D168" s="2183"/>
      <c r="E168" s="2183"/>
      <c r="F168" s="2181"/>
      <c r="G168" s="2170" t="s">
        <v>15307</v>
      </c>
      <c r="H168" s="2170" t="s">
        <v>20010</v>
      </c>
      <c r="I168" s="2171" t="s">
        <v>20011</v>
      </c>
      <c r="J168" s="1656">
        <f>0.025*0.9</f>
        <v>2.2500000000000003E-2</v>
      </c>
      <c r="K168" s="1656"/>
      <c r="L168" s="75"/>
      <c r="M168" s="2179"/>
      <c r="N168" s="2180"/>
      <c r="O168" s="2172"/>
      <c r="P168" s="1656"/>
      <c r="Q168" s="1656"/>
      <c r="R168" s="2164"/>
      <c r="S168" s="2165"/>
      <c r="T168" s="2166"/>
      <c r="U168" s="1656"/>
      <c r="V168" s="1656"/>
      <c r="W168" s="75"/>
    </row>
    <row r="169" spans="1:23" ht="36.75" customHeight="1" x14ac:dyDescent="0.25">
      <c r="A169" s="2245"/>
      <c r="B169" s="2221"/>
      <c r="C169" s="2222"/>
      <c r="D169" s="2222"/>
      <c r="E169" s="2222"/>
      <c r="F169" s="2234"/>
      <c r="G169" s="2679" t="s">
        <v>3403</v>
      </c>
      <c r="H169" s="2680"/>
      <c r="I169" s="2681"/>
      <c r="J169" s="1201">
        <f>0.107*0.9</f>
        <v>9.6299999999999997E-2</v>
      </c>
      <c r="K169" s="1656"/>
      <c r="L169" s="75"/>
      <c r="M169" s="2216"/>
      <c r="N169" s="2217"/>
      <c r="O169" s="2209"/>
      <c r="P169" s="1656"/>
      <c r="Q169" s="1656"/>
      <c r="R169" s="2211"/>
      <c r="S169" s="2202"/>
      <c r="T169" s="2213"/>
      <c r="U169" s="1656"/>
      <c r="V169" s="1656"/>
      <c r="W169" s="75"/>
    </row>
    <row r="170" spans="1:23" ht="36.75" customHeight="1" x14ac:dyDescent="0.25">
      <c r="A170" s="2300"/>
      <c r="B170" s="2286"/>
      <c r="C170" s="2287"/>
      <c r="D170" s="2287"/>
      <c r="E170" s="2287"/>
      <c r="F170" s="2285"/>
      <c r="G170" s="2290" t="s">
        <v>20230</v>
      </c>
      <c r="H170" s="2290" t="s">
        <v>20231</v>
      </c>
      <c r="I170" s="2291" t="s">
        <v>20232</v>
      </c>
      <c r="J170" s="75">
        <f>(0.055-0.015)*0.75</f>
        <v>0.03</v>
      </c>
      <c r="K170" s="75"/>
      <c r="L170" s="75"/>
      <c r="M170" s="2283"/>
      <c r="N170" s="2284"/>
      <c r="O170" s="2277"/>
      <c r="P170" s="1656"/>
      <c r="Q170" s="1656"/>
      <c r="R170" s="2270"/>
      <c r="S170" s="2271"/>
      <c r="T170" s="2272"/>
      <c r="U170" s="1656"/>
      <c r="V170" s="1656"/>
      <c r="W170" s="75"/>
    </row>
    <row r="171" spans="1:23" ht="19.5" customHeight="1" thickBot="1" x14ac:dyDescent="0.3">
      <c r="A171" s="406"/>
      <c r="B171" s="395"/>
      <c r="C171" s="396"/>
      <c r="D171" s="396"/>
      <c r="E171" s="396"/>
      <c r="F171" s="397"/>
      <c r="G171" s="2861" t="s">
        <v>1833</v>
      </c>
      <c r="H171" s="2861"/>
      <c r="I171" s="2862"/>
      <c r="J171" s="25">
        <f>SUM(J159:J170)</f>
        <v>1.2138</v>
      </c>
      <c r="K171" s="93">
        <v>0.92</v>
      </c>
      <c r="L171" s="25">
        <f>J171/K171</f>
        <v>1.3193478260869564</v>
      </c>
      <c r="M171" s="2873" t="s">
        <v>1834</v>
      </c>
      <c r="N171" s="2862"/>
      <c r="O171" s="25">
        <f>SUM(O156:O166)</f>
        <v>0.69600000000000017</v>
      </c>
      <c r="P171" s="93">
        <v>0.92</v>
      </c>
      <c r="Q171" s="25">
        <f>O171/P171</f>
        <v>0.75652173913043497</v>
      </c>
      <c r="R171" s="2873" t="s">
        <v>1833</v>
      </c>
      <c r="S171" s="2861"/>
      <c r="T171" s="2862"/>
      <c r="U171" s="25">
        <f>SUM(U156:U156)</f>
        <v>0</v>
      </c>
      <c r="V171" s="93">
        <v>0.92</v>
      </c>
      <c r="W171" s="25">
        <f>U171/V171</f>
        <v>0</v>
      </c>
    </row>
    <row r="172" spans="1:23" s="3" customFormat="1" ht="65.25" customHeight="1" x14ac:dyDescent="0.25">
      <c r="A172" s="526" t="str">
        <f>Итоговая!C412</f>
        <v xml:space="preserve">ПС 110/10 кВ НПС Торжок </v>
      </c>
      <c r="B172" s="527">
        <f>Итоговая!D412</f>
        <v>25</v>
      </c>
      <c r="C172" s="508" t="str">
        <f>Итоговая!E412</f>
        <v>+</v>
      </c>
      <c r="D172" s="508">
        <f>Итоговая!F412</f>
        <v>25</v>
      </c>
      <c r="E172" s="508"/>
      <c r="F172" s="509"/>
      <c r="G172" s="89"/>
      <c r="H172" s="79"/>
      <c r="I172" s="79"/>
      <c r="J172" s="79"/>
      <c r="K172" s="79"/>
      <c r="L172" s="76"/>
      <c r="M172" s="10" t="s">
        <v>1457</v>
      </c>
      <c r="N172" s="10" t="s">
        <v>1458</v>
      </c>
      <c r="O172" s="79">
        <v>6.8699999999999997E-2</v>
      </c>
      <c r="P172" s="79"/>
      <c r="Q172" s="8"/>
      <c r="R172" s="79"/>
      <c r="S172" s="79"/>
      <c r="T172" s="79"/>
      <c r="U172" s="79"/>
      <c r="V172" s="79"/>
      <c r="W172" s="76"/>
    </row>
    <row r="173" spans="1:23" s="3" customFormat="1" ht="22.5" customHeight="1" x14ac:dyDescent="0.25">
      <c r="A173" s="640"/>
      <c r="B173" s="629"/>
      <c r="C173" s="635"/>
      <c r="D173" s="635"/>
      <c r="E173" s="635"/>
      <c r="F173" s="641"/>
      <c r="G173" s="8"/>
      <c r="H173" s="8"/>
      <c r="I173" s="8"/>
      <c r="J173" s="8"/>
      <c r="K173" s="8"/>
      <c r="L173" s="145"/>
      <c r="M173" s="11"/>
      <c r="N173" s="11"/>
      <c r="O173" s="8"/>
      <c r="P173" s="8"/>
      <c r="Q173" s="8"/>
      <c r="R173" s="8"/>
      <c r="S173" s="8"/>
      <c r="T173" s="8"/>
      <c r="U173" s="8"/>
      <c r="V173" s="8"/>
      <c r="W173" s="145"/>
    </row>
    <row r="174" spans="1:23" ht="21" customHeight="1" thickBot="1" x14ac:dyDescent="0.3">
      <c r="A174" s="406"/>
      <c r="B174" s="395"/>
      <c r="C174" s="396"/>
      <c r="D174" s="396"/>
      <c r="E174" s="396"/>
      <c r="F174" s="397"/>
      <c r="G174" s="2861" t="s">
        <v>1833</v>
      </c>
      <c r="H174" s="2861"/>
      <c r="I174" s="2862"/>
      <c r="J174" s="25">
        <f>SUM(J172:J172)</f>
        <v>0</v>
      </c>
      <c r="K174" s="93">
        <v>0.92</v>
      </c>
      <c r="L174" s="25">
        <f>J174/K174</f>
        <v>0</v>
      </c>
      <c r="M174" s="2873" t="s">
        <v>1834</v>
      </c>
      <c r="N174" s="2862"/>
      <c r="O174" s="25">
        <f>SUM(O172:O172)</f>
        <v>6.8699999999999997E-2</v>
      </c>
      <c r="P174" s="93">
        <v>0.92</v>
      </c>
      <c r="Q174" s="25">
        <f>O174/P174</f>
        <v>7.4673913043478257E-2</v>
      </c>
      <c r="R174" s="2873" t="s">
        <v>1833</v>
      </c>
      <c r="S174" s="2861"/>
      <c r="T174" s="2862"/>
      <c r="U174" s="25">
        <f>SUM(U172:U172)</f>
        <v>0</v>
      </c>
      <c r="V174" s="93">
        <v>0.92</v>
      </c>
      <c r="W174" s="25">
        <f>U174/V174</f>
        <v>0</v>
      </c>
    </row>
    <row r="175" spans="1:23" x14ac:dyDescent="0.25">
      <c r="A175" s="526" t="str">
        <f>Итоговая!C413</f>
        <v xml:space="preserve">ПС 110/10 кВ Селихово </v>
      </c>
      <c r="B175" s="527">
        <f>Итоговая!D413</f>
        <v>2.5</v>
      </c>
      <c r="C175" s="508" t="str">
        <f>Итоговая!E413</f>
        <v>+</v>
      </c>
      <c r="D175" s="508">
        <f>Итоговая!F413</f>
        <v>2.5</v>
      </c>
      <c r="E175" s="508"/>
      <c r="F175" s="509"/>
      <c r="G175" s="2767" t="s">
        <v>3020</v>
      </c>
      <c r="H175" s="2767"/>
      <c r="I175" s="2767"/>
      <c r="J175" s="2767"/>
      <c r="K175" s="2767"/>
      <c r="L175" s="276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145"/>
    </row>
    <row r="176" spans="1:23" x14ac:dyDescent="0.25">
      <c r="A176" s="1193"/>
      <c r="B176" s="1189"/>
      <c r="C176" s="1190"/>
      <c r="D176" s="1190"/>
      <c r="E176" s="1190"/>
      <c r="F176" s="1188"/>
      <c r="G176" s="2624"/>
      <c r="H176" s="2616"/>
      <c r="I176" s="2617"/>
      <c r="J176" s="1970"/>
      <c r="K176" s="75"/>
      <c r="L176" s="75"/>
      <c r="M176" s="94"/>
      <c r="N176" s="95"/>
      <c r="O176" s="92"/>
      <c r="P176" s="92"/>
      <c r="Q176" s="92"/>
      <c r="R176" s="94"/>
      <c r="S176" s="747"/>
      <c r="T176" s="95"/>
      <c r="U176" s="92"/>
      <c r="V176" s="92"/>
      <c r="W176" s="75"/>
    </row>
    <row r="177" spans="1:23" ht="19.5" customHeight="1" thickBot="1" x14ac:dyDescent="0.3">
      <c r="A177" s="406"/>
      <c r="B177" s="395"/>
      <c r="C177" s="396"/>
      <c r="D177" s="396"/>
      <c r="E177" s="396"/>
      <c r="F177" s="397"/>
      <c r="G177" s="2861" t="s">
        <v>1833</v>
      </c>
      <c r="H177" s="2861"/>
      <c r="I177" s="2862"/>
      <c r="J177" s="25">
        <f>SUM(J175:J176)</f>
        <v>0</v>
      </c>
      <c r="K177" s="93">
        <v>0.92</v>
      </c>
      <c r="L177" s="25">
        <f>J177/K177</f>
        <v>0</v>
      </c>
      <c r="M177" s="2873" t="s">
        <v>1834</v>
      </c>
      <c r="N177" s="2862"/>
      <c r="O177" s="25">
        <f>SUM(O175:O175)</f>
        <v>0</v>
      </c>
      <c r="P177" s="93">
        <v>0.92</v>
      </c>
      <c r="Q177" s="25">
        <f>O177/P177</f>
        <v>0</v>
      </c>
      <c r="R177" s="2873" t="s">
        <v>1833</v>
      </c>
      <c r="S177" s="2861"/>
      <c r="T177" s="2862"/>
      <c r="U177" s="25">
        <f>SUM(U175:U175)</f>
        <v>0</v>
      </c>
      <c r="V177" s="93">
        <v>0.92</v>
      </c>
      <c r="W177" s="25">
        <f>U177/V177</f>
        <v>0</v>
      </c>
    </row>
    <row r="178" spans="1:23" ht="19.5" customHeight="1" x14ac:dyDescent="0.25">
      <c r="A178" s="2879" t="str">
        <f>Итоговая!C414</f>
        <v xml:space="preserve">ПС 110/10 кВ Пено </v>
      </c>
      <c r="B178" s="2689">
        <f>Итоговая!D414</f>
        <v>6.3</v>
      </c>
      <c r="C178" s="2691" t="str">
        <f>Итоговая!E414</f>
        <v>+</v>
      </c>
      <c r="D178" s="2691">
        <f>Итоговая!F414</f>
        <v>6.3</v>
      </c>
      <c r="E178" s="508"/>
      <c r="F178" s="509"/>
      <c r="G178" s="2648" t="s">
        <v>1961</v>
      </c>
      <c r="H178" s="2858"/>
      <c r="I178" s="2858"/>
      <c r="J178" s="2858"/>
      <c r="K178" s="2858"/>
      <c r="L178" s="2859"/>
      <c r="M178" s="42" t="s">
        <v>1630</v>
      </c>
      <c r="N178" s="42" t="s">
        <v>1631</v>
      </c>
      <c r="O178" s="42">
        <v>0.02</v>
      </c>
      <c r="P178" s="74"/>
      <c r="Q178" s="74"/>
      <c r="R178" s="2644"/>
      <c r="S178" s="2871"/>
      <c r="T178" s="2871"/>
      <c r="U178" s="2871"/>
      <c r="V178" s="2871"/>
      <c r="W178" s="2872"/>
    </row>
    <row r="179" spans="1:23" ht="53.25" customHeight="1" x14ac:dyDescent="0.25">
      <c r="A179" s="2880"/>
      <c r="B179" s="2690"/>
      <c r="C179" s="2692"/>
      <c r="D179" s="2692"/>
      <c r="E179" s="499"/>
      <c r="F179" s="510"/>
      <c r="G179" s="264" t="s">
        <v>1627</v>
      </c>
      <c r="H179" s="42" t="s">
        <v>1628</v>
      </c>
      <c r="I179" s="42" t="s">
        <v>1629</v>
      </c>
      <c r="J179" s="42">
        <v>0.02</v>
      </c>
      <c r="K179" s="42"/>
      <c r="L179" s="72"/>
      <c r="M179" s="145" t="s">
        <v>1635</v>
      </c>
      <c r="N179" s="8" t="s">
        <v>1636</v>
      </c>
      <c r="O179" s="8">
        <v>0.05</v>
      </c>
      <c r="P179" s="42"/>
      <c r="Q179" s="42"/>
      <c r="R179" s="72"/>
      <c r="S179" s="72"/>
      <c r="T179" s="72"/>
      <c r="U179" s="72"/>
      <c r="V179" s="72"/>
      <c r="W179" s="72"/>
    </row>
    <row r="180" spans="1:23" ht="30" x14ac:dyDescent="0.25">
      <c r="A180" s="528"/>
      <c r="B180" s="511"/>
      <c r="C180" s="499"/>
      <c r="D180" s="499"/>
      <c r="E180" s="499"/>
      <c r="F180" s="510"/>
      <c r="G180" s="264" t="s">
        <v>1632</v>
      </c>
      <c r="H180" s="42" t="s">
        <v>1633</v>
      </c>
      <c r="I180" s="42" t="s">
        <v>1634</v>
      </c>
      <c r="J180" s="42">
        <v>0.08</v>
      </c>
      <c r="K180" s="42"/>
      <c r="L180" s="72"/>
      <c r="M180" s="8" t="s">
        <v>1637</v>
      </c>
      <c r="N180" s="8" t="s">
        <v>1638</v>
      </c>
      <c r="O180" s="8">
        <v>8.0000000000000002E-3</v>
      </c>
      <c r="P180" s="42"/>
      <c r="Q180" s="42"/>
      <c r="R180" s="72"/>
      <c r="S180" s="72"/>
      <c r="T180" s="72"/>
      <c r="U180" s="72"/>
      <c r="V180" s="72"/>
      <c r="W180" s="72"/>
    </row>
    <row r="181" spans="1:23" ht="30" x14ac:dyDescent="0.25">
      <c r="A181" s="528"/>
      <c r="B181" s="511"/>
      <c r="C181" s="499"/>
      <c r="D181" s="499"/>
      <c r="E181" s="499"/>
      <c r="F181" s="510"/>
      <c r="G181" s="2767" t="s">
        <v>1959</v>
      </c>
      <c r="H181" s="2767"/>
      <c r="I181" s="2767"/>
      <c r="J181" s="2767"/>
      <c r="K181" s="2767"/>
      <c r="L181" s="2768"/>
      <c r="M181" s="8" t="s">
        <v>1637</v>
      </c>
      <c r="N181" s="8" t="s">
        <v>1642</v>
      </c>
      <c r="O181" s="8">
        <v>3.0000000000000001E-3</v>
      </c>
      <c r="P181" s="42"/>
      <c r="Q181" s="42"/>
      <c r="R181" s="2771"/>
      <c r="S181" s="2772"/>
      <c r="T181" s="2772"/>
      <c r="U181" s="2772"/>
      <c r="V181" s="2772"/>
      <c r="W181" s="2468"/>
    </row>
    <row r="182" spans="1:23" ht="60" x14ac:dyDescent="0.25">
      <c r="A182" s="528"/>
      <c r="B182" s="511"/>
      <c r="C182" s="499"/>
      <c r="D182" s="499"/>
      <c r="E182" s="499"/>
      <c r="F182" s="510"/>
      <c r="G182" s="95" t="s">
        <v>1639</v>
      </c>
      <c r="H182" s="92" t="s">
        <v>1640</v>
      </c>
      <c r="I182" s="92" t="s">
        <v>1641</v>
      </c>
      <c r="J182" s="92">
        <v>0.02</v>
      </c>
      <c r="K182" s="159"/>
      <c r="L182" s="157"/>
      <c r="M182" s="24" t="s">
        <v>318</v>
      </c>
      <c r="N182" s="24" t="s">
        <v>784</v>
      </c>
      <c r="O182" s="92">
        <v>3.5000000000000003E-2</v>
      </c>
      <c r="P182" s="159"/>
      <c r="Q182" s="159"/>
      <c r="R182" s="75"/>
      <c r="S182" s="75"/>
      <c r="T182" s="359"/>
      <c r="U182" s="75"/>
      <c r="V182" s="157"/>
      <c r="W182" s="157"/>
    </row>
    <row r="183" spans="1:23" ht="34.5" customHeight="1" x14ac:dyDescent="0.25">
      <c r="A183" s="716"/>
      <c r="B183" s="714"/>
      <c r="C183" s="713"/>
      <c r="D183" s="713"/>
      <c r="E183" s="713"/>
      <c r="F183" s="715"/>
      <c r="G183" s="2767" t="s">
        <v>2477</v>
      </c>
      <c r="H183" s="2767"/>
      <c r="I183" s="2767"/>
      <c r="J183" s="2767"/>
      <c r="K183" s="2767"/>
      <c r="L183" s="2768"/>
      <c r="M183" s="1" t="s">
        <v>2730</v>
      </c>
      <c r="N183" s="1" t="s">
        <v>2731</v>
      </c>
      <c r="O183" s="8">
        <f>0.25-0.02</f>
        <v>0.23</v>
      </c>
      <c r="P183" s="143"/>
      <c r="Q183" s="143"/>
      <c r="R183" s="145"/>
      <c r="S183" s="145"/>
      <c r="T183" s="346"/>
      <c r="U183" s="145"/>
      <c r="V183" s="142"/>
      <c r="W183" s="142"/>
    </row>
    <row r="184" spans="1:23" ht="68.25" customHeight="1" x14ac:dyDescent="0.25">
      <c r="A184" s="748"/>
      <c r="B184" s="743"/>
      <c r="C184" s="744"/>
      <c r="D184" s="744"/>
      <c r="E184" s="744"/>
      <c r="F184" s="749"/>
      <c r="G184" s="1" t="s">
        <v>2760</v>
      </c>
      <c r="H184" s="1" t="s">
        <v>2761</v>
      </c>
      <c r="I184" s="1" t="s">
        <v>2816</v>
      </c>
      <c r="J184" s="1">
        <f>0.083-0.023</f>
        <v>6.0000000000000005E-2</v>
      </c>
      <c r="K184" s="143"/>
      <c r="L184" s="142"/>
      <c r="M184" s="1495"/>
      <c r="N184" s="1667"/>
      <c r="O184" s="1"/>
      <c r="P184" s="143"/>
      <c r="Q184" s="143"/>
      <c r="R184" s="145"/>
      <c r="S184" s="145"/>
      <c r="T184" s="346"/>
      <c r="U184" s="145"/>
      <c r="V184" s="142"/>
      <c r="W184" s="142"/>
    </row>
    <row r="185" spans="1:23" ht="75" x14ac:dyDescent="0.25">
      <c r="A185" s="748"/>
      <c r="B185" s="743"/>
      <c r="C185" s="744"/>
      <c r="D185" s="744"/>
      <c r="E185" s="744"/>
      <c r="F185" s="749"/>
      <c r="G185" s="1" t="s">
        <v>2778</v>
      </c>
      <c r="H185" s="1" t="s">
        <v>2779</v>
      </c>
      <c r="I185" s="1" t="s">
        <v>2824</v>
      </c>
      <c r="J185" s="1">
        <v>0.1</v>
      </c>
      <c r="K185" s="143"/>
      <c r="L185" s="142"/>
      <c r="M185" s="1"/>
      <c r="N185" s="1"/>
      <c r="O185" s="1"/>
      <c r="P185" s="143"/>
      <c r="Q185" s="143"/>
      <c r="R185" s="145"/>
      <c r="S185" s="145"/>
      <c r="T185" s="346"/>
      <c r="U185" s="145"/>
      <c r="V185" s="142"/>
      <c r="W185" s="142"/>
    </row>
    <row r="186" spans="1:23" ht="15" customHeight="1" x14ac:dyDescent="0.25">
      <c r="A186" s="878"/>
      <c r="B186" s="875"/>
      <c r="C186" s="874"/>
      <c r="D186" s="874"/>
      <c r="E186" s="874"/>
      <c r="F186" s="879"/>
      <c r="G186" s="2580" t="s">
        <v>3024</v>
      </c>
      <c r="H186" s="2580"/>
      <c r="I186" s="2580"/>
      <c r="J186" s="895">
        <v>0.1898</v>
      </c>
      <c r="K186" s="151"/>
      <c r="L186" s="149"/>
      <c r="M186" s="19"/>
      <c r="N186" s="20"/>
      <c r="O186" s="24"/>
      <c r="P186" s="151"/>
      <c r="Q186" s="151"/>
      <c r="R186" s="118"/>
      <c r="S186" s="789"/>
      <c r="T186" s="730"/>
      <c r="U186" s="75"/>
      <c r="V186" s="149"/>
      <c r="W186" s="149"/>
    </row>
    <row r="187" spans="1:23" ht="15" customHeight="1" x14ac:dyDescent="0.25">
      <c r="A187" s="1022"/>
      <c r="B187" s="1020"/>
      <c r="C187" s="1021"/>
      <c r="D187" s="1021"/>
      <c r="E187" s="1021"/>
      <c r="F187" s="1019"/>
      <c r="G187" s="2767" t="s">
        <v>3020</v>
      </c>
      <c r="H187" s="2767"/>
      <c r="I187" s="2767"/>
      <c r="J187" s="2767"/>
      <c r="K187" s="2767"/>
      <c r="L187" s="2768"/>
      <c r="M187" s="19"/>
      <c r="N187" s="20"/>
      <c r="O187" s="24"/>
      <c r="P187" s="151"/>
      <c r="Q187" s="151"/>
      <c r="R187" s="118"/>
      <c r="S187" s="789"/>
      <c r="T187" s="730"/>
      <c r="U187" s="75"/>
      <c r="V187" s="149"/>
      <c r="W187" s="149"/>
    </row>
    <row r="188" spans="1:23" ht="93.75" customHeight="1" x14ac:dyDescent="0.25">
      <c r="A188" s="1022"/>
      <c r="B188" s="1020"/>
      <c r="C188" s="1021"/>
      <c r="D188" s="1021"/>
      <c r="E188" s="1021"/>
      <c r="F188" s="1019"/>
      <c r="G188" s="1" t="s">
        <v>3064</v>
      </c>
      <c r="H188" s="1" t="s">
        <v>3065</v>
      </c>
      <c r="I188" s="20" t="s">
        <v>3076</v>
      </c>
      <c r="J188" s="20">
        <f>0.1*0.75</f>
        <v>7.5000000000000011E-2</v>
      </c>
      <c r="K188" s="151"/>
      <c r="L188" s="149"/>
      <c r="M188" s="19"/>
      <c r="N188" s="20"/>
      <c r="O188" s="24"/>
      <c r="P188" s="151"/>
      <c r="Q188" s="151"/>
      <c r="R188" s="118"/>
      <c r="S188" s="789"/>
      <c r="T188" s="730"/>
      <c r="U188" s="75"/>
      <c r="V188" s="149"/>
      <c r="W188" s="149"/>
    </row>
    <row r="189" spans="1:23" ht="24" customHeight="1" x14ac:dyDescent="0.25">
      <c r="A189" s="1765"/>
      <c r="B189" s="1748"/>
      <c r="C189" s="1749"/>
      <c r="D189" s="1749"/>
      <c r="E189" s="1749"/>
      <c r="F189" s="1747"/>
      <c r="G189" s="2767" t="s">
        <v>3447</v>
      </c>
      <c r="H189" s="2767"/>
      <c r="I189" s="2767"/>
      <c r="J189" s="2767"/>
      <c r="K189" s="2767"/>
      <c r="L189" s="2768"/>
      <c r="M189" s="1735"/>
      <c r="N189" s="1737"/>
      <c r="O189" s="1734"/>
      <c r="P189" s="1757"/>
      <c r="Q189" s="1757"/>
      <c r="R189" s="118"/>
      <c r="S189" s="1740"/>
      <c r="T189" s="730"/>
      <c r="U189" s="75"/>
      <c r="V189" s="149"/>
      <c r="W189" s="149"/>
    </row>
    <row r="190" spans="1:23" ht="47.25" customHeight="1" x14ac:dyDescent="0.25">
      <c r="A190" s="1765"/>
      <c r="B190" s="1748"/>
      <c r="C190" s="1749"/>
      <c r="D190" s="1749"/>
      <c r="E190" s="1749"/>
      <c r="F190" s="1747"/>
      <c r="G190" s="1732" t="s">
        <v>15308</v>
      </c>
      <c r="H190" s="1732" t="s">
        <v>15309</v>
      </c>
      <c r="I190" s="130" t="s">
        <v>16871</v>
      </c>
      <c r="J190" s="130">
        <f>0.1*0.75</f>
        <v>7.5000000000000011E-2</v>
      </c>
      <c r="K190" s="149"/>
      <c r="L190" s="149"/>
      <c r="M190" s="1735"/>
      <c r="N190" s="1737"/>
      <c r="O190" s="1734"/>
      <c r="P190" s="1757"/>
      <c r="Q190" s="1757"/>
      <c r="R190" s="118"/>
      <c r="S190" s="1740"/>
      <c r="T190" s="730"/>
      <c r="U190" s="75"/>
      <c r="V190" s="149"/>
      <c r="W190" s="149"/>
    </row>
    <row r="191" spans="1:23" ht="47.25" customHeight="1" x14ac:dyDescent="0.25">
      <c r="A191" s="1969"/>
      <c r="B191" s="1958"/>
      <c r="C191" s="1959"/>
      <c r="D191" s="1959"/>
      <c r="E191" s="1959"/>
      <c r="F191" s="1962"/>
      <c r="G191" s="2679" t="s">
        <v>3401</v>
      </c>
      <c r="H191" s="2680"/>
      <c r="I191" s="2681"/>
      <c r="J191" s="1961">
        <f>0.2538*0.9</f>
        <v>0.22842000000000004</v>
      </c>
      <c r="K191" s="149"/>
      <c r="L191" s="149"/>
      <c r="M191" s="1950"/>
      <c r="N191" s="1949"/>
      <c r="O191" s="1951"/>
      <c r="P191" s="1963"/>
      <c r="Q191" s="1963"/>
      <c r="R191" s="118"/>
      <c r="S191" s="1946"/>
      <c r="T191" s="730"/>
      <c r="U191" s="75"/>
      <c r="V191" s="149"/>
      <c r="W191" s="149"/>
    </row>
    <row r="192" spans="1:23" ht="47.25" customHeight="1" x14ac:dyDescent="0.25">
      <c r="A192" s="2163"/>
      <c r="B192" s="2145"/>
      <c r="C192" s="2146"/>
      <c r="D192" s="2146"/>
      <c r="E192" s="2146"/>
      <c r="F192" s="2156"/>
      <c r="G192" s="2767" t="s">
        <v>17005</v>
      </c>
      <c r="H192" s="2767"/>
      <c r="I192" s="2767"/>
      <c r="J192" s="2767"/>
      <c r="K192" s="2767"/>
      <c r="L192" s="2768"/>
      <c r="M192" s="2136"/>
      <c r="N192" s="2137"/>
      <c r="O192" s="2141"/>
      <c r="P192" s="2157"/>
      <c r="Q192" s="2157"/>
      <c r="R192" s="118"/>
      <c r="S192" s="2140"/>
      <c r="T192" s="730"/>
      <c r="U192" s="75"/>
      <c r="V192" s="149"/>
      <c r="W192" s="149"/>
    </row>
    <row r="193" spans="1:23" ht="47.25" customHeight="1" x14ac:dyDescent="0.25">
      <c r="A193" s="2163"/>
      <c r="B193" s="2145"/>
      <c r="C193" s="2146"/>
      <c r="D193" s="2146"/>
      <c r="E193" s="2146"/>
      <c r="F193" s="2156"/>
      <c r="G193" s="2138" t="s">
        <v>19960</v>
      </c>
      <c r="H193" s="2138" t="s">
        <v>19961</v>
      </c>
      <c r="I193" s="2137" t="s">
        <v>19962</v>
      </c>
      <c r="J193" s="1656">
        <f>0.1322*0.9</f>
        <v>0.11898000000000002</v>
      </c>
      <c r="K193" s="149"/>
      <c r="L193" s="149"/>
      <c r="M193" s="2136"/>
      <c r="N193" s="2137"/>
      <c r="O193" s="2141"/>
      <c r="P193" s="2157"/>
      <c r="Q193" s="2157"/>
      <c r="R193" s="118"/>
      <c r="S193" s="2140"/>
      <c r="T193" s="730"/>
      <c r="U193" s="75"/>
      <c r="V193" s="149"/>
      <c r="W193" s="149"/>
    </row>
    <row r="194" spans="1:23" ht="47.25" customHeight="1" x14ac:dyDescent="0.25">
      <c r="A194" s="2245"/>
      <c r="B194" s="2221"/>
      <c r="C194" s="2222"/>
      <c r="D194" s="2222"/>
      <c r="E194" s="2222"/>
      <c r="F194" s="2234"/>
      <c r="G194" s="2679" t="s">
        <v>3401</v>
      </c>
      <c r="H194" s="2680"/>
      <c r="I194" s="2681"/>
      <c r="J194" s="1961">
        <f>0.2254*0.9</f>
        <v>0.20285999999999998</v>
      </c>
      <c r="K194" s="149"/>
      <c r="L194" s="149"/>
      <c r="M194" s="2198"/>
      <c r="N194" s="2199"/>
      <c r="O194" s="2210"/>
      <c r="P194" s="2235"/>
      <c r="Q194" s="2235"/>
      <c r="R194" s="118"/>
      <c r="S194" s="2204"/>
      <c r="T194" s="730"/>
      <c r="U194" s="75"/>
      <c r="V194" s="149"/>
      <c r="W194" s="149"/>
    </row>
    <row r="195" spans="1:23" ht="15.75" customHeight="1" thickBot="1" x14ac:dyDescent="0.3">
      <c r="A195" s="406"/>
      <c r="B195" s="395"/>
      <c r="C195" s="396"/>
      <c r="D195" s="396"/>
      <c r="E195" s="396"/>
      <c r="F195" s="397"/>
      <c r="G195" s="2861" t="s">
        <v>1833</v>
      </c>
      <c r="H195" s="2861"/>
      <c r="I195" s="2862"/>
      <c r="J195" s="25">
        <f>SUM(J188:J194)</f>
        <v>0.7002600000000001</v>
      </c>
      <c r="K195" s="93">
        <v>0.92</v>
      </c>
      <c r="L195" s="25">
        <f>J195/K195</f>
        <v>0.76115217391304357</v>
      </c>
      <c r="M195" s="2873" t="s">
        <v>1834</v>
      </c>
      <c r="N195" s="2862"/>
      <c r="O195" s="25">
        <f>SUM(O178:O184)</f>
        <v>0.34600000000000003</v>
      </c>
      <c r="P195" s="93">
        <v>0.92</v>
      </c>
      <c r="Q195" s="25">
        <f>O195/P195</f>
        <v>0.37608695652173912</v>
      </c>
      <c r="R195" s="2873" t="s">
        <v>1833</v>
      </c>
      <c r="S195" s="2861"/>
      <c r="T195" s="2862"/>
      <c r="U195" s="25">
        <f>SUM(U182:U182)</f>
        <v>0</v>
      </c>
      <c r="V195" s="93">
        <v>0.92</v>
      </c>
      <c r="W195" s="25">
        <f>U195/V195</f>
        <v>0</v>
      </c>
    </row>
    <row r="196" spans="1:23" x14ac:dyDescent="0.25">
      <c r="A196" s="2879" t="str">
        <f>Итоговая!C415</f>
        <v xml:space="preserve">ПС 110/35/10 кВ Торжок  </v>
      </c>
      <c r="B196" s="2689">
        <f>Итоговая!D415</f>
        <v>40</v>
      </c>
      <c r="C196" s="2691" t="str">
        <f>Итоговая!E415</f>
        <v>+</v>
      </c>
      <c r="D196" s="2691">
        <f>Итоговая!F415</f>
        <v>40</v>
      </c>
      <c r="E196" s="2691"/>
      <c r="F196" s="2687"/>
      <c r="G196" s="2648" t="s">
        <v>1960</v>
      </c>
      <c r="H196" s="2858"/>
      <c r="I196" s="2858"/>
      <c r="J196" s="2858"/>
      <c r="K196" s="2858"/>
      <c r="L196" s="2859"/>
      <c r="M196" s="164"/>
      <c r="N196" s="166"/>
      <c r="O196" s="74"/>
      <c r="P196" s="74"/>
      <c r="Q196" s="74"/>
      <c r="R196" s="2647" t="s">
        <v>1960</v>
      </c>
      <c r="S196" s="2858"/>
      <c r="T196" s="2858"/>
      <c r="U196" s="2858"/>
      <c r="V196" s="2858"/>
      <c r="W196" s="2859"/>
    </row>
    <row r="197" spans="1:23" ht="42" customHeight="1" thickBot="1" x14ac:dyDescent="0.3">
      <c r="A197" s="2880"/>
      <c r="B197" s="2690"/>
      <c r="C197" s="2692"/>
      <c r="D197" s="2692"/>
      <c r="E197" s="2692"/>
      <c r="F197" s="2688"/>
      <c r="G197" s="89" t="s">
        <v>840</v>
      </c>
      <c r="H197" s="79" t="s">
        <v>841</v>
      </c>
      <c r="I197" s="79" t="s">
        <v>842</v>
      </c>
      <c r="J197" s="79">
        <v>4.6500000000000004</v>
      </c>
      <c r="K197" s="79"/>
      <c r="L197" s="76"/>
      <c r="O197" s="79"/>
      <c r="P197" s="79"/>
      <c r="Q197" s="79"/>
      <c r="R197" s="79"/>
      <c r="S197" s="79"/>
      <c r="T197" s="79"/>
      <c r="U197" s="79"/>
      <c r="V197" s="79"/>
      <c r="W197" s="76"/>
    </row>
    <row r="198" spans="1:23" ht="48" customHeight="1" x14ac:dyDescent="0.25">
      <c r="A198" s="528"/>
      <c r="B198" s="511"/>
      <c r="C198" s="499"/>
      <c r="D198" s="499"/>
      <c r="E198" s="499"/>
      <c r="F198" s="510"/>
      <c r="G198" s="2648" t="s">
        <v>3020</v>
      </c>
      <c r="H198" s="2858"/>
      <c r="I198" s="2858"/>
      <c r="J198" s="2858"/>
      <c r="K198" s="2858"/>
      <c r="L198" s="2859"/>
      <c r="M198" s="8" t="s">
        <v>845</v>
      </c>
      <c r="N198" s="8" t="s">
        <v>846</v>
      </c>
      <c r="O198" s="8">
        <v>0.05</v>
      </c>
      <c r="P198" s="8"/>
      <c r="Q198" s="8"/>
      <c r="R198" s="340" t="s">
        <v>843</v>
      </c>
      <c r="S198" s="340" t="s">
        <v>844</v>
      </c>
      <c r="T198" s="347" t="s">
        <v>2482</v>
      </c>
      <c r="U198" s="347">
        <v>4.2000000000000003E-2</v>
      </c>
      <c r="V198" s="347"/>
      <c r="W198" s="355"/>
    </row>
    <row r="199" spans="1:23" ht="57.75" customHeight="1" x14ac:dyDescent="0.25">
      <c r="A199" s="528"/>
      <c r="B199" s="511"/>
      <c r="C199" s="499"/>
      <c r="D199" s="499"/>
      <c r="E199" s="499"/>
      <c r="F199" s="510"/>
      <c r="G199" s="1" t="s">
        <v>3008</v>
      </c>
      <c r="H199" s="1495" t="s">
        <v>3071</v>
      </c>
      <c r="I199" s="1" t="s">
        <v>3139</v>
      </c>
      <c r="J199" s="8">
        <f>0.095*0.9</f>
        <v>8.5500000000000007E-2</v>
      </c>
      <c r="K199" s="8"/>
      <c r="L199" s="145"/>
      <c r="M199" s="8"/>
      <c r="N199" s="1"/>
      <c r="O199" s="8"/>
      <c r="P199" s="8"/>
      <c r="Q199" s="8"/>
      <c r="R199" s="8"/>
      <c r="S199" s="8"/>
      <c r="T199" s="8"/>
      <c r="U199" s="8"/>
      <c r="V199" s="8"/>
      <c r="W199" s="145"/>
    </row>
    <row r="200" spans="1:23" ht="34.5" customHeight="1" x14ac:dyDescent="0.25">
      <c r="A200" s="748"/>
      <c r="B200" s="743"/>
      <c r="C200" s="744"/>
      <c r="D200" s="744"/>
      <c r="E200" s="744"/>
      <c r="F200" s="749"/>
      <c r="G200" s="2699"/>
      <c r="H200" s="2620"/>
      <c r="I200" s="2870"/>
      <c r="J200" s="75"/>
      <c r="K200" s="75"/>
      <c r="L200" s="75"/>
      <c r="M200" s="1" t="s">
        <v>2781</v>
      </c>
      <c r="N200" s="1" t="s">
        <v>2782</v>
      </c>
      <c r="O200" s="8">
        <f>0.106-0.106</f>
        <v>0</v>
      </c>
      <c r="P200" s="8"/>
      <c r="Q200" s="8"/>
      <c r="R200" s="8"/>
      <c r="S200" s="8"/>
      <c r="T200" s="8"/>
      <c r="U200" s="8"/>
      <c r="V200" s="8"/>
      <c r="W200" s="145"/>
    </row>
    <row r="201" spans="1:23" ht="62.25" customHeight="1" x14ac:dyDescent="0.25">
      <c r="A201" s="878"/>
      <c r="B201" s="875"/>
      <c r="C201" s="874"/>
      <c r="D201" s="874"/>
      <c r="E201" s="874"/>
      <c r="F201" s="879"/>
      <c r="G201" s="2875" t="s">
        <v>3447</v>
      </c>
      <c r="H201" s="2863"/>
      <c r="I201" s="2863"/>
      <c r="J201" s="2863"/>
      <c r="K201" s="2863"/>
      <c r="L201" s="2864"/>
      <c r="M201" s="1" t="s">
        <v>3008</v>
      </c>
      <c r="N201" s="1839" t="s">
        <v>2782</v>
      </c>
      <c r="O201" s="8">
        <v>9.5000000000000001E-2</v>
      </c>
      <c r="P201" s="8"/>
      <c r="Q201" s="8"/>
      <c r="R201" s="8"/>
      <c r="S201" s="8"/>
      <c r="T201" s="8"/>
      <c r="U201" s="8"/>
      <c r="V201" s="8"/>
      <c r="W201" s="145"/>
    </row>
    <row r="202" spans="1:23" ht="62.25" customHeight="1" thickBot="1" x14ac:dyDescent="0.3">
      <c r="A202" s="1009"/>
      <c r="B202" s="1006"/>
      <c r="C202" s="1007"/>
      <c r="D202" s="1007"/>
      <c r="E202" s="1007"/>
      <c r="F202" s="1008"/>
      <c r="G202" s="1289" t="s">
        <v>2916</v>
      </c>
      <c r="H202" s="1289" t="s">
        <v>3386</v>
      </c>
      <c r="I202" s="1289" t="s">
        <v>3496</v>
      </c>
      <c r="J202" s="1289">
        <v>6.5000000000000002E-2</v>
      </c>
      <c r="K202" s="8"/>
      <c r="L202" s="145"/>
      <c r="M202" s="1" t="s">
        <v>3043</v>
      </c>
      <c r="N202" s="1" t="s">
        <v>3044</v>
      </c>
      <c r="O202" s="8">
        <f>0.06</f>
        <v>0.06</v>
      </c>
      <c r="P202" s="8"/>
      <c r="Q202" s="8"/>
      <c r="R202" s="8"/>
      <c r="S202" s="8"/>
      <c r="T202" s="8"/>
      <c r="U202" s="8"/>
      <c r="V202" s="8"/>
      <c r="W202" s="145"/>
    </row>
    <row r="203" spans="1:23" ht="62.25" customHeight="1" x14ac:dyDescent="0.25">
      <c r="A203" s="1009"/>
      <c r="B203" s="1006"/>
      <c r="C203" s="1007"/>
      <c r="D203" s="1007"/>
      <c r="E203" s="1007"/>
      <c r="F203" s="1008"/>
      <c r="G203" s="2875" t="s">
        <v>17005</v>
      </c>
      <c r="H203" s="2863"/>
      <c r="I203" s="2863"/>
      <c r="J203" s="2863"/>
      <c r="K203" s="2863"/>
      <c r="L203" s="2864"/>
      <c r="M203" s="17" t="s">
        <v>15307</v>
      </c>
      <c r="N203" s="17" t="s">
        <v>16809</v>
      </c>
      <c r="O203" s="17">
        <v>2.5000000000000001E-2</v>
      </c>
      <c r="P203" s="8"/>
      <c r="Q203" s="8"/>
      <c r="R203" s="8"/>
      <c r="S203" s="8"/>
      <c r="T203" s="8"/>
      <c r="U203" s="8"/>
      <c r="V203" s="8"/>
      <c r="W203" s="145"/>
    </row>
    <row r="204" spans="1:23" ht="62.25" customHeight="1" x14ac:dyDescent="0.25">
      <c r="A204" s="1253"/>
      <c r="B204" s="1243"/>
      <c r="C204" s="1244"/>
      <c r="D204" s="1244"/>
      <c r="E204" s="1244"/>
      <c r="F204" s="1242"/>
      <c r="G204" s="2076" t="s">
        <v>19878</v>
      </c>
      <c r="H204" s="2076" t="s">
        <v>19879</v>
      </c>
      <c r="I204" s="2076" t="s">
        <v>19880</v>
      </c>
      <c r="J204" s="1970">
        <f>0.05*0.9</f>
        <v>4.5000000000000005E-2</v>
      </c>
      <c r="K204" s="1970"/>
      <c r="L204" s="1970"/>
      <c r="M204" s="1839" t="s">
        <v>3460</v>
      </c>
      <c r="N204" s="1839" t="s">
        <v>3461</v>
      </c>
      <c r="O204" s="1855">
        <f>0.1-0.015</f>
        <v>8.5000000000000006E-2</v>
      </c>
      <c r="P204" s="1855"/>
      <c r="Q204" s="1855"/>
      <c r="R204" s="1855"/>
      <c r="S204" s="1855"/>
      <c r="T204" s="1855"/>
      <c r="U204" s="1855"/>
      <c r="V204" s="1855"/>
      <c r="W204" s="1857"/>
    </row>
    <row r="205" spans="1:23" ht="62.25" customHeight="1" x14ac:dyDescent="0.25">
      <c r="A205" s="1726"/>
      <c r="B205" s="1712"/>
      <c r="C205" s="1713"/>
      <c r="D205" s="1713"/>
      <c r="E205" s="1713"/>
      <c r="F205" s="1718"/>
      <c r="G205" s="2138" t="s">
        <v>19960</v>
      </c>
      <c r="H205" s="2138" t="s">
        <v>19961</v>
      </c>
      <c r="I205" s="2137" t="s">
        <v>19962</v>
      </c>
      <c r="J205" s="1656">
        <f>0.1322*0.9</f>
        <v>0.11898000000000002</v>
      </c>
      <c r="K205" s="1656"/>
      <c r="L205" s="75"/>
      <c r="M205" s="1839" t="s">
        <v>15307</v>
      </c>
      <c r="N205" s="1839" t="s">
        <v>16810</v>
      </c>
      <c r="O205" s="1839">
        <v>2.5000000000000001E-2</v>
      </c>
      <c r="P205" s="1855"/>
      <c r="Q205" s="1855"/>
      <c r="R205" s="1855"/>
      <c r="S205" s="1855"/>
      <c r="T205" s="1855"/>
      <c r="U205" s="1855"/>
      <c r="V205" s="1855"/>
      <c r="W205" s="1857"/>
    </row>
    <row r="206" spans="1:23" ht="62.25" customHeight="1" x14ac:dyDescent="0.25">
      <c r="A206" s="1726"/>
      <c r="B206" s="1712"/>
      <c r="C206" s="1713"/>
      <c r="D206" s="1713"/>
      <c r="E206" s="1713"/>
      <c r="F206" s="1718"/>
      <c r="G206" s="2170" t="s">
        <v>20001</v>
      </c>
      <c r="H206" s="2170" t="s">
        <v>20002</v>
      </c>
      <c r="I206" s="2171" t="s">
        <v>20003</v>
      </c>
      <c r="J206" s="1656">
        <f>0.0398*0.9</f>
        <v>3.5820000000000005E-2</v>
      </c>
      <c r="K206" s="1656"/>
      <c r="L206" s="75"/>
      <c r="M206" s="1839" t="s">
        <v>16814</v>
      </c>
      <c r="N206" s="1839" t="s">
        <v>16815</v>
      </c>
      <c r="O206" s="1839">
        <v>0.03</v>
      </c>
      <c r="P206" s="1855"/>
      <c r="Q206" s="1855"/>
      <c r="R206" s="1855"/>
      <c r="S206" s="1855"/>
      <c r="T206" s="1855"/>
      <c r="U206" s="1855"/>
      <c r="V206" s="1855"/>
      <c r="W206" s="1857"/>
    </row>
    <row r="207" spans="1:23" ht="62.25" customHeight="1" x14ac:dyDescent="0.25">
      <c r="A207" s="1856"/>
      <c r="B207" s="1845"/>
      <c r="C207" s="1846"/>
      <c r="D207" s="1846"/>
      <c r="E207" s="1846"/>
      <c r="F207" s="1851"/>
      <c r="G207" s="2275" t="s">
        <v>20193</v>
      </c>
      <c r="H207" s="2275" t="s">
        <v>20194</v>
      </c>
      <c r="I207" s="2276" t="s">
        <v>20195</v>
      </c>
      <c r="J207" s="1656">
        <f>0.35*0.75</f>
        <v>0.26249999999999996</v>
      </c>
      <c r="K207" s="1656"/>
      <c r="L207" s="75"/>
      <c r="M207" s="1839" t="s">
        <v>16956</v>
      </c>
      <c r="N207" s="1839" t="s">
        <v>16957</v>
      </c>
      <c r="O207" s="1839">
        <f>0.45-0.1</f>
        <v>0.35</v>
      </c>
      <c r="P207" s="1855"/>
      <c r="Q207" s="1855"/>
      <c r="R207" s="1855"/>
      <c r="S207" s="1855"/>
      <c r="T207" s="1855"/>
      <c r="U207" s="1855"/>
      <c r="V207" s="1855"/>
      <c r="W207" s="1857"/>
    </row>
    <row r="208" spans="1:23" ht="21.75" customHeight="1" thickBot="1" x14ac:dyDescent="0.3">
      <c r="A208" s="406"/>
      <c r="B208" s="395"/>
      <c r="C208" s="396"/>
      <c r="D208" s="396"/>
      <c r="E208" s="396"/>
      <c r="F208" s="397"/>
      <c r="G208" s="2861" t="s">
        <v>1833</v>
      </c>
      <c r="H208" s="2861"/>
      <c r="I208" s="2862"/>
      <c r="J208" s="25">
        <f>SUM(J199:J207)</f>
        <v>0.61280000000000001</v>
      </c>
      <c r="K208" s="93">
        <v>0.92</v>
      </c>
      <c r="L208" s="25">
        <f>J208/K208</f>
        <v>0.6660869565217391</v>
      </c>
      <c r="M208" s="2873" t="s">
        <v>1834</v>
      </c>
      <c r="N208" s="2862"/>
      <c r="O208" s="25">
        <f>SUM(O197:O207)</f>
        <v>0.72</v>
      </c>
      <c r="P208" s="93">
        <v>0.92</v>
      </c>
      <c r="Q208" s="25">
        <f>O208/P208</f>
        <v>0.78260869565217384</v>
      </c>
      <c r="R208" s="2873" t="s">
        <v>1833</v>
      </c>
      <c r="S208" s="2861"/>
      <c r="T208" s="2862"/>
      <c r="U208" s="25">
        <f>SUM(U197:U199)</f>
        <v>4.2000000000000003E-2</v>
      </c>
      <c r="V208" s="93">
        <v>0.92</v>
      </c>
      <c r="W208" s="25">
        <f>U208/V208</f>
        <v>4.5652173913043478E-2</v>
      </c>
    </row>
    <row r="209" spans="1:23" ht="30" customHeight="1" x14ac:dyDescent="0.25">
      <c r="A209" s="526" t="str">
        <f>Итоговая!C418</f>
        <v xml:space="preserve">ПС 110/35/10 кВ Стройиндустрия </v>
      </c>
      <c r="B209" s="527">
        <f>Итоговая!D418</f>
        <v>25</v>
      </c>
      <c r="C209" s="508" t="str">
        <f>Итоговая!E418</f>
        <v>+</v>
      </c>
      <c r="D209" s="508">
        <f>Итоговая!F418</f>
        <v>25</v>
      </c>
      <c r="E209" s="508"/>
      <c r="F209" s="509"/>
      <c r="G209" s="2897" t="s">
        <v>2032</v>
      </c>
      <c r="H209" s="2898"/>
      <c r="I209" s="2898"/>
      <c r="J209" s="2898"/>
      <c r="K209" s="2898"/>
      <c r="L209" s="2899"/>
      <c r="M209" s="9"/>
      <c r="N209" s="9"/>
      <c r="O209" s="8"/>
      <c r="P209" s="8"/>
      <c r="Q209" s="8"/>
      <c r="R209" s="1"/>
      <c r="S209" s="1"/>
      <c r="T209" s="17"/>
      <c r="U209" s="8"/>
      <c r="V209" s="8"/>
      <c r="W209" s="145"/>
    </row>
    <row r="210" spans="1:23" ht="30" customHeight="1" x14ac:dyDescent="0.25">
      <c r="A210" s="594"/>
      <c r="B210" s="589"/>
      <c r="C210" s="591"/>
      <c r="D210" s="591"/>
      <c r="E210" s="591"/>
      <c r="F210" s="595"/>
      <c r="G210" s="24" t="s">
        <v>2189</v>
      </c>
      <c r="H210" s="24" t="s">
        <v>2190</v>
      </c>
      <c r="I210" s="24" t="s">
        <v>2348</v>
      </c>
      <c r="J210" s="92">
        <v>0.1</v>
      </c>
      <c r="K210" s="92"/>
      <c r="L210" s="75"/>
      <c r="M210" s="1" t="s">
        <v>3013</v>
      </c>
      <c r="N210" s="1" t="s">
        <v>3014</v>
      </c>
      <c r="O210" s="92">
        <v>3.5999999999999997E-2</v>
      </c>
      <c r="P210" s="92"/>
      <c r="Q210" s="92"/>
      <c r="R210" s="1626" t="s">
        <v>3013</v>
      </c>
      <c r="S210" s="1626" t="s">
        <v>3251</v>
      </c>
      <c r="T210" s="1626" t="s">
        <v>16750</v>
      </c>
      <c r="U210" s="1653">
        <v>3.7999999999999999E-2</v>
      </c>
      <c r="V210" s="92"/>
      <c r="W210" s="75"/>
    </row>
    <row r="211" spans="1:23" ht="30" customHeight="1" x14ac:dyDescent="0.25">
      <c r="A211" s="827"/>
      <c r="B211" s="826"/>
      <c r="C211" s="824"/>
      <c r="D211" s="824"/>
      <c r="E211" s="824"/>
      <c r="F211" s="828"/>
      <c r="G211" s="2759" t="s">
        <v>2477</v>
      </c>
      <c r="H211" s="2860"/>
      <c r="I211" s="2860"/>
      <c r="J211" s="2860"/>
      <c r="K211" s="2860"/>
      <c r="L211" s="2860"/>
      <c r="M211" s="1" t="s">
        <v>2468</v>
      </c>
      <c r="N211" s="1" t="s">
        <v>3113</v>
      </c>
      <c r="O211" s="8">
        <f>0.036-0.01748</f>
        <v>1.8519999999999998E-2</v>
      </c>
      <c r="P211" s="92"/>
      <c r="Q211" s="92"/>
      <c r="R211" s="1626"/>
      <c r="S211" s="1626"/>
      <c r="T211" s="1626"/>
      <c r="U211" s="1653"/>
      <c r="V211" s="92"/>
      <c r="W211" s="75"/>
    </row>
    <row r="212" spans="1:23" ht="30" customHeight="1" x14ac:dyDescent="0.25">
      <c r="A212" s="827"/>
      <c r="B212" s="826"/>
      <c r="C212" s="824"/>
      <c r="D212" s="824"/>
      <c r="E212" s="824"/>
      <c r="F212" s="828"/>
      <c r="G212" s="24" t="s">
        <v>2696</v>
      </c>
      <c r="H212" s="24" t="s">
        <v>2887</v>
      </c>
      <c r="I212" s="20" t="s">
        <v>2921</v>
      </c>
      <c r="J212" s="92">
        <v>0.04</v>
      </c>
      <c r="K212" s="92"/>
      <c r="L212" s="75"/>
      <c r="M212" s="1574"/>
      <c r="N212" s="1574"/>
      <c r="O212" s="1583"/>
      <c r="P212" s="1350"/>
      <c r="Q212" s="1350"/>
      <c r="R212" s="1626"/>
      <c r="S212" s="1626"/>
      <c r="T212" s="1626"/>
      <c r="U212" s="1653"/>
      <c r="V212" s="92"/>
      <c r="W212" s="75"/>
    </row>
    <row r="213" spans="1:23" ht="30" customHeight="1" x14ac:dyDescent="0.25">
      <c r="A213" s="1022"/>
      <c r="B213" s="1020"/>
      <c r="C213" s="1021"/>
      <c r="D213" s="1021"/>
      <c r="E213" s="1021"/>
      <c r="F213" s="1019"/>
      <c r="G213" s="2759" t="s">
        <v>3020</v>
      </c>
      <c r="H213" s="2860"/>
      <c r="I213" s="2860"/>
      <c r="J213" s="2860"/>
      <c r="K213" s="2860"/>
      <c r="L213" s="2860"/>
      <c r="M213" s="1495" t="s">
        <v>15295</v>
      </c>
      <c r="N213" s="1495" t="s">
        <v>15297</v>
      </c>
      <c r="O213" s="1350">
        <f>0.45-0.07</f>
        <v>0.38</v>
      </c>
      <c r="P213" s="1350"/>
      <c r="Q213" s="1350"/>
      <c r="R213" s="1626"/>
      <c r="S213" s="1626"/>
      <c r="T213" s="1626"/>
      <c r="U213" s="1653"/>
      <c r="V213" s="92"/>
      <c r="W213" s="75"/>
    </row>
    <row r="214" spans="1:23" ht="30" customHeight="1" x14ac:dyDescent="0.25">
      <c r="A214" s="1022"/>
      <c r="B214" s="1020"/>
      <c r="C214" s="1021"/>
      <c r="D214" s="1021"/>
      <c r="E214" s="1021"/>
      <c r="F214" s="1019"/>
      <c r="G214" s="9" t="s">
        <v>2511</v>
      </c>
      <c r="H214" s="9" t="s">
        <v>2513</v>
      </c>
      <c r="I214" s="20" t="s">
        <v>3085</v>
      </c>
      <c r="J214" s="8">
        <f>0.044-0.01748</f>
        <v>2.6519999999999998E-2</v>
      </c>
      <c r="K214" s="92"/>
      <c r="L214" s="75"/>
      <c r="M214" s="1696" t="s">
        <v>15296</v>
      </c>
      <c r="N214" s="1696" t="s">
        <v>16772</v>
      </c>
      <c r="O214" s="1350">
        <f>0.1-0.015</f>
        <v>8.5000000000000006E-2</v>
      </c>
      <c r="P214" s="1350"/>
      <c r="Q214" s="1350"/>
      <c r="R214" s="1626"/>
      <c r="S214" s="1626"/>
      <c r="T214" s="1626"/>
      <c r="U214" s="1653"/>
      <c r="V214" s="92"/>
      <c r="W214" s="75"/>
    </row>
    <row r="215" spans="1:23" ht="30" customHeight="1" x14ac:dyDescent="0.25">
      <c r="A215" s="1131"/>
      <c r="B215" s="1127"/>
      <c r="C215" s="1128"/>
      <c r="D215" s="1128"/>
      <c r="E215" s="1128"/>
      <c r="F215" s="1126"/>
      <c r="G215" s="1"/>
      <c r="H215" s="20"/>
      <c r="I215" s="20"/>
      <c r="J215" s="92"/>
      <c r="K215" s="92"/>
      <c r="L215" s="75"/>
      <c r="M215" s="1696" t="s">
        <v>16790</v>
      </c>
      <c r="N215" s="1696" t="s">
        <v>16791</v>
      </c>
      <c r="O215" s="1350">
        <v>0.04</v>
      </c>
      <c r="P215" s="1350"/>
      <c r="Q215" s="1350"/>
      <c r="R215" s="1626"/>
      <c r="S215" s="1626"/>
      <c r="T215" s="1626"/>
      <c r="U215" s="1653"/>
      <c r="V215" s="92"/>
      <c r="W215" s="75"/>
    </row>
    <row r="216" spans="1:23" ht="30" customHeight="1" x14ac:dyDescent="0.25">
      <c r="A216" s="1193"/>
      <c r="B216" s="1189"/>
      <c r="C216" s="1190"/>
      <c r="D216" s="1190"/>
      <c r="E216" s="1190"/>
      <c r="F216" s="1188"/>
      <c r="G216" s="2624"/>
      <c r="H216" s="2599"/>
      <c r="I216" s="2600"/>
      <c r="J216" s="75"/>
      <c r="K216" s="75"/>
      <c r="L216" s="75"/>
      <c r="M216" s="1332" t="s">
        <v>16963</v>
      </c>
      <c r="N216" s="1332" t="s">
        <v>16964</v>
      </c>
      <c r="O216" s="1350">
        <v>4.99</v>
      </c>
      <c r="P216" s="1350"/>
      <c r="Q216" s="1350"/>
      <c r="R216" s="1626"/>
      <c r="S216" s="1626"/>
      <c r="T216" s="1626"/>
      <c r="U216" s="1653"/>
      <c r="V216" s="92"/>
      <c r="W216" s="75"/>
    </row>
    <row r="217" spans="1:23" ht="30" customHeight="1" x14ac:dyDescent="0.25">
      <c r="A217" s="1351"/>
      <c r="B217" s="1341"/>
      <c r="C217" s="1342"/>
      <c r="D217" s="1342"/>
      <c r="E217" s="1342"/>
      <c r="F217" s="1344"/>
      <c r="G217" s="2759" t="s">
        <v>3447</v>
      </c>
      <c r="H217" s="2860"/>
      <c r="I217" s="2860"/>
      <c r="J217" s="2860"/>
      <c r="K217" s="2860"/>
      <c r="L217" s="2860"/>
      <c r="M217" s="1839" t="s">
        <v>16963</v>
      </c>
      <c r="N217" s="1839" t="s">
        <v>16965</v>
      </c>
      <c r="O217" s="1855">
        <v>5.99</v>
      </c>
      <c r="P217" s="1350"/>
      <c r="Q217" s="1350"/>
      <c r="R217" s="1626"/>
      <c r="S217" s="1626"/>
      <c r="T217" s="1626"/>
      <c r="U217" s="1653"/>
      <c r="V217" s="92"/>
      <c r="W217" s="75"/>
    </row>
    <row r="218" spans="1:23" ht="30" customHeight="1" x14ac:dyDescent="0.25">
      <c r="A218" s="1351"/>
      <c r="B218" s="1341"/>
      <c r="C218" s="1342"/>
      <c r="D218" s="1342"/>
      <c r="E218" s="1342"/>
      <c r="F218" s="1344"/>
      <c r="G218" s="1329" t="s">
        <v>3170</v>
      </c>
      <c r="H218" s="1328" t="s">
        <v>3171</v>
      </c>
      <c r="I218" s="1338" t="s">
        <v>3577</v>
      </c>
      <c r="J218" s="75">
        <f>0.5*0.9</f>
        <v>0.45</v>
      </c>
      <c r="K218" s="75"/>
      <c r="L218" s="75"/>
      <c r="M218" s="1839" t="s">
        <v>16963</v>
      </c>
      <c r="N218" s="1839" t="s">
        <v>16966</v>
      </c>
      <c r="O218" s="1855">
        <v>4.92</v>
      </c>
      <c r="P218" s="1350"/>
      <c r="Q218" s="1350"/>
      <c r="R218" s="1626"/>
      <c r="S218" s="1626"/>
      <c r="T218" s="1626"/>
      <c r="U218" s="1653"/>
      <c r="V218" s="92"/>
      <c r="W218" s="75"/>
    </row>
    <row r="219" spans="1:23" ht="30" customHeight="1" x14ac:dyDescent="0.25">
      <c r="A219" s="1546"/>
      <c r="B219" s="1536"/>
      <c r="C219" s="1537"/>
      <c r="D219" s="1537"/>
      <c r="E219" s="1537"/>
      <c r="F219" s="1539"/>
      <c r="G219" s="1527" t="s">
        <v>15296</v>
      </c>
      <c r="H219" s="1527" t="s">
        <v>15298</v>
      </c>
      <c r="I219" s="1523" t="s">
        <v>16657</v>
      </c>
      <c r="J219" s="75">
        <f>0.085*0.75</f>
        <v>6.3750000000000001E-2</v>
      </c>
      <c r="K219" s="75"/>
      <c r="L219" s="75"/>
      <c r="M219" s="1839"/>
      <c r="N219" s="1839"/>
      <c r="O219" s="1855"/>
      <c r="P219" s="92"/>
      <c r="Q219" s="92"/>
      <c r="R219" s="1626"/>
      <c r="S219" s="1626"/>
      <c r="T219" s="1626"/>
      <c r="U219" s="1653"/>
      <c r="V219" s="92"/>
      <c r="W219" s="75"/>
    </row>
    <row r="220" spans="1:23" ht="30" customHeight="1" x14ac:dyDescent="0.25">
      <c r="A220" s="1584"/>
      <c r="B220" s="1576"/>
      <c r="C220" s="1577"/>
      <c r="D220" s="1577"/>
      <c r="E220" s="1577"/>
      <c r="F220" s="1575"/>
      <c r="G220" s="1574" t="s">
        <v>3013</v>
      </c>
      <c r="H220" s="1574" t="s">
        <v>15294</v>
      </c>
      <c r="I220" s="130" t="s">
        <v>16737</v>
      </c>
      <c r="J220" s="1583">
        <f>0.0837*0.9</f>
        <v>7.5329999999999994E-2</v>
      </c>
      <c r="K220" s="75"/>
      <c r="L220" s="75"/>
      <c r="M220" s="1839"/>
      <c r="N220" s="1839"/>
      <c r="O220" s="1855"/>
      <c r="P220" s="92"/>
      <c r="Q220" s="92"/>
      <c r="R220" s="1626"/>
      <c r="S220" s="1626"/>
      <c r="T220" s="1626"/>
      <c r="U220" s="1653"/>
      <c r="V220" s="92"/>
      <c r="W220" s="75"/>
    </row>
    <row r="221" spans="1:23" ht="30" customHeight="1" x14ac:dyDescent="0.25">
      <c r="A221" s="1654"/>
      <c r="B221" s="1639"/>
      <c r="C221" s="1640"/>
      <c r="D221" s="1640"/>
      <c r="E221" s="1640"/>
      <c r="F221" s="1646"/>
      <c r="G221" s="2624"/>
      <c r="H221" s="2599"/>
      <c r="I221" s="2600"/>
      <c r="J221" s="75"/>
      <c r="K221" s="75"/>
      <c r="L221" s="75"/>
      <c r="M221" s="1839"/>
      <c r="N221" s="1839"/>
      <c r="O221" s="1855"/>
      <c r="P221" s="1656"/>
      <c r="Q221" s="1656"/>
      <c r="R221" s="1626"/>
      <c r="S221" s="1626"/>
      <c r="T221" s="1626"/>
      <c r="U221" s="1653"/>
      <c r="V221" s="1656"/>
      <c r="W221" s="75"/>
    </row>
    <row r="222" spans="1:23" ht="21.75" customHeight="1" thickBot="1" x14ac:dyDescent="0.3">
      <c r="A222" s="406"/>
      <c r="B222" s="395"/>
      <c r="C222" s="396"/>
      <c r="D222" s="396"/>
      <c r="E222" s="396"/>
      <c r="F222" s="397"/>
      <c r="G222" s="2861" t="s">
        <v>1833</v>
      </c>
      <c r="H222" s="2861"/>
      <c r="I222" s="2862"/>
      <c r="J222" s="25">
        <f>SUM(J212:J221)</f>
        <v>0.65559999999999996</v>
      </c>
      <c r="K222" s="93">
        <v>0.92</v>
      </c>
      <c r="L222" s="25">
        <f>J222/K222</f>
        <v>0.71260869565217388</v>
      </c>
      <c r="M222" s="2873" t="s">
        <v>1834</v>
      </c>
      <c r="N222" s="2862"/>
      <c r="O222" s="25">
        <f>SUM(O209:O218)</f>
        <v>16.459519999999998</v>
      </c>
      <c r="P222" s="93">
        <v>0.92</v>
      </c>
      <c r="Q222" s="25">
        <f>O222/P222</f>
        <v>17.890782608695648</v>
      </c>
      <c r="R222" s="2873" t="s">
        <v>1833</v>
      </c>
      <c r="S222" s="2861"/>
      <c r="T222" s="2862"/>
      <c r="U222" s="25">
        <f>SUM(U209:U221)</f>
        <v>3.7999999999999999E-2</v>
      </c>
      <c r="V222" s="93">
        <v>0.92</v>
      </c>
      <c r="W222" s="25">
        <f>U222/V222</f>
        <v>4.1304347826086954E-2</v>
      </c>
    </row>
    <row r="223" spans="1:23" ht="16.5" customHeight="1" x14ac:dyDescent="0.25">
      <c r="A223" s="2879" t="str">
        <f>Итоговая!C421</f>
        <v xml:space="preserve">ПС 110/35/10 кВ Кувшиново  </v>
      </c>
      <c r="B223" s="2689">
        <f>Итоговая!D421</f>
        <v>40</v>
      </c>
      <c r="C223" s="2691" t="str">
        <f>Итоговая!E421</f>
        <v>+</v>
      </c>
      <c r="D223" s="2691">
        <f>Итоговая!F421</f>
        <v>25</v>
      </c>
      <c r="E223" s="2691"/>
      <c r="F223" s="2687"/>
      <c r="G223" s="2648" t="s">
        <v>1961</v>
      </c>
      <c r="H223" s="2858"/>
      <c r="I223" s="2858"/>
      <c r="J223" s="2858"/>
      <c r="K223" s="2858"/>
      <c r="L223" s="2859"/>
      <c r="M223" s="164"/>
      <c r="N223" s="166"/>
      <c r="O223" s="74"/>
      <c r="P223" s="74"/>
      <c r="Q223" s="74"/>
      <c r="R223" s="2644"/>
      <c r="S223" s="2871"/>
      <c r="T223" s="2871"/>
      <c r="U223" s="2871"/>
      <c r="V223" s="2871"/>
      <c r="W223" s="2872"/>
    </row>
    <row r="224" spans="1:23" ht="30" x14ac:dyDescent="0.25">
      <c r="A224" s="2880"/>
      <c r="B224" s="2690"/>
      <c r="C224" s="2692"/>
      <c r="D224" s="2692"/>
      <c r="E224" s="2692"/>
      <c r="F224" s="2688"/>
      <c r="G224" s="700" t="s">
        <v>865</v>
      </c>
      <c r="H224" s="85" t="s">
        <v>866</v>
      </c>
      <c r="I224" s="85" t="s">
        <v>867</v>
      </c>
      <c r="J224" s="85">
        <v>4.8000000000000001E-2</v>
      </c>
      <c r="K224" s="85"/>
      <c r="L224" s="117"/>
      <c r="M224" s="79" t="s">
        <v>1419</v>
      </c>
      <c r="N224" s="79" t="s">
        <v>868</v>
      </c>
      <c r="O224" s="79">
        <v>0.02</v>
      </c>
      <c r="P224" s="79"/>
      <c r="Q224" s="79"/>
      <c r="R224" s="76"/>
      <c r="S224" s="76"/>
      <c r="T224" s="76"/>
      <c r="U224" s="76"/>
      <c r="V224" s="76"/>
      <c r="W224" s="76"/>
    </row>
    <row r="225" spans="1:23" ht="42.75" customHeight="1" x14ac:dyDescent="0.25">
      <c r="A225" s="528"/>
      <c r="B225" s="511"/>
      <c r="C225" s="499"/>
      <c r="D225" s="499"/>
      <c r="E225" s="499"/>
      <c r="F225" s="510"/>
      <c r="G225" s="2875" t="s">
        <v>2477</v>
      </c>
      <c r="H225" s="2863"/>
      <c r="I225" s="2863"/>
      <c r="J225" s="2863"/>
      <c r="K225" s="2863"/>
      <c r="L225" s="2864"/>
      <c r="M225" s="8" t="s">
        <v>1417</v>
      </c>
      <c r="N225" s="8" t="s">
        <v>1418</v>
      </c>
      <c r="O225" s="8">
        <v>5.4199999999999998E-2</v>
      </c>
      <c r="P225" s="8"/>
      <c r="Q225" s="8"/>
      <c r="R225" s="145"/>
      <c r="S225" s="145"/>
      <c r="T225" s="145"/>
      <c r="U225" s="145"/>
      <c r="V225" s="145"/>
      <c r="W225" s="145"/>
    </row>
    <row r="226" spans="1:23" ht="42.75" customHeight="1" x14ac:dyDescent="0.25">
      <c r="A226" s="528"/>
      <c r="B226" s="511"/>
      <c r="C226" s="499"/>
      <c r="D226" s="499"/>
      <c r="E226" s="499"/>
      <c r="F226" s="510"/>
      <c r="G226" s="152" t="s">
        <v>2810</v>
      </c>
      <c r="H226" s="1495" t="s">
        <v>2811</v>
      </c>
      <c r="I226" s="1" t="s">
        <v>2812</v>
      </c>
      <c r="J226" s="8">
        <f>9*0.75</f>
        <v>6.75</v>
      </c>
      <c r="K226" s="8"/>
      <c r="L226" s="145"/>
      <c r="M226" s="1" t="s">
        <v>2193</v>
      </c>
      <c r="N226" s="1" t="s">
        <v>2194</v>
      </c>
      <c r="O226" s="92">
        <f>0.04-0.015</f>
        <v>2.5000000000000001E-2</v>
      </c>
      <c r="P226" s="92"/>
      <c r="Q226" s="92"/>
      <c r="R226" s="145"/>
      <c r="S226" s="145"/>
      <c r="T226" s="145"/>
      <c r="U226" s="145"/>
      <c r="V226" s="75"/>
      <c r="W226" s="75"/>
    </row>
    <row r="227" spans="1:23" ht="42.75" customHeight="1" x14ac:dyDescent="0.25">
      <c r="A227" s="666"/>
      <c r="B227" s="664"/>
      <c r="C227" s="662"/>
      <c r="D227" s="662"/>
      <c r="E227" s="662"/>
      <c r="F227" s="665"/>
      <c r="G227" s="152" t="s">
        <v>2810</v>
      </c>
      <c r="H227" s="1495" t="s">
        <v>2813</v>
      </c>
      <c r="I227" s="1" t="s">
        <v>2814</v>
      </c>
      <c r="J227" s="8">
        <f>9*0.75</f>
        <v>6.75</v>
      </c>
      <c r="K227" s="8"/>
      <c r="L227" s="145"/>
      <c r="M227" s="1" t="s">
        <v>2199</v>
      </c>
      <c r="N227" s="1" t="s">
        <v>2613</v>
      </c>
      <c r="O227" s="8">
        <v>3.5999999999999997E-2</v>
      </c>
      <c r="P227" s="8"/>
      <c r="Q227" s="8"/>
      <c r="R227" s="145"/>
      <c r="S227" s="145"/>
      <c r="T227" s="145"/>
      <c r="U227" s="145"/>
      <c r="V227" s="145"/>
      <c r="W227" s="145"/>
    </row>
    <row r="228" spans="1:23" ht="42.75" customHeight="1" x14ac:dyDescent="0.25">
      <c r="A228" s="782"/>
      <c r="B228" s="780"/>
      <c r="C228" s="781"/>
      <c r="D228" s="781"/>
      <c r="E228" s="781"/>
      <c r="F228" s="783"/>
      <c r="G228" s="265"/>
      <c r="H228" s="265"/>
      <c r="I228" s="20"/>
      <c r="J228" s="92"/>
      <c r="K228" s="92"/>
      <c r="L228" s="75"/>
      <c r="M228" s="1"/>
      <c r="N228" s="1495"/>
      <c r="O228" s="8"/>
      <c r="P228" s="92"/>
      <c r="Q228" s="92"/>
      <c r="R228" s="118"/>
      <c r="S228" s="789"/>
      <c r="T228" s="167"/>
      <c r="U228" s="75"/>
      <c r="V228" s="75"/>
      <c r="W228" s="75"/>
    </row>
    <row r="229" spans="1:23" ht="75" customHeight="1" x14ac:dyDescent="0.25">
      <c r="A229" s="838"/>
      <c r="B229" s="837"/>
      <c r="C229" s="834"/>
      <c r="D229" s="834"/>
      <c r="E229" s="834"/>
      <c r="F229" s="839"/>
      <c r="G229" s="265"/>
      <c r="H229" s="265"/>
      <c r="I229" s="20"/>
      <c r="J229" s="92"/>
      <c r="K229" s="92"/>
      <c r="L229" s="75"/>
      <c r="M229" s="1" t="s">
        <v>2950</v>
      </c>
      <c r="N229" s="1" t="s">
        <v>2951</v>
      </c>
      <c r="O229" s="8">
        <f>0.027-0.01147</f>
        <v>1.553E-2</v>
      </c>
      <c r="P229" s="92"/>
      <c r="Q229" s="92"/>
      <c r="R229" s="118"/>
      <c r="S229" s="789"/>
      <c r="T229" s="167"/>
      <c r="U229" s="75"/>
      <c r="V229" s="75"/>
      <c r="W229" s="75"/>
    </row>
    <row r="230" spans="1:23" ht="21" customHeight="1" thickBot="1" x14ac:dyDescent="0.3">
      <c r="A230" s="406"/>
      <c r="B230" s="395"/>
      <c r="C230" s="396"/>
      <c r="D230" s="396"/>
      <c r="E230" s="396"/>
      <c r="F230" s="397"/>
      <c r="G230" s="2861" t="s">
        <v>1833</v>
      </c>
      <c r="H230" s="2861"/>
      <c r="I230" s="2862"/>
      <c r="J230" s="25">
        <f>SUM(J226:J227)</f>
        <v>13.5</v>
      </c>
      <c r="K230" s="93">
        <v>0.92</v>
      </c>
      <c r="L230" s="25">
        <f>J230/K230</f>
        <v>14.67391304347826</v>
      </c>
      <c r="M230" s="2884" t="s">
        <v>1834</v>
      </c>
      <c r="N230" s="2884"/>
      <c r="O230" s="791">
        <f>SUM(O224:O229)</f>
        <v>0.15073</v>
      </c>
      <c r="P230" s="93">
        <v>0.92</v>
      </c>
      <c r="Q230" s="25">
        <f>O230/P230</f>
        <v>0.16383695652173913</v>
      </c>
      <c r="R230" s="2873" t="s">
        <v>1833</v>
      </c>
      <c r="S230" s="2861"/>
      <c r="T230" s="2862"/>
      <c r="U230" s="25">
        <v>0</v>
      </c>
      <c r="V230" s="93">
        <v>0.92</v>
      </c>
      <c r="W230" s="25">
        <f>U230/V230</f>
        <v>0</v>
      </c>
    </row>
    <row r="231" spans="1:23" ht="17.25" customHeight="1" x14ac:dyDescent="0.25">
      <c r="A231" s="2879" t="str">
        <f>Итоговая!C424</f>
        <v xml:space="preserve">ПС 110/35/10 кВ Селижарово  </v>
      </c>
      <c r="B231" s="2689">
        <f>Итоговая!D424</f>
        <v>16</v>
      </c>
      <c r="C231" s="2691" t="str">
        <f>Итоговая!E424</f>
        <v>+</v>
      </c>
      <c r="D231" s="2691">
        <f>Итоговая!F424</f>
        <v>10</v>
      </c>
      <c r="E231" s="2691"/>
      <c r="F231" s="2687"/>
      <c r="G231" s="2648" t="s">
        <v>1961</v>
      </c>
      <c r="H231" s="2858"/>
      <c r="I231" s="2858"/>
      <c r="J231" s="2858"/>
      <c r="K231" s="2858"/>
      <c r="L231" s="2859"/>
      <c r="M231" s="790"/>
      <c r="N231" s="168"/>
      <c r="O231" s="76"/>
      <c r="P231" s="74"/>
      <c r="Q231" s="74"/>
      <c r="R231" s="2644"/>
      <c r="S231" s="2871"/>
      <c r="T231" s="2871"/>
      <c r="U231" s="2871"/>
      <c r="V231" s="2871"/>
      <c r="W231" s="2872"/>
    </row>
    <row r="232" spans="1:23" ht="60" customHeight="1" x14ac:dyDescent="0.25">
      <c r="A232" s="2880"/>
      <c r="B232" s="2690"/>
      <c r="C232" s="2692"/>
      <c r="D232" s="2692"/>
      <c r="E232" s="2692"/>
      <c r="F232" s="2688"/>
      <c r="G232" s="184" t="s">
        <v>877</v>
      </c>
      <c r="H232" s="143" t="s">
        <v>878</v>
      </c>
      <c r="I232" s="8" t="s">
        <v>879</v>
      </c>
      <c r="J232" s="79">
        <v>0.378</v>
      </c>
      <c r="K232" s="79"/>
      <c r="L232" s="76"/>
      <c r="M232" s="79" t="s">
        <v>872</v>
      </c>
      <c r="N232" s="79" t="s">
        <v>873</v>
      </c>
      <c r="O232" s="79">
        <v>0.03</v>
      </c>
      <c r="P232" s="79"/>
      <c r="Q232" s="79"/>
      <c r="R232" s="142"/>
      <c r="S232" s="142"/>
      <c r="T232" s="145"/>
      <c r="U232" s="76"/>
      <c r="V232" s="76"/>
      <c r="W232" s="76"/>
    </row>
    <row r="233" spans="1:23" ht="20.25" customHeight="1" x14ac:dyDescent="0.25">
      <c r="A233" s="528"/>
      <c r="B233" s="511"/>
      <c r="C233" s="499"/>
      <c r="D233" s="499"/>
      <c r="E233" s="499"/>
      <c r="F233" s="510"/>
      <c r="G233" s="2787" t="s">
        <v>1960</v>
      </c>
      <c r="H233" s="2863"/>
      <c r="I233" s="2863"/>
      <c r="J233" s="2863"/>
      <c r="K233" s="2863"/>
      <c r="L233" s="2864"/>
      <c r="M233" s="9"/>
      <c r="N233" s="9"/>
      <c r="O233" s="79"/>
      <c r="P233" s="79"/>
      <c r="Q233" s="79"/>
      <c r="R233" s="2624"/>
      <c r="S233" s="2616"/>
      <c r="T233" s="2616"/>
      <c r="U233" s="2616"/>
      <c r="V233" s="2616"/>
      <c r="W233" s="2617"/>
    </row>
    <row r="234" spans="1:23" ht="68.25" customHeight="1" x14ac:dyDescent="0.25">
      <c r="A234" s="528"/>
      <c r="B234" s="511"/>
      <c r="C234" s="499"/>
      <c r="D234" s="499"/>
      <c r="E234" s="499"/>
      <c r="F234" s="510"/>
      <c r="G234" s="89" t="s">
        <v>874</v>
      </c>
      <c r="H234" s="79" t="s">
        <v>875</v>
      </c>
      <c r="I234" s="79" t="s">
        <v>876</v>
      </c>
      <c r="J234" s="79">
        <v>0.1</v>
      </c>
      <c r="K234" s="79"/>
      <c r="L234" s="76"/>
      <c r="M234" s="9" t="s">
        <v>2511</v>
      </c>
      <c r="N234" s="9" t="s">
        <v>2566</v>
      </c>
      <c r="O234" s="79">
        <f>0.23-0.19</f>
        <v>4.0000000000000008E-2</v>
      </c>
      <c r="P234" s="79"/>
      <c r="Q234" s="79"/>
      <c r="R234" s="76"/>
      <c r="S234" s="76"/>
      <c r="T234" s="76"/>
      <c r="U234" s="76"/>
      <c r="V234" s="76"/>
      <c r="W234" s="76"/>
    </row>
    <row r="235" spans="1:23" ht="63" customHeight="1" x14ac:dyDescent="0.25">
      <c r="A235" s="402"/>
      <c r="B235" s="512"/>
      <c r="C235" s="513"/>
      <c r="D235" s="513"/>
      <c r="E235" s="513"/>
      <c r="F235" s="514"/>
      <c r="G235" s="89" t="s">
        <v>869</v>
      </c>
      <c r="H235" s="79" t="s">
        <v>870</v>
      </c>
      <c r="I235" s="79" t="s">
        <v>871</v>
      </c>
      <c r="J235" s="79">
        <v>0.2</v>
      </c>
      <c r="K235" s="8"/>
      <c r="L235" s="145"/>
      <c r="M235" s="1"/>
      <c r="N235" s="1"/>
      <c r="O235" s="8"/>
      <c r="P235" s="8"/>
      <c r="Q235" s="8"/>
      <c r="R235" s="76"/>
      <c r="S235" s="76"/>
      <c r="T235" s="76"/>
      <c r="U235" s="76"/>
      <c r="V235" s="145"/>
      <c r="W235" s="145"/>
    </row>
    <row r="236" spans="1:23" ht="49.5" customHeight="1" x14ac:dyDescent="0.25">
      <c r="A236" s="528"/>
      <c r="B236" s="511"/>
      <c r="C236" s="499"/>
      <c r="D236" s="499"/>
      <c r="E236" s="499"/>
      <c r="F236" s="510"/>
      <c r="G236" s="89" t="s">
        <v>880</v>
      </c>
      <c r="H236" s="9" t="s">
        <v>2597</v>
      </c>
      <c r="I236" s="1" t="s">
        <v>2598</v>
      </c>
      <c r="J236" s="79">
        <v>1.1000000000000001</v>
      </c>
      <c r="K236" s="8"/>
      <c r="L236" s="145"/>
      <c r="M236" s="8"/>
      <c r="N236" s="8"/>
      <c r="O236" s="8"/>
      <c r="P236" s="8"/>
      <c r="Q236" s="8"/>
      <c r="R236" s="76"/>
      <c r="S236" s="76"/>
      <c r="T236" s="145"/>
      <c r="U236" s="76"/>
      <c r="V236" s="145"/>
      <c r="W236" s="145"/>
    </row>
    <row r="237" spans="1:23" ht="22.5" customHeight="1" x14ac:dyDescent="0.25">
      <c r="A237" s="1193"/>
      <c r="B237" s="1189"/>
      <c r="C237" s="1190"/>
      <c r="D237" s="1190"/>
      <c r="E237" s="1190"/>
      <c r="F237" s="1188"/>
      <c r="G237" s="2787" t="s">
        <v>3019</v>
      </c>
      <c r="H237" s="2863"/>
      <c r="I237" s="2863"/>
      <c r="J237" s="2863"/>
      <c r="K237" s="2863"/>
      <c r="L237" s="2864"/>
      <c r="M237" s="94"/>
      <c r="N237" s="95"/>
      <c r="O237" s="92"/>
      <c r="P237" s="92"/>
      <c r="Q237" s="92"/>
      <c r="R237" s="1210"/>
      <c r="S237" s="87"/>
      <c r="T237" s="167"/>
      <c r="U237" s="117"/>
      <c r="V237" s="75"/>
      <c r="W237" s="75"/>
    </row>
    <row r="238" spans="1:23" ht="49.5" customHeight="1" x14ac:dyDescent="0.25">
      <c r="A238" s="1193"/>
      <c r="B238" s="1189"/>
      <c r="C238" s="1190"/>
      <c r="D238" s="1190"/>
      <c r="E238" s="1190"/>
      <c r="F238" s="1188"/>
      <c r="G238" s="2624"/>
      <c r="H238" s="2616"/>
      <c r="I238" s="2617"/>
      <c r="J238" s="117"/>
      <c r="K238" s="75"/>
      <c r="L238" s="75"/>
      <c r="M238" s="94"/>
      <c r="N238" s="95"/>
      <c r="O238" s="92"/>
      <c r="P238" s="92"/>
      <c r="Q238" s="92"/>
      <c r="R238" s="1210"/>
      <c r="S238" s="87"/>
      <c r="T238" s="167"/>
      <c r="U238" s="117"/>
      <c r="V238" s="75"/>
      <c r="W238" s="75"/>
    </row>
    <row r="239" spans="1:23" ht="18" customHeight="1" thickBot="1" x14ac:dyDescent="0.3">
      <c r="A239" s="406"/>
      <c r="B239" s="395"/>
      <c r="C239" s="396"/>
      <c r="D239" s="396"/>
      <c r="E239" s="396"/>
      <c r="F239" s="397"/>
      <c r="G239" s="2861" t="s">
        <v>1833</v>
      </c>
      <c r="H239" s="2861"/>
      <c r="I239" s="2862"/>
      <c r="J239" s="25">
        <f>SUM(J238)</f>
        <v>0</v>
      </c>
      <c r="K239" s="93">
        <v>0.92</v>
      </c>
      <c r="L239" s="25">
        <f>J239/K239</f>
        <v>0</v>
      </c>
      <c r="M239" s="2873" t="s">
        <v>1834</v>
      </c>
      <c r="N239" s="2862"/>
      <c r="O239" s="25">
        <f>SUM(O232:O236)</f>
        <v>7.0000000000000007E-2</v>
      </c>
      <c r="P239" s="93">
        <v>0.92</v>
      </c>
      <c r="Q239" s="25">
        <f>O239/P239</f>
        <v>7.6086956521739135E-2</v>
      </c>
      <c r="R239" s="2873" t="s">
        <v>1833</v>
      </c>
      <c r="S239" s="2861"/>
      <c r="T239" s="2862"/>
      <c r="U239" s="25">
        <f>SUM(U234:U236)</f>
        <v>0</v>
      </c>
      <c r="V239" s="93">
        <v>0.92</v>
      </c>
      <c r="W239" s="25">
        <f>U239/V239</f>
        <v>0</v>
      </c>
    </row>
    <row r="240" spans="1:23" ht="30" x14ac:dyDescent="0.25">
      <c r="A240" s="526" t="str">
        <f>Итоговая!C427</f>
        <v xml:space="preserve">ПС 110/35/10 кВ НПС Борисово </v>
      </c>
      <c r="B240" s="527">
        <f>Итоговая!D427</f>
        <v>25</v>
      </c>
      <c r="C240" s="508" t="str">
        <f>Итоговая!E427</f>
        <v>+</v>
      </c>
      <c r="D240" s="508">
        <f>Итоговая!F427</f>
        <v>25</v>
      </c>
      <c r="E240" s="508"/>
      <c r="F240" s="509"/>
      <c r="G240" s="96"/>
      <c r="H240" s="8"/>
      <c r="I240" s="8"/>
      <c r="J240" s="8"/>
      <c r="K240" s="8"/>
      <c r="L240" s="145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145"/>
    </row>
    <row r="241" spans="1:23" ht="18" customHeight="1" thickBot="1" x14ac:dyDescent="0.3">
      <c r="A241" s="406"/>
      <c r="B241" s="395"/>
      <c r="C241" s="396"/>
      <c r="D241" s="396"/>
      <c r="E241" s="396"/>
      <c r="F241" s="397"/>
      <c r="G241" s="2861" t="s">
        <v>1833</v>
      </c>
      <c r="H241" s="2861"/>
      <c r="I241" s="2862"/>
      <c r="J241" s="25">
        <f>SUM(J240:J240)</f>
        <v>0</v>
      </c>
      <c r="K241" s="93">
        <v>0.92</v>
      </c>
      <c r="L241" s="25">
        <f>J241/K241</f>
        <v>0</v>
      </c>
      <c r="M241" s="2873" t="s">
        <v>1834</v>
      </c>
      <c r="N241" s="2862"/>
      <c r="O241" s="25">
        <f>SUM(O240:O240)</f>
        <v>0</v>
      </c>
      <c r="P241" s="93">
        <v>0.92</v>
      </c>
      <c r="Q241" s="25">
        <f>O241/P241</f>
        <v>0</v>
      </c>
      <c r="R241" s="2873" t="s">
        <v>1833</v>
      </c>
      <c r="S241" s="2861"/>
      <c r="T241" s="2862"/>
      <c r="U241" s="25">
        <f>SUM(U240:U240)</f>
        <v>0</v>
      </c>
      <c r="V241" s="93">
        <v>0.92</v>
      </c>
      <c r="W241" s="25">
        <f>U241/V241</f>
        <v>0</v>
      </c>
    </row>
    <row r="242" spans="1:23" ht="15" customHeight="1" x14ac:dyDescent="0.25">
      <c r="A242" s="2879" t="str">
        <f>Итоговая!C430</f>
        <v xml:space="preserve">ПС 110/35/10 кВ Осташков  </v>
      </c>
      <c r="B242" s="2689">
        <f>Итоговая!D430</f>
        <v>25</v>
      </c>
      <c r="C242" s="2691" t="str">
        <f>Итоговая!E430</f>
        <v>+</v>
      </c>
      <c r="D242" s="2691">
        <f>Итоговая!F430</f>
        <v>25</v>
      </c>
      <c r="E242" s="2691"/>
      <c r="F242" s="2687"/>
      <c r="G242" s="2648" t="s">
        <v>1961</v>
      </c>
      <c r="H242" s="2858"/>
      <c r="I242" s="2858"/>
      <c r="J242" s="2858"/>
      <c r="K242" s="2858"/>
      <c r="L242" s="2859"/>
      <c r="M242" s="164"/>
      <c r="N242" s="166"/>
      <c r="O242" s="74"/>
      <c r="P242" s="74"/>
      <c r="Q242" s="74"/>
      <c r="R242" s="2644"/>
      <c r="S242" s="2871"/>
      <c r="T242" s="2871"/>
      <c r="U242" s="2871"/>
      <c r="V242" s="2871"/>
      <c r="W242" s="2872"/>
    </row>
    <row r="243" spans="1:23" ht="40.5" customHeight="1" x14ac:dyDescent="0.25">
      <c r="A243" s="2880"/>
      <c r="B243" s="2690"/>
      <c r="C243" s="2692"/>
      <c r="D243" s="2692"/>
      <c r="E243" s="2692"/>
      <c r="F243" s="2688"/>
      <c r="G243" s="89" t="s">
        <v>1604</v>
      </c>
      <c r="H243" s="79" t="s">
        <v>1605</v>
      </c>
      <c r="I243" s="10" t="s">
        <v>1606</v>
      </c>
      <c r="J243" s="79">
        <v>0.157</v>
      </c>
      <c r="K243" s="169"/>
      <c r="L243" s="168"/>
      <c r="M243" s="79" t="s">
        <v>1602</v>
      </c>
      <c r="N243" s="79" t="s">
        <v>1603</v>
      </c>
      <c r="O243" s="79">
        <v>0.03</v>
      </c>
      <c r="P243" s="76"/>
      <c r="Q243" s="76"/>
      <c r="R243" s="1643" t="s">
        <v>2581</v>
      </c>
      <c r="S243" s="1643" t="s">
        <v>2582</v>
      </c>
      <c r="T243" s="9" t="s">
        <v>16745</v>
      </c>
      <c r="U243" s="1657">
        <v>0.03</v>
      </c>
      <c r="V243" s="169"/>
      <c r="W243" s="168"/>
    </row>
    <row r="244" spans="1:23" x14ac:dyDescent="0.25">
      <c r="A244" s="528"/>
      <c r="B244" s="511"/>
      <c r="C244" s="499"/>
      <c r="D244" s="499"/>
      <c r="E244" s="499"/>
      <c r="F244" s="510"/>
      <c r="G244" s="2787" t="s">
        <v>1960</v>
      </c>
      <c r="H244" s="2863"/>
      <c r="I244" s="2863"/>
      <c r="J244" s="2863"/>
      <c r="K244" s="2863"/>
      <c r="L244" s="2864"/>
      <c r="M244" s="79"/>
      <c r="N244" s="79"/>
      <c r="O244" s="79"/>
      <c r="P244" s="79"/>
      <c r="Q244" s="79"/>
      <c r="R244" s="2624"/>
      <c r="S244" s="2616"/>
      <c r="T244" s="2616"/>
      <c r="U244" s="2616"/>
      <c r="V244" s="2616"/>
      <c r="W244" s="2617"/>
    </row>
    <row r="245" spans="1:23" ht="59.25" customHeight="1" x14ac:dyDescent="0.25">
      <c r="A245" s="528"/>
      <c r="B245" s="511"/>
      <c r="C245" s="499"/>
      <c r="D245" s="499"/>
      <c r="E245" s="499"/>
      <c r="F245" s="510"/>
      <c r="G245" s="89" t="s">
        <v>1599</v>
      </c>
      <c r="H245" s="79" t="s">
        <v>1600</v>
      </c>
      <c r="I245" s="79" t="s">
        <v>1601</v>
      </c>
      <c r="J245" s="79">
        <v>0.1</v>
      </c>
      <c r="K245" s="79"/>
      <c r="L245" s="76"/>
      <c r="M245" s="8" t="s">
        <v>1421</v>
      </c>
      <c r="N245" s="8" t="s">
        <v>1420</v>
      </c>
      <c r="O245" s="8">
        <v>0.19500000000000001</v>
      </c>
      <c r="P245" s="79"/>
      <c r="Q245" s="79"/>
      <c r="R245" s="76"/>
      <c r="S245" s="76"/>
      <c r="T245" s="76"/>
      <c r="U245" s="76"/>
      <c r="V245" s="76"/>
      <c r="W245" s="76"/>
    </row>
    <row r="246" spans="1:23" ht="46.5" customHeight="1" x14ac:dyDescent="0.25">
      <c r="A246" s="640"/>
      <c r="B246" s="629"/>
      <c r="C246" s="635"/>
      <c r="D246" s="635"/>
      <c r="E246" s="635"/>
      <c r="F246" s="641"/>
      <c r="G246" s="2787" t="s">
        <v>2477</v>
      </c>
      <c r="H246" s="2863"/>
      <c r="I246" s="2863"/>
      <c r="J246" s="2863"/>
      <c r="K246" s="2863"/>
      <c r="L246" s="2864"/>
      <c r="M246" s="11" t="s">
        <v>1864</v>
      </c>
      <c r="N246" s="11" t="s">
        <v>1422</v>
      </c>
      <c r="O246" s="11">
        <v>0.05</v>
      </c>
      <c r="P246" s="79"/>
      <c r="Q246" s="79"/>
      <c r="R246" s="76"/>
      <c r="S246" s="76"/>
      <c r="T246" s="76"/>
      <c r="U246" s="76"/>
      <c r="V246" s="76"/>
      <c r="W246" s="76"/>
    </row>
    <row r="247" spans="1:23" ht="82.5" customHeight="1" x14ac:dyDescent="0.25">
      <c r="A247" s="528"/>
      <c r="B247" s="511"/>
      <c r="C247" s="499"/>
      <c r="D247" s="499"/>
      <c r="E247" s="499"/>
      <c r="F247" s="510"/>
      <c r="G247" s="11"/>
      <c r="H247" s="11"/>
      <c r="I247" s="9"/>
      <c r="J247" s="79"/>
      <c r="K247" s="79"/>
      <c r="L247" s="76"/>
      <c r="M247" s="11" t="s">
        <v>3048</v>
      </c>
      <c r="N247" s="11" t="s">
        <v>3049</v>
      </c>
      <c r="O247" s="11">
        <v>1.2</v>
      </c>
      <c r="P247" s="8"/>
      <c r="Q247" s="8"/>
      <c r="R247" s="145"/>
      <c r="S247" s="145"/>
      <c r="T247" s="145"/>
      <c r="U247" s="145"/>
      <c r="V247" s="145"/>
      <c r="W247" s="145"/>
    </row>
    <row r="248" spans="1:23" ht="18.75" customHeight="1" x14ac:dyDescent="0.25">
      <c r="A248" s="1193"/>
      <c r="B248" s="1189"/>
      <c r="C248" s="1190"/>
      <c r="D248" s="1190"/>
      <c r="E248" s="1190"/>
      <c r="F248" s="1188"/>
      <c r="G248" s="2787" t="s">
        <v>3019</v>
      </c>
      <c r="H248" s="2863"/>
      <c r="I248" s="2863"/>
      <c r="J248" s="2863"/>
      <c r="K248" s="2863"/>
      <c r="L248" s="2864"/>
      <c r="M248" s="1560"/>
      <c r="N248" s="1560"/>
      <c r="O248" s="1560"/>
      <c r="P248" s="92"/>
      <c r="Q248" s="92"/>
      <c r="R248" s="118"/>
      <c r="S248" s="789"/>
      <c r="T248" s="167"/>
      <c r="U248" s="75"/>
      <c r="V248" s="75"/>
      <c r="W248" s="75"/>
    </row>
    <row r="249" spans="1:23" ht="23.25" customHeight="1" x14ac:dyDescent="0.25">
      <c r="A249" s="1193"/>
      <c r="B249" s="1189"/>
      <c r="C249" s="1190"/>
      <c r="D249" s="1190"/>
      <c r="E249" s="1190"/>
      <c r="F249" s="1188"/>
      <c r="G249" s="2865"/>
      <c r="H249" s="2866"/>
      <c r="I249" s="2867"/>
      <c r="J249" s="85"/>
      <c r="K249" s="85"/>
      <c r="L249" s="117"/>
      <c r="M249" s="876"/>
      <c r="N249" s="877"/>
      <c r="O249" s="34"/>
      <c r="P249" s="92"/>
      <c r="Q249" s="92"/>
      <c r="R249" s="118"/>
      <c r="S249" s="789"/>
      <c r="T249" s="167"/>
      <c r="U249" s="75"/>
      <c r="V249" s="75"/>
      <c r="W249" s="75"/>
    </row>
    <row r="250" spans="1:23" ht="23.25" customHeight="1" x14ac:dyDescent="0.25">
      <c r="A250" s="1615"/>
      <c r="B250" s="1603"/>
      <c r="C250" s="1604"/>
      <c r="D250" s="1604"/>
      <c r="E250" s="1604"/>
      <c r="F250" s="1607"/>
      <c r="G250" s="2787" t="s">
        <v>3405</v>
      </c>
      <c r="H250" s="2863"/>
      <c r="I250" s="2863"/>
      <c r="J250" s="2863"/>
      <c r="K250" s="2863"/>
      <c r="L250" s="2864"/>
      <c r="M250" s="1605"/>
      <c r="N250" s="1606"/>
      <c r="O250" s="34"/>
      <c r="P250" s="92"/>
      <c r="Q250" s="92"/>
      <c r="R250" s="118"/>
      <c r="S250" s="789"/>
      <c r="T250" s="167"/>
      <c r="U250" s="75"/>
      <c r="V250" s="75"/>
      <c r="W250" s="75"/>
    </row>
    <row r="251" spans="1:23" ht="23.25" customHeight="1" x14ac:dyDescent="0.25">
      <c r="A251" s="1615"/>
      <c r="B251" s="1603"/>
      <c r="C251" s="1604"/>
      <c r="D251" s="1604"/>
      <c r="E251" s="1604"/>
      <c r="F251" s="1607"/>
      <c r="G251" s="2650"/>
      <c r="H251" s="2876"/>
      <c r="I251" s="2876"/>
      <c r="J251" s="1970"/>
      <c r="K251" s="1970"/>
      <c r="L251" s="1970"/>
      <c r="M251" s="1605"/>
      <c r="N251" s="1606"/>
      <c r="O251" s="34"/>
      <c r="P251" s="92"/>
      <c r="Q251" s="92"/>
      <c r="R251" s="118"/>
      <c r="S251" s="789"/>
      <c r="T251" s="167"/>
      <c r="U251" s="75"/>
      <c r="V251" s="75"/>
      <c r="W251" s="75"/>
    </row>
    <row r="252" spans="1:23" s="68" customFormat="1" ht="23.25" customHeight="1" x14ac:dyDescent="0.25">
      <c r="A252" s="1769"/>
      <c r="B252" s="1770"/>
      <c r="C252" s="1771"/>
      <c r="D252" s="1771"/>
      <c r="E252" s="1771"/>
      <c r="F252" s="1772"/>
      <c r="G252" s="1754" t="s">
        <v>16685</v>
      </c>
      <c r="H252" s="1754" t="s">
        <v>16686</v>
      </c>
      <c r="I252" s="1744" t="s">
        <v>16860</v>
      </c>
      <c r="J252" s="1764">
        <f>0.3*0.9</f>
        <v>0.27</v>
      </c>
      <c r="K252" s="1764"/>
      <c r="L252" s="1764"/>
      <c r="M252" s="1031"/>
      <c r="N252" s="1213"/>
      <c r="O252" s="731"/>
      <c r="P252" s="75"/>
      <c r="Q252" s="75"/>
      <c r="R252" s="118"/>
      <c r="S252" s="1740"/>
      <c r="T252" s="167"/>
      <c r="U252" s="75"/>
      <c r="V252" s="75"/>
      <c r="W252" s="75"/>
    </row>
    <row r="253" spans="1:23" s="68" customFormat="1" ht="23.25" customHeight="1" x14ac:dyDescent="0.25">
      <c r="A253" s="1769"/>
      <c r="B253" s="1770"/>
      <c r="C253" s="1771"/>
      <c r="D253" s="1771"/>
      <c r="E253" s="1771"/>
      <c r="F253" s="1772"/>
      <c r="G253" s="2787" t="s">
        <v>17067</v>
      </c>
      <c r="H253" s="2863"/>
      <c r="I253" s="2863"/>
      <c r="J253" s="2863"/>
      <c r="K253" s="2863"/>
      <c r="L253" s="2864"/>
      <c r="M253" s="1031"/>
      <c r="N253" s="1213"/>
      <c r="O253" s="731"/>
      <c r="P253" s="75"/>
      <c r="Q253" s="75"/>
      <c r="R253" s="118"/>
      <c r="S253" s="2003"/>
      <c r="T253" s="2026"/>
      <c r="U253" s="75"/>
      <c r="V253" s="75"/>
      <c r="W253" s="75"/>
    </row>
    <row r="254" spans="1:23" s="68" customFormat="1" ht="23.25" customHeight="1" x14ac:dyDescent="0.25">
      <c r="A254" s="1769"/>
      <c r="B254" s="1770"/>
      <c r="C254" s="1771"/>
      <c r="D254" s="1771"/>
      <c r="E254" s="1771"/>
      <c r="F254" s="1772"/>
      <c r="G254" s="2018" t="s">
        <v>16938</v>
      </c>
      <c r="H254" s="2018" t="s">
        <v>16939</v>
      </c>
      <c r="I254" s="2008" t="s">
        <v>17075</v>
      </c>
      <c r="J254" s="2029">
        <f>0.06*0.9</f>
        <v>5.3999999999999999E-2</v>
      </c>
      <c r="K254" s="2029"/>
      <c r="L254" s="2029"/>
      <c r="M254" s="1031"/>
      <c r="N254" s="1213"/>
      <c r="O254" s="731"/>
      <c r="P254" s="75"/>
      <c r="Q254" s="75"/>
      <c r="R254" s="118"/>
      <c r="S254" s="2003"/>
      <c r="T254" s="2026"/>
      <c r="U254" s="75"/>
      <c r="V254" s="75"/>
      <c r="W254" s="75"/>
    </row>
    <row r="255" spans="1:23" ht="18" customHeight="1" thickBot="1" x14ac:dyDescent="0.3">
      <c r="A255" s="406"/>
      <c r="B255" s="395"/>
      <c r="C255" s="396"/>
      <c r="D255" s="396"/>
      <c r="E255" s="396"/>
      <c r="F255" s="397"/>
      <c r="G255" s="2884" t="s">
        <v>1833</v>
      </c>
      <c r="H255" s="2884"/>
      <c r="I255" s="2884"/>
      <c r="J255" s="791">
        <f>SUM(J249:J254)</f>
        <v>0.32400000000000001</v>
      </c>
      <c r="K255" s="1767">
        <v>0.92</v>
      </c>
      <c r="L255" s="791">
        <f>J255/K255</f>
        <v>0.35217391304347828</v>
      </c>
      <c r="M255" s="2873" t="s">
        <v>1834</v>
      </c>
      <c r="N255" s="2862"/>
      <c r="O255" s="25">
        <f>SUM(O243:O248)</f>
        <v>1.4750000000000001</v>
      </c>
      <c r="P255" s="93">
        <v>0.92</v>
      </c>
      <c r="Q255" s="25">
        <f>O255/P255</f>
        <v>1.6032608695652175</v>
      </c>
      <c r="R255" s="2873" t="s">
        <v>1833</v>
      </c>
      <c r="S255" s="2861"/>
      <c r="T255" s="2862"/>
      <c r="U255" s="25">
        <f>SUM(U243:U251)</f>
        <v>0.03</v>
      </c>
      <c r="V255" s="93">
        <v>0.92</v>
      </c>
      <c r="W255" s="25">
        <f>U255/V255</f>
        <v>3.2608695652173912E-2</v>
      </c>
    </row>
    <row r="256" spans="1:23" ht="21" customHeight="1" x14ac:dyDescent="0.25">
      <c r="A256" s="407"/>
      <c r="B256" s="399"/>
      <c r="C256" s="400"/>
      <c r="D256" s="400"/>
      <c r="E256" s="400"/>
      <c r="F256" s="401"/>
      <c r="G256" s="2778" t="s">
        <v>1960</v>
      </c>
      <c r="H256" s="2868"/>
      <c r="I256" s="2868"/>
      <c r="J256" s="2868"/>
      <c r="K256" s="2868"/>
      <c r="L256" s="2869"/>
      <c r="M256" s="164"/>
      <c r="N256" s="166"/>
      <c r="O256" s="74"/>
      <c r="P256" s="74"/>
      <c r="Q256" s="74"/>
      <c r="R256" s="2644"/>
      <c r="S256" s="2871"/>
      <c r="T256" s="2871"/>
      <c r="U256" s="2871"/>
      <c r="V256" s="2871"/>
      <c r="W256" s="2872"/>
    </row>
    <row r="257" spans="1:23" ht="65.25" customHeight="1" x14ac:dyDescent="0.25">
      <c r="A257" s="528" t="str">
        <f>Итоговая!C433</f>
        <v xml:space="preserve">ПС  110/35/10 кВ Н. Рожок </v>
      </c>
      <c r="B257" s="511">
        <f>Итоговая!D433</f>
        <v>10</v>
      </c>
      <c r="C257" s="499" t="str">
        <f>Итоговая!E433</f>
        <v>+</v>
      </c>
      <c r="D257" s="499">
        <f>Итоговая!F433</f>
        <v>10</v>
      </c>
      <c r="E257" s="499"/>
      <c r="F257" s="510"/>
      <c r="G257" s="2249"/>
      <c r="H257" s="2249"/>
      <c r="I257" s="2249"/>
      <c r="J257" s="2249"/>
      <c r="K257" s="2249"/>
      <c r="L257" s="2246"/>
      <c r="M257" s="117" t="s">
        <v>1609</v>
      </c>
      <c r="N257" s="85" t="s">
        <v>1610</v>
      </c>
      <c r="O257" s="85">
        <v>0.15</v>
      </c>
      <c r="P257" s="85"/>
      <c r="Q257" s="85"/>
      <c r="R257" s="700" t="s">
        <v>1607</v>
      </c>
      <c r="S257" s="85" t="s">
        <v>1608</v>
      </c>
      <c r="T257" s="2201" t="s">
        <v>20037</v>
      </c>
      <c r="U257" s="85">
        <v>0.1024</v>
      </c>
      <c r="V257" s="117"/>
      <c r="W257" s="117"/>
    </row>
    <row r="258" spans="1:23" ht="65.25" customHeight="1" x14ac:dyDescent="0.25">
      <c r="A258" s="695"/>
      <c r="B258" s="691"/>
      <c r="C258" s="692"/>
      <c r="D258" s="692"/>
      <c r="E258" s="692"/>
      <c r="F258" s="696"/>
      <c r="G258" s="2759" t="s">
        <v>3405</v>
      </c>
      <c r="H258" s="2860"/>
      <c r="I258" s="2860"/>
      <c r="J258" s="2860"/>
      <c r="K258" s="2860"/>
      <c r="L258" s="2860"/>
      <c r="M258" s="22" t="s">
        <v>2691</v>
      </c>
      <c r="N258" s="1" t="s">
        <v>2692</v>
      </c>
      <c r="O258" s="8">
        <f>4.23-1.63</f>
        <v>2.6000000000000005</v>
      </c>
      <c r="P258" s="8"/>
      <c r="Q258" s="8"/>
      <c r="R258" s="145"/>
      <c r="S258" s="145"/>
      <c r="T258" s="145"/>
      <c r="U258" s="145"/>
      <c r="V258" s="145"/>
      <c r="W258" s="145"/>
    </row>
    <row r="259" spans="1:23" ht="65.25" customHeight="1" x14ac:dyDescent="0.25">
      <c r="A259" s="852"/>
      <c r="B259" s="849"/>
      <c r="C259" s="850"/>
      <c r="D259" s="850"/>
      <c r="E259" s="850"/>
      <c r="F259" s="853"/>
      <c r="G259" s="2218" t="s">
        <v>16760</v>
      </c>
      <c r="H259" s="2205" t="s">
        <v>16761</v>
      </c>
      <c r="I259" s="2205" t="s">
        <v>16884</v>
      </c>
      <c r="J259" s="2249">
        <f>0.04*0.75</f>
        <v>0.03</v>
      </c>
      <c r="K259" s="2249"/>
      <c r="L259" s="2246"/>
      <c r="M259" s="1677" t="s">
        <v>2995</v>
      </c>
      <c r="N259" s="1667" t="s">
        <v>2996</v>
      </c>
      <c r="O259" s="1692">
        <v>0.05</v>
      </c>
      <c r="P259" s="1692"/>
      <c r="Q259" s="1692"/>
      <c r="R259" s="1690"/>
      <c r="S259" s="1690"/>
      <c r="T259" s="1690"/>
      <c r="U259" s="1690"/>
      <c r="V259" s="1690"/>
      <c r="W259" s="1690"/>
    </row>
    <row r="260" spans="1:23" ht="65.25" customHeight="1" x14ac:dyDescent="0.25">
      <c r="A260" s="1691"/>
      <c r="B260" s="1679"/>
      <c r="C260" s="1680"/>
      <c r="D260" s="1680"/>
      <c r="E260" s="1680"/>
      <c r="F260" s="1678"/>
      <c r="G260" s="2249"/>
      <c r="H260" s="2249"/>
      <c r="I260" s="2249"/>
      <c r="J260" s="2249"/>
      <c r="K260" s="2249"/>
      <c r="L260" s="2246"/>
      <c r="M260" s="1677"/>
      <c r="N260" s="1667"/>
      <c r="O260" s="1692"/>
      <c r="P260" s="1692"/>
      <c r="Q260" s="1692"/>
      <c r="R260" s="1690"/>
      <c r="S260" s="1690"/>
      <c r="T260" s="1690"/>
      <c r="U260" s="1690"/>
      <c r="V260" s="1690"/>
      <c r="W260" s="1690"/>
    </row>
    <row r="261" spans="1:23" ht="19.5" customHeight="1" thickBot="1" x14ac:dyDescent="0.3">
      <c r="A261" s="406"/>
      <c r="B261" s="395"/>
      <c r="C261" s="396"/>
      <c r="D261" s="396"/>
      <c r="E261" s="396"/>
      <c r="F261" s="397"/>
      <c r="G261" s="2571" t="s">
        <v>1833</v>
      </c>
      <c r="H261" s="2571"/>
      <c r="I261" s="2572"/>
      <c r="J261" s="83">
        <f>SUM(J259)</f>
        <v>0.03</v>
      </c>
      <c r="K261" s="92">
        <v>0.92</v>
      </c>
      <c r="L261" s="83">
        <f>J261/K261</f>
        <v>3.2608695652173912E-2</v>
      </c>
      <c r="M261" s="2570" t="s">
        <v>1834</v>
      </c>
      <c r="N261" s="2572"/>
      <c r="O261" s="83">
        <f>SUM(O257:O260)</f>
        <v>2.8000000000000003</v>
      </c>
      <c r="P261" s="92">
        <v>0.92</v>
      </c>
      <c r="Q261" s="83">
        <f>O261/P261</f>
        <v>3.0434782608695654</v>
      </c>
      <c r="R261" s="2570" t="s">
        <v>1833</v>
      </c>
      <c r="S261" s="2571"/>
      <c r="T261" s="2572"/>
      <c r="U261" s="83" t="e">
        <f>SUM(#REF!)</f>
        <v>#REF!</v>
      </c>
      <c r="V261" s="92">
        <v>0.92</v>
      </c>
      <c r="W261" s="83" t="e">
        <f>U261/V261</f>
        <v>#REF!</v>
      </c>
    </row>
    <row r="262" spans="1:23" ht="19.5" thickBot="1" x14ac:dyDescent="0.3">
      <c r="A262" s="552" t="s">
        <v>1962</v>
      </c>
      <c r="B262" s="553"/>
      <c r="C262" s="553"/>
      <c r="D262" s="553"/>
      <c r="E262" s="553"/>
      <c r="F262" s="553"/>
      <c r="G262" s="190"/>
      <c r="H262" s="191"/>
      <c r="I262" s="191"/>
      <c r="J262" s="191">
        <f>J15+J18+J24+J27+J29+J32+J34+J51+J53+J56+J61+J69+J75+J98+J102+J115+J121+J132+J141+J144+J153+J155+J171+J174+J177+J195+J208+J222+J230+J239+J241+J261</f>
        <v>19.74586</v>
      </c>
      <c r="K262" s="191"/>
      <c r="L262" s="191">
        <f>L15+L18+L24+L27+L29+L32+L34+L51+L53+L56+L61+L69+L75+L98+L102+L115+L121+L132+L141+L144+L153+L155+L171+L174+L177+L195+L208+L222+L230+L239+L241+L261</f>
        <v>21.453645161290325</v>
      </c>
      <c r="M262" s="191"/>
      <c r="N262" s="191"/>
      <c r="O262" s="191"/>
      <c r="P262" s="190"/>
      <c r="Q262" s="190"/>
      <c r="R262" s="352"/>
      <c r="S262" s="353"/>
      <c r="T262" s="353"/>
      <c r="U262" s="353"/>
      <c r="V262" s="353"/>
      <c r="W262" s="354"/>
    </row>
    <row r="263" spans="1:23" x14ac:dyDescent="0.25">
      <c r="A263" s="153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87"/>
      <c r="M263" s="98"/>
      <c r="N263" s="98"/>
      <c r="O263" s="98"/>
      <c r="P263" s="98"/>
      <c r="Q263" s="98"/>
      <c r="R263" s="99"/>
    </row>
    <row r="264" spans="1:23" x14ac:dyDescent="0.25">
      <c r="A264" s="153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87"/>
      <c r="M264" s="98"/>
      <c r="N264" s="98"/>
      <c r="O264" s="98"/>
      <c r="P264" s="98"/>
      <c r="Q264" s="98"/>
      <c r="R264" s="99"/>
    </row>
    <row r="265" spans="1:23" x14ac:dyDescent="0.25">
      <c r="A265" s="153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87"/>
      <c r="M265" s="98"/>
      <c r="N265" s="98"/>
      <c r="O265" s="98"/>
      <c r="P265" s="98"/>
      <c r="Q265" s="98"/>
      <c r="R265" s="99"/>
    </row>
    <row r="266" spans="1:23" x14ac:dyDescent="0.25">
      <c r="A266" s="153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87"/>
      <c r="M266" s="98"/>
      <c r="N266" s="98"/>
      <c r="O266" s="98"/>
      <c r="P266" s="98"/>
      <c r="Q266" s="98"/>
      <c r="R266" s="99"/>
    </row>
    <row r="267" spans="1:23" x14ac:dyDescent="0.25">
      <c r="A267" s="153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87"/>
      <c r="M267" s="98"/>
      <c r="N267" s="98"/>
      <c r="O267" s="98"/>
      <c r="P267" s="98"/>
      <c r="Q267" s="98"/>
      <c r="R267" s="99"/>
    </row>
    <row r="268" spans="1:23" x14ac:dyDescent="0.25">
      <c r="A268" s="153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87"/>
      <c r="M268" s="98"/>
      <c r="N268" s="98"/>
      <c r="O268" s="98"/>
      <c r="P268" s="98"/>
      <c r="Q268" s="98"/>
      <c r="R268" s="99"/>
    </row>
    <row r="269" spans="1:23" x14ac:dyDescent="0.25">
      <c r="A269" s="153"/>
      <c r="B269" s="98"/>
      <c r="C269" s="98"/>
      <c r="D269" s="98"/>
      <c r="E269" s="98"/>
      <c r="F269" s="98"/>
      <c r="G269" s="98"/>
      <c r="H269" s="98"/>
      <c r="I269" s="98"/>
      <c r="J269" s="98"/>
      <c r="K269" s="98"/>
      <c r="L269" s="87"/>
      <c r="M269" s="98"/>
      <c r="N269" s="98"/>
      <c r="O269" s="98"/>
      <c r="P269" s="98"/>
      <c r="Q269" s="98"/>
      <c r="R269" s="99"/>
    </row>
    <row r="270" spans="1:23" x14ac:dyDescent="0.25">
      <c r="A270" s="153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87"/>
      <c r="M270" s="98"/>
      <c r="N270" s="98"/>
      <c r="O270" s="98"/>
      <c r="P270" s="98"/>
      <c r="Q270" s="98"/>
      <c r="R270" s="99"/>
    </row>
    <row r="271" spans="1:23" x14ac:dyDescent="0.25">
      <c r="A271" s="153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87"/>
      <c r="M271" s="98"/>
      <c r="N271" s="98"/>
      <c r="O271" s="98"/>
      <c r="P271" s="98"/>
      <c r="Q271" s="98"/>
      <c r="R271" s="99"/>
    </row>
    <row r="272" spans="1:23" x14ac:dyDescent="0.25">
      <c r="A272" s="153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87"/>
      <c r="M272" s="98"/>
      <c r="N272" s="98"/>
      <c r="O272" s="98"/>
      <c r="P272" s="98"/>
      <c r="Q272" s="98"/>
      <c r="R272" s="99"/>
    </row>
    <row r="273" spans="1:18" x14ac:dyDescent="0.25">
      <c r="A273" s="153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87"/>
      <c r="M273" s="98"/>
      <c r="N273" s="98"/>
      <c r="O273" s="98"/>
      <c r="P273" s="98"/>
      <c r="Q273" s="98"/>
      <c r="R273" s="99"/>
    </row>
    <row r="274" spans="1:18" x14ac:dyDescent="0.25">
      <c r="A274" s="153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87"/>
      <c r="M274" s="98"/>
      <c r="N274" s="98"/>
      <c r="O274" s="98"/>
      <c r="P274" s="98"/>
      <c r="Q274" s="98"/>
      <c r="R274" s="99"/>
    </row>
    <row r="275" spans="1:18" x14ac:dyDescent="0.25">
      <c r="A275" s="153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87"/>
      <c r="M275" s="98"/>
      <c r="N275" s="98"/>
      <c r="O275" s="98"/>
      <c r="P275" s="98"/>
      <c r="Q275" s="98"/>
      <c r="R275" s="99"/>
    </row>
    <row r="276" spans="1:18" x14ac:dyDescent="0.25">
      <c r="A276" s="153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87"/>
      <c r="M276" s="98"/>
      <c r="N276" s="98"/>
      <c r="O276" s="98"/>
      <c r="P276" s="98"/>
      <c r="Q276" s="98"/>
      <c r="R276" s="99"/>
    </row>
    <row r="277" spans="1:18" x14ac:dyDescent="0.25">
      <c r="A277" s="153"/>
      <c r="B277" s="98"/>
      <c r="C277" s="98"/>
      <c r="D277" s="98"/>
      <c r="E277" s="98"/>
      <c r="F277" s="98"/>
      <c r="G277" s="98"/>
      <c r="H277" s="98"/>
      <c r="I277" s="98"/>
      <c r="J277" s="98"/>
      <c r="K277" s="98"/>
      <c r="L277" s="87"/>
      <c r="M277" s="98"/>
      <c r="N277" s="98"/>
      <c r="O277" s="98"/>
      <c r="P277" s="98"/>
      <c r="Q277" s="98"/>
      <c r="R277" s="99"/>
    </row>
    <row r="278" spans="1:18" x14ac:dyDescent="0.25">
      <c r="A278" s="153"/>
      <c r="B278" s="98"/>
      <c r="C278" s="98"/>
      <c r="D278" s="98"/>
      <c r="E278" s="98"/>
      <c r="F278" s="98"/>
      <c r="G278" s="98"/>
      <c r="H278" s="98"/>
      <c r="I278" s="98"/>
      <c r="J278" s="98"/>
      <c r="K278" s="98"/>
      <c r="L278" s="87"/>
      <c r="M278" s="98"/>
      <c r="N278" s="98"/>
      <c r="O278" s="98"/>
      <c r="P278" s="98"/>
      <c r="Q278" s="98"/>
      <c r="R278" s="99"/>
    </row>
    <row r="279" spans="1:18" x14ac:dyDescent="0.25">
      <c r="A279" s="153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87"/>
      <c r="M279" s="98"/>
      <c r="N279" s="98"/>
      <c r="O279" s="98"/>
      <c r="P279" s="98"/>
      <c r="Q279" s="98"/>
      <c r="R279" s="99"/>
    </row>
    <row r="280" spans="1:18" x14ac:dyDescent="0.25">
      <c r="A280" s="153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87"/>
      <c r="M280" s="98"/>
      <c r="N280" s="98"/>
      <c r="O280" s="98"/>
      <c r="P280" s="98"/>
      <c r="Q280" s="98"/>
      <c r="R280" s="99"/>
    </row>
    <row r="281" spans="1:18" x14ac:dyDescent="0.25">
      <c r="A281" s="153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87"/>
      <c r="M281" s="98"/>
      <c r="N281" s="98"/>
      <c r="O281" s="98"/>
      <c r="P281" s="98"/>
      <c r="Q281" s="98"/>
      <c r="R281" s="99"/>
    </row>
    <row r="282" spans="1:18" x14ac:dyDescent="0.25">
      <c r="A282" s="153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87"/>
      <c r="M282" s="98"/>
      <c r="N282" s="98"/>
      <c r="O282" s="98"/>
      <c r="P282" s="98"/>
      <c r="Q282" s="98"/>
      <c r="R282" s="99"/>
    </row>
    <row r="283" spans="1:18" x14ac:dyDescent="0.25">
      <c r="A283" s="153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87"/>
      <c r="M283" s="98"/>
      <c r="N283" s="98"/>
      <c r="O283" s="98"/>
      <c r="P283" s="98"/>
      <c r="Q283" s="98"/>
      <c r="R283" s="99"/>
    </row>
    <row r="284" spans="1:18" x14ac:dyDescent="0.25">
      <c r="A284" s="153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87"/>
      <c r="M284" s="98"/>
      <c r="N284" s="98"/>
      <c r="O284" s="98"/>
      <c r="P284" s="98"/>
      <c r="Q284" s="98"/>
      <c r="R284" s="99"/>
    </row>
    <row r="285" spans="1:18" x14ac:dyDescent="0.25">
      <c r="A285" s="153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87"/>
      <c r="M285" s="98"/>
      <c r="N285" s="98"/>
      <c r="O285" s="98"/>
      <c r="P285" s="98"/>
      <c r="Q285" s="98"/>
      <c r="R285" s="99"/>
    </row>
    <row r="286" spans="1:18" x14ac:dyDescent="0.25">
      <c r="A286" s="153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87"/>
      <c r="M286" s="98"/>
      <c r="N286" s="98"/>
      <c r="O286" s="98"/>
      <c r="P286" s="98"/>
      <c r="Q286" s="98"/>
      <c r="R286" s="99"/>
    </row>
    <row r="287" spans="1:18" x14ac:dyDescent="0.25">
      <c r="A287" s="153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87"/>
      <c r="M287" s="98"/>
      <c r="N287" s="98"/>
      <c r="O287" s="98"/>
      <c r="P287" s="98"/>
      <c r="Q287" s="98"/>
      <c r="R287" s="99"/>
    </row>
    <row r="288" spans="1:18" x14ac:dyDescent="0.25">
      <c r="A288" s="153"/>
      <c r="B288" s="98"/>
      <c r="C288" s="98"/>
      <c r="D288" s="98"/>
      <c r="E288" s="98"/>
      <c r="F288" s="98"/>
      <c r="G288" s="98"/>
      <c r="H288" s="98"/>
      <c r="I288" s="98"/>
      <c r="J288" s="98"/>
      <c r="K288" s="98"/>
      <c r="L288" s="87"/>
      <c r="M288" s="98"/>
      <c r="N288" s="98"/>
      <c r="O288" s="98"/>
      <c r="P288" s="98"/>
      <c r="Q288" s="98"/>
      <c r="R288" s="99"/>
    </row>
    <row r="289" spans="1:20" x14ac:dyDescent="0.25">
      <c r="A289" s="153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87"/>
      <c r="M289" s="98"/>
      <c r="N289" s="98"/>
      <c r="O289" s="98"/>
      <c r="P289" s="98"/>
      <c r="Q289" s="98"/>
      <c r="R289" s="99"/>
    </row>
    <row r="290" spans="1:20" x14ac:dyDescent="0.25">
      <c r="A290" s="153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87"/>
      <c r="M290" s="98"/>
      <c r="N290" s="98"/>
      <c r="O290" s="98"/>
      <c r="P290" s="98"/>
      <c r="Q290" s="98"/>
      <c r="R290" s="99"/>
    </row>
    <row r="291" spans="1:20" x14ac:dyDescent="0.25">
      <c r="A291" s="153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87"/>
      <c r="M291" s="98"/>
      <c r="N291" s="98"/>
      <c r="O291" s="98"/>
      <c r="P291" s="98"/>
      <c r="Q291" s="98"/>
      <c r="R291" s="99"/>
    </row>
    <row r="292" spans="1:20" x14ac:dyDescent="0.25">
      <c r="A292" s="153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87"/>
      <c r="M292" s="98"/>
      <c r="N292" s="98"/>
      <c r="O292" s="98"/>
      <c r="P292" s="98"/>
      <c r="Q292" s="98"/>
      <c r="R292" s="99"/>
    </row>
    <row r="293" spans="1:20" x14ac:dyDescent="0.25">
      <c r="A293" s="153"/>
      <c r="B293" s="98"/>
      <c r="C293" s="98"/>
      <c r="D293" s="98"/>
      <c r="E293" s="98"/>
      <c r="F293" s="98"/>
      <c r="G293" s="98"/>
      <c r="H293" s="98"/>
      <c r="I293" s="98"/>
      <c r="J293" s="98"/>
      <c r="K293" s="98"/>
      <c r="L293" s="87"/>
      <c r="M293" s="98"/>
      <c r="N293" s="98"/>
      <c r="O293" s="98"/>
      <c r="P293" s="98"/>
      <c r="Q293" s="98"/>
      <c r="R293" s="99"/>
    </row>
    <row r="294" spans="1:20" x14ac:dyDescent="0.25">
      <c r="A294" s="153"/>
      <c r="B294" s="98"/>
      <c r="C294" s="98"/>
      <c r="D294" s="98"/>
      <c r="E294" s="98"/>
      <c r="F294" s="98"/>
      <c r="G294" s="98"/>
      <c r="H294" s="98"/>
      <c r="I294" s="98"/>
      <c r="J294" s="98"/>
      <c r="K294" s="98"/>
      <c r="L294" s="87"/>
      <c r="M294" s="98"/>
      <c r="N294" s="98"/>
      <c r="O294" s="98"/>
      <c r="P294" s="98"/>
      <c r="Q294" s="98"/>
      <c r="R294" s="99"/>
    </row>
    <row r="295" spans="1:20" x14ac:dyDescent="0.25">
      <c r="A295" s="153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9"/>
    </row>
    <row r="296" spans="1:20" x14ac:dyDescent="0.25">
      <c r="A296" s="153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9"/>
    </row>
    <row r="297" spans="1:20" x14ac:dyDescent="0.25">
      <c r="A297" s="153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9"/>
    </row>
    <row r="298" spans="1:20" x14ac:dyDescent="0.25">
      <c r="A298" s="153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9"/>
      <c r="T298" s="68"/>
    </row>
    <row r="299" spans="1:20" x14ac:dyDescent="0.25">
      <c r="A299" s="153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9"/>
    </row>
    <row r="300" spans="1:20" x14ac:dyDescent="0.25">
      <c r="A300" s="153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9"/>
    </row>
    <row r="301" spans="1:20" x14ac:dyDescent="0.25">
      <c r="A301" s="2610"/>
      <c r="B301" s="2610"/>
      <c r="C301" s="2610"/>
      <c r="D301" s="2610"/>
      <c r="E301" s="2610"/>
      <c r="F301" s="2610"/>
      <c r="G301" s="2610"/>
      <c r="H301" s="2610"/>
      <c r="I301" s="2610"/>
      <c r="J301" s="2610"/>
      <c r="K301" s="2610"/>
      <c r="L301" s="2610"/>
      <c r="M301" s="2610"/>
      <c r="N301" s="2610"/>
      <c r="O301" s="2610"/>
      <c r="P301" s="2610"/>
      <c r="Q301" s="2610"/>
      <c r="R301" s="99"/>
    </row>
    <row r="302" spans="1:20" x14ac:dyDescent="0.25">
      <c r="A302" s="153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9"/>
    </row>
    <row r="303" spans="1:20" x14ac:dyDescent="0.25">
      <c r="A303" s="153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9"/>
    </row>
    <row r="304" spans="1:20" x14ac:dyDescent="0.25">
      <c r="A304" s="153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9"/>
    </row>
    <row r="305" spans="1:18" x14ac:dyDescent="0.25">
      <c r="A305" s="153"/>
      <c r="B305" s="98"/>
      <c r="C305" s="98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9"/>
    </row>
    <row r="306" spans="1:18" x14ac:dyDescent="0.25">
      <c r="A306" s="153"/>
      <c r="B306" s="98"/>
      <c r="C306" s="98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9"/>
    </row>
    <row r="307" spans="1:18" x14ac:dyDescent="0.25">
      <c r="A307" s="153"/>
      <c r="B307" s="98"/>
      <c r="C307" s="98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9"/>
    </row>
    <row r="308" spans="1:18" ht="15.75" customHeight="1" x14ac:dyDescent="0.25">
      <c r="A308" s="153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9"/>
    </row>
    <row r="309" spans="1:18" x14ac:dyDescent="0.25">
      <c r="A309" s="153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9"/>
    </row>
    <row r="310" spans="1:18" x14ac:dyDescent="0.25">
      <c r="A310" s="153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9"/>
    </row>
    <row r="311" spans="1:18" ht="15.75" customHeight="1" x14ac:dyDescent="0.25">
      <c r="A311" s="153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9"/>
    </row>
    <row r="312" spans="1:18" x14ac:dyDescent="0.25">
      <c r="A312" s="153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9"/>
    </row>
    <row r="313" spans="1:18" x14ac:dyDescent="0.25">
      <c r="A313" s="153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9"/>
    </row>
    <row r="314" spans="1:18" x14ac:dyDescent="0.25">
      <c r="A314" s="153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9"/>
    </row>
    <row r="315" spans="1:18" x14ac:dyDescent="0.25">
      <c r="A315" s="153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9"/>
    </row>
    <row r="316" spans="1:18" ht="15.75" customHeight="1" x14ac:dyDescent="0.25">
      <c r="A316" s="153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9"/>
    </row>
    <row r="317" spans="1:18" x14ac:dyDescent="0.25">
      <c r="A317" s="153"/>
      <c r="B317" s="98"/>
      <c r="C317" s="98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9"/>
    </row>
    <row r="318" spans="1:18" x14ac:dyDescent="0.25">
      <c r="A318" s="153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9"/>
    </row>
    <row r="319" spans="1:18" x14ac:dyDescent="0.25">
      <c r="A319" s="153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9"/>
    </row>
    <row r="320" spans="1:18" ht="15.75" customHeight="1" x14ac:dyDescent="0.25">
      <c r="A320" s="153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9"/>
    </row>
    <row r="321" spans="1:18" x14ac:dyDescent="0.25">
      <c r="A321" s="153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9"/>
    </row>
    <row r="322" spans="1:18" x14ac:dyDescent="0.25">
      <c r="A322" s="153"/>
      <c r="B322" s="98"/>
      <c r="C322" s="98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9"/>
    </row>
    <row r="323" spans="1:18" ht="15.75" customHeight="1" x14ac:dyDescent="0.25">
      <c r="A323" s="153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9"/>
    </row>
    <row r="324" spans="1:18" x14ac:dyDescent="0.25">
      <c r="A324" s="153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9"/>
    </row>
    <row r="325" spans="1:18" x14ac:dyDescent="0.25">
      <c r="A325" s="153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9"/>
    </row>
    <row r="326" spans="1:18" ht="15.75" customHeight="1" x14ac:dyDescent="0.25">
      <c r="A326" s="153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9"/>
    </row>
    <row r="327" spans="1:18" x14ac:dyDescent="0.25">
      <c r="A327" s="153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9"/>
    </row>
    <row r="328" spans="1:18" x14ac:dyDescent="0.25">
      <c r="A328" s="153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9"/>
    </row>
    <row r="329" spans="1:18" ht="15.75" customHeight="1" x14ac:dyDescent="0.25">
      <c r="A329" s="153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9"/>
    </row>
    <row r="330" spans="1:18" x14ac:dyDescent="0.25">
      <c r="A330" s="153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9"/>
    </row>
    <row r="331" spans="1:18" x14ac:dyDescent="0.25">
      <c r="A331" s="153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9"/>
    </row>
    <row r="332" spans="1:18" ht="15.75" customHeight="1" x14ac:dyDescent="0.25">
      <c r="A332" s="153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9"/>
    </row>
    <row r="333" spans="1:18" x14ac:dyDescent="0.25">
      <c r="A333" s="153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9"/>
    </row>
    <row r="334" spans="1:18" x14ac:dyDescent="0.25">
      <c r="A334" s="153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9"/>
    </row>
    <row r="335" spans="1:18" x14ac:dyDescent="0.25">
      <c r="A335" s="153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9"/>
    </row>
    <row r="336" spans="1:18" x14ac:dyDescent="0.25">
      <c r="A336" s="153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9"/>
    </row>
    <row r="337" spans="1:18" x14ac:dyDescent="0.25">
      <c r="A337" s="153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9"/>
    </row>
    <row r="338" spans="1:18" x14ac:dyDescent="0.25">
      <c r="A338" s="153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9"/>
    </row>
    <row r="339" spans="1:18" ht="15.75" customHeight="1" x14ac:dyDescent="0.25">
      <c r="A339" s="153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9"/>
    </row>
    <row r="340" spans="1:18" x14ac:dyDescent="0.25">
      <c r="A340" s="153"/>
      <c r="B340" s="98"/>
      <c r="C340" s="98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9"/>
    </row>
    <row r="341" spans="1:18" x14ac:dyDescent="0.25">
      <c r="A341" s="153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9"/>
    </row>
    <row r="342" spans="1:18" ht="15.75" customHeight="1" x14ac:dyDescent="0.25">
      <c r="A342" s="153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9"/>
    </row>
    <row r="343" spans="1:18" x14ac:dyDescent="0.25">
      <c r="A343" s="153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2885"/>
    </row>
    <row r="344" spans="1:18" x14ac:dyDescent="0.25">
      <c r="A344" s="153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2885"/>
    </row>
    <row r="345" spans="1:18" x14ac:dyDescent="0.25">
      <c r="A345" s="153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2885"/>
    </row>
    <row r="346" spans="1:18" ht="15.75" customHeight="1" x14ac:dyDescent="0.25">
      <c r="A346" s="153"/>
      <c r="B346" s="98"/>
      <c r="C346" s="98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2885"/>
    </row>
    <row r="347" spans="1:18" x14ac:dyDescent="0.25">
      <c r="A347" s="2891"/>
      <c r="B347" s="2610"/>
      <c r="C347" s="2610"/>
      <c r="D347" s="2610"/>
      <c r="E347" s="2610"/>
      <c r="F347" s="2610"/>
      <c r="G347" s="2610"/>
      <c r="H347" s="2610"/>
      <c r="I347" s="2610"/>
      <c r="J347" s="2610"/>
      <c r="K347" s="2610"/>
      <c r="L347" s="2610"/>
      <c r="M347" s="2610"/>
      <c r="N347" s="2610"/>
      <c r="O347" s="2610"/>
      <c r="P347" s="2610"/>
      <c r="Q347" s="2610"/>
      <c r="R347" s="99"/>
    </row>
    <row r="348" spans="1:18" x14ac:dyDescent="0.25">
      <c r="A348" s="2891"/>
      <c r="B348" s="2610"/>
      <c r="C348" s="2610"/>
      <c r="D348" s="2610"/>
      <c r="E348" s="2610"/>
      <c r="F348" s="2610"/>
      <c r="G348" s="2610"/>
      <c r="H348" s="2610"/>
      <c r="I348" s="2610"/>
      <c r="J348" s="2610"/>
      <c r="K348" s="2610"/>
      <c r="L348" s="2610"/>
      <c r="M348" s="2610"/>
      <c r="N348" s="2610"/>
      <c r="O348" s="2610"/>
      <c r="P348" s="2610"/>
      <c r="Q348" s="2610"/>
      <c r="R348" s="99"/>
    </row>
    <row r="349" spans="1:18" x14ac:dyDescent="0.25">
      <c r="A349" s="153"/>
      <c r="B349" s="98"/>
      <c r="C349" s="98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9"/>
    </row>
    <row r="350" spans="1:18" x14ac:dyDescent="0.25">
      <c r="A350" s="153"/>
      <c r="B350" s="98"/>
      <c r="C350" s="98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9"/>
    </row>
    <row r="351" spans="1:18" ht="15.75" customHeight="1" x14ac:dyDescent="0.25">
      <c r="A351" s="153"/>
      <c r="B351" s="98"/>
      <c r="C351" s="98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9"/>
    </row>
    <row r="352" spans="1:18" x14ac:dyDescent="0.25">
      <c r="A352" s="153"/>
      <c r="B352" s="98"/>
      <c r="C352" s="98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9"/>
    </row>
    <row r="353" spans="1:18" x14ac:dyDescent="0.25">
      <c r="A353" s="153"/>
      <c r="B353" s="98"/>
      <c r="C353" s="98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9"/>
    </row>
    <row r="354" spans="1:18" ht="15.75" customHeight="1" x14ac:dyDescent="0.25">
      <c r="A354" s="153"/>
      <c r="B354" s="98"/>
      <c r="C354" s="98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9"/>
    </row>
    <row r="355" spans="1:18" x14ac:dyDescent="0.25">
      <c r="A355" s="153"/>
      <c r="B355" s="98"/>
      <c r="C355" s="98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9"/>
    </row>
    <row r="356" spans="1:18" x14ac:dyDescent="0.25">
      <c r="A356" s="153"/>
      <c r="B356" s="98"/>
      <c r="C356" s="98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9"/>
    </row>
    <row r="357" spans="1:18" ht="15.75" customHeight="1" x14ac:dyDescent="0.25">
      <c r="A357" s="153"/>
      <c r="B357" s="98"/>
      <c r="C357" s="98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9"/>
    </row>
    <row r="358" spans="1:18" x14ac:dyDescent="0.25">
      <c r="A358" s="153"/>
      <c r="B358" s="98"/>
      <c r="C358" s="98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9"/>
    </row>
    <row r="359" spans="1:18" x14ac:dyDescent="0.25">
      <c r="A359" s="153"/>
      <c r="B359" s="98"/>
      <c r="C359" s="98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9"/>
    </row>
    <row r="360" spans="1:18" ht="15.75" customHeight="1" x14ac:dyDescent="0.25">
      <c r="A360" s="153"/>
      <c r="B360" s="98"/>
      <c r="C360" s="98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9"/>
    </row>
    <row r="361" spans="1:18" x14ac:dyDescent="0.25">
      <c r="A361" s="2610"/>
      <c r="B361" s="2610"/>
      <c r="C361" s="2610"/>
      <c r="D361" s="2610"/>
      <c r="E361" s="2610"/>
      <c r="F361" s="2610"/>
      <c r="G361" s="2610"/>
      <c r="H361" s="2610"/>
      <c r="I361" s="2610"/>
      <c r="J361" s="2610"/>
      <c r="K361" s="2610"/>
      <c r="L361" s="2610"/>
      <c r="M361" s="2610"/>
      <c r="N361" s="2610"/>
      <c r="O361" s="2610"/>
      <c r="P361" s="2610"/>
      <c r="Q361" s="2610"/>
      <c r="R361" s="99"/>
    </row>
    <row r="362" spans="1:18" x14ac:dyDescent="0.25">
      <c r="A362" s="153"/>
      <c r="B362" s="98"/>
      <c r="C362" s="98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9"/>
    </row>
    <row r="363" spans="1:18" x14ac:dyDescent="0.25">
      <c r="A363" s="153"/>
      <c r="B363" s="98"/>
      <c r="C363" s="98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9"/>
    </row>
    <row r="364" spans="1:18" ht="15.75" customHeight="1" x14ac:dyDescent="0.25">
      <c r="A364" s="153"/>
      <c r="B364" s="98"/>
      <c r="C364" s="98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9"/>
    </row>
    <row r="365" spans="1:18" x14ac:dyDescent="0.25">
      <c r="A365" s="2891"/>
      <c r="B365" s="2610"/>
      <c r="C365" s="2610"/>
      <c r="D365" s="2610"/>
      <c r="E365" s="2610"/>
      <c r="F365" s="2610"/>
      <c r="G365" s="2610"/>
      <c r="H365" s="2610"/>
      <c r="I365" s="2610"/>
      <c r="J365" s="2610"/>
      <c r="K365" s="2610"/>
      <c r="L365" s="2610"/>
      <c r="M365" s="2610"/>
      <c r="N365" s="2610"/>
      <c r="O365" s="2610"/>
      <c r="P365" s="2610"/>
      <c r="Q365" s="2610"/>
      <c r="R365" s="99"/>
    </row>
    <row r="366" spans="1:18" x14ac:dyDescent="0.25">
      <c r="A366" s="2891"/>
      <c r="B366" s="2610"/>
      <c r="C366" s="2610"/>
      <c r="D366" s="2610"/>
      <c r="E366" s="2610"/>
      <c r="F366" s="2610"/>
      <c r="G366" s="2610"/>
      <c r="H366" s="2610"/>
      <c r="I366" s="2610"/>
      <c r="J366" s="2610"/>
      <c r="K366" s="2610"/>
      <c r="L366" s="2610"/>
      <c r="M366" s="2610"/>
      <c r="N366" s="2610"/>
      <c r="O366" s="2610"/>
      <c r="P366" s="2610"/>
      <c r="Q366" s="2610"/>
      <c r="R366" s="99"/>
    </row>
    <row r="367" spans="1:18" x14ac:dyDescent="0.25">
      <c r="A367" s="153"/>
      <c r="B367" s="98"/>
      <c r="C367" s="98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9"/>
    </row>
    <row r="368" spans="1:18" x14ac:dyDescent="0.25">
      <c r="A368" s="153"/>
      <c r="B368" s="98"/>
      <c r="C368" s="98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9"/>
    </row>
    <row r="369" spans="1:18" ht="15.75" customHeight="1" x14ac:dyDescent="0.25">
      <c r="A369" s="153"/>
      <c r="B369" s="98"/>
      <c r="C369" s="98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9"/>
    </row>
    <row r="370" spans="1:18" x14ac:dyDescent="0.25">
      <c r="A370" s="153"/>
      <c r="B370" s="98"/>
      <c r="C370" s="98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9"/>
    </row>
    <row r="371" spans="1:18" x14ac:dyDescent="0.25">
      <c r="A371" s="153"/>
      <c r="B371" s="98"/>
      <c r="C371" s="98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9"/>
    </row>
    <row r="372" spans="1:18" ht="15.75" customHeight="1" x14ac:dyDescent="0.25">
      <c r="A372" s="153"/>
      <c r="B372" s="98"/>
      <c r="C372" s="98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9"/>
    </row>
    <row r="373" spans="1:18" x14ac:dyDescent="0.25">
      <c r="A373" s="153"/>
      <c r="B373" s="98"/>
      <c r="C373" s="98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9"/>
    </row>
    <row r="374" spans="1:18" x14ac:dyDescent="0.25">
      <c r="A374" s="153"/>
      <c r="B374" s="98"/>
      <c r="C374" s="98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9"/>
    </row>
    <row r="375" spans="1:18" ht="15.75" customHeight="1" x14ac:dyDescent="0.25">
      <c r="A375" s="153"/>
      <c r="B375" s="98"/>
      <c r="C375" s="98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9"/>
    </row>
    <row r="376" spans="1:18" x14ac:dyDescent="0.25">
      <c r="A376" s="2610"/>
      <c r="B376" s="2610"/>
      <c r="C376" s="2610"/>
      <c r="D376" s="2610"/>
      <c r="E376" s="2610"/>
      <c r="F376" s="2610"/>
      <c r="G376" s="2610"/>
      <c r="H376" s="2610"/>
      <c r="I376" s="2610"/>
      <c r="J376" s="2610"/>
      <c r="K376" s="2610"/>
      <c r="L376" s="2610"/>
      <c r="M376" s="2610"/>
      <c r="N376" s="2610"/>
      <c r="O376" s="2610"/>
      <c r="P376" s="2610"/>
      <c r="Q376" s="2610"/>
      <c r="R376" s="99"/>
    </row>
    <row r="377" spans="1:18" x14ac:dyDescent="0.25">
      <c r="A377" s="153"/>
      <c r="B377" s="98"/>
      <c r="C377" s="98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9"/>
    </row>
    <row r="378" spans="1:18" x14ac:dyDescent="0.25">
      <c r="A378" s="153"/>
      <c r="B378" s="98"/>
      <c r="C378" s="98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9"/>
    </row>
    <row r="379" spans="1:18" x14ac:dyDescent="0.25">
      <c r="A379" s="153"/>
      <c r="B379" s="98"/>
      <c r="C379" s="98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9"/>
    </row>
    <row r="380" spans="1:18" x14ac:dyDescent="0.25">
      <c r="A380" s="153"/>
      <c r="B380" s="98"/>
      <c r="C380" s="98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9"/>
    </row>
    <row r="381" spans="1:18" x14ac:dyDescent="0.25">
      <c r="A381" s="153"/>
      <c r="B381" s="98"/>
      <c r="C381" s="98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9"/>
    </row>
    <row r="382" spans="1:18" ht="15.75" customHeight="1" x14ac:dyDescent="0.25">
      <c r="A382" s="153"/>
      <c r="B382" s="98"/>
      <c r="C382" s="98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9"/>
    </row>
    <row r="383" spans="1:18" x14ac:dyDescent="0.25">
      <c r="A383" s="153"/>
      <c r="B383" s="98"/>
      <c r="C383" s="98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9"/>
    </row>
    <row r="384" spans="1:18" x14ac:dyDescent="0.25">
      <c r="A384" s="153"/>
      <c r="B384" s="98"/>
      <c r="C384" s="98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9"/>
    </row>
    <row r="385" spans="1:18" ht="15.75" customHeight="1" x14ac:dyDescent="0.25">
      <c r="A385" s="153"/>
      <c r="B385" s="98"/>
      <c r="C385" s="98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9"/>
    </row>
    <row r="386" spans="1:18" x14ac:dyDescent="0.25">
      <c r="A386" s="153"/>
      <c r="B386" s="98"/>
      <c r="C386" s="98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9"/>
    </row>
    <row r="387" spans="1:18" x14ac:dyDescent="0.25">
      <c r="A387" s="153"/>
      <c r="B387" s="98"/>
      <c r="C387" s="98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9"/>
    </row>
    <row r="388" spans="1:18" x14ac:dyDescent="0.25">
      <c r="A388" s="153"/>
      <c r="B388" s="98"/>
      <c r="C388" s="98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9"/>
    </row>
    <row r="389" spans="1:18" ht="15.75" customHeight="1" x14ac:dyDescent="0.25">
      <c r="A389" s="153"/>
      <c r="B389" s="98"/>
      <c r="C389" s="98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9"/>
    </row>
    <row r="390" spans="1:18" x14ac:dyDescent="0.25">
      <c r="A390" s="153"/>
      <c r="B390" s="98"/>
      <c r="C390" s="98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9"/>
    </row>
    <row r="391" spans="1:18" x14ac:dyDescent="0.25">
      <c r="A391" s="153"/>
      <c r="B391" s="98"/>
      <c r="C391" s="98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9"/>
    </row>
    <row r="392" spans="1:18" x14ac:dyDescent="0.25">
      <c r="A392" s="153"/>
      <c r="B392" s="98"/>
      <c r="C392" s="98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9"/>
    </row>
    <row r="393" spans="1:18" x14ac:dyDescent="0.25">
      <c r="A393" s="153"/>
      <c r="B393" s="98"/>
      <c r="C393" s="98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9"/>
    </row>
    <row r="394" spans="1:18" x14ac:dyDescent="0.25">
      <c r="A394" s="153"/>
      <c r="B394" s="98"/>
      <c r="C394" s="98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9"/>
    </row>
    <row r="395" spans="1:18" ht="15.75" customHeight="1" x14ac:dyDescent="0.25">
      <c r="A395" s="153"/>
      <c r="B395" s="98"/>
      <c r="C395" s="98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9"/>
    </row>
    <row r="396" spans="1:18" x14ac:dyDescent="0.25">
      <c r="A396" s="2891"/>
      <c r="B396" s="2610"/>
      <c r="C396" s="2610"/>
      <c r="D396" s="2610"/>
      <c r="E396" s="2610"/>
      <c r="F396" s="2610"/>
      <c r="G396" s="2610"/>
      <c r="H396" s="2610"/>
      <c r="I396" s="2610"/>
      <c r="J396" s="2610"/>
      <c r="K396" s="2610"/>
      <c r="L396" s="2610"/>
      <c r="M396" s="2610"/>
      <c r="N396" s="2610"/>
      <c r="O396" s="2610"/>
      <c r="P396" s="2610"/>
      <c r="Q396" s="2610"/>
      <c r="R396" s="99"/>
    </row>
    <row r="397" spans="1:18" x14ac:dyDescent="0.25">
      <c r="A397" s="2891"/>
      <c r="B397" s="2610"/>
      <c r="C397" s="2610"/>
      <c r="D397" s="2610"/>
      <c r="E397" s="2610"/>
      <c r="F397" s="2610"/>
      <c r="G397" s="2610"/>
      <c r="H397" s="2610"/>
      <c r="I397" s="2610"/>
      <c r="J397" s="2610"/>
      <c r="K397" s="2610"/>
      <c r="L397" s="2610"/>
      <c r="M397" s="2610"/>
      <c r="N397" s="2610"/>
      <c r="O397" s="2610"/>
      <c r="P397" s="2610"/>
      <c r="Q397" s="2610"/>
      <c r="R397" s="99"/>
    </row>
    <row r="398" spans="1:18" x14ac:dyDescent="0.25">
      <c r="A398" s="153"/>
      <c r="B398" s="98"/>
      <c r="C398" s="98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9"/>
    </row>
    <row r="399" spans="1:18" x14ac:dyDescent="0.25">
      <c r="A399" s="153"/>
      <c r="B399" s="98"/>
      <c r="C399" s="98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9"/>
    </row>
    <row r="400" spans="1:18" x14ac:dyDescent="0.25">
      <c r="A400" s="153"/>
      <c r="B400" s="98"/>
      <c r="C400" s="98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9"/>
    </row>
    <row r="401" spans="1:18" x14ac:dyDescent="0.25">
      <c r="A401" s="153"/>
      <c r="B401" s="98"/>
      <c r="C401" s="98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9"/>
    </row>
    <row r="402" spans="1:18" x14ac:dyDescent="0.25">
      <c r="A402" s="153"/>
      <c r="B402" s="98"/>
      <c r="C402" s="98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9"/>
    </row>
    <row r="403" spans="1:18" x14ac:dyDescent="0.25">
      <c r="A403" s="153"/>
      <c r="B403" s="98"/>
      <c r="C403" s="98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9"/>
    </row>
    <row r="404" spans="1:18" x14ac:dyDescent="0.25">
      <c r="A404" s="153"/>
      <c r="B404" s="98"/>
      <c r="C404" s="98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9"/>
    </row>
    <row r="405" spans="1:18" ht="15.75" customHeight="1" x14ac:dyDescent="0.25">
      <c r="A405" s="153"/>
      <c r="B405" s="98"/>
      <c r="C405" s="98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9"/>
    </row>
    <row r="406" spans="1:18" x14ac:dyDescent="0.25">
      <c r="A406" s="2610"/>
      <c r="B406" s="2610"/>
      <c r="C406" s="2610"/>
      <c r="D406" s="2610"/>
      <c r="E406" s="2610"/>
      <c r="F406" s="2610"/>
      <c r="G406" s="2610"/>
      <c r="H406" s="2610"/>
      <c r="I406" s="2610"/>
      <c r="J406" s="2610"/>
      <c r="K406" s="2610"/>
      <c r="L406" s="2610"/>
      <c r="M406" s="2610"/>
      <c r="N406" s="2610"/>
      <c r="O406" s="2610"/>
      <c r="P406" s="2610"/>
      <c r="Q406" s="2610"/>
      <c r="R406" s="99"/>
    </row>
    <row r="407" spans="1:18" x14ac:dyDescent="0.25">
      <c r="A407" s="153"/>
      <c r="B407" s="98"/>
      <c r="C407" s="98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9"/>
    </row>
    <row r="408" spans="1:18" x14ac:dyDescent="0.25">
      <c r="A408" s="153"/>
      <c r="B408" s="98"/>
      <c r="C408" s="98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9"/>
    </row>
    <row r="409" spans="1:18" x14ac:dyDescent="0.25">
      <c r="A409" s="153"/>
      <c r="B409" s="98"/>
      <c r="C409" s="98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9"/>
    </row>
    <row r="410" spans="1:18" ht="15.75" customHeight="1" x14ac:dyDescent="0.25">
      <c r="A410" s="153"/>
      <c r="B410" s="98"/>
      <c r="C410" s="98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9"/>
    </row>
    <row r="411" spans="1:18" x14ac:dyDescent="0.25">
      <c r="A411" s="153"/>
      <c r="B411" s="98"/>
      <c r="C411" s="98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9"/>
    </row>
    <row r="412" spans="1:18" x14ac:dyDescent="0.25">
      <c r="A412" s="153"/>
      <c r="B412" s="98"/>
      <c r="C412" s="98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9"/>
    </row>
    <row r="413" spans="1:18" x14ac:dyDescent="0.25">
      <c r="A413" s="153"/>
      <c r="B413" s="98"/>
      <c r="C413" s="98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9"/>
    </row>
    <row r="414" spans="1:18" ht="15.75" customHeight="1" x14ac:dyDescent="0.25">
      <c r="A414" s="153"/>
      <c r="B414" s="98"/>
      <c r="C414" s="98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9"/>
    </row>
    <row r="415" spans="1:18" x14ac:dyDescent="0.25">
      <c r="A415" s="153"/>
      <c r="B415" s="98"/>
      <c r="C415" s="98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9"/>
    </row>
    <row r="416" spans="1:18" x14ac:dyDescent="0.25">
      <c r="A416" s="153"/>
      <c r="B416" s="98"/>
      <c r="C416" s="98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9"/>
    </row>
    <row r="417" spans="1:18" x14ac:dyDescent="0.25">
      <c r="A417" s="153"/>
      <c r="B417" s="98"/>
      <c r="C417" s="98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9"/>
    </row>
    <row r="418" spans="1:18" x14ac:dyDescent="0.25">
      <c r="A418" s="153"/>
      <c r="B418" s="98"/>
      <c r="C418" s="98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9"/>
    </row>
    <row r="419" spans="1:18" ht="15.75" customHeight="1" x14ac:dyDescent="0.25">
      <c r="A419" s="153"/>
      <c r="B419" s="98"/>
      <c r="C419" s="98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9"/>
    </row>
    <row r="420" spans="1:18" x14ac:dyDescent="0.25">
      <c r="A420" s="153"/>
      <c r="B420" s="98"/>
      <c r="C420" s="98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9"/>
    </row>
    <row r="421" spans="1:18" x14ac:dyDescent="0.25">
      <c r="A421" s="153"/>
      <c r="B421" s="98"/>
      <c r="C421" s="98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9"/>
    </row>
    <row r="422" spans="1:18" ht="15.75" customHeight="1" x14ac:dyDescent="0.25">
      <c r="A422" s="153"/>
      <c r="B422" s="98"/>
      <c r="C422" s="98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9"/>
    </row>
    <row r="423" spans="1:18" x14ac:dyDescent="0.25">
      <c r="A423" s="153"/>
      <c r="B423" s="98"/>
      <c r="C423" s="98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9"/>
    </row>
    <row r="424" spans="1:18" x14ac:dyDescent="0.25">
      <c r="A424" s="153"/>
      <c r="B424" s="98"/>
      <c r="C424" s="98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9"/>
    </row>
    <row r="425" spans="1:18" x14ac:dyDescent="0.25">
      <c r="A425" s="153"/>
      <c r="B425" s="98"/>
      <c r="C425" s="98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9"/>
    </row>
    <row r="426" spans="1:18" x14ac:dyDescent="0.25">
      <c r="A426" s="153"/>
      <c r="B426" s="98"/>
      <c r="C426" s="98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9"/>
    </row>
    <row r="427" spans="1:18" ht="15.75" customHeight="1" x14ac:dyDescent="0.25">
      <c r="A427" s="153"/>
      <c r="B427" s="98"/>
      <c r="C427" s="98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9"/>
    </row>
    <row r="428" spans="1:18" x14ac:dyDescent="0.25">
      <c r="A428" s="2891"/>
      <c r="B428" s="2610"/>
      <c r="C428" s="2610"/>
      <c r="D428" s="2610"/>
      <c r="E428" s="2610"/>
      <c r="F428" s="2610"/>
      <c r="G428" s="2610"/>
      <c r="H428" s="2610"/>
      <c r="I428" s="2610"/>
      <c r="J428" s="2610"/>
      <c r="K428" s="2610"/>
      <c r="L428" s="2610"/>
      <c r="M428" s="2610"/>
      <c r="N428" s="2610"/>
      <c r="O428" s="2610"/>
      <c r="P428" s="2610"/>
      <c r="Q428" s="2610"/>
      <c r="R428" s="99"/>
    </row>
    <row r="429" spans="1:18" x14ac:dyDescent="0.25">
      <c r="A429" s="2891"/>
      <c r="B429" s="2610"/>
      <c r="C429" s="2610"/>
      <c r="D429" s="2610"/>
      <c r="E429" s="2610"/>
      <c r="F429" s="2610"/>
      <c r="G429" s="2610"/>
      <c r="H429" s="2610"/>
      <c r="I429" s="2610"/>
      <c r="J429" s="2610"/>
      <c r="K429" s="2610"/>
      <c r="L429" s="2610"/>
      <c r="M429" s="2610"/>
      <c r="N429" s="2610"/>
      <c r="O429" s="2610"/>
      <c r="P429" s="2610"/>
      <c r="Q429" s="2610"/>
      <c r="R429" s="99"/>
    </row>
    <row r="430" spans="1:18" x14ac:dyDescent="0.25">
      <c r="A430" s="153"/>
      <c r="B430" s="98"/>
      <c r="C430" s="98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9"/>
    </row>
    <row r="431" spans="1:18" x14ac:dyDescent="0.25">
      <c r="A431" s="153"/>
      <c r="B431" s="98"/>
      <c r="C431" s="98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9"/>
    </row>
    <row r="432" spans="1:18" ht="15.75" customHeight="1" x14ac:dyDescent="0.25">
      <c r="A432" s="153"/>
      <c r="B432" s="98"/>
      <c r="C432" s="98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9"/>
    </row>
    <row r="433" spans="1:18" x14ac:dyDescent="0.25">
      <c r="A433" s="153"/>
      <c r="B433" s="98"/>
      <c r="C433" s="98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9"/>
    </row>
    <row r="434" spans="1:18" x14ac:dyDescent="0.25">
      <c r="A434" s="153"/>
      <c r="B434" s="98"/>
      <c r="C434" s="98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9"/>
    </row>
    <row r="435" spans="1:18" ht="15.75" customHeight="1" x14ac:dyDescent="0.25">
      <c r="A435" s="153"/>
      <c r="B435" s="98"/>
      <c r="C435" s="98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9"/>
    </row>
    <row r="436" spans="1:18" x14ac:dyDescent="0.25">
      <c r="A436" s="153"/>
      <c r="B436" s="98"/>
      <c r="C436" s="98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9"/>
    </row>
    <row r="437" spans="1:18" x14ac:dyDescent="0.25">
      <c r="A437" s="153"/>
      <c r="B437" s="98"/>
      <c r="C437" s="98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9"/>
    </row>
    <row r="438" spans="1:18" ht="15.75" customHeight="1" x14ac:dyDescent="0.25">
      <c r="A438" s="153"/>
      <c r="B438" s="98"/>
      <c r="C438" s="98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9"/>
    </row>
    <row r="439" spans="1:18" x14ac:dyDescent="0.25">
      <c r="A439" s="2610"/>
      <c r="B439" s="2610"/>
      <c r="C439" s="2610"/>
      <c r="D439" s="2610"/>
      <c r="E439" s="2610"/>
      <c r="F439" s="2610"/>
      <c r="G439" s="2610"/>
      <c r="H439" s="2610"/>
      <c r="I439" s="2610"/>
      <c r="J439" s="2610"/>
      <c r="K439" s="2610"/>
      <c r="L439" s="2610"/>
      <c r="M439" s="2610"/>
      <c r="N439" s="2610"/>
      <c r="O439" s="2610"/>
      <c r="P439" s="2610"/>
      <c r="Q439" s="2610"/>
      <c r="R439" s="99"/>
    </row>
    <row r="440" spans="1:18" x14ac:dyDescent="0.25">
      <c r="A440" s="153"/>
      <c r="B440" s="98"/>
      <c r="C440" s="98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9"/>
    </row>
    <row r="441" spans="1:18" x14ac:dyDescent="0.25">
      <c r="A441" s="153"/>
      <c r="B441" s="98"/>
      <c r="C441" s="98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9"/>
    </row>
    <row r="442" spans="1:18" x14ac:dyDescent="0.25">
      <c r="A442" s="153"/>
      <c r="B442" s="98"/>
      <c r="C442" s="98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9"/>
    </row>
    <row r="443" spans="1:18" x14ac:dyDescent="0.25">
      <c r="A443" s="153"/>
      <c r="B443" s="98"/>
      <c r="C443" s="98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9"/>
    </row>
    <row r="444" spans="1:18" x14ac:dyDescent="0.25">
      <c r="A444" s="153"/>
      <c r="B444" s="98"/>
      <c r="C444" s="98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9"/>
    </row>
    <row r="445" spans="1:18" ht="15.75" customHeight="1" x14ac:dyDescent="0.25">
      <c r="L445" s="3"/>
    </row>
  </sheetData>
  <mergeCells count="317">
    <mergeCell ref="M174:N174"/>
    <mergeCell ref="M222:N222"/>
    <mergeCell ref="G241:I241"/>
    <mergeCell ref="M208:N208"/>
    <mergeCell ref="G209:L209"/>
    <mergeCell ref="G225:L225"/>
    <mergeCell ref="G211:L211"/>
    <mergeCell ref="G208:I208"/>
    <mergeCell ref="G238:I238"/>
    <mergeCell ref="M177:N177"/>
    <mergeCell ref="M195:N195"/>
    <mergeCell ref="G196:L196"/>
    <mergeCell ref="G178:L178"/>
    <mergeCell ref="G183:L183"/>
    <mergeCell ref="G186:I186"/>
    <mergeCell ref="G201:L201"/>
    <mergeCell ref="G217:L217"/>
    <mergeCell ref="G221:I221"/>
    <mergeCell ref="G177:I177"/>
    <mergeCell ref="G195:I195"/>
    <mergeCell ref="G230:I230"/>
    <mergeCell ref="M241:N241"/>
    <mergeCell ref="G239:I239"/>
    <mergeCell ref="G237:L237"/>
    <mergeCell ref="M56:N56"/>
    <mergeCell ref="M69:N69"/>
    <mergeCell ref="M51:N51"/>
    <mergeCell ref="M53:N53"/>
    <mergeCell ref="M132:N132"/>
    <mergeCell ref="G141:I141"/>
    <mergeCell ref="M121:N121"/>
    <mergeCell ref="M141:N141"/>
    <mergeCell ref="M115:N115"/>
    <mergeCell ref="G117:I117"/>
    <mergeCell ref="G97:I97"/>
    <mergeCell ref="M171:N171"/>
    <mergeCell ref="M155:N155"/>
    <mergeCell ref="G155:I155"/>
    <mergeCell ref="G145:L145"/>
    <mergeCell ref="M144:N144"/>
    <mergeCell ref="G148:L148"/>
    <mergeCell ref="G156:L156"/>
    <mergeCell ref="M61:N61"/>
    <mergeCell ref="M75:N75"/>
    <mergeCell ref="G61:I61"/>
    <mergeCell ref="G122:L122"/>
    <mergeCell ref="G66:L66"/>
    <mergeCell ref="G169:I169"/>
    <mergeCell ref="G152:I152"/>
    <mergeCell ref="G47:L47"/>
    <mergeCell ref="G48:I48"/>
    <mergeCell ref="G75:I75"/>
    <mergeCell ref="G102:I102"/>
    <mergeCell ref="G191:I191"/>
    <mergeCell ref="G94:L94"/>
    <mergeCell ref="G72:L72"/>
    <mergeCell ref="G87:L87"/>
    <mergeCell ref="G203:L203"/>
    <mergeCell ref="G192:L192"/>
    <mergeCell ref="G194:I194"/>
    <mergeCell ref="G49:L49"/>
    <mergeCell ref="G50:I50"/>
    <mergeCell ref="A178:A179"/>
    <mergeCell ref="B178:B179"/>
    <mergeCell ref="A196:A197"/>
    <mergeCell ref="B196:B197"/>
    <mergeCell ref="A156:A157"/>
    <mergeCell ref="F196:F197"/>
    <mergeCell ref="C122:C123"/>
    <mergeCell ref="G91:I91"/>
    <mergeCell ref="G34:I34"/>
    <mergeCell ref="G51:I51"/>
    <mergeCell ref="G59:L59"/>
    <mergeCell ref="G62:L62"/>
    <mergeCell ref="G45:L45"/>
    <mergeCell ref="G46:I46"/>
    <mergeCell ref="G137:L137"/>
    <mergeCell ref="G56:I56"/>
    <mergeCell ref="G98:I98"/>
    <mergeCell ref="G121:I121"/>
    <mergeCell ref="G103:L103"/>
    <mergeCell ref="G85:L85"/>
    <mergeCell ref="G132:I132"/>
    <mergeCell ref="G133:L133"/>
    <mergeCell ref="G124:L124"/>
    <mergeCell ref="G127:L127"/>
    <mergeCell ref="A439:Q439"/>
    <mergeCell ref="A347:Q347"/>
    <mergeCell ref="A376:Q376"/>
    <mergeCell ref="A428:Q428"/>
    <mergeCell ref="A366:Q366"/>
    <mergeCell ref="A429:Q429"/>
    <mergeCell ref="A406:Q406"/>
    <mergeCell ref="A397:Q397"/>
    <mergeCell ref="A365:Q365"/>
    <mergeCell ref="A396:Q396"/>
    <mergeCell ref="A348:Q348"/>
    <mergeCell ref="A361:Q361"/>
    <mergeCell ref="A231:A232"/>
    <mergeCell ref="B231:B232"/>
    <mergeCell ref="A242:A243"/>
    <mergeCell ref="B242:B243"/>
    <mergeCell ref="G250:L250"/>
    <mergeCell ref="G251:I251"/>
    <mergeCell ref="M9:N9"/>
    <mergeCell ref="G10:L10"/>
    <mergeCell ref="M24:N24"/>
    <mergeCell ref="G25:L25"/>
    <mergeCell ref="A223:A224"/>
    <mergeCell ref="B223:B224"/>
    <mergeCell ref="M153:N153"/>
    <mergeCell ref="D57:D58"/>
    <mergeCell ref="E57:E58"/>
    <mergeCell ref="F57:F58"/>
    <mergeCell ref="D133:D134"/>
    <mergeCell ref="E133:E134"/>
    <mergeCell ref="F133:F134"/>
    <mergeCell ref="C62:C65"/>
    <mergeCell ref="D62:D65"/>
    <mergeCell ref="E62:E65"/>
    <mergeCell ref="F62:F65"/>
    <mergeCell ref="C57:C58"/>
    <mergeCell ref="R343:R346"/>
    <mergeCell ref="A301:Q301"/>
    <mergeCell ref="G223:L223"/>
    <mergeCell ref="G53:I53"/>
    <mergeCell ref="A2:A5"/>
    <mergeCell ref="G2:L2"/>
    <mergeCell ref="M2:Q2"/>
    <mergeCell ref="G261:I261"/>
    <mergeCell ref="G21:I21"/>
    <mergeCell ref="M27:N27"/>
    <mergeCell ref="M261:N261"/>
    <mergeCell ref="G256:L256"/>
    <mergeCell ref="M255:N255"/>
    <mergeCell ref="G255:I255"/>
    <mergeCell ref="G242:L242"/>
    <mergeCell ref="G244:L244"/>
    <mergeCell ref="G231:L231"/>
    <mergeCell ref="G233:L233"/>
    <mergeCell ref="M239:N239"/>
    <mergeCell ref="M230:N230"/>
    <mergeCell ref="A122:A123"/>
    <mergeCell ref="B122:B123"/>
    <mergeCell ref="A133:A134"/>
    <mergeCell ref="B133:B134"/>
    <mergeCell ref="A1:Q1"/>
    <mergeCell ref="A35:A36"/>
    <mergeCell ref="B35:B36"/>
    <mergeCell ref="M18:N18"/>
    <mergeCell ref="M32:N32"/>
    <mergeCell ref="M34:N34"/>
    <mergeCell ref="G18:I18"/>
    <mergeCell ref="G32:I32"/>
    <mergeCell ref="B2:F5"/>
    <mergeCell ref="B6:F6"/>
    <mergeCell ref="G15:I15"/>
    <mergeCell ref="M15:N15"/>
    <mergeCell ref="M29:N29"/>
    <mergeCell ref="G29:I29"/>
    <mergeCell ref="G3:L4"/>
    <mergeCell ref="M3:Q4"/>
    <mergeCell ref="M21:N21"/>
    <mergeCell ref="G27:I27"/>
    <mergeCell ref="G9:I9"/>
    <mergeCell ref="G24:I24"/>
    <mergeCell ref="C35:C36"/>
    <mergeCell ref="D35:D36"/>
    <mergeCell ref="E35:E36"/>
    <mergeCell ref="F35:F36"/>
    <mergeCell ref="R2:W2"/>
    <mergeCell ref="R3:W4"/>
    <mergeCell ref="R9:T9"/>
    <mergeCell ref="R15:T15"/>
    <mergeCell ref="R18:T18"/>
    <mergeCell ref="R21:T21"/>
    <mergeCell ref="R24:T24"/>
    <mergeCell ref="R27:T27"/>
    <mergeCell ref="A145:A146"/>
    <mergeCell ref="B145:B146"/>
    <mergeCell ref="M98:N98"/>
    <mergeCell ref="M102:N102"/>
    <mergeCell ref="G35:L35"/>
    <mergeCell ref="G39:L39"/>
    <mergeCell ref="G57:L57"/>
    <mergeCell ref="A57:A58"/>
    <mergeCell ref="B57:B58"/>
    <mergeCell ref="A62:A65"/>
    <mergeCell ref="B62:B65"/>
    <mergeCell ref="A76:A77"/>
    <mergeCell ref="B76:B77"/>
    <mergeCell ref="R53:T53"/>
    <mergeCell ref="R56:T56"/>
    <mergeCell ref="R57:W57"/>
    <mergeCell ref="R61:T61"/>
    <mergeCell ref="R62:W62"/>
    <mergeCell ref="R69:T69"/>
    <mergeCell ref="R29:T29"/>
    <mergeCell ref="R32:T32"/>
    <mergeCell ref="R34:T34"/>
    <mergeCell ref="R35:W35"/>
    <mergeCell ref="R39:W39"/>
    <mergeCell ref="R51:T51"/>
    <mergeCell ref="R115:T115"/>
    <mergeCell ref="R121:T121"/>
    <mergeCell ref="R122:W122"/>
    <mergeCell ref="R124:W124"/>
    <mergeCell ref="R127:W127"/>
    <mergeCell ref="R132:T132"/>
    <mergeCell ref="R75:T75"/>
    <mergeCell ref="R76:W76"/>
    <mergeCell ref="R78:W78"/>
    <mergeCell ref="R82:W82"/>
    <mergeCell ref="R98:T98"/>
    <mergeCell ref="R102:T102"/>
    <mergeCell ref="S105:T105"/>
    <mergeCell ref="R241:T241"/>
    <mergeCell ref="R178:W178"/>
    <mergeCell ref="R181:W181"/>
    <mergeCell ref="R195:T195"/>
    <mergeCell ref="R196:W196"/>
    <mergeCell ref="R133:W133"/>
    <mergeCell ref="R135:W135"/>
    <mergeCell ref="R141:T141"/>
    <mergeCell ref="R144:T144"/>
    <mergeCell ref="R145:W145"/>
    <mergeCell ref="R153:T153"/>
    <mergeCell ref="R261:T261"/>
    <mergeCell ref="G64:L64"/>
    <mergeCell ref="R223:W223"/>
    <mergeCell ref="R230:T230"/>
    <mergeCell ref="R231:W231"/>
    <mergeCell ref="R233:W233"/>
    <mergeCell ref="R208:T208"/>
    <mergeCell ref="R222:T222"/>
    <mergeCell ref="R242:W242"/>
    <mergeCell ref="R244:W244"/>
    <mergeCell ref="R255:T255"/>
    <mergeCell ref="R256:W256"/>
    <mergeCell ref="R155:T155"/>
    <mergeCell ref="R171:T171"/>
    <mergeCell ref="R174:T174"/>
    <mergeCell ref="R177:T177"/>
    <mergeCell ref="R239:T239"/>
    <mergeCell ref="G70:L70"/>
    <mergeCell ref="G99:L99"/>
    <mergeCell ref="G90:L90"/>
    <mergeCell ref="G76:L76"/>
    <mergeCell ref="G78:L78"/>
    <mergeCell ref="G92:L92"/>
    <mergeCell ref="G253:L253"/>
    <mergeCell ref="C76:C77"/>
    <mergeCell ref="D76:D77"/>
    <mergeCell ref="E76:E77"/>
    <mergeCell ref="F76:F77"/>
    <mergeCell ref="G82:L82"/>
    <mergeCell ref="G142:L142"/>
    <mergeCell ref="G143:I143"/>
    <mergeCell ref="F242:F243"/>
    <mergeCell ref="D223:D224"/>
    <mergeCell ref="E223:E224"/>
    <mergeCell ref="F223:F224"/>
    <mergeCell ref="C231:C232"/>
    <mergeCell ref="D231:D232"/>
    <mergeCell ref="C223:C224"/>
    <mergeCell ref="E231:E232"/>
    <mergeCell ref="F231:F232"/>
    <mergeCell ref="C145:C146"/>
    <mergeCell ref="D145:D146"/>
    <mergeCell ref="C178:C179"/>
    <mergeCell ref="D178:D179"/>
    <mergeCell ref="C196:C197"/>
    <mergeCell ref="D196:D197"/>
    <mergeCell ref="E196:E197"/>
    <mergeCell ref="C242:C243"/>
    <mergeCell ref="D242:D243"/>
    <mergeCell ref="E242:E243"/>
    <mergeCell ref="D122:D123"/>
    <mergeCell ref="C133:C134"/>
    <mergeCell ref="G187:L187"/>
    <mergeCell ref="G181:L181"/>
    <mergeCell ref="G105:L105"/>
    <mergeCell ref="G135:L135"/>
    <mergeCell ref="G129:L129"/>
    <mergeCell ref="G153:I153"/>
    <mergeCell ref="G144:I144"/>
    <mergeCell ref="G166:L166"/>
    <mergeCell ref="G115:I115"/>
    <mergeCell ref="G150:L150"/>
    <mergeCell ref="G116:L116"/>
    <mergeCell ref="G113:I113"/>
    <mergeCell ref="G110:I110"/>
    <mergeCell ref="G222:I222"/>
    <mergeCell ref="G13:L13"/>
    <mergeCell ref="G189:L189"/>
    <mergeCell ref="G111:L111"/>
    <mergeCell ref="G258:L258"/>
    <mergeCell ref="G69:I69"/>
    <mergeCell ref="G71:I71"/>
    <mergeCell ref="G248:L248"/>
    <mergeCell ref="G249:I249"/>
    <mergeCell ref="G161:I161"/>
    <mergeCell ref="G139:L139"/>
    <mergeCell ref="G140:I140"/>
    <mergeCell ref="G158:L158"/>
    <mergeCell ref="G107:L107"/>
    <mergeCell ref="G213:L213"/>
    <mergeCell ref="G216:I216"/>
    <mergeCell ref="G200:I200"/>
    <mergeCell ref="G246:L246"/>
    <mergeCell ref="G162:L162"/>
    <mergeCell ref="G174:I174"/>
    <mergeCell ref="G198:L198"/>
    <mergeCell ref="G175:L175"/>
    <mergeCell ref="G176:I176"/>
    <mergeCell ref="G171:I171"/>
    <mergeCell ref="G43:L43"/>
  </mergeCells>
  <phoneticPr fontId="4" type="noConversion"/>
  <pageMargins left="0.7" right="0.7" top="0.75" bottom="0.75" header="0.3" footer="0.3"/>
  <pageSetup paperSize="9" orientation="portrait" r:id="rId1"/>
  <ignoredErrors>
    <ignoredError sqref="J9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T448"/>
  <sheetViews>
    <sheetView zoomScaleNormal="100" workbookViewId="0">
      <selection activeCell="A434" sqref="A434:K434"/>
    </sheetView>
  </sheetViews>
  <sheetFormatPr defaultColWidth="11.42578125" defaultRowHeight="15" x14ac:dyDescent="0.25"/>
  <cols>
    <col min="1" max="1" width="29.5703125" style="2396" customWidth="1"/>
    <col min="2" max="2" width="15.5703125" style="2397" customWidth="1"/>
    <col min="3" max="3" width="15.42578125" style="2396" customWidth="1"/>
    <col min="4" max="4" width="13.5703125" style="2396" customWidth="1"/>
    <col min="5" max="6" width="13.7109375" style="2396" customWidth="1"/>
    <col min="7" max="7" width="14.5703125" style="2396" customWidth="1"/>
    <col min="8" max="8" width="10.5703125" style="2396" customWidth="1"/>
    <col min="9" max="9" width="14.42578125" style="2396" customWidth="1"/>
    <col min="10" max="10" width="12.85546875" style="2396" customWidth="1"/>
    <col min="11" max="11" width="13.42578125" style="2396" customWidth="1"/>
    <col min="12" max="12" width="19" style="2396" customWidth="1"/>
    <col min="13" max="13" width="18" style="2396" customWidth="1"/>
    <col min="14" max="19" width="11.42578125" style="232" customWidth="1"/>
    <col min="20" max="21" width="11.42578125" customWidth="1"/>
  </cols>
  <sheetData>
    <row r="1" spans="1:20" x14ac:dyDescent="0.25">
      <c r="A1" s="2390"/>
      <c r="B1" s="2391"/>
      <c r="C1" s="2390"/>
      <c r="D1" s="2390"/>
      <c r="E1" s="2390"/>
      <c r="F1" s="2390"/>
      <c r="G1" s="2390"/>
      <c r="H1" s="2390"/>
      <c r="I1" s="2390"/>
    </row>
    <row r="2" spans="1:20" x14ac:dyDescent="0.25">
      <c r="A2" s="2390"/>
      <c r="B2" s="2391"/>
      <c r="C2" s="2390"/>
      <c r="D2" s="2390"/>
      <c r="E2" s="2390"/>
      <c r="F2" s="2390"/>
      <c r="G2" s="2390"/>
      <c r="H2" s="2390"/>
      <c r="I2" s="2390"/>
    </row>
    <row r="3" spans="1:20" x14ac:dyDescent="0.25">
      <c r="A3" s="2390"/>
      <c r="B3" s="2391"/>
      <c r="C3" s="2390"/>
      <c r="D3" s="2390"/>
      <c r="E3" s="2390"/>
      <c r="F3" s="2390"/>
      <c r="G3" s="2390"/>
      <c r="H3" s="2390"/>
      <c r="I3" s="2390"/>
    </row>
    <row r="4" spans="1:20" x14ac:dyDescent="0.25">
      <c r="A4" s="2392"/>
      <c r="B4" s="2393"/>
      <c r="C4" s="2392"/>
      <c r="D4" s="2392"/>
      <c r="E4" s="2392"/>
      <c r="F4" s="2392"/>
      <c r="G4" s="2392"/>
      <c r="H4" s="2392"/>
      <c r="I4" s="2392"/>
    </row>
    <row r="5" spans="1:20" ht="42.75" customHeight="1" x14ac:dyDescent="0.25">
      <c r="A5" s="2387" t="s">
        <v>330</v>
      </c>
      <c r="B5" s="2394" t="s">
        <v>3645</v>
      </c>
      <c r="C5" s="2388" t="s">
        <v>3646</v>
      </c>
      <c r="D5" s="2387" t="s">
        <v>3647</v>
      </c>
      <c r="E5" s="2387" t="s">
        <v>3648</v>
      </c>
      <c r="F5" s="2394" t="s">
        <v>3649</v>
      </c>
      <c r="G5" s="2394" t="s">
        <v>3650</v>
      </c>
      <c r="H5" s="2394" t="s">
        <v>3651</v>
      </c>
      <c r="I5" s="2394" t="s">
        <v>3653</v>
      </c>
      <c r="J5" s="2387" t="s">
        <v>3219</v>
      </c>
      <c r="K5" s="2387" t="s">
        <v>3220</v>
      </c>
      <c r="L5" s="2387" t="s">
        <v>3221</v>
      </c>
      <c r="M5" s="2387" t="s">
        <v>3222</v>
      </c>
    </row>
    <row r="6" spans="1:20" ht="15" customHeight="1" x14ac:dyDescent="0.25">
      <c r="A6" s="2377" t="s">
        <v>888</v>
      </c>
      <c r="B6" s="2377" t="s">
        <v>20293</v>
      </c>
      <c r="C6" s="1421" t="s">
        <v>20294</v>
      </c>
      <c r="D6" s="2378">
        <v>0.66</v>
      </c>
      <c r="E6" s="2378">
        <v>0.52999999999999992</v>
      </c>
      <c r="F6" s="2378">
        <v>0</v>
      </c>
      <c r="G6" s="2378">
        <v>0</v>
      </c>
      <c r="H6" s="2378">
        <v>0.52999999999999992</v>
      </c>
      <c r="I6" s="931"/>
      <c r="J6" s="2377" t="s">
        <v>20295</v>
      </c>
      <c r="K6" s="2377" t="s">
        <v>20295</v>
      </c>
      <c r="L6" s="1104">
        <v>58.168580612302598</v>
      </c>
      <c r="M6" s="1104">
        <v>35.465545045961903</v>
      </c>
      <c r="T6" s="1419"/>
    </row>
    <row r="7" spans="1:20" ht="15" customHeight="1" x14ac:dyDescent="0.25">
      <c r="A7" s="2377" t="s">
        <v>889</v>
      </c>
      <c r="B7" s="2377" t="s">
        <v>20296</v>
      </c>
      <c r="C7" s="1421" t="s">
        <v>20294</v>
      </c>
      <c r="D7" s="2378">
        <v>0.54</v>
      </c>
      <c r="E7" s="2378">
        <v>0.90999999999999992</v>
      </c>
      <c r="F7" s="2378">
        <v>0</v>
      </c>
      <c r="G7" s="2378">
        <v>0</v>
      </c>
      <c r="H7" s="2378">
        <v>0.90999999999999992</v>
      </c>
      <c r="I7" s="931"/>
      <c r="J7" s="2377" t="s">
        <v>20295</v>
      </c>
      <c r="K7" s="2377" t="s">
        <v>20295</v>
      </c>
      <c r="L7" s="1104">
        <v>57.6981012133975</v>
      </c>
      <c r="M7" s="1104">
        <v>36.979231133964397</v>
      </c>
      <c r="T7" s="1419"/>
    </row>
    <row r="8" spans="1:20" ht="15" customHeight="1" x14ac:dyDescent="0.25">
      <c r="A8" s="2377" t="s">
        <v>890</v>
      </c>
      <c r="B8" s="2377" t="s">
        <v>20297</v>
      </c>
      <c r="C8" s="1421" t="s">
        <v>3074</v>
      </c>
      <c r="D8" s="2378">
        <v>0.11</v>
      </c>
      <c r="E8" s="2378">
        <v>-0.11</v>
      </c>
      <c r="F8" s="2378">
        <v>0</v>
      </c>
      <c r="G8" s="2378">
        <v>0</v>
      </c>
      <c r="H8" s="2378">
        <v>0</v>
      </c>
      <c r="I8" s="931"/>
      <c r="J8" s="2377" t="s">
        <v>20295</v>
      </c>
      <c r="K8" s="2377" t="s">
        <v>3333</v>
      </c>
      <c r="L8" s="1104">
        <v>58.2387265109776</v>
      </c>
      <c r="M8" s="1104">
        <v>35.952724157647097</v>
      </c>
      <c r="T8" s="1419"/>
    </row>
    <row r="9" spans="1:20" ht="15" customHeight="1" x14ac:dyDescent="0.25">
      <c r="A9" s="2377" t="s">
        <v>891</v>
      </c>
      <c r="B9" s="2377" t="s">
        <v>20298</v>
      </c>
      <c r="C9" s="1421" t="s">
        <v>20294</v>
      </c>
      <c r="D9" s="2378">
        <v>0.17</v>
      </c>
      <c r="E9" s="2378">
        <v>0.7</v>
      </c>
      <c r="F9" s="2378">
        <v>0</v>
      </c>
      <c r="G9" s="2378">
        <v>0</v>
      </c>
      <c r="H9" s="2378">
        <v>0.7</v>
      </c>
      <c r="I9" s="931"/>
      <c r="J9" s="2377" t="s">
        <v>20295</v>
      </c>
      <c r="K9" s="2377" t="s">
        <v>20295</v>
      </c>
      <c r="L9" s="1104">
        <v>58.029169559542403</v>
      </c>
      <c r="M9" s="1104">
        <v>36.993628392820199</v>
      </c>
      <c r="T9" s="1419"/>
    </row>
    <row r="10" spans="1:20" ht="15" customHeight="1" x14ac:dyDescent="0.25">
      <c r="A10" s="2377" t="s">
        <v>892</v>
      </c>
      <c r="B10" s="2377" t="s">
        <v>20299</v>
      </c>
      <c r="C10" s="1421" t="s">
        <v>20294</v>
      </c>
      <c r="D10" s="2378">
        <v>0.18</v>
      </c>
      <c r="E10" s="2378">
        <v>-0.18</v>
      </c>
      <c r="F10" s="2378">
        <v>0</v>
      </c>
      <c r="G10" s="2378">
        <v>0</v>
      </c>
      <c r="H10" s="2378">
        <v>0</v>
      </c>
      <c r="I10" s="931"/>
      <c r="J10" s="2377" t="s">
        <v>20295</v>
      </c>
      <c r="K10" s="2377" t="s">
        <v>3333</v>
      </c>
      <c r="L10" s="1104">
        <v>58.048253501405398</v>
      </c>
      <c r="M10" s="1104">
        <v>36.117193294308798</v>
      </c>
      <c r="T10" s="1419"/>
    </row>
    <row r="11" spans="1:20" ht="15" customHeight="1" x14ac:dyDescent="0.25">
      <c r="A11" s="2377" t="s">
        <v>893</v>
      </c>
      <c r="B11" s="2377" t="s">
        <v>20300</v>
      </c>
      <c r="C11" s="1421" t="s">
        <v>20301</v>
      </c>
      <c r="D11" s="2378">
        <v>0.23</v>
      </c>
      <c r="E11" s="2378">
        <v>0.58000000000000007</v>
      </c>
      <c r="F11" s="2378">
        <v>0</v>
      </c>
      <c r="G11" s="2378">
        <v>0</v>
      </c>
      <c r="H11" s="2378">
        <v>0.58000000000000007</v>
      </c>
      <c r="I11" s="931"/>
      <c r="J11" s="2377" t="s">
        <v>20295</v>
      </c>
      <c r="K11" s="2377" t="s">
        <v>20295</v>
      </c>
      <c r="L11" s="1104">
        <v>58.694497246865701</v>
      </c>
      <c r="M11" s="1104">
        <v>36.936407331081497</v>
      </c>
      <c r="T11" s="1419"/>
    </row>
    <row r="12" spans="1:20" ht="15" customHeight="1" x14ac:dyDescent="0.25">
      <c r="A12" s="2377" t="s">
        <v>894</v>
      </c>
      <c r="B12" s="2377" t="s">
        <v>20302</v>
      </c>
      <c r="C12" s="1421" t="s">
        <v>20142</v>
      </c>
      <c r="D12" s="2378">
        <v>0.18</v>
      </c>
      <c r="E12" s="2378">
        <v>0.51</v>
      </c>
      <c r="F12" s="2378">
        <v>0</v>
      </c>
      <c r="G12" s="2378">
        <v>0</v>
      </c>
      <c r="H12" s="2378">
        <v>0.51</v>
      </c>
      <c r="I12" s="931"/>
      <c r="J12" s="2377" t="s">
        <v>20295</v>
      </c>
      <c r="K12" s="2377" t="s">
        <v>20295</v>
      </c>
      <c r="L12" s="1104">
        <v>58.233227061189901</v>
      </c>
      <c r="M12" s="1104">
        <v>36.918343686706699</v>
      </c>
      <c r="T12" s="1419"/>
    </row>
    <row r="13" spans="1:20" ht="15" customHeight="1" x14ac:dyDescent="0.25">
      <c r="A13" s="2377" t="s">
        <v>895</v>
      </c>
      <c r="B13" s="2377" t="s">
        <v>20303</v>
      </c>
      <c r="C13" s="1421" t="s">
        <v>20294</v>
      </c>
      <c r="D13" s="2378">
        <v>0.28000000000000003</v>
      </c>
      <c r="E13" s="2378">
        <v>0.75</v>
      </c>
      <c r="F13" s="2378">
        <v>0</v>
      </c>
      <c r="G13" s="2378">
        <v>0</v>
      </c>
      <c r="H13" s="2378">
        <v>0.75</v>
      </c>
      <c r="I13" s="931"/>
      <c r="J13" s="2377" t="s">
        <v>20295</v>
      </c>
      <c r="K13" s="2377" t="s">
        <v>20295</v>
      </c>
      <c r="L13" s="1104">
        <v>58.013638700469102</v>
      </c>
      <c r="M13" s="1104">
        <v>35.781832313946403</v>
      </c>
      <c r="T13" s="1419"/>
    </row>
    <row r="14" spans="1:20" ht="15" customHeight="1" x14ac:dyDescent="0.25">
      <c r="A14" s="2377" t="s">
        <v>896</v>
      </c>
      <c r="B14" s="2377" t="s">
        <v>20304</v>
      </c>
      <c r="C14" s="1421" t="s">
        <v>20301</v>
      </c>
      <c r="D14" s="2378">
        <v>0.18</v>
      </c>
      <c r="E14" s="2378">
        <v>2.76</v>
      </c>
      <c r="F14" s="2378">
        <v>0.20641304347826084</v>
      </c>
      <c r="G14" s="2378">
        <v>0</v>
      </c>
      <c r="H14" s="2378">
        <v>2.5535869565217393</v>
      </c>
      <c r="I14" s="931"/>
      <c r="J14" s="2377" t="s">
        <v>20295</v>
      </c>
      <c r="K14" s="2377" t="s">
        <v>20295</v>
      </c>
      <c r="L14" s="1104">
        <v>57.737635139484198</v>
      </c>
      <c r="M14" s="1104">
        <v>36.7111620708</v>
      </c>
      <c r="T14" s="1419"/>
    </row>
    <row r="15" spans="1:20" ht="15" customHeight="1" x14ac:dyDescent="0.25">
      <c r="A15" s="2377" t="s">
        <v>897</v>
      </c>
      <c r="B15" s="2377" t="s">
        <v>20305</v>
      </c>
      <c r="C15" s="1421" t="s">
        <v>20306</v>
      </c>
      <c r="D15" s="2378">
        <v>0.26</v>
      </c>
      <c r="E15" s="2378">
        <v>0.47</v>
      </c>
      <c r="F15" s="2378">
        <v>0</v>
      </c>
      <c r="G15" s="2378">
        <v>0</v>
      </c>
      <c r="H15" s="2378">
        <v>0.47</v>
      </c>
      <c r="I15" s="931"/>
      <c r="J15" s="2377" t="s">
        <v>20295</v>
      </c>
      <c r="K15" s="2377" t="s">
        <v>20295</v>
      </c>
      <c r="L15" s="1104">
        <v>57.7436647258845</v>
      </c>
      <c r="M15" s="1104">
        <v>37.403150925236197</v>
      </c>
      <c r="T15" s="1419"/>
    </row>
    <row r="16" spans="1:20" ht="15" customHeight="1" x14ac:dyDescent="0.25">
      <c r="A16" s="2377" t="s">
        <v>898</v>
      </c>
      <c r="B16" s="2377" t="s">
        <v>20300</v>
      </c>
      <c r="C16" s="1421" t="s">
        <v>20294</v>
      </c>
      <c r="D16" s="2378">
        <v>0.11</v>
      </c>
      <c r="E16" s="2378">
        <v>1.24</v>
      </c>
      <c r="F16" s="2378">
        <v>0</v>
      </c>
      <c r="G16" s="2378">
        <v>0</v>
      </c>
      <c r="H16" s="2378">
        <v>1.24</v>
      </c>
      <c r="I16" s="931"/>
      <c r="J16" s="2377" t="s">
        <v>20295</v>
      </c>
      <c r="K16" s="2377" t="s">
        <v>20295</v>
      </c>
      <c r="L16" s="1104">
        <v>58.428626165543903</v>
      </c>
      <c r="M16" s="1104">
        <v>36.056499942833298</v>
      </c>
      <c r="T16" s="1419"/>
    </row>
    <row r="17" spans="1:20" ht="15" customHeight="1" x14ac:dyDescent="0.25">
      <c r="A17" s="2377" t="s">
        <v>899</v>
      </c>
      <c r="B17" s="2377" t="s">
        <v>20307</v>
      </c>
      <c r="C17" s="1421" t="s">
        <v>20142</v>
      </c>
      <c r="D17" s="2378">
        <v>0.17</v>
      </c>
      <c r="E17" s="2378">
        <v>0.83</v>
      </c>
      <c r="F17" s="2378">
        <v>0</v>
      </c>
      <c r="G17" s="2378">
        <v>0</v>
      </c>
      <c r="H17" s="2378">
        <v>0.83</v>
      </c>
      <c r="I17" s="931"/>
      <c r="J17" s="2377" t="s">
        <v>20295</v>
      </c>
      <c r="K17" s="2377" t="s">
        <v>20295</v>
      </c>
      <c r="L17" s="1104">
        <v>58.073911711186597</v>
      </c>
      <c r="M17" s="1104">
        <v>37.458219408843</v>
      </c>
      <c r="T17" s="1419"/>
    </row>
    <row r="18" spans="1:20" ht="15" customHeight="1" x14ac:dyDescent="0.25">
      <c r="A18" s="2377" t="s">
        <v>900</v>
      </c>
      <c r="B18" s="2377" t="s">
        <v>20307</v>
      </c>
      <c r="C18" s="1421" t="s">
        <v>20301</v>
      </c>
      <c r="D18" s="2378">
        <v>0.31</v>
      </c>
      <c r="E18" s="2378">
        <v>0.46</v>
      </c>
      <c r="F18" s="2378">
        <v>0</v>
      </c>
      <c r="G18" s="2378">
        <v>0</v>
      </c>
      <c r="H18" s="2378">
        <v>0.46</v>
      </c>
      <c r="I18" s="931"/>
      <c r="J18" s="2377" t="s">
        <v>20295</v>
      </c>
      <c r="K18" s="2377" t="s">
        <v>20295</v>
      </c>
      <c r="L18" s="1104">
        <v>57.945378137461198</v>
      </c>
      <c r="M18" s="1104">
        <v>35.612907709664398</v>
      </c>
      <c r="T18" s="1419"/>
    </row>
    <row r="19" spans="1:20" ht="15" customHeight="1" x14ac:dyDescent="0.25">
      <c r="A19" s="2377" t="s">
        <v>901</v>
      </c>
      <c r="B19" s="2377" t="s">
        <v>20308</v>
      </c>
      <c r="C19" s="1421" t="s">
        <v>20306</v>
      </c>
      <c r="D19" s="2378">
        <v>0.36</v>
      </c>
      <c r="E19" s="2378">
        <v>0.9900000000000001</v>
      </c>
      <c r="F19" s="2378">
        <v>0</v>
      </c>
      <c r="G19" s="2378">
        <v>0</v>
      </c>
      <c r="H19" s="2378">
        <v>0.9900000000000001</v>
      </c>
      <c r="I19" s="931"/>
      <c r="J19" s="2377" t="s">
        <v>20295</v>
      </c>
      <c r="K19" s="2377" t="s">
        <v>20295</v>
      </c>
      <c r="L19" s="1104">
        <v>58.569690881537397</v>
      </c>
      <c r="M19" s="1104">
        <v>36.8172060846967</v>
      </c>
      <c r="T19" s="1419"/>
    </row>
    <row r="20" spans="1:20" ht="15" customHeight="1" x14ac:dyDescent="0.25">
      <c r="A20" s="2377" t="s">
        <v>902</v>
      </c>
      <c r="B20" s="2377" t="s">
        <v>20309</v>
      </c>
      <c r="C20" s="1421" t="s">
        <v>20294</v>
      </c>
      <c r="D20" s="2378">
        <v>0.1</v>
      </c>
      <c r="E20" s="2378">
        <v>0.6</v>
      </c>
      <c r="F20" s="2378">
        <v>0</v>
      </c>
      <c r="G20" s="2378">
        <v>0</v>
      </c>
      <c r="H20" s="2378">
        <v>0.6</v>
      </c>
      <c r="I20" s="931"/>
      <c r="J20" s="2377" t="s">
        <v>20295</v>
      </c>
      <c r="K20" s="2377" t="s">
        <v>20295</v>
      </c>
      <c r="L20" s="1104">
        <v>58.356999572089698</v>
      </c>
      <c r="M20" s="1104">
        <v>37.282068566898502</v>
      </c>
      <c r="T20" s="1419"/>
    </row>
    <row r="21" spans="1:20" ht="15" customHeight="1" x14ac:dyDescent="0.25">
      <c r="A21" s="2377" t="s">
        <v>903</v>
      </c>
      <c r="B21" s="2377" t="s">
        <v>20309</v>
      </c>
      <c r="C21" s="1421" t="s">
        <v>20301</v>
      </c>
      <c r="D21" s="2378">
        <v>0.13</v>
      </c>
      <c r="E21" s="2378">
        <v>1.19</v>
      </c>
      <c r="F21" s="2378">
        <v>0</v>
      </c>
      <c r="G21" s="2378">
        <v>0</v>
      </c>
      <c r="H21" s="2378">
        <v>1.19</v>
      </c>
      <c r="I21" s="931"/>
      <c r="J21" s="2377" t="s">
        <v>20295</v>
      </c>
      <c r="K21" s="2377" t="s">
        <v>20295</v>
      </c>
      <c r="L21" s="1104">
        <v>58.386669943226799</v>
      </c>
      <c r="M21" s="1104">
        <v>35.505461550146997</v>
      </c>
      <c r="T21" s="1419"/>
    </row>
    <row r="22" spans="1:20" ht="15" customHeight="1" x14ac:dyDescent="0.25">
      <c r="A22" s="2377" t="s">
        <v>904</v>
      </c>
      <c r="B22" s="2377" t="s">
        <v>20310</v>
      </c>
      <c r="C22" s="1421" t="s">
        <v>20301</v>
      </c>
      <c r="D22" s="2378">
        <v>0.16</v>
      </c>
      <c r="E22" s="2378">
        <v>0.75</v>
      </c>
      <c r="F22" s="2378">
        <v>0</v>
      </c>
      <c r="G22" s="2378">
        <v>0</v>
      </c>
      <c r="H22" s="2378">
        <v>0.75</v>
      </c>
      <c r="I22" s="931"/>
      <c r="J22" s="2377" t="s">
        <v>20295</v>
      </c>
      <c r="K22" s="2377" t="s">
        <v>20295</v>
      </c>
      <c r="L22" s="1104">
        <v>57.965807632511201</v>
      </c>
      <c r="M22" s="1104">
        <v>36.7677248637033</v>
      </c>
      <c r="T22" s="1419"/>
    </row>
    <row r="23" spans="1:20" ht="15" customHeight="1" x14ac:dyDescent="0.25">
      <c r="A23" s="2377" t="s">
        <v>905</v>
      </c>
      <c r="B23" s="2377" t="s">
        <v>20311</v>
      </c>
      <c r="C23" s="1421" t="s">
        <v>20294</v>
      </c>
      <c r="D23" s="2378">
        <v>7.0000000000000007E-2</v>
      </c>
      <c r="E23" s="2378">
        <v>0.6399999999999999</v>
      </c>
      <c r="F23" s="2378">
        <v>0</v>
      </c>
      <c r="G23" s="2378">
        <v>0</v>
      </c>
      <c r="H23" s="2378">
        <v>0.6399999999999999</v>
      </c>
      <c r="I23" s="931"/>
      <c r="J23" s="2377" t="s">
        <v>20295</v>
      </c>
      <c r="K23" s="2377" t="s">
        <v>20295</v>
      </c>
      <c r="L23" s="1104">
        <v>58.149171108863001</v>
      </c>
      <c r="M23" s="1104">
        <v>37.274005809245502</v>
      </c>
      <c r="T23" s="1419"/>
    </row>
    <row r="24" spans="1:20" ht="15" customHeight="1" x14ac:dyDescent="0.25">
      <c r="A24" s="2377" t="s">
        <v>906</v>
      </c>
      <c r="B24" s="2377" t="s">
        <v>20312</v>
      </c>
      <c r="C24" s="1421" t="s">
        <v>20294</v>
      </c>
      <c r="D24" s="2378">
        <v>0.15</v>
      </c>
      <c r="E24" s="2378">
        <v>0.57999999999999996</v>
      </c>
      <c r="F24" s="2378">
        <v>0</v>
      </c>
      <c r="G24" s="2378">
        <v>0</v>
      </c>
      <c r="H24" s="2378">
        <v>0.57999999999999996</v>
      </c>
      <c r="I24" s="931"/>
      <c r="J24" s="2377" t="s">
        <v>20295</v>
      </c>
      <c r="K24" s="2377" t="s">
        <v>20295</v>
      </c>
      <c r="L24" s="1104">
        <v>57.5473308204175</v>
      </c>
      <c r="M24" s="1104">
        <v>36.912513416981703</v>
      </c>
      <c r="T24" s="1419"/>
    </row>
    <row r="25" spans="1:20" ht="15" customHeight="1" x14ac:dyDescent="0.25">
      <c r="A25" s="2377" t="s">
        <v>907</v>
      </c>
      <c r="B25" s="2377" t="s">
        <v>20307</v>
      </c>
      <c r="C25" s="1421" t="s">
        <v>20301</v>
      </c>
      <c r="D25" s="2378">
        <v>0.26</v>
      </c>
      <c r="E25" s="2378">
        <v>0.42000000000000004</v>
      </c>
      <c r="F25" s="2378">
        <v>3.2608695652173912E-2</v>
      </c>
      <c r="G25" s="2378">
        <v>0</v>
      </c>
      <c r="H25" s="2378">
        <v>0.38739130434782615</v>
      </c>
      <c r="I25" s="931"/>
      <c r="J25" s="2377" t="s">
        <v>20295</v>
      </c>
      <c r="K25" s="2377" t="s">
        <v>20295</v>
      </c>
      <c r="L25" s="1104">
        <v>58.393354245935797</v>
      </c>
      <c r="M25" s="1104">
        <v>36.6002455407138</v>
      </c>
      <c r="T25" s="1419"/>
    </row>
    <row r="26" spans="1:20" ht="15" customHeight="1" x14ac:dyDescent="0.25">
      <c r="A26" s="2377" t="s">
        <v>908</v>
      </c>
      <c r="B26" s="2377" t="s">
        <v>20307</v>
      </c>
      <c r="C26" s="1421" t="s">
        <v>20294</v>
      </c>
      <c r="D26" s="2378">
        <v>0.53</v>
      </c>
      <c r="E26" s="2378">
        <v>0.15000000000000002</v>
      </c>
      <c r="F26" s="2378">
        <v>0</v>
      </c>
      <c r="G26" s="2378">
        <v>0</v>
      </c>
      <c r="H26" s="2378">
        <v>0.15000000000000002</v>
      </c>
      <c r="I26" s="931"/>
      <c r="J26" s="2377" t="s">
        <v>20295</v>
      </c>
      <c r="K26" s="2377" t="s">
        <v>20295</v>
      </c>
      <c r="L26" s="1104">
        <v>57.677359611616701</v>
      </c>
      <c r="M26" s="1104">
        <v>36.803990047399999</v>
      </c>
      <c r="T26" s="1419"/>
    </row>
    <row r="27" spans="1:20" ht="15" customHeight="1" x14ac:dyDescent="0.25">
      <c r="A27" s="2377" t="s">
        <v>909</v>
      </c>
      <c r="B27" s="2377" t="s">
        <v>20309</v>
      </c>
      <c r="C27" s="1421" t="s">
        <v>20301</v>
      </c>
      <c r="D27" s="2378">
        <v>0.11</v>
      </c>
      <c r="E27" s="2378">
        <v>1.1599999999999999</v>
      </c>
      <c r="F27" s="2378">
        <v>0</v>
      </c>
      <c r="G27" s="2378">
        <v>0</v>
      </c>
      <c r="H27" s="2378">
        <v>1.1599999999999999</v>
      </c>
      <c r="I27" s="931"/>
      <c r="J27" s="2377" t="s">
        <v>20295</v>
      </c>
      <c r="K27" s="2377" t="s">
        <v>20295</v>
      </c>
      <c r="L27" s="1104">
        <v>57.4776533741978</v>
      </c>
      <c r="M27" s="1104">
        <v>36.6106506997791</v>
      </c>
      <c r="T27" s="1419"/>
    </row>
    <row r="28" spans="1:20" ht="15" customHeight="1" x14ac:dyDescent="0.25">
      <c r="A28" s="2377" t="s">
        <v>910</v>
      </c>
      <c r="B28" s="2377" t="s">
        <v>20300</v>
      </c>
      <c r="C28" s="1421" t="s">
        <v>20301</v>
      </c>
      <c r="D28" s="2378">
        <v>0.2</v>
      </c>
      <c r="E28" s="2378">
        <v>1.1700000000000002</v>
      </c>
      <c r="F28" s="2378">
        <v>0</v>
      </c>
      <c r="G28" s="2378">
        <v>0</v>
      </c>
      <c r="H28" s="2378">
        <v>1.1700000000000002</v>
      </c>
      <c r="I28" s="931"/>
      <c r="J28" s="2377" t="s">
        <v>20295</v>
      </c>
      <c r="K28" s="2377" t="s">
        <v>20295</v>
      </c>
      <c r="L28" s="1104">
        <v>57.538188854814599</v>
      </c>
      <c r="M28" s="1104">
        <v>35.975925033216697</v>
      </c>
      <c r="T28" s="1419"/>
    </row>
    <row r="29" spans="1:20" ht="15" customHeight="1" x14ac:dyDescent="0.25">
      <c r="A29" s="2377" t="s">
        <v>911</v>
      </c>
      <c r="B29" s="2377" t="s">
        <v>20313</v>
      </c>
      <c r="C29" s="1421" t="s">
        <v>20142</v>
      </c>
      <c r="D29" s="2378">
        <v>0.4</v>
      </c>
      <c r="E29" s="2378">
        <v>1.3599999999999999</v>
      </c>
      <c r="F29" s="2378">
        <v>0.43478260869565216</v>
      </c>
      <c r="G29" s="2378">
        <v>0</v>
      </c>
      <c r="H29" s="2378">
        <v>0.92521739130434777</v>
      </c>
      <c r="I29" s="931"/>
      <c r="J29" s="2377" t="s">
        <v>20295</v>
      </c>
      <c r="K29" s="2377" t="s">
        <v>20295</v>
      </c>
      <c r="L29" s="1104">
        <v>57.812227650658102</v>
      </c>
      <c r="M29" s="1104">
        <v>36.689438107678001</v>
      </c>
      <c r="T29" s="1419"/>
    </row>
    <row r="30" spans="1:20" ht="15" customHeight="1" x14ac:dyDescent="0.25">
      <c r="A30" s="2377" t="s">
        <v>912</v>
      </c>
      <c r="B30" s="2377" t="s">
        <v>20304</v>
      </c>
      <c r="C30" s="1421" t="s">
        <v>20306</v>
      </c>
      <c r="D30" s="2378">
        <v>0.76</v>
      </c>
      <c r="E30" s="2378">
        <v>-3.0000000000000027E-2</v>
      </c>
      <c r="F30" s="2378">
        <v>6.1141304347826081E-2</v>
      </c>
      <c r="G30" s="2378">
        <v>0</v>
      </c>
      <c r="H30" s="2378">
        <v>0</v>
      </c>
      <c r="I30" s="931"/>
      <c r="J30" s="2377" t="s">
        <v>20295</v>
      </c>
      <c r="K30" s="2377" t="s">
        <v>3333</v>
      </c>
      <c r="L30" s="1104">
        <v>58.464285994179797</v>
      </c>
      <c r="M30" s="1104">
        <v>37.371467100750998</v>
      </c>
      <c r="T30" s="1419"/>
    </row>
    <row r="31" spans="1:20" ht="15" customHeight="1" x14ac:dyDescent="0.25">
      <c r="A31" s="2377" t="s">
        <v>913</v>
      </c>
      <c r="B31" s="2377" t="s">
        <v>20314</v>
      </c>
      <c r="C31" s="1421" t="s">
        <v>20301</v>
      </c>
      <c r="D31" s="2378">
        <v>0.25</v>
      </c>
      <c r="E31" s="2378">
        <v>0.5</v>
      </c>
      <c r="F31" s="2378">
        <v>0</v>
      </c>
      <c r="G31" s="2378">
        <v>0</v>
      </c>
      <c r="H31" s="2378">
        <v>0.5</v>
      </c>
      <c r="I31" s="931"/>
      <c r="J31" s="2377" t="s">
        <v>20295</v>
      </c>
      <c r="K31" s="2377" t="s">
        <v>20295</v>
      </c>
      <c r="L31" s="1104">
        <v>58.205023586651599</v>
      </c>
      <c r="M31" s="1104">
        <v>36.486957046222798</v>
      </c>
      <c r="T31" s="1419"/>
    </row>
    <row r="32" spans="1:20" ht="15" customHeight="1" x14ac:dyDescent="0.25">
      <c r="A32" s="2377" t="s">
        <v>914</v>
      </c>
      <c r="B32" s="2377" t="s">
        <v>20302</v>
      </c>
      <c r="C32" s="1421" t="s">
        <v>20315</v>
      </c>
      <c r="D32" s="2378">
        <v>0.71</v>
      </c>
      <c r="E32" s="2378">
        <v>0.8600000000000001</v>
      </c>
      <c r="F32" s="2378">
        <v>0</v>
      </c>
      <c r="G32" s="2378">
        <v>0</v>
      </c>
      <c r="H32" s="2378">
        <v>0.8600000000000001</v>
      </c>
      <c r="I32" s="931"/>
      <c r="J32" s="2377" t="s">
        <v>20295</v>
      </c>
      <c r="K32" s="2377" t="s">
        <v>20295</v>
      </c>
      <c r="L32" s="1104">
        <v>57.782564746760997</v>
      </c>
      <c r="M32" s="1104">
        <v>36.630738308910203</v>
      </c>
      <c r="T32" s="1419"/>
    </row>
    <row r="33" spans="1:20" ht="15" customHeight="1" x14ac:dyDescent="0.25">
      <c r="A33" s="2377" t="s">
        <v>915</v>
      </c>
      <c r="B33" s="2377" t="s">
        <v>20299</v>
      </c>
      <c r="C33" s="1421" t="s">
        <v>20301</v>
      </c>
      <c r="D33" s="2378">
        <v>0.13</v>
      </c>
      <c r="E33" s="2378">
        <v>0.83</v>
      </c>
      <c r="F33" s="2378">
        <v>0</v>
      </c>
      <c r="G33" s="2378">
        <v>0</v>
      </c>
      <c r="H33" s="2378">
        <v>0.83</v>
      </c>
      <c r="I33" s="931"/>
      <c r="J33" s="2377" t="s">
        <v>20295</v>
      </c>
      <c r="K33" s="2377" t="s">
        <v>20295</v>
      </c>
      <c r="L33" s="1104">
        <v>57.708587303994101</v>
      </c>
      <c r="M33" s="1104">
        <v>36.505252512965001</v>
      </c>
      <c r="T33" s="1419"/>
    </row>
    <row r="34" spans="1:20" ht="15" customHeight="1" x14ac:dyDescent="0.25">
      <c r="A34" s="2377" t="s">
        <v>916</v>
      </c>
      <c r="B34" s="2377" t="s">
        <v>20316</v>
      </c>
      <c r="C34" s="1421" t="s">
        <v>20301</v>
      </c>
      <c r="D34" s="2378">
        <v>0.52</v>
      </c>
      <c r="E34" s="2378">
        <v>0.36</v>
      </c>
      <c r="F34" s="2378">
        <v>0</v>
      </c>
      <c r="G34" s="2378">
        <v>0</v>
      </c>
      <c r="H34" s="2378">
        <v>0.36</v>
      </c>
      <c r="I34" s="931"/>
      <c r="J34" s="2377" t="s">
        <v>20295</v>
      </c>
      <c r="K34" s="2377" t="s">
        <v>20295</v>
      </c>
      <c r="L34" s="1104">
        <v>57.830694932763102</v>
      </c>
      <c r="M34" s="1104">
        <v>35.631129064387302</v>
      </c>
      <c r="T34" s="1419"/>
    </row>
    <row r="35" spans="1:20" ht="15" customHeight="1" x14ac:dyDescent="0.25">
      <c r="A35" s="2377" t="s">
        <v>917</v>
      </c>
      <c r="B35" s="2377" t="s">
        <v>20317</v>
      </c>
      <c r="C35" s="1421" t="s">
        <v>20132</v>
      </c>
      <c r="D35" s="2378">
        <v>0.72</v>
      </c>
      <c r="E35" s="2378">
        <v>2.2000000000000002</v>
      </c>
      <c r="F35" s="2378">
        <v>6.9293478260869568E-2</v>
      </c>
      <c r="G35" s="2378">
        <v>0.10625</v>
      </c>
      <c r="H35" s="2378">
        <v>2.1307065217391301</v>
      </c>
      <c r="I35" s="931"/>
      <c r="J35" s="2377" t="s">
        <v>20295</v>
      </c>
      <c r="K35" s="2377" t="s">
        <v>20295</v>
      </c>
      <c r="L35" s="1104">
        <v>57.776523504667999</v>
      </c>
      <c r="M35" s="1104">
        <v>36.718058575477002</v>
      </c>
      <c r="T35" s="1419"/>
    </row>
    <row r="36" spans="1:20" ht="15" customHeight="1" x14ac:dyDescent="0.25">
      <c r="A36" s="2377" t="s">
        <v>918</v>
      </c>
      <c r="B36" s="2377" t="s">
        <v>20304</v>
      </c>
      <c r="C36" s="1421" t="s">
        <v>3654</v>
      </c>
      <c r="D36" s="2378">
        <v>4.92</v>
      </c>
      <c r="E36" s="2378">
        <v>8.0000000000000071E-2</v>
      </c>
      <c r="F36" s="2378">
        <v>0</v>
      </c>
      <c r="G36" s="2378">
        <v>0</v>
      </c>
      <c r="H36" s="2378">
        <v>8.0000000000000071E-2</v>
      </c>
      <c r="I36" s="931"/>
      <c r="J36" s="2377" t="s">
        <v>20295</v>
      </c>
      <c r="K36" s="2377" t="s">
        <v>20295</v>
      </c>
      <c r="L36" s="1104">
        <v>57.780753789986697</v>
      </c>
      <c r="M36" s="1104">
        <v>37.171410467278399</v>
      </c>
      <c r="T36" s="1419"/>
    </row>
    <row r="37" spans="1:20" ht="15" customHeight="1" x14ac:dyDescent="0.25">
      <c r="A37" s="2377" t="s">
        <v>919</v>
      </c>
      <c r="B37" s="2377" t="s">
        <v>20300</v>
      </c>
      <c r="C37" s="1421" t="s">
        <v>20315</v>
      </c>
      <c r="D37" s="2378">
        <v>0.85000000000000009</v>
      </c>
      <c r="E37" s="2378">
        <v>-0.56000000000000005</v>
      </c>
      <c r="F37" s="2378">
        <v>6.1141304347826081E-2</v>
      </c>
      <c r="G37" s="2378">
        <v>0</v>
      </c>
      <c r="H37" s="2378">
        <v>0</v>
      </c>
      <c r="I37" s="931"/>
      <c r="J37" s="2377" t="s">
        <v>20295</v>
      </c>
      <c r="K37" s="2377" t="s">
        <v>3333</v>
      </c>
      <c r="L37" s="1104">
        <v>58.547368724877003</v>
      </c>
      <c r="M37" s="1104">
        <v>37.081294891711501</v>
      </c>
      <c r="T37" s="1419"/>
    </row>
    <row r="38" spans="1:20" ht="19.5" customHeight="1" x14ac:dyDescent="0.25">
      <c r="A38" s="2380" t="s">
        <v>1768</v>
      </c>
      <c r="B38" s="2386"/>
      <c r="C38" s="2385"/>
      <c r="D38" s="2378">
        <v>0.56000000000000005</v>
      </c>
      <c r="E38" s="2378">
        <v>0</v>
      </c>
      <c r="F38" s="2378"/>
      <c r="G38" s="2378">
        <v>0</v>
      </c>
      <c r="H38" s="2378">
        <v>0</v>
      </c>
      <c r="I38" s="2378"/>
      <c r="J38" s="2377" t="s">
        <v>20295</v>
      </c>
      <c r="K38" s="2377" t="s">
        <v>20295</v>
      </c>
      <c r="L38" s="1104">
        <v>58.547368724877003</v>
      </c>
      <c r="M38" s="1104">
        <v>37.081294891711501</v>
      </c>
    </row>
    <row r="39" spans="1:20" ht="20.100000000000001" customHeight="1" x14ac:dyDescent="0.25">
      <c r="A39" s="2377" t="s">
        <v>1767</v>
      </c>
      <c r="B39" s="2384"/>
      <c r="C39" s="2385"/>
      <c r="D39" s="2378">
        <v>0.28999999999999998</v>
      </c>
      <c r="E39" s="2378">
        <v>0</v>
      </c>
      <c r="F39" s="2378"/>
      <c r="G39" s="2378">
        <v>0</v>
      </c>
      <c r="H39" s="2378">
        <v>0</v>
      </c>
      <c r="I39" s="2378"/>
      <c r="J39" s="2377" t="s">
        <v>20295</v>
      </c>
      <c r="K39" s="2377" t="s">
        <v>20295</v>
      </c>
      <c r="L39" s="1104">
        <v>58.547368724877003</v>
      </c>
      <c r="M39" s="1104">
        <v>37.081294891711501</v>
      </c>
    </row>
    <row r="40" spans="1:20" ht="15" customHeight="1" x14ac:dyDescent="0.25">
      <c r="A40" s="2377" t="s">
        <v>920</v>
      </c>
      <c r="B40" s="2377" t="s">
        <v>20309</v>
      </c>
      <c r="C40" s="1421" t="s">
        <v>20315</v>
      </c>
      <c r="D40" s="2378">
        <v>0.71</v>
      </c>
      <c r="E40" s="2378">
        <v>-0.12</v>
      </c>
      <c r="F40" s="2378">
        <v>0</v>
      </c>
      <c r="G40" s="2378">
        <v>0</v>
      </c>
      <c r="H40" s="2378">
        <v>0</v>
      </c>
      <c r="I40" s="931"/>
      <c r="J40" s="2377" t="s">
        <v>20295</v>
      </c>
      <c r="K40" s="2377" t="s">
        <v>3333</v>
      </c>
      <c r="L40" s="1104">
        <v>58.413755079792601</v>
      </c>
      <c r="M40" s="1104">
        <v>37.073295478038403</v>
      </c>
      <c r="T40" s="1419"/>
    </row>
    <row r="41" spans="1:20" ht="20.100000000000001" customHeight="1" x14ac:dyDescent="0.25">
      <c r="A41" s="2380" t="s">
        <v>1768</v>
      </c>
      <c r="B41" s="2386"/>
      <c r="C41" s="2385"/>
      <c r="D41" s="2378">
        <v>0.12</v>
      </c>
      <c r="E41" s="2378">
        <v>0</v>
      </c>
      <c r="F41" s="2378"/>
      <c r="G41" s="2378">
        <v>0</v>
      </c>
      <c r="H41" s="2378">
        <v>0</v>
      </c>
      <c r="I41" s="2378"/>
      <c r="J41" s="2377" t="s">
        <v>20295</v>
      </c>
      <c r="K41" s="2377" t="s">
        <v>20295</v>
      </c>
      <c r="L41" s="1104">
        <v>58.413755079792601</v>
      </c>
      <c r="M41" s="1104">
        <v>37.073295478038403</v>
      </c>
    </row>
    <row r="42" spans="1:20" ht="20.100000000000001" customHeight="1" x14ac:dyDescent="0.25">
      <c r="A42" s="2377" t="s">
        <v>1767</v>
      </c>
      <c r="B42" s="2384"/>
      <c r="C42" s="2385"/>
      <c r="D42" s="2378">
        <v>0.59</v>
      </c>
      <c r="E42" s="2378">
        <v>0</v>
      </c>
      <c r="F42" s="2378"/>
      <c r="G42" s="2378">
        <v>0</v>
      </c>
      <c r="H42" s="2378">
        <v>0</v>
      </c>
      <c r="I42" s="2378"/>
      <c r="J42" s="2377" t="s">
        <v>20295</v>
      </c>
      <c r="K42" s="2377" t="s">
        <v>20295</v>
      </c>
      <c r="L42" s="1104">
        <v>58.413755079792601</v>
      </c>
      <c r="M42" s="1104">
        <v>37.073295478038403</v>
      </c>
    </row>
    <row r="43" spans="1:20" ht="15" customHeight="1" x14ac:dyDescent="0.25">
      <c r="A43" s="2377" t="s">
        <v>921</v>
      </c>
      <c r="B43" s="2377" t="s">
        <v>20318</v>
      </c>
      <c r="C43" s="1421" t="s">
        <v>20319</v>
      </c>
      <c r="D43" s="2378">
        <v>0.54</v>
      </c>
      <c r="E43" s="2378">
        <v>-0.13</v>
      </c>
      <c r="F43" s="2378">
        <v>0</v>
      </c>
      <c r="G43" s="2378">
        <v>0</v>
      </c>
      <c r="H43" s="2378">
        <v>0</v>
      </c>
      <c r="I43" s="931"/>
      <c r="J43" s="2377" t="s">
        <v>20295</v>
      </c>
      <c r="K43" s="2377" t="s">
        <v>3333</v>
      </c>
      <c r="L43" s="1104">
        <v>57.564684502073497</v>
      </c>
      <c r="M43" s="1104">
        <v>36.316230032992799</v>
      </c>
      <c r="T43" s="1419"/>
    </row>
    <row r="44" spans="1:20" ht="20.100000000000001" customHeight="1" x14ac:dyDescent="0.25">
      <c r="A44" s="2380" t="s">
        <v>1768</v>
      </c>
      <c r="B44" s="2386"/>
      <c r="C44" s="2385"/>
      <c r="D44" s="2378">
        <v>0.13</v>
      </c>
      <c r="E44" s="2378">
        <v>0</v>
      </c>
      <c r="F44" s="2378"/>
      <c r="G44" s="2378">
        <v>0</v>
      </c>
      <c r="H44" s="2378">
        <v>0</v>
      </c>
      <c r="I44" s="2378"/>
      <c r="J44" s="2377" t="s">
        <v>20295</v>
      </c>
      <c r="K44" s="2377" t="s">
        <v>20295</v>
      </c>
      <c r="L44" s="1104">
        <v>57.564684502073497</v>
      </c>
      <c r="M44" s="1104">
        <v>36.316230032992799</v>
      </c>
    </row>
    <row r="45" spans="1:20" ht="20.100000000000001" customHeight="1" x14ac:dyDescent="0.25">
      <c r="A45" s="2377" t="s">
        <v>1767</v>
      </c>
      <c r="B45" s="2384"/>
      <c r="C45" s="2385"/>
      <c r="D45" s="2378">
        <v>0.41</v>
      </c>
      <c r="E45" s="2378">
        <v>0</v>
      </c>
      <c r="F45" s="2378"/>
      <c r="G45" s="2378">
        <v>0</v>
      </c>
      <c r="H45" s="2378">
        <v>0</v>
      </c>
      <c r="I45" s="2378"/>
      <c r="J45" s="2377" t="s">
        <v>20295</v>
      </c>
      <c r="K45" s="2377" t="s">
        <v>20295</v>
      </c>
      <c r="L45" s="1104">
        <v>57.564684502073497</v>
      </c>
      <c r="M45" s="1104">
        <v>36.316230032992799</v>
      </c>
    </row>
    <row r="46" spans="1:20" ht="15" customHeight="1" x14ac:dyDescent="0.25">
      <c r="A46" s="2377" t="s">
        <v>922</v>
      </c>
      <c r="B46" s="2377" t="s">
        <v>20320</v>
      </c>
      <c r="C46" s="1421" t="s">
        <v>20315</v>
      </c>
      <c r="D46" s="2378">
        <v>2.33</v>
      </c>
      <c r="E46" s="2378">
        <v>0.74</v>
      </c>
      <c r="F46" s="2378">
        <v>0</v>
      </c>
      <c r="G46" s="2378">
        <v>4.9999999999999996E-2</v>
      </c>
      <c r="H46" s="2378">
        <v>0.74</v>
      </c>
      <c r="I46" s="931"/>
      <c r="J46" s="2377" t="s">
        <v>20295</v>
      </c>
      <c r="K46" s="2377" t="s">
        <v>20295</v>
      </c>
      <c r="L46" s="1104">
        <v>58.2898085836852</v>
      </c>
      <c r="M46" s="1104">
        <v>36.138191362349801</v>
      </c>
      <c r="T46" s="1419"/>
    </row>
    <row r="47" spans="1:20" x14ac:dyDescent="0.25">
      <c r="A47" s="2380" t="s">
        <v>1768</v>
      </c>
      <c r="B47" s="2386"/>
      <c r="C47" s="2385"/>
      <c r="D47" s="2378">
        <v>2.12</v>
      </c>
      <c r="E47" s="2378">
        <v>0</v>
      </c>
      <c r="F47" s="2378"/>
      <c r="G47" s="2378">
        <v>4.9999999999999996E-2</v>
      </c>
      <c r="H47" s="2378">
        <v>4.9999999999999996E-2</v>
      </c>
      <c r="I47" s="2378"/>
      <c r="J47" s="2377" t="s">
        <v>20295</v>
      </c>
      <c r="K47" s="2377" t="s">
        <v>20295</v>
      </c>
      <c r="L47" s="1104">
        <v>58.2898085836852</v>
      </c>
      <c r="M47" s="1104">
        <v>36.138191362349801</v>
      </c>
    </row>
    <row r="48" spans="1:20" x14ac:dyDescent="0.25">
      <c r="A48" s="2377" t="s">
        <v>1767</v>
      </c>
      <c r="B48" s="2384"/>
      <c r="C48" s="2385"/>
      <c r="D48" s="2378">
        <v>0.21</v>
      </c>
      <c r="E48" s="2378">
        <v>0</v>
      </c>
      <c r="F48" s="2378"/>
      <c r="G48" s="2378">
        <v>0</v>
      </c>
      <c r="H48" s="2378">
        <v>0</v>
      </c>
      <c r="I48" s="2378"/>
      <c r="J48" s="2377" t="s">
        <v>20295</v>
      </c>
      <c r="K48" s="2377" t="s">
        <v>20295</v>
      </c>
      <c r="L48" s="1104">
        <v>58.2898085836852</v>
      </c>
      <c r="M48" s="1104">
        <v>36.138191362349801</v>
      </c>
    </row>
    <row r="49" spans="1:20" ht="15" customHeight="1" x14ac:dyDescent="0.25">
      <c r="A49" s="2377" t="s">
        <v>923</v>
      </c>
      <c r="B49" s="2377" t="s">
        <v>20321</v>
      </c>
      <c r="C49" s="1421" t="s">
        <v>20322</v>
      </c>
      <c r="D49" s="2378">
        <v>0.05</v>
      </c>
      <c r="E49" s="2378">
        <v>1.69</v>
      </c>
      <c r="F49" s="2378">
        <v>0</v>
      </c>
      <c r="G49" s="2378">
        <v>0</v>
      </c>
      <c r="H49" s="2378">
        <v>1.69</v>
      </c>
      <c r="I49" s="931"/>
      <c r="J49" s="2377" t="s">
        <v>20295</v>
      </c>
      <c r="K49" s="2377" t="s">
        <v>20295</v>
      </c>
      <c r="L49" s="1104">
        <v>58.285012691051499</v>
      </c>
      <c r="M49" s="1104">
        <v>36.678206871206797</v>
      </c>
      <c r="T49" s="1419"/>
    </row>
    <row r="50" spans="1:20" ht="15" customHeight="1" x14ac:dyDescent="0.25">
      <c r="A50" s="2377" t="s">
        <v>924</v>
      </c>
      <c r="B50" s="2377" t="s">
        <v>20323</v>
      </c>
      <c r="C50" s="1421" t="s">
        <v>20324</v>
      </c>
      <c r="D50" s="2378">
        <v>1.87</v>
      </c>
      <c r="E50" s="2378">
        <v>2.2249999999999996</v>
      </c>
      <c r="F50" s="2378">
        <v>0</v>
      </c>
      <c r="G50" s="2378">
        <v>4.9999999999999996E-2</v>
      </c>
      <c r="H50" s="2378">
        <v>2.2249999999999996</v>
      </c>
      <c r="I50" s="931"/>
      <c r="J50" s="2377" t="s">
        <v>20295</v>
      </c>
      <c r="K50" s="2377" t="s">
        <v>20295</v>
      </c>
      <c r="L50" s="1104">
        <v>58.2957611052909</v>
      </c>
      <c r="M50" s="1104">
        <v>35.522793476085099</v>
      </c>
      <c r="T50" s="1419"/>
    </row>
    <row r="51" spans="1:20" ht="15" customHeight="1" x14ac:dyDescent="0.25">
      <c r="A51" s="2377" t="s">
        <v>925</v>
      </c>
      <c r="B51" s="2377" t="s">
        <v>20325</v>
      </c>
      <c r="C51" s="1421" t="s">
        <v>20326</v>
      </c>
      <c r="D51" s="2378">
        <v>4.6500000000000004</v>
      </c>
      <c r="E51" s="2378">
        <v>1.2799999999999998</v>
      </c>
      <c r="F51" s="2378">
        <v>0.18570652173913044</v>
      </c>
      <c r="G51" s="2378">
        <v>0.12375</v>
      </c>
      <c r="H51" s="2378">
        <v>1.0942934782608691</v>
      </c>
      <c r="I51" s="931"/>
      <c r="J51" s="2377" t="s">
        <v>20295</v>
      </c>
      <c r="K51" s="2377" t="s">
        <v>20295</v>
      </c>
      <c r="L51" s="1104">
        <v>57.775240333090302</v>
      </c>
      <c r="M51" s="1104">
        <v>35.932209388654101</v>
      </c>
      <c r="T51" s="1419"/>
    </row>
    <row r="52" spans="1:20" ht="15" customHeight="1" x14ac:dyDescent="0.25">
      <c r="A52" s="2377" t="s">
        <v>926</v>
      </c>
      <c r="B52" s="2377" t="s">
        <v>20327</v>
      </c>
      <c r="C52" s="1421" t="s">
        <v>20328</v>
      </c>
      <c r="D52" s="2378">
        <v>1.79</v>
      </c>
      <c r="E52" s="2378">
        <v>1.9550000000000001</v>
      </c>
      <c r="F52" s="2378">
        <v>0.13108695652173913</v>
      </c>
      <c r="G52" s="2378">
        <v>3.7499999999999999E-2</v>
      </c>
      <c r="H52" s="2378">
        <v>1.8239130434782609</v>
      </c>
      <c r="I52" s="931"/>
      <c r="J52" s="2377" t="s">
        <v>20295</v>
      </c>
      <c r="K52" s="2377" t="s">
        <v>20295</v>
      </c>
      <c r="L52" s="1104">
        <v>58.149503084579898</v>
      </c>
      <c r="M52" s="1104">
        <v>36.754327949918697</v>
      </c>
      <c r="T52" s="1419"/>
    </row>
    <row r="53" spans="1:20" ht="15" customHeight="1" x14ac:dyDescent="0.25">
      <c r="A53" s="2377" t="s">
        <v>927</v>
      </c>
      <c r="B53" s="2377" t="s">
        <v>20316</v>
      </c>
      <c r="C53" s="1421" t="s">
        <v>20329</v>
      </c>
      <c r="D53" s="2378">
        <v>0.18</v>
      </c>
      <c r="E53" s="2378">
        <v>2.4449999999999998</v>
      </c>
      <c r="F53" s="2378">
        <v>0</v>
      </c>
      <c r="G53" s="2378">
        <v>0</v>
      </c>
      <c r="H53" s="2378">
        <v>2.4449999999999998</v>
      </c>
      <c r="I53" s="931"/>
      <c r="J53" s="2377" t="s">
        <v>20295</v>
      </c>
      <c r="K53" s="2377" t="s">
        <v>20295</v>
      </c>
      <c r="L53" s="1104">
        <v>58.064675135796001</v>
      </c>
      <c r="M53" s="1104">
        <v>36.619704493160597</v>
      </c>
      <c r="T53" s="1419"/>
    </row>
    <row r="54" spans="1:20" ht="15" customHeight="1" x14ac:dyDescent="0.25">
      <c r="A54" s="2377" t="s">
        <v>928</v>
      </c>
      <c r="B54" s="2377" t="s">
        <v>20330</v>
      </c>
      <c r="C54" s="1421" t="s">
        <v>20331</v>
      </c>
      <c r="D54" s="2378">
        <v>1.1200000000000001</v>
      </c>
      <c r="E54" s="2378">
        <v>1.99</v>
      </c>
      <c r="F54" s="2378">
        <v>0</v>
      </c>
      <c r="G54" s="2378">
        <v>0</v>
      </c>
      <c r="H54" s="2378">
        <v>1.99</v>
      </c>
      <c r="I54" s="931"/>
      <c r="J54" s="2377" t="s">
        <v>20295</v>
      </c>
      <c r="K54" s="2377" t="s">
        <v>20295</v>
      </c>
      <c r="L54" s="1104">
        <v>57.632090002592399</v>
      </c>
      <c r="M54" s="1104">
        <v>35.908846469797197</v>
      </c>
      <c r="T54" s="1419"/>
    </row>
    <row r="55" spans="1:20" ht="15" customHeight="1" x14ac:dyDescent="0.25">
      <c r="A55" s="2377" t="s">
        <v>929</v>
      </c>
      <c r="B55" s="2377" t="s">
        <v>20327</v>
      </c>
      <c r="C55" s="1421" t="s">
        <v>20332</v>
      </c>
      <c r="D55" s="2378">
        <v>3.8</v>
      </c>
      <c r="E55" s="2378">
        <v>1.7700000000000005</v>
      </c>
      <c r="F55" s="2378">
        <v>0</v>
      </c>
      <c r="G55" s="2378">
        <v>0</v>
      </c>
      <c r="H55" s="2378">
        <v>1.7700000000000005</v>
      </c>
      <c r="I55" s="931"/>
      <c r="J55" s="2377" t="s">
        <v>20295</v>
      </c>
      <c r="K55" s="2377" t="s">
        <v>20295</v>
      </c>
      <c r="L55" s="1104">
        <v>57.781191947557701</v>
      </c>
      <c r="M55" s="1104">
        <v>37.158502657856097</v>
      </c>
      <c r="T55" s="1419"/>
    </row>
    <row r="56" spans="1:20" ht="15" customHeight="1" x14ac:dyDescent="0.25">
      <c r="A56" s="2377" t="s">
        <v>930</v>
      </c>
      <c r="B56" s="2377" t="s">
        <v>20299</v>
      </c>
      <c r="C56" s="1421" t="s">
        <v>20331</v>
      </c>
      <c r="D56" s="2378">
        <v>0.43</v>
      </c>
      <c r="E56" s="2378">
        <v>1.9800000000000002</v>
      </c>
      <c r="F56" s="2378">
        <v>0</v>
      </c>
      <c r="G56" s="2378">
        <v>0</v>
      </c>
      <c r="H56" s="2378">
        <v>1.9800000000000002</v>
      </c>
      <c r="I56" s="931"/>
      <c r="J56" s="2377" t="s">
        <v>20295</v>
      </c>
      <c r="K56" s="2377" t="s">
        <v>20295</v>
      </c>
      <c r="L56" s="1104">
        <v>57.966819952449299</v>
      </c>
      <c r="M56" s="1104">
        <v>36.8193100945184</v>
      </c>
      <c r="T56" s="1419"/>
    </row>
    <row r="57" spans="1:20" ht="15" customHeight="1" x14ac:dyDescent="0.25">
      <c r="A57" s="2377" t="s">
        <v>931</v>
      </c>
      <c r="B57" s="2377" t="s">
        <v>20330</v>
      </c>
      <c r="C57" s="1421" t="s">
        <v>20333</v>
      </c>
      <c r="D57" s="2378">
        <v>0.6</v>
      </c>
      <c r="E57" s="2378">
        <v>6.9950000000000001</v>
      </c>
      <c r="F57" s="2378">
        <v>2.0421195652173916</v>
      </c>
      <c r="G57" s="2378">
        <v>0</v>
      </c>
      <c r="H57" s="2378">
        <v>4.9528804347826085</v>
      </c>
      <c r="I57" s="931"/>
      <c r="J57" s="2377" t="s">
        <v>20295</v>
      </c>
      <c r="K57" s="2377" t="s">
        <v>20295</v>
      </c>
      <c r="L57" s="1104">
        <v>57.793758057565199</v>
      </c>
      <c r="M57" s="1104">
        <v>36.461193560361203</v>
      </c>
      <c r="T57" s="1419"/>
    </row>
    <row r="58" spans="1:20" ht="15" customHeight="1" x14ac:dyDescent="0.25">
      <c r="A58" s="2377" t="s">
        <v>932</v>
      </c>
      <c r="B58" s="2377" t="s">
        <v>20316</v>
      </c>
      <c r="C58" s="1421" t="s">
        <v>20333</v>
      </c>
      <c r="D58" s="2378">
        <v>4.0599999999999996</v>
      </c>
      <c r="E58" s="2378">
        <v>2.5550000000000006</v>
      </c>
      <c r="F58" s="2378">
        <v>0</v>
      </c>
      <c r="G58" s="2378">
        <v>0</v>
      </c>
      <c r="H58" s="2378">
        <v>2.5550000000000006</v>
      </c>
      <c r="I58" s="931"/>
      <c r="J58" s="2377" t="s">
        <v>20295</v>
      </c>
      <c r="K58" s="2377" t="s">
        <v>20295</v>
      </c>
      <c r="L58" s="1104">
        <v>58.650946279156003</v>
      </c>
      <c r="M58" s="1104">
        <v>37.250127302002099</v>
      </c>
      <c r="T58" s="1419"/>
    </row>
    <row r="59" spans="1:20" x14ac:dyDescent="0.25">
      <c r="A59" s="2380" t="s">
        <v>1768</v>
      </c>
      <c r="B59" s="2386"/>
      <c r="C59" s="2385"/>
      <c r="D59" s="2378">
        <v>0</v>
      </c>
      <c r="E59" s="2378">
        <v>0</v>
      </c>
      <c r="F59" s="2378"/>
      <c r="G59" s="2378">
        <v>0</v>
      </c>
      <c r="H59" s="2378">
        <v>0</v>
      </c>
      <c r="I59" s="2378"/>
      <c r="J59" s="2377" t="s">
        <v>20295</v>
      </c>
      <c r="K59" s="2377" t="s">
        <v>20295</v>
      </c>
      <c r="L59" s="1104">
        <v>58.650946279156003</v>
      </c>
      <c r="M59" s="1104">
        <v>37.250127302002099</v>
      </c>
    </row>
    <row r="60" spans="1:20" x14ac:dyDescent="0.25">
      <c r="A60" s="2377" t="s">
        <v>1767</v>
      </c>
      <c r="B60" s="2384"/>
      <c r="C60" s="2385"/>
      <c r="D60" s="2378">
        <v>4.0599999999999996</v>
      </c>
      <c r="E60" s="2378">
        <v>0</v>
      </c>
      <c r="F60" s="2378"/>
      <c r="G60" s="2378">
        <v>0</v>
      </c>
      <c r="H60" s="2378">
        <v>0</v>
      </c>
      <c r="I60" s="2378"/>
      <c r="J60" s="2377" t="s">
        <v>20295</v>
      </c>
      <c r="K60" s="2377" t="s">
        <v>20295</v>
      </c>
      <c r="L60" s="1104">
        <v>58.650946279156003</v>
      </c>
      <c r="M60" s="1104">
        <v>37.250127302002099</v>
      </c>
    </row>
    <row r="61" spans="1:20" ht="15" customHeight="1" x14ac:dyDescent="0.25">
      <c r="A61" s="2377" t="s">
        <v>933</v>
      </c>
      <c r="B61" s="2377" t="s">
        <v>20321</v>
      </c>
      <c r="C61" s="1421" t="s">
        <v>20334</v>
      </c>
      <c r="D61" s="2378">
        <v>11.1</v>
      </c>
      <c r="E61" s="2378">
        <v>17.649999999999999</v>
      </c>
      <c r="F61" s="2378">
        <v>0</v>
      </c>
      <c r="G61" s="2378">
        <v>0</v>
      </c>
      <c r="H61" s="2378">
        <v>17.649999999999999</v>
      </c>
      <c r="I61" s="931"/>
      <c r="J61" s="2377" t="s">
        <v>20295</v>
      </c>
      <c r="K61" s="2377" t="s">
        <v>20295</v>
      </c>
      <c r="L61" s="1104">
        <v>57.8020291616387</v>
      </c>
      <c r="M61" s="1104">
        <v>35.903628854152899</v>
      </c>
      <c r="T61" s="1419"/>
    </row>
    <row r="62" spans="1:20" x14ac:dyDescent="0.25">
      <c r="A62" s="2380" t="s">
        <v>1768</v>
      </c>
      <c r="B62" s="2386"/>
      <c r="C62" s="2385"/>
      <c r="D62" s="2378">
        <v>4.8</v>
      </c>
      <c r="E62" s="2378">
        <v>0</v>
      </c>
      <c r="F62" s="2378"/>
      <c r="G62" s="2378">
        <v>0</v>
      </c>
      <c r="H62" s="2378">
        <v>0</v>
      </c>
      <c r="I62" s="2378"/>
      <c r="J62" s="2377" t="s">
        <v>20295</v>
      </c>
      <c r="K62" s="2377" t="s">
        <v>20295</v>
      </c>
      <c r="L62" s="1104">
        <v>57.8020291616387</v>
      </c>
      <c r="M62" s="1104">
        <v>35.903628854152899</v>
      </c>
    </row>
    <row r="63" spans="1:20" x14ac:dyDescent="0.25">
      <c r="A63" s="2377" t="s">
        <v>1767</v>
      </c>
      <c r="B63" s="2384"/>
      <c r="C63" s="247"/>
      <c r="D63" s="2378">
        <v>6.3</v>
      </c>
      <c r="E63" s="2378">
        <v>0</v>
      </c>
      <c r="F63" s="2378"/>
      <c r="G63" s="2378">
        <v>0</v>
      </c>
      <c r="H63" s="2378">
        <v>0</v>
      </c>
      <c r="I63" s="2378"/>
      <c r="J63" s="2377" t="s">
        <v>20295</v>
      </c>
      <c r="K63" s="2377" t="s">
        <v>20295</v>
      </c>
      <c r="L63" s="1104">
        <v>57.8020291616387</v>
      </c>
      <c r="M63" s="1104">
        <v>35.903628854152899</v>
      </c>
    </row>
    <row r="64" spans="1:20" ht="15" customHeight="1" x14ac:dyDescent="0.25">
      <c r="A64" s="2377" t="s">
        <v>934</v>
      </c>
      <c r="B64" s="2377" t="s">
        <v>20335</v>
      </c>
      <c r="C64" s="1421" t="s">
        <v>20336</v>
      </c>
      <c r="D64" s="2378">
        <v>5.6099999999999994</v>
      </c>
      <c r="E64" s="2378">
        <v>5.15</v>
      </c>
      <c r="F64" s="2378">
        <v>2.0380434782608699E-2</v>
      </c>
      <c r="G64" s="2378">
        <v>0</v>
      </c>
      <c r="H64" s="2378">
        <v>5.1296195652173919</v>
      </c>
      <c r="I64" s="931"/>
      <c r="J64" s="2377" t="s">
        <v>20295</v>
      </c>
      <c r="K64" s="2377" t="s">
        <v>20295</v>
      </c>
      <c r="L64" s="1104">
        <v>58.075610974762903</v>
      </c>
      <c r="M64" s="1104">
        <v>37.131743667775297</v>
      </c>
      <c r="T64" s="1419"/>
    </row>
    <row r="65" spans="1:20" x14ac:dyDescent="0.25">
      <c r="A65" s="2380" t="s">
        <v>1768</v>
      </c>
      <c r="B65" s="2386"/>
      <c r="C65" s="247"/>
      <c r="D65" s="2378">
        <v>0.26</v>
      </c>
      <c r="E65" s="2378">
        <v>0</v>
      </c>
      <c r="F65" s="2378"/>
      <c r="G65" s="2378">
        <v>0</v>
      </c>
      <c r="H65" s="2378">
        <v>0</v>
      </c>
      <c r="I65" s="2378"/>
      <c r="J65" s="2377" t="s">
        <v>20295</v>
      </c>
      <c r="K65" s="2377" t="s">
        <v>20295</v>
      </c>
      <c r="L65" s="1104">
        <v>58.075610974762903</v>
      </c>
      <c r="M65" s="1104">
        <v>37.131743667775297</v>
      </c>
    </row>
    <row r="66" spans="1:20" x14ac:dyDescent="0.25">
      <c r="A66" s="2377" t="s">
        <v>1767</v>
      </c>
      <c r="B66" s="2384"/>
      <c r="C66" s="247"/>
      <c r="D66" s="2378">
        <v>5.35</v>
      </c>
      <c r="E66" s="2378">
        <v>0</v>
      </c>
      <c r="F66" s="2378"/>
      <c r="G66" s="2378">
        <v>0</v>
      </c>
      <c r="H66" s="2378">
        <v>0</v>
      </c>
      <c r="I66" s="2378"/>
      <c r="J66" s="2377" t="s">
        <v>20295</v>
      </c>
      <c r="K66" s="2377" t="s">
        <v>20295</v>
      </c>
      <c r="L66" s="1104">
        <v>58.075610974762903</v>
      </c>
      <c r="M66" s="1104">
        <v>37.131743667775297</v>
      </c>
    </row>
    <row r="67" spans="1:20" ht="15" customHeight="1" x14ac:dyDescent="0.25">
      <c r="A67" s="2377" t="s">
        <v>935</v>
      </c>
      <c r="B67" s="2377" t="s">
        <v>20337</v>
      </c>
      <c r="C67" s="1421" t="s">
        <v>20333</v>
      </c>
      <c r="D67" s="2378">
        <v>2.67</v>
      </c>
      <c r="E67" s="2378">
        <v>6.3450000000000006</v>
      </c>
      <c r="F67" s="2378">
        <v>0.13108695652173913</v>
      </c>
      <c r="G67" s="2378">
        <v>3.7499999999999999E-2</v>
      </c>
      <c r="H67" s="2378">
        <v>6.3450000000000006</v>
      </c>
      <c r="I67" s="931"/>
      <c r="J67" s="2377" t="s">
        <v>20295</v>
      </c>
      <c r="K67" s="2377" t="s">
        <v>20295</v>
      </c>
      <c r="L67" s="1104">
        <v>58.030151237087701</v>
      </c>
      <c r="M67" s="1104">
        <v>36.425569565154298</v>
      </c>
      <c r="T67" s="1419"/>
    </row>
    <row r="68" spans="1:20" x14ac:dyDescent="0.25">
      <c r="A68" s="2380" t="s">
        <v>1768</v>
      </c>
      <c r="B68" s="2386"/>
      <c r="C68" s="247"/>
      <c r="D68" s="2378">
        <v>2.4</v>
      </c>
      <c r="E68" s="2378">
        <v>0</v>
      </c>
      <c r="F68" s="2378"/>
      <c r="G68" s="2378">
        <v>3.7499999999999999E-2</v>
      </c>
      <c r="H68" s="2378">
        <v>3.7499999999999999E-2</v>
      </c>
      <c r="I68" s="2378"/>
      <c r="J68" s="2377" t="s">
        <v>20295</v>
      </c>
      <c r="K68" s="2377" t="s">
        <v>20295</v>
      </c>
      <c r="L68" s="1104">
        <v>58.030151237087701</v>
      </c>
      <c r="M68" s="1104">
        <v>36.425569565154298</v>
      </c>
    </row>
    <row r="69" spans="1:20" x14ac:dyDescent="0.25">
      <c r="A69" s="2377" t="s">
        <v>1767</v>
      </c>
      <c r="B69" s="2384"/>
      <c r="C69" s="2385"/>
      <c r="D69" s="2378">
        <v>0.27</v>
      </c>
      <c r="E69" s="2378">
        <v>0</v>
      </c>
      <c r="F69" s="2378"/>
      <c r="G69" s="2378">
        <v>0</v>
      </c>
      <c r="H69" s="2378">
        <v>0</v>
      </c>
      <c r="I69" s="2378"/>
      <c r="J69" s="2377" t="s">
        <v>20295</v>
      </c>
      <c r="K69" s="2377" t="s">
        <v>20295</v>
      </c>
      <c r="L69" s="1104">
        <v>58.030151237087701</v>
      </c>
      <c r="M69" s="1104">
        <v>36.425569565154298</v>
      </c>
    </row>
    <row r="70" spans="1:20" ht="15" customHeight="1" x14ac:dyDescent="0.25">
      <c r="A70" s="2377" t="s">
        <v>936</v>
      </c>
      <c r="B70" s="2377" t="s">
        <v>20308</v>
      </c>
      <c r="C70" s="1421" t="s">
        <v>20336</v>
      </c>
      <c r="D70" s="2378">
        <v>5.1899999999999995</v>
      </c>
      <c r="E70" s="2378">
        <v>9.4</v>
      </c>
      <c r="F70" s="2378">
        <v>3.2608695652173912E-2</v>
      </c>
      <c r="G70" s="2378">
        <v>0</v>
      </c>
      <c r="H70" s="2378">
        <v>9.4</v>
      </c>
      <c r="I70" s="931"/>
      <c r="J70" s="2377" t="s">
        <v>20295</v>
      </c>
      <c r="K70" s="2377" t="s">
        <v>20295</v>
      </c>
      <c r="L70" s="1104">
        <v>58.448470562256297</v>
      </c>
      <c r="M70" s="1104">
        <v>36.413952207882701</v>
      </c>
      <c r="T70" s="1419"/>
    </row>
    <row r="71" spans="1:20" x14ac:dyDescent="0.25">
      <c r="A71" s="2380" t="s">
        <v>1768</v>
      </c>
      <c r="B71" s="2386"/>
      <c r="C71" s="2385"/>
      <c r="D71" s="2378">
        <v>2.94</v>
      </c>
      <c r="E71" s="2378">
        <v>0</v>
      </c>
      <c r="F71" s="2378"/>
      <c r="G71" s="2378">
        <v>0</v>
      </c>
      <c r="H71" s="2378">
        <v>0</v>
      </c>
      <c r="I71" s="2378"/>
      <c r="J71" s="2377" t="s">
        <v>20295</v>
      </c>
      <c r="K71" s="2377" t="s">
        <v>20295</v>
      </c>
      <c r="L71" s="1104">
        <v>58.448470562256297</v>
      </c>
      <c r="M71" s="1104">
        <v>36.413952207882701</v>
      </c>
    </row>
    <row r="72" spans="1:20" x14ac:dyDescent="0.25">
      <c r="A72" s="2377" t="s">
        <v>1767</v>
      </c>
      <c r="B72" s="2384"/>
      <c r="C72" s="2385"/>
      <c r="D72" s="2378">
        <v>2.25</v>
      </c>
      <c r="E72" s="2378">
        <v>0</v>
      </c>
      <c r="F72" s="2378"/>
      <c r="G72" s="2378">
        <v>0</v>
      </c>
      <c r="H72" s="2378">
        <v>0</v>
      </c>
      <c r="I72" s="2378"/>
      <c r="J72" s="2377" t="s">
        <v>20295</v>
      </c>
      <c r="K72" s="2377" t="s">
        <v>20295</v>
      </c>
      <c r="L72" s="1104">
        <v>58.448470562256297</v>
      </c>
      <c r="M72" s="1104">
        <v>36.413952207882701</v>
      </c>
    </row>
    <row r="73" spans="1:20" ht="15" customHeight="1" x14ac:dyDescent="0.25">
      <c r="A73" s="2377" t="s">
        <v>937</v>
      </c>
      <c r="B73" s="2377" t="s">
        <v>20337</v>
      </c>
      <c r="C73" s="1421" t="s">
        <v>20334</v>
      </c>
      <c r="D73" s="2378">
        <v>13.39</v>
      </c>
      <c r="E73" s="2378">
        <v>17.559999999999999</v>
      </c>
      <c r="F73" s="2378">
        <v>0.64119565217391306</v>
      </c>
      <c r="G73" s="2378">
        <v>0</v>
      </c>
      <c r="H73" s="2378">
        <v>16.918804347826086</v>
      </c>
      <c r="I73" s="931"/>
      <c r="J73" s="2377" t="s">
        <v>20295</v>
      </c>
      <c r="K73" s="2377" t="s">
        <v>20295</v>
      </c>
      <c r="L73" s="1104">
        <v>57.810277826926203</v>
      </c>
      <c r="M73" s="1104">
        <v>36.710883336967399</v>
      </c>
      <c r="T73" s="1419"/>
    </row>
    <row r="74" spans="1:20" x14ac:dyDescent="0.25">
      <c r="A74" s="2380" t="s">
        <v>1768</v>
      </c>
      <c r="B74" s="2386"/>
      <c r="C74" s="2385"/>
      <c r="D74" s="2378">
        <v>5.4</v>
      </c>
      <c r="E74" s="2378">
        <v>0</v>
      </c>
      <c r="F74" s="2378"/>
      <c r="G74" s="2378">
        <v>0</v>
      </c>
      <c r="H74" s="2378">
        <v>0</v>
      </c>
      <c r="I74" s="2378"/>
      <c r="J74" s="2377" t="s">
        <v>20295</v>
      </c>
      <c r="K74" s="2377" t="s">
        <v>20295</v>
      </c>
      <c r="L74" s="1104">
        <v>57.810277826926203</v>
      </c>
      <c r="M74" s="1104">
        <v>36.710883336967399</v>
      </c>
    </row>
    <row r="75" spans="1:20" x14ac:dyDescent="0.25">
      <c r="A75" s="2377" t="s">
        <v>1767</v>
      </c>
      <c r="B75" s="2384"/>
      <c r="C75" s="2385"/>
      <c r="D75" s="2378">
        <v>7.99</v>
      </c>
      <c r="E75" s="2378">
        <v>0</v>
      </c>
      <c r="F75" s="2378"/>
      <c r="G75" s="2378">
        <v>0</v>
      </c>
      <c r="H75" s="2378">
        <v>0</v>
      </c>
      <c r="I75" s="2378"/>
      <c r="J75" s="2377" t="s">
        <v>20295</v>
      </c>
      <c r="K75" s="2377" t="s">
        <v>20295</v>
      </c>
      <c r="L75" s="1104">
        <v>57.810277826926203</v>
      </c>
      <c r="M75" s="1104">
        <v>36.710883336967399</v>
      </c>
    </row>
    <row r="76" spans="1:20" ht="15" customHeight="1" x14ac:dyDescent="0.25">
      <c r="A76" s="2377" t="s">
        <v>938</v>
      </c>
      <c r="B76" s="2377" t="s">
        <v>20300</v>
      </c>
      <c r="C76" s="1421" t="s">
        <v>20142</v>
      </c>
      <c r="D76" s="2378">
        <v>0.19</v>
      </c>
      <c r="E76" s="2378">
        <v>-0.18</v>
      </c>
      <c r="F76" s="2378">
        <v>0</v>
      </c>
      <c r="G76" s="2378">
        <v>0</v>
      </c>
      <c r="H76" s="2378">
        <v>0</v>
      </c>
      <c r="I76" s="931"/>
      <c r="J76" s="2377" t="s">
        <v>20295</v>
      </c>
      <c r="K76" s="2377" t="s">
        <v>3333</v>
      </c>
      <c r="L76" s="1104">
        <v>57.734708803120498</v>
      </c>
      <c r="M76" s="1104">
        <v>34.251455634969801</v>
      </c>
      <c r="T76" s="1419"/>
    </row>
    <row r="77" spans="1:20" ht="15" customHeight="1" x14ac:dyDescent="0.25">
      <c r="A77" s="2377" t="s">
        <v>939</v>
      </c>
      <c r="B77" s="2377" t="s">
        <v>20335</v>
      </c>
      <c r="C77" s="1421" t="s">
        <v>20294</v>
      </c>
      <c r="D77" s="2378">
        <v>0.23</v>
      </c>
      <c r="E77" s="2378">
        <v>1.999999999999999E-2</v>
      </c>
      <c r="F77" s="2378">
        <v>0</v>
      </c>
      <c r="G77" s="2378">
        <v>0</v>
      </c>
      <c r="H77" s="2378">
        <v>1.999999999999999E-2</v>
      </c>
      <c r="I77" s="931"/>
      <c r="J77" s="2377" t="s">
        <v>20295</v>
      </c>
      <c r="K77" s="2377" t="s">
        <v>20295</v>
      </c>
      <c r="L77" s="1104">
        <v>57.337287818827299</v>
      </c>
      <c r="M77" s="1104">
        <v>33.695109920522803</v>
      </c>
      <c r="T77" s="1419"/>
    </row>
    <row r="78" spans="1:20" ht="15" customHeight="1" x14ac:dyDescent="0.25">
      <c r="A78" s="2377" t="s">
        <v>940</v>
      </c>
      <c r="B78" s="2377" t="s">
        <v>20309</v>
      </c>
      <c r="C78" s="1421" t="s">
        <v>20306</v>
      </c>
      <c r="D78" s="2378">
        <v>0.35</v>
      </c>
      <c r="E78" s="2378">
        <v>-0.35</v>
      </c>
      <c r="F78" s="2378">
        <v>0.24456521739130435</v>
      </c>
      <c r="G78" s="2378">
        <v>0</v>
      </c>
      <c r="H78" s="2378">
        <v>0</v>
      </c>
      <c r="I78" s="931"/>
      <c r="J78" s="2377" t="s">
        <v>20295</v>
      </c>
      <c r="K78" s="2377" t="s">
        <v>3333</v>
      </c>
      <c r="L78" s="1104">
        <v>57.543570844495598</v>
      </c>
      <c r="M78" s="1104">
        <v>34.200940354594699</v>
      </c>
      <c r="T78" s="1419"/>
    </row>
    <row r="79" spans="1:20" ht="15" customHeight="1" x14ac:dyDescent="0.25">
      <c r="A79" s="2377" t="s">
        <v>941</v>
      </c>
      <c r="B79" s="2377" t="s">
        <v>20309</v>
      </c>
      <c r="C79" s="1421" t="s">
        <v>20294</v>
      </c>
      <c r="D79" s="2378">
        <v>0.24</v>
      </c>
      <c r="E79" s="2378">
        <v>-9.9999999999999811E-3</v>
      </c>
      <c r="F79" s="2378">
        <v>8.315217391304347E-2</v>
      </c>
      <c r="G79" s="2378">
        <v>0</v>
      </c>
      <c r="H79" s="2378">
        <v>0</v>
      </c>
      <c r="I79" s="931"/>
      <c r="J79" s="2377" t="s">
        <v>20295</v>
      </c>
      <c r="K79" s="2377" t="s">
        <v>3333</v>
      </c>
      <c r="L79" s="1104">
        <v>57.903337170375103</v>
      </c>
      <c r="M79" s="1104">
        <v>34.781156242278399</v>
      </c>
      <c r="T79" s="1419"/>
    </row>
    <row r="80" spans="1:20" ht="15" customHeight="1" x14ac:dyDescent="0.25">
      <c r="A80" s="2377" t="s">
        <v>942</v>
      </c>
      <c r="B80" s="2377" t="s">
        <v>20299</v>
      </c>
      <c r="C80" s="1421" t="s">
        <v>20294</v>
      </c>
      <c r="D80" s="2378">
        <v>0.36</v>
      </c>
      <c r="E80" s="2378">
        <v>-9.9999999999999978E-2</v>
      </c>
      <c r="F80" s="2378">
        <v>0.1630434782608696</v>
      </c>
      <c r="G80" s="2378">
        <v>0</v>
      </c>
      <c r="H80" s="2378">
        <v>0</v>
      </c>
      <c r="I80" s="931"/>
      <c r="J80" s="2377" t="s">
        <v>20295</v>
      </c>
      <c r="K80" s="2377" t="s">
        <v>3333</v>
      </c>
      <c r="L80" s="1104">
        <v>57.681961743865799</v>
      </c>
      <c r="M80" s="1104">
        <v>35.215466072650798</v>
      </c>
      <c r="T80" s="1419"/>
    </row>
    <row r="81" spans="1:20" ht="15" customHeight="1" x14ac:dyDescent="0.25">
      <c r="A81" s="2377" t="s">
        <v>943</v>
      </c>
      <c r="B81" s="2377" t="s">
        <v>20335</v>
      </c>
      <c r="C81" s="1421" t="s">
        <v>20301</v>
      </c>
      <c r="D81" s="2378">
        <v>0.12</v>
      </c>
      <c r="E81" s="2378">
        <v>0</v>
      </c>
      <c r="F81" s="2378">
        <v>0</v>
      </c>
      <c r="G81" s="2378">
        <v>0</v>
      </c>
      <c r="H81" s="2378">
        <v>0</v>
      </c>
      <c r="I81" s="931"/>
      <c r="J81" s="2377" t="s">
        <v>20295</v>
      </c>
      <c r="K81" s="2377" t="s">
        <v>20295</v>
      </c>
      <c r="L81" s="1104">
        <v>57.3974539559403</v>
      </c>
      <c r="M81" s="1104">
        <v>34.1217816220665</v>
      </c>
      <c r="T81" s="1419"/>
    </row>
    <row r="82" spans="1:20" ht="15" customHeight="1" x14ac:dyDescent="0.25">
      <c r="A82" s="2377" t="s">
        <v>944</v>
      </c>
      <c r="B82" s="2377" t="s">
        <v>20338</v>
      </c>
      <c r="C82" s="1421" t="s">
        <v>20301</v>
      </c>
      <c r="D82" s="2378">
        <v>0.08</v>
      </c>
      <c r="E82" s="2378">
        <v>-0.03</v>
      </c>
      <c r="F82" s="2378">
        <v>0</v>
      </c>
      <c r="G82" s="2378">
        <v>0</v>
      </c>
      <c r="H82" s="2378">
        <v>0</v>
      </c>
      <c r="I82" s="931"/>
      <c r="J82" s="2377" t="s">
        <v>20295</v>
      </c>
      <c r="K82" s="2377" t="s">
        <v>3333</v>
      </c>
      <c r="L82" s="1104">
        <v>57.979977683273901</v>
      </c>
      <c r="M82" s="1104">
        <v>33.650923326913897</v>
      </c>
      <c r="T82" s="1419"/>
    </row>
    <row r="83" spans="1:20" ht="15" customHeight="1" x14ac:dyDescent="0.25">
      <c r="A83" s="2377" t="s">
        <v>945</v>
      </c>
      <c r="B83" s="2377" t="s">
        <v>20293</v>
      </c>
      <c r="C83" s="1421" t="s">
        <v>8651</v>
      </c>
      <c r="D83" s="2378">
        <v>0.97</v>
      </c>
      <c r="E83" s="2378">
        <v>0</v>
      </c>
      <c r="F83" s="2378">
        <v>0</v>
      </c>
      <c r="G83" s="2378">
        <v>0</v>
      </c>
      <c r="H83" s="2378">
        <v>0</v>
      </c>
      <c r="I83" s="931"/>
      <c r="J83" s="2377" t="s">
        <v>20295</v>
      </c>
      <c r="K83" s="2377" t="s">
        <v>20295</v>
      </c>
      <c r="L83" s="1104">
        <v>57.280755054760697</v>
      </c>
      <c r="M83" s="1104">
        <v>34.229776902529103</v>
      </c>
      <c r="T83" s="1419"/>
    </row>
    <row r="84" spans="1:20" ht="15" customHeight="1" x14ac:dyDescent="0.25">
      <c r="A84" s="2377" t="s">
        <v>946</v>
      </c>
      <c r="B84" s="2377" t="s">
        <v>20339</v>
      </c>
      <c r="C84" s="1421" t="s">
        <v>3074</v>
      </c>
      <c r="D84" s="2378">
        <v>0.25</v>
      </c>
      <c r="E84" s="2378">
        <v>-1.0000000000000009E-2</v>
      </c>
      <c r="F84" s="2378">
        <v>0</v>
      </c>
      <c r="G84" s="2378">
        <v>0</v>
      </c>
      <c r="H84" s="2378">
        <v>0</v>
      </c>
      <c r="I84" s="931"/>
      <c r="J84" s="2377" t="s">
        <v>20295</v>
      </c>
      <c r="K84" s="2377" t="s">
        <v>3333</v>
      </c>
      <c r="L84" s="1104">
        <v>57.950902775863199</v>
      </c>
      <c r="M84" s="1104">
        <v>35.015180866362698</v>
      </c>
      <c r="T84" s="1419"/>
    </row>
    <row r="85" spans="1:20" ht="15" customHeight="1" x14ac:dyDescent="0.25">
      <c r="A85" s="2377" t="s">
        <v>947</v>
      </c>
      <c r="B85" s="2377" t="s">
        <v>20340</v>
      </c>
      <c r="C85" s="1421" t="s">
        <v>20142</v>
      </c>
      <c r="D85" s="2378">
        <v>2.4500000000000002</v>
      </c>
      <c r="E85" s="2378">
        <v>-1.5500000000000003</v>
      </c>
      <c r="F85" s="2378">
        <v>0</v>
      </c>
      <c r="G85" s="2378">
        <v>0</v>
      </c>
      <c r="H85" s="2378">
        <v>0</v>
      </c>
      <c r="I85" s="931"/>
      <c r="J85" s="2377" t="s">
        <v>20295</v>
      </c>
      <c r="K85" s="2377" t="s">
        <v>3333</v>
      </c>
      <c r="L85" s="1104">
        <v>57.604268408936399</v>
      </c>
      <c r="M85" s="1104">
        <v>34.597035020600103</v>
      </c>
      <c r="T85" s="1419"/>
    </row>
    <row r="86" spans="1:20" ht="15" customHeight="1" x14ac:dyDescent="0.25">
      <c r="A86" s="2377" t="s">
        <v>948</v>
      </c>
      <c r="B86" s="2377" t="s">
        <v>20341</v>
      </c>
      <c r="C86" s="1421" t="s">
        <v>20342</v>
      </c>
      <c r="D86" s="2378">
        <v>0.64</v>
      </c>
      <c r="E86" s="2378">
        <v>0.41000000000000003</v>
      </c>
      <c r="F86" s="2378">
        <v>0</v>
      </c>
      <c r="G86" s="2378">
        <v>0</v>
      </c>
      <c r="H86" s="2378">
        <v>0.41000000000000003</v>
      </c>
      <c r="I86" s="931"/>
      <c r="J86" s="2377" t="s">
        <v>20295</v>
      </c>
      <c r="K86" s="2377" t="s">
        <v>20295</v>
      </c>
      <c r="L86" s="1104">
        <v>57.872847658966101</v>
      </c>
      <c r="M86" s="1104">
        <v>33.584345984605797</v>
      </c>
      <c r="T86" s="1419"/>
    </row>
    <row r="87" spans="1:20" ht="15" customHeight="1" x14ac:dyDescent="0.25">
      <c r="A87" s="2377" t="s">
        <v>949</v>
      </c>
      <c r="B87" s="2377" t="s">
        <v>20297</v>
      </c>
      <c r="C87" s="1421" t="s">
        <v>20343</v>
      </c>
      <c r="D87" s="2378">
        <v>4.1500000000000004</v>
      </c>
      <c r="E87" s="2378">
        <v>2.4649999999999999</v>
      </c>
      <c r="F87" s="2378">
        <v>0</v>
      </c>
      <c r="G87" s="2378">
        <v>0</v>
      </c>
      <c r="H87" s="2378">
        <v>2.4649999999999999</v>
      </c>
      <c r="I87" s="931"/>
      <c r="J87" s="2377" t="s">
        <v>20295</v>
      </c>
      <c r="K87" s="2377" t="s">
        <v>20295</v>
      </c>
      <c r="L87" s="1104">
        <v>57.583092008346497</v>
      </c>
      <c r="M87" s="1104">
        <v>34.519063126938597</v>
      </c>
      <c r="T87" s="1419"/>
    </row>
    <row r="88" spans="1:20" ht="15" customHeight="1" x14ac:dyDescent="0.25">
      <c r="A88" s="2377" t="s">
        <v>950</v>
      </c>
      <c r="B88" s="2377" t="s">
        <v>20344</v>
      </c>
      <c r="C88" s="1421" t="s">
        <v>20345</v>
      </c>
      <c r="D88" s="2378">
        <v>0.96</v>
      </c>
      <c r="E88" s="2378">
        <v>2.6000000000000005</v>
      </c>
      <c r="F88" s="2378">
        <v>0</v>
      </c>
      <c r="G88" s="2378">
        <v>0</v>
      </c>
      <c r="H88" s="2378">
        <v>2.4000000000000004</v>
      </c>
      <c r="I88" s="931"/>
      <c r="J88" s="2377" t="s">
        <v>20295</v>
      </c>
      <c r="K88" s="2377" t="s">
        <v>20295</v>
      </c>
      <c r="L88" s="1104">
        <v>57.711664222731898</v>
      </c>
      <c r="M88" s="1104">
        <v>34.308029350708203</v>
      </c>
      <c r="T88" s="1419"/>
    </row>
    <row r="89" spans="1:20" ht="15" customHeight="1" x14ac:dyDescent="0.25">
      <c r="A89" s="2377" t="s">
        <v>951</v>
      </c>
      <c r="B89" s="2377" t="s">
        <v>20303</v>
      </c>
      <c r="C89" s="1421" t="s">
        <v>20346</v>
      </c>
      <c r="D89" s="2378">
        <v>0.02</v>
      </c>
      <c r="E89" s="2378">
        <v>1.03</v>
      </c>
      <c r="F89" s="2378">
        <v>0</v>
      </c>
      <c r="G89" s="2378">
        <v>0</v>
      </c>
      <c r="H89" s="2378">
        <v>1.03</v>
      </c>
      <c r="I89" s="931"/>
      <c r="J89" s="2377" t="s">
        <v>20295</v>
      </c>
      <c r="K89" s="2377" t="s">
        <v>20295</v>
      </c>
      <c r="L89" s="1104">
        <v>57.8240221041303</v>
      </c>
      <c r="M89" s="1104">
        <v>33.545197760664401</v>
      </c>
      <c r="T89" s="1419"/>
    </row>
    <row r="90" spans="1:20" ht="15" customHeight="1" x14ac:dyDescent="0.25">
      <c r="A90" s="2377" t="s">
        <v>2644</v>
      </c>
      <c r="B90" s="2377" t="s">
        <v>20344</v>
      </c>
      <c r="C90" s="1421" t="s">
        <v>20336</v>
      </c>
      <c r="D90" s="2378">
        <v>4.5</v>
      </c>
      <c r="E90" s="2378">
        <v>6</v>
      </c>
      <c r="F90" s="2378">
        <v>1.5525978260869564</v>
      </c>
      <c r="G90" s="2378">
        <v>2.4999999999999998E-2</v>
      </c>
      <c r="H90" s="2378">
        <v>4.4474021739130434</v>
      </c>
      <c r="I90" s="931"/>
      <c r="J90" s="2377" t="s">
        <v>20295</v>
      </c>
      <c r="K90" s="2377" t="s">
        <v>20295</v>
      </c>
      <c r="L90" s="1104">
        <v>57.868926338664501</v>
      </c>
      <c r="M90" s="1104">
        <v>33.678183903363703</v>
      </c>
      <c r="T90" s="1419"/>
    </row>
    <row r="91" spans="1:20" ht="15" customHeight="1" x14ac:dyDescent="0.25">
      <c r="A91" s="2377" t="s">
        <v>952</v>
      </c>
      <c r="B91" s="2377" t="s">
        <v>20337</v>
      </c>
      <c r="C91" s="1421" t="s">
        <v>20347</v>
      </c>
      <c r="D91" s="2378">
        <v>2.85</v>
      </c>
      <c r="E91" s="2378">
        <v>0.51000000000000023</v>
      </c>
      <c r="F91" s="2378">
        <v>0</v>
      </c>
      <c r="G91" s="2378">
        <v>0</v>
      </c>
      <c r="H91" s="2378">
        <v>0.51000000000000023</v>
      </c>
      <c r="I91" s="931"/>
      <c r="J91" s="2377" t="s">
        <v>20295</v>
      </c>
      <c r="K91" s="2377" t="s">
        <v>20295</v>
      </c>
      <c r="L91" s="1104">
        <v>57.670826900589198</v>
      </c>
      <c r="M91" s="1104">
        <v>34.143911100993201</v>
      </c>
      <c r="T91" s="1419"/>
    </row>
    <row r="92" spans="1:20" ht="15" customHeight="1" x14ac:dyDescent="0.25">
      <c r="A92" s="2377" t="s">
        <v>953</v>
      </c>
      <c r="B92" s="2377" t="s">
        <v>20300</v>
      </c>
      <c r="C92" s="1421" t="s">
        <v>20329</v>
      </c>
      <c r="D92" s="2378">
        <v>0.44</v>
      </c>
      <c r="E92" s="2378">
        <v>2.3849999999999998</v>
      </c>
      <c r="F92" s="2378">
        <v>6.8478260869565225E-2</v>
      </c>
      <c r="G92" s="2378">
        <v>8.7500000000000008E-2</v>
      </c>
      <c r="H92" s="2378">
        <v>2.3165217391304349</v>
      </c>
      <c r="I92" s="931"/>
      <c r="J92" s="2377" t="s">
        <v>20295</v>
      </c>
      <c r="K92" s="2377" t="s">
        <v>20295</v>
      </c>
      <c r="L92" s="1104">
        <v>57.7721481817238</v>
      </c>
      <c r="M92" s="1104">
        <v>34.383550362481301</v>
      </c>
      <c r="T92" s="1419"/>
    </row>
    <row r="93" spans="1:20" ht="15" customHeight="1" x14ac:dyDescent="0.25">
      <c r="A93" s="2377" t="s">
        <v>954</v>
      </c>
      <c r="B93" s="2377" t="s">
        <v>20348</v>
      </c>
      <c r="C93" s="1421" t="s">
        <v>20333</v>
      </c>
      <c r="D93" s="2378">
        <v>0.4</v>
      </c>
      <c r="E93" s="2378">
        <v>6.2149999999999999</v>
      </c>
      <c r="F93" s="2378">
        <v>0</v>
      </c>
      <c r="G93" s="2378">
        <v>0</v>
      </c>
      <c r="H93" s="2378">
        <v>6.2149999999999999</v>
      </c>
      <c r="I93" s="931"/>
      <c r="J93" s="2377" t="s">
        <v>20295</v>
      </c>
      <c r="K93" s="2377" t="s">
        <v>20295</v>
      </c>
      <c r="L93" s="1104">
        <v>57.8442779260156</v>
      </c>
      <c r="M93" s="1104">
        <v>34.162693792070002</v>
      </c>
      <c r="T93" s="1419"/>
    </row>
    <row r="94" spans="1:20" ht="15" customHeight="1" x14ac:dyDescent="0.25">
      <c r="A94" s="2377" t="s">
        <v>955</v>
      </c>
      <c r="B94" s="2377" t="s">
        <v>20330</v>
      </c>
      <c r="C94" s="1421" t="s">
        <v>20326</v>
      </c>
      <c r="D94" s="2378">
        <v>1.1499999999999999</v>
      </c>
      <c r="E94" s="2378">
        <v>3.0500000000000003</v>
      </c>
      <c r="F94" s="2378">
        <v>0.39130434782608697</v>
      </c>
      <c r="G94" s="2378">
        <v>0</v>
      </c>
      <c r="H94" s="2378">
        <v>2.6586956521739133</v>
      </c>
      <c r="I94" s="931"/>
      <c r="J94" s="2377" t="s">
        <v>20295</v>
      </c>
      <c r="K94" s="2377" t="s">
        <v>20295</v>
      </c>
      <c r="L94" s="1104">
        <v>57.442031982207403</v>
      </c>
      <c r="M94" s="1104">
        <v>33.814412439192097</v>
      </c>
      <c r="T94" s="1419"/>
    </row>
    <row r="95" spans="1:20" ht="15" customHeight="1" x14ac:dyDescent="0.25">
      <c r="A95" s="2377" t="s">
        <v>956</v>
      </c>
      <c r="B95" s="2377" t="s">
        <v>20300</v>
      </c>
      <c r="C95" s="1421" t="s">
        <v>20349</v>
      </c>
      <c r="D95" s="2378">
        <v>0.71</v>
      </c>
      <c r="E95" s="2378">
        <v>0.9700000000000002</v>
      </c>
      <c r="F95" s="2378">
        <v>0</v>
      </c>
      <c r="G95" s="2378">
        <v>0</v>
      </c>
      <c r="H95" s="2378">
        <v>0.9700000000000002</v>
      </c>
      <c r="I95" s="931"/>
      <c r="J95" s="2377" t="s">
        <v>20295</v>
      </c>
      <c r="K95" s="2377" t="s">
        <v>20295</v>
      </c>
      <c r="L95" s="1104">
        <v>57.3579252791329</v>
      </c>
      <c r="M95" s="1104">
        <v>34.836595533239702</v>
      </c>
      <c r="T95" s="1419"/>
    </row>
    <row r="96" spans="1:20" ht="15" customHeight="1" x14ac:dyDescent="0.25">
      <c r="A96" s="2377" t="s">
        <v>957</v>
      </c>
      <c r="B96" s="2377" t="s">
        <v>20321</v>
      </c>
      <c r="C96" s="1421" t="s">
        <v>20349</v>
      </c>
      <c r="D96" s="2378">
        <v>0.39</v>
      </c>
      <c r="E96" s="2378">
        <v>1.6900000000000002</v>
      </c>
      <c r="F96" s="2378">
        <v>0</v>
      </c>
      <c r="G96" s="2378">
        <v>0</v>
      </c>
      <c r="H96" s="2378">
        <v>1.6900000000000002</v>
      </c>
      <c r="I96" s="931"/>
      <c r="J96" s="2377" t="s">
        <v>20295</v>
      </c>
      <c r="K96" s="2377" t="s">
        <v>20295</v>
      </c>
      <c r="L96" s="1104">
        <v>57.767868441990103</v>
      </c>
      <c r="M96" s="1104">
        <v>34.892569280207297</v>
      </c>
      <c r="T96" s="1419"/>
    </row>
    <row r="97" spans="1:20" ht="15" customHeight="1" x14ac:dyDescent="0.25">
      <c r="A97" s="2377" t="s">
        <v>2389</v>
      </c>
      <c r="B97" s="2377" t="s">
        <v>20293</v>
      </c>
      <c r="C97" s="1421" t="s">
        <v>20350</v>
      </c>
      <c r="D97" s="2378">
        <v>0.28000000000000003</v>
      </c>
      <c r="E97" s="2378">
        <v>1.4000000000000001</v>
      </c>
      <c r="F97" s="2378">
        <v>0</v>
      </c>
      <c r="G97" s="2378">
        <v>0</v>
      </c>
      <c r="H97" s="2378">
        <v>1.4000000000000001</v>
      </c>
      <c r="I97" s="931"/>
      <c r="J97" s="2377" t="s">
        <v>20295</v>
      </c>
      <c r="K97" s="2377" t="s">
        <v>20295</v>
      </c>
      <c r="L97" s="1104">
        <v>57.488246932443701</v>
      </c>
      <c r="M97" s="1104">
        <v>35.123287080946</v>
      </c>
      <c r="T97" s="1419"/>
    </row>
    <row r="98" spans="1:20" ht="15" customHeight="1" x14ac:dyDescent="0.25">
      <c r="A98" s="2377" t="s">
        <v>958</v>
      </c>
      <c r="B98" s="2377" t="s">
        <v>20309</v>
      </c>
      <c r="C98" s="1421" t="s">
        <v>20351</v>
      </c>
      <c r="D98" s="2378">
        <v>2.67</v>
      </c>
      <c r="E98" s="2378">
        <v>1.5300000000000002</v>
      </c>
      <c r="F98" s="2378">
        <v>0</v>
      </c>
      <c r="G98" s="2378">
        <v>0</v>
      </c>
      <c r="H98" s="2378">
        <v>1.5300000000000002</v>
      </c>
      <c r="I98" s="931"/>
      <c r="J98" s="2377" t="s">
        <v>20295</v>
      </c>
      <c r="K98" s="2377" t="s">
        <v>20295</v>
      </c>
      <c r="L98" s="1104">
        <v>57.629632543282298</v>
      </c>
      <c r="M98" s="1104">
        <v>34.495544901883001</v>
      </c>
      <c r="T98" s="1419"/>
    </row>
    <row r="99" spans="1:20" ht="15" customHeight="1" x14ac:dyDescent="0.25">
      <c r="A99" s="2377" t="s">
        <v>959</v>
      </c>
      <c r="B99" s="2377" t="s">
        <v>20300</v>
      </c>
      <c r="C99" s="1421" t="s">
        <v>20350</v>
      </c>
      <c r="D99" s="2378">
        <v>0.46</v>
      </c>
      <c r="E99" s="2378">
        <v>1.2200000000000002</v>
      </c>
      <c r="F99" s="2378">
        <v>0</v>
      </c>
      <c r="G99" s="2378">
        <v>0</v>
      </c>
      <c r="H99" s="2378">
        <v>1.2200000000000002</v>
      </c>
      <c r="I99" s="931"/>
      <c r="J99" s="2377" t="s">
        <v>20295</v>
      </c>
      <c r="K99" s="2377" t="s">
        <v>20295</v>
      </c>
      <c r="L99" s="1104">
        <v>57.699834256032702</v>
      </c>
      <c r="M99" s="1104">
        <v>34.772205230770801</v>
      </c>
      <c r="T99" s="1419"/>
    </row>
    <row r="100" spans="1:20" ht="15" customHeight="1" x14ac:dyDescent="0.25">
      <c r="A100" s="2377" t="s">
        <v>960</v>
      </c>
      <c r="B100" s="2377" t="s">
        <v>20300</v>
      </c>
      <c r="C100" s="1421" t="s">
        <v>20352</v>
      </c>
      <c r="D100" s="2378">
        <v>1.05</v>
      </c>
      <c r="E100" s="2378">
        <v>0.84000000000000008</v>
      </c>
      <c r="F100" s="2378">
        <v>0</v>
      </c>
      <c r="G100" s="2378">
        <v>0</v>
      </c>
      <c r="H100" s="2378">
        <v>0.84000000000000008</v>
      </c>
      <c r="I100" s="931"/>
      <c r="J100" s="2377" t="s">
        <v>20295</v>
      </c>
      <c r="K100" s="2377" t="s">
        <v>20295</v>
      </c>
      <c r="L100" s="1104">
        <v>57.279388593644498</v>
      </c>
      <c r="M100" s="1104">
        <v>34.2263674343438</v>
      </c>
      <c r="T100" s="1419"/>
    </row>
    <row r="101" spans="1:20" ht="15" customHeight="1" x14ac:dyDescent="0.25">
      <c r="A101" s="2377" t="s">
        <v>961</v>
      </c>
      <c r="B101" s="2377" t="s">
        <v>20353</v>
      </c>
      <c r="C101" s="1421" t="s">
        <v>20329</v>
      </c>
      <c r="D101" s="2378">
        <v>0.41</v>
      </c>
      <c r="E101" s="2378">
        <v>2.2149999999999999</v>
      </c>
      <c r="F101" s="2378">
        <v>0.19565217391304349</v>
      </c>
      <c r="G101" s="2378">
        <v>0</v>
      </c>
      <c r="H101" s="2378">
        <v>2.0193478260869564</v>
      </c>
      <c r="I101" s="931"/>
      <c r="J101" s="2377" t="s">
        <v>20295</v>
      </c>
      <c r="K101" s="2377" t="s">
        <v>20295</v>
      </c>
      <c r="L101" s="1104">
        <v>57.573525012778198</v>
      </c>
      <c r="M101" s="1104">
        <v>34.580709108756601</v>
      </c>
      <c r="T101" s="1419"/>
    </row>
    <row r="102" spans="1:20" ht="15" customHeight="1" x14ac:dyDescent="0.25">
      <c r="A102" s="2377" t="s">
        <v>962</v>
      </c>
      <c r="B102" s="2377" t="s">
        <v>20297</v>
      </c>
      <c r="C102" s="1421" t="s">
        <v>20333</v>
      </c>
      <c r="D102" s="2378">
        <v>1.48</v>
      </c>
      <c r="E102" s="2378">
        <v>5.335</v>
      </c>
      <c r="F102" s="2378">
        <v>0</v>
      </c>
      <c r="G102" s="2378">
        <v>0</v>
      </c>
      <c r="H102" s="2378">
        <v>5.335</v>
      </c>
      <c r="I102" s="931"/>
      <c r="J102" s="2377" t="s">
        <v>20295</v>
      </c>
      <c r="K102" s="2377" t="s">
        <v>20295</v>
      </c>
      <c r="L102" s="1104">
        <v>57.857132786891199</v>
      </c>
      <c r="M102" s="1104">
        <v>34.0446356018983</v>
      </c>
      <c r="T102" s="1419"/>
    </row>
    <row r="103" spans="1:20" ht="15" customHeight="1" x14ac:dyDescent="0.25">
      <c r="A103" s="2377" t="s">
        <v>963</v>
      </c>
      <c r="B103" s="2377" t="s">
        <v>20304</v>
      </c>
      <c r="C103" s="1421" t="s">
        <v>20329</v>
      </c>
      <c r="D103" s="2378">
        <v>0.52</v>
      </c>
      <c r="E103" s="2378">
        <v>2.375</v>
      </c>
      <c r="F103" s="2378">
        <v>0</v>
      </c>
      <c r="G103" s="2378">
        <v>0</v>
      </c>
      <c r="H103" s="2378">
        <v>2.375</v>
      </c>
      <c r="I103" s="931"/>
      <c r="J103" s="2377" t="s">
        <v>20295</v>
      </c>
      <c r="K103" s="2377" t="s">
        <v>20295</v>
      </c>
      <c r="L103" s="1104">
        <v>57.303848389370401</v>
      </c>
      <c r="M103" s="1104">
        <v>34.585047065027197</v>
      </c>
      <c r="T103" s="1419"/>
    </row>
    <row r="104" spans="1:20" ht="15" customHeight="1" x14ac:dyDescent="0.25">
      <c r="A104" s="2377" t="s">
        <v>964</v>
      </c>
      <c r="B104" s="2377" t="s">
        <v>20341</v>
      </c>
      <c r="C104" s="1421" t="s">
        <v>20354</v>
      </c>
      <c r="D104" s="2378">
        <v>0.64</v>
      </c>
      <c r="E104" s="2378">
        <v>1.25</v>
      </c>
      <c r="F104" s="2378">
        <v>0.12228260869565216</v>
      </c>
      <c r="G104" s="2378">
        <v>0</v>
      </c>
      <c r="H104" s="2378">
        <v>1.1277173913043479</v>
      </c>
      <c r="I104" s="931"/>
      <c r="J104" s="2377" t="s">
        <v>20295</v>
      </c>
      <c r="K104" s="2377" t="s">
        <v>20295</v>
      </c>
      <c r="L104" s="1104">
        <v>57.585976239644701</v>
      </c>
      <c r="M104" s="1104">
        <v>35.472571930240903</v>
      </c>
      <c r="T104" s="1419"/>
    </row>
    <row r="105" spans="1:20" ht="15" customHeight="1" x14ac:dyDescent="0.25">
      <c r="A105" s="2377" t="s">
        <v>965</v>
      </c>
      <c r="B105" s="2377" t="s">
        <v>20355</v>
      </c>
      <c r="C105" s="1421" t="s">
        <v>20356</v>
      </c>
      <c r="D105" s="2378">
        <v>0.42</v>
      </c>
      <c r="E105" s="2378">
        <v>1.2600000000000002</v>
      </c>
      <c r="F105" s="2378">
        <v>0</v>
      </c>
      <c r="G105" s="2378">
        <v>0</v>
      </c>
      <c r="H105" s="2378">
        <v>1.2600000000000002</v>
      </c>
      <c r="I105" s="931"/>
      <c r="J105" s="2377" t="s">
        <v>20295</v>
      </c>
      <c r="K105" s="2377" t="s">
        <v>20295</v>
      </c>
      <c r="L105" s="1104">
        <v>57.421972539744097</v>
      </c>
      <c r="M105" s="1104">
        <v>35.203476168952598</v>
      </c>
      <c r="T105" s="1419"/>
    </row>
    <row r="106" spans="1:20" ht="15" customHeight="1" x14ac:dyDescent="0.25">
      <c r="A106" s="2377" t="s">
        <v>966</v>
      </c>
      <c r="B106" s="2377" t="s">
        <v>20310</v>
      </c>
      <c r="C106" s="1421" t="s">
        <v>20336</v>
      </c>
      <c r="D106" s="2378">
        <v>2.23</v>
      </c>
      <c r="E106" s="2378">
        <v>8.27</v>
      </c>
      <c r="F106" s="2378">
        <v>0</v>
      </c>
      <c r="G106" s="2378">
        <v>0</v>
      </c>
      <c r="H106" s="2378">
        <v>8.27</v>
      </c>
      <c r="I106" s="931"/>
      <c r="J106" s="2377" t="s">
        <v>20295</v>
      </c>
      <c r="K106" s="2377" t="s">
        <v>20295</v>
      </c>
      <c r="L106" s="1104">
        <v>57.633773826808799</v>
      </c>
      <c r="M106" s="1104">
        <v>34.398878344159797</v>
      </c>
      <c r="T106" s="1419"/>
    </row>
    <row r="107" spans="1:20" ht="15" customHeight="1" x14ac:dyDescent="0.25">
      <c r="A107" s="2377" t="s">
        <v>967</v>
      </c>
      <c r="B107" s="2377" t="s">
        <v>20357</v>
      </c>
      <c r="C107" s="1421" t="s">
        <v>20358</v>
      </c>
      <c r="D107" s="2378">
        <v>1.83</v>
      </c>
      <c r="E107" s="2378">
        <v>0.99499999999999988</v>
      </c>
      <c r="F107" s="2378">
        <v>1.0092391304347825</v>
      </c>
      <c r="G107" s="2378">
        <v>0</v>
      </c>
      <c r="H107" s="2378">
        <v>0</v>
      </c>
      <c r="I107" s="931"/>
      <c r="J107" s="2377" t="s">
        <v>20295</v>
      </c>
      <c r="K107" s="2377" t="s">
        <v>3333</v>
      </c>
      <c r="L107" s="1104">
        <v>57.722189315239497</v>
      </c>
      <c r="M107" s="1104">
        <v>33.950545503123301</v>
      </c>
      <c r="T107" s="1419"/>
    </row>
    <row r="108" spans="1:20" ht="15" customHeight="1" x14ac:dyDescent="0.25">
      <c r="A108" s="2377" t="s">
        <v>968</v>
      </c>
      <c r="B108" s="2377" t="s">
        <v>20304</v>
      </c>
      <c r="C108" s="1421" t="s">
        <v>20349</v>
      </c>
      <c r="D108" s="2378">
        <v>0.24</v>
      </c>
      <c r="E108" s="2378">
        <v>1.4400000000000002</v>
      </c>
      <c r="F108" s="2378">
        <v>0</v>
      </c>
      <c r="G108" s="2378">
        <v>0</v>
      </c>
      <c r="H108" s="2378">
        <v>1.4400000000000002</v>
      </c>
      <c r="I108" s="931"/>
      <c r="J108" s="2377" t="s">
        <v>20295</v>
      </c>
      <c r="K108" s="2377" t="s">
        <v>20295</v>
      </c>
      <c r="L108" s="1104">
        <v>57.637077174942597</v>
      </c>
      <c r="M108" s="1104">
        <v>34.931955344256302</v>
      </c>
      <c r="T108" s="1419"/>
    </row>
    <row r="109" spans="1:20" ht="15" customHeight="1" x14ac:dyDescent="0.25">
      <c r="A109" s="2377" t="s">
        <v>969</v>
      </c>
      <c r="B109" s="2377" t="s">
        <v>20317</v>
      </c>
      <c r="C109" s="1421" t="s">
        <v>20351</v>
      </c>
      <c r="D109" s="2378">
        <v>1.04</v>
      </c>
      <c r="E109" s="2378">
        <v>3.2600000000000002</v>
      </c>
      <c r="F109" s="2378">
        <v>1.9565217391304349E-2</v>
      </c>
      <c r="G109" s="2378">
        <v>0</v>
      </c>
      <c r="H109" s="2378">
        <v>3.2404347826086957</v>
      </c>
      <c r="I109" s="931"/>
      <c r="J109" s="2377" t="s">
        <v>20295</v>
      </c>
      <c r="K109" s="2377" t="s">
        <v>20295</v>
      </c>
      <c r="L109" s="1104">
        <v>57.815930789930697</v>
      </c>
      <c r="M109" s="1104">
        <v>33.846530989388803</v>
      </c>
      <c r="T109" s="1419"/>
    </row>
    <row r="110" spans="1:20" ht="15" customHeight="1" x14ac:dyDescent="0.25">
      <c r="A110" s="2377" t="s">
        <v>970</v>
      </c>
      <c r="B110" s="2377" t="s">
        <v>20299</v>
      </c>
      <c r="C110" s="1421" t="s">
        <v>20329</v>
      </c>
      <c r="D110" s="2378">
        <v>0.37</v>
      </c>
      <c r="E110" s="2378">
        <v>2.2549999999999999</v>
      </c>
      <c r="F110" s="2378">
        <v>0</v>
      </c>
      <c r="G110" s="2378">
        <v>0</v>
      </c>
      <c r="H110" s="2378">
        <v>2.2549999999999999</v>
      </c>
      <c r="I110" s="931"/>
      <c r="J110" s="2377" t="s">
        <v>20295</v>
      </c>
      <c r="K110" s="2377" t="s">
        <v>20295</v>
      </c>
      <c r="L110" s="1104">
        <v>57.901759317155197</v>
      </c>
      <c r="M110" s="1104">
        <v>34.548969215896904</v>
      </c>
      <c r="T110" s="1419"/>
    </row>
    <row r="111" spans="1:20" ht="15" customHeight="1" x14ac:dyDescent="0.25">
      <c r="A111" s="2377" t="s">
        <v>971</v>
      </c>
      <c r="B111" s="2377" t="s">
        <v>20304</v>
      </c>
      <c r="C111" s="1421" t="s">
        <v>20322</v>
      </c>
      <c r="D111" s="2378">
        <v>0.56000000000000005</v>
      </c>
      <c r="E111" s="2378">
        <v>0.96</v>
      </c>
      <c r="F111" s="2378">
        <v>1.016304347826087E-2</v>
      </c>
      <c r="G111" s="2378">
        <v>0</v>
      </c>
      <c r="H111" s="2378">
        <v>0.94983695652173905</v>
      </c>
      <c r="I111" s="931"/>
      <c r="J111" s="2377" t="s">
        <v>20295</v>
      </c>
      <c r="K111" s="2377" t="s">
        <v>20295</v>
      </c>
      <c r="L111" s="1104">
        <v>57.7248395461474</v>
      </c>
      <c r="M111" s="1104">
        <v>35.269410953925501</v>
      </c>
      <c r="T111" s="1419"/>
    </row>
    <row r="112" spans="1:20" ht="15" customHeight="1" x14ac:dyDescent="0.25">
      <c r="A112" s="2377" t="s">
        <v>972</v>
      </c>
      <c r="B112" s="2377" t="s">
        <v>20341</v>
      </c>
      <c r="C112" s="1421" t="s">
        <v>20322</v>
      </c>
      <c r="D112" s="2378">
        <v>0.43</v>
      </c>
      <c r="E112" s="2378">
        <v>0.99</v>
      </c>
      <c r="F112" s="2378">
        <v>0</v>
      </c>
      <c r="G112" s="2378">
        <v>0</v>
      </c>
      <c r="H112" s="2378">
        <v>0.99</v>
      </c>
      <c r="I112" s="931"/>
      <c r="J112" s="2377" t="s">
        <v>20295</v>
      </c>
      <c r="K112" s="2377" t="s">
        <v>20295</v>
      </c>
      <c r="L112" s="1104">
        <v>58.0618745669615</v>
      </c>
      <c r="M112" s="1104">
        <v>34.940325847982102</v>
      </c>
      <c r="T112" s="1419"/>
    </row>
    <row r="113" spans="1:20" ht="15" customHeight="1" x14ac:dyDescent="0.25">
      <c r="A113" s="2377" t="s">
        <v>2643</v>
      </c>
      <c r="B113" s="2377" t="s">
        <v>20299</v>
      </c>
      <c r="C113" s="1421" t="s">
        <v>20349</v>
      </c>
      <c r="D113" s="2378">
        <v>0.3</v>
      </c>
      <c r="E113" s="2378">
        <v>1.3800000000000001</v>
      </c>
      <c r="F113" s="2378">
        <v>0</v>
      </c>
      <c r="G113" s="2378">
        <v>0</v>
      </c>
      <c r="H113" s="2378">
        <v>1.3800000000000001</v>
      </c>
      <c r="I113" s="931"/>
      <c r="J113" s="2377" t="s">
        <v>20295</v>
      </c>
      <c r="K113" s="2377" t="s">
        <v>20295</v>
      </c>
      <c r="L113" s="1104">
        <v>57.710523908072098</v>
      </c>
      <c r="M113" s="1104">
        <v>35.002795604796397</v>
      </c>
      <c r="T113" s="1419"/>
    </row>
    <row r="114" spans="1:20" ht="15" customHeight="1" x14ac:dyDescent="0.25">
      <c r="A114" s="2377" t="s">
        <v>973</v>
      </c>
      <c r="B114" s="2377" t="s">
        <v>20359</v>
      </c>
      <c r="C114" s="1421" t="s">
        <v>20329</v>
      </c>
      <c r="D114" s="2378">
        <v>1.64</v>
      </c>
      <c r="E114" s="2378">
        <v>2.3849999999999998</v>
      </c>
      <c r="F114" s="2378">
        <v>0.58695652173913049</v>
      </c>
      <c r="G114" s="2378">
        <v>0</v>
      </c>
      <c r="H114" s="2378">
        <v>1.7980434782608694</v>
      </c>
      <c r="I114" s="931"/>
      <c r="J114" s="2377" t="s">
        <v>20295</v>
      </c>
      <c r="K114" s="2377" t="s">
        <v>20295</v>
      </c>
      <c r="L114" s="1104">
        <v>57.577173367643901</v>
      </c>
      <c r="M114" s="1104">
        <v>34.595558134151197</v>
      </c>
      <c r="T114" s="1419"/>
    </row>
    <row r="115" spans="1:20" ht="15" customHeight="1" x14ac:dyDescent="0.25">
      <c r="A115" s="2377" t="s">
        <v>974</v>
      </c>
      <c r="B115" s="2377" t="s">
        <v>20299</v>
      </c>
      <c r="C115" s="1421" t="s">
        <v>20360</v>
      </c>
      <c r="D115" s="2378">
        <v>0.26</v>
      </c>
      <c r="E115" s="2378">
        <v>1.4200000000000002</v>
      </c>
      <c r="F115" s="2378">
        <v>0</v>
      </c>
      <c r="G115" s="2378">
        <v>0</v>
      </c>
      <c r="H115" s="2378">
        <v>1.4200000000000002</v>
      </c>
      <c r="I115" s="931"/>
      <c r="J115" s="2377" t="s">
        <v>20295</v>
      </c>
      <c r="K115" s="2377" t="s">
        <v>20295</v>
      </c>
      <c r="L115" s="1104">
        <v>57.386806507304101</v>
      </c>
      <c r="M115" s="1104">
        <v>34.345181794732802</v>
      </c>
      <c r="T115" s="1419"/>
    </row>
    <row r="116" spans="1:20" ht="15" customHeight="1" x14ac:dyDescent="0.25">
      <c r="A116" s="2377" t="s">
        <v>975</v>
      </c>
      <c r="B116" s="2377" t="s">
        <v>20299</v>
      </c>
      <c r="C116" s="1421" t="s">
        <v>20322</v>
      </c>
      <c r="D116" s="2378">
        <v>0.21</v>
      </c>
      <c r="E116" s="2378">
        <v>0.84000000000000008</v>
      </c>
      <c r="F116" s="2378">
        <v>0</v>
      </c>
      <c r="G116" s="2378">
        <v>0</v>
      </c>
      <c r="H116" s="2378">
        <v>0.84000000000000008</v>
      </c>
      <c r="I116" s="931"/>
      <c r="J116" s="2377" t="s">
        <v>20295</v>
      </c>
      <c r="K116" s="2377" t="s">
        <v>20295</v>
      </c>
      <c r="L116" s="1104">
        <v>57.953110991655997</v>
      </c>
      <c r="M116" s="1104">
        <v>35.393933005018702</v>
      </c>
      <c r="T116" s="1419"/>
    </row>
    <row r="117" spans="1:20" ht="15" customHeight="1" x14ac:dyDescent="0.25">
      <c r="A117" s="2377" t="s">
        <v>976</v>
      </c>
      <c r="B117" s="2377" t="s">
        <v>20299</v>
      </c>
      <c r="C117" s="1421" t="s">
        <v>20329</v>
      </c>
      <c r="D117" s="2378">
        <v>1.65</v>
      </c>
      <c r="E117" s="2378">
        <v>1.675</v>
      </c>
      <c r="F117" s="2378">
        <v>0.28363043478260869</v>
      </c>
      <c r="G117" s="2378">
        <v>0</v>
      </c>
      <c r="H117" s="2378">
        <v>1.3913695652173914</v>
      </c>
      <c r="I117" s="931"/>
      <c r="J117" s="2377" t="s">
        <v>20295</v>
      </c>
      <c r="K117" s="2377" t="s">
        <v>20295</v>
      </c>
      <c r="L117" s="1104">
        <v>57.662026497903398</v>
      </c>
      <c r="M117" s="1104">
        <v>34.466291824711</v>
      </c>
      <c r="T117" s="1419"/>
    </row>
    <row r="118" spans="1:20" ht="15" customHeight="1" x14ac:dyDescent="0.25">
      <c r="A118" s="2377" t="s">
        <v>977</v>
      </c>
      <c r="B118" s="2377" t="s">
        <v>20361</v>
      </c>
      <c r="C118" s="1421" t="s">
        <v>20329</v>
      </c>
      <c r="D118" s="2378">
        <v>0.49</v>
      </c>
      <c r="E118" s="2378">
        <v>2.1349999999999998</v>
      </c>
      <c r="F118" s="2378">
        <v>0</v>
      </c>
      <c r="G118" s="2378">
        <v>0</v>
      </c>
      <c r="H118" s="2378">
        <v>2.1349999999999998</v>
      </c>
      <c r="I118" s="931"/>
      <c r="J118" s="2377" t="s">
        <v>20295</v>
      </c>
      <c r="K118" s="2377" t="s">
        <v>20295</v>
      </c>
      <c r="L118" s="1104">
        <v>57.5990458402567</v>
      </c>
      <c r="M118" s="1104">
        <v>33.802564181866003</v>
      </c>
      <c r="T118" s="1419"/>
    </row>
    <row r="119" spans="1:20" ht="15" customHeight="1" x14ac:dyDescent="0.25">
      <c r="A119" s="2377" t="s">
        <v>978</v>
      </c>
      <c r="B119" s="2377" t="s">
        <v>20299</v>
      </c>
      <c r="C119" s="1421" t="s">
        <v>20329</v>
      </c>
      <c r="D119" s="2378">
        <v>0.3</v>
      </c>
      <c r="E119" s="2378">
        <v>2.625</v>
      </c>
      <c r="F119" s="2378">
        <v>0</v>
      </c>
      <c r="G119" s="2378">
        <v>0</v>
      </c>
      <c r="H119" s="2378">
        <v>2.625</v>
      </c>
      <c r="I119" s="931"/>
      <c r="J119" s="2377" t="s">
        <v>20295</v>
      </c>
      <c r="K119" s="2377" t="s">
        <v>20295</v>
      </c>
      <c r="L119" s="1104">
        <v>57.945300577811103</v>
      </c>
      <c r="M119" s="1104">
        <v>35.069401232814897</v>
      </c>
      <c r="T119" s="1419"/>
    </row>
    <row r="120" spans="1:20" ht="15" customHeight="1" x14ac:dyDescent="0.25">
      <c r="A120" s="2377" t="s">
        <v>979</v>
      </c>
      <c r="B120" s="2377" t="s">
        <v>20304</v>
      </c>
      <c r="C120" s="1421" t="s">
        <v>20350</v>
      </c>
      <c r="D120" s="2378">
        <v>0.49</v>
      </c>
      <c r="E120" s="2378">
        <v>1.1900000000000002</v>
      </c>
      <c r="F120" s="2378">
        <v>0</v>
      </c>
      <c r="G120" s="2378">
        <v>0</v>
      </c>
      <c r="H120" s="2378">
        <v>1.1900000000000002</v>
      </c>
      <c r="I120" s="931"/>
      <c r="J120" s="2377" t="s">
        <v>20295</v>
      </c>
      <c r="K120" s="2377" t="s">
        <v>20295</v>
      </c>
      <c r="L120" s="1104">
        <v>58.0205494510083</v>
      </c>
      <c r="M120" s="1104">
        <v>34.479960034719802</v>
      </c>
      <c r="T120" s="1419"/>
    </row>
    <row r="121" spans="1:20" ht="15" customHeight="1" x14ac:dyDescent="0.25">
      <c r="A121" s="2377" t="s">
        <v>980</v>
      </c>
      <c r="B121" s="2377" t="s">
        <v>20297</v>
      </c>
      <c r="C121" s="1421" t="s">
        <v>20329</v>
      </c>
      <c r="D121" s="2378">
        <v>0.64</v>
      </c>
      <c r="E121" s="2378">
        <v>1.9849999999999999</v>
      </c>
      <c r="F121" s="2378">
        <v>4.8913043478260872E-2</v>
      </c>
      <c r="G121" s="2378">
        <v>0</v>
      </c>
      <c r="H121" s="2378">
        <v>1.9360869565217391</v>
      </c>
      <c r="I121" s="931"/>
      <c r="J121" s="2377" t="s">
        <v>20295</v>
      </c>
      <c r="K121" s="2377" t="s">
        <v>20295</v>
      </c>
      <c r="L121" s="1104">
        <v>57.615550915135103</v>
      </c>
      <c r="M121" s="1104">
        <v>34.601271753156297</v>
      </c>
      <c r="T121" s="1419"/>
    </row>
    <row r="122" spans="1:20" ht="15" customHeight="1" x14ac:dyDescent="0.25">
      <c r="A122" s="2377" t="s">
        <v>981</v>
      </c>
      <c r="B122" s="2377" t="s">
        <v>20361</v>
      </c>
      <c r="C122" s="1421" t="s">
        <v>20350</v>
      </c>
      <c r="D122" s="2378">
        <v>0.61</v>
      </c>
      <c r="E122" s="2378">
        <v>1.54</v>
      </c>
      <c r="F122" s="2378">
        <v>0</v>
      </c>
      <c r="G122" s="2378">
        <v>0</v>
      </c>
      <c r="H122" s="2378">
        <v>1.54</v>
      </c>
      <c r="I122" s="931"/>
      <c r="J122" s="2377" t="s">
        <v>20295</v>
      </c>
      <c r="K122" s="2377" t="s">
        <v>20295</v>
      </c>
      <c r="L122" s="1104">
        <v>57.563012031619103</v>
      </c>
      <c r="M122" s="1104">
        <v>34.732428906605399</v>
      </c>
      <c r="T122" s="1419"/>
    </row>
    <row r="123" spans="1:20" ht="15" customHeight="1" x14ac:dyDescent="0.25">
      <c r="A123" s="2377" t="s">
        <v>982</v>
      </c>
      <c r="B123" s="2377" t="s">
        <v>20316</v>
      </c>
      <c r="C123" s="1421" t="s">
        <v>20350</v>
      </c>
      <c r="D123" s="2378">
        <v>0.78</v>
      </c>
      <c r="E123" s="2378">
        <v>0.90000000000000013</v>
      </c>
      <c r="F123" s="2378">
        <v>2.717391304347826E-2</v>
      </c>
      <c r="G123" s="2378">
        <v>0</v>
      </c>
      <c r="H123" s="2378">
        <v>0.87282608695652186</v>
      </c>
      <c r="I123" s="931"/>
      <c r="J123" s="2377" t="s">
        <v>20295</v>
      </c>
      <c r="K123" s="2377" t="s">
        <v>20295</v>
      </c>
      <c r="L123" s="1104">
        <v>58.004625137083501</v>
      </c>
      <c r="M123" s="1104">
        <v>34.259169822107403</v>
      </c>
      <c r="T123" s="1419"/>
    </row>
    <row r="124" spans="1:20" ht="15" customHeight="1" x14ac:dyDescent="0.25">
      <c r="A124" s="2377" t="s">
        <v>983</v>
      </c>
      <c r="B124" s="2377" t="s">
        <v>20297</v>
      </c>
      <c r="C124" s="1421" t="s">
        <v>20329</v>
      </c>
      <c r="D124" s="2378">
        <v>1.88</v>
      </c>
      <c r="E124" s="2378">
        <v>2.1550000000000002</v>
      </c>
      <c r="F124" s="2378">
        <v>0</v>
      </c>
      <c r="G124" s="2378">
        <v>0</v>
      </c>
      <c r="H124" s="2378">
        <v>2.1550000000000002</v>
      </c>
      <c r="I124" s="931"/>
      <c r="J124" s="2377" t="s">
        <v>20295</v>
      </c>
      <c r="K124" s="2377" t="s">
        <v>20295</v>
      </c>
      <c r="L124" s="1104">
        <v>57.466965577883599</v>
      </c>
      <c r="M124" s="1104">
        <v>33.685654540797998</v>
      </c>
      <c r="T124" s="1419"/>
    </row>
    <row r="125" spans="1:20" ht="15" customHeight="1" x14ac:dyDescent="0.25">
      <c r="A125" s="2377" t="s">
        <v>984</v>
      </c>
      <c r="B125" s="2377" t="s">
        <v>20362</v>
      </c>
      <c r="C125" s="1421" t="s">
        <v>20363</v>
      </c>
      <c r="D125" s="2378">
        <v>7.12</v>
      </c>
      <c r="E125" s="2378">
        <v>1.6550000000000002</v>
      </c>
      <c r="F125" s="2378">
        <v>0</v>
      </c>
      <c r="G125" s="2378">
        <v>0</v>
      </c>
      <c r="H125" s="2378">
        <v>1.6550000000000002</v>
      </c>
      <c r="I125" s="931"/>
      <c r="J125" s="2377" t="s">
        <v>20295</v>
      </c>
      <c r="K125" s="2377" t="s">
        <v>20295</v>
      </c>
      <c r="L125" s="1104">
        <v>57.586412116685999</v>
      </c>
      <c r="M125" s="1104">
        <v>34.539257743638998</v>
      </c>
      <c r="T125" s="1419"/>
    </row>
    <row r="126" spans="1:20" ht="15" customHeight="1" x14ac:dyDescent="0.25">
      <c r="A126" s="2377" t="s">
        <v>985</v>
      </c>
      <c r="B126" s="2377" t="s">
        <v>20335</v>
      </c>
      <c r="C126" s="1421" t="s">
        <v>20329</v>
      </c>
      <c r="D126" s="2378">
        <v>0.27</v>
      </c>
      <c r="E126" s="2378">
        <v>2.5249999999999999</v>
      </c>
      <c r="F126" s="2378">
        <v>0</v>
      </c>
      <c r="G126" s="2378">
        <v>0</v>
      </c>
      <c r="H126" s="2378">
        <v>2.5249999999999999</v>
      </c>
      <c r="I126" s="931"/>
      <c r="J126" s="2377" t="s">
        <v>20295</v>
      </c>
      <c r="K126" s="2377" t="s">
        <v>20295</v>
      </c>
      <c r="L126" s="1104">
        <v>57.462721817982199</v>
      </c>
      <c r="M126" s="1104">
        <v>34.072403200208498</v>
      </c>
      <c r="T126" s="1419"/>
    </row>
    <row r="127" spans="1:20" ht="15" customHeight="1" x14ac:dyDescent="0.25">
      <c r="A127" s="2377" t="s">
        <v>986</v>
      </c>
      <c r="B127" s="2377" t="s">
        <v>20302</v>
      </c>
      <c r="C127" s="1421" t="s">
        <v>20336</v>
      </c>
      <c r="D127" s="2378">
        <v>2.27</v>
      </c>
      <c r="E127" s="2378">
        <v>9.6</v>
      </c>
      <c r="F127" s="2378">
        <v>1.016304347826087E-2</v>
      </c>
      <c r="G127" s="2378">
        <v>0</v>
      </c>
      <c r="H127" s="2378">
        <v>9.5898369565217401</v>
      </c>
      <c r="I127" s="931"/>
      <c r="J127" s="2377" t="s">
        <v>20295</v>
      </c>
      <c r="K127" s="2377" t="s">
        <v>20295</v>
      </c>
      <c r="L127" s="1104">
        <v>57.8456706899387</v>
      </c>
      <c r="M127" s="1104">
        <v>35.396921230622802</v>
      </c>
      <c r="T127" s="1419"/>
    </row>
    <row r="128" spans="1:20" x14ac:dyDescent="0.25">
      <c r="A128" s="2380" t="s">
        <v>1768</v>
      </c>
      <c r="B128" s="2386"/>
      <c r="C128" s="247"/>
      <c r="D128" s="2378">
        <v>1.84</v>
      </c>
      <c r="E128" s="2378">
        <v>0</v>
      </c>
      <c r="F128" s="2378"/>
      <c r="G128" s="2378">
        <v>0</v>
      </c>
      <c r="H128" s="2378">
        <v>0</v>
      </c>
      <c r="I128" s="2378"/>
      <c r="J128" s="2377" t="s">
        <v>20295</v>
      </c>
      <c r="K128" s="2377" t="s">
        <v>20295</v>
      </c>
      <c r="L128" s="1104">
        <v>57.8456706899387</v>
      </c>
      <c r="M128" s="1104">
        <v>35.396921230622802</v>
      </c>
    </row>
    <row r="129" spans="1:20" x14ac:dyDescent="0.25">
      <c r="A129" s="2377" t="s">
        <v>1767</v>
      </c>
      <c r="B129" s="2384"/>
      <c r="C129" s="247"/>
      <c r="D129" s="2378">
        <v>0.43</v>
      </c>
      <c r="E129" s="2378">
        <v>0</v>
      </c>
      <c r="F129" s="2378"/>
      <c r="G129" s="2378">
        <v>0</v>
      </c>
      <c r="H129" s="2378">
        <v>0</v>
      </c>
      <c r="I129" s="2378"/>
      <c r="J129" s="2377" t="s">
        <v>20295</v>
      </c>
      <c r="K129" s="2377" t="s">
        <v>20295</v>
      </c>
      <c r="L129" s="1104">
        <v>57.8456706899387</v>
      </c>
      <c r="M129" s="1104">
        <v>35.396921230622802</v>
      </c>
    </row>
    <row r="130" spans="1:20" ht="15" customHeight="1" x14ac:dyDescent="0.25">
      <c r="A130" s="2377" t="s">
        <v>16804</v>
      </c>
      <c r="B130" s="2377" t="s">
        <v>20341</v>
      </c>
      <c r="C130" s="1421" t="s">
        <v>20336</v>
      </c>
      <c r="D130" s="2378">
        <v>3.8</v>
      </c>
      <c r="E130" s="2378">
        <v>7.78</v>
      </c>
      <c r="F130" s="2378">
        <v>0.15489130434782605</v>
      </c>
      <c r="G130" s="2378">
        <v>0</v>
      </c>
      <c r="H130" s="2378">
        <v>7.6251086956521741</v>
      </c>
      <c r="I130" s="931"/>
      <c r="J130" s="2377" t="s">
        <v>20295</v>
      </c>
      <c r="K130" s="2377" t="s">
        <v>20295</v>
      </c>
      <c r="L130" s="1104">
        <v>57.894637354718498</v>
      </c>
      <c r="M130" s="1104">
        <v>33.661370068374403</v>
      </c>
      <c r="T130" s="1419"/>
    </row>
    <row r="131" spans="1:20" x14ac:dyDescent="0.25">
      <c r="A131" s="2380" t="s">
        <v>1768</v>
      </c>
      <c r="B131" s="2386"/>
      <c r="C131" s="247"/>
      <c r="D131" s="2378">
        <v>2.08</v>
      </c>
      <c r="E131" s="2378">
        <v>0</v>
      </c>
      <c r="F131" s="2378"/>
      <c r="G131" s="2378">
        <v>0</v>
      </c>
      <c r="H131" s="2378">
        <v>0</v>
      </c>
      <c r="I131" s="2378"/>
      <c r="J131" s="2377" t="s">
        <v>20295</v>
      </c>
      <c r="K131" s="2377" t="s">
        <v>20295</v>
      </c>
      <c r="L131" s="1104">
        <v>57.894637354718498</v>
      </c>
      <c r="M131" s="1104">
        <v>33.661370068374403</v>
      </c>
    </row>
    <row r="132" spans="1:20" x14ac:dyDescent="0.25">
      <c r="A132" s="2377" t="s">
        <v>1767</v>
      </c>
      <c r="B132" s="2384"/>
      <c r="C132" s="2385"/>
      <c r="D132" s="2378">
        <v>1.72</v>
      </c>
      <c r="E132" s="2378">
        <v>0</v>
      </c>
      <c r="F132" s="2378"/>
      <c r="G132" s="2378">
        <v>0</v>
      </c>
      <c r="H132" s="2378">
        <v>0</v>
      </c>
      <c r="I132" s="2378"/>
      <c r="J132" s="2377" t="s">
        <v>20295</v>
      </c>
      <c r="K132" s="2377" t="s">
        <v>20295</v>
      </c>
      <c r="L132" s="1104">
        <v>57.894637354718498</v>
      </c>
      <c r="M132" s="1104">
        <v>33.661370068374403</v>
      </c>
    </row>
    <row r="133" spans="1:20" ht="15" customHeight="1" x14ac:dyDescent="0.25">
      <c r="A133" s="2377" t="s">
        <v>987</v>
      </c>
      <c r="B133" s="2377" t="s">
        <v>20364</v>
      </c>
      <c r="C133" s="1421" t="s">
        <v>20365</v>
      </c>
      <c r="D133" s="2378">
        <v>23.32</v>
      </c>
      <c r="E133" s="2378">
        <v>18.68</v>
      </c>
      <c r="F133" s="2378">
        <v>0.50575000000000003</v>
      </c>
      <c r="G133" s="2378">
        <v>0</v>
      </c>
      <c r="H133" s="2378">
        <v>18.174250000000001</v>
      </c>
      <c r="I133" s="931"/>
      <c r="J133" s="2377" t="s">
        <v>20295</v>
      </c>
      <c r="K133" s="2377" t="s">
        <v>20295</v>
      </c>
      <c r="L133" s="1104">
        <v>57.600507797324703</v>
      </c>
      <c r="M133" s="1104">
        <v>34.507950699587497</v>
      </c>
      <c r="T133" s="1419"/>
    </row>
    <row r="134" spans="1:20" x14ac:dyDescent="0.25">
      <c r="A134" s="2380" t="s">
        <v>1768</v>
      </c>
      <c r="B134" s="2386"/>
      <c r="C134" s="2385"/>
      <c r="D134" s="2378">
        <v>17.86</v>
      </c>
      <c r="E134" s="2378">
        <v>0</v>
      </c>
      <c r="F134" s="2378"/>
      <c r="G134" s="2378">
        <v>0</v>
      </c>
      <c r="H134" s="2378">
        <v>0</v>
      </c>
      <c r="I134" s="2378"/>
      <c r="J134" s="2377" t="s">
        <v>20295</v>
      </c>
      <c r="K134" s="2377" t="s">
        <v>20295</v>
      </c>
      <c r="L134" s="1104">
        <v>57.600507797324703</v>
      </c>
      <c r="M134" s="1104">
        <v>34.507950699587497</v>
      </c>
    </row>
    <row r="135" spans="1:20" x14ac:dyDescent="0.25">
      <c r="A135" s="2377" t="s">
        <v>1767</v>
      </c>
      <c r="B135" s="2384"/>
      <c r="C135" s="2385"/>
      <c r="D135" s="2378">
        <v>5.46</v>
      </c>
      <c r="E135" s="2378">
        <v>0</v>
      </c>
      <c r="F135" s="2378"/>
      <c r="G135" s="2378">
        <v>0</v>
      </c>
      <c r="H135" s="2378">
        <v>0</v>
      </c>
      <c r="I135" s="2378"/>
      <c r="J135" s="2377" t="s">
        <v>20295</v>
      </c>
      <c r="K135" s="2377" t="s">
        <v>20295</v>
      </c>
      <c r="L135" s="1104">
        <v>57.600507797324703</v>
      </c>
      <c r="M135" s="1104">
        <v>34.507950699587497</v>
      </c>
    </row>
    <row r="136" spans="1:20" ht="15" customHeight="1" x14ac:dyDescent="0.25">
      <c r="A136" s="2377" t="s">
        <v>988</v>
      </c>
      <c r="B136" s="2377" t="s">
        <v>20362</v>
      </c>
      <c r="C136" s="1421" t="s">
        <v>20366</v>
      </c>
      <c r="D136" s="2378">
        <v>11.77</v>
      </c>
      <c r="E136" s="2378">
        <v>12.57</v>
      </c>
      <c r="F136" s="2378">
        <v>0.78260869565217395</v>
      </c>
      <c r="G136" s="2378">
        <v>0</v>
      </c>
      <c r="H136" s="2378">
        <v>11.787391304347826</v>
      </c>
      <c r="I136" s="931"/>
      <c r="J136" s="2377" t="s">
        <v>20295</v>
      </c>
      <c r="K136" s="2377" t="s">
        <v>20295</v>
      </c>
      <c r="L136" s="1104">
        <v>57.561058143833897</v>
      </c>
      <c r="M136" s="1104">
        <v>34.552623945873101</v>
      </c>
      <c r="T136" s="1419"/>
    </row>
    <row r="137" spans="1:20" x14ac:dyDescent="0.25">
      <c r="A137" s="2380" t="s">
        <v>1768</v>
      </c>
      <c r="B137" s="2386"/>
      <c r="C137" s="2385"/>
      <c r="D137" s="2378">
        <v>6.81</v>
      </c>
      <c r="E137" s="2378">
        <v>0</v>
      </c>
      <c r="F137" s="2378"/>
      <c r="G137" s="2378">
        <v>0</v>
      </c>
      <c r="H137" s="2378">
        <v>0</v>
      </c>
      <c r="I137" s="2378"/>
      <c r="J137" s="2377" t="s">
        <v>20295</v>
      </c>
      <c r="K137" s="2377" t="s">
        <v>20295</v>
      </c>
      <c r="L137" s="1104">
        <v>57.561058143833897</v>
      </c>
      <c r="M137" s="1104">
        <v>34.552623945873101</v>
      </c>
    </row>
    <row r="138" spans="1:20" x14ac:dyDescent="0.25">
      <c r="A138" s="2377" t="s">
        <v>1767</v>
      </c>
      <c r="B138" s="2384"/>
      <c r="C138" s="2385"/>
      <c r="D138" s="2378">
        <v>4.96</v>
      </c>
      <c r="E138" s="2378">
        <v>0</v>
      </c>
      <c r="F138" s="2378"/>
      <c r="G138" s="2378">
        <v>0</v>
      </c>
      <c r="H138" s="2378">
        <v>0</v>
      </c>
      <c r="I138" s="2378"/>
      <c r="J138" s="2377" t="s">
        <v>20295</v>
      </c>
      <c r="K138" s="2377" t="s">
        <v>20295</v>
      </c>
      <c r="L138" s="1104">
        <v>57.561058143833897</v>
      </c>
      <c r="M138" s="1104">
        <v>34.552623945873101</v>
      </c>
    </row>
    <row r="139" spans="1:20" ht="15" customHeight="1" x14ac:dyDescent="0.25">
      <c r="A139" s="2377" t="s">
        <v>989</v>
      </c>
      <c r="B139" s="2377" t="s">
        <v>20293</v>
      </c>
      <c r="C139" s="1421" t="s">
        <v>20367</v>
      </c>
      <c r="D139" s="2378">
        <v>2.44</v>
      </c>
      <c r="E139" s="2378">
        <v>14.360000000000001</v>
      </c>
      <c r="F139" s="2378">
        <v>0.12228260869565216</v>
      </c>
      <c r="G139" s="2378">
        <v>0</v>
      </c>
      <c r="H139" s="2378">
        <v>14.237717391304349</v>
      </c>
      <c r="I139" s="931"/>
      <c r="J139" s="2377" t="s">
        <v>20295</v>
      </c>
      <c r="K139" s="2377" t="s">
        <v>20295</v>
      </c>
      <c r="L139" s="1104">
        <v>57.424520442148101</v>
      </c>
      <c r="M139" s="1104">
        <v>35.000676085974902</v>
      </c>
      <c r="T139" s="1419"/>
    </row>
    <row r="140" spans="1:20" x14ac:dyDescent="0.25">
      <c r="A140" s="2380" t="s">
        <v>1768</v>
      </c>
      <c r="B140" s="2386"/>
      <c r="C140" s="2385"/>
      <c r="D140" s="2378">
        <v>0.99</v>
      </c>
      <c r="E140" s="2378">
        <v>0</v>
      </c>
      <c r="F140" s="2378"/>
      <c r="G140" s="2378">
        <v>0</v>
      </c>
      <c r="H140" s="2378">
        <v>0</v>
      </c>
      <c r="I140" s="2378"/>
      <c r="J140" s="2377" t="s">
        <v>20295</v>
      </c>
      <c r="K140" s="2377" t="s">
        <v>20295</v>
      </c>
      <c r="L140" s="1104">
        <v>57.424520442148101</v>
      </c>
      <c r="M140" s="1104">
        <v>35.000676085974902</v>
      </c>
    </row>
    <row r="141" spans="1:20" x14ac:dyDescent="0.25">
      <c r="A141" s="2377" t="s">
        <v>1767</v>
      </c>
      <c r="B141" s="2384"/>
      <c r="C141" s="2385"/>
      <c r="D141" s="2378">
        <v>1.45</v>
      </c>
      <c r="E141" s="2378">
        <v>0</v>
      </c>
      <c r="F141" s="2378"/>
      <c r="G141" s="2378">
        <v>0</v>
      </c>
      <c r="H141" s="2378">
        <v>0</v>
      </c>
      <c r="I141" s="2378"/>
      <c r="J141" s="2377" t="s">
        <v>20295</v>
      </c>
      <c r="K141" s="2377" t="s">
        <v>20295</v>
      </c>
      <c r="L141" s="1104">
        <v>57.424520442148101</v>
      </c>
      <c r="M141" s="1104">
        <v>35.000676085974902</v>
      </c>
    </row>
    <row r="142" spans="1:20" ht="15" customHeight="1" x14ac:dyDescent="0.25">
      <c r="A142" s="2377" t="s">
        <v>990</v>
      </c>
      <c r="B142" s="2377" t="s">
        <v>20307</v>
      </c>
      <c r="C142" s="1421" t="s">
        <v>20367</v>
      </c>
      <c r="D142" s="2378">
        <v>3.5</v>
      </c>
      <c r="E142" s="2378">
        <v>16.04</v>
      </c>
      <c r="F142" s="2378">
        <v>0.39130434782608697</v>
      </c>
      <c r="G142" s="2378">
        <v>0</v>
      </c>
      <c r="H142" s="2378">
        <v>15.648695652173913</v>
      </c>
      <c r="I142" s="931"/>
      <c r="J142" s="2377" t="s">
        <v>20295</v>
      </c>
      <c r="K142" s="2377" t="s">
        <v>20295</v>
      </c>
      <c r="L142" s="1104">
        <v>57.5990178775236</v>
      </c>
      <c r="M142" s="1104">
        <v>33.975736921093798</v>
      </c>
      <c r="T142" s="1419"/>
    </row>
    <row r="143" spans="1:20" x14ac:dyDescent="0.25">
      <c r="A143" s="2380" t="s">
        <v>1768</v>
      </c>
      <c r="B143" s="2386"/>
      <c r="C143" s="2385"/>
      <c r="D143" s="2378">
        <v>3.24</v>
      </c>
      <c r="E143" s="2378">
        <v>0</v>
      </c>
      <c r="F143" s="2378"/>
      <c r="G143" s="2378">
        <v>0</v>
      </c>
      <c r="H143" s="2378">
        <v>0</v>
      </c>
      <c r="I143" s="2378"/>
      <c r="J143" s="2377" t="s">
        <v>20295</v>
      </c>
      <c r="K143" s="2377" t="s">
        <v>20295</v>
      </c>
      <c r="L143" s="1104">
        <v>57.5990178775236</v>
      </c>
      <c r="M143" s="1104">
        <v>33.975736921093798</v>
      </c>
    </row>
    <row r="144" spans="1:20" x14ac:dyDescent="0.25">
      <c r="A144" s="2377" t="s">
        <v>1767</v>
      </c>
      <c r="B144" s="2384"/>
      <c r="C144" s="2385"/>
      <c r="D144" s="2378">
        <v>0.26</v>
      </c>
      <c r="E144" s="2378">
        <v>0</v>
      </c>
      <c r="F144" s="2378"/>
      <c r="G144" s="2378">
        <v>0</v>
      </c>
      <c r="H144" s="2378">
        <v>0</v>
      </c>
      <c r="I144" s="2378"/>
      <c r="J144" s="2377" t="s">
        <v>20295</v>
      </c>
      <c r="K144" s="2377" t="s">
        <v>20295</v>
      </c>
      <c r="L144" s="1104">
        <v>57.5990178775236</v>
      </c>
      <c r="M144" s="1104">
        <v>33.975736921093798</v>
      </c>
    </row>
    <row r="145" spans="1:20" ht="15" customHeight="1" x14ac:dyDescent="0.25">
      <c r="A145" s="2377" t="s">
        <v>991</v>
      </c>
      <c r="B145" s="2377" t="s">
        <v>20302</v>
      </c>
      <c r="C145" s="1421" t="s">
        <v>20334</v>
      </c>
      <c r="D145" s="2378">
        <v>16.509999999999998</v>
      </c>
      <c r="E145" s="2378">
        <v>16.720000000000002</v>
      </c>
      <c r="F145" s="2378">
        <v>0.66032608695652173</v>
      </c>
      <c r="G145" s="2378">
        <v>0.125</v>
      </c>
      <c r="H145" s="2378">
        <v>16.059673913043479</v>
      </c>
      <c r="I145" s="931"/>
      <c r="J145" s="2377" t="s">
        <v>20295</v>
      </c>
      <c r="K145" s="2377" t="s">
        <v>20295</v>
      </c>
      <c r="L145" s="1104">
        <v>57.866844936852402</v>
      </c>
      <c r="M145" s="1104">
        <v>35.008621730403597</v>
      </c>
      <c r="T145" s="1419"/>
    </row>
    <row r="146" spans="1:20" x14ac:dyDescent="0.25">
      <c r="A146" s="2380" t="s">
        <v>1768</v>
      </c>
      <c r="B146" s="2386"/>
      <c r="C146" s="2385"/>
      <c r="D146" s="2378">
        <v>10.24</v>
      </c>
      <c r="E146" s="2378">
        <v>0</v>
      </c>
      <c r="F146" s="2378"/>
      <c r="G146" s="2378">
        <v>0</v>
      </c>
      <c r="H146" s="2378">
        <v>0</v>
      </c>
      <c r="I146" s="2378"/>
      <c r="J146" s="2377" t="s">
        <v>20295</v>
      </c>
      <c r="K146" s="2377" t="s">
        <v>20295</v>
      </c>
      <c r="L146" s="1104">
        <v>57.866844936852402</v>
      </c>
      <c r="M146" s="1104">
        <v>35.008621730403597</v>
      </c>
    </row>
    <row r="147" spans="1:20" x14ac:dyDescent="0.25">
      <c r="A147" s="2377" t="s">
        <v>1767</v>
      </c>
      <c r="B147" s="2384"/>
      <c r="C147" s="2385"/>
      <c r="D147" s="2378">
        <v>6.27</v>
      </c>
      <c r="E147" s="2378">
        <v>0</v>
      </c>
      <c r="F147" s="2378"/>
      <c r="G147" s="2378">
        <v>0.125</v>
      </c>
      <c r="H147" s="2378">
        <v>0.125</v>
      </c>
      <c r="I147" s="2378"/>
      <c r="J147" s="2377" t="s">
        <v>20295</v>
      </c>
      <c r="K147" s="2377" t="s">
        <v>20295</v>
      </c>
      <c r="L147" s="1104">
        <v>57.866844936852402</v>
      </c>
      <c r="M147" s="1104">
        <v>35.008621730403597</v>
      </c>
    </row>
    <row r="148" spans="1:20" ht="15" customHeight="1" x14ac:dyDescent="0.25">
      <c r="A148" s="2377" t="s">
        <v>992</v>
      </c>
      <c r="B148" s="2377" t="s">
        <v>20362</v>
      </c>
      <c r="C148" s="1421" t="s">
        <v>20333</v>
      </c>
      <c r="D148" s="2378">
        <v>3.5100000000000002</v>
      </c>
      <c r="E148" s="2378">
        <v>4.2649999999999997</v>
      </c>
      <c r="F148" s="2378">
        <v>0</v>
      </c>
      <c r="G148" s="2378">
        <v>0</v>
      </c>
      <c r="H148" s="2378">
        <v>4.2649999999999997</v>
      </c>
      <c r="I148" s="931"/>
      <c r="J148" s="2377" t="s">
        <v>20295</v>
      </c>
      <c r="K148" s="2377" t="s">
        <v>20295</v>
      </c>
      <c r="L148" s="1104">
        <v>57.468765872844202</v>
      </c>
      <c r="M148" s="1104">
        <v>34.716617163861798</v>
      </c>
      <c r="T148" s="1419"/>
    </row>
    <row r="149" spans="1:20" x14ac:dyDescent="0.25">
      <c r="A149" s="2380" t="s">
        <v>1768</v>
      </c>
      <c r="B149" s="2386"/>
      <c r="C149" s="2385"/>
      <c r="D149" s="2378">
        <v>2.2200000000000002</v>
      </c>
      <c r="E149" s="2378">
        <v>0</v>
      </c>
      <c r="F149" s="2378"/>
      <c r="G149" s="2378">
        <v>0</v>
      </c>
      <c r="H149" s="2378">
        <v>0</v>
      </c>
      <c r="I149" s="2378"/>
      <c r="J149" s="2377" t="s">
        <v>20295</v>
      </c>
      <c r="K149" s="2377" t="s">
        <v>20295</v>
      </c>
      <c r="L149" s="1104">
        <v>57.468765872844202</v>
      </c>
      <c r="M149" s="1104">
        <v>34.716617163861798</v>
      </c>
    </row>
    <row r="150" spans="1:20" x14ac:dyDescent="0.25">
      <c r="A150" s="2377" t="s">
        <v>1767</v>
      </c>
      <c r="B150" s="2384"/>
      <c r="C150" s="2385"/>
      <c r="D150" s="2378">
        <v>1.29</v>
      </c>
      <c r="E150" s="2378">
        <v>0</v>
      </c>
      <c r="F150" s="2378"/>
      <c r="G150" s="2373">
        <v>0</v>
      </c>
      <c r="H150" s="2378">
        <v>0</v>
      </c>
      <c r="I150" s="2378"/>
      <c r="J150" s="2377" t="s">
        <v>20295</v>
      </c>
      <c r="K150" s="2377" t="s">
        <v>20295</v>
      </c>
      <c r="L150" s="1104">
        <v>57.468765872844202</v>
      </c>
      <c r="M150" s="1104">
        <v>34.716617163861798</v>
      </c>
    </row>
    <row r="151" spans="1:20" ht="15" customHeight="1" x14ac:dyDescent="0.25">
      <c r="A151" s="2377" t="s">
        <v>993</v>
      </c>
      <c r="B151" s="2377" t="s">
        <v>20368</v>
      </c>
      <c r="C151" s="1421" t="s">
        <v>20334</v>
      </c>
      <c r="D151" s="2378">
        <v>4.54</v>
      </c>
      <c r="E151" s="2378">
        <v>22.33</v>
      </c>
      <c r="F151" s="2378">
        <v>0</v>
      </c>
      <c r="G151" s="2378">
        <v>0</v>
      </c>
      <c r="H151" s="2378">
        <v>22.33</v>
      </c>
      <c r="I151" s="931"/>
      <c r="J151" s="2377" t="s">
        <v>20295</v>
      </c>
      <c r="K151" s="2377" t="s">
        <v>20295</v>
      </c>
      <c r="L151" s="1104">
        <v>57.637373082097099</v>
      </c>
      <c r="M151" s="1104">
        <v>34.465650829909301</v>
      </c>
      <c r="T151" s="1419"/>
    </row>
    <row r="152" spans="1:20" x14ac:dyDescent="0.25">
      <c r="A152" s="2383" t="s">
        <v>1768</v>
      </c>
      <c r="B152" s="2386"/>
      <c r="C152" s="2385"/>
      <c r="D152" s="2378">
        <v>4.3600000000000003</v>
      </c>
      <c r="E152" s="2378">
        <v>0</v>
      </c>
      <c r="F152" s="2378"/>
      <c r="G152" s="2378">
        <v>0</v>
      </c>
      <c r="H152" s="2378">
        <v>0</v>
      </c>
      <c r="I152" s="2378"/>
      <c r="J152" s="2377" t="s">
        <v>20295</v>
      </c>
      <c r="K152" s="2377" t="s">
        <v>20295</v>
      </c>
      <c r="L152" s="1104">
        <v>57.637373082097099</v>
      </c>
      <c r="M152" s="1104">
        <v>34.465650829909301</v>
      </c>
    </row>
    <row r="153" spans="1:20" x14ac:dyDescent="0.25">
      <c r="A153" s="2374" t="s">
        <v>1767</v>
      </c>
      <c r="B153" s="2384"/>
      <c r="C153" s="2385"/>
      <c r="D153" s="2378">
        <v>0.18</v>
      </c>
      <c r="E153" s="2378">
        <v>0</v>
      </c>
      <c r="F153" s="2378"/>
      <c r="G153" s="2373">
        <v>0</v>
      </c>
      <c r="H153" s="2378">
        <v>0</v>
      </c>
      <c r="I153" s="2378"/>
      <c r="J153" s="2377" t="s">
        <v>20295</v>
      </c>
      <c r="K153" s="2377" t="s">
        <v>20295</v>
      </c>
      <c r="L153" s="1104">
        <v>57.637373082097099</v>
      </c>
      <c r="M153" s="1104">
        <v>34.465650829909301</v>
      </c>
    </row>
    <row r="154" spans="1:20" ht="15" customHeight="1" x14ac:dyDescent="0.25">
      <c r="A154" s="2375" t="s">
        <v>994</v>
      </c>
      <c r="B154" s="2377" t="s">
        <v>20309</v>
      </c>
      <c r="C154" s="1421" t="s">
        <v>20315</v>
      </c>
      <c r="D154" s="2378">
        <v>2.62</v>
      </c>
      <c r="E154" s="2378">
        <v>-1.4200000000000002</v>
      </c>
      <c r="F154" s="2378">
        <v>0.34836956521739132</v>
      </c>
      <c r="G154" s="2376">
        <v>0</v>
      </c>
      <c r="H154" s="2378">
        <v>0</v>
      </c>
      <c r="I154" s="931"/>
      <c r="J154" s="2377" t="s">
        <v>20295</v>
      </c>
      <c r="K154" s="2377" t="s">
        <v>3333</v>
      </c>
      <c r="L154" s="1104">
        <v>56.888055490109899</v>
      </c>
      <c r="M154" s="1104">
        <v>37.371419727633999</v>
      </c>
      <c r="T154" s="1419"/>
    </row>
    <row r="155" spans="1:20" ht="15" customHeight="1" x14ac:dyDescent="0.25">
      <c r="A155" s="2375" t="s">
        <v>995</v>
      </c>
      <c r="B155" s="2377" t="s">
        <v>20369</v>
      </c>
      <c r="C155" s="1421" t="s">
        <v>20329</v>
      </c>
      <c r="D155" s="2378">
        <v>0.8</v>
      </c>
      <c r="E155" s="2378">
        <v>1.825</v>
      </c>
      <c r="F155" s="2378">
        <v>0.6163043478260869</v>
      </c>
      <c r="G155" s="2376">
        <v>0</v>
      </c>
      <c r="H155" s="2378">
        <v>1.2086956521739132</v>
      </c>
      <c r="I155" s="931"/>
      <c r="J155" s="2377" t="s">
        <v>20295</v>
      </c>
      <c r="K155" s="2377" t="s">
        <v>20295</v>
      </c>
      <c r="L155" s="1104">
        <v>57.244514696535497</v>
      </c>
      <c r="M155" s="1104">
        <v>37.584015705671703</v>
      </c>
      <c r="T155" s="1419"/>
    </row>
    <row r="156" spans="1:20" ht="15" customHeight="1" x14ac:dyDescent="0.25">
      <c r="A156" s="2375" t="s">
        <v>2646</v>
      </c>
      <c r="B156" s="2377" t="s">
        <v>20370</v>
      </c>
      <c r="C156" s="1421" t="s">
        <v>20371</v>
      </c>
      <c r="D156" s="2378">
        <v>3.06</v>
      </c>
      <c r="E156" s="2378">
        <v>2.82</v>
      </c>
      <c r="F156" s="2378">
        <v>0.91887096774193544</v>
      </c>
      <c r="G156" s="2376">
        <v>0</v>
      </c>
      <c r="H156" s="2378">
        <v>1.9011290322580643</v>
      </c>
      <c r="I156" s="931"/>
      <c r="J156" s="2377" t="s">
        <v>20295</v>
      </c>
      <c r="K156" s="2377" t="s">
        <v>20295</v>
      </c>
      <c r="L156" s="1104">
        <v>56.959902731357602</v>
      </c>
      <c r="M156" s="1104">
        <v>37.513246034750402</v>
      </c>
      <c r="T156" s="1419"/>
    </row>
    <row r="157" spans="1:20" ht="15" customHeight="1" x14ac:dyDescent="0.25">
      <c r="A157" s="2375" t="s">
        <v>996</v>
      </c>
      <c r="B157" s="2377" t="s">
        <v>20348</v>
      </c>
      <c r="C157" s="1421" t="s">
        <v>20329</v>
      </c>
      <c r="D157" s="2378">
        <v>1.36</v>
      </c>
      <c r="E157" s="2378">
        <v>1.2649999999999999</v>
      </c>
      <c r="F157" s="2378">
        <v>0.59576086956521745</v>
      </c>
      <c r="G157" s="2376">
        <v>6.2499999999999995E-3</v>
      </c>
      <c r="H157" s="2378">
        <v>0.66923913043478245</v>
      </c>
      <c r="I157" s="931"/>
      <c r="J157" s="2377" t="s">
        <v>20295</v>
      </c>
      <c r="K157" s="2377" t="s">
        <v>20295</v>
      </c>
      <c r="L157" s="1104">
        <v>57.242480311326098</v>
      </c>
      <c r="M157" s="1104">
        <v>37.884221681446903</v>
      </c>
      <c r="T157" s="1419"/>
    </row>
    <row r="158" spans="1:20" ht="15" customHeight="1" x14ac:dyDescent="0.25">
      <c r="A158" s="2375" t="s">
        <v>997</v>
      </c>
      <c r="B158" s="2377" t="s">
        <v>20372</v>
      </c>
      <c r="C158" s="1421" t="s">
        <v>20333</v>
      </c>
      <c r="D158" s="2378">
        <v>4.5</v>
      </c>
      <c r="E158" s="2378">
        <v>2.1150000000000002</v>
      </c>
      <c r="F158" s="2378">
        <v>0</v>
      </c>
      <c r="G158" s="2376">
        <v>0</v>
      </c>
      <c r="H158" s="2378">
        <v>2.1150000000000002</v>
      </c>
      <c r="I158" s="931"/>
      <c r="J158" s="2377" t="s">
        <v>20295</v>
      </c>
      <c r="K158" s="2377" t="s">
        <v>20295</v>
      </c>
      <c r="L158" s="1104">
        <v>56.848672463074998</v>
      </c>
      <c r="M158" s="1104">
        <v>37.379829413867697</v>
      </c>
      <c r="T158" s="1419"/>
    </row>
    <row r="159" spans="1:20" ht="15" customHeight="1" x14ac:dyDescent="0.25">
      <c r="A159" s="2375" t="s">
        <v>998</v>
      </c>
      <c r="B159" s="2377" t="s">
        <v>20337</v>
      </c>
      <c r="C159" s="1421" t="s">
        <v>20328</v>
      </c>
      <c r="D159" s="2378">
        <v>1.21</v>
      </c>
      <c r="E159" s="2378">
        <v>1.415</v>
      </c>
      <c r="F159" s="2378">
        <v>0.4226086956521739</v>
      </c>
      <c r="G159" s="2376">
        <v>0</v>
      </c>
      <c r="H159" s="2378">
        <v>0.99239130434782608</v>
      </c>
      <c r="I159" s="931"/>
      <c r="J159" s="2377" t="s">
        <v>20295</v>
      </c>
      <c r="K159" s="2377" t="s">
        <v>20295</v>
      </c>
      <c r="L159" s="1104">
        <v>56.947236572806403</v>
      </c>
      <c r="M159" s="1104">
        <v>37.166472023563799</v>
      </c>
      <c r="T159" s="1419"/>
    </row>
    <row r="160" spans="1:20" ht="15" customHeight="1" x14ac:dyDescent="0.25">
      <c r="A160" s="2375" t="s">
        <v>999</v>
      </c>
      <c r="B160" s="2377" t="s">
        <v>20341</v>
      </c>
      <c r="C160" s="1421" t="s">
        <v>20333</v>
      </c>
      <c r="D160" s="2378">
        <v>4.6399999999999997</v>
      </c>
      <c r="E160" s="2378">
        <v>1.9750000000000005</v>
      </c>
      <c r="F160" s="2378">
        <v>0.63782608695652165</v>
      </c>
      <c r="G160" s="2376">
        <v>0</v>
      </c>
      <c r="H160" s="2378">
        <v>1.337173913043479</v>
      </c>
      <c r="I160" s="931">
        <v>2017</v>
      </c>
      <c r="J160" s="2377" t="s">
        <v>20295</v>
      </c>
      <c r="K160" s="2377" t="s">
        <v>20295</v>
      </c>
      <c r="L160" s="1104">
        <v>57.2325275754039</v>
      </c>
      <c r="M160" s="1104">
        <v>37.856639171112803</v>
      </c>
      <c r="T160" s="1419"/>
    </row>
    <row r="161" spans="1:20" ht="15" customHeight="1" x14ac:dyDescent="0.25">
      <c r="A161" s="2375" t="s">
        <v>1000</v>
      </c>
      <c r="B161" s="2377" t="s">
        <v>20373</v>
      </c>
      <c r="C161" s="1421" t="s">
        <v>20367</v>
      </c>
      <c r="D161" s="2378">
        <v>7.21</v>
      </c>
      <c r="E161" s="2378">
        <v>9.59</v>
      </c>
      <c r="F161" s="2378">
        <v>0</v>
      </c>
      <c r="G161" s="2376">
        <v>0</v>
      </c>
      <c r="H161" s="2378">
        <v>9.59</v>
      </c>
      <c r="I161" s="931"/>
      <c r="J161" s="2377" t="s">
        <v>20295</v>
      </c>
      <c r="K161" s="2377" t="s">
        <v>20295</v>
      </c>
      <c r="L161" s="1104">
        <v>56.851855272636001</v>
      </c>
      <c r="M161" s="1104">
        <v>37.355667217227797</v>
      </c>
      <c r="T161" s="1419"/>
    </row>
    <row r="162" spans="1:20" ht="15" customHeight="1" x14ac:dyDescent="0.25">
      <c r="A162" s="2375" t="s">
        <v>1001</v>
      </c>
      <c r="B162" s="2377" t="s">
        <v>20304</v>
      </c>
      <c r="C162" s="1421" t="s">
        <v>20329</v>
      </c>
      <c r="D162" s="2378">
        <v>0.56000000000000005</v>
      </c>
      <c r="E162" s="2378">
        <v>2.0649999999999999</v>
      </c>
      <c r="F162" s="2378">
        <v>0</v>
      </c>
      <c r="G162" s="2376">
        <v>0</v>
      </c>
      <c r="H162" s="2378">
        <v>2.0649999999999999</v>
      </c>
      <c r="I162" s="931"/>
      <c r="J162" s="2377" t="s">
        <v>20295</v>
      </c>
      <c r="K162" s="2377" t="s">
        <v>20295</v>
      </c>
      <c r="L162" s="1104">
        <v>57.487016724667797</v>
      </c>
      <c r="M162" s="1104">
        <v>37.667822676991896</v>
      </c>
      <c r="T162" s="1419"/>
    </row>
    <row r="163" spans="1:20" ht="15" customHeight="1" x14ac:dyDescent="0.25">
      <c r="A163" s="2375" t="s">
        <v>1002</v>
      </c>
      <c r="B163" s="2377" t="s">
        <v>20361</v>
      </c>
      <c r="C163" s="1421" t="s">
        <v>20351</v>
      </c>
      <c r="D163" s="2378">
        <v>2.48</v>
      </c>
      <c r="E163" s="2378">
        <v>1.7200000000000002</v>
      </c>
      <c r="F163" s="2378">
        <v>0</v>
      </c>
      <c r="G163" s="2376">
        <v>0</v>
      </c>
      <c r="H163" s="2378">
        <v>1.7200000000000002</v>
      </c>
      <c r="I163" s="931"/>
      <c r="J163" s="2377" t="s">
        <v>20295</v>
      </c>
      <c r="K163" s="2377" t="s">
        <v>20295</v>
      </c>
      <c r="L163" s="1104">
        <v>57.365484080460902</v>
      </c>
      <c r="M163" s="1104">
        <v>37.609359391820099</v>
      </c>
      <c r="T163" s="1419"/>
    </row>
    <row r="164" spans="1:20" ht="15" customHeight="1" x14ac:dyDescent="0.25">
      <c r="A164" s="2375" t="s">
        <v>1003</v>
      </c>
      <c r="B164" s="2377" t="s">
        <v>20369</v>
      </c>
      <c r="C164" s="1421" t="s">
        <v>20333</v>
      </c>
      <c r="D164" s="2378">
        <v>5.26</v>
      </c>
      <c r="E164" s="2378">
        <v>1.3550000000000004</v>
      </c>
      <c r="F164" s="2378">
        <v>0</v>
      </c>
      <c r="G164" s="2376">
        <v>0</v>
      </c>
      <c r="H164" s="2378">
        <v>1.3550000000000004</v>
      </c>
      <c r="I164" s="931"/>
      <c r="J164" s="2377" t="s">
        <v>20295</v>
      </c>
      <c r="K164" s="2377" t="s">
        <v>20295</v>
      </c>
      <c r="L164" s="1104">
        <v>56.885961433885598</v>
      </c>
      <c r="M164" s="1104">
        <v>37.382196841384498</v>
      </c>
      <c r="T164" s="1419"/>
    </row>
    <row r="165" spans="1:20" ht="15" customHeight="1" x14ac:dyDescent="0.25">
      <c r="A165" s="2375" t="s">
        <v>1004</v>
      </c>
      <c r="B165" s="2377" t="s">
        <v>20309</v>
      </c>
      <c r="C165" s="1421" t="s">
        <v>20351</v>
      </c>
      <c r="D165" s="2378">
        <v>2.85</v>
      </c>
      <c r="E165" s="2378">
        <v>1.35</v>
      </c>
      <c r="F165" s="2378">
        <v>0.29266304347826089</v>
      </c>
      <c r="G165" s="2376">
        <v>2.8749999999999998E-2</v>
      </c>
      <c r="H165" s="2378">
        <v>1.0573369565217394</v>
      </c>
      <c r="I165" s="931"/>
      <c r="J165" s="2377" t="s">
        <v>20295</v>
      </c>
      <c r="K165" s="2377" t="s">
        <v>20295</v>
      </c>
      <c r="L165" s="1104">
        <v>56.888055490109899</v>
      </c>
      <c r="M165" s="1104">
        <v>37.371419727633999</v>
      </c>
      <c r="T165" s="1419"/>
    </row>
    <row r="166" spans="1:20" ht="15" customHeight="1" x14ac:dyDescent="0.25">
      <c r="A166" s="2375" t="s">
        <v>2647</v>
      </c>
      <c r="B166" s="2377" t="s">
        <v>20369</v>
      </c>
      <c r="C166" s="1421" t="s">
        <v>20374</v>
      </c>
      <c r="D166" s="2378">
        <v>0.56999999999999995</v>
      </c>
      <c r="E166" s="2378">
        <v>1.3200000000000003</v>
      </c>
      <c r="F166" s="2378">
        <v>0.14282608695652171</v>
      </c>
      <c r="G166" s="2376">
        <v>0</v>
      </c>
      <c r="H166" s="2378">
        <v>1.1771739130434784</v>
      </c>
      <c r="I166" s="931"/>
      <c r="J166" s="2377" t="s">
        <v>20295</v>
      </c>
      <c r="K166" s="2377" t="s">
        <v>20295</v>
      </c>
      <c r="L166" s="1104">
        <v>56.911075359962503</v>
      </c>
      <c r="M166" s="1104">
        <v>38.091555987739802</v>
      </c>
      <c r="T166" s="1419"/>
    </row>
    <row r="167" spans="1:20" ht="15" customHeight="1" x14ac:dyDescent="0.25">
      <c r="A167" s="2375" t="s">
        <v>2648</v>
      </c>
      <c r="B167" s="2377" t="s">
        <v>20339</v>
      </c>
      <c r="C167" s="1421" t="s">
        <v>20350</v>
      </c>
      <c r="D167" s="2378">
        <v>1.18</v>
      </c>
      <c r="E167" s="2378">
        <v>0.50000000000000022</v>
      </c>
      <c r="F167" s="2378">
        <v>0.49826086956521742</v>
      </c>
      <c r="G167" s="2376">
        <v>0</v>
      </c>
      <c r="H167" s="2378">
        <v>1.7391304347826875E-3</v>
      </c>
      <c r="I167" s="931"/>
      <c r="J167" s="2377" t="s">
        <v>20295</v>
      </c>
      <c r="K167" s="2377" t="s">
        <v>20295</v>
      </c>
      <c r="L167" s="1104">
        <v>57.143513457773402</v>
      </c>
      <c r="M167" s="1104">
        <v>37.344154651262798</v>
      </c>
      <c r="T167" s="1419"/>
    </row>
    <row r="168" spans="1:20" ht="15" customHeight="1" x14ac:dyDescent="0.25">
      <c r="A168" s="2375" t="s">
        <v>2649</v>
      </c>
      <c r="B168" s="2377" t="s">
        <v>20307</v>
      </c>
      <c r="C168" s="1421" t="s">
        <v>20328</v>
      </c>
      <c r="D168" s="2378">
        <v>1.53</v>
      </c>
      <c r="E168" s="2378">
        <v>1.095</v>
      </c>
      <c r="F168" s="2378">
        <v>0.74331521739130435</v>
      </c>
      <c r="G168" s="2376">
        <v>0</v>
      </c>
      <c r="H168" s="2378">
        <v>0.35168478260869573</v>
      </c>
      <c r="I168" s="931"/>
      <c r="J168" s="2377" t="s">
        <v>20295</v>
      </c>
      <c r="K168" s="2377" t="s">
        <v>20295</v>
      </c>
      <c r="L168" s="1104">
        <v>57.040704268934398</v>
      </c>
      <c r="M168" s="1104">
        <v>37.980212651178803</v>
      </c>
      <c r="T168" s="1419"/>
    </row>
    <row r="169" spans="1:20" ht="15" customHeight="1" x14ac:dyDescent="0.25">
      <c r="A169" s="2375" t="s">
        <v>1005</v>
      </c>
      <c r="B169" s="2377" t="s">
        <v>20299</v>
      </c>
      <c r="C169" s="1421" t="s">
        <v>20329</v>
      </c>
      <c r="D169" s="2378">
        <v>1.7</v>
      </c>
      <c r="E169" s="2378">
        <v>0.92500000000000004</v>
      </c>
      <c r="F169" s="2378">
        <v>0.65771739130434781</v>
      </c>
      <c r="G169" s="2376">
        <v>0</v>
      </c>
      <c r="H169" s="2378">
        <v>0.26728260869565235</v>
      </c>
      <c r="I169" s="931"/>
      <c r="J169" s="2377" t="s">
        <v>20295</v>
      </c>
      <c r="K169" s="2377" t="s">
        <v>20295</v>
      </c>
      <c r="L169" s="1104">
        <v>57.113641995156897</v>
      </c>
      <c r="M169" s="1104">
        <v>37.869835747962298</v>
      </c>
      <c r="T169" s="1419"/>
    </row>
    <row r="170" spans="1:20" ht="15" customHeight="1" x14ac:dyDescent="0.25">
      <c r="A170" s="2375" t="s">
        <v>1006</v>
      </c>
      <c r="B170" s="2377" t="s">
        <v>20307</v>
      </c>
      <c r="C170" s="1421" t="s">
        <v>20329</v>
      </c>
      <c r="D170" s="2378">
        <v>0.16</v>
      </c>
      <c r="E170" s="2378">
        <v>2.4649999999999999</v>
      </c>
      <c r="F170" s="2378">
        <v>5.8695652173913038E-2</v>
      </c>
      <c r="G170" s="2376">
        <v>0</v>
      </c>
      <c r="H170" s="2378">
        <v>2.406304347826087</v>
      </c>
      <c r="I170" s="931"/>
      <c r="J170" s="2377" t="s">
        <v>20295</v>
      </c>
      <c r="K170" s="2377" t="s">
        <v>20295</v>
      </c>
      <c r="L170" s="1104">
        <v>57.424677325910203</v>
      </c>
      <c r="M170" s="1104">
        <v>37.159661361161703</v>
      </c>
      <c r="T170" s="1419"/>
    </row>
    <row r="171" spans="1:20" ht="15" customHeight="1" x14ac:dyDescent="0.25">
      <c r="A171" s="2375" t="s">
        <v>1007</v>
      </c>
      <c r="B171" s="2377" t="s">
        <v>20307</v>
      </c>
      <c r="C171" s="1421" t="s">
        <v>20331</v>
      </c>
      <c r="D171" s="2378">
        <v>0.45</v>
      </c>
      <c r="E171" s="2378">
        <v>1.2300000000000002</v>
      </c>
      <c r="F171" s="2378">
        <v>0</v>
      </c>
      <c r="G171" s="2376">
        <v>0</v>
      </c>
      <c r="H171" s="2378">
        <v>1.2300000000000002</v>
      </c>
      <c r="I171" s="931"/>
      <c r="J171" s="2377" t="s">
        <v>20295</v>
      </c>
      <c r="K171" s="2377" t="s">
        <v>20295</v>
      </c>
      <c r="L171" s="1104">
        <v>57.104954332715103</v>
      </c>
      <c r="M171" s="1104">
        <v>37.133904858659001</v>
      </c>
      <c r="T171" s="1419"/>
    </row>
    <row r="172" spans="1:20" ht="15" customHeight="1" x14ac:dyDescent="0.25">
      <c r="A172" s="2375" t="s">
        <v>1008</v>
      </c>
      <c r="B172" s="2377" t="s">
        <v>20300</v>
      </c>
      <c r="C172" s="1421" t="s">
        <v>20329</v>
      </c>
      <c r="D172" s="2378">
        <v>0.32</v>
      </c>
      <c r="E172" s="2378">
        <v>2.3050000000000002</v>
      </c>
      <c r="F172" s="2378">
        <v>0</v>
      </c>
      <c r="G172" s="2376">
        <v>0</v>
      </c>
      <c r="H172" s="2378">
        <v>2.3050000000000002</v>
      </c>
      <c r="I172" s="931"/>
      <c r="J172" s="2377" t="s">
        <v>20295</v>
      </c>
      <c r="K172" s="2377" t="s">
        <v>20295</v>
      </c>
      <c r="L172" s="1104">
        <v>57.010822911731402</v>
      </c>
      <c r="M172" s="1104">
        <v>36.838749029188499</v>
      </c>
      <c r="T172" s="1419"/>
    </row>
    <row r="173" spans="1:20" ht="15" customHeight="1" x14ac:dyDescent="0.25">
      <c r="A173" s="2375" t="s">
        <v>133</v>
      </c>
      <c r="B173" s="2377" t="s">
        <v>20300</v>
      </c>
      <c r="C173" s="1421" t="s">
        <v>20350</v>
      </c>
      <c r="D173" s="2378">
        <v>1.35</v>
      </c>
      <c r="E173" s="2378">
        <v>0.33000000000000007</v>
      </c>
      <c r="F173" s="2378">
        <v>0.56103260869565219</v>
      </c>
      <c r="G173" s="2376">
        <v>0</v>
      </c>
      <c r="H173" s="2378">
        <v>0</v>
      </c>
      <c r="I173" s="931"/>
      <c r="J173" s="2377" t="s">
        <v>20295</v>
      </c>
      <c r="K173" s="2377" t="s">
        <v>3333</v>
      </c>
      <c r="L173" s="1104">
        <v>57.270063332480298</v>
      </c>
      <c r="M173" s="1104">
        <v>38.043739479595203</v>
      </c>
      <c r="T173" s="1419"/>
    </row>
    <row r="174" spans="1:20" ht="15" customHeight="1" x14ac:dyDescent="0.25">
      <c r="A174" s="2375" t="s">
        <v>134</v>
      </c>
      <c r="B174" s="2377" t="s">
        <v>20302</v>
      </c>
      <c r="C174" s="1421" t="s">
        <v>20351</v>
      </c>
      <c r="D174" s="2378">
        <v>0.22</v>
      </c>
      <c r="E174" s="2378">
        <v>3.98</v>
      </c>
      <c r="F174" s="2378">
        <v>0</v>
      </c>
      <c r="G174" s="2376">
        <v>0</v>
      </c>
      <c r="H174" s="2378">
        <v>3.98</v>
      </c>
      <c r="I174" s="931"/>
      <c r="J174" s="2377" t="s">
        <v>20295</v>
      </c>
      <c r="K174" s="2377" t="s">
        <v>20295</v>
      </c>
      <c r="L174" s="1104">
        <v>57.462203326509403</v>
      </c>
      <c r="M174" s="1104">
        <v>37.240774155752497</v>
      </c>
      <c r="T174" s="1419"/>
    </row>
    <row r="175" spans="1:20" ht="15" customHeight="1" x14ac:dyDescent="0.25">
      <c r="A175" s="2375" t="s">
        <v>135</v>
      </c>
      <c r="B175" s="2377" t="s">
        <v>20369</v>
      </c>
      <c r="C175" s="1421" t="s">
        <v>20329</v>
      </c>
      <c r="D175" s="2378">
        <v>0.56000000000000005</v>
      </c>
      <c r="E175" s="2378">
        <v>2.0649999999999999</v>
      </c>
      <c r="F175" s="2378">
        <v>0</v>
      </c>
      <c r="G175" s="2376">
        <v>0</v>
      </c>
      <c r="H175" s="2378">
        <v>2.0649999999999999</v>
      </c>
      <c r="I175" s="931"/>
      <c r="J175" s="2377" t="s">
        <v>20295</v>
      </c>
      <c r="K175" s="2377" t="s">
        <v>20295</v>
      </c>
      <c r="L175" s="1104">
        <v>57.5999979455177</v>
      </c>
      <c r="M175" s="1104">
        <v>37.4899907307936</v>
      </c>
      <c r="T175" s="1419"/>
    </row>
    <row r="176" spans="1:20" ht="15" customHeight="1" x14ac:dyDescent="0.25">
      <c r="A176" s="2375" t="s">
        <v>136</v>
      </c>
      <c r="B176" s="2377" t="s">
        <v>20307</v>
      </c>
      <c r="C176" s="1421" t="s">
        <v>20329</v>
      </c>
      <c r="D176" s="2378">
        <v>0.71</v>
      </c>
      <c r="E176" s="2378">
        <v>1.915</v>
      </c>
      <c r="F176" s="2378">
        <v>0.10086847826086956</v>
      </c>
      <c r="G176" s="2376">
        <v>0</v>
      </c>
      <c r="H176" s="2378">
        <v>1.8141315217391305</v>
      </c>
      <c r="I176" s="931"/>
      <c r="J176" s="2377" t="s">
        <v>20295</v>
      </c>
      <c r="K176" s="2377" t="s">
        <v>20295</v>
      </c>
      <c r="L176" s="1104">
        <v>57.317433032703804</v>
      </c>
      <c r="M176" s="1104">
        <v>37.754084161422298</v>
      </c>
      <c r="T176" s="1419"/>
    </row>
    <row r="177" spans="1:20" ht="15" customHeight="1" x14ac:dyDescent="0.25">
      <c r="A177" s="2375" t="s">
        <v>137</v>
      </c>
      <c r="B177" s="2377" t="s">
        <v>20313</v>
      </c>
      <c r="C177" s="1421" t="s">
        <v>20336</v>
      </c>
      <c r="D177" s="2378">
        <v>0.11</v>
      </c>
      <c r="E177" s="2378">
        <v>10.39</v>
      </c>
      <c r="F177" s="2378">
        <v>0.24456521739130432</v>
      </c>
      <c r="G177" s="2376">
        <v>0</v>
      </c>
      <c r="H177" s="2378">
        <v>10.145434782608696</v>
      </c>
      <c r="I177" s="931"/>
      <c r="J177" s="2377" t="s">
        <v>20295</v>
      </c>
      <c r="K177" s="2377" t="s">
        <v>20295</v>
      </c>
      <c r="L177" s="1104">
        <v>56.901222455107998</v>
      </c>
      <c r="M177" s="1104">
        <v>37.041569596253701</v>
      </c>
      <c r="T177" s="1419"/>
    </row>
    <row r="178" spans="1:20" ht="15" customHeight="1" x14ac:dyDescent="0.25">
      <c r="A178" s="2375" t="s">
        <v>138</v>
      </c>
      <c r="B178" s="2377" t="s">
        <v>20300</v>
      </c>
      <c r="C178" s="1421" t="s">
        <v>20329</v>
      </c>
      <c r="D178" s="2378">
        <v>0.42</v>
      </c>
      <c r="E178" s="2378">
        <v>2.2050000000000001</v>
      </c>
      <c r="F178" s="2378">
        <v>1.4673913043478259E-2</v>
      </c>
      <c r="G178" s="2376">
        <v>0</v>
      </c>
      <c r="H178" s="2378">
        <v>2.1903260869565218</v>
      </c>
      <c r="I178" s="931"/>
      <c r="J178" s="2377" t="s">
        <v>20295</v>
      </c>
      <c r="K178" s="2377" t="s">
        <v>20295</v>
      </c>
      <c r="L178" s="1104">
        <v>57.3255850846136</v>
      </c>
      <c r="M178" s="1104">
        <v>37.373048823625098</v>
      </c>
      <c r="T178" s="1419"/>
    </row>
    <row r="179" spans="1:20" ht="15" customHeight="1" x14ac:dyDescent="0.25">
      <c r="A179" s="2375" t="s">
        <v>139</v>
      </c>
      <c r="B179" s="2377" t="s">
        <v>20302</v>
      </c>
      <c r="C179" s="1421" t="s">
        <v>20334</v>
      </c>
      <c r="D179" s="2378">
        <v>0.22</v>
      </c>
      <c r="E179" s="2378">
        <v>26.03</v>
      </c>
      <c r="F179" s="2378">
        <v>0</v>
      </c>
      <c r="G179" s="2376">
        <v>0</v>
      </c>
      <c r="H179" s="2378">
        <v>26.03</v>
      </c>
      <c r="I179" s="931"/>
      <c r="J179" s="2377" t="s">
        <v>20295</v>
      </c>
      <c r="K179" s="2377" t="s">
        <v>20295</v>
      </c>
      <c r="L179" s="1104">
        <v>57.594402733937599</v>
      </c>
      <c r="M179" s="1104">
        <v>37.209907777282098</v>
      </c>
      <c r="T179" s="1419"/>
    </row>
    <row r="180" spans="1:20" ht="15" customHeight="1" x14ac:dyDescent="0.25">
      <c r="A180" s="2375" t="s">
        <v>140</v>
      </c>
      <c r="B180" s="2377" t="s">
        <v>20299</v>
      </c>
      <c r="C180" s="1421" t="s">
        <v>20333</v>
      </c>
      <c r="D180" s="2378">
        <v>0.14000000000000001</v>
      </c>
      <c r="E180" s="2378">
        <v>6.4750000000000005</v>
      </c>
      <c r="F180" s="2378">
        <v>0</v>
      </c>
      <c r="G180" s="2376">
        <v>0</v>
      </c>
      <c r="H180" s="2378">
        <v>6.4750000000000005</v>
      </c>
      <c r="I180" s="931"/>
      <c r="J180" s="2377" t="s">
        <v>20295</v>
      </c>
      <c r="K180" s="2377" t="s">
        <v>20295</v>
      </c>
      <c r="L180" s="1104">
        <v>56.995250953051503</v>
      </c>
      <c r="M180" s="1104">
        <v>37.062664254766702</v>
      </c>
      <c r="T180" s="1419"/>
    </row>
    <row r="181" spans="1:20" x14ac:dyDescent="0.25">
      <c r="A181" s="2389" t="s">
        <v>1768</v>
      </c>
      <c r="B181" s="2386"/>
      <c r="C181" s="2385"/>
      <c r="D181" s="2378">
        <v>0</v>
      </c>
      <c r="E181" s="2378">
        <v>0</v>
      </c>
      <c r="F181" s="2378"/>
      <c r="G181" s="2376">
        <v>0</v>
      </c>
      <c r="H181" s="2378">
        <v>0</v>
      </c>
      <c r="I181" s="2378"/>
      <c r="J181" s="2377" t="s">
        <v>20295</v>
      </c>
      <c r="K181" s="2377" t="s">
        <v>20295</v>
      </c>
      <c r="L181" s="1104">
        <v>56.995250953051503</v>
      </c>
      <c r="M181" s="1104">
        <v>37.062664254766702</v>
      </c>
    </row>
    <row r="182" spans="1:20" x14ac:dyDescent="0.25">
      <c r="A182" s="2375" t="s">
        <v>1767</v>
      </c>
      <c r="B182" s="2384"/>
      <c r="C182" s="2385"/>
      <c r="D182" s="2378">
        <v>0.14000000000000001</v>
      </c>
      <c r="E182" s="2378">
        <v>0</v>
      </c>
      <c r="F182" s="2378"/>
      <c r="G182" s="2376">
        <v>0</v>
      </c>
      <c r="H182" s="2378">
        <v>0</v>
      </c>
      <c r="I182" s="2378"/>
      <c r="J182" s="2377" t="s">
        <v>20295</v>
      </c>
      <c r="K182" s="2377" t="s">
        <v>20295</v>
      </c>
      <c r="L182" s="1104">
        <v>56.995250953051503</v>
      </c>
      <c r="M182" s="1104">
        <v>37.062664254766702</v>
      </c>
    </row>
    <row r="183" spans="1:20" ht="15" customHeight="1" x14ac:dyDescent="0.25">
      <c r="A183" s="2375" t="s">
        <v>141</v>
      </c>
      <c r="B183" s="2377" t="s">
        <v>20370</v>
      </c>
      <c r="C183" s="1421" t="s">
        <v>20375</v>
      </c>
      <c r="D183" s="2378">
        <v>18.32</v>
      </c>
      <c r="E183" s="2378">
        <v>7.93</v>
      </c>
      <c r="F183" s="2378">
        <v>2.7675000000000001</v>
      </c>
      <c r="G183" s="2376">
        <v>0</v>
      </c>
      <c r="H183" s="2378">
        <v>5.1625000000000014</v>
      </c>
      <c r="I183" s="931"/>
      <c r="J183" s="2377" t="s">
        <v>20295</v>
      </c>
      <c r="K183" s="2377" t="s">
        <v>20295</v>
      </c>
      <c r="L183" s="1104">
        <v>56.823144738473701</v>
      </c>
      <c r="M183" s="1104">
        <v>37.3579739629226</v>
      </c>
      <c r="T183" s="1419"/>
    </row>
    <row r="184" spans="1:20" x14ac:dyDescent="0.25">
      <c r="A184" s="2389" t="s">
        <v>1768</v>
      </c>
      <c r="B184" s="2386"/>
      <c r="C184" s="2385"/>
      <c r="D184" s="2378">
        <v>16.52</v>
      </c>
      <c r="E184" s="2378">
        <v>0</v>
      </c>
      <c r="F184" s="2378"/>
      <c r="G184" s="2376">
        <v>0</v>
      </c>
      <c r="H184" s="2378">
        <v>0</v>
      </c>
      <c r="I184" s="2378"/>
      <c r="J184" s="2377" t="s">
        <v>20295</v>
      </c>
      <c r="K184" s="2377" t="s">
        <v>20295</v>
      </c>
      <c r="L184" s="1104">
        <v>56.823144738473701</v>
      </c>
      <c r="M184" s="1104">
        <v>37.3579739629226</v>
      </c>
    </row>
    <row r="185" spans="1:20" x14ac:dyDescent="0.25">
      <c r="A185" s="2375" t="s">
        <v>1767</v>
      </c>
      <c r="B185" s="2384"/>
      <c r="C185" s="2385"/>
      <c r="D185" s="2378">
        <v>1.8</v>
      </c>
      <c r="E185" s="2378">
        <v>0</v>
      </c>
      <c r="F185" s="2378"/>
      <c r="G185" s="2376">
        <v>0</v>
      </c>
      <c r="H185" s="2378">
        <v>0</v>
      </c>
      <c r="I185" s="2378"/>
      <c r="J185" s="2377" t="s">
        <v>20295</v>
      </c>
      <c r="K185" s="2377" t="s">
        <v>20295</v>
      </c>
      <c r="L185" s="1104">
        <v>56.823144738473701</v>
      </c>
      <c r="M185" s="1104">
        <v>37.3579739629226</v>
      </c>
    </row>
    <row r="186" spans="1:20" ht="15" customHeight="1" x14ac:dyDescent="0.25">
      <c r="A186" s="2375" t="s">
        <v>142</v>
      </c>
      <c r="B186" s="2377" t="s">
        <v>20337</v>
      </c>
      <c r="C186" s="1421" t="s">
        <v>20333</v>
      </c>
      <c r="D186" s="2378">
        <v>3.51</v>
      </c>
      <c r="E186" s="2378">
        <v>4.9150000000000009</v>
      </c>
      <c r="F186" s="2378">
        <v>0.66176739130434781</v>
      </c>
      <c r="G186" s="2376">
        <v>0</v>
      </c>
      <c r="H186" s="2378">
        <v>4.2532326086956527</v>
      </c>
      <c r="I186" s="931"/>
      <c r="J186" s="2377" t="s">
        <v>20295</v>
      </c>
      <c r="K186" s="2377" t="s">
        <v>20295</v>
      </c>
      <c r="L186" s="1104">
        <v>57.2552919177947</v>
      </c>
      <c r="M186" s="1104">
        <v>37.140592446362398</v>
      </c>
      <c r="T186" s="1419"/>
    </row>
    <row r="187" spans="1:20" x14ac:dyDescent="0.25">
      <c r="A187" s="2389" t="s">
        <v>1768</v>
      </c>
      <c r="B187" s="2386"/>
      <c r="C187" s="2385"/>
      <c r="D187" s="2378">
        <v>1.93</v>
      </c>
      <c r="E187" s="2378">
        <v>0</v>
      </c>
      <c r="F187" s="2378"/>
      <c r="G187" s="2376">
        <v>0</v>
      </c>
      <c r="H187" s="2378">
        <v>0</v>
      </c>
      <c r="I187" s="2378"/>
      <c r="J187" s="2377" t="s">
        <v>20295</v>
      </c>
      <c r="K187" s="2377" t="s">
        <v>20295</v>
      </c>
      <c r="L187" s="1104">
        <v>57.2552919177947</v>
      </c>
      <c r="M187" s="1104">
        <v>37.140592446362398</v>
      </c>
    </row>
    <row r="188" spans="1:20" x14ac:dyDescent="0.25">
      <c r="A188" s="2375" t="s">
        <v>1767</v>
      </c>
      <c r="B188" s="2384"/>
      <c r="C188" s="2385"/>
      <c r="D188" s="2378">
        <v>1.58</v>
      </c>
      <c r="E188" s="2378">
        <v>0</v>
      </c>
      <c r="F188" s="2378"/>
      <c r="G188" s="2376">
        <v>0</v>
      </c>
      <c r="H188" s="2378">
        <v>0</v>
      </c>
      <c r="I188" s="2378"/>
      <c r="J188" s="2377" t="s">
        <v>20295</v>
      </c>
      <c r="K188" s="2377" t="s">
        <v>20295</v>
      </c>
      <c r="L188" s="1104">
        <v>57.2552919177947</v>
      </c>
      <c r="M188" s="1104">
        <v>37.140592446362398</v>
      </c>
    </row>
    <row r="189" spans="1:20" ht="15" customHeight="1" x14ac:dyDescent="0.25">
      <c r="A189" s="2375" t="s">
        <v>143</v>
      </c>
      <c r="B189" s="2377" t="s">
        <v>20370</v>
      </c>
      <c r="C189" s="1421" t="s">
        <v>20333</v>
      </c>
      <c r="D189" s="2378">
        <v>1.6199999999999999</v>
      </c>
      <c r="E189" s="2378">
        <v>5.125</v>
      </c>
      <c r="F189" s="2378">
        <v>0.1492391304347826</v>
      </c>
      <c r="G189" s="2376">
        <v>0</v>
      </c>
      <c r="H189" s="2378">
        <v>4.9757608695652173</v>
      </c>
      <c r="I189" s="931"/>
      <c r="J189" s="2377" t="s">
        <v>20295</v>
      </c>
      <c r="K189" s="2377" t="s">
        <v>20295</v>
      </c>
      <c r="L189" s="1104">
        <v>57.156631058685001</v>
      </c>
      <c r="M189" s="1104">
        <v>36.744036796905199</v>
      </c>
      <c r="T189" s="1419"/>
    </row>
    <row r="190" spans="1:20" x14ac:dyDescent="0.25">
      <c r="A190" s="2389" t="s">
        <v>1768</v>
      </c>
      <c r="B190" s="2386"/>
      <c r="C190" s="247"/>
      <c r="D190" s="2378">
        <v>0.19</v>
      </c>
      <c r="E190" s="2378">
        <v>0</v>
      </c>
      <c r="F190" s="2378"/>
      <c r="G190" s="2376">
        <v>0</v>
      </c>
      <c r="H190" s="2378">
        <v>0</v>
      </c>
      <c r="I190" s="2378"/>
      <c r="J190" s="2377" t="s">
        <v>20295</v>
      </c>
      <c r="K190" s="2377" t="s">
        <v>20295</v>
      </c>
      <c r="L190" s="1104">
        <v>57.156631058685001</v>
      </c>
      <c r="M190" s="1104">
        <v>36.744036796905199</v>
      </c>
    </row>
    <row r="191" spans="1:20" x14ac:dyDescent="0.25">
      <c r="A191" s="2375" t="s">
        <v>1767</v>
      </c>
      <c r="B191" s="2384"/>
      <c r="C191" s="247"/>
      <c r="D191" s="2378">
        <v>1.43</v>
      </c>
      <c r="E191" s="2378">
        <v>0</v>
      </c>
      <c r="F191" s="2378"/>
      <c r="G191" s="2376">
        <v>0</v>
      </c>
      <c r="H191" s="2378">
        <v>0</v>
      </c>
      <c r="I191" s="2378"/>
      <c r="J191" s="2377" t="s">
        <v>20295</v>
      </c>
      <c r="K191" s="2377" t="s">
        <v>20295</v>
      </c>
      <c r="L191" s="1104">
        <v>57.156631058685001</v>
      </c>
      <c r="M191" s="1104">
        <v>36.744036796905199</v>
      </c>
    </row>
    <row r="192" spans="1:20" ht="15" customHeight="1" x14ac:dyDescent="0.25">
      <c r="A192" s="2375" t="s">
        <v>144</v>
      </c>
      <c r="B192" s="2377" t="s">
        <v>20302</v>
      </c>
      <c r="C192" s="1421" t="s">
        <v>20367</v>
      </c>
      <c r="D192" s="2378">
        <v>16.810000000000002</v>
      </c>
      <c r="E192" s="2378">
        <v>-1.0000000000001563E-2</v>
      </c>
      <c r="F192" s="2378">
        <v>2.9532065217391299</v>
      </c>
      <c r="G192" s="2376">
        <v>6.2499999999999995E-3</v>
      </c>
      <c r="H192" s="2378">
        <v>0</v>
      </c>
      <c r="I192" s="931"/>
      <c r="J192" s="2377" t="s">
        <v>3333</v>
      </c>
      <c r="K192" s="2377" t="s">
        <v>3333</v>
      </c>
      <c r="L192" s="1104">
        <v>57.223869448804102</v>
      </c>
      <c r="M192" s="1104">
        <v>37.802553604275602</v>
      </c>
      <c r="T192" s="1419"/>
    </row>
    <row r="193" spans="1:20" ht="20.100000000000001" customHeight="1" x14ac:dyDescent="0.25">
      <c r="A193" s="2389" t="s">
        <v>1768</v>
      </c>
      <c r="B193" s="2386"/>
      <c r="C193" s="247"/>
      <c r="D193" s="2378">
        <v>12.3</v>
      </c>
      <c r="E193" s="2378">
        <v>0</v>
      </c>
      <c r="F193" s="2378"/>
      <c r="G193" s="2376">
        <v>6.2499999999999995E-3</v>
      </c>
      <c r="H193" s="2378">
        <v>6.2499999999999995E-3</v>
      </c>
      <c r="I193" s="2378"/>
      <c r="J193" s="2377" t="s">
        <v>20295</v>
      </c>
      <c r="K193" s="2377" t="s">
        <v>20295</v>
      </c>
      <c r="L193" s="1104">
        <v>57.223869448804102</v>
      </c>
      <c r="M193" s="1104">
        <v>37.802553604275602</v>
      </c>
    </row>
    <row r="194" spans="1:20" ht="20.100000000000001" customHeight="1" x14ac:dyDescent="0.25">
      <c r="A194" s="2375" t="s">
        <v>1767</v>
      </c>
      <c r="B194" s="2384"/>
      <c r="C194" s="247"/>
      <c r="D194" s="2378">
        <v>4.51</v>
      </c>
      <c r="E194" s="2378">
        <v>0</v>
      </c>
      <c r="F194" s="2378"/>
      <c r="G194" s="2376">
        <v>0</v>
      </c>
      <c r="H194" s="2378">
        <v>0</v>
      </c>
      <c r="I194" s="2378"/>
      <c r="J194" s="2377" t="s">
        <v>20295</v>
      </c>
      <c r="K194" s="2377" t="s">
        <v>20295</v>
      </c>
      <c r="L194" s="1104">
        <v>57.223869448804102</v>
      </c>
      <c r="M194" s="1104">
        <v>37.802553604275602</v>
      </c>
    </row>
    <row r="195" spans="1:20" ht="15" customHeight="1" x14ac:dyDescent="0.25">
      <c r="A195" s="2375" t="s">
        <v>145</v>
      </c>
      <c r="B195" s="2377" t="s">
        <v>20376</v>
      </c>
      <c r="C195" s="1421" t="s">
        <v>20334</v>
      </c>
      <c r="D195" s="2378">
        <v>13.19</v>
      </c>
      <c r="E195" s="2378">
        <v>13.39</v>
      </c>
      <c r="F195" s="2378">
        <v>3.1856510869565211</v>
      </c>
      <c r="G195" s="2376">
        <v>0</v>
      </c>
      <c r="H195" s="2378">
        <v>10.204348913043479</v>
      </c>
      <c r="I195" s="931"/>
      <c r="J195" s="2377" t="s">
        <v>20295</v>
      </c>
      <c r="K195" s="2377" t="s">
        <v>20295</v>
      </c>
      <c r="L195" s="1104">
        <v>57.351743114366101</v>
      </c>
      <c r="M195" s="1104">
        <v>37.575931682148699</v>
      </c>
      <c r="T195" s="1419"/>
    </row>
    <row r="196" spans="1:20" x14ac:dyDescent="0.25">
      <c r="A196" s="2389" t="s">
        <v>1768</v>
      </c>
      <c r="B196" s="2386"/>
      <c r="C196" s="2385"/>
      <c r="D196" s="2378">
        <v>4.93</v>
      </c>
      <c r="E196" s="2378">
        <v>0</v>
      </c>
      <c r="F196" s="2378"/>
      <c r="G196" s="2376">
        <v>0</v>
      </c>
      <c r="H196" s="2378">
        <v>0</v>
      </c>
      <c r="I196" s="2378"/>
      <c r="J196" s="2377" t="s">
        <v>20295</v>
      </c>
      <c r="K196" s="2377" t="s">
        <v>20295</v>
      </c>
      <c r="L196" s="1104">
        <v>57.351743114366101</v>
      </c>
      <c r="M196" s="1104">
        <v>37.575931682148699</v>
      </c>
    </row>
    <row r="197" spans="1:20" x14ac:dyDescent="0.25">
      <c r="A197" s="2375" t="s">
        <v>1767</v>
      </c>
      <c r="B197" s="2384"/>
      <c r="C197" s="2385"/>
      <c r="D197" s="2378">
        <v>8.26</v>
      </c>
      <c r="E197" s="2378">
        <v>0</v>
      </c>
      <c r="F197" s="2378"/>
      <c r="G197" s="2376">
        <v>0</v>
      </c>
      <c r="H197" s="2378">
        <v>0</v>
      </c>
      <c r="I197" s="2378"/>
      <c r="J197" s="2377" t="s">
        <v>20295</v>
      </c>
      <c r="K197" s="2377" t="s">
        <v>20295</v>
      </c>
      <c r="L197" s="1104">
        <v>57.351743114366101</v>
      </c>
      <c r="M197" s="1104">
        <v>37.575931682148699</v>
      </c>
    </row>
    <row r="198" spans="1:20" ht="15" customHeight="1" x14ac:dyDescent="0.25">
      <c r="A198" s="2375" t="s">
        <v>146</v>
      </c>
      <c r="B198" s="2377" t="s">
        <v>20309</v>
      </c>
      <c r="C198" s="1421" t="s">
        <v>20375</v>
      </c>
      <c r="D198" s="2378">
        <v>26.68</v>
      </c>
      <c r="E198" s="2378">
        <v>-0.33999999999999986</v>
      </c>
      <c r="F198" s="2378">
        <v>3.5639130434782613</v>
      </c>
      <c r="G198" s="2376">
        <v>0</v>
      </c>
      <c r="H198" s="2378">
        <v>0</v>
      </c>
      <c r="I198" s="931"/>
      <c r="J198" s="2377" t="s">
        <v>3333</v>
      </c>
      <c r="K198" s="2377" t="s">
        <v>3333</v>
      </c>
      <c r="L198" s="1104">
        <v>56.853632203928001</v>
      </c>
      <c r="M198" s="1104">
        <v>37.335026857522202</v>
      </c>
      <c r="T198" s="1419"/>
    </row>
    <row r="199" spans="1:20" ht="20.100000000000001" customHeight="1" x14ac:dyDescent="0.25">
      <c r="A199" s="2389" t="s">
        <v>1768</v>
      </c>
      <c r="B199" s="2386"/>
      <c r="C199" s="2385"/>
      <c r="D199" s="2378">
        <v>18.41</v>
      </c>
      <c r="E199" s="2378">
        <v>0</v>
      </c>
      <c r="F199" s="2378"/>
      <c r="G199" s="2376">
        <v>0</v>
      </c>
      <c r="H199" s="2378">
        <v>0</v>
      </c>
      <c r="I199" s="2378"/>
      <c r="J199" s="2377" t="s">
        <v>20295</v>
      </c>
      <c r="K199" s="2377" t="s">
        <v>20295</v>
      </c>
      <c r="L199" s="1104">
        <v>56.853632203928001</v>
      </c>
      <c r="M199" s="1104">
        <v>37.335026857522202</v>
      </c>
    </row>
    <row r="200" spans="1:20" ht="20.100000000000001" customHeight="1" x14ac:dyDescent="0.25">
      <c r="A200" s="2375" t="s">
        <v>1767</v>
      </c>
      <c r="B200" s="2384"/>
      <c r="C200" s="2385"/>
      <c r="D200" s="2378">
        <v>8.27</v>
      </c>
      <c r="E200" s="2378">
        <v>0</v>
      </c>
      <c r="F200" s="2378"/>
      <c r="G200" s="2376">
        <v>0</v>
      </c>
      <c r="H200" s="2378">
        <v>0</v>
      </c>
      <c r="I200" s="2378"/>
      <c r="J200" s="2377" t="s">
        <v>20295</v>
      </c>
      <c r="K200" s="2377" t="s">
        <v>20295</v>
      </c>
      <c r="L200" s="1104">
        <v>56.853632203928001</v>
      </c>
      <c r="M200" s="1104">
        <v>37.335026857522202</v>
      </c>
    </row>
    <row r="201" spans="1:20" ht="15" customHeight="1" x14ac:dyDescent="0.25">
      <c r="A201" s="2375" t="s">
        <v>147</v>
      </c>
      <c r="B201" s="2377" t="s">
        <v>20348</v>
      </c>
      <c r="C201" s="1421" t="s">
        <v>20336</v>
      </c>
      <c r="D201" s="2378">
        <v>4.12</v>
      </c>
      <c r="E201" s="2378">
        <v>6.38</v>
      </c>
      <c r="F201" s="2378">
        <v>4.0760869565217399E-2</v>
      </c>
      <c r="G201" s="2376">
        <v>0</v>
      </c>
      <c r="H201" s="2378">
        <v>6.3392391304347822</v>
      </c>
      <c r="I201" s="931"/>
      <c r="J201" s="2377" t="s">
        <v>20295</v>
      </c>
      <c r="K201" s="2377" t="s">
        <v>20295</v>
      </c>
      <c r="L201" s="1104">
        <v>57.595969576016401</v>
      </c>
      <c r="M201" s="1104">
        <v>37.280950339091802</v>
      </c>
      <c r="T201" s="1419"/>
    </row>
    <row r="202" spans="1:20" x14ac:dyDescent="0.25">
      <c r="A202" s="2389" t="s">
        <v>1768</v>
      </c>
      <c r="B202" s="2386"/>
      <c r="C202" s="2385"/>
      <c r="D202" s="2378">
        <v>1.0900000000000001</v>
      </c>
      <c r="E202" s="2378">
        <v>0</v>
      </c>
      <c r="F202" s="2378"/>
      <c r="G202" s="2376">
        <v>0</v>
      </c>
      <c r="H202" s="2378">
        <v>0</v>
      </c>
      <c r="I202" s="2378"/>
      <c r="J202" s="2377" t="s">
        <v>20295</v>
      </c>
      <c r="K202" s="2377" t="s">
        <v>20295</v>
      </c>
      <c r="L202" s="1104">
        <v>57.595969576016401</v>
      </c>
      <c r="M202" s="1104">
        <v>37.280950339091802</v>
      </c>
    </row>
    <row r="203" spans="1:20" x14ac:dyDescent="0.25">
      <c r="A203" s="2375" t="s">
        <v>1767</v>
      </c>
      <c r="B203" s="2384"/>
      <c r="C203" s="2385"/>
      <c r="D203" s="2378">
        <v>3.03</v>
      </c>
      <c r="E203" s="2378">
        <v>0</v>
      </c>
      <c r="F203" s="2378"/>
      <c r="G203" s="2376">
        <v>0</v>
      </c>
      <c r="H203" s="2378">
        <v>0</v>
      </c>
      <c r="I203" s="2378"/>
      <c r="J203" s="2377" t="s">
        <v>20295</v>
      </c>
      <c r="K203" s="2377" t="s">
        <v>20295</v>
      </c>
      <c r="L203" s="1104">
        <v>57.595969576016401</v>
      </c>
      <c r="M203" s="1104">
        <v>37.280950339091802</v>
      </c>
    </row>
    <row r="204" spans="1:20" ht="15" customHeight="1" x14ac:dyDescent="0.25">
      <c r="A204" s="2377" t="s">
        <v>1779</v>
      </c>
      <c r="B204" s="2377" t="s">
        <v>20300</v>
      </c>
      <c r="C204" s="1421" t="s">
        <v>20301</v>
      </c>
      <c r="D204" s="2378">
        <v>0.18</v>
      </c>
      <c r="E204" s="2378">
        <v>1.08</v>
      </c>
      <c r="F204" s="2378">
        <v>0</v>
      </c>
      <c r="G204" s="2378">
        <v>0</v>
      </c>
      <c r="H204" s="2378">
        <v>1.08</v>
      </c>
      <c r="I204" s="931"/>
      <c r="J204" s="2377" t="s">
        <v>20295</v>
      </c>
      <c r="K204" s="2377" t="s">
        <v>20295</v>
      </c>
      <c r="L204" s="1104">
        <v>56.389174849860403</v>
      </c>
      <c r="M204" s="1104">
        <v>32.317610468557497</v>
      </c>
      <c r="T204" s="1419"/>
    </row>
    <row r="205" spans="1:20" ht="15" customHeight="1" x14ac:dyDescent="0.25">
      <c r="A205" s="2377" t="s">
        <v>1781</v>
      </c>
      <c r="B205" s="2377" t="s">
        <v>20377</v>
      </c>
      <c r="C205" s="1421" t="s">
        <v>20294</v>
      </c>
      <c r="D205" s="2378">
        <v>0.31</v>
      </c>
      <c r="E205" s="2378">
        <v>1.03</v>
      </c>
      <c r="F205" s="2378">
        <v>0</v>
      </c>
      <c r="G205" s="2378">
        <v>0</v>
      </c>
      <c r="H205" s="2378">
        <v>1.03</v>
      </c>
      <c r="I205" s="931"/>
      <c r="J205" s="2377" t="s">
        <v>20295</v>
      </c>
      <c r="K205" s="2377" t="s">
        <v>20295</v>
      </c>
      <c r="L205" s="1104">
        <v>56.4557735737027</v>
      </c>
      <c r="M205" s="1104">
        <v>31.380672378859799</v>
      </c>
      <c r="T205" s="1419"/>
    </row>
    <row r="206" spans="1:20" ht="15" customHeight="1" x14ac:dyDescent="0.25">
      <c r="A206" s="2377" t="s">
        <v>1782</v>
      </c>
      <c r="B206" s="2377" t="s">
        <v>20372</v>
      </c>
      <c r="C206" s="1421" t="s">
        <v>20301</v>
      </c>
      <c r="D206" s="2378">
        <v>0.28000000000000003</v>
      </c>
      <c r="E206" s="2378">
        <v>1</v>
      </c>
      <c r="F206" s="2378">
        <v>0</v>
      </c>
      <c r="G206" s="2378">
        <v>0</v>
      </c>
      <c r="H206" s="2378">
        <v>1</v>
      </c>
      <c r="I206" s="931"/>
      <c r="J206" s="2377" t="s">
        <v>20295</v>
      </c>
      <c r="K206" s="2377" t="s">
        <v>20295</v>
      </c>
      <c r="L206" s="1104">
        <v>56.366589376127301</v>
      </c>
      <c r="M206" s="1104">
        <v>31.382266363149299</v>
      </c>
      <c r="T206" s="1419"/>
    </row>
    <row r="207" spans="1:20" ht="15" customHeight="1" x14ac:dyDescent="0.25">
      <c r="A207" s="2377" t="s">
        <v>1783</v>
      </c>
      <c r="B207" s="2377" t="s">
        <v>20297</v>
      </c>
      <c r="C207" s="1421" t="s">
        <v>20301</v>
      </c>
      <c r="D207" s="2378">
        <v>0.05</v>
      </c>
      <c r="E207" s="2378">
        <v>-0.05</v>
      </c>
      <c r="F207" s="2378">
        <v>0</v>
      </c>
      <c r="G207" s="2378">
        <v>0</v>
      </c>
      <c r="H207" s="2378">
        <v>0</v>
      </c>
      <c r="I207" s="931"/>
      <c r="J207" s="2377" t="s">
        <v>20295</v>
      </c>
      <c r="K207" s="2377" t="s">
        <v>3333</v>
      </c>
      <c r="L207" s="1104">
        <v>55.815755702065999</v>
      </c>
      <c r="M207" s="1104">
        <v>31.4666890538183</v>
      </c>
      <c r="T207" s="1419"/>
    </row>
    <row r="208" spans="1:20" ht="15" customHeight="1" x14ac:dyDescent="0.25">
      <c r="A208" s="2377" t="s">
        <v>1784</v>
      </c>
      <c r="B208" s="2377" t="s">
        <v>20303</v>
      </c>
      <c r="C208" s="1421" t="s">
        <v>20301</v>
      </c>
      <c r="D208" s="2378">
        <v>1.86</v>
      </c>
      <c r="E208" s="2378">
        <v>-1.86</v>
      </c>
      <c r="F208" s="2378">
        <v>0.1108695652173913</v>
      </c>
      <c r="G208" s="2378">
        <v>0</v>
      </c>
      <c r="H208" s="2378">
        <v>0</v>
      </c>
      <c r="I208" s="931"/>
      <c r="J208" s="2377" t="s">
        <v>20295</v>
      </c>
      <c r="K208" s="2377" t="s">
        <v>3333</v>
      </c>
      <c r="L208" s="1104">
        <v>55.863897874483001</v>
      </c>
      <c r="M208" s="1104">
        <v>32.2785135593817</v>
      </c>
      <c r="T208" s="1419"/>
    </row>
    <row r="209" spans="1:20" ht="15" customHeight="1" x14ac:dyDescent="0.25">
      <c r="A209" s="2377" t="s">
        <v>1785</v>
      </c>
      <c r="B209" s="2377" t="s">
        <v>20377</v>
      </c>
      <c r="C209" s="1421" t="s">
        <v>20301</v>
      </c>
      <c r="D209" s="2378">
        <v>0.38</v>
      </c>
      <c r="E209" s="2378">
        <v>2.35</v>
      </c>
      <c r="F209" s="2378">
        <v>0</v>
      </c>
      <c r="G209" s="2378">
        <v>0</v>
      </c>
      <c r="H209" s="2378">
        <v>2.35</v>
      </c>
      <c r="I209" s="931"/>
      <c r="J209" s="2377" t="s">
        <v>20295</v>
      </c>
      <c r="K209" s="2377" t="s">
        <v>20295</v>
      </c>
      <c r="L209" s="1104">
        <v>56.258005847280003</v>
      </c>
      <c r="M209" s="1104">
        <v>32.358977418513398</v>
      </c>
      <c r="T209" s="1419"/>
    </row>
    <row r="210" spans="1:20" ht="15" customHeight="1" x14ac:dyDescent="0.25">
      <c r="A210" s="2377" t="s">
        <v>1786</v>
      </c>
      <c r="B210" s="2377" t="s">
        <v>20302</v>
      </c>
      <c r="C210" s="1421" t="s">
        <v>20301</v>
      </c>
      <c r="D210" s="2378">
        <v>0.21</v>
      </c>
      <c r="E210" s="2378">
        <v>0.70000000000000007</v>
      </c>
      <c r="F210" s="2378">
        <v>0</v>
      </c>
      <c r="G210" s="2378">
        <v>0</v>
      </c>
      <c r="H210" s="2378">
        <v>0.70000000000000007</v>
      </c>
      <c r="I210" s="931"/>
      <c r="J210" s="2377" t="s">
        <v>20295</v>
      </c>
      <c r="K210" s="2377" t="s">
        <v>20295</v>
      </c>
      <c r="L210" s="1104">
        <v>56.396138368713501</v>
      </c>
      <c r="M210" s="1104">
        <v>32.790010688667003</v>
      </c>
      <c r="T210" s="1419"/>
    </row>
    <row r="211" spans="1:20" ht="15" customHeight="1" x14ac:dyDescent="0.25">
      <c r="A211" s="2377" t="s">
        <v>1787</v>
      </c>
      <c r="B211" s="2377" t="s">
        <v>20369</v>
      </c>
      <c r="C211" s="1421" t="s">
        <v>20294</v>
      </c>
      <c r="D211" s="2378">
        <v>0.25</v>
      </c>
      <c r="E211" s="2378">
        <v>0.67</v>
      </c>
      <c r="F211" s="2378">
        <v>0</v>
      </c>
      <c r="G211" s="2378">
        <v>0</v>
      </c>
      <c r="H211" s="2378">
        <v>0.67</v>
      </c>
      <c r="I211" s="931"/>
      <c r="J211" s="2377" t="s">
        <v>20295</v>
      </c>
      <c r="K211" s="2377" t="s">
        <v>20295</v>
      </c>
      <c r="L211" s="1104">
        <v>56.085486214999698</v>
      </c>
      <c r="M211" s="1104">
        <v>31.859428192368</v>
      </c>
      <c r="T211" s="1419"/>
    </row>
    <row r="212" spans="1:20" ht="15" customHeight="1" x14ac:dyDescent="0.25">
      <c r="A212" s="2377" t="s">
        <v>1788</v>
      </c>
      <c r="B212" s="2377" t="s">
        <v>20377</v>
      </c>
      <c r="C212" s="1421" t="s">
        <v>20315</v>
      </c>
      <c r="D212" s="2378">
        <v>0.97</v>
      </c>
      <c r="E212" s="2378">
        <v>0.90999999999999992</v>
      </c>
      <c r="F212" s="2378">
        <v>0</v>
      </c>
      <c r="G212" s="2378">
        <v>0</v>
      </c>
      <c r="H212" s="2378">
        <v>0.90999999999999992</v>
      </c>
      <c r="I212" s="931"/>
      <c r="J212" s="2377" t="s">
        <v>20295</v>
      </c>
      <c r="K212" s="2377" t="s">
        <v>20295</v>
      </c>
      <c r="L212" s="1104">
        <v>56.067237629597599</v>
      </c>
      <c r="M212" s="1104">
        <v>32.8443175433923</v>
      </c>
      <c r="T212" s="1419"/>
    </row>
    <row r="213" spans="1:20" ht="15" customHeight="1" x14ac:dyDescent="0.25">
      <c r="A213" s="2377" t="s">
        <v>1789</v>
      </c>
      <c r="B213" s="2377" t="s">
        <v>20378</v>
      </c>
      <c r="C213" s="1421" t="s">
        <v>3074</v>
      </c>
      <c r="D213" s="2378">
        <v>0.18</v>
      </c>
      <c r="E213" s="2378">
        <v>0.69</v>
      </c>
      <c r="F213" s="2378">
        <v>0</v>
      </c>
      <c r="G213" s="2378">
        <v>0</v>
      </c>
      <c r="H213" s="2378">
        <v>0.69</v>
      </c>
      <c r="I213" s="931"/>
      <c r="J213" s="2377" t="s">
        <v>20295</v>
      </c>
      <c r="K213" s="2377" t="s">
        <v>20295</v>
      </c>
      <c r="L213" s="1104">
        <v>56.511311336791501</v>
      </c>
      <c r="M213" s="1104">
        <v>31.116721048774298</v>
      </c>
      <c r="T213" s="1419"/>
    </row>
    <row r="214" spans="1:20" ht="15" customHeight="1" x14ac:dyDescent="0.25">
      <c r="A214" s="2377" t="s">
        <v>1790</v>
      </c>
      <c r="B214" s="2377" t="s">
        <v>20304</v>
      </c>
      <c r="C214" s="1421" t="s">
        <v>20294</v>
      </c>
      <c r="D214" s="2378">
        <v>0.23</v>
      </c>
      <c r="E214" s="2378">
        <v>0.67</v>
      </c>
      <c r="F214" s="2378">
        <v>0</v>
      </c>
      <c r="G214" s="2378">
        <v>0</v>
      </c>
      <c r="H214" s="2378">
        <v>0.67</v>
      </c>
      <c r="I214" s="931"/>
      <c r="J214" s="2377" t="s">
        <v>20295</v>
      </c>
      <c r="K214" s="2377" t="s">
        <v>20295</v>
      </c>
      <c r="L214" s="1104">
        <v>56.656234881491301</v>
      </c>
      <c r="M214" s="1104">
        <v>31.40388826337</v>
      </c>
      <c r="T214" s="1419"/>
    </row>
    <row r="215" spans="1:20" ht="15" customHeight="1" x14ac:dyDescent="0.25">
      <c r="A215" s="2377" t="s">
        <v>1791</v>
      </c>
      <c r="B215" s="2377" t="s">
        <v>20337</v>
      </c>
      <c r="C215" s="1421" t="s">
        <v>20294</v>
      </c>
      <c r="D215" s="2378">
        <v>0.54</v>
      </c>
      <c r="E215" s="2378">
        <v>0.7</v>
      </c>
      <c r="F215" s="2378">
        <v>0</v>
      </c>
      <c r="G215" s="2378">
        <v>0</v>
      </c>
      <c r="H215" s="2378">
        <v>0.7</v>
      </c>
      <c r="I215" s="931"/>
      <c r="J215" s="2377" t="s">
        <v>20295</v>
      </c>
      <c r="K215" s="2377" t="s">
        <v>20295</v>
      </c>
      <c r="L215" s="1104">
        <v>56.221509931686597</v>
      </c>
      <c r="M215" s="1104">
        <v>32.748808156639399</v>
      </c>
      <c r="T215" s="1419"/>
    </row>
    <row r="216" spans="1:20" ht="15" customHeight="1" x14ac:dyDescent="0.25">
      <c r="A216" s="2377" t="s">
        <v>1792</v>
      </c>
      <c r="B216" s="2377" t="s">
        <v>20361</v>
      </c>
      <c r="C216" s="1421" t="s">
        <v>20301</v>
      </c>
      <c r="D216" s="2378">
        <v>0.38</v>
      </c>
      <c r="E216" s="2378">
        <v>2.0700000000000003</v>
      </c>
      <c r="F216" s="2378">
        <v>0</v>
      </c>
      <c r="G216" s="2378">
        <v>0</v>
      </c>
      <c r="H216" s="2378">
        <v>2.0700000000000003</v>
      </c>
      <c r="I216" s="931"/>
      <c r="J216" s="2377" t="s">
        <v>20295</v>
      </c>
      <c r="K216" s="2377" t="s">
        <v>20295</v>
      </c>
      <c r="L216" s="1104">
        <v>56.489109448289803</v>
      </c>
      <c r="M216" s="1104">
        <v>31.843254812482002</v>
      </c>
      <c r="T216" s="1419"/>
    </row>
    <row r="217" spans="1:20" ht="15" customHeight="1" x14ac:dyDescent="0.25">
      <c r="A217" s="2377" t="s">
        <v>1793</v>
      </c>
      <c r="B217" s="2377" t="s">
        <v>20303</v>
      </c>
      <c r="C217" s="1421" t="s">
        <v>3074</v>
      </c>
      <c r="D217" s="2378">
        <v>0.35</v>
      </c>
      <c r="E217" s="2378">
        <v>0.10000000000000003</v>
      </c>
      <c r="F217" s="2378">
        <v>5.8695652173913038E-2</v>
      </c>
      <c r="G217" s="2378">
        <v>0</v>
      </c>
      <c r="H217" s="2378">
        <v>4.1304347826086996E-2</v>
      </c>
      <c r="I217" s="931"/>
      <c r="J217" s="2377" t="s">
        <v>20295</v>
      </c>
      <c r="K217" s="2377" t="s">
        <v>20295</v>
      </c>
      <c r="L217" s="1104">
        <v>56.898108803443201</v>
      </c>
      <c r="M217" s="1104">
        <v>32.077245840508198</v>
      </c>
      <c r="T217" s="1419"/>
    </row>
    <row r="218" spans="1:20" ht="15" customHeight="1" x14ac:dyDescent="0.25">
      <c r="A218" s="2377" t="s">
        <v>1794</v>
      </c>
      <c r="B218" s="2377" t="s">
        <v>20309</v>
      </c>
      <c r="C218" s="1421" t="s">
        <v>20294</v>
      </c>
      <c r="D218" s="2378">
        <v>0.34</v>
      </c>
      <c r="E218" s="2378">
        <v>-0.34</v>
      </c>
      <c r="F218" s="2378">
        <v>0</v>
      </c>
      <c r="G218" s="2378">
        <v>0</v>
      </c>
      <c r="H218" s="2378">
        <v>0</v>
      </c>
      <c r="I218" s="931"/>
      <c r="J218" s="2377" t="s">
        <v>20295</v>
      </c>
      <c r="K218" s="2377" t="s">
        <v>3333</v>
      </c>
      <c r="L218" s="1104">
        <v>56.275572606468899</v>
      </c>
      <c r="M218" s="1104">
        <v>31.9360874224983</v>
      </c>
      <c r="T218" s="1419"/>
    </row>
    <row r="219" spans="1:20" ht="15" customHeight="1" x14ac:dyDescent="0.25">
      <c r="A219" s="2377" t="s">
        <v>1808</v>
      </c>
      <c r="B219" s="2377" t="s">
        <v>20300</v>
      </c>
      <c r="C219" s="1421" t="s">
        <v>20301</v>
      </c>
      <c r="D219" s="2378">
        <v>0.13</v>
      </c>
      <c r="E219" s="2378">
        <v>1.69</v>
      </c>
      <c r="F219" s="2378">
        <v>0</v>
      </c>
      <c r="G219" s="2378">
        <v>0</v>
      </c>
      <c r="H219" s="2378">
        <v>1.69</v>
      </c>
      <c r="I219" s="931"/>
      <c r="J219" s="2377" t="s">
        <v>20295</v>
      </c>
      <c r="K219" s="2377" t="s">
        <v>20295</v>
      </c>
      <c r="L219" s="1104">
        <v>55.801832313897698</v>
      </c>
      <c r="M219" s="1104">
        <v>33.105341542915497</v>
      </c>
      <c r="T219" s="1419"/>
    </row>
    <row r="220" spans="1:20" ht="15" customHeight="1" x14ac:dyDescent="0.25">
      <c r="A220" s="2377" t="s">
        <v>1795</v>
      </c>
      <c r="B220" s="2377" t="s">
        <v>20377</v>
      </c>
      <c r="C220" s="1421" t="s">
        <v>20331</v>
      </c>
      <c r="D220" s="2378">
        <v>0.56999999999999995</v>
      </c>
      <c r="E220" s="2378">
        <v>1.3900000000000001</v>
      </c>
      <c r="F220" s="2378">
        <v>0</v>
      </c>
      <c r="G220" s="2378">
        <v>0</v>
      </c>
      <c r="H220" s="2378">
        <v>1.3900000000000001</v>
      </c>
      <c r="I220" s="931"/>
      <c r="J220" s="2377" t="s">
        <v>20295</v>
      </c>
      <c r="K220" s="2377" t="s">
        <v>20295</v>
      </c>
      <c r="L220" s="1104">
        <v>56.888937668135398</v>
      </c>
      <c r="M220" s="1104">
        <v>31.711828797538999</v>
      </c>
      <c r="T220" s="1419"/>
    </row>
    <row r="221" spans="1:20" ht="15" customHeight="1" x14ac:dyDescent="0.25">
      <c r="A221" s="2377" t="s">
        <v>1796</v>
      </c>
      <c r="B221" s="2377" t="s">
        <v>20320</v>
      </c>
      <c r="C221" s="1421" t="s">
        <v>20379</v>
      </c>
      <c r="D221" s="2378">
        <v>0.34</v>
      </c>
      <c r="E221" s="2378">
        <v>0.82000000000000006</v>
      </c>
      <c r="F221" s="2378">
        <v>0</v>
      </c>
      <c r="G221" s="2378">
        <v>0</v>
      </c>
      <c r="H221" s="2378">
        <v>0.82000000000000006</v>
      </c>
      <c r="I221" s="931"/>
      <c r="J221" s="2377" t="s">
        <v>20295</v>
      </c>
      <c r="K221" s="2377" t="s">
        <v>20295</v>
      </c>
      <c r="L221" s="1104">
        <v>55.901399261597497</v>
      </c>
      <c r="M221" s="1104">
        <v>33.376600993077801</v>
      </c>
      <c r="T221" s="1419"/>
    </row>
    <row r="222" spans="1:20" ht="15" customHeight="1" x14ac:dyDescent="0.25">
      <c r="A222" s="2377" t="s">
        <v>1797</v>
      </c>
      <c r="B222" s="2377" t="s">
        <v>20370</v>
      </c>
      <c r="C222" s="1421" t="s">
        <v>20350</v>
      </c>
      <c r="D222" s="2378">
        <v>0.46</v>
      </c>
      <c r="E222" s="2378">
        <v>1.4400000000000002</v>
      </c>
      <c r="F222" s="2378">
        <v>0</v>
      </c>
      <c r="G222" s="2378">
        <v>0</v>
      </c>
      <c r="H222" s="2378">
        <v>1.4400000000000002</v>
      </c>
      <c r="I222" s="931"/>
      <c r="J222" s="2377" t="s">
        <v>20295</v>
      </c>
      <c r="K222" s="2377" t="s">
        <v>20295</v>
      </c>
      <c r="L222" s="1104">
        <v>56.645553124979401</v>
      </c>
      <c r="M222" s="1104">
        <v>31.7581185050953</v>
      </c>
      <c r="T222" s="1419"/>
    </row>
    <row r="223" spans="1:20" ht="15" customHeight="1" x14ac:dyDescent="0.25">
      <c r="A223" s="2377" t="s">
        <v>1798</v>
      </c>
      <c r="B223" s="2377" t="s">
        <v>20380</v>
      </c>
      <c r="C223" s="1421" t="s">
        <v>20351</v>
      </c>
      <c r="D223" s="2378">
        <v>1.54</v>
      </c>
      <c r="E223" s="2378">
        <v>3.52</v>
      </c>
      <c r="F223" s="2378">
        <v>0</v>
      </c>
      <c r="G223" s="2378">
        <v>0</v>
      </c>
      <c r="H223" s="2378">
        <v>3.52</v>
      </c>
      <c r="I223" s="931"/>
      <c r="J223" s="2377" t="s">
        <v>20295</v>
      </c>
      <c r="K223" s="2377" t="s">
        <v>20295</v>
      </c>
      <c r="L223" s="1104">
        <v>56.536975825665102</v>
      </c>
      <c r="M223" s="1104">
        <v>31.6038603641646</v>
      </c>
      <c r="T223" s="1419"/>
    </row>
    <row r="224" spans="1:20" ht="15" customHeight="1" x14ac:dyDescent="0.25">
      <c r="A224" s="2377" t="s">
        <v>2748</v>
      </c>
      <c r="B224" s="2377" t="s">
        <v>20309</v>
      </c>
      <c r="C224" s="1421" t="s">
        <v>20334</v>
      </c>
      <c r="D224" s="2378">
        <v>2.73</v>
      </c>
      <c r="E224" s="2378">
        <v>23.52</v>
      </c>
      <c r="F224" s="2378">
        <v>0</v>
      </c>
      <c r="G224" s="2378">
        <v>0</v>
      </c>
      <c r="H224" s="2378">
        <v>26.25</v>
      </c>
      <c r="I224" s="931"/>
      <c r="J224" s="2377" t="s">
        <v>20295</v>
      </c>
      <c r="K224" s="2377" t="s">
        <v>20295</v>
      </c>
      <c r="L224" s="1104">
        <v>56.530764656413403</v>
      </c>
      <c r="M224" s="1104">
        <v>32.178893279207301</v>
      </c>
      <c r="T224" s="1419"/>
    </row>
    <row r="225" spans="1:20" ht="15" customHeight="1" x14ac:dyDescent="0.25">
      <c r="A225" s="2377" t="s">
        <v>1799</v>
      </c>
      <c r="B225" s="2377" t="s">
        <v>20320</v>
      </c>
      <c r="C225" s="1421" t="s">
        <v>20331</v>
      </c>
      <c r="D225" s="2378">
        <v>0.7</v>
      </c>
      <c r="E225" s="2378">
        <v>1.3600000000000003</v>
      </c>
      <c r="F225" s="2378">
        <v>0</v>
      </c>
      <c r="G225" s="2378">
        <v>0</v>
      </c>
      <c r="H225" s="2378">
        <v>1.3600000000000003</v>
      </c>
      <c r="I225" s="931"/>
      <c r="J225" s="2377" t="s">
        <v>20295</v>
      </c>
      <c r="K225" s="2377" t="s">
        <v>20295</v>
      </c>
      <c r="L225" s="1104">
        <v>55.947945073946201</v>
      </c>
      <c r="M225" s="1104">
        <v>31.685826846532901</v>
      </c>
      <c r="T225" s="1419"/>
    </row>
    <row r="226" spans="1:20" ht="15" customHeight="1" x14ac:dyDescent="0.25">
      <c r="A226" s="2377" t="s">
        <v>1800</v>
      </c>
      <c r="B226" s="2377" t="s">
        <v>20381</v>
      </c>
      <c r="C226" s="1421" t="s">
        <v>20345</v>
      </c>
      <c r="D226" s="2378">
        <v>0.8</v>
      </c>
      <c r="E226" s="2378">
        <v>3.12</v>
      </c>
      <c r="F226" s="2378">
        <v>0</v>
      </c>
      <c r="G226" s="2378">
        <v>0</v>
      </c>
      <c r="H226" s="2378">
        <v>3.12</v>
      </c>
      <c r="I226" s="931"/>
      <c r="J226" s="2377" t="s">
        <v>20295</v>
      </c>
      <c r="K226" s="2377" t="s">
        <v>20295</v>
      </c>
      <c r="L226" s="1104">
        <v>56.786929104754201</v>
      </c>
      <c r="M226" s="1104">
        <v>31.259684304533</v>
      </c>
      <c r="T226" s="1419"/>
    </row>
    <row r="227" spans="1:20" ht="15" customHeight="1" x14ac:dyDescent="0.25">
      <c r="A227" s="2377" t="s">
        <v>1801</v>
      </c>
      <c r="B227" s="2377" t="s">
        <v>20337</v>
      </c>
      <c r="C227" s="1421" t="s">
        <v>20382</v>
      </c>
      <c r="D227" s="2378">
        <v>4.09</v>
      </c>
      <c r="E227" s="2378">
        <v>1.79</v>
      </c>
      <c r="F227" s="2378">
        <v>0.12309782608695653</v>
      </c>
      <c r="G227" s="2378">
        <v>0</v>
      </c>
      <c r="H227" s="2378">
        <v>1.6669021739130434</v>
      </c>
      <c r="I227" s="931"/>
      <c r="J227" s="2377" t="s">
        <v>20295</v>
      </c>
      <c r="K227" s="2377" t="s">
        <v>20295</v>
      </c>
      <c r="L227" s="1104">
        <v>56.221509931686597</v>
      </c>
      <c r="M227" s="1104">
        <v>32.748808156639399</v>
      </c>
      <c r="T227" s="1419"/>
    </row>
    <row r="228" spans="1:20" ht="15" customHeight="1" x14ac:dyDescent="0.25">
      <c r="A228" s="2377" t="s">
        <v>1802</v>
      </c>
      <c r="B228" s="2377" t="s">
        <v>20308</v>
      </c>
      <c r="C228" s="1421" t="s">
        <v>20351</v>
      </c>
      <c r="D228" s="2378">
        <v>1.89</v>
      </c>
      <c r="E228" s="2378">
        <v>2.3100000000000005</v>
      </c>
      <c r="F228" s="2378">
        <v>0.78532608695652162</v>
      </c>
      <c r="G228" s="2378">
        <v>0</v>
      </c>
      <c r="H228" s="2378">
        <v>1.5246739130434785</v>
      </c>
      <c r="I228" s="931"/>
      <c r="J228" s="2377" t="s">
        <v>20295</v>
      </c>
      <c r="K228" s="2377" t="s">
        <v>20295</v>
      </c>
      <c r="L228" s="1104">
        <v>56.2802978042156</v>
      </c>
      <c r="M228" s="1104">
        <v>31.6780277611938</v>
      </c>
      <c r="T228" s="1419"/>
    </row>
    <row r="229" spans="1:20" ht="15" customHeight="1" x14ac:dyDescent="0.25">
      <c r="A229" s="2377" t="s">
        <v>1803</v>
      </c>
      <c r="B229" s="2377" t="s">
        <v>20318</v>
      </c>
      <c r="C229" s="1421" t="s">
        <v>20336</v>
      </c>
      <c r="D229" s="2378">
        <v>7.9599999999999991</v>
      </c>
      <c r="E229" s="2378">
        <v>3.1800000000000006</v>
      </c>
      <c r="F229" s="2378">
        <v>7.3369565217391297E-2</v>
      </c>
      <c r="G229" s="2378">
        <v>0</v>
      </c>
      <c r="H229" s="2378">
        <v>3.1066304347826099</v>
      </c>
      <c r="I229" s="931"/>
      <c r="J229" s="2377" t="s">
        <v>20295</v>
      </c>
      <c r="K229" s="2377" t="s">
        <v>20295</v>
      </c>
      <c r="L229" s="1104">
        <v>56.664000059644898</v>
      </c>
      <c r="M229" s="1104">
        <v>32.2818454985253</v>
      </c>
      <c r="T229" s="1419"/>
    </row>
    <row r="230" spans="1:20" ht="20.100000000000001" customHeight="1" x14ac:dyDescent="0.25">
      <c r="A230" s="1090" t="s">
        <v>1768</v>
      </c>
      <c r="B230" s="2386"/>
      <c r="C230" s="2385"/>
      <c r="D230" s="2378">
        <v>3.03</v>
      </c>
      <c r="E230" s="2378">
        <v>0</v>
      </c>
      <c r="F230" s="2378"/>
      <c r="G230" s="2378">
        <v>0</v>
      </c>
      <c r="H230" s="2378">
        <v>0</v>
      </c>
      <c r="I230" s="2378"/>
      <c r="J230" s="2377" t="s">
        <v>20295</v>
      </c>
      <c r="K230" s="2377" t="s">
        <v>20295</v>
      </c>
      <c r="L230" s="1104">
        <v>56.664000059644898</v>
      </c>
      <c r="M230" s="1104">
        <v>32.2818454985253</v>
      </c>
    </row>
    <row r="231" spans="1:20" x14ac:dyDescent="0.25">
      <c r="A231" s="7" t="s">
        <v>1767</v>
      </c>
      <c r="B231" s="2384"/>
      <c r="C231" s="2385"/>
      <c r="D231" s="2378">
        <v>4.93</v>
      </c>
      <c r="E231" s="2378">
        <v>0</v>
      </c>
      <c r="F231" s="2378"/>
      <c r="G231" s="2378">
        <v>0</v>
      </c>
      <c r="H231" s="2378">
        <v>0</v>
      </c>
      <c r="I231" s="2378"/>
      <c r="J231" s="2377" t="s">
        <v>20295</v>
      </c>
      <c r="K231" s="2377" t="s">
        <v>20295</v>
      </c>
      <c r="L231" s="1104">
        <v>56.664000059644898</v>
      </c>
      <c r="M231" s="1104">
        <v>32.2818454985253</v>
      </c>
    </row>
    <row r="232" spans="1:20" ht="15" customHeight="1" x14ac:dyDescent="0.25">
      <c r="A232" s="2377" t="s">
        <v>1804</v>
      </c>
      <c r="B232" s="2377" t="s">
        <v>20321</v>
      </c>
      <c r="C232" s="1421" t="s">
        <v>20383</v>
      </c>
      <c r="D232" s="2378">
        <v>5.71</v>
      </c>
      <c r="E232" s="2378">
        <v>6.1899999999999995</v>
      </c>
      <c r="F232" s="2378">
        <v>0.15669565217391304</v>
      </c>
      <c r="G232" s="2378">
        <v>0</v>
      </c>
      <c r="H232" s="2378">
        <v>6.0333043478260873</v>
      </c>
      <c r="I232" s="931"/>
      <c r="J232" s="2377" t="s">
        <v>20295</v>
      </c>
      <c r="K232" s="2377" t="s">
        <v>20295</v>
      </c>
      <c r="L232" s="1104">
        <v>55.866963548747997</v>
      </c>
      <c r="M232" s="1104">
        <v>32.951118740095502</v>
      </c>
      <c r="T232" s="1419"/>
    </row>
    <row r="233" spans="1:20" x14ac:dyDescent="0.25">
      <c r="A233" s="1090" t="s">
        <v>1768</v>
      </c>
      <c r="B233" s="2386"/>
      <c r="C233" s="2385"/>
      <c r="D233" s="2378">
        <v>2.29</v>
      </c>
      <c r="E233" s="2378">
        <v>0</v>
      </c>
      <c r="F233" s="2378"/>
      <c r="G233" s="2378">
        <v>0</v>
      </c>
      <c r="H233" s="2378">
        <v>0</v>
      </c>
      <c r="I233" s="2378"/>
      <c r="J233" s="2377" t="s">
        <v>20295</v>
      </c>
      <c r="K233" s="2377" t="s">
        <v>20295</v>
      </c>
      <c r="L233" s="1104">
        <v>55.866963548747997</v>
      </c>
      <c r="M233" s="1104">
        <v>32.951118740095502</v>
      </c>
    </row>
    <row r="234" spans="1:20" x14ac:dyDescent="0.25">
      <c r="A234" s="7" t="s">
        <v>1767</v>
      </c>
      <c r="B234" s="2384"/>
      <c r="C234" s="2385"/>
      <c r="D234" s="2378">
        <v>3.42</v>
      </c>
      <c r="E234" s="2378">
        <v>0</v>
      </c>
      <c r="F234" s="2378"/>
      <c r="G234" s="2378">
        <v>0</v>
      </c>
      <c r="H234" s="2378">
        <v>0</v>
      </c>
      <c r="I234" s="2378"/>
      <c r="J234" s="2377" t="s">
        <v>20295</v>
      </c>
      <c r="K234" s="2377" t="s">
        <v>20295</v>
      </c>
      <c r="L234" s="1104">
        <v>55.866963548747997</v>
      </c>
      <c r="M234" s="1104">
        <v>32.951118740095502</v>
      </c>
    </row>
    <row r="235" spans="1:20" ht="15" customHeight="1" x14ac:dyDescent="0.25">
      <c r="A235" s="2377" t="s">
        <v>1805</v>
      </c>
      <c r="B235" s="2377" t="s">
        <v>20339</v>
      </c>
      <c r="C235" s="1421" t="s">
        <v>20336</v>
      </c>
      <c r="D235" s="2378">
        <v>8.629999999999999</v>
      </c>
      <c r="E235" s="2378">
        <v>3.1000000000000014</v>
      </c>
      <c r="F235" s="2378">
        <v>0.78532608695652162</v>
      </c>
      <c r="G235" s="2378">
        <v>0</v>
      </c>
      <c r="H235" s="2378">
        <v>2.3146739130434799</v>
      </c>
      <c r="I235" s="931"/>
      <c r="J235" s="2377" t="s">
        <v>20295</v>
      </c>
      <c r="K235" s="2377" t="s">
        <v>20295</v>
      </c>
      <c r="L235" s="1104">
        <v>56.251399351168097</v>
      </c>
      <c r="M235" s="1104">
        <v>32.0903693373739</v>
      </c>
      <c r="T235" s="1419"/>
    </row>
    <row r="236" spans="1:20" x14ac:dyDescent="0.25">
      <c r="A236" s="1090" t="s">
        <v>1768</v>
      </c>
      <c r="B236" s="2386"/>
      <c r="C236" s="2385"/>
      <c r="D236" s="2378">
        <v>2.04</v>
      </c>
      <c r="E236" s="2378">
        <v>0</v>
      </c>
      <c r="F236" s="2378"/>
      <c r="G236" s="2378">
        <v>0</v>
      </c>
      <c r="H236" s="2378">
        <v>0</v>
      </c>
      <c r="I236" s="2378"/>
      <c r="J236" s="2377" t="s">
        <v>20295</v>
      </c>
      <c r="K236" s="2377" t="s">
        <v>20295</v>
      </c>
      <c r="L236" s="1104">
        <v>56.251399351168097</v>
      </c>
      <c r="M236" s="1104">
        <v>32.0903693373739</v>
      </c>
    </row>
    <row r="237" spans="1:20" ht="20.100000000000001" customHeight="1" x14ac:dyDescent="0.25">
      <c r="A237" s="7" t="s">
        <v>1767</v>
      </c>
      <c r="B237" s="2384"/>
      <c r="C237" s="2385"/>
      <c r="D237" s="2378">
        <v>6.59</v>
      </c>
      <c r="E237" s="2378">
        <v>0</v>
      </c>
      <c r="F237" s="2378"/>
      <c r="G237" s="2378">
        <v>0</v>
      </c>
      <c r="H237" s="2378">
        <v>0</v>
      </c>
      <c r="I237" s="2378"/>
      <c r="J237" s="2377" t="s">
        <v>20295</v>
      </c>
      <c r="K237" s="2377" t="s">
        <v>20295</v>
      </c>
      <c r="L237" s="1104">
        <v>56.251399351168097</v>
      </c>
      <c r="M237" s="1104">
        <v>32.0903693373739</v>
      </c>
    </row>
    <row r="238" spans="1:20" ht="15" customHeight="1" x14ac:dyDescent="0.25">
      <c r="A238" s="2377" t="s">
        <v>1806</v>
      </c>
      <c r="B238" s="2377" t="s">
        <v>20384</v>
      </c>
      <c r="C238" s="1421" t="s">
        <v>20334</v>
      </c>
      <c r="D238" s="2378">
        <v>16.47</v>
      </c>
      <c r="E238" s="2378">
        <v>11.120000000000001</v>
      </c>
      <c r="F238" s="2378">
        <v>0.69978260869565212</v>
      </c>
      <c r="G238" s="2378">
        <v>0</v>
      </c>
      <c r="H238" s="2378">
        <v>10.420217391304348</v>
      </c>
      <c r="I238" s="931"/>
      <c r="J238" s="2377" t="s">
        <v>20295</v>
      </c>
      <c r="K238" s="2377" t="s">
        <v>20295</v>
      </c>
      <c r="L238" s="1104">
        <v>56.493515565355203</v>
      </c>
      <c r="M238" s="1104">
        <v>31.640055859206502</v>
      </c>
      <c r="T238" s="1419"/>
    </row>
    <row r="239" spans="1:20" ht="20.100000000000001" customHeight="1" x14ac:dyDescent="0.25">
      <c r="A239" s="1090" t="s">
        <v>1768</v>
      </c>
      <c r="B239" s="2386"/>
      <c r="C239" s="2385"/>
      <c r="D239" s="2378">
        <v>4.2</v>
      </c>
      <c r="E239" s="2378">
        <v>0</v>
      </c>
      <c r="F239" s="2378"/>
      <c r="G239" s="2378">
        <v>0</v>
      </c>
      <c r="H239" s="2378">
        <v>0</v>
      </c>
      <c r="I239" s="2378"/>
      <c r="J239" s="2377" t="s">
        <v>20295</v>
      </c>
      <c r="K239" s="2377" t="s">
        <v>20295</v>
      </c>
      <c r="L239" s="1104">
        <v>56.493515565355203</v>
      </c>
      <c r="M239" s="1104">
        <v>31.640055859206502</v>
      </c>
    </row>
    <row r="240" spans="1:20" ht="15.75" customHeight="1" x14ac:dyDescent="0.25">
      <c r="A240" s="7" t="s">
        <v>1767</v>
      </c>
      <c r="B240" s="2384"/>
      <c r="C240" s="2385"/>
      <c r="D240" s="2378">
        <v>12.27</v>
      </c>
      <c r="E240" s="2378">
        <v>0</v>
      </c>
      <c r="F240" s="2378"/>
      <c r="G240" s="2373">
        <v>0</v>
      </c>
      <c r="H240" s="2378">
        <v>0</v>
      </c>
      <c r="I240" s="2378"/>
      <c r="J240" s="2377" t="s">
        <v>20295</v>
      </c>
      <c r="K240" s="2377" t="s">
        <v>20295</v>
      </c>
      <c r="L240" s="1104">
        <v>56.493515565355203</v>
      </c>
      <c r="M240" s="1104">
        <v>31.640055859206502</v>
      </c>
    </row>
    <row r="241" spans="1:20" ht="15" customHeight="1" x14ac:dyDescent="0.25">
      <c r="A241" s="2377" t="s">
        <v>149</v>
      </c>
      <c r="B241" s="2377" t="s">
        <v>20299</v>
      </c>
      <c r="C241" s="1421" t="s">
        <v>20301</v>
      </c>
      <c r="D241" s="2378">
        <v>0.34</v>
      </c>
      <c r="E241" s="2378">
        <v>-7.1157999999998223E-2</v>
      </c>
      <c r="F241" s="2378">
        <v>0</v>
      </c>
      <c r="G241" s="2378">
        <v>0</v>
      </c>
      <c r="H241" s="2378">
        <v>0</v>
      </c>
      <c r="I241" s="931"/>
      <c r="J241" s="2377" t="s">
        <v>20295</v>
      </c>
      <c r="K241" s="2377" t="s">
        <v>3333</v>
      </c>
      <c r="L241" s="1104">
        <v>56.373681951001402</v>
      </c>
      <c r="M241" s="1104">
        <v>34.036245105198198</v>
      </c>
      <c r="T241" s="1419"/>
    </row>
    <row r="242" spans="1:20" ht="15" customHeight="1" x14ac:dyDescent="0.25">
      <c r="A242" s="2377" t="s">
        <v>150</v>
      </c>
      <c r="B242" s="2377" t="s">
        <v>20304</v>
      </c>
      <c r="C242" s="1421" t="s">
        <v>20301</v>
      </c>
      <c r="D242" s="2378">
        <v>0.27</v>
      </c>
      <c r="E242" s="2378">
        <v>-5.8247999999526595E-2</v>
      </c>
      <c r="F242" s="2378">
        <v>0</v>
      </c>
      <c r="G242" s="2378">
        <v>0</v>
      </c>
      <c r="H242" s="2378">
        <v>0</v>
      </c>
      <c r="I242" s="931"/>
      <c r="J242" s="2377" t="s">
        <v>20295</v>
      </c>
      <c r="K242" s="2377" t="s">
        <v>3333</v>
      </c>
      <c r="L242" s="1104">
        <v>56.0863419334366</v>
      </c>
      <c r="M242" s="1104">
        <v>34.033279301544297</v>
      </c>
      <c r="T242" s="1419"/>
    </row>
    <row r="243" spans="1:20" ht="15" customHeight="1" x14ac:dyDescent="0.25">
      <c r="A243" s="2377" t="s">
        <v>148</v>
      </c>
      <c r="B243" s="2377" t="s">
        <v>20299</v>
      </c>
      <c r="C243" s="1421" t="s">
        <v>20294</v>
      </c>
      <c r="D243" s="2378">
        <v>0.51</v>
      </c>
      <c r="E243" s="2378">
        <v>-0.51</v>
      </c>
      <c r="F243" s="2378">
        <v>0</v>
      </c>
      <c r="G243" s="2378">
        <v>0</v>
      </c>
      <c r="H243" s="2378">
        <v>0</v>
      </c>
      <c r="I243" s="931"/>
      <c r="J243" s="2377" t="s">
        <v>20295</v>
      </c>
      <c r="K243" s="2377" t="s">
        <v>3333</v>
      </c>
      <c r="L243" s="1104">
        <v>56.012565407189101</v>
      </c>
      <c r="M243" s="1104">
        <v>34.547977153853402</v>
      </c>
      <c r="T243" s="1419"/>
    </row>
    <row r="244" spans="1:20" ht="15" customHeight="1" x14ac:dyDescent="0.25">
      <c r="A244" s="2377" t="s">
        <v>152</v>
      </c>
      <c r="B244" s="2377" t="s">
        <v>20330</v>
      </c>
      <c r="C244" s="1421" t="s">
        <v>20301</v>
      </c>
      <c r="D244" s="2378">
        <v>1.58</v>
      </c>
      <c r="E244" s="2378">
        <v>-1.58</v>
      </c>
      <c r="F244" s="2378">
        <v>0.84189130434782611</v>
      </c>
      <c r="G244" s="2378">
        <v>0</v>
      </c>
      <c r="H244" s="2378">
        <v>0</v>
      </c>
      <c r="I244" s="931"/>
      <c r="J244" s="2377" t="s">
        <v>20295</v>
      </c>
      <c r="K244" s="2377" t="s">
        <v>3333</v>
      </c>
      <c r="L244" s="1104">
        <v>56.092405546294501</v>
      </c>
      <c r="M244" s="1104">
        <v>35.237888736973503</v>
      </c>
      <c r="T244" s="1419"/>
    </row>
    <row r="245" spans="1:20" ht="15" customHeight="1" x14ac:dyDescent="0.25">
      <c r="A245" s="2377" t="s">
        <v>151</v>
      </c>
      <c r="B245" s="2377" t="s">
        <v>20300</v>
      </c>
      <c r="C245" s="1421" t="s">
        <v>20301</v>
      </c>
      <c r="D245" s="2378">
        <v>0.8</v>
      </c>
      <c r="E245" s="2378">
        <v>-0.8</v>
      </c>
      <c r="F245" s="2378">
        <v>7.3369565217391311E-2</v>
      </c>
      <c r="G245" s="2378">
        <v>0</v>
      </c>
      <c r="H245" s="2378">
        <v>0</v>
      </c>
      <c r="I245" s="931"/>
      <c r="J245" s="2377" t="s">
        <v>20295</v>
      </c>
      <c r="K245" s="2377" t="s">
        <v>3333</v>
      </c>
      <c r="L245" s="1104">
        <v>56.280328609213797</v>
      </c>
      <c r="M245" s="1104">
        <v>35.081330928058399</v>
      </c>
      <c r="T245" s="1419"/>
    </row>
    <row r="246" spans="1:20" ht="15" customHeight="1" x14ac:dyDescent="0.25">
      <c r="A246" s="2377" t="s">
        <v>153</v>
      </c>
      <c r="B246" s="2377" t="s">
        <v>20309</v>
      </c>
      <c r="C246" s="1421" t="s">
        <v>20301</v>
      </c>
      <c r="D246" s="2378">
        <v>0.13</v>
      </c>
      <c r="E246" s="2378">
        <v>-2.4383499999152791E-2</v>
      </c>
      <c r="F246" s="2378">
        <v>0</v>
      </c>
      <c r="G246" s="2378">
        <v>0</v>
      </c>
      <c r="H246" s="2378">
        <v>0</v>
      </c>
      <c r="I246" s="931"/>
      <c r="J246" s="2377" t="s">
        <v>20295</v>
      </c>
      <c r="K246" s="2377" t="s">
        <v>3333</v>
      </c>
      <c r="L246" s="1104">
        <v>56.100005884001497</v>
      </c>
      <c r="M246" s="1104">
        <v>33.338437811307998</v>
      </c>
      <c r="T246" s="1419"/>
    </row>
    <row r="247" spans="1:20" ht="15" customHeight="1" x14ac:dyDescent="0.25">
      <c r="A247" s="2377" t="s">
        <v>154</v>
      </c>
      <c r="B247" s="2377" t="s">
        <v>20308</v>
      </c>
      <c r="C247" s="1421" t="s">
        <v>20301</v>
      </c>
      <c r="D247" s="2378">
        <v>0.56000000000000005</v>
      </c>
      <c r="E247" s="2378">
        <v>-0.16798200000032198</v>
      </c>
      <c r="F247" s="2378">
        <v>0</v>
      </c>
      <c r="G247" s="2378">
        <v>0</v>
      </c>
      <c r="H247" s="2378">
        <v>0</v>
      </c>
      <c r="I247" s="931"/>
      <c r="J247" s="2377" t="s">
        <v>20295</v>
      </c>
      <c r="K247" s="2377" t="s">
        <v>3333</v>
      </c>
      <c r="L247" s="1104">
        <v>56.406923791126303</v>
      </c>
      <c r="M247" s="1104">
        <v>33.605148246052103</v>
      </c>
      <c r="T247" s="1419"/>
    </row>
    <row r="248" spans="1:20" ht="15" customHeight="1" x14ac:dyDescent="0.25">
      <c r="A248" s="2377" t="s">
        <v>155</v>
      </c>
      <c r="B248" s="2377" t="s">
        <v>20302</v>
      </c>
      <c r="C248" s="1421" t="s">
        <v>20301</v>
      </c>
      <c r="D248" s="2378">
        <v>0.2</v>
      </c>
      <c r="E248" s="2378">
        <v>-1.5408999999890899E-2</v>
      </c>
      <c r="F248" s="2378">
        <v>0</v>
      </c>
      <c r="G248" s="2378">
        <v>0</v>
      </c>
      <c r="H248" s="2378">
        <v>0</v>
      </c>
      <c r="I248" s="931"/>
      <c r="J248" s="2377" t="s">
        <v>20295</v>
      </c>
      <c r="K248" s="2377" t="s">
        <v>3333</v>
      </c>
      <c r="L248" s="1104">
        <v>56.341619562858902</v>
      </c>
      <c r="M248" s="1104">
        <v>33.490870341268398</v>
      </c>
      <c r="T248" s="1419"/>
    </row>
    <row r="249" spans="1:20" ht="15" customHeight="1" x14ac:dyDescent="0.25">
      <c r="A249" s="2377" t="s">
        <v>156</v>
      </c>
      <c r="B249" s="2377" t="s">
        <v>20348</v>
      </c>
      <c r="C249" s="1421" t="s">
        <v>3074</v>
      </c>
      <c r="D249" s="2378">
        <v>0.24</v>
      </c>
      <c r="E249" s="2378">
        <v>-0.14372549999978204</v>
      </c>
      <c r="F249" s="2378">
        <v>0</v>
      </c>
      <c r="G249" s="2378">
        <v>0</v>
      </c>
      <c r="H249" s="2378">
        <v>0</v>
      </c>
      <c r="I249" s="931"/>
      <c r="J249" s="2377" t="s">
        <v>20295</v>
      </c>
      <c r="K249" s="2377" t="s">
        <v>3333</v>
      </c>
      <c r="L249" s="1104">
        <v>56.413413259235703</v>
      </c>
      <c r="M249" s="1104">
        <v>33.307302681525599</v>
      </c>
      <c r="T249" s="1419"/>
    </row>
    <row r="250" spans="1:20" ht="15" customHeight="1" x14ac:dyDescent="0.25">
      <c r="A250" s="2377" t="s">
        <v>157</v>
      </c>
      <c r="B250" s="2377" t="s">
        <v>20304</v>
      </c>
      <c r="C250" s="1421" t="s">
        <v>20301</v>
      </c>
      <c r="D250" s="2378">
        <v>0.56000000000000005</v>
      </c>
      <c r="E250" s="2378">
        <v>-0.12819199999952136</v>
      </c>
      <c r="F250" s="2378">
        <v>0.22500000000000001</v>
      </c>
      <c r="G250" s="2378">
        <v>0</v>
      </c>
      <c r="H250" s="2378">
        <v>0</v>
      </c>
      <c r="I250" s="931"/>
      <c r="J250" s="2377" t="s">
        <v>20295</v>
      </c>
      <c r="K250" s="2377" t="s">
        <v>3333</v>
      </c>
      <c r="L250" s="1104">
        <v>56.383859066518198</v>
      </c>
      <c r="M250" s="1104">
        <v>34.902575835611401</v>
      </c>
      <c r="T250" s="1419"/>
    </row>
    <row r="251" spans="1:20" ht="15" customHeight="1" x14ac:dyDescent="0.25">
      <c r="A251" s="2377" t="s">
        <v>158</v>
      </c>
      <c r="B251" s="2377" t="s">
        <v>20300</v>
      </c>
      <c r="C251" s="1421" t="s">
        <v>20294</v>
      </c>
      <c r="D251" s="2378">
        <v>0.51</v>
      </c>
      <c r="E251" s="2378">
        <v>-0.10646019999957579</v>
      </c>
      <c r="F251" s="2378">
        <v>0</v>
      </c>
      <c r="G251" s="2378">
        <v>0</v>
      </c>
      <c r="H251" s="2378">
        <v>0</v>
      </c>
      <c r="I251" s="931"/>
      <c r="J251" s="2377" t="s">
        <v>20295</v>
      </c>
      <c r="K251" s="2377" t="s">
        <v>3333</v>
      </c>
      <c r="L251" s="1104">
        <v>56.674827484590097</v>
      </c>
      <c r="M251" s="1104">
        <v>34.713152769420098</v>
      </c>
      <c r="T251" s="1419"/>
    </row>
    <row r="252" spans="1:20" ht="15" customHeight="1" x14ac:dyDescent="0.25">
      <c r="A252" s="2377" t="s">
        <v>159</v>
      </c>
      <c r="B252" s="2377" t="s">
        <v>20307</v>
      </c>
      <c r="C252" s="1421" t="s">
        <v>20336</v>
      </c>
      <c r="D252" s="2378">
        <v>10.17</v>
      </c>
      <c r="E252" s="2378">
        <v>2.1581463600013926</v>
      </c>
      <c r="F252" s="2378">
        <v>0.53413043478260858</v>
      </c>
      <c r="G252" s="2378">
        <v>0</v>
      </c>
      <c r="H252" s="2378">
        <v>1.6240159252187834</v>
      </c>
      <c r="I252" s="931"/>
      <c r="J252" s="2377" t="s">
        <v>20295</v>
      </c>
      <c r="K252" s="2377" t="s">
        <v>20295</v>
      </c>
      <c r="L252" s="1104">
        <v>56.266524758189703</v>
      </c>
      <c r="M252" s="1104">
        <v>34.270968538802499</v>
      </c>
      <c r="T252" s="1419"/>
    </row>
    <row r="253" spans="1:20" ht="15" customHeight="1" x14ac:dyDescent="0.25">
      <c r="A253" s="2377" t="s">
        <v>160</v>
      </c>
      <c r="B253" s="2377" t="s">
        <v>20341</v>
      </c>
      <c r="C253" s="1421" t="s">
        <v>20329</v>
      </c>
      <c r="D253" s="2378">
        <v>0.36</v>
      </c>
      <c r="E253" s="2378">
        <v>2.2650000000000001</v>
      </c>
      <c r="F253" s="2378">
        <v>0</v>
      </c>
      <c r="G253" s="2378">
        <v>0</v>
      </c>
      <c r="H253" s="2378">
        <v>2.2650000000000001</v>
      </c>
      <c r="I253" s="931"/>
      <c r="J253" s="2377" t="s">
        <v>20295</v>
      </c>
      <c r="K253" s="2377" t="s">
        <v>20295</v>
      </c>
      <c r="L253" s="1104">
        <v>56.0238544268759</v>
      </c>
      <c r="M253" s="1104">
        <v>34.311537677285699</v>
      </c>
      <c r="T253" s="1419"/>
    </row>
    <row r="254" spans="1:20" ht="15" customHeight="1" x14ac:dyDescent="0.25">
      <c r="A254" s="2377" t="s">
        <v>161</v>
      </c>
      <c r="B254" s="2377" t="s">
        <v>20337</v>
      </c>
      <c r="C254" s="1421" t="s">
        <v>20358</v>
      </c>
      <c r="D254" s="2378">
        <v>1.2</v>
      </c>
      <c r="E254" s="2378">
        <v>1.425</v>
      </c>
      <c r="F254" s="2378">
        <v>0.81358695652173918</v>
      </c>
      <c r="G254" s="2378">
        <v>1.0999999999999999</v>
      </c>
      <c r="H254" s="2378">
        <v>0.61141304347826075</v>
      </c>
      <c r="I254" s="931"/>
      <c r="J254" s="2377" t="s">
        <v>20295</v>
      </c>
      <c r="K254" s="2377" t="s">
        <v>20295</v>
      </c>
      <c r="L254" s="1104">
        <v>56.465882846709498</v>
      </c>
      <c r="M254" s="1104">
        <v>34.035018695647601</v>
      </c>
      <c r="T254" s="1419"/>
    </row>
    <row r="255" spans="1:20" ht="15" customHeight="1" x14ac:dyDescent="0.25">
      <c r="A255" s="2377" t="s">
        <v>162</v>
      </c>
      <c r="B255" s="2377" t="s">
        <v>20355</v>
      </c>
      <c r="C255" s="1421" t="s">
        <v>20351</v>
      </c>
      <c r="D255" s="2378">
        <v>1.1599999999999999</v>
      </c>
      <c r="E255" s="2378">
        <v>4.18</v>
      </c>
      <c r="F255" s="2378">
        <v>0</v>
      </c>
      <c r="G255" s="2378">
        <v>0</v>
      </c>
      <c r="H255" s="2378">
        <v>4.18</v>
      </c>
      <c r="I255" s="931"/>
      <c r="J255" s="2377" t="s">
        <v>20295</v>
      </c>
      <c r="K255" s="2377" t="s">
        <v>20295</v>
      </c>
      <c r="L255" s="1104">
        <v>56.265401748841903</v>
      </c>
      <c r="M255" s="1104">
        <v>34.4570924679253</v>
      </c>
      <c r="T255" s="1419"/>
    </row>
    <row r="256" spans="1:20" ht="15" customHeight="1" x14ac:dyDescent="0.25">
      <c r="A256" s="2377" t="s">
        <v>3025</v>
      </c>
      <c r="B256" s="2377" t="s">
        <v>20330</v>
      </c>
      <c r="C256" s="1421" t="s">
        <v>20334</v>
      </c>
      <c r="D256" s="2378">
        <v>14.030000000000001</v>
      </c>
      <c r="E256" s="2378">
        <v>0</v>
      </c>
      <c r="F256" s="2378">
        <v>2.4767741935483873</v>
      </c>
      <c r="G256" s="2378">
        <v>0</v>
      </c>
      <c r="H256" s="2378">
        <v>13.012430306451632</v>
      </c>
      <c r="I256" s="931"/>
      <c r="J256" s="2377" t="s">
        <v>20295</v>
      </c>
      <c r="K256" s="2377" t="s">
        <v>20295</v>
      </c>
      <c r="L256" s="1104">
        <v>56.172469954641201</v>
      </c>
      <c r="M256" s="1104">
        <v>34.5756604961677</v>
      </c>
      <c r="T256" s="1419"/>
    </row>
    <row r="257" spans="1:20" ht="15.75" customHeight="1" x14ac:dyDescent="0.25">
      <c r="A257" s="1090" t="s">
        <v>1807</v>
      </c>
      <c r="B257" s="2386"/>
      <c r="C257" s="247"/>
      <c r="D257" s="2378">
        <v>5.46</v>
      </c>
      <c r="E257" s="2378">
        <v>0</v>
      </c>
      <c r="F257" s="2378"/>
      <c r="G257" s="2378">
        <v>0</v>
      </c>
      <c r="H257" s="2378">
        <v>0</v>
      </c>
      <c r="I257" s="2378"/>
      <c r="J257" s="2377" t="s">
        <v>20295</v>
      </c>
      <c r="K257" s="2377" t="s">
        <v>20295</v>
      </c>
      <c r="L257" s="1104">
        <v>56.172469954641201</v>
      </c>
      <c r="M257" s="1104">
        <v>34.5756604961677</v>
      </c>
    </row>
    <row r="258" spans="1:20" ht="15.75" customHeight="1" x14ac:dyDescent="0.25">
      <c r="A258" s="7" t="s">
        <v>1767</v>
      </c>
      <c r="B258" s="2384"/>
      <c r="C258" s="2385"/>
      <c r="D258" s="2378">
        <v>8.57</v>
      </c>
      <c r="E258" s="2378">
        <v>0</v>
      </c>
      <c r="F258" s="2378"/>
      <c r="G258" s="2378">
        <v>0</v>
      </c>
      <c r="H258" s="2378">
        <v>0</v>
      </c>
      <c r="I258" s="2378"/>
      <c r="J258" s="2377" t="s">
        <v>20295</v>
      </c>
      <c r="K258" s="2377" t="s">
        <v>20295</v>
      </c>
      <c r="L258" s="1104">
        <v>56.172469954641201</v>
      </c>
      <c r="M258" s="1104">
        <v>34.5756604961677</v>
      </c>
    </row>
    <row r="259" spans="1:20" ht="15" customHeight="1" x14ac:dyDescent="0.25">
      <c r="A259" s="2377" t="s">
        <v>163</v>
      </c>
      <c r="B259" s="2377" t="s">
        <v>20330</v>
      </c>
      <c r="C259" s="1421" t="s">
        <v>20382</v>
      </c>
      <c r="D259" s="2378">
        <v>3.58</v>
      </c>
      <c r="E259" s="2378">
        <v>2.7305623999994797</v>
      </c>
      <c r="F259" s="2378">
        <v>0.69413043478260872</v>
      </c>
      <c r="G259" s="2378">
        <v>6.25E-2</v>
      </c>
      <c r="H259" s="2378">
        <v>2.0364319652168712</v>
      </c>
      <c r="I259" s="931"/>
      <c r="J259" s="2377" t="s">
        <v>20295</v>
      </c>
      <c r="K259" s="2377" t="s">
        <v>20295</v>
      </c>
      <c r="L259" s="1104">
        <v>56.132142444197598</v>
      </c>
      <c r="M259" s="1104">
        <v>34.898052747883298</v>
      </c>
      <c r="T259" s="1419"/>
    </row>
    <row r="260" spans="1:20" ht="15" customHeight="1" x14ac:dyDescent="0.25">
      <c r="A260" s="2377" t="s">
        <v>164</v>
      </c>
      <c r="B260" s="2377" t="s">
        <v>20370</v>
      </c>
      <c r="C260" s="1421" t="s">
        <v>20351</v>
      </c>
      <c r="D260" s="2378">
        <v>1.1100000000000001</v>
      </c>
      <c r="E260" s="2378">
        <v>3.09</v>
      </c>
      <c r="F260" s="2378">
        <v>0.12146739130434783</v>
      </c>
      <c r="G260" s="2378">
        <v>0</v>
      </c>
      <c r="H260" s="2378">
        <v>2.9685326086956523</v>
      </c>
      <c r="I260" s="931"/>
      <c r="J260" s="2377" t="s">
        <v>20295</v>
      </c>
      <c r="K260" s="2377" t="s">
        <v>20295</v>
      </c>
      <c r="L260" s="1104">
        <v>56.394427552252402</v>
      </c>
      <c r="M260" s="1104">
        <v>35.251126767343401</v>
      </c>
      <c r="T260" s="1419"/>
    </row>
    <row r="261" spans="1:20" ht="15" customHeight="1" x14ac:dyDescent="0.25">
      <c r="A261" s="2377" t="s">
        <v>165</v>
      </c>
      <c r="B261" s="2377" t="s">
        <v>20300</v>
      </c>
      <c r="C261" s="1421" t="s">
        <v>20329</v>
      </c>
      <c r="D261" s="2378">
        <v>0.31</v>
      </c>
      <c r="E261" s="2378">
        <v>2.6150000000000002</v>
      </c>
      <c r="F261" s="2378">
        <v>0</v>
      </c>
      <c r="G261" s="2378">
        <v>0</v>
      </c>
      <c r="H261" s="2378">
        <v>2.6150000000000002</v>
      </c>
      <c r="I261" s="931"/>
      <c r="J261" s="2377" t="s">
        <v>20295</v>
      </c>
      <c r="K261" s="2377" t="s">
        <v>20295</v>
      </c>
      <c r="L261" s="1104">
        <v>56.591538770162003</v>
      </c>
      <c r="M261" s="1104">
        <v>34.628120493828902</v>
      </c>
      <c r="T261" s="1419"/>
    </row>
    <row r="262" spans="1:20" ht="15" customHeight="1" x14ac:dyDescent="0.25">
      <c r="A262" s="2377" t="s">
        <v>166</v>
      </c>
      <c r="B262" s="2377" t="s">
        <v>20385</v>
      </c>
      <c r="C262" s="1421" t="s">
        <v>20328</v>
      </c>
      <c r="D262" s="2378">
        <v>1.02</v>
      </c>
      <c r="E262" s="2378">
        <v>1.605</v>
      </c>
      <c r="F262" s="2378">
        <v>0.20380434782608695</v>
      </c>
      <c r="G262" s="2378">
        <v>0</v>
      </c>
      <c r="H262" s="2378">
        <v>1.4011956521739131</v>
      </c>
      <c r="I262" s="931"/>
      <c r="J262" s="2377" t="s">
        <v>20295</v>
      </c>
      <c r="K262" s="2377" t="s">
        <v>20295</v>
      </c>
      <c r="L262" s="1104">
        <v>56.652683647502002</v>
      </c>
      <c r="M262" s="1104">
        <v>34.374451510960498</v>
      </c>
      <c r="T262" s="1419"/>
    </row>
    <row r="263" spans="1:20" ht="15" customHeight="1" x14ac:dyDescent="0.25">
      <c r="A263" s="2377" t="s">
        <v>167</v>
      </c>
      <c r="B263" s="2377" t="s">
        <v>20316</v>
      </c>
      <c r="C263" s="1421" t="s">
        <v>20333</v>
      </c>
      <c r="D263" s="2378">
        <v>1.85</v>
      </c>
      <c r="E263" s="2378">
        <v>5.3815720000000002</v>
      </c>
      <c r="F263" s="2378">
        <v>0</v>
      </c>
      <c r="G263" s="2378">
        <v>0</v>
      </c>
      <c r="H263" s="2378">
        <v>5.3815720000000002</v>
      </c>
      <c r="I263" s="931"/>
      <c r="J263" s="2377" t="s">
        <v>20295</v>
      </c>
      <c r="K263" s="2377" t="s">
        <v>20295</v>
      </c>
      <c r="L263" s="1104">
        <v>56.206704218121203</v>
      </c>
      <c r="M263" s="1104">
        <v>34.214144919244497</v>
      </c>
      <c r="T263" s="1419"/>
    </row>
    <row r="264" spans="1:20" ht="15" customHeight="1" x14ac:dyDescent="0.25">
      <c r="A264" s="2377" t="s">
        <v>168</v>
      </c>
      <c r="B264" s="2377" t="s">
        <v>20339</v>
      </c>
      <c r="C264" s="1421" t="s">
        <v>20333</v>
      </c>
      <c r="D264" s="2378">
        <v>1.2</v>
      </c>
      <c r="E264" s="2378">
        <v>5.7316591999998678</v>
      </c>
      <c r="F264" s="2378">
        <v>0</v>
      </c>
      <c r="G264" s="2378">
        <v>0</v>
      </c>
      <c r="H264" s="2378">
        <v>5.7316591999998678</v>
      </c>
      <c r="I264" s="931"/>
      <c r="J264" s="2377" t="s">
        <v>20295</v>
      </c>
      <c r="K264" s="2377" t="s">
        <v>20295</v>
      </c>
      <c r="L264" s="1104">
        <v>56.240181355065701</v>
      </c>
      <c r="M264" s="1104">
        <v>33.158507404212401</v>
      </c>
      <c r="T264" s="1419"/>
    </row>
    <row r="265" spans="1:20" ht="15" customHeight="1" x14ac:dyDescent="0.25">
      <c r="A265" s="2377" t="s">
        <v>169</v>
      </c>
      <c r="B265" s="2377" t="s">
        <v>20337</v>
      </c>
      <c r="C265" s="1421" t="s">
        <v>20386</v>
      </c>
      <c r="D265" s="2378">
        <v>31.020000000000003</v>
      </c>
      <c r="E265" s="2378">
        <v>14.419860775999819</v>
      </c>
      <c r="F265" s="2378">
        <v>2.9951521739130436</v>
      </c>
      <c r="G265" s="2378">
        <v>1.1624999999999999</v>
      </c>
      <c r="H265" s="2378">
        <v>11.424708602086778</v>
      </c>
      <c r="I265" s="931"/>
      <c r="J265" s="2377" t="s">
        <v>20295</v>
      </c>
      <c r="K265" s="2377" t="s">
        <v>20295</v>
      </c>
      <c r="L265" s="1104">
        <v>56.2411116350114</v>
      </c>
      <c r="M265" s="1104">
        <v>34.312113844013503</v>
      </c>
      <c r="T265" s="1419"/>
    </row>
    <row r="266" spans="1:20" x14ac:dyDescent="0.25">
      <c r="A266" s="1090" t="s">
        <v>1807</v>
      </c>
      <c r="B266" s="2386"/>
      <c r="C266" s="2385"/>
      <c r="D266" s="2378">
        <v>21.3</v>
      </c>
      <c r="E266" s="2378">
        <v>0</v>
      </c>
      <c r="F266" s="2378"/>
      <c r="G266" s="2378">
        <v>1.1624999999999999</v>
      </c>
      <c r="H266" s="2378">
        <v>1.1624999999999999</v>
      </c>
      <c r="I266" s="2378"/>
      <c r="J266" s="2377" t="s">
        <v>20295</v>
      </c>
      <c r="K266" s="2377" t="s">
        <v>20295</v>
      </c>
      <c r="L266" s="1104">
        <v>56.2411116350114</v>
      </c>
      <c r="M266" s="1104">
        <v>34.312113844013503</v>
      </c>
    </row>
    <row r="267" spans="1:20" x14ac:dyDescent="0.25">
      <c r="A267" s="7" t="s">
        <v>1767</v>
      </c>
      <c r="B267" s="2384"/>
      <c r="C267" s="2385"/>
      <c r="D267" s="2378">
        <v>9.7200000000000006</v>
      </c>
      <c r="E267" s="2378">
        <v>0</v>
      </c>
      <c r="F267" s="2378"/>
      <c r="G267" s="2378">
        <v>0</v>
      </c>
      <c r="H267" s="2378">
        <v>0</v>
      </c>
      <c r="I267" s="2378"/>
      <c r="J267" s="2377" t="s">
        <v>20295</v>
      </c>
      <c r="K267" s="2377" t="s">
        <v>20295</v>
      </c>
      <c r="L267" s="1104">
        <v>56.2411116350114</v>
      </c>
      <c r="M267" s="1104">
        <v>34.312113844013503</v>
      </c>
    </row>
    <row r="268" spans="1:20" ht="15" customHeight="1" x14ac:dyDescent="0.25">
      <c r="A268" s="2377" t="s">
        <v>2645</v>
      </c>
      <c r="B268" s="2377" t="s">
        <v>20316</v>
      </c>
      <c r="C268" s="1421" t="s">
        <v>20371</v>
      </c>
      <c r="D268" s="2378">
        <v>1.6099999999999999</v>
      </c>
      <c r="E268" s="2378">
        <v>4.8665584000017779</v>
      </c>
      <c r="F268" s="2378">
        <v>0</v>
      </c>
      <c r="G268" s="2378">
        <v>0</v>
      </c>
      <c r="H268" s="2378">
        <v>4.8665584000017779</v>
      </c>
      <c r="I268" s="931"/>
      <c r="J268" s="2377" t="s">
        <v>20295</v>
      </c>
      <c r="K268" s="2377" t="s">
        <v>20295</v>
      </c>
      <c r="L268" s="1104">
        <v>56.206891388101397</v>
      </c>
      <c r="M268" s="1104">
        <v>33.892258534506098</v>
      </c>
      <c r="T268" s="1419"/>
    </row>
    <row r="269" spans="1:20" x14ac:dyDescent="0.25">
      <c r="A269" s="1090" t="s">
        <v>1807</v>
      </c>
      <c r="B269" s="2386"/>
      <c r="C269" s="2385"/>
      <c r="D269" s="2378">
        <v>0.41</v>
      </c>
      <c r="E269" s="2378">
        <v>0</v>
      </c>
      <c r="F269" s="2378"/>
      <c r="G269" s="2378">
        <v>0</v>
      </c>
      <c r="H269" s="2378">
        <v>0</v>
      </c>
      <c r="I269" s="2378"/>
      <c r="J269" s="2377" t="s">
        <v>20295</v>
      </c>
      <c r="K269" s="2377" t="s">
        <v>20295</v>
      </c>
      <c r="L269" s="1104">
        <v>56.206891388101397</v>
      </c>
      <c r="M269" s="1104">
        <v>33.892258534506098</v>
      </c>
    </row>
    <row r="270" spans="1:20" x14ac:dyDescent="0.25">
      <c r="A270" s="7" t="s">
        <v>1767</v>
      </c>
      <c r="B270" s="2384"/>
      <c r="C270" s="2385"/>
      <c r="D270" s="2378">
        <v>1.2</v>
      </c>
      <c r="E270" s="2378">
        <v>0</v>
      </c>
      <c r="F270" s="2378"/>
      <c r="G270" s="2378">
        <v>0</v>
      </c>
      <c r="H270" s="2378">
        <v>0</v>
      </c>
      <c r="I270" s="2378"/>
      <c r="J270" s="2377" t="s">
        <v>20295</v>
      </c>
      <c r="K270" s="2377" t="s">
        <v>20295</v>
      </c>
      <c r="L270" s="1104">
        <v>56.206891388101397</v>
      </c>
      <c r="M270" s="1104">
        <v>33.892258534506098</v>
      </c>
    </row>
    <row r="271" spans="1:20" ht="15" customHeight="1" x14ac:dyDescent="0.25">
      <c r="A271" s="2377" t="s">
        <v>170</v>
      </c>
      <c r="B271" s="2377" t="s">
        <v>20308</v>
      </c>
      <c r="C271" s="1421" t="s">
        <v>20383</v>
      </c>
      <c r="D271" s="2378">
        <v>5.35</v>
      </c>
      <c r="E271" s="2378">
        <v>5.4308655000003272</v>
      </c>
      <c r="F271" s="2378">
        <v>0.33543478260869564</v>
      </c>
      <c r="G271" s="2378">
        <v>0</v>
      </c>
      <c r="H271" s="2378">
        <v>5.0954307173916318</v>
      </c>
      <c r="I271" s="931"/>
      <c r="J271" s="2377" t="s">
        <v>20295</v>
      </c>
      <c r="K271" s="2377" t="s">
        <v>20295</v>
      </c>
      <c r="L271" s="1104">
        <v>56.222590712521701</v>
      </c>
      <c r="M271" s="1104">
        <v>33.502481446068401</v>
      </c>
      <c r="T271" s="1419"/>
    </row>
    <row r="272" spans="1:20" x14ac:dyDescent="0.25">
      <c r="A272" s="1090" t="s">
        <v>1807</v>
      </c>
      <c r="B272" s="2386"/>
      <c r="C272" s="2385"/>
      <c r="D272" s="2378">
        <v>1.0900000000000001</v>
      </c>
      <c r="E272" s="2378">
        <v>0</v>
      </c>
      <c r="F272" s="2378"/>
      <c r="G272" s="2378">
        <v>0</v>
      </c>
      <c r="H272" s="2378">
        <v>0</v>
      </c>
      <c r="I272" s="2378"/>
      <c r="J272" s="2377" t="s">
        <v>20295</v>
      </c>
      <c r="K272" s="2377" t="s">
        <v>20295</v>
      </c>
      <c r="L272" s="1104">
        <v>56.222590712521701</v>
      </c>
      <c r="M272" s="1104">
        <v>33.502481446068401</v>
      </c>
    </row>
    <row r="273" spans="1:20" x14ac:dyDescent="0.25">
      <c r="A273" s="7" t="s">
        <v>1767</v>
      </c>
      <c r="B273" s="2384"/>
      <c r="C273" s="2385"/>
      <c r="D273" s="2378">
        <v>4.26</v>
      </c>
      <c r="E273" s="2378">
        <v>0</v>
      </c>
      <c r="F273" s="2378"/>
      <c r="G273" s="2378">
        <v>0</v>
      </c>
      <c r="H273" s="2378">
        <v>0</v>
      </c>
      <c r="I273" s="2378"/>
      <c r="J273" s="2377" t="s">
        <v>20295</v>
      </c>
      <c r="K273" s="2377" t="s">
        <v>20295</v>
      </c>
      <c r="L273" s="1104">
        <v>56.222590712521701</v>
      </c>
      <c r="M273" s="1104">
        <v>33.502481446068401</v>
      </c>
    </row>
    <row r="274" spans="1:20" ht="15" customHeight="1" x14ac:dyDescent="0.25">
      <c r="A274" s="2377" t="s">
        <v>171</v>
      </c>
      <c r="B274" s="2377" t="s">
        <v>20327</v>
      </c>
      <c r="C274" s="1421" t="s">
        <v>20367</v>
      </c>
      <c r="D274" s="2378">
        <v>11</v>
      </c>
      <c r="E274" s="2378">
        <v>8.7677077399977179</v>
      </c>
      <c r="F274" s="2378">
        <v>2.1984782608695652</v>
      </c>
      <c r="G274" s="2378">
        <v>0.125</v>
      </c>
      <c r="H274" s="2378">
        <v>6.5692294791281522</v>
      </c>
      <c r="I274" s="931"/>
      <c r="J274" s="2377" t="s">
        <v>20295</v>
      </c>
      <c r="K274" s="2377" t="s">
        <v>20295</v>
      </c>
      <c r="L274" s="1104">
        <v>56.498230498297197</v>
      </c>
      <c r="M274" s="1104">
        <v>34.925430104473897</v>
      </c>
      <c r="T274" s="1419"/>
    </row>
    <row r="275" spans="1:20" x14ac:dyDescent="0.25">
      <c r="A275" s="1090" t="s">
        <v>1807</v>
      </c>
      <c r="B275" s="2386"/>
      <c r="C275" s="2385"/>
      <c r="D275" s="2378">
        <v>3.55</v>
      </c>
      <c r="E275" s="2378">
        <v>0</v>
      </c>
      <c r="F275" s="2378"/>
      <c r="G275" s="2378">
        <v>0</v>
      </c>
      <c r="H275" s="2378">
        <v>0</v>
      </c>
      <c r="I275" s="2378"/>
      <c r="J275" s="2377" t="s">
        <v>20295</v>
      </c>
      <c r="K275" s="2377" t="s">
        <v>20295</v>
      </c>
      <c r="L275" s="1104">
        <v>56.498230498297197</v>
      </c>
      <c r="M275" s="1104">
        <v>34.925430104473897</v>
      </c>
    </row>
    <row r="276" spans="1:20" x14ac:dyDescent="0.25">
      <c r="A276" s="7" t="s">
        <v>1767</v>
      </c>
      <c r="B276" s="2384"/>
      <c r="C276" s="2385"/>
      <c r="D276" s="2378">
        <v>7.45</v>
      </c>
      <c r="E276" s="2378">
        <v>0</v>
      </c>
      <c r="F276" s="2378"/>
      <c r="G276" s="2378">
        <v>0.125</v>
      </c>
      <c r="H276" s="2378">
        <v>0.125</v>
      </c>
      <c r="I276" s="2378"/>
      <c r="J276" s="2377" t="s">
        <v>20295</v>
      </c>
      <c r="K276" s="2377" t="s">
        <v>20295</v>
      </c>
      <c r="L276" s="1104">
        <v>56.498230498297197</v>
      </c>
      <c r="M276" s="1104">
        <v>34.925430104473897</v>
      </c>
    </row>
    <row r="277" spans="1:20" ht="15" customHeight="1" x14ac:dyDescent="0.25">
      <c r="A277" s="2377" t="s">
        <v>172</v>
      </c>
      <c r="B277" s="2377" t="s">
        <v>20330</v>
      </c>
      <c r="C277" s="1421" t="s">
        <v>20333</v>
      </c>
      <c r="D277" s="2378">
        <v>3.7</v>
      </c>
      <c r="E277" s="2378">
        <v>3.0249999999999999</v>
      </c>
      <c r="F277" s="2378">
        <v>0.7630434782608696</v>
      </c>
      <c r="G277" s="2378">
        <v>0</v>
      </c>
      <c r="H277" s="2378">
        <v>2.2619565217391306</v>
      </c>
      <c r="I277" s="931"/>
      <c r="J277" s="2377" t="s">
        <v>20295</v>
      </c>
      <c r="K277" s="2377" t="s">
        <v>20295</v>
      </c>
      <c r="L277" s="1104">
        <v>56.593616507818602</v>
      </c>
      <c r="M277" s="1104">
        <v>35.225638740526897</v>
      </c>
      <c r="T277" s="1419"/>
    </row>
    <row r="278" spans="1:20" ht="20.100000000000001" customHeight="1" x14ac:dyDescent="0.25">
      <c r="A278" s="1090" t="s">
        <v>1807</v>
      </c>
      <c r="B278" s="2386"/>
      <c r="C278" s="2385"/>
      <c r="D278" s="2378">
        <v>0.14000000000000001</v>
      </c>
      <c r="E278" s="2378">
        <v>0</v>
      </c>
      <c r="F278" s="2378"/>
      <c r="G278" s="2378">
        <v>0</v>
      </c>
      <c r="H278" s="2378">
        <v>0</v>
      </c>
      <c r="I278" s="2378"/>
      <c r="J278" s="2377" t="s">
        <v>20295</v>
      </c>
      <c r="K278" s="2377" t="s">
        <v>20295</v>
      </c>
      <c r="L278" s="1104">
        <v>56.593616507818602</v>
      </c>
      <c r="M278" s="1104">
        <v>35.225638740526897</v>
      </c>
    </row>
    <row r="279" spans="1:20" ht="20.100000000000001" customHeight="1" x14ac:dyDescent="0.25">
      <c r="A279" s="7" t="s">
        <v>1767</v>
      </c>
      <c r="B279" s="2384"/>
      <c r="C279" s="2385"/>
      <c r="D279" s="2378">
        <v>3.56</v>
      </c>
      <c r="E279" s="2378">
        <v>0</v>
      </c>
      <c r="F279" s="2378"/>
      <c r="G279" s="2373">
        <v>0</v>
      </c>
      <c r="H279" s="2378">
        <v>0</v>
      </c>
      <c r="I279" s="2378"/>
      <c r="J279" s="2377" t="s">
        <v>20295</v>
      </c>
      <c r="K279" s="2377" t="s">
        <v>20295</v>
      </c>
      <c r="L279" s="1104">
        <v>56.593616507818602</v>
      </c>
      <c r="M279" s="1104">
        <v>35.225638740526897</v>
      </c>
    </row>
    <row r="280" spans="1:20" ht="15" customHeight="1" x14ac:dyDescent="0.25">
      <c r="A280" s="2377" t="s">
        <v>173</v>
      </c>
      <c r="B280" s="2377" t="s">
        <v>20293</v>
      </c>
      <c r="C280" s="1421" t="s">
        <v>20301</v>
      </c>
      <c r="D280" s="2378">
        <v>1.24</v>
      </c>
      <c r="E280" s="2378">
        <v>-0.1399999999999999</v>
      </c>
      <c r="F280" s="2378">
        <v>0</v>
      </c>
      <c r="G280" s="2378">
        <v>0</v>
      </c>
      <c r="H280" s="2378">
        <v>0</v>
      </c>
      <c r="I280" s="931"/>
      <c r="J280" s="2377" t="s">
        <v>20295</v>
      </c>
      <c r="K280" s="2377" t="s">
        <v>3333</v>
      </c>
      <c r="L280" s="1104">
        <v>56.818146640964599</v>
      </c>
      <c r="M280" s="1104">
        <v>35.940324736067303</v>
      </c>
      <c r="T280" s="1419"/>
    </row>
    <row r="281" spans="1:20" ht="15" customHeight="1" x14ac:dyDescent="0.25">
      <c r="A281" s="2377" t="s">
        <v>174</v>
      </c>
      <c r="B281" s="2377" t="s">
        <v>20368</v>
      </c>
      <c r="C281" s="1421" t="s">
        <v>20294</v>
      </c>
      <c r="D281" s="2378">
        <v>1.41</v>
      </c>
      <c r="E281" s="2378">
        <v>-1.41</v>
      </c>
      <c r="F281" s="2378">
        <v>1.2081521739130434</v>
      </c>
      <c r="G281" s="2378">
        <v>0</v>
      </c>
      <c r="H281" s="2378">
        <v>0</v>
      </c>
      <c r="I281" s="931">
        <v>2014</v>
      </c>
      <c r="J281" s="2377" t="s">
        <v>20295</v>
      </c>
      <c r="K281" s="2377" t="s">
        <v>3333</v>
      </c>
      <c r="L281" s="1104">
        <v>56.713710650261802</v>
      </c>
      <c r="M281" s="1104">
        <v>35.606964689512203</v>
      </c>
      <c r="T281" s="1419"/>
    </row>
    <row r="282" spans="1:20" ht="15" customHeight="1" x14ac:dyDescent="0.25">
      <c r="A282" s="2377" t="s">
        <v>175</v>
      </c>
      <c r="B282" s="2377" t="s">
        <v>20340</v>
      </c>
      <c r="C282" s="1421" t="s">
        <v>20301</v>
      </c>
      <c r="D282" s="2378">
        <v>0.98</v>
      </c>
      <c r="E282" s="2378">
        <v>-0.98</v>
      </c>
      <c r="F282" s="2378">
        <v>0.13989130434782607</v>
      </c>
      <c r="G282" s="2378">
        <v>0</v>
      </c>
      <c r="H282" s="2378">
        <v>0</v>
      </c>
      <c r="I282" s="931"/>
      <c r="J282" s="2377" t="s">
        <v>20295</v>
      </c>
      <c r="K282" s="2377" t="s">
        <v>3333</v>
      </c>
      <c r="L282" s="1104">
        <v>56.776487935509401</v>
      </c>
      <c r="M282" s="1104">
        <v>36.343396986997</v>
      </c>
      <c r="T282" s="1419"/>
    </row>
    <row r="283" spans="1:20" ht="15" customHeight="1" x14ac:dyDescent="0.25">
      <c r="A283" s="2377" t="s">
        <v>2946</v>
      </c>
      <c r="B283" s="2377" t="s">
        <v>20387</v>
      </c>
      <c r="C283" s="1421" t="s">
        <v>3074</v>
      </c>
      <c r="D283" s="2378">
        <v>0.15</v>
      </c>
      <c r="E283" s="2378">
        <v>-0.15</v>
      </c>
      <c r="F283" s="2378">
        <v>0</v>
      </c>
      <c r="G283" s="2378">
        <v>0</v>
      </c>
      <c r="H283" s="2378">
        <v>0</v>
      </c>
      <c r="I283" s="931"/>
      <c r="J283" s="2377" t="s">
        <v>20295</v>
      </c>
      <c r="K283" s="2377" t="s">
        <v>3333</v>
      </c>
      <c r="L283" s="1104">
        <v>57.012558196179903</v>
      </c>
      <c r="M283" s="1104">
        <v>36.154382827292402</v>
      </c>
      <c r="T283" s="1419"/>
    </row>
    <row r="284" spans="1:20" ht="15" customHeight="1" x14ac:dyDescent="0.25">
      <c r="A284" s="2377" t="s">
        <v>176</v>
      </c>
      <c r="B284" s="2377" t="s">
        <v>20388</v>
      </c>
      <c r="C284" s="1421" t="s">
        <v>3074</v>
      </c>
      <c r="D284" s="2378">
        <v>0.61</v>
      </c>
      <c r="E284" s="2378">
        <v>-0.61</v>
      </c>
      <c r="F284" s="2378">
        <v>0.47934782608695653</v>
      </c>
      <c r="G284" s="2378">
        <v>0.61249999999999993</v>
      </c>
      <c r="H284" s="2378">
        <v>0</v>
      </c>
      <c r="I284" s="931"/>
      <c r="J284" s="2377" t="s">
        <v>20295</v>
      </c>
      <c r="K284" s="2377" t="s">
        <v>3333</v>
      </c>
      <c r="L284" s="1104">
        <v>56.951338158261699</v>
      </c>
      <c r="M284" s="1104">
        <v>35.883388459522102</v>
      </c>
      <c r="T284" s="1419"/>
    </row>
    <row r="285" spans="1:20" ht="15" customHeight="1" x14ac:dyDescent="0.25">
      <c r="A285" s="2377" t="s">
        <v>177</v>
      </c>
      <c r="B285" s="2377" t="s">
        <v>20388</v>
      </c>
      <c r="C285" s="1421" t="s">
        <v>20142</v>
      </c>
      <c r="D285" s="2378">
        <v>2.12</v>
      </c>
      <c r="E285" s="2378">
        <v>-2.12</v>
      </c>
      <c r="F285" s="2378">
        <v>2.1531521739130435</v>
      </c>
      <c r="G285" s="2378">
        <v>3.125E-2</v>
      </c>
      <c r="H285" s="2378">
        <v>0</v>
      </c>
      <c r="I285" s="931"/>
      <c r="J285" s="2377" t="s">
        <v>20295</v>
      </c>
      <c r="K285" s="2377" t="s">
        <v>3333</v>
      </c>
      <c r="L285" s="1104">
        <v>56.951338158261699</v>
      </c>
      <c r="M285" s="1104">
        <v>35.883388459522102</v>
      </c>
      <c r="T285" s="1419"/>
    </row>
    <row r="286" spans="1:20" ht="15" customHeight="1" x14ac:dyDescent="0.25">
      <c r="A286" s="2377" t="s">
        <v>178</v>
      </c>
      <c r="B286" s="2377" t="s">
        <v>20389</v>
      </c>
      <c r="C286" s="1421" t="s">
        <v>3074</v>
      </c>
      <c r="D286" s="2378">
        <v>0.21</v>
      </c>
      <c r="E286" s="2378">
        <v>-0.21</v>
      </c>
      <c r="F286" s="2378">
        <v>0.12717391304347828</v>
      </c>
      <c r="G286" s="2378">
        <v>0</v>
      </c>
      <c r="H286" s="2378">
        <v>0</v>
      </c>
      <c r="I286" s="931"/>
      <c r="J286" s="2377" t="s">
        <v>20295</v>
      </c>
      <c r="K286" s="2377" t="s">
        <v>3333</v>
      </c>
      <c r="L286" s="1104">
        <v>56.623882070000903</v>
      </c>
      <c r="M286" s="1104">
        <v>35.571417481976802</v>
      </c>
      <c r="T286" s="1419"/>
    </row>
    <row r="287" spans="1:20" ht="15" customHeight="1" x14ac:dyDescent="0.25">
      <c r="A287" s="2377" t="s">
        <v>179</v>
      </c>
      <c r="B287" s="2377" t="s">
        <v>20389</v>
      </c>
      <c r="C287" s="1421" t="s">
        <v>20301</v>
      </c>
      <c r="D287" s="2378">
        <v>1.4</v>
      </c>
      <c r="E287" s="2378">
        <v>-1.4</v>
      </c>
      <c r="F287" s="2378">
        <v>5.434782608695652E-2</v>
      </c>
      <c r="G287" s="2378">
        <v>0</v>
      </c>
      <c r="H287" s="2378">
        <v>0</v>
      </c>
      <c r="I287" s="931"/>
      <c r="J287" s="2377" t="s">
        <v>20295</v>
      </c>
      <c r="K287" s="2377" t="s">
        <v>3333</v>
      </c>
      <c r="L287" s="1104">
        <v>56.623882070000903</v>
      </c>
      <c r="M287" s="1104">
        <v>35.571417481976802</v>
      </c>
      <c r="T287" s="1419"/>
    </row>
    <row r="288" spans="1:20" ht="15" customHeight="1" x14ac:dyDescent="0.25">
      <c r="A288" s="2377" t="s">
        <v>180</v>
      </c>
      <c r="B288" s="2377" t="s">
        <v>20300</v>
      </c>
      <c r="C288" s="1421" t="s">
        <v>20301</v>
      </c>
      <c r="D288" s="2378">
        <v>0.87</v>
      </c>
      <c r="E288" s="2378">
        <v>-0.27</v>
      </c>
      <c r="F288" s="2378">
        <v>6.8478260869565225E-2</v>
      </c>
      <c r="G288" s="2378">
        <v>0</v>
      </c>
      <c r="H288" s="2378">
        <v>0</v>
      </c>
      <c r="I288" s="931"/>
      <c r="J288" s="2377" t="s">
        <v>20295</v>
      </c>
      <c r="K288" s="2377" t="s">
        <v>3333</v>
      </c>
      <c r="L288" s="1104">
        <v>57.230938044061901</v>
      </c>
      <c r="M288" s="1104">
        <v>35.6042475573933</v>
      </c>
      <c r="T288" s="1419"/>
    </row>
    <row r="289" spans="1:20" ht="15" customHeight="1" x14ac:dyDescent="0.25">
      <c r="A289" s="2377" t="s">
        <v>181</v>
      </c>
      <c r="B289" s="2377" t="s">
        <v>20335</v>
      </c>
      <c r="C289" s="1421" t="s">
        <v>20301</v>
      </c>
      <c r="D289" s="2378">
        <v>0.33</v>
      </c>
      <c r="E289" s="2378">
        <v>-0.16</v>
      </c>
      <c r="F289" s="2378">
        <v>0</v>
      </c>
      <c r="G289" s="2378">
        <v>0</v>
      </c>
      <c r="H289" s="2378">
        <v>0</v>
      </c>
      <c r="I289" s="931"/>
      <c r="J289" s="2377" t="s">
        <v>20295</v>
      </c>
      <c r="K289" s="2377" t="s">
        <v>3333</v>
      </c>
      <c r="L289" s="1104">
        <v>57.385620055900503</v>
      </c>
      <c r="M289" s="1104">
        <v>35.437352096305403</v>
      </c>
      <c r="T289" s="1419"/>
    </row>
    <row r="290" spans="1:20" ht="15" customHeight="1" x14ac:dyDescent="0.25">
      <c r="A290" s="2377" t="s">
        <v>182</v>
      </c>
      <c r="B290" s="2377" t="s">
        <v>20300</v>
      </c>
      <c r="C290" s="1421" t="s">
        <v>20301</v>
      </c>
      <c r="D290" s="2378">
        <v>0.73</v>
      </c>
      <c r="E290" s="2378">
        <v>-0.35</v>
      </c>
      <c r="F290" s="2378">
        <v>0</v>
      </c>
      <c r="G290" s="2378">
        <v>0</v>
      </c>
      <c r="H290" s="2378">
        <v>0</v>
      </c>
      <c r="I290" s="931"/>
      <c r="J290" s="2377" t="s">
        <v>20295</v>
      </c>
      <c r="K290" s="2377" t="s">
        <v>3333</v>
      </c>
      <c r="L290" s="1104">
        <v>56.956849369037897</v>
      </c>
      <c r="M290" s="1104">
        <v>35.519790738799003</v>
      </c>
      <c r="T290" s="1419"/>
    </row>
    <row r="291" spans="1:20" ht="15" customHeight="1" x14ac:dyDescent="0.25">
      <c r="A291" s="2377" t="s">
        <v>183</v>
      </c>
      <c r="B291" s="2377" t="s">
        <v>20348</v>
      </c>
      <c r="C291" s="1421" t="s">
        <v>20294</v>
      </c>
      <c r="D291" s="2378">
        <v>0.32</v>
      </c>
      <c r="E291" s="2378">
        <v>-0.32</v>
      </c>
      <c r="F291" s="2378">
        <v>0</v>
      </c>
      <c r="G291" s="2378">
        <v>0</v>
      </c>
      <c r="H291" s="2378">
        <v>0</v>
      </c>
      <c r="I291" s="931"/>
      <c r="J291" s="2377" t="s">
        <v>20295</v>
      </c>
      <c r="K291" s="2377" t="s">
        <v>3333</v>
      </c>
      <c r="L291" s="1104">
        <v>57.125073809915101</v>
      </c>
      <c r="M291" s="1104">
        <v>35.672753228089903</v>
      </c>
      <c r="T291" s="1419"/>
    </row>
    <row r="292" spans="1:20" ht="15" customHeight="1" x14ac:dyDescent="0.25">
      <c r="A292" s="2377" t="s">
        <v>184</v>
      </c>
      <c r="B292" s="2377" t="s">
        <v>20318</v>
      </c>
      <c r="C292" s="1421" t="s">
        <v>20301</v>
      </c>
      <c r="D292" s="2378">
        <v>0.65</v>
      </c>
      <c r="E292" s="2378">
        <v>-0.65</v>
      </c>
      <c r="F292" s="2378">
        <v>0</v>
      </c>
      <c r="G292" s="2378">
        <v>0</v>
      </c>
      <c r="H292" s="2378">
        <v>0</v>
      </c>
      <c r="I292" s="931"/>
      <c r="J292" s="2377" t="s">
        <v>20295</v>
      </c>
      <c r="K292" s="2377" t="s">
        <v>3333</v>
      </c>
      <c r="L292" s="1104">
        <v>56.662698208776298</v>
      </c>
      <c r="M292" s="1104">
        <v>36.6972146769468</v>
      </c>
      <c r="T292" s="1419"/>
    </row>
    <row r="293" spans="1:20" ht="15" customHeight="1" x14ac:dyDescent="0.25">
      <c r="A293" s="2377" t="s">
        <v>185</v>
      </c>
      <c r="B293" s="2377" t="s">
        <v>20390</v>
      </c>
      <c r="C293" s="1421" t="s">
        <v>20301</v>
      </c>
      <c r="D293" s="2378">
        <v>1.47</v>
      </c>
      <c r="E293" s="2378">
        <v>-1.47</v>
      </c>
      <c r="F293" s="2378">
        <v>3.4239130434782612E-2</v>
      </c>
      <c r="G293" s="2378">
        <v>0</v>
      </c>
      <c r="H293" s="2378">
        <v>0</v>
      </c>
      <c r="I293" s="931"/>
      <c r="J293" s="2377" t="s">
        <v>20295</v>
      </c>
      <c r="K293" s="2377" t="s">
        <v>3333</v>
      </c>
      <c r="L293" s="1104">
        <v>56.768694136898397</v>
      </c>
      <c r="M293" s="1104">
        <v>36.275502863553797</v>
      </c>
      <c r="T293" s="1419"/>
    </row>
    <row r="294" spans="1:20" ht="15" customHeight="1" x14ac:dyDescent="0.25">
      <c r="A294" s="2377" t="s">
        <v>186</v>
      </c>
      <c r="B294" s="2377" t="s">
        <v>20304</v>
      </c>
      <c r="C294" s="1421" t="s">
        <v>20301</v>
      </c>
      <c r="D294" s="2378">
        <v>0.76</v>
      </c>
      <c r="E294" s="2378">
        <v>-0.76</v>
      </c>
      <c r="F294" s="2378">
        <v>2.1576086956521738</v>
      </c>
      <c r="G294" s="2378">
        <v>0.18750000000000003</v>
      </c>
      <c r="H294" s="2378">
        <v>0</v>
      </c>
      <c r="I294" s="931"/>
      <c r="J294" s="2377" t="s">
        <v>20295</v>
      </c>
      <c r="K294" s="2377" t="s">
        <v>3333</v>
      </c>
      <c r="L294" s="1104">
        <v>56.587896602222003</v>
      </c>
      <c r="M294" s="1104">
        <v>36.4910108207308</v>
      </c>
      <c r="T294" s="1419"/>
    </row>
    <row r="295" spans="1:20" ht="15" customHeight="1" x14ac:dyDescent="0.25">
      <c r="A295" s="2377" t="s">
        <v>187</v>
      </c>
      <c r="B295" s="2377" t="s">
        <v>20300</v>
      </c>
      <c r="C295" s="1421" t="s">
        <v>20301</v>
      </c>
      <c r="D295" s="2378">
        <v>0.42</v>
      </c>
      <c r="E295" s="2378">
        <v>-9.9999999999999978E-2</v>
      </c>
      <c r="F295" s="2378">
        <v>4.0760869565217399E-2</v>
      </c>
      <c r="G295" s="2378">
        <v>6.25E-2</v>
      </c>
      <c r="H295" s="2378">
        <v>0</v>
      </c>
      <c r="I295" s="931"/>
      <c r="J295" s="2377" t="s">
        <v>20295</v>
      </c>
      <c r="K295" s="2377" t="s">
        <v>3333</v>
      </c>
      <c r="L295" s="1104">
        <v>57.205603589896803</v>
      </c>
      <c r="M295" s="1104">
        <v>36.369147383304998</v>
      </c>
      <c r="T295" s="1419"/>
    </row>
    <row r="296" spans="1:20" ht="15" customHeight="1" x14ac:dyDescent="0.25">
      <c r="A296" s="2377" t="s">
        <v>2910</v>
      </c>
      <c r="B296" s="2377" t="s">
        <v>20308</v>
      </c>
      <c r="C296" s="1421" t="s">
        <v>20301</v>
      </c>
      <c r="D296" s="2378">
        <v>0.45</v>
      </c>
      <c r="E296" s="2378">
        <v>-0.45</v>
      </c>
      <c r="F296" s="2378">
        <v>0</v>
      </c>
      <c r="G296" s="2378">
        <v>0</v>
      </c>
      <c r="H296" s="2378">
        <v>0</v>
      </c>
      <c r="I296" s="931"/>
      <c r="J296" s="2377" t="s">
        <v>20295</v>
      </c>
      <c r="K296" s="2377" t="s">
        <v>3333</v>
      </c>
      <c r="L296" s="1104">
        <v>57.363755430550597</v>
      </c>
      <c r="M296" s="1104">
        <v>36.599152638130299</v>
      </c>
      <c r="T296" s="1419"/>
    </row>
    <row r="297" spans="1:20" ht="15" customHeight="1" x14ac:dyDescent="0.25">
      <c r="A297" s="2377" t="s">
        <v>188</v>
      </c>
      <c r="B297" s="2377" t="s">
        <v>20302</v>
      </c>
      <c r="C297" s="1421" t="s">
        <v>20301</v>
      </c>
      <c r="D297" s="2378">
        <v>0.11</v>
      </c>
      <c r="E297" s="2378">
        <v>0</v>
      </c>
      <c r="F297" s="2378">
        <v>0</v>
      </c>
      <c r="G297" s="2378">
        <v>0</v>
      </c>
      <c r="H297" s="2378">
        <v>0</v>
      </c>
      <c r="I297" s="931"/>
      <c r="J297" s="2377" t="s">
        <v>20295</v>
      </c>
      <c r="K297" s="2377" t="s">
        <v>20295</v>
      </c>
      <c r="L297" s="1104">
        <v>57.391124969442103</v>
      </c>
      <c r="M297" s="1104">
        <v>36.379972885451103</v>
      </c>
      <c r="T297" s="1419"/>
    </row>
    <row r="298" spans="1:20" ht="15" customHeight="1" x14ac:dyDescent="0.25">
      <c r="A298" s="2377" t="s">
        <v>189</v>
      </c>
      <c r="B298" s="2377" t="s">
        <v>20297</v>
      </c>
      <c r="C298" s="1421" t="s">
        <v>20351</v>
      </c>
      <c r="D298" s="2378">
        <v>0.75</v>
      </c>
      <c r="E298" s="2378">
        <v>3.45</v>
      </c>
      <c r="F298" s="2378">
        <v>0.29347826086956524</v>
      </c>
      <c r="G298" s="2378">
        <v>0</v>
      </c>
      <c r="H298" s="2378">
        <v>3.1565217391304348</v>
      </c>
      <c r="I298" s="931"/>
      <c r="J298" s="2377" t="s">
        <v>20295</v>
      </c>
      <c r="K298" s="2377" t="s">
        <v>20295</v>
      </c>
      <c r="L298" s="1104">
        <v>56.912094781366399</v>
      </c>
      <c r="M298" s="1104">
        <v>36.230996697867603</v>
      </c>
      <c r="T298" s="1419"/>
    </row>
    <row r="299" spans="1:20" ht="15" customHeight="1" x14ac:dyDescent="0.25">
      <c r="A299" s="2377" t="s">
        <v>3365</v>
      </c>
      <c r="B299" s="2377" t="s">
        <v>20321</v>
      </c>
      <c r="C299" s="1421" t="s">
        <v>20391</v>
      </c>
      <c r="D299" s="2378">
        <v>1.18</v>
      </c>
      <c r="E299" s="2378">
        <v>1.4450000000000001</v>
      </c>
      <c r="F299" s="2378">
        <v>3.8644347826086953</v>
      </c>
      <c r="G299" s="2378">
        <v>0.25899999999999995</v>
      </c>
      <c r="H299" s="2378">
        <v>0</v>
      </c>
      <c r="I299" s="931"/>
      <c r="J299" s="2377" t="s">
        <v>20295</v>
      </c>
      <c r="K299" s="2377" t="s">
        <v>3333</v>
      </c>
      <c r="L299" s="1104">
        <v>56.791632844852899</v>
      </c>
      <c r="M299" s="1104">
        <v>35.7139339625055</v>
      </c>
      <c r="T299" s="1419"/>
    </row>
    <row r="300" spans="1:20" ht="15" customHeight="1" x14ac:dyDescent="0.25">
      <c r="A300" s="2377" t="s">
        <v>190</v>
      </c>
      <c r="B300" s="2377" t="s">
        <v>20370</v>
      </c>
      <c r="C300" s="1421" t="s">
        <v>20329</v>
      </c>
      <c r="D300" s="2378">
        <v>1.48</v>
      </c>
      <c r="E300" s="2378">
        <v>1.145</v>
      </c>
      <c r="F300" s="2378">
        <v>0.92342934782608699</v>
      </c>
      <c r="G300" s="2378">
        <v>0</v>
      </c>
      <c r="H300" s="2378">
        <v>0.22157065217391292</v>
      </c>
      <c r="I300" s="931"/>
      <c r="J300" s="2377" t="s">
        <v>20295</v>
      </c>
      <c r="K300" s="2377" t="s">
        <v>20295</v>
      </c>
      <c r="L300" s="1104">
        <v>57.130553877386397</v>
      </c>
      <c r="M300" s="1104">
        <v>36.075326147215897</v>
      </c>
      <c r="T300" s="1419"/>
    </row>
    <row r="301" spans="1:20" ht="15" customHeight="1" x14ac:dyDescent="0.25">
      <c r="A301" s="2377" t="s">
        <v>191</v>
      </c>
      <c r="B301" s="2377" t="s">
        <v>20327</v>
      </c>
      <c r="C301" s="1421" t="s">
        <v>20382</v>
      </c>
      <c r="D301" s="2378">
        <v>1.94</v>
      </c>
      <c r="E301" s="2378">
        <v>3.94</v>
      </c>
      <c r="F301" s="2378">
        <v>0.70141304347826083</v>
      </c>
      <c r="G301" s="2378">
        <v>0</v>
      </c>
      <c r="H301" s="2378">
        <v>3.2385869565217389</v>
      </c>
      <c r="I301" s="931"/>
      <c r="J301" s="2377" t="s">
        <v>20295</v>
      </c>
      <c r="K301" s="2377" t="s">
        <v>20295</v>
      </c>
      <c r="L301" s="1104">
        <v>56.798377183551999</v>
      </c>
      <c r="M301" s="1104">
        <v>36.042172374705899</v>
      </c>
      <c r="T301" s="1419"/>
    </row>
    <row r="302" spans="1:20" ht="15" customHeight="1" x14ac:dyDescent="0.25">
      <c r="A302" s="2377" t="s">
        <v>192</v>
      </c>
      <c r="B302" s="2377" t="s">
        <v>20392</v>
      </c>
      <c r="C302" s="1421" t="s">
        <v>20347</v>
      </c>
      <c r="D302" s="2378">
        <v>1.32</v>
      </c>
      <c r="E302" s="2378">
        <v>2.04</v>
      </c>
      <c r="F302" s="2378">
        <v>0</v>
      </c>
      <c r="G302" s="2378">
        <v>0</v>
      </c>
      <c r="H302" s="2378">
        <v>2.04</v>
      </c>
      <c r="I302" s="931"/>
      <c r="J302" s="2377" t="s">
        <v>20295</v>
      </c>
      <c r="K302" s="2377" t="s">
        <v>20295</v>
      </c>
      <c r="L302" s="1104">
        <v>56.812938241620103</v>
      </c>
      <c r="M302" s="1104">
        <v>35.997714520066801</v>
      </c>
      <c r="T302" s="1419"/>
    </row>
    <row r="303" spans="1:20" ht="15" customHeight="1" x14ac:dyDescent="0.25">
      <c r="A303" s="2377" t="s">
        <v>193</v>
      </c>
      <c r="B303" s="2377" t="s">
        <v>20308</v>
      </c>
      <c r="C303" s="1421" t="s">
        <v>20336</v>
      </c>
      <c r="D303" s="2378">
        <v>12.2</v>
      </c>
      <c r="E303" s="2378">
        <v>-1.6999999999999993</v>
      </c>
      <c r="F303" s="2378">
        <v>0</v>
      </c>
      <c r="G303" s="2378">
        <v>0</v>
      </c>
      <c r="H303" s="2378">
        <v>0</v>
      </c>
      <c r="I303" s="931"/>
      <c r="J303" s="2377" t="s">
        <v>3333</v>
      </c>
      <c r="K303" s="2377" t="s">
        <v>3333</v>
      </c>
      <c r="L303" s="1104">
        <v>56.840788825628401</v>
      </c>
      <c r="M303" s="1104">
        <v>35.936698991917602</v>
      </c>
      <c r="T303" s="1419"/>
    </row>
    <row r="304" spans="1:20" ht="15" customHeight="1" x14ac:dyDescent="0.25">
      <c r="A304" s="2377" t="s">
        <v>194</v>
      </c>
      <c r="B304" s="2377" t="s">
        <v>20373</v>
      </c>
      <c r="C304" s="1421" t="s">
        <v>20367</v>
      </c>
      <c r="D304" s="2378">
        <v>17.2</v>
      </c>
      <c r="E304" s="2378">
        <v>-0.39999999999999858</v>
      </c>
      <c r="F304" s="2378">
        <v>0</v>
      </c>
      <c r="G304" s="2378">
        <v>0</v>
      </c>
      <c r="H304" s="2378">
        <v>0</v>
      </c>
      <c r="I304" s="931">
        <v>2015</v>
      </c>
      <c r="J304" s="2377" t="s">
        <v>3333</v>
      </c>
      <c r="K304" s="2377" t="s">
        <v>3333</v>
      </c>
      <c r="L304" s="1104">
        <v>56.846172344953601</v>
      </c>
      <c r="M304" s="1104">
        <v>35.883674610695302</v>
      </c>
      <c r="T304" s="1419"/>
    </row>
    <row r="305" spans="1:20" ht="15" customHeight="1" x14ac:dyDescent="0.25">
      <c r="A305" s="2377" t="s">
        <v>195</v>
      </c>
      <c r="B305" s="2377" t="s">
        <v>20318</v>
      </c>
      <c r="C305" s="1421" t="s">
        <v>20336</v>
      </c>
      <c r="D305" s="2378">
        <v>5.44</v>
      </c>
      <c r="E305" s="2378">
        <v>5.0599999999999996</v>
      </c>
      <c r="F305" s="2378">
        <v>0</v>
      </c>
      <c r="G305" s="2378">
        <v>0</v>
      </c>
      <c r="H305" s="2378">
        <v>5.0599999999999996</v>
      </c>
      <c r="I305" s="931"/>
      <c r="J305" s="2377" t="s">
        <v>20295</v>
      </c>
      <c r="K305" s="2377" t="s">
        <v>20295</v>
      </c>
      <c r="L305" s="1104">
        <v>56.851808784363598</v>
      </c>
      <c r="M305" s="1104">
        <v>35.871821031209599</v>
      </c>
      <c r="T305" s="1419"/>
    </row>
    <row r="306" spans="1:20" ht="15" customHeight="1" x14ac:dyDescent="0.25">
      <c r="A306" s="2377" t="s">
        <v>196</v>
      </c>
      <c r="B306" s="2377" t="s">
        <v>20318</v>
      </c>
      <c r="C306" s="1421" t="s">
        <v>20336</v>
      </c>
      <c r="D306" s="2378">
        <v>5.98</v>
      </c>
      <c r="E306" s="2378">
        <v>4.5199999999999996</v>
      </c>
      <c r="F306" s="2378">
        <v>2.3351086956521736</v>
      </c>
      <c r="G306" s="2378">
        <v>0</v>
      </c>
      <c r="H306" s="2378">
        <v>2.1848913043478255</v>
      </c>
      <c r="I306" s="931"/>
      <c r="J306" s="2377" t="s">
        <v>20295</v>
      </c>
      <c r="K306" s="2377" t="s">
        <v>20295</v>
      </c>
      <c r="L306" s="1104">
        <v>56.895222670848298</v>
      </c>
      <c r="M306" s="1104">
        <v>35.8232762968806</v>
      </c>
      <c r="T306" s="1419"/>
    </row>
    <row r="307" spans="1:20" ht="15" customHeight="1" x14ac:dyDescent="0.25">
      <c r="A307" s="2377" t="s">
        <v>197</v>
      </c>
      <c r="B307" s="2377" t="s">
        <v>20362</v>
      </c>
      <c r="C307" s="1421" t="s">
        <v>20367</v>
      </c>
      <c r="D307" s="2378">
        <v>13.5</v>
      </c>
      <c r="E307" s="2378">
        <v>3.3000000000000007</v>
      </c>
      <c r="F307" s="2378">
        <v>0.63586956521739124</v>
      </c>
      <c r="G307" s="2378">
        <v>0</v>
      </c>
      <c r="H307" s="2378">
        <v>2.66413043478261</v>
      </c>
      <c r="I307" s="931"/>
      <c r="J307" s="2377" t="s">
        <v>20295</v>
      </c>
      <c r="K307" s="2377" t="s">
        <v>20295</v>
      </c>
      <c r="L307" s="1104">
        <v>56.888644078821699</v>
      </c>
      <c r="M307" s="1104">
        <v>35.898403986443597</v>
      </c>
      <c r="T307" s="1419"/>
    </row>
    <row r="308" spans="1:20" ht="15" customHeight="1" x14ac:dyDescent="0.25">
      <c r="A308" s="2377" t="s">
        <v>198</v>
      </c>
      <c r="B308" s="2377" t="s">
        <v>20393</v>
      </c>
      <c r="C308" s="1421" t="s">
        <v>20363</v>
      </c>
      <c r="D308" s="2378">
        <v>5.98</v>
      </c>
      <c r="E308" s="2378">
        <v>1.8949999999999996</v>
      </c>
      <c r="F308" s="2378">
        <v>7.3369565217391311E-2</v>
      </c>
      <c r="G308" s="2378">
        <v>0</v>
      </c>
      <c r="H308" s="2378">
        <v>1.821630434782608</v>
      </c>
      <c r="I308" s="931"/>
      <c r="J308" s="2377" t="s">
        <v>20295</v>
      </c>
      <c r="K308" s="2377" t="s">
        <v>20295</v>
      </c>
      <c r="L308" s="1104">
        <v>56.862014870576601</v>
      </c>
      <c r="M308" s="1104">
        <v>35.8548721485312</v>
      </c>
      <c r="T308" s="1419"/>
    </row>
    <row r="309" spans="1:20" ht="15" customHeight="1" x14ac:dyDescent="0.25">
      <c r="A309" s="2377" t="s">
        <v>199</v>
      </c>
      <c r="B309" s="2377" t="s">
        <v>20344</v>
      </c>
      <c r="C309" s="1421" t="s">
        <v>20336</v>
      </c>
      <c r="D309" s="2378">
        <v>9.91</v>
      </c>
      <c r="E309" s="2378">
        <v>0.58999999999999986</v>
      </c>
      <c r="F309" s="2378">
        <v>0.21032608695652177</v>
      </c>
      <c r="G309" s="2378">
        <v>0</v>
      </c>
      <c r="H309" s="2378">
        <v>0.37967391304347764</v>
      </c>
      <c r="I309" s="931">
        <v>2015</v>
      </c>
      <c r="J309" s="2377" t="s">
        <v>20295</v>
      </c>
      <c r="K309" s="2377" t="s">
        <v>20295</v>
      </c>
      <c r="L309" s="1104">
        <v>56.845537273625297</v>
      </c>
      <c r="M309" s="1104">
        <v>35.908624623833397</v>
      </c>
      <c r="T309" s="1419"/>
    </row>
    <row r="310" spans="1:20" ht="15" customHeight="1" x14ac:dyDescent="0.25">
      <c r="A310" s="2377" t="s">
        <v>19948</v>
      </c>
      <c r="B310" s="2377" t="s">
        <v>20394</v>
      </c>
      <c r="C310" s="1421" t="s">
        <v>20334</v>
      </c>
      <c r="D310" s="2378">
        <v>0.39</v>
      </c>
      <c r="E310" s="2378">
        <v>25.86</v>
      </c>
      <c r="F310" s="2378">
        <v>10.054347826086955</v>
      </c>
      <c r="G310" s="2378">
        <v>1</v>
      </c>
      <c r="H310" s="2378">
        <v>15.805652173913044</v>
      </c>
      <c r="I310" s="931"/>
      <c r="J310" s="2377" t="s">
        <v>20295</v>
      </c>
      <c r="K310" s="2377" t="s">
        <v>20295</v>
      </c>
      <c r="L310" s="1104">
        <v>56.784230999999998</v>
      </c>
      <c r="M310" s="1104">
        <v>35.865099000000001</v>
      </c>
      <c r="T310" s="1419"/>
    </row>
    <row r="311" spans="1:20" ht="15" customHeight="1" x14ac:dyDescent="0.25">
      <c r="A311" s="2377" t="s">
        <v>200</v>
      </c>
      <c r="B311" s="2377" t="s">
        <v>20313</v>
      </c>
      <c r="C311" s="1421" t="s">
        <v>20333</v>
      </c>
      <c r="D311" s="2378">
        <v>3.71</v>
      </c>
      <c r="E311" s="2378">
        <v>2.9050000000000002</v>
      </c>
      <c r="F311" s="2378">
        <v>6.3527119565217403</v>
      </c>
      <c r="G311" s="2378">
        <v>2.1993749999999999</v>
      </c>
      <c r="H311" s="2378">
        <v>0</v>
      </c>
      <c r="I311" s="931"/>
      <c r="J311" s="2377" t="s">
        <v>20295</v>
      </c>
      <c r="K311" s="2377" t="s">
        <v>3333</v>
      </c>
      <c r="L311" s="1104">
        <v>56.834636330887697</v>
      </c>
      <c r="M311" s="1104">
        <v>35.835950487538099</v>
      </c>
      <c r="T311" s="1419"/>
    </row>
    <row r="312" spans="1:20" ht="15" customHeight="1" x14ac:dyDescent="0.25">
      <c r="A312" s="2377" t="s">
        <v>201</v>
      </c>
      <c r="B312" s="2377" t="s">
        <v>20335</v>
      </c>
      <c r="C312" s="1421" t="s">
        <v>20333</v>
      </c>
      <c r="D312" s="2378">
        <v>3.76</v>
      </c>
      <c r="E312" s="2378">
        <v>2.8550000000000004</v>
      </c>
      <c r="F312" s="2378">
        <v>1.2084782608695652</v>
      </c>
      <c r="G312" s="2378">
        <v>0.33374999999999999</v>
      </c>
      <c r="H312" s="2378">
        <v>1.646521739130435</v>
      </c>
      <c r="I312" s="931"/>
      <c r="J312" s="2377" t="s">
        <v>20295</v>
      </c>
      <c r="K312" s="2377" t="s">
        <v>20295</v>
      </c>
      <c r="L312" s="1104">
        <v>56.897833852421002</v>
      </c>
      <c r="M312" s="1104">
        <v>35.936355035922602</v>
      </c>
      <c r="T312" s="1419"/>
    </row>
    <row r="313" spans="1:20" ht="15" customHeight="1" x14ac:dyDescent="0.25">
      <c r="A313" s="2377" t="s">
        <v>202</v>
      </c>
      <c r="B313" s="2377" t="s">
        <v>20316</v>
      </c>
      <c r="C313" s="1421" t="s">
        <v>20367</v>
      </c>
      <c r="D313" s="2378">
        <v>7.35</v>
      </c>
      <c r="E313" s="2378">
        <v>9.4500000000000011</v>
      </c>
      <c r="F313" s="2378">
        <v>6.0319565217391302</v>
      </c>
      <c r="G313" s="2378">
        <v>0.22999999999999998</v>
      </c>
      <c r="H313" s="2378">
        <v>3.41804347826087</v>
      </c>
      <c r="I313" s="931"/>
      <c r="J313" s="2377" t="s">
        <v>20295</v>
      </c>
      <c r="K313" s="2377" t="s">
        <v>20295</v>
      </c>
      <c r="L313" s="1104">
        <v>56.857060398247299</v>
      </c>
      <c r="M313" s="1104">
        <v>35.856128545548501</v>
      </c>
      <c r="T313" s="1419"/>
    </row>
    <row r="314" spans="1:20" ht="15" customHeight="1" x14ac:dyDescent="0.25">
      <c r="A314" s="2377" t="s">
        <v>203</v>
      </c>
      <c r="B314" s="2377" t="s">
        <v>20308</v>
      </c>
      <c r="C314" s="1421" t="s">
        <v>20333</v>
      </c>
      <c r="D314" s="2378">
        <v>4.5999999999999996</v>
      </c>
      <c r="E314" s="2378">
        <v>2.0150000000000006</v>
      </c>
      <c r="F314" s="2378">
        <v>1.1938043478260869</v>
      </c>
      <c r="G314" s="2378">
        <v>3.7499999999999999E-2</v>
      </c>
      <c r="H314" s="2378">
        <v>0.82119565217391344</v>
      </c>
      <c r="I314" s="931"/>
      <c r="J314" s="2377" t="s">
        <v>20295</v>
      </c>
      <c r="K314" s="2377" t="s">
        <v>20295</v>
      </c>
      <c r="L314" s="1104">
        <v>56.522345874913398</v>
      </c>
      <c r="M314" s="1104">
        <v>35.965727164471801</v>
      </c>
      <c r="T314" s="1419"/>
    </row>
    <row r="315" spans="1:20" ht="15" customHeight="1" x14ac:dyDescent="0.25">
      <c r="A315" s="2377" t="s">
        <v>204</v>
      </c>
      <c r="B315" s="2377" t="s">
        <v>20325</v>
      </c>
      <c r="C315" s="1421" t="s">
        <v>20351</v>
      </c>
      <c r="D315" s="2378">
        <v>2.92</v>
      </c>
      <c r="E315" s="2378">
        <v>1.2800000000000002</v>
      </c>
      <c r="F315" s="2378">
        <v>0.27293478260869564</v>
      </c>
      <c r="G315" s="2378">
        <v>0</v>
      </c>
      <c r="H315" s="2378">
        <v>1.0070652173913048</v>
      </c>
      <c r="I315" s="931"/>
      <c r="J315" s="2377" t="s">
        <v>20295</v>
      </c>
      <c r="K315" s="2377" t="s">
        <v>20295</v>
      </c>
      <c r="L315" s="1104">
        <v>56.903621345815402</v>
      </c>
      <c r="M315" s="1104">
        <v>36.050582131677899</v>
      </c>
      <c r="T315" s="1419"/>
    </row>
    <row r="316" spans="1:20" ht="15" customHeight="1" x14ac:dyDescent="0.25">
      <c r="A316" s="2377" t="s">
        <v>205</v>
      </c>
      <c r="B316" s="2377" t="s">
        <v>20395</v>
      </c>
      <c r="C316" s="1421" t="s">
        <v>20329</v>
      </c>
      <c r="D316" s="2378">
        <v>1.22</v>
      </c>
      <c r="E316" s="2378">
        <v>1.085</v>
      </c>
      <c r="F316" s="2378">
        <v>0.20478260869565218</v>
      </c>
      <c r="G316" s="2378">
        <v>0.125</v>
      </c>
      <c r="H316" s="2378">
        <v>0.88021739130434784</v>
      </c>
      <c r="I316" s="931"/>
      <c r="J316" s="2377" t="s">
        <v>20295</v>
      </c>
      <c r="K316" s="2377" t="s">
        <v>20295</v>
      </c>
      <c r="L316" s="1104">
        <v>56.847192621276001</v>
      </c>
      <c r="M316" s="1104">
        <v>36.591664194611702</v>
      </c>
      <c r="T316" s="1419"/>
    </row>
    <row r="317" spans="1:20" ht="15" customHeight="1" x14ac:dyDescent="0.25">
      <c r="A317" s="2377" t="s">
        <v>2168</v>
      </c>
      <c r="B317" s="2377" t="s">
        <v>20318</v>
      </c>
      <c r="C317" s="1421" t="s">
        <v>20396</v>
      </c>
      <c r="D317" s="2378">
        <v>3.02</v>
      </c>
      <c r="E317" s="2378">
        <v>0.3400000000000003</v>
      </c>
      <c r="F317" s="2378">
        <v>0.48684782608695648</v>
      </c>
      <c r="G317" s="2378">
        <v>0</v>
      </c>
      <c r="H317" s="2378">
        <v>0</v>
      </c>
      <c r="I317" s="931"/>
      <c r="J317" s="2377" t="s">
        <v>20295</v>
      </c>
      <c r="K317" s="2377" t="s">
        <v>3333</v>
      </c>
      <c r="L317" s="1104">
        <v>56.901288048079202</v>
      </c>
      <c r="M317" s="1104">
        <v>35.767399663626499</v>
      </c>
      <c r="T317" s="1419"/>
    </row>
    <row r="318" spans="1:20" ht="15" customHeight="1" x14ac:dyDescent="0.25">
      <c r="A318" s="2377" t="s">
        <v>206</v>
      </c>
      <c r="B318" s="2377" t="s">
        <v>20318</v>
      </c>
      <c r="C318" s="1421" t="s">
        <v>20351</v>
      </c>
      <c r="D318" s="2378">
        <v>0.86</v>
      </c>
      <c r="E318" s="2378">
        <v>3.3400000000000003</v>
      </c>
      <c r="F318" s="2378">
        <v>0.52679347826086953</v>
      </c>
      <c r="G318" s="2378">
        <v>0.10625</v>
      </c>
      <c r="H318" s="2378">
        <v>2.8132065217391307</v>
      </c>
      <c r="I318" s="931"/>
      <c r="J318" s="2377" t="s">
        <v>20295</v>
      </c>
      <c r="K318" s="2377" t="s">
        <v>20295</v>
      </c>
      <c r="L318" s="1104">
        <v>56.703857298303703</v>
      </c>
      <c r="M318" s="1104">
        <v>35.841024516208599</v>
      </c>
      <c r="T318" s="1419"/>
    </row>
    <row r="319" spans="1:20" ht="15" customHeight="1" x14ac:dyDescent="0.25">
      <c r="A319" s="2377" t="s">
        <v>207</v>
      </c>
      <c r="B319" s="2377" t="s">
        <v>20397</v>
      </c>
      <c r="C319" s="1421" t="s">
        <v>20333</v>
      </c>
      <c r="D319" s="2378">
        <v>3.67</v>
      </c>
      <c r="E319" s="2378">
        <v>0.12500000000000044</v>
      </c>
      <c r="F319" s="2378">
        <v>0.68135869565217388</v>
      </c>
      <c r="G319" s="2378">
        <v>0</v>
      </c>
      <c r="H319" s="2378">
        <v>0</v>
      </c>
      <c r="I319" s="931"/>
      <c r="J319" s="2377" t="s">
        <v>20295</v>
      </c>
      <c r="K319" s="2377" t="s">
        <v>3333</v>
      </c>
      <c r="L319" s="1104">
        <v>56.875332433910998</v>
      </c>
      <c r="M319" s="1104">
        <v>35.684471769877199</v>
      </c>
      <c r="T319" s="1419"/>
    </row>
    <row r="320" spans="1:20" ht="15" customHeight="1" x14ac:dyDescent="0.25">
      <c r="A320" s="2377" t="s">
        <v>208</v>
      </c>
      <c r="B320" s="2377" t="s">
        <v>20330</v>
      </c>
      <c r="C320" s="1421" t="s">
        <v>20351</v>
      </c>
      <c r="D320" s="2378">
        <v>2.75</v>
      </c>
      <c r="E320" s="2378">
        <v>0.52000000000000013</v>
      </c>
      <c r="F320" s="2378">
        <v>0.28858695652173905</v>
      </c>
      <c r="G320" s="2378">
        <v>0</v>
      </c>
      <c r="H320" s="2378">
        <v>0.23141304347826097</v>
      </c>
      <c r="I320" s="931"/>
      <c r="J320" s="2377" t="s">
        <v>20295</v>
      </c>
      <c r="K320" s="2377" t="s">
        <v>20295</v>
      </c>
      <c r="L320" s="1104">
        <v>56.711210032713197</v>
      </c>
      <c r="M320" s="1104">
        <v>35.789848585825297</v>
      </c>
      <c r="T320" s="1419"/>
    </row>
    <row r="321" spans="1:20" ht="15" customHeight="1" x14ac:dyDescent="0.25">
      <c r="A321" s="2377" t="s">
        <v>209</v>
      </c>
      <c r="B321" s="2377" t="s">
        <v>20377</v>
      </c>
      <c r="C321" s="1421" t="s">
        <v>20331</v>
      </c>
      <c r="D321" s="2378">
        <v>1.18</v>
      </c>
      <c r="E321" s="2378">
        <v>0.50000000000000022</v>
      </c>
      <c r="F321" s="2378">
        <v>1.6043478260869564</v>
      </c>
      <c r="G321" s="2378">
        <v>0</v>
      </c>
      <c r="H321" s="2378">
        <v>0</v>
      </c>
      <c r="I321" s="931"/>
      <c r="J321" s="2377" t="s">
        <v>20295</v>
      </c>
      <c r="K321" s="2377" t="s">
        <v>3333</v>
      </c>
      <c r="L321" s="1104">
        <v>56.841370892934599</v>
      </c>
      <c r="M321" s="1104">
        <v>36.103829043620003</v>
      </c>
      <c r="T321" s="1419"/>
    </row>
    <row r="322" spans="1:20" ht="15" customHeight="1" x14ac:dyDescent="0.25">
      <c r="A322" s="2377" t="s">
        <v>210</v>
      </c>
      <c r="B322" s="2377" t="s">
        <v>20316</v>
      </c>
      <c r="C322" s="1421" t="s">
        <v>20331</v>
      </c>
      <c r="D322" s="2378">
        <v>0.82</v>
      </c>
      <c r="E322" s="2378">
        <v>0.86000000000000021</v>
      </c>
      <c r="F322" s="2378">
        <v>0.31451612903225806</v>
      </c>
      <c r="G322" s="2378">
        <v>0</v>
      </c>
      <c r="H322" s="2378">
        <v>0.54548387096774209</v>
      </c>
      <c r="I322" s="931"/>
      <c r="J322" s="2377" t="s">
        <v>20295</v>
      </c>
      <c r="K322" s="2377" t="s">
        <v>20295</v>
      </c>
      <c r="L322" s="1104">
        <v>56.936792691974098</v>
      </c>
      <c r="M322" s="1104">
        <v>36.140630189038099</v>
      </c>
      <c r="T322" s="1419"/>
    </row>
    <row r="323" spans="1:20" ht="15" customHeight="1" x14ac:dyDescent="0.25">
      <c r="A323" s="2377" t="s">
        <v>211</v>
      </c>
      <c r="B323" s="2377" t="s">
        <v>20293</v>
      </c>
      <c r="C323" s="1421" t="s">
        <v>20329</v>
      </c>
      <c r="D323" s="2378">
        <v>0.28999999999999998</v>
      </c>
      <c r="E323" s="2378">
        <v>1.9889999999999999</v>
      </c>
      <c r="F323" s="2378">
        <v>6.8478260869565225E-2</v>
      </c>
      <c r="G323" s="2378">
        <v>0</v>
      </c>
      <c r="H323" s="2378">
        <v>1.9205217391304346</v>
      </c>
      <c r="I323" s="931"/>
      <c r="J323" s="2377" t="s">
        <v>20295</v>
      </c>
      <c r="K323" s="2377" t="s">
        <v>20295</v>
      </c>
      <c r="L323" s="1104">
        <v>56.847220438271997</v>
      </c>
      <c r="M323" s="1104">
        <v>36.683607523094999</v>
      </c>
      <c r="T323" s="1419"/>
    </row>
    <row r="324" spans="1:20" ht="15" customHeight="1" x14ac:dyDescent="0.25">
      <c r="A324" s="2377" t="s">
        <v>212</v>
      </c>
      <c r="B324" s="2377" t="s">
        <v>20398</v>
      </c>
      <c r="C324" s="1421" t="s">
        <v>20333</v>
      </c>
      <c r="D324" s="2378">
        <v>7.18</v>
      </c>
      <c r="E324" s="2378">
        <v>-0.5649999999999995</v>
      </c>
      <c r="F324" s="2378">
        <v>7.7762499999999992</v>
      </c>
      <c r="G324" s="2378">
        <v>0</v>
      </c>
      <c r="H324" s="2378">
        <v>0</v>
      </c>
      <c r="I324" s="931"/>
      <c r="J324" s="2377" t="s">
        <v>3333</v>
      </c>
      <c r="K324" s="2377" t="s">
        <v>3333</v>
      </c>
      <c r="L324" s="1104">
        <v>56.7419028169504</v>
      </c>
      <c r="M324" s="1104">
        <v>35.909505065937502</v>
      </c>
      <c r="T324" s="1419"/>
    </row>
    <row r="325" spans="1:20" ht="15" customHeight="1" x14ac:dyDescent="0.25">
      <c r="A325" s="2377" t="s">
        <v>213</v>
      </c>
      <c r="B325" s="2377" t="s">
        <v>20388</v>
      </c>
      <c r="C325" s="1421" t="s">
        <v>20322</v>
      </c>
      <c r="D325" s="2378">
        <v>0.75</v>
      </c>
      <c r="E325" s="2378">
        <v>0.30000000000000004</v>
      </c>
      <c r="F325" s="2378">
        <v>0</v>
      </c>
      <c r="G325" s="2378">
        <v>0</v>
      </c>
      <c r="H325" s="2378">
        <v>0.30000000000000004</v>
      </c>
      <c r="I325" s="931"/>
      <c r="J325" s="2377" t="s">
        <v>20295</v>
      </c>
      <c r="K325" s="2377" t="s">
        <v>20295</v>
      </c>
      <c r="L325" s="1104">
        <v>57.011190305104897</v>
      </c>
      <c r="M325" s="1104">
        <v>35.931930719504798</v>
      </c>
      <c r="T325" s="1419"/>
    </row>
    <row r="326" spans="1:20" ht="15" customHeight="1" x14ac:dyDescent="0.25">
      <c r="A326" s="2377" t="s">
        <v>214</v>
      </c>
      <c r="B326" s="2377" t="s">
        <v>20314</v>
      </c>
      <c r="C326" s="1421" t="s">
        <v>20399</v>
      </c>
      <c r="D326" s="2378">
        <v>2.57</v>
      </c>
      <c r="E326" s="2378">
        <v>1.6300000000000003</v>
      </c>
      <c r="F326" s="2378">
        <v>0.13548387096774195</v>
      </c>
      <c r="G326" s="2378">
        <v>0</v>
      </c>
      <c r="H326" s="2378">
        <v>1.4945161290322586</v>
      </c>
      <c r="I326" s="931"/>
      <c r="J326" s="2377" t="s">
        <v>20295</v>
      </c>
      <c r="K326" s="2377" t="s">
        <v>20295</v>
      </c>
      <c r="L326" s="1104">
        <v>56.970566408483101</v>
      </c>
      <c r="M326" s="1104">
        <v>35.918041082431003</v>
      </c>
      <c r="T326" s="1419"/>
    </row>
    <row r="327" spans="1:20" ht="15" customHeight="1" x14ac:dyDescent="0.25">
      <c r="A327" s="2377" t="s">
        <v>215</v>
      </c>
      <c r="B327" s="2377" t="s">
        <v>20400</v>
      </c>
      <c r="C327" s="1421" t="s">
        <v>20333</v>
      </c>
      <c r="D327" s="2378">
        <v>3.71</v>
      </c>
      <c r="E327" s="2378">
        <v>1.9950000000000001</v>
      </c>
      <c r="F327" s="2378">
        <v>1.1722826086956522</v>
      </c>
      <c r="G327" s="2378">
        <v>0</v>
      </c>
      <c r="H327" s="2378">
        <v>0.82271739130434807</v>
      </c>
      <c r="I327" s="931"/>
      <c r="J327" s="2377" t="s">
        <v>20295</v>
      </c>
      <c r="K327" s="2377" t="s">
        <v>20295</v>
      </c>
      <c r="L327" s="1104">
        <v>56.928153133407697</v>
      </c>
      <c r="M327" s="1104">
        <v>35.464157955222703</v>
      </c>
      <c r="T327" s="1419"/>
    </row>
    <row r="328" spans="1:20" ht="15" customHeight="1" x14ac:dyDescent="0.25">
      <c r="A328" s="2377" t="s">
        <v>216</v>
      </c>
      <c r="B328" s="2377" t="s">
        <v>20308</v>
      </c>
      <c r="C328" s="1421" t="s">
        <v>20374</v>
      </c>
      <c r="D328" s="2378">
        <v>0.94</v>
      </c>
      <c r="E328" s="2378">
        <v>0.95000000000000018</v>
      </c>
      <c r="F328" s="2378">
        <v>0</v>
      </c>
      <c r="G328" s="2378">
        <v>0</v>
      </c>
      <c r="H328" s="2378">
        <v>0.95000000000000018</v>
      </c>
      <c r="I328" s="931"/>
      <c r="J328" s="2377" t="s">
        <v>20295</v>
      </c>
      <c r="K328" s="2377" t="s">
        <v>20295</v>
      </c>
      <c r="L328" s="1104">
        <v>57.430023748376698</v>
      </c>
      <c r="M328" s="1104">
        <v>35.6699351592261</v>
      </c>
      <c r="T328" s="1419"/>
    </row>
    <row r="329" spans="1:20" ht="15" customHeight="1" x14ac:dyDescent="0.25">
      <c r="A329" s="2377" t="s">
        <v>217</v>
      </c>
      <c r="B329" s="2377" t="s">
        <v>20335</v>
      </c>
      <c r="C329" s="1421" t="s">
        <v>20331</v>
      </c>
      <c r="D329" s="2378">
        <v>0.57999999999999996</v>
      </c>
      <c r="E329" s="2378">
        <v>1.1000000000000001</v>
      </c>
      <c r="F329" s="2378">
        <v>0</v>
      </c>
      <c r="G329" s="2378">
        <v>0</v>
      </c>
      <c r="H329" s="2378">
        <v>1.1000000000000001</v>
      </c>
      <c r="I329" s="931"/>
      <c r="J329" s="2377" t="s">
        <v>20295</v>
      </c>
      <c r="K329" s="2377" t="s">
        <v>20295</v>
      </c>
      <c r="L329" s="1104">
        <v>57.025748742397603</v>
      </c>
      <c r="M329" s="1104">
        <v>35.412136241075999</v>
      </c>
      <c r="T329" s="1419"/>
    </row>
    <row r="330" spans="1:20" ht="15" customHeight="1" x14ac:dyDescent="0.25">
      <c r="A330" s="2377" t="s">
        <v>218</v>
      </c>
      <c r="B330" s="2377" t="s">
        <v>20362</v>
      </c>
      <c r="C330" s="1421" t="s">
        <v>20401</v>
      </c>
      <c r="D330" s="2378">
        <v>2.1</v>
      </c>
      <c r="E330" s="2378">
        <v>2.1</v>
      </c>
      <c r="F330" s="2378">
        <v>5.7065217391304345E-2</v>
      </c>
      <c r="G330" s="2378">
        <v>0</v>
      </c>
      <c r="H330" s="2378">
        <v>2.0429347826086959</v>
      </c>
      <c r="I330" s="931"/>
      <c r="J330" s="2377" t="s">
        <v>20295</v>
      </c>
      <c r="K330" s="2377" t="s">
        <v>20295</v>
      </c>
      <c r="L330" s="1104">
        <v>56.644682001823099</v>
      </c>
      <c r="M330" s="1104">
        <v>36.226998063349001</v>
      </c>
      <c r="T330" s="1419"/>
    </row>
    <row r="331" spans="1:20" ht="15" customHeight="1" x14ac:dyDescent="0.25">
      <c r="A331" s="2377" t="s">
        <v>219</v>
      </c>
      <c r="B331" s="2377" t="s">
        <v>20402</v>
      </c>
      <c r="C331" s="1421" t="s">
        <v>20371</v>
      </c>
      <c r="D331" s="2378">
        <v>4.45</v>
      </c>
      <c r="E331" s="2378">
        <v>1.4299999999999997</v>
      </c>
      <c r="F331" s="2378">
        <v>0.51554347826086955</v>
      </c>
      <c r="G331" s="2378">
        <v>0</v>
      </c>
      <c r="H331" s="2378">
        <v>0.9144565217391305</v>
      </c>
      <c r="I331" s="931"/>
      <c r="J331" s="2377" t="s">
        <v>20295</v>
      </c>
      <c r="K331" s="2377" t="s">
        <v>20295</v>
      </c>
      <c r="L331" s="1104">
        <v>56.565187868836702</v>
      </c>
      <c r="M331" s="1104">
        <v>36.444220991006297</v>
      </c>
      <c r="T331" s="1419"/>
    </row>
    <row r="332" spans="1:20" ht="15" customHeight="1" x14ac:dyDescent="0.25">
      <c r="A332" s="2377" t="s">
        <v>220</v>
      </c>
      <c r="B332" s="2377" t="s">
        <v>20403</v>
      </c>
      <c r="C332" s="1421" t="s">
        <v>20333</v>
      </c>
      <c r="D332" s="2378">
        <v>3.12</v>
      </c>
      <c r="E332" s="2378">
        <v>3.4950000000000001</v>
      </c>
      <c r="F332" s="2378">
        <v>1.1100000000000001</v>
      </c>
      <c r="G332" s="2378">
        <v>0</v>
      </c>
      <c r="H332" s="2378">
        <v>2.3849999999999998</v>
      </c>
      <c r="I332" s="931"/>
      <c r="J332" s="2377" t="s">
        <v>20295</v>
      </c>
      <c r="K332" s="2377" t="s">
        <v>20295</v>
      </c>
      <c r="L332" s="1104">
        <v>56.565187868836702</v>
      </c>
      <c r="M332" s="1104">
        <v>36.444220991006297</v>
      </c>
      <c r="T332" s="1419"/>
    </row>
    <row r="333" spans="1:20" ht="15" customHeight="1" x14ac:dyDescent="0.25">
      <c r="A333" s="2377" t="s">
        <v>221</v>
      </c>
      <c r="B333" s="2377" t="s">
        <v>20404</v>
      </c>
      <c r="C333" s="1421" t="s">
        <v>20405</v>
      </c>
      <c r="D333" s="2378">
        <v>1.74</v>
      </c>
      <c r="E333" s="2378">
        <v>0.15000000000000013</v>
      </c>
      <c r="F333" s="2378">
        <v>0.51554347826086955</v>
      </c>
      <c r="G333" s="2378">
        <v>0</v>
      </c>
      <c r="H333" s="2378">
        <v>0</v>
      </c>
      <c r="I333" s="931"/>
      <c r="J333" s="2377" t="s">
        <v>20295</v>
      </c>
      <c r="K333" s="2377" t="s">
        <v>3333</v>
      </c>
      <c r="L333" s="1104">
        <v>56.667470282490001</v>
      </c>
      <c r="M333" s="1104">
        <v>36.360492447413797</v>
      </c>
      <c r="T333" s="1419"/>
    </row>
    <row r="334" spans="1:20" ht="15" customHeight="1" x14ac:dyDescent="0.25">
      <c r="A334" s="2377" t="s">
        <v>222</v>
      </c>
      <c r="B334" s="2377" t="s">
        <v>20318</v>
      </c>
      <c r="C334" s="1421" t="s">
        <v>20406</v>
      </c>
      <c r="D334" s="2378">
        <v>5.43</v>
      </c>
      <c r="E334" s="2378">
        <v>1.1850000000000005</v>
      </c>
      <c r="F334" s="2378">
        <v>0.30032608695652185</v>
      </c>
      <c r="G334" s="2378">
        <v>0</v>
      </c>
      <c r="H334" s="2378">
        <v>0.88467391304347842</v>
      </c>
      <c r="I334" s="931"/>
      <c r="J334" s="2377" t="s">
        <v>20295</v>
      </c>
      <c r="K334" s="2377" t="s">
        <v>20295</v>
      </c>
      <c r="L334" s="1104">
        <v>56.518573430220897</v>
      </c>
      <c r="M334" s="1104">
        <v>36.284964491609898</v>
      </c>
      <c r="T334" s="1419"/>
    </row>
    <row r="335" spans="1:20" ht="15" customHeight="1" x14ac:dyDescent="0.25">
      <c r="A335" s="2377" t="s">
        <v>223</v>
      </c>
      <c r="B335" s="2377" t="s">
        <v>20376</v>
      </c>
      <c r="C335" s="1421" t="s">
        <v>20336</v>
      </c>
      <c r="D335" s="2378">
        <v>4.8600000000000003</v>
      </c>
      <c r="E335" s="2378">
        <v>5.64</v>
      </c>
      <c r="F335" s="2378">
        <v>2.3840217391304348</v>
      </c>
      <c r="G335" s="2378">
        <v>0</v>
      </c>
      <c r="H335" s="2378">
        <v>3.2559782608695649</v>
      </c>
      <c r="I335" s="931"/>
      <c r="J335" s="2377" t="s">
        <v>20295</v>
      </c>
      <c r="K335" s="2377" t="s">
        <v>20295</v>
      </c>
      <c r="L335" s="1104">
        <v>56.668822529493497</v>
      </c>
      <c r="M335" s="1104">
        <v>36.970460711525803</v>
      </c>
      <c r="T335" s="1419"/>
    </row>
    <row r="336" spans="1:20" ht="15" customHeight="1" x14ac:dyDescent="0.25">
      <c r="A336" s="2377" t="s">
        <v>224</v>
      </c>
      <c r="B336" s="2377" t="s">
        <v>20385</v>
      </c>
      <c r="C336" s="1421" t="s">
        <v>20407</v>
      </c>
      <c r="D336" s="2378">
        <v>2.4700000000000002</v>
      </c>
      <c r="E336" s="2378">
        <v>8.0299999999999994</v>
      </c>
      <c r="F336" s="2378">
        <v>1.8880434782608693</v>
      </c>
      <c r="G336" s="2378">
        <v>0</v>
      </c>
      <c r="H336" s="2378">
        <v>6.1419565217391305</v>
      </c>
      <c r="I336" s="931"/>
      <c r="J336" s="2377" t="s">
        <v>20295</v>
      </c>
      <c r="K336" s="2377" t="s">
        <v>20295</v>
      </c>
      <c r="L336" s="1104">
        <v>56.7116155893235</v>
      </c>
      <c r="M336" s="1104">
        <v>36.792128917853603</v>
      </c>
      <c r="T336" s="1419"/>
    </row>
    <row r="337" spans="1:20" ht="15" customHeight="1" x14ac:dyDescent="0.25">
      <c r="A337" s="2377" t="s">
        <v>225</v>
      </c>
      <c r="B337" s="2377" t="s">
        <v>20362</v>
      </c>
      <c r="C337" s="1421" t="s">
        <v>20333</v>
      </c>
      <c r="D337" s="2378">
        <v>3.85</v>
      </c>
      <c r="E337" s="2378">
        <v>2.7650000000000001</v>
      </c>
      <c r="F337" s="2378">
        <v>3.2608695652173911</v>
      </c>
      <c r="G337" s="2378">
        <v>0</v>
      </c>
      <c r="H337" s="2378">
        <v>0</v>
      </c>
      <c r="I337" s="931"/>
      <c r="J337" s="2377" t="s">
        <v>20295</v>
      </c>
      <c r="K337" s="2377" t="s">
        <v>3333</v>
      </c>
      <c r="L337" s="1104">
        <v>56.619970187154699</v>
      </c>
      <c r="M337" s="1104">
        <v>36.200217500076903</v>
      </c>
      <c r="T337" s="1419"/>
    </row>
    <row r="338" spans="1:20" ht="15" customHeight="1" x14ac:dyDescent="0.25">
      <c r="A338" s="2377" t="s">
        <v>3026</v>
      </c>
      <c r="B338" s="2377" t="s">
        <v>20330</v>
      </c>
      <c r="C338" s="1421" t="s">
        <v>20399</v>
      </c>
      <c r="D338" s="2378">
        <v>2.4</v>
      </c>
      <c r="E338" s="2378">
        <v>0.21575999999999995</v>
      </c>
      <c r="F338" s="2378">
        <v>0.97532608695652168</v>
      </c>
      <c r="G338" s="2378">
        <v>0.19999999999999998</v>
      </c>
      <c r="H338" s="2378">
        <v>0</v>
      </c>
      <c r="I338" s="931"/>
      <c r="J338" s="2377" t="s">
        <v>20295</v>
      </c>
      <c r="K338" s="2377" t="s">
        <v>3333</v>
      </c>
      <c r="L338" s="1104">
        <v>56.6755897009702</v>
      </c>
      <c r="M338" s="1104">
        <v>36.694632804300497</v>
      </c>
      <c r="T338" s="1419"/>
    </row>
    <row r="339" spans="1:20" ht="15" customHeight="1" x14ac:dyDescent="0.25">
      <c r="A339" s="2377" t="s">
        <v>226</v>
      </c>
      <c r="B339" s="2377" t="s">
        <v>20316</v>
      </c>
      <c r="C339" s="1421" t="s">
        <v>20358</v>
      </c>
      <c r="D339" s="2378">
        <v>2.4300000000000002</v>
      </c>
      <c r="E339" s="2378">
        <v>1.7999999999999849E-2</v>
      </c>
      <c r="F339" s="2378">
        <v>1.2774456521739128</v>
      </c>
      <c r="G339" s="2378">
        <v>1.155</v>
      </c>
      <c r="H339" s="2378">
        <v>0</v>
      </c>
      <c r="I339" s="931"/>
      <c r="J339" s="2377" t="s">
        <v>20295</v>
      </c>
      <c r="K339" s="2377" t="s">
        <v>3333</v>
      </c>
      <c r="L339" s="1104">
        <v>56.698820872395601</v>
      </c>
      <c r="M339" s="1104">
        <v>36.307776077415099</v>
      </c>
      <c r="T339" s="1419"/>
    </row>
    <row r="340" spans="1:20" ht="15" customHeight="1" x14ac:dyDescent="0.25">
      <c r="A340" s="2377" t="s">
        <v>227</v>
      </c>
      <c r="B340" s="2377" t="s">
        <v>20316</v>
      </c>
      <c r="C340" s="1421" t="s">
        <v>20331</v>
      </c>
      <c r="D340" s="2378">
        <v>1.05</v>
      </c>
      <c r="E340" s="2378">
        <v>0.63000000000000012</v>
      </c>
      <c r="F340" s="2378">
        <v>0.24456521739130432</v>
      </c>
      <c r="G340" s="2378">
        <v>0</v>
      </c>
      <c r="H340" s="2378">
        <v>0.38543478260869568</v>
      </c>
      <c r="I340" s="931"/>
      <c r="J340" s="2377" t="s">
        <v>20295</v>
      </c>
      <c r="K340" s="2377" t="s">
        <v>20295</v>
      </c>
      <c r="L340" s="1104">
        <v>56.645054053303902</v>
      </c>
      <c r="M340" s="1104">
        <v>36.441536564170796</v>
      </c>
      <c r="T340" s="1419"/>
    </row>
    <row r="341" spans="1:20" ht="15" customHeight="1" x14ac:dyDescent="0.25">
      <c r="A341" s="2377" t="s">
        <v>16909</v>
      </c>
      <c r="B341" s="2377" t="s">
        <v>20304</v>
      </c>
      <c r="C341" s="1421" t="s">
        <v>20329</v>
      </c>
      <c r="D341" s="2378">
        <v>1.63</v>
      </c>
      <c r="E341" s="2378">
        <v>0.99500000000000011</v>
      </c>
      <c r="F341" s="2378">
        <v>9.7826086956521764E-3</v>
      </c>
      <c r="G341" s="2378">
        <v>0</v>
      </c>
      <c r="H341" s="2378">
        <v>0.98521739130434782</v>
      </c>
      <c r="I341" s="931"/>
      <c r="J341" s="2377" t="s">
        <v>20295</v>
      </c>
      <c r="K341" s="2377" t="s">
        <v>20295</v>
      </c>
      <c r="L341" s="1104">
        <v>56.663088887268501</v>
      </c>
      <c r="M341" s="1104">
        <v>36.803259794991298</v>
      </c>
      <c r="T341" s="1419"/>
    </row>
    <row r="342" spans="1:20" ht="15" customHeight="1" x14ac:dyDescent="0.25">
      <c r="A342" s="2377" t="s">
        <v>228</v>
      </c>
      <c r="B342" s="2377" t="s">
        <v>20408</v>
      </c>
      <c r="C342" s="1421" t="s">
        <v>20336</v>
      </c>
      <c r="D342" s="2378">
        <v>4.68</v>
      </c>
      <c r="E342" s="2378">
        <v>4.6500000000000004</v>
      </c>
      <c r="F342" s="2378">
        <v>5.049652173913044</v>
      </c>
      <c r="G342" s="2378">
        <v>0.19374999999999998</v>
      </c>
      <c r="H342" s="2378">
        <v>0</v>
      </c>
      <c r="I342" s="931"/>
      <c r="J342" s="2377" t="s">
        <v>20295</v>
      </c>
      <c r="K342" s="2377" t="s">
        <v>3333</v>
      </c>
      <c r="L342" s="1104">
        <v>56.583273284638203</v>
      </c>
      <c r="M342" s="1104">
        <v>36.504831719835202</v>
      </c>
      <c r="T342" s="1419"/>
    </row>
    <row r="343" spans="1:20" ht="15" customHeight="1" x14ac:dyDescent="0.25">
      <c r="A343" s="2377" t="s">
        <v>229</v>
      </c>
      <c r="B343" s="2377" t="s">
        <v>20361</v>
      </c>
      <c r="C343" s="1421" t="s">
        <v>20328</v>
      </c>
      <c r="D343" s="2378">
        <v>3.06</v>
      </c>
      <c r="E343" s="2378">
        <v>-0.43500000000000005</v>
      </c>
      <c r="F343" s="2378">
        <v>0</v>
      </c>
      <c r="G343" s="2378">
        <v>0</v>
      </c>
      <c r="H343" s="2378">
        <v>0</v>
      </c>
      <c r="I343" s="931"/>
      <c r="J343" s="2377" t="s">
        <v>3333</v>
      </c>
      <c r="K343" s="2377" t="s">
        <v>3333</v>
      </c>
      <c r="L343" s="1104">
        <v>56.675776138183203</v>
      </c>
      <c r="M343" s="1104">
        <v>36.681326282337302</v>
      </c>
      <c r="T343" s="1419"/>
    </row>
    <row r="344" spans="1:20" ht="15" customHeight="1" x14ac:dyDescent="0.25">
      <c r="A344" s="2377" t="s">
        <v>230</v>
      </c>
      <c r="B344" s="2377" t="s">
        <v>20311</v>
      </c>
      <c r="C344" s="1421" t="s">
        <v>20351</v>
      </c>
      <c r="D344" s="2378">
        <v>3.13</v>
      </c>
      <c r="E344" s="2378">
        <v>1.0700000000000003</v>
      </c>
      <c r="F344" s="2378">
        <v>1.5877173913043479</v>
      </c>
      <c r="G344" s="2378">
        <v>0</v>
      </c>
      <c r="H344" s="2378">
        <v>0</v>
      </c>
      <c r="I344" s="931"/>
      <c r="J344" s="2377" t="s">
        <v>20295</v>
      </c>
      <c r="K344" s="2377" t="s">
        <v>3333</v>
      </c>
      <c r="L344" s="1104">
        <v>56.771001100550897</v>
      </c>
      <c r="M344" s="1104">
        <v>36.1039893659825</v>
      </c>
      <c r="T344" s="1419"/>
    </row>
    <row r="345" spans="1:20" ht="15" customHeight="1" x14ac:dyDescent="0.25">
      <c r="A345" s="2377" t="s">
        <v>231</v>
      </c>
      <c r="B345" s="2377" t="s">
        <v>20309</v>
      </c>
      <c r="C345" s="1421" t="s">
        <v>20326</v>
      </c>
      <c r="D345" s="2378">
        <v>2.6</v>
      </c>
      <c r="E345" s="2378">
        <v>1.6</v>
      </c>
      <c r="F345" s="2378">
        <v>1.0878260869565215</v>
      </c>
      <c r="G345" s="2378">
        <v>0</v>
      </c>
      <c r="H345" s="2378">
        <v>0.51217391304347881</v>
      </c>
      <c r="I345" s="931"/>
      <c r="J345" s="2377" t="s">
        <v>20295</v>
      </c>
      <c r="K345" s="2377" t="s">
        <v>20295</v>
      </c>
      <c r="L345" s="1104">
        <v>56.711062762274103</v>
      </c>
      <c r="M345" s="1104">
        <v>36.653319898019397</v>
      </c>
      <c r="T345" s="1419"/>
    </row>
    <row r="346" spans="1:20" ht="15" customHeight="1" x14ac:dyDescent="0.25">
      <c r="A346" s="2377" t="s">
        <v>232</v>
      </c>
      <c r="B346" s="2377" t="s">
        <v>20364</v>
      </c>
      <c r="C346" s="1421" t="s">
        <v>20409</v>
      </c>
      <c r="D346" s="2378">
        <v>21.58</v>
      </c>
      <c r="E346" s="2378">
        <v>-4.7799999999999976</v>
      </c>
      <c r="F346" s="2378">
        <v>0</v>
      </c>
      <c r="G346" s="2378">
        <v>0</v>
      </c>
      <c r="H346" s="2378">
        <v>0</v>
      </c>
      <c r="I346" s="931"/>
      <c r="J346" s="2377" t="s">
        <v>3333</v>
      </c>
      <c r="K346" s="2377" t="s">
        <v>3333</v>
      </c>
      <c r="L346" s="1104">
        <v>56.837688982167201</v>
      </c>
      <c r="M346" s="1104">
        <v>35.913463446160598</v>
      </c>
      <c r="T346" s="1419"/>
    </row>
    <row r="347" spans="1:20" ht="15" customHeight="1" x14ac:dyDescent="0.25">
      <c r="A347" s="2377" t="s">
        <v>233</v>
      </c>
      <c r="B347" s="2377" t="s">
        <v>20410</v>
      </c>
      <c r="C347" s="1421" t="s">
        <v>20411</v>
      </c>
      <c r="D347" s="2378">
        <v>14.12</v>
      </c>
      <c r="E347" s="2378">
        <v>6.8800000000000008</v>
      </c>
      <c r="F347" s="2378">
        <v>3.5616847826086948</v>
      </c>
      <c r="G347" s="2378">
        <v>0</v>
      </c>
      <c r="H347" s="2378">
        <v>3.3183152173913051</v>
      </c>
      <c r="I347" s="931"/>
      <c r="J347" s="2377" t="s">
        <v>20295</v>
      </c>
      <c r="K347" s="2377" t="s">
        <v>20295</v>
      </c>
      <c r="L347" s="1104">
        <v>56.872738067369099</v>
      </c>
      <c r="M347" s="1104">
        <v>35.962227415706899</v>
      </c>
      <c r="T347" s="1419"/>
    </row>
    <row r="348" spans="1:20" ht="15" customHeight="1" x14ac:dyDescent="0.25">
      <c r="A348" s="2377" t="s">
        <v>234</v>
      </c>
      <c r="B348" s="2377" t="s">
        <v>20348</v>
      </c>
      <c r="C348" s="1421" t="s">
        <v>3654</v>
      </c>
      <c r="D348" s="2378">
        <v>1.77</v>
      </c>
      <c r="E348" s="2378">
        <v>-0.49</v>
      </c>
      <c r="F348" s="2378">
        <v>1.4990804347826086</v>
      </c>
      <c r="G348" s="2378">
        <v>3.7499999999999999E-2</v>
      </c>
      <c r="H348" s="2378">
        <v>0</v>
      </c>
      <c r="I348" s="931"/>
      <c r="J348" s="2377" t="s">
        <v>20295</v>
      </c>
      <c r="K348" s="2377" t="s">
        <v>3333</v>
      </c>
      <c r="L348" s="1104">
        <v>56.5843719695498</v>
      </c>
      <c r="M348" s="1104">
        <v>35.7619123136638</v>
      </c>
      <c r="T348" s="1419"/>
    </row>
    <row r="349" spans="1:20" x14ac:dyDescent="0.25">
      <c r="A349" s="1090" t="s">
        <v>1768</v>
      </c>
      <c r="B349" s="2386"/>
      <c r="C349" s="2385"/>
      <c r="D349" s="2378">
        <v>1.55</v>
      </c>
      <c r="E349" s="2378">
        <v>0</v>
      </c>
      <c r="F349" s="2378"/>
      <c r="G349" s="2378">
        <v>3.7499999999999999E-2</v>
      </c>
      <c r="H349" s="2378">
        <v>3.7499999999999999E-2</v>
      </c>
      <c r="I349" s="2378"/>
      <c r="J349" s="2377" t="s">
        <v>20295</v>
      </c>
      <c r="K349" s="2377" t="s">
        <v>20295</v>
      </c>
      <c r="L349" s="1104">
        <v>56.5843719695498</v>
      </c>
      <c r="M349" s="1104">
        <v>35.7619123136638</v>
      </c>
    </row>
    <row r="350" spans="1:20" x14ac:dyDescent="0.25">
      <c r="A350" s="7" t="s">
        <v>1767</v>
      </c>
      <c r="B350" s="2384"/>
      <c r="C350" s="2385"/>
      <c r="D350" s="2378">
        <v>0.22</v>
      </c>
      <c r="E350" s="2378">
        <v>0</v>
      </c>
      <c r="F350" s="2378"/>
      <c r="G350" s="2378">
        <v>0</v>
      </c>
      <c r="H350" s="2378">
        <v>0</v>
      </c>
      <c r="I350" s="2378"/>
      <c r="J350" s="2377" t="s">
        <v>20295</v>
      </c>
      <c r="K350" s="2377" t="s">
        <v>20295</v>
      </c>
      <c r="L350" s="1104">
        <v>56.5843719695498</v>
      </c>
      <c r="M350" s="1104">
        <v>35.7619123136638</v>
      </c>
    </row>
    <row r="351" spans="1:20" ht="15" customHeight="1" x14ac:dyDescent="0.25">
      <c r="A351" s="2377" t="s">
        <v>235</v>
      </c>
      <c r="B351" s="2377" t="s">
        <v>20307</v>
      </c>
      <c r="C351" s="1421" t="s">
        <v>20365</v>
      </c>
      <c r="D351" s="2378">
        <v>20.83</v>
      </c>
      <c r="E351" s="2378">
        <v>10.46</v>
      </c>
      <c r="F351" s="2378">
        <v>1.8898043478260869</v>
      </c>
      <c r="G351" s="2378">
        <v>0</v>
      </c>
      <c r="H351" s="2378">
        <v>8.5701956521739149</v>
      </c>
      <c r="I351" s="931"/>
      <c r="J351" s="2377" t="s">
        <v>20295</v>
      </c>
      <c r="K351" s="2377" t="s">
        <v>20295</v>
      </c>
      <c r="L351" s="1104">
        <v>56.838444047844298</v>
      </c>
      <c r="M351" s="1104">
        <v>35.791613740737702</v>
      </c>
      <c r="T351" s="1419"/>
    </row>
    <row r="352" spans="1:20" x14ac:dyDescent="0.25">
      <c r="A352" s="1090" t="s">
        <v>1768</v>
      </c>
      <c r="B352" s="2386"/>
      <c r="C352" s="2385"/>
      <c r="D352" s="2378">
        <v>10.54</v>
      </c>
      <c r="E352" s="2378">
        <v>0</v>
      </c>
      <c r="F352" s="2378"/>
      <c r="G352" s="2378">
        <v>0</v>
      </c>
      <c r="H352" s="2378">
        <v>0</v>
      </c>
      <c r="I352" s="2378"/>
      <c r="J352" s="2377" t="s">
        <v>20295</v>
      </c>
      <c r="K352" s="2377" t="s">
        <v>20295</v>
      </c>
      <c r="L352" s="1104">
        <v>56.838444047844298</v>
      </c>
      <c r="M352" s="1104">
        <v>35.791613740737702</v>
      </c>
    </row>
    <row r="353" spans="1:20" x14ac:dyDescent="0.25">
      <c r="A353" s="7" t="s">
        <v>1767</v>
      </c>
      <c r="B353" s="2384"/>
      <c r="C353" s="2385"/>
      <c r="D353" s="2378">
        <v>10.29</v>
      </c>
      <c r="E353" s="2378">
        <v>0</v>
      </c>
      <c r="F353" s="2378"/>
      <c r="G353" s="2378">
        <v>0</v>
      </c>
      <c r="H353" s="2378">
        <v>0</v>
      </c>
      <c r="I353" s="2378"/>
      <c r="J353" s="2377" t="s">
        <v>20295</v>
      </c>
      <c r="K353" s="2377" t="s">
        <v>20295</v>
      </c>
      <c r="L353" s="1104">
        <v>56.838444047844298</v>
      </c>
      <c r="M353" s="1104">
        <v>35.791613740737702</v>
      </c>
    </row>
    <row r="354" spans="1:20" ht="15" customHeight="1" x14ac:dyDescent="0.25">
      <c r="A354" s="2377" t="s">
        <v>236</v>
      </c>
      <c r="B354" s="2377" t="s">
        <v>20355</v>
      </c>
      <c r="C354" s="1421" t="s">
        <v>20365</v>
      </c>
      <c r="D354" s="2378">
        <v>45.89</v>
      </c>
      <c r="E354" s="2378">
        <v>5.5799999999999983</v>
      </c>
      <c r="F354" s="2378">
        <v>28.629652173913044</v>
      </c>
      <c r="G354" s="2378">
        <v>4.2590000000000003</v>
      </c>
      <c r="H354" s="2378">
        <v>0</v>
      </c>
      <c r="I354" s="931"/>
      <c r="J354" s="2377" t="s">
        <v>20295</v>
      </c>
      <c r="K354" s="2377" t="s">
        <v>3333</v>
      </c>
      <c r="L354" s="1104">
        <v>56.812352864856102</v>
      </c>
      <c r="M354" s="1104">
        <v>35.875389292921398</v>
      </c>
      <c r="T354" s="1419"/>
    </row>
    <row r="355" spans="1:20" x14ac:dyDescent="0.25">
      <c r="A355" s="1090" t="s">
        <v>1768</v>
      </c>
      <c r="B355" s="2386"/>
      <c r="C355" s="2385"/>
      <c r="D355" s="2378">
        <v>24.84</v>
      </c>
      <c r="E355" s="2378">
        <v>0</v>
      </c>
      <c r="F355" s="2378"/>
      <c r="G355" s="2378">
        <v>0.25899999999999995</v>
      </c>
      <c r="H355" s="2378">
        <v>0.25899999999999995</v>
      </c>
      <c r="I355" s="2378"/>
      <c r="J355" s="2377" t="s">
        <v>20295</v>
      </c>
      <c r="K355" s="2377" t="s">
        <v>20295</v>
      </c>
      <c r="L355" s="1104">
        <v>56.812352864856102</v>
      </c>
      <c r="M355" s="1104">
        <v>35.875389292921398</v>
      </c>
    </row>
    <row r="356" spans="1:20" x14ac:dyDescent="0.25">
      <c r="A356" s="7" t="s">
        <v>1767</v>
      </c>
      <c r="B356" s="2384"/>
      <c r="C356" s="2385"/>
      <c r="D356" s="2378">
        <v>21.05</v>
      </c>
      <c r="E356" s="2378">
        <v>0</v>
      </c>
      <c r="F356" s="2378"/>
      <c r="G356" s="2378">
        <v>4</v>
      </c>
      <c r="H356" s="2378">
        <v>4</v>
      </c>
      <c r="I356" s="2378"/>
      <c r="J356" s="2377" t="s">
        <v>20295</v>
      </c>
      <c r="K356" s="2377" t="s">
        <v>20295</v>
      </c>
      <c r="L356" s="1104">
        <v>56.812352864856102</v>
      </c>
      <c r="M356" s="1104">
        <v>35.875389292921398</v>
      </c>
    </row>
    <row r="357" spans="1:20" ht="15" customHeight="1" x14ac:dyDescent="0.25">
      <c r="A357" s="2377" t="s">
        <v>237</v>
      </c>
      <c r="B357" s="2377" t="s">
        <v>20385</v>
      </c>
      <c r="C357" s="1421" t="s">
        <v>20365</v>
      </c>
      <c r="D357" s="2378">
        <v>30.39</v>
      </c>
      <c r="E357" s="2378">
        <v>11.865</v>
      </c>
      <c r="F357" s="2378">
        <v>3.1274999999999995</v>
      </c>
      <c r="G357" s="2378">
        <v>3.125E-2</v>
      </c>
      <c r="H357" s="2378">
        <v>11.781847826086958</v>
      </c>
      <c r="I357" s="931"/>
      <c r="J357" s="2377" t="s">
        <v>20295</v>
      </c>
      <c r="K357" s="2377" t="s">
        <v>20295</v>
      </c>
      <c r="L357" s="1104">
        <v>56.8824720048164</v>
      </c>
      <c r="M357" s="1104">
        <v>35.868557292290099</v>
      </c>
      <c r="T357" s="1419"/>
    </row>
    <row r="358" spans="1:20" x14ac:dyDescent="0.25">
      <c r="A358" s="1090" t="s">
        <v>1768</v>
      </c>
      <c r="B358" s="2386"/>
      <c r="C358" s="2385"/>
      <c r="D358" s="2378">
        <v>13.71</v>
      </c>
      <c r="E358" s="2378">
        <v>0</v>
      </c>
      <c r="F358" s="2378"/>
      <c r="G358" s="2378">
        <v>0</v>
      </c>
      <c r="H358" s="2378">
        <v>0</v>
      </c>
      <c r="I358" s="2378"/>
      <c r="J358" s="2377" t="s">
        <v>20295</v>
      </c>
      <c r="K358" s="2377" t="s">
        <v>20295</v>
      </c>
      <c r="L358" s="1104">
        <v>56.8824720048164</v>
      </c>
      <c r="M358" s="1104">
        <v>35.868557292290099</v>
      </c>
    </row>
    <row r="359" spans="1:20" x14ac:dyDescent="0.25">
      <c r="A359" s="7" t="s">
        <v>1767</v>
      </c>
      <c r="B359" s="2384"/>
      <c r="C359" s="2385"/>
      <c r="D359" s="2378">
        <v>16.68</v>
      </c>
      <c r="E359" s="2378">
        <v>0</v>
      </c>
      <c r="F359" s="2378"/>
      <c r="G359" s="2378">
        <v>3.125E-2</v>
      </c>
      <c r="H359" s="2378">
        <v>3.125E-2</v>
      </c>
      <c r="I359" s="2378"/>
      <c r="J359" s="2377" t="s">
        <v>20295</v>
      </c>
      <c r="K359" s="2377" t="s">
        <v>20295</v>
      </c>
      <c r="L359" s="1104">
        <v>56.8824720048164</v>
      </c>
      <c r="M359" s="1104">
        <v>35.868557292290099</v>
      </c>
    </row>
    <row r="360" spans="1:20" ht="15" customHeight="1" x14ac:dyDescent="0.25">
      <c r="A360" s="2377" t="s">
        <v>238</v>
      </c>
      <c r="B360" s="2377" t="s">
        <v>20385</v>
      </c>
      <c r="C360" s="1421" t="s">
        <v>20365</v>
      </c>
      <c r="D360" s="2378">
        <v>40.21</v>
      </c>
      <c r="E360" s="2378">
        <v>14.969999999999999</v>
      </c>
      <c r="F360" s="2378">
        <v>13.835108695652174</v>
      </c>
      <c r="G360" s="2378">
        <v>0.14374999999999999</v>
      </c>
      <c r="H360" s="2378">
        <v>1.1348913043478248</v>
      </c>
      <c r="I360" s="931"/>
      <c r="J360" s="2377" t="s">
        <v>20295</v>
      </c>
      <c r="K360" s="2377" t="s">
        <v>20295</v>
      </c>
      <c r="L360" s="1104">
        <v>56.817318062913998</v>
      </c>
      <c r="M360" s="1104">
        <v>36.000321125689503</v>
      </c>
      <c r="T360" s="1419"/>
    </row>
    <row r="361" spans="1:20" x14ac:dyDescent="0.25">
      <c r="A361" s="1090" t="s">
        <v>1768</v>
      </c>
      <c r="B361" s="2386"/>
      <c r="C361" s="2385"/>
      <c r="D361" s="2378">
        <v>26.76</v>
      </c>
      <c r="E361" s="2378">
        <v>0</v>
      </c>
      <c r="F361" s="2378"/>
      <c r="G361" s="2378">
        <v>0.10625</v>
      </c>
      <c r="H361" s="2378">
        <v>0.10625</v>
      </c>
      <c r="I361" s="2378"/>
      <c r="J361" s="2377" t="s">
        <v>20295</v>
      </c>
      <c r="K361" s="2377" t="s">
        <v>20295</v>
      </c>
      <c r="L361" s="1104">
        <v>56.817318062913998</v>
      </c>
      <c r="M361" s="1104">
        <v>36.000321125689503</v>
      </c>
    </row>
    <row r="362" spans="1:20" x14ac:dyDescent="0.25">
      <c r="A362" s="7" t="s">
        <v>1767</v>
      </c>
      <c r="B362" s="2384"/>
      <c r="C362" s="2385"/>
      <c r="D362" s="2378">
        <v>13.45</v>
      </c>
      <c r="E362" s="2378">
        <v>0</v>
      </c>
      <c r="F362" s="2378"/>
      <c r="G362" s="2378">
        <v>3.7499999999999999E-2</v>
      </c>
      <c r="H362" s="2378">
        <v>3.7499999999999999E-2</v>
      </c>
      <c r="I362" s="2378"/>
      <c r="J362" s="2377" t="s">
        <v>20295</v>
      </c>
      <c r="K362" s="2377" t="s">
        <v>20295</v>
      </c>
      <c r="L362" s="1104">
        <v>56.817318062913998</v>
      </c>
      <c r="M362" s="1104">
        <v>36.000321125689503</v>
      </c>
    </row>
    <row r="363" spans="1:20" ht="15" customHeight="1" x14ac:dyDescent="0.25">
      <c r="A363" s="2377" t="s">
        <v>239</v>
      </c>
      <c r="B363" s="2377" t="s">
        <v>20304</v>
      </c>
      <c r="C363" s="1421" t="s">
        <v>20365</v>
      </c>
      <c r="D363" s="2378">
        <v>22.48</v>
      </c>
      <c r="E363" s="2378">
        <v>3.8999999999999986</v>
      </c>
      <c r="F363" s="2378">
        <v>8.4961956521739133</v>
      </c>
      <c r="G363" s="2378">
        <v>0</v>
      </c>
      <c r="H363" s="2378">
        <v>3.8999999999999986</v>
      </c>
      <c r="I363" s="931"/>
      <c r="J363" s="2377" t="s">
        <v>20295</v>
      </c>
      <c r="K363" s="2377" t="s">
        <v>20295</v>
      </c>
      <c r="L363" s="1104">
        <v>56.846325926478499</v>
      </c>
      <c r="M363" s="1104">
        <v>35.943401629587001</v>
      </c>
      <c r="T363" s="1419"/>
    </row>
    <row r="364" spans="1:20" x14ac:dyDescent="0.25">
      <c r="A364" s="1090" t="s">
        <v>1768</v>
      </c>
      <c r="B364" s="2386"/>
      <c r="C364" s="2385"/>
      <c r="D364" s="2378">
        <v>17.100000000000001</v>
      </c>
      <c r="E364" s="2378">
        <v>0</v>
      </c>
      <c r="F364" s="2378"/>
      <c r="G364" s="2378">
        <v>0</v>
      </c>
      <c r="H364" s="2378">
        <v>0</v>
      </c>
      <c r="I364" s="2378"/>
      <c r="J364" s="2377" t="s">
        <v>20295</v>
      </c>
      <c r="K364" s="2377" t="s">
        <v>20295</v>
      </c>
      <c r="L364" s="1104">
        <v>56.846325926478499</v>
      </c>
      <c r="M364" s="1104">
        <v>35.943401629587001</v>
      </c>
    </row>
    <row r="365" spans="1:20" x14ac:dyDescent="0.25">
      <c r="A365" s="7" t="s">
        <v>1767</v>
      </c>
      <c r="B365" s="2384"/>
      <c r="C365" s="2385"/>
      <c r="D365" s="2378">
        <v>5.38</v>
      </c>
      <c r="E365" s="2378">
        <v>0</v>
      </c>
      <c r="F365" s="2378"/>
      <c r="G365" s="2378">
        <v>0</v>
      </c>
      <c r="H365" s="2378">
        <v>0</v>
      </c>
      <c r="I365" s="2378"/>
      <c r="J365" s="2377" t="s">
        <v>20295</v>
      </c>
      <c r="K365" s="2377" t="s">
        <v>20295</v>
      </c>
      <c r="L365" s="1104">
        <v>56.846325926478499</v>
      </c>
      <c r="M365" s="1104">
        <v>35.943401629587001</v>
      </c>
    </row>
    <row r="366" spans="1:20" ht="15" customHeight="1" x14ac:dyDescent="0.25">
      <c r="A366" s="2377" t="s">
        <v>240</v>
      </c>
      <c r="B366" s="2377" t="s">
        <v>20361</v>
      </c>
      <c r="C366" s="1421" t="s">
        <v>20336</v>
      </c>
      <c r="D366" s="2378">
        <v>8.0300000000000011</v>
      </c>
      <c r="E366" s="2378">
        <v>6.7099999999999991</v>
      </c>
      <c r="F366" s="2378">
        <v>2.5067934782608696</v>
      </c>
      <c r="G366" s="2378">
        <v>0</v>
      </c>
      <c r="H366" s="2378">
        <v>4.2032065217391299</v>
      </c>
      <c r="I366" s="931"/>
      <c r="J366" s="2377" t="s">
        <v>20295</v>
      </c>
      <c r="K366" s="2377" t="s">
        <v>20295</v>
      </c>
      <c r="L366" s="1104">
        <v>56.940839497052899</v>
      </c>
      <c r="M366" s="1104">
        <v>35.624450234615701</v>
      </c>
      <c r="T366" s="1419"/>
    </row>
    <row r="367" spans="1:20" x14ac:dyDescent="0.25">
      <c r="A367" s="1090" t="s">
        <v>1768</v>
      </c>
      <c r="B367" s="2386"/>
      <c r="C367" s="2385"/>
      <c r="D367" s="2378">
        <v>5.78</v>
      </c>
      <c r="E367" s="2378">
        <v>0</v>
      </c>
      <c r="F367" s="2378"/>
      <c r="G367" s="2378">
        <v>0</v>
      </c>
      <c r="H367" s="2378">
        <v>0</v>
      </c>
      <c r="I367" s="2378"/>
      <c r="J367" s="2377" t="s">
        <v>20295</v>
      </c>
      <c r="K367" s="2377" t="s">
        <v>20295</v>
      </c>
      <c r="L367" s="1104">
        <v>56.940839497052899</v>
      </c>
      <c r="M367" s="1104">
        <v>35.624450234615701</v>
      </c>
    </row>
    <row r="368" spans="1:20" x14ac:dyDescent="0.25">
      <c r="A368" s="7" t="s">
        <v>1767</v>
      </c>
      <c r="B368" s="2384"/>
      <c r="C368" s="2385"/>
      <c r="D368" s="2378">
        <v>2.25</v>
      </c>
      <c r="E368" s="2378">
        <v>0</v>
      </c>
      <c r="F368" s="2378"/>
      <c r="G368" s="2378">
        <v>0</v>
      </c>
      <c r="H368" s="2378">
        <v>0</v>
      </c>
      <c r="I368" s="2378"/>
      <c r="J368" s="2377" t="s">
        <v>20295</v>
      </c>
      <c r="K368" s="2377" t="s">
        <v>20295</v>
      </c>
      <c r="L368" s="1104">
        <v>56.940839497052899</v>
      </c>
      <c r="M368" s="1104">
        <v>35.624450234615701</v>
      </c>
    </row>
    <row r="369" spans="1:20" ht="15" customHeight="1" x14ac:dyDescent="0.25">
      <c r="A369" s="2377" t="s">
        <v>241</v>
      </c>
      <c r="B369" s="2377" t="s">
        <v>20370</v>
      </c>
      <c r="C369" s="1421" t="s">
        <v>20334</v>
      </c>
      <c r="D369" s="2378">
        <v>16.28</v>
      </c>
      <c r="E369" s="2378">
        <v>10.1206</v>
      </c>
      <c r="F369" s="2378">
        <v>0.52191912108461902</v>
      </c>
      <c r="G369" s="2378">
        <v>0</v>
      </c>
      <c r="H369" s="2378">
        <v>9.6671591397849461</v>
      </c>
      <c r="I369" s="931"/>
      <c r="J369" s="2377" t="s">
        <v>20295</v>
      </c>
      <c r="K369" s="2377" t="s">
        <v>20295</v>
      </c>
      <c r="L369" s="1104">
        <v>57.117744196011202</v>
      </c>
      <c r="M369" s="1104">
        <v>35.474582720060397</v>
      </c>
      <c r="T369" s="1419"/>
    </row>
    <row r="370" spans="1:20" x14ac:dyDescent="0.25">
      <c r="A370" s="1090" t="s">
        <v>1768</v>
      </c>
      <c r="B370" s="2386"/>
      <c r="C370" s="2385"/>
      <c r="D370" s="2378">
        <v>6.99</v>
      </c>
      <c r="E370" s="2378">
        <v>0</v>
      </c>
      <c r="F370" s="2378"/>
      <c r="G370" s="2378">
        <v>0</v>
      </c>
      <c r="H370" s="2378">
        <v>0</v>
      </c>
      <c r="I370" s="2378"/>
      <c r="J370" s="2377" t="s">
        <v>20295</v>
      </c>
      <c r="K370" s="2377" t="s">
        <v>20295</v>
      </c>
      <c r="L370" s="1104">
        <v>57.117744196011202</v>
      </c>
      <c r="M370" s="1104">
        <v>35.474582720060397</v>
      </c>
    </row>
    <row r="371" spans="1:20" x14ac:dyDescent="0.25">
      <c r="A371" s="7" t="s">
        <v>1767</v>
      </c>
      <c r="B371" s="2384"/>
      <c r="C371" s="2385"/>
      <c r="D371" s="2378">
        <v>9.2899999999999991</v>
      </c>
      <c r="E371" s="2378">
        <v>0</v>
      </c>
      <c r="F371" s="2378"/>
      <c r="G371" s="2378">
        <v>0</v>
      </c>
      <c r="H371" s="2378">
        <v>0</v>
      </c>
      <c r="I371" s="2378"/>
      <c r="J371" s="2377" t="s">
        <v>20295</v>
      </c>
      <c r="K371" s="2377" t="s">
        <v>20295</v>
      </c>
      <c r="L371" s="1104">
        <v>57.117744196011202</v>
      </c>
      <c r="M371" s="1104">
        <v>35.474582720060397</v>
      </c>
    </row>
    <row r="372" spans="1:20" ht="15" customHeight="1" x14ac:dyDescent="0.25">
      <c r="A372" s="2377" t="s">
        <v>242</v>
      </c>
      <c r="B372" s="2377" t="s">
        <v>20304</v>
      </c>
      <c r="C372" s="1421" t="s">
        <v>20367</v>
      </c>
      <c r="D372" s="2378">
        <v>12.16</v>
      </c>
      <c r="E372" s="2378">
        <v>8.6300000000000008</v>
      </c>
      <c r="F372" s="2378">
        <v>7.7521521739130437</v>
      </c>
      <c r="G372" s="2378">
        <v>0.19374999999999998</v>
      </c>
      <c r="H372" s="2378">
        <v>0.87784782608695799</v>
      </c>
      <c r="I372" s="931"/>
      <c r="J372" s="2377" t="s">
        <v>20295</v>
      </c>
      <c r="K372" s="2377" t="s">
        <v>20295</v>
      </c>
      <c r="L372" s="1104">
        <v>56.587896602222003</v>
      </c>
      <c r="M372" s="1104">
        <v>36.4910108207308</v>
      </c>
      <c r="T372" s="1419"/>
    </row>
    <row r="373" spans="1:20" x14ac:dyDescent="0.25">
      <c r="A373" s="1090" t="s">
        <v>1768</v>
      </c>
      <c r="B373" s="2386"/>
      <c r="C373" s="2385"/>
      <c r="D373" s="2378">
        <v>12.16</v>
      </c>
      <c r="E373" s="2378">
        <v>0</v>
      </c>
      <c r="F373" s="2378"/>
      <c r="G373" s="2378">
        <v>0.19374999999999998</v>
      </c>
      <c r="H373" s="2378">
        <v>0.19374999999999998</v>
      </c>
      <c r="I373" s="2378"/>
      <c r="J373" s="2377" t="s">
        <v>20295</v>
      </c>
      <c r="K373" s="2377" t="s">
        <v>20295</v>
      </c>
      <c r="L373" s="1104">
        <v>56.587896602222003</v>
      </c>
      <c r="M373" s="1104">
        <v>36.4910108207308</v>
      </c>
    </row>
    <row r="374" spans="1:20" x14ac:dyDescent="0.25">
      <c r="A374" s="7" t="s">
        <v>1767</v>
      </c>
      <c r="B374" s="2384"/>
      <c r="C374" s="2385"/>
      <c r="D374" s="2378">
        <v>0</v>
      </c>
      <c r="E374" s="2378">
        <v>0</v>
      </c>
      <c r="F374" s="2378"/>
      <c r="G374" s="2378">
        <v>0</v>
      </c>
      <c r="H374" s="2378">
        <v>0</v>
      </c>
      <c r="I374" s="2378"/>
      <c r="J374" s="2377" t="s">
        <v>20295</v>
      </c>
      <c r="K374" s="2377" t="s">
        <v>20295</v>
      </c>
      <c r="L374" s="1104">
        <v>56.587896602222003</v>
      </c>
      <c r="M374" s="1104">
        <v>36.4910108207308</v>
      </c>
    </row>
    <row r="375" spans="1:20" ht="15" customHeight="1" x14ac:dyDescent="0.25">
      <c r="A375" s="2377" t="s">
        <v>243</v>
      </c>
      <c r="B375" s="2377" t="s">
        <v>20364</v>
      </c>
      <c r="C375" s="1421" t="s">
        <v>20412</v>
      </c>
      <c r="D375" s="2378">
        <v>27.150000000000002</v>
      </c>
      <c r="E375" s="2378">
        <v>19.454099999999997</v>
      </c>
      <c r="F375" s="2378">
        <v>7.0152717391304353</v>
      </c>
      <c r="G375" s="2378">
        <v>1.4675</v>
      </c>
      <c r="H375" s="2378">
        <v>12.683393478260868</v>
      </c>
      <c r="I375" s="931"/>
      <c r="J375" s="2377" t="s">
        <v>20295</v>
      </c>
      <c r="K375" s="2377" t="s">
        <v>20295</v>
      </c>
      <c r="L375" s="1104">
        <v>56.652821284373097</v>
      </c>
      <c r="M375" s="1104">
        <v>36.286133958084797</v>
      </c>
      <c r="T375" s="1419"/>
    </row>
    <row r="376" spans="1:20" x14ac:dyDescent="0.25">
      <c r="A376" s="1090" t="s">
        <v>1768</v>
      </c>
      <c r="B376" s="2386"/>
      <c r="C376" s="2385"/>
      <c r="D376" s="2378">
        <v>21.12</v>
      </c>
      <c r="E376" s="2378">
        <v>0</v>
      </c>
      <c r="F376" s="2378"/>
      <c r="G376" s="2378">
        <v>1.155</v>
      </c>
      <c r="H376" s="2378">
        <v>1.155</v>
      </c>
      <c r="I376" s="2378"/>
      <c r="J376" s="2377" t="s">
        <v>20295</v>
      </c>
      <c r="K376" s="2377" t="s">
        <v>20295</v>
      </c>
      <c r="L376" s="1104">
        <v>56.652821284373097</v>
      </c>
      <c r="M376" s="1104">
        <v>36.286133958084797</v>
      </c>
    </row>
    <row r="377" spans="1:20" x14ac:dyDescent="0.25">
      <c r="A377" s="7" t="s">
        <v>1767</v>
      </c>
      <c r="B377" s="2384"/>
      <c r="C377" s="2385"/>
      <c r="D377" s="2378">
        <v>6.03</v>
      </c>
      <c r="E377" s="2378">
        <v>0</v>
      </c>
      <c r="F377" s="2378"/>
      <c r="G377" s="2378">
        <v>0.3125</v>
      </c>
      <c r="H377" s="2378">
        <v>0.3125</v>
      </c>
      <c r="I377" s="2378"/>
      <c r="J377" s="2377" t="s">
        <v>20295</v>
      </c>
      <c r="K377" s="2377" t="s">
        <v>20295</v>
      </c>
      <c r="L377" s="1104">
        <v>56.652821284373097</v>
      </c>
      <c r="M377" s="1104">
        <v>36.286133958084797</v>
      </c>
    </row>
    <row r="378" spans="1:20" ht="15" customHeight="1" x14ac:dyDescent="0.25">
      <c r="A378" s="2377" t="s">
        <v>244</v>
      </c>
      <c r="B378" s="2377" t="s">
        <v>20308</v>
      </c>
      <c r="C378" s="1421" t="s">
        <v>20413</v>
      </c>
      <c r="D378" s="2378">
        <v>6.03</v>
      </c>
      <c r="E378" s="2378">
        <v>5.83</v>
      </c>
      <c r="F378" s="2378">
        <v>0.30326086956521742</v>
      </c>
      <c r="G378" s="2378">
        <v>0</v>
      </c>
      <c r="H378" s="2378">
        <v>5.526739130434783</v>
      </c>
      <c r="I378" s="931"/>
      <c r="J378" s="2377" t="s">
        <v>20295</v>
      </c>
      <c r="K378" s="2377" t="s">
        <v>20295</v>
      </c>
      <c r="L378" s="1104">
        <v>57.3406360797293</v>
      </c>
      <c r="M378" s="1104">
        <v>36.047738987915402</v>
      </c>
      <c r="T378" s="1419"/>
    </row>
    <row r="379" spans="1:20" x14ac:dyDescent="0.25">
      <c r="A379" s="1090" t="s">
        <v>1768</v>
      </c>
      <c r="B379" s="2386"/>
      <c r="C379" s="247"/>
      <c r="D379" s="2378">
        <v>2.97</v>
      </c>
      <c r="E379" s="2378">
        <v>0</v>
      </c>
      <c r="F379" s="2378"/>
      <c r="G379" s="2378">
        <v>0</v>
      </c>
      <c r="H379" s="2378">
        <v>0</v>
      </c>
      <c r="I379" s="2378"/>
      <c r="J379" s="2377" t="s">
        <v>20295</v>
      </c>
      <c r="K379" s="2377" t="s">
        <v>20295</v>
      </c>
      <c r="L379" s="1104">
        <v>57.3406360797293</v>
      </c>
      <c r="M379" s="1104">
        <v>36.047738987915402</v>
      </c>
    </row>
    <row r="380" spans="1:20" x14ac:dyDescent="0.25">
      <c r="A380" s="7" t="s">
        <v>1767</v>
      </c>
      <c r="B380" s="2384"/>
      <c r="C380" s="247"/>
      <c r="D380" s="2378">
        <v>3.06</v>
      </c>
      <c r="E380" s="2378">
        <v>0</v>
      </c>
      <c r="F380" s="2378"/>
      <c r="G380" s="2378">
        <v>0</v>
      </c>
      <c r="H380" s="2378">
        <v>0</v>
      </c>
      <c r="I380" s="2378"/>
      <c r="J380" s="2377" t="s">
        <v>20295</v>
      </c>
      <c r="K380" s="2377" t="s">
        <v>20295</v>
      </c>
      <c r="L380" s="1104">
        <v>57.3406360797293</v>
      </c>
      <c r="M380" s="1104">
        <v>36.047738987915402</v>
      </c>
    </row>
    <row r="381" spans="1:20" ht="15" customHeight="1" x14ac:dyDescent="0.25">
      <c r="A381" s="2377" t="s">
        <v>245</v>
      </c>
      <c r="B381" s="2377" t="s">
        <v>20299</v>
      </c>
      <c r="C381" s="1421" t="s">
        <v>20334</v>
      </c>
      <c r="D381" s="2378">
        <v>1.5589999999999999</v>
      </c>
      <c r="E381" s="2378">
        <v>14.451000000000002</v>
      </c>
      <c r="F381" s="2378">
        <v>0</v>
      </c>
      <c r="G381" s="2378">
        <v>0</v>
      </c>
      <c r="H381" s="2378">
        <v>14.451000000000002</v>
      </c>
      <c r="I381" s="931"/>
      <c r="J381" s="2377" t="s">
        <v>20295</v>
      </c>
      <c r="K381" s="2377" t="s">
        <v>20295</v>
      </c>
      <c r="L381" s="1104">
        <v>57.187139393143099</v>
      </c>
      <c r="M381" s="1104">
        <v>35.854838183759199</v>
      </c>
      <c r="T381" s="1419"/>
    </row>
    <row r="382" spans="1:20" x14ac:dyDescent="0.25">
      <c r="A382" s="1090" t="s">
        <v>1768</v>
      </c>
      <c r="B382" s="2386"/>
      <c r="C382" s="247"/>
      <c r="D382" s="2378">
        <v>1.54</v>
      </c>
      <c r="E382" s="2378">
        <v>0</v>
      </c>
      <c r="F382" s="2378"/>
      <c r="G382" s="2378">
        <v>0</v>
      </c>
      <c r="H382" s="2378">
        <v>0</v>
      </c>
      <c r="I382" s="2378"/>
      <c r="J382" s="2377" t="s">
        <v>20295</v>
      </c>
      <c r="K382" s="2377" t="s">
        <v>20295</v>
      </c>
      <c r="L382" s="1104">
        <v>57.187139393143099</v>
      </c>
      <c r="M382" s="1104">
        <v>35.854838183759199</v>
      </c>
    </row>
    <row r="383" spans="1:20" ht="20.100000000000001" customHeight="1" x14ac:dyDescent="0.25">
      <c r="A383" s="7" t="s">
        <v>1767</v>
      </c>
      <c r="B383" s="2384"/>
      <c r="C383" s="247"/>
      <c r="D383" s="2378">
        <v>1.9E-2</v>
      </c>
      <c r="E383" s="2378">
        <v>0</v>
      </c>
      <c r="F383" s="2378"/>
      <c r="G383" s="2373">
        <v>0</v>
      </c>
      <c r="H383" s="2378">
        <v>0</v>
      </c>
      <c r="I383" s="2378"/>
      <c r="J383" s="2377" t="s">
        <v>20295</v>
      </c>
      <c r="K383" s="2377" t="s">
        <v>20295</v>
      </c>
      <c r="L383" s="1104">
        <v>57.187139393143099</v>
      </c>
      <c r="M383" s="1104">
        <v>35.854838183759199</v>
      </c>
    </row>
    <row r="384" spans="1:20" ht="15" customHeight="1" x14ac:dyDescent="0.25">
      <c r="A384" s="2381" t="s">
        <v>246</v>
      </c>
      <c r="B384" s="2377" t="s">
        <v>20307</v>
      </c>
      <c r="C384" s="1421" t="s">
        <v>20301</v>
      </c>
      <c r="D384" s="2378">
        <v>1.03</v>
      </c>
      <c r="E384" s="2378">
        <v>0</v>
      </c>
      <c r="F384" s="2378">
        <v>0</v>
      </c>
      <c r="G384" s="2382">
        <v>0</v>
      </c>
      <c r="H384" s="2378">
        <v>0</v>
      </c>
      <c r="I384" s="931"/>
      <c r="J384" s="2377" t="s">
        <v>20295</v>
      </c>
      <c r="K384" s="2377" t="s">
        <v>20295</v>
      </c>
      <c r="L384" s="1104">
        <v>56.8301746418446</v>
      </c>
      <c r="M384" s="1104">
        <v>34.607680731350698</v>
      </c>
      <c r="T384" s="1419"/>
    </row>
    <row r="385" spans="1:20" ht="15" customHeight="1" x14ac:dyDescent="0.25">
      <c r="A385" s="2381" t="s">
        <v>247</v>
      </c>
      <c r="B385" s="2377" t="s">
        <v>20321</v>
      </c>
      <c r="C385" s="1421" t="s">
        <v>20301</v>
      </c>
      <c r="D385" s="2378">
        <v>0.4</v>
      </c>
      <c r="E385" s="2378">
        <v>0</v>
      </c>
      <c r="F385" s="2378">
        <v>1.0271739130434783</v>
      </c>
      <c r="G385" s="2382">
        <v>0</v>
      </c>
      <c r="H385" s="2378">
        <v>0</v>
      </c>
      <c r="I385" s="931"/>
      <c r="J385" s="2377" t="s">
        <v>20295</v>
      </c>
      <c r="K385" s="2377" t="s">
        <v>3333</v>
      </c>
      <c r="L385" s="1104">
        <v>56.890550852858198</v>
      </c>
      <c r="M385" s="1104">
        <v>34.736810070502301</v>
      </c>
      <c r="T385" s="1419"/>
    </row>
    <row r="386" spans="1:20" ht="15" customHeight="1" x14ac:dyDescent="0.25">
      <c r="A386" s="2381" t="s">
        <v>248</v>
      </c>
      <c r="B386" s="2377" t="s">
        <v>20340</v>
      </c>
      <c r="C386" s="1421" t="s">
        <v>20414</v>
      </c>
      <c r="D386" s="2378">
        <v>0.02</v>
      </c>
      <c r="E386" s="2378">
        <v>-0.02</v>
      </c>
      <c r="F386" s="2378">
        <v>0</v>
      </c>
      <c r="G386" s="2382">
        <v>0</v>
      </c>
      <c r="H386" s="2378">
        <v>0</v>
      </c>
      <c r="I386" s="931"/>
      <c r="J386" s="2377" t="s">
        <v>20295</v>
      </c>
      <c r="K386" s="2377" t="s">
        <v>3333</v>
      </c>
      <c r="L386" s="1104">
        <v>57.178198819369499</v>
      </c>
      <c r="M386" s="1104">
        <v>33.725861625238501</v>
      </c>
      <c r="T386" s="1419"/>
    </row>
    <row r="387" spans="1:20" ht="15" customHeight="1" x14ac:dyDescent="0.25">
      <c r="A387" s="2381" t="s">
        <v>249</v>
      </c>
      <c r="B387" s="2377" t="s">
        <v>20310</v>
      </c>
      <c r="C387" s="1421" t="s">
        <v>20301</v>
      </c>
      <c r="D387" s="2378">
        <v>0.56999999999999995</v>
      </c>
      <c r="E387" s="2378">
        <v>-0.31999999999999995</v>
      </c>
      <c r="F387" s="2378">
        <v>0</v>
      </c>
      <c r="G387" s="2382">
        <v>0</v>
      </c>
      <c r="H387" s="2378">
        <v>0</v>
      </c>
      <c r="I387" s="931"/>
      <c r="J387" s="2377" t="s">
        <v>20295</v>
      </c>
      <c r="K387" s="2377" t="s">
        <v>3333</v>
      </c>
      <c r="L387" s="1104">
        <v>56.9354846584773</v>
      </c>
      <c r="M387" s="1104">
        <v>34.451795016160503</v>
      </c>
      <c r="T387" s="1419"/>
    </row>
    <row r="388" spans="1:20" ht="15" customHeight="1" x14ac:dyDescent="0.25">
      <c r="A388" s="2381" t="s">
        <v>250</v>
      </c>
      <c r="B388" s="2377" t="s">
        <v>20320</v>
      </c>
      <c r="C388" s="1421" t="s">
        <v>20294</v>
      </c>
      <c r="D388" s="2378">
        <v>0.09</v>
      </c>
      <c r="E388" s="2378">
        <v>-0.09</v>
      </c>
      <c r="F388" s="2378">
        <v>0</v>
      </c>
      <c r="G388" s="2382">
        <v>0</v>
      </c>
      <c r="H388" s="2378">
        <v>0</v>
      </c>
      <c r="I388" s="931"/>
      <c r="J388" s="2377" t="s">
        <v>20295</v>
      </c>
      <c r="K388" s="2377" t="s">
        <v>3333</v>
      </c>
      <c r="L388" s="1104">
        <v>57.0901837567651</v>
      </c>
      <c r="M388" s="1104">
        <v>34.158526964322803</v>
      </c>
      <c r="T388" s="1419"/>
    </row>
    <row r="389" spans="1:20" ht="15" customHeight="1" x14ac:dyDescent="0.25">
      <c r="A389" s="2381" t="s">
        <v>251</v>
      </c>
      <c r="B389" s="2377" t="s">
        <v>20415</v>
      </c>
      <c r="C389" s="1421" t="s">
        <v>20301</v>
      </c>
      <c r="D389" s="2378">
        <v>0.05</v>
      </c>
      <c r="E389" s="2378">
        <v>-3.0000000000000002E-2</v>
      </c>
      <c r="F389" s="2378">
        <v>6.5217391304347824E-2</v>
      </c>
      <c r="G389" s="2382">
        <v>0</v>
      </c>
      <c r="H389" s="2378">
        <v>0</v>
      </c>
      <c r="I389" s="931"/>
      <c r="J389" s="2377" t="s">
        <v>20295</v>
      </c>
      <c r="K389" s="2377" t="s">
        <v>3333</v>
      </c>
      <c r="L389" s="1104">
        <v>57.109680251436501</v>
      </c>
      <c r="M389" s="1104">
        <v>33.772291400337799</v>
      </c>
      <c r="T389" s="1419"/>
    </row>
    <row r="390" spans="1:20" ht="15" customHeight="1" x14ac:dyDescent="0.25">
      <c r="A390" s="2381" t="s">
        <v>252</v>
      </c>
      <c r="B390" s="2377" t="s">
        <v>20320</v>
      </c>
      <c r="C390" s="1421" t="s">
        <v>20301</v>
      </c>
      <c r="D390" s="2378">
        <v>0.64</v>
      </c>
      <c r="E390" s="2378">
        <v>-0.37</v>
      </c>
      <c r="F390" s="2378">
        <v>0</v>
      </c>
      <c r="G390" s="2382">
        <v>0</v>
      </c>
      <c r="H390" s="2378">
        <v>0</v>
      </c>
      <c r="I390" s="931"/>
      <c r="J390" s="2377" t="s">
        <v>20295</v>
      </c>
      <c r="K390" s="2377" t="s">
        <v>3333</v>
      </c>
      <c r="L390" s="1104">
        <v>56.655166180638801</v>
      </c>
      <c r="M390" s="1104">
        <v>33.265810048735098</v>
      </c>
      <c r="T390" s="1419"/>
    </row>
    <row r="391" spans="1:20" ht="15" customHeight="1" x14ac:dyDescent="0.25">
      <c r="A391" s="2381" t="s">
        <v>253</v>
      </c>
      <c r="B391" s="2377" t="s">
        <v>20344</v>
      </c>
      <c r="C391" s="1421" t="s">
        <v>20294</v>
      </c>
      <c r="D391" s="2378">
        <v>0.13</v>
      </c>
      <c r="E391" s="2378">
        <v>-0.06</v>
      </c>
      <c r="F391" s="2378">
        <v>0</v>
      </c>
      <c r="G391" s="2382">
        <v>0</v>
      </c>
      <c r="H391" s="2378">
        <v>0</v>
      </c>
      <c r="I391" s="931"/>
      <c r="J391" s="2377" t="s">
        <v>20295</v>
      </c>
      <c r="K391" s="2377" t="s">
        <v>3333</v>
      </c>
      <c r="L391" s="1104">
        <v>56.799069622315798</v>
      </c>
      <c r="M391" s="1104">
        <v>33.365244784147997</v>
      </c>
      <c r="T391" s="1419"/>
    </row>
    <row r="392" spans="1:20" ht="15" customHeight="1" x14ac:dyDescent="0.25">
      <c r="A392" s="2381" t="s">
        <v>254</v>
      </c>
      <c r="B392" s="2377" t="s">
        <v>20310</v>
      </c>
      <c r="C392" s="1421" t="s">
        <v>3074</v>
      </c>
      <c r="D392" s="2378">
        <v>0.28999999999999998</v>
      </c>
      <c r="E392" s="2378">
        <v>-0.18999999999999997</v>
      </c>
      <c r="F392" s="2378">
        <v>0</v>
      </c>
      <c r="G392" s="2382">
        <v>0</v>
      </c>
      <c r="H392" s="2378">
        <v>0</v>
      </c>
      <c r="I392" s="931"/>
      <c r="J392" s="2377" t="s">
        <v>20295</v>
      </c>
      <c r="K392" s="2377" t="s">
        <v>3333</v>
      </c>
      <c r="L392" s="1104">
        <v>56.6577175697605</v>
      </c>
      <c r="M392" s="1104">
        <v>33.471842528405297</v>
      </c>
      <c r="T392" s="1419"/>
    </row>
    <row r="393" spans="1:20" ht="15" customHeight="1" x14ac:dyDescent="0.25">
      <c r="A393" s="2381" t="s">
        <v>255</v>
      </c>
      <c r="B393" s="2377" t="s">
        <v>20377</v>
      </c>
      <c r="C393" s="1421" t="s">
        <v>20315</v>
      </c>
      <c r="D393" s="2378">
        <v>3.66</v>
      </c>
      <c r="E393" s="2378">
        <v>-3.66</v>
      </c>
      <c r="F393" s="2378">
        <v>0.33554347826086961</v>
      </c>
      <c r="G393" s="2382">
        <v>0</v>
      </c>
      <c r="H393" s="2378">
        <v>0</v>
      </c>
      <c r="I393" s="931">
        <v>2017</v>
      </c>
      <c r="J393" s="2377" t="s">
        <v>20295</v>
      </c>
      <c r="K393" s="2377" t="s">
        <v>3333</v>
      </c>
      <c r="L393" s="1104">
        <v>57.282362313331902</v>
      </c>
      <c r="M393" s="1104">
        <v>32.919448251431298</v>
      </c>
      <c r="T393" s="1419"/>
    </row>
    <row r="394" spans="1:20" ht="15" customHeight="1" x14ac:dyDescent="0.25">
      <c r="A394" s="2381" t="s">
        <v>256</v>
      </c>
      <c r="B394" s="2377" t="s">
        <v>20362</v>
      </c>
      <c r="C394" s="1421" t="s">
        <v>20294</v>
      </c>
      <c r="D394" s="2378">
        <v>0.12</v>
      </c>
      <c r="E394" s="2378">
        <v>-0.12</v>
      </c>
      <c r="F394" s="2378">
        <v>0</v>
      </c>
      <c r="G394" s="2382">
        <v>0</v>
      </c>
      <c r="H394" s="2378">
        <v>0</v>
      </c>
      <c r="I394" s="931"/>
      <c r="J394" s="2377" t="s">
        <v>20295</v>
      </c>
      <c r="K394" s="2377" t="s">
        <v>3333</v>
      </c>
      <c r="L394" s="1104">
        <v>56.641229897302701</v>
      </c>
      <c r="M394" s="1104">
        <v>32.847676704850599</v>
      </c>
      <c r="T394" s="1419"/>
    </row>
    <row r="395" spans="1:20" ht="15" customHeight="1" x14ac:dyDescent="0.25">
      <c r="A395" s="2381" t="s">
        <v>257</v>
      </c>
      <c r="B395" s="2377" t="s">
        <v>20348</v>
      </c>
      <c r="C395" s="1421" t="s">
        <v>20301</v>
      </c>
      <c r="D395" s="2378">
        <v>0.26</v>
      </c>
      <c r="E395" s="2378">
        <v>-0.26</v>
      </c>
      <c r="F395" s="2378">
        <v>0</v>
      </c>
      <c r="G395" s="2382">
        <v>0</v>
      </c>
      <c r="H395" s="2378">
        <v>0</v>
      </c>
      <c r="I395" s="931"/>
      <c r="J395" s="2377" t="s">
        <v>20295</v>
      </c>
      <c r="K395" s="2377" t="s">
        <v>3333</v>
      </c>
      <c r="L395" s="1104">
        <v>56.959279923887401</v>
      </c>
      <c r="M395" s="1104">
        <v>32.248864062105298</v>
      </c>
      <c r="T395" s="1419"/>
    </row>
    <row r="396" spans="1:20" ht="15" customHeight="1" x14ac:dyDescent="0.25">
      <c r="A396" s="2381" t="s">
        <v>258</v>
      </c>
      <c r="B396" s="2377" t="s">
        <v>20303</v>
      </c>
      <c r="C396" s="1421" t="s">
        <v>20294</v>
      </c>
      <c r="D396" s="2378">
        <v>0.61</v>
      </c>
      <c r="E396" s="2378">
        <v>-0.61</v>
      </c>
      <c r="F396" s="2378">
        <v>1.4673913043478259E-2</v>
      </c>
      <c r="G396" s="2382">
        <v>0</v>
      </c>
      <c r="H396" s="2378">
        <v>0</v>
      </c>
      <c r="I396" s="931"/>
      <c r="J396" s="2377" t="s">
        <v>20295</v>
      </c>
      <c r="K396" s="2377" t="s">
        <v>3333</v>
      </c>
      <c r="L396" s="1104">
        <v>57.0576360351549</v>
      </c>
      <c r="M396" s="1104">
        <v>32.331043312724397</v>
      </c>
      <c r="T396" s="1419"/>
    </row>
    <row r="397" spans="1:20" ht="15" customHeight="1" x14ac:dyDescent="0.25">
      <c r="A397" s="2381" t="s">
        <v>259</v>
      </c>
      <c r="B397" s="2377" t="s">
        <v>20340</v>
      </c>
      <c r="C397" s="1421" t="s">
        <v>20349</v>
      </c>
      <c r="D397" s="2378">
        <v>1.23</v>
      </c>
      <c r="E397" s="2378">
        <v>0.45000000000000018</v>
      </c>
      <c r="F397" s="2378">
        <v>4.8913043478260872E-2</v>
      </c>
      <c r="G397" s="2382">
        <v>0</v>
      </c>
      <c r="H397" s="2378">
        <v>0.4010869565217392</v>
      </c>
      <c r="I397" s="931">
        <v>2014</v>
      </c>
      <c r="J397" s="2377" t="s">
        <v>20295</v>
      </c>
      <c r="K397" s="2377" t="s">
        <v>20295</v>
      </c>
      <c r="L397" s="1104">
        <v>56.835124665264999</v>
      </c>
      <c r="M397" s="1104">
        <v>35.036505971403898</v>
      </c>
      <c r="T397" s="1419"/>
    </row>
    <row r="398" spans="1:20" ht="15" customHeight="1" x14ac:dyDescent="0.25">
      <c r="A398" s="2381" t="s">
        <v>260</v>
      </c>
      <c r="B398" s="2377" t="s">
        <v>20303</v>
      </c>
      <c r="C398" s="1421" t="s">
        <v>20328</v>
      </c>
      <c r="D398" s="2378">
        <v>1.06</v>
      </c>
      <c r="E398" s="2378">
        <v>1.5649999999999999</v>
      </c>
      <c r="F398" s="2378">
        <v>0.14869565217391303</v>
      </c>
      <c r="G398" s="2382">
        <v>0</v>
      </c>
      <c r="H398" s="2378">
        <v>1.4163043478260868</v>
      </c>
      <c r="I398" s="931"/>
      <c r="J398" s="2377" t="s">
        <v>20295</v>
      </c>
      <c r="K398" s="2377" t="s">
        <v>20295</v>
      </c>
      <c r="L398" s="1104">
        <v>56.697932251352903</v>
      </c>
      <c r="M398" s="1104">
        <v>34.906360128343799</v>
      </c>
      <c r="T398" s="1419"/>
    </row>
    <row r="399" spans="1:20" ht="15" customHeight="1" x14ac:dyDescent="0.25">
      <c r="A399" s="2381" t="s">
        <v>261</v>
      </c>
      <c r="B399" s="2377" t="s">
        <v>20316</v>
      </c>
      <c r="C399" s="1421" t="s">
        <v>20351</v>
      </c>
      <c r="D399" s="2378">
        <v>2.88</v>
      </c>
      <c r="E399" s="2378">
        <v>1.3200000000000003</v>
      </c>
      <c r="F399" s="2378">
        <v>0.45766304347826087</v>
      </c>
      <c r="G399" s="2382">
        <v>0</v>
      </c>
      <c r="H399" s="2378">
        <v>0.86233695652173958</v>
      </c>
      <c r="I399" s="931"/>
      <c r="J399" s="2377" t="s">
        <v>20295</v>
      </c>
      <c r="K399" s="2377" t="s">
        <v>20295</v>
      </c>
      <c r="L399" s="1104">
        <v>56.981818912281</v>
      </c>
      <c r="M399" s="1104">
        <v>35.104686451727297</v>
      </c>
      <c r="T399" s="1419"/>
    </row>
    <row r="400" spans="1:20" ht="15" customHeight="1" x14ac:dyDescent="0.25">
      <c r="A400" s="2381" t="s">
        <v>262</v>
      </c>
      <c r="B400" s="2377" t="s">
        <v>20327</v>
      </c>
      <c r="C400" s="1421" t="s">
        <v>20329</v>
      </c>
      <c r="D400" s="2378">
        <v>0.94</v>
      </c>
      <c r="E400" s="2378">
        <v>1.6850000000000001</v>
      </c>
      <c r="F400" s="2378">
        <v>2.9347826086956519E-2</v>
      </c>
      <c r="G400" s="2382">
        <v>0</v>
      </c>
      <c r="H400" s="2378">
        <v>1.6556521739130434</v>
      </c>
      <c r="I400" s="931"/>
      <c r="J400" s="2377" t="s">
        <v>20295</v>
      </c>
      <c r="K400" s="2377" t="s">
        <v>20295</v>
      </c>
      <c r="L400" s="1104">
        <v>57.133121923718498</v>
      </c>
      <c r="M400" s="1104">
        <v>34.672485597217602</v>
      </c>
      <c r="T400" s="1419"/>
    </row>
    <row r="401" spans="1:20" ht="15" customHeight="1" x14ac:dyDescent="0.25">
      <c r="A401" s="2381" t="s">
        <v>263</v>
      </c>
      <c r="B401" s="2377" t="s">
        <v>20309</v>
      </c>
      <c r="C401" s="1421" t="s">
        <v>20329</v>
      </c>
      <c r="D401" s="2378">
        <v>2.0299999999999998</v>
      </c>
      <c r="E401" s="2378">
        <v>0.5950000000000002</v>
      </c>
      <c r="F401" s="2378">
        <v>0.85064516129032264</v>
      </c>
      <c r="G401" s="2382">
        <v>0</v>
      </c>
      <c r="H401" s="2378">
        <v>0</v>
      </c>
      <c r="I401" s="931"/>
      <c r="J401" s="2377" t="s">
        <v>20295</v>
      </c>
      <c r="K401" s="2377" t="s">
        <v>3333</v>
      </c>
      <c r="L401" s="1104">
        <v>57.204716539039701</v>
      </c>
      <c r="M401" s="1104">
        <v>34.9455300087211</v>
      </c>
      <c r="T401" s="1419"/>
    </row>
    <row r="402" spans="1:20" ht="15" customHeight="1" x14ac:dyDescent="0.25">
      <c r="A402" s="2381" t="s">
        <v>264</v>
      </c>
      <c r="B402" s="2377" t="s">
        <v>20370</v>
      </c>
      <c r="C402" s="1421" t="s">
        <v>20351</v>
      </c>
      <c r="D402" s="2378">
        <v>0.28999999999999998</v>
      </c>
      <c r="E402" s="2378">
        <v>3.91</v>
      </c>
      <c r="F402" s="2378">
        <v>0</v>
      </c>
      <c r="G402" s="2382">
        <v>0</v>
      </c>
      <c r="H402" s="2378">
        <v>3.91</v>
      </c>
      <c r="I402" s="931"/>
      <c r="J402" s="2377" t="s">
        <v>20295</v>
      </c>
      <c r="K402" s="2377" t="s">
        <v>20295</v>
      </c>
      <c r="L402" s="1104">
        <v>56.665454737939299</v>
      </c>
      <c r="M402" s="1104">
        <v>33.8508383047499</v>
      </c>
      <c r="T402" s="1419"/>
    </row>
    <row r="403" spans="1:20" ht="15" customHeight="1" x14ac:dyDescent="0.25">
      <c r="A403" s="2381" t="s">
        <v>265</v>
      </c>
      <c r="B403" s="2377" t="s">
        <v>20320</v>
      </c>
      <c r="C403" s="1421" t="s">
        <v>20351</v>
      </c>
      <c r="D403" s="2378">
        <v>1.32</v>
      </c>
      <c r="E403" s="2378">
        <v>2.88</v>
      </c>
      <c r="F403" s="2378">
        <v>4.6739130434782603E-2</v>
      </c>
      <c r="G403" s="2382">
        <v>0</v>
      </c>
      <c r="H403" s="2378">
        <v>2.8332608695652173</v>
      </c>
      <c r="I403" s="931"/>
      <c r="J403" s="2377" t="s">
        <v>20295</v>
      </c>
      <c r="K403" s="2377" t="s">
        <v>20295</v>
      </c>
      <c r="L403" s="1104">
        <v>56.887111041744703</v>
      </c>
      <c r="M403" s="1104">
        <v>33.302604380725498</v>
      </c>
      <c r="T403" s="1419"/>
    </row>
    <row r="404" spans="1:20" ht="15" customHeight="1" x14ac:dyDescent="0.25">
      <c r="A404" s="2381" t="s">
        <v>266</v>
      </c>
      <c r="B404" s="2377" t="s">
        <v>20355</v>
      </c>
      <c r="C404" s="1421" t="s">
        <v>20349</v>
      </c>
      <c r="D404" s="2378">
        <v>0.67</v>
      </c>
      <c r="E404" s="2378">
        <v>1.0100000000000002</v>
      </c>
      <c r="F404" s="2378">
        <v>0</v>
      </c>
      <c r="G404" s="2382">
        <v>0</v>
      </c>
      <c r="H404" s="2378">
        <v>1.0100000000000002</v>
      </c>
      <c r="I404" s="931"/>
      <c r="J404" s="2377" t="s">
        <v>20295</v>
      </c>
      <c r="K404" s="2377" t="s">
        <v>20295</v>
      </c>
      <c r="L404" s="1104">
        <v>57.262977423873402</v>
      </c>
      <c r="M404" s="1104">
        <v>33.360615571515098</v>
      </c>
      <c r="T404" s="1419"/>
    </row>
    <row r="405" spans="1:20" ht="15" customHeight="1" x14ac:dyDescent="0.25">
      <c r="A405" s="2381" t="s">
        <v>267</v>
      </c>
      <c r="B405" s="2377" t="s">
        <v>20300</v>
      </c>
      <c r="C405" s="1421" t="s">
        <v>20329</v>
      </c>
      <c r="D405" s="2378">
        <v>0.39</v>
      </c>
      <c r="E405" s="2378">
        <v>2.2349999999999999</v>
      </c>
      <c r="F405" s="2378">
        <v>0</v>
      </c>
      <c r="G405" s="2382">
        <v>0</v>
      </c>
      <c r="H405" s="2378">
        <v>2.2349999999999999</v>
      </c>
      <c r="I405" s="931"/>
      <c r="J405" s="2377" t="s">
        <v>20295</v>
      </c>
      <c r="K405" s="2377" t="s">
        <v>20295</v>
      </c>
      <c r="L405" s="1104">
        <v>57.0472711405613</v>
      </c>
      <c r="M405" s="1104">
        <v>33.375103516095102</v>
      </c>
      <c r="T405" s="1419"/>
    </row>
    <row r="406" spans="1:20" ht="15" customHeight="1" x14ac:dyDescent="0.25">
      <c r="A406" s="2381" t="s">
        <v>268</v>
      </c>
      <c r="B406" s="2377" t="s">
        <v>20348</v>
      </c>
      <c r="C406" s="1421" t="s">
        <v>20329</v>
      </c>
      <c r="D406" s="2378">
        <v>1.1399999999999999</v>
      </c>
      <c r="E406" s="2378">
        <v>1.4850000000000001</v>
      </c>
      <c r="F406" s="2378">
        <v>0.26331521739130431</v>
      </c>
      <c r="G406" s="2382">
        <v>0</v>
      </c>
      <c r="H406" s="2378">
        <v>1.2216847826086958</v>
      </c>
      <c r="I406" s="931"/>
      <c r="J406" s="2377" t="s">
        <v>20295</v>
      </c>
      <c r="K406" s="2377" t="s">
        <v>20295</v>
      </c>
      <c r="L406" s="1104">
        <v>57.242949227255899</v>
      </c>
      <c r="M406" s="1104">
        <v>33.090655910757498</v>
      </c>
      <c r="T406" s="1419"/>
    </row>
    <row r="407" spans="1:20" ht="15" customHeight="1" x14ac:dyDescent="0.25">
      <c r="A407" s="2381" t="s">
        <v>269</v>
      </c>
      <c r="B407" s="2377" t="s">
        <v>20304</v>
      </c>
      <c r="C407" s="1421" t="s">
        <v>20416</v>
      </c>
      <c r="D407" s="2378">
        <v>15.9</v>
      </c>
      <c r="E407" s="2378">
        <v>50.250000000000007</v>
      </c>
      <c r="F407" s="2378">
        <v>0</v>
      </c>
      <c r="G407" s="2382">
        <v>0</v>
      </c>
      <c r="H407" s="2378">
        <v>50.250000000000007</v>
      </c>
      <c r="I407" s="931"/>
      <c r="J407" s="2377" t="s">
        <v>20295</v>
      </c>
      <c r="K407" s="2377" t="s">
        <v>20295</v>
      </c>
      <c r="L407" s="1104">
        <v>57.022266394424797</v>
      </c>
      <c r="M407" s="1104">
        <v>35.013846333166498</v>
      </c>
      <c r="T407" s="1419"/>
    </row>
    <row r="408" spans="1:20" ht="15" customHeight="1" x14ac:dyDescent="0.25">
      <c r="A408" s="251" t="s">
        <v>270</v>
      </c>
      <c r="B408" s="2377" t="s">
        <v>20303</v>
      </c>
      <c r="C408" s="1421" t="s">
        <v>20336</v>
      </c>
      <c r="D408" s="2378">
        <v>6.2</v>
      </c>
      <c r="E408" s="2378">
        <v>4.3</v>
      </c>
      <c r="F408" s="2378">
        <v>1.3193478260869564</v>
      </c>
      <c r="G408" s="2382">
        <v>9.7499999999999989E-2</v>
      </c>
      <c r="H408" s="2378">
        <v>2.9806521739130432</v>
      </c>
      <c r="I408" s="931"/>
      <c r="J408" s="2377" t="s">
        <v>20295</v>
      </c>
      <c r="K408" s="2377" t="s">
        <v>20295</v>
      </c>
      <c r="L408" s="1104">
        <v>57.014514502104603</v>
      </c>
      <c r="M408" s="1104">
        <v>34.987797025961598</v>
      </c>
      <c r="T408" s="1419"/>
    </row>
    <row r="409" spans="1:20" ht="15" customHeight="1" x14ac:dyDescent="0.25">
      <c r="A409" s="2381" t="s">
        <v>271</v>
      </c>
      <c r="B409" s="2377" t="s">
        <v>20348</v>
      </c>
      <c r="C409" s="1421" t="s">
        <v>20334</v>
      </c>
      <c r="D409" s="2378">
        <v>0.4</v>
      </c>
      <c r="E409" s="2378">
        <v>25.85</v>
      </c>
      <c r="F409" s="2378">
        <v>0</v>
      </c>
      <c r="G409" s="2382">
        <v>0</v>
      </c>
      <c r="H409" s="2378">
        <v>25.85</v>
      </c>
      <c r="I409" s="931"/>
      <c r="J409" s="2377" t="s">
        <v>20295</v>
      </c>
      <c r="K409" s="2377" t="s">
        <v>20295</v>
      </c>
      <c r="L409" s="1104">
        <v>56.9466971165782</v>
      </c>
      <c r="M409" s="1104">
        <v>34.866265535717403</v>
      </c>
      <c r="T409" s="1419"/>
    </row>
    <row r="410" spans="1:20" ht="15" customHeight="1" x14ac:dyDescent="0.25">
      <c r="A410" s="2381" t="s">
        <v>272</v>
      </c>
      <c r="B410" s="2377" t="s">
        <v>20316</v>
      </c>
      <c r="C410" s="1421" t="s">
        <v>20329</v>
      </c>
      <c r="D410" s="2378">
        <v>0.56999999999999995</v>
      </c>
      <c r="E410" s="2378">
        <v>2.0550000000000002</v>
      </c>
      <c r="F410" s="2378">
        <v>0</v>
      </c>
      <c r="G410" s="2382">
        <v>0</v>
      </c>
      <c r="H410" s="2378">
        <v>2.0550000000000002</v>
      </c>
      <c r="I410" s="931"/>
      <c r="J410" s="2377" t="s">
        <v>20295</v>
      </c>
      <c r="K410" s="2377" t="s">
        <v>20295</v>
      </c>
      <c r="L410" s="1104">
        <v>57.0263069308048</v>
      </c>
      <c r="M410" s="1104">
        <v>34.638122713710501</v>
      </c>
      <c r="T410" s="1419"/>
    </row>
    <row r="411" spans="1:20" ht="15" customHeight="1" x14ac:dyDescent="0.25">
      <c r="A411" s="2381" t="s">
        <v>273</v>
      </c>
      <c r="B411" s="2377" t="s">
        <v>20320</v>
      </c>
      <c r="C411" s="1421" t="s">
        <v>20333</v>
      </c>
      <c r="D411" s="2378">
        <v>2.86</v>
      </c>
      <c r="E411" s="2378">
        <v>3.7550000000000003</v>
      </c>
      <c r="F411" s="2378">
        <v>0.76115217391304357</v>
      </c>
      <c r="G411" s="2382">
        <v>0</v>
      </c>
      <c r="H411" s="2378">
        <v>2.9938478260869568</v>
      </c>
      <c r="I411" s="931"/>
      <c r="J411" s="2377" t="s">
        <v>20295</v>
      </c>
      <c r="K411" s="2377" t="s">
        <v>20295</v>
      </c>
      <c r="L411" s="1104">
        <v>56.899474218355699</v>
      </c>
      <c r="M411" s="1104">
        <v>32.731618663198198</v>
      </c>
      <c r="T411" s="1419"/>
    </row>
    <row r="412" spans="1:20" ht="15" customHeight="1" x14ac:dyDescent="0.25">
      <c r="A412" s="2381" t="s">
        <v>274</v>
      </c>
      <c r="B412" s="2377" t="s">
        <v>20308</v>
      </c>
      <c r="C412" s="1421" t="s">
        <v>20365</v>
      </c>
      <c r="D412" s="2378">
        <v>19.41</v>
      </c>
      <c r="E412" s="2378">
        <v>27.67</v>
      </c>
      <c r="F412" s="2378">
        <v>2.2013516830294533</v>
      </c>
      <c r="G412" s="2382">
        <v>8.1250000000000003E-2</v>
      </c>
      <c r="H412" s="2378">
        <v>25.468648316970544</v>
      </c>
      <c r="I412" s="931"/>
      <c r="J412" s="2377" t="s">
        <v>20295</v>
      </c>
      <c r="K412" s="2377" t="s">
        <v>20295</v>
      </c>
      <c r="L412" s="1104">
        <v>57.074295205234499</v>
      </c>
      <c r="M412" s="1104">
        <v>35.000555290347997</v>
      </c>
      <c r="T412" s="1419"/>
    </row>
    <row r="413" spans="1:20" x14ac:dyDescent="0.25">
      <c r="A413" s="1091" t="s">
        <v>1768</v>
      </c>
      <c r="B413" s="2386"/>
      <c r="C413" s="2385"/>
      <c r="D413" s="2378">
        <v>6.58</v>
      </c>
      <c r="E413" s="2378">
        <v>0</v>
      </c>
      <c r="F413" s="2378"/>
      <c r="G413" s="2382">
        <v>0</v>
      </c>
      <c r="H413" s="2378">
        <v>0</v>
      </c>
      <c r="I413" s="2378"/>
      <c r="J413" s="2377" t="s">
        <v>20295</v>
      </c>
      <c r="K413" s="2377" t="s">
        <v>20295</v>
      </c>
      <c r="L413" s="1104">
        <v>57.074295205234499</v>
      </c>
      <c r="M413" s="1104">
        <v>35.000555290347997</v>
      </c>
    </row>
    <row r="414" spans="1:20" x14ac:dyDescent="0.25">
      <c r="A414" s="2381" t="s">
        <v>1767</v>
      </c>
      <c r="B414" s="2384"/>
      <c r="C414" s="2385"/>
      <c r="D414" s="2378">
        <v>12.83</v>
      </c>
      <c r="E414" s="2378">
        <v>0</v>
      </c>
      <c r="F414" s="2378"/>
      <c r="G414" s="2382">
        <v>8.1250000000000003E-2</v>
      </c>
      <c r="H414" s="2378">
        <v>8.1250000000000003E-2</v>
      </c>
      <c r="I414" s="2378"/>
      <c r="J414" s="2377" t="s">
        <v>20295</v>
      </c>
      <c r="K414" s="2377" t="s">
        <v>20295</v>
      </c>
      <c r="L414" s="1104">
        <v>57.074295205234499</v>
      </c>
      <c r="M414" s="1104">
        <v>35.000555290347997</v>
      </c>
    </row>
    <row r="415" spans="1:20" ht="15" customHeight="1" x14ac:dyDescent="0.25">
      <c r="A415" s="2381" t="s">
        <v>275</v>
      </c>
      <c r="B415" s="2377" t="s">
        <v>20300</v>
      </c>
      <c r="C415" s="1421" t="s">
        <v>20334</v>
      </c>
      <c r="D415" s="2378">
        <v>9.27</v>
      </c>
      <c r="E415" s="2378">
        <v>17.350000000000001</v>
      </c>
      <c r="F415" s="2378">
        <v>1.739782608695652</v>
      </c>
      <c r="G415" s="2382">
        <v>0.625</v>
      </c>
      <c r="H415" s="2378">
        <v>15.610217391304348</v>
      </c>
      <c r="I415" s="931"/>
      <c r="J415" s="2377" t="s">
        <v>20295</v>
      </c>
      <c r="K415" s="2377" t="s">
        <v>20295</v>
      </c>
      <c r="L415" s="1104">
        <v>57.0221461517501</v>
      </c>
      <c r="M415" s="1104">
        <v>34.952349550117397</v>
      </c>
      <c r="T415" s="1419"/>
    </row>
    <row r="416" spans="1:20" x14ac:dyDescent="0.25">
      <c r="A416" s="1091" t="s">
        <v>1768</v>
      </c>
      <c r="B416" s="2386"/>
      <c r="C416" s="2385"/>
      <c r="D416" s="2378">
        <v>0.37</v>
      </c>
      <c r="E416" s="2378">
        <v>0</v>
      </c>
      <c r="F416" s="2378"/>
      <c r="G416" s="2382">
        <v>0</v>
      </c>
      <c r="H416" s="2378">
        <v>0</v>
      </c>
      <c r="I416" s="2378"/>
      <c r="J416" s="2377" t="s">
        <v>20295</v>
      </c>
      <c r="K416" s="2377" t="s">
        <v>20295</v>
      </c>
      <c r="L416" s="1104">
        <v>57.0221461517501</v>
      </c>
      <c r="M416" s="1104">
        <v>34.952349550117397</v>
      </c>
    </row>
    <row r="417" spans="1:20" x14ac:dyDescent="0.25">
      <c r="A417" s="2381" t="s">
        <v>1767</v>
      </c>
      <c r="B417" s="2384"/>
      <c r="C417" s="2385"/>
      <c r="D417" s="2378">
        <v>8.9</v>
      </c>
      <c r="E417" s="2378">
        <v>0</v>
      </c>
      <c r="F417" s="2378"/>
      <c r="G417" s="2382">
        <v>0.625</v>
      </c>
      <c r="H417" s="2378">
        <v>0.625</v>
      </c>
      <c r="I417" s="2378"/>
      <c r="J417" s="2377" t="s">
        <v>20295</v>
      </c>
      <c r="K417" s="2377" t="s">
        <v>20295</v>
      </c>
      <c r="L417" s="1104">
        <v>57.0221461517501</v>
      </c>
      <c r="M417" s="1104">
        <v>34.952349550117397</v>
      </c>
    </row>
    <row r="418" spans="1:20" ht="15" customHeight="1" x14ac:dyDescent="0.25">
      <c r="A418" s="2381" t="s">
        <v>276</v>
      </c>
      <c r="B418" s="2377" t="s">
        <v>20417</v>
      </c>
      <c r="C418" s="1421" t="s">
        <v>20375</v>
      </c>
      <c r="D418" s="2378">
        <v>25.409999999999997</v>
      </c>
      <c r="E418" s="2378">
        <v>2.6900000000000048</v>
      </c>
      <c r="F418" s="2378">
        <v>14.67391304347826</v>
      </c>
      <c r="G418" s="2382">
        <v>0</v>
      </c>
      <c r="H418" s="2378">
        <v>0</v>
      </c>
      <c r="I418" s="931"/>
      <c r="J418" s="2377" t="s">
        <v>20295</v>
      </c>
      <c r="K418" s="2377" t="s">
        <v>3333</v>
      </c>
      <c r="L418" s="1104">
        <v>57.007873237507198</v>
      </c>
      <c r="M418" s="1104">
        <v>34.173895079503602</v>
      </c>
      <c r="T418" s="1419"/>
    </row>
    <row r="419" spans="1:20" x14ac:dyDescent="0.25">
      <c r="A419" s="1091" t="s">
        <v>1768</v>
      </c>
      <c r="B419" s="2386"/>
      <c r="C419" s="2385"/>
      <c r="D419" s="2378">
        <v>2.76</v>
      </c>
      <c r="E419" s="2378">
        <v>0</v>
      </c>
      <c r="F419" s="2378"/>
      <c r="G419" s="2382">
        <v>0</v>
      </c>
      <c r="H419" s="2378">
        <v>0</v>
      </c>
      <c r="I419" s="2378"/>
      <c r="J419" s="2377" t="s">
        <v>20295</v>
      </c>
      <c r="K419" s="2377" t="s">
        <v>20295</v>
      </c>
      <c r="L419" s="1104">
        <v>57.007873237507198</v>
      </c>
      <c r="M419" s="1104">
        <v>34.173895079503602</v>
      </c>
    </row>
    <row r="420" spans="1:20" x14ac:dyDescent="0.25">
      <c r="A420" s="2381" t="s">
        <v>1767</v>
      </c>
      <c r="B420" s="2384"/>
      <c r="C420" s="2385"/>
      <c r="D420" s="2378">
        <v>22.65</v>
      </c>
      <c r="E420" s="2378">
        <v>0</v>
      </c>
      <c r="F420" s="2378"/>
      <c r="G420" s="2382">
        <v>0</v>
      </c>
      <c r="H420" s="2378">
        <v>0</v>
      </c>
      <c r="I420" s="2378"/>
      <c r="J420" s="2377" t="s">
        <v>20295</v>
      </c>
      <c r="K420" s="2377" t="s">
        <v>20295</v>
      </c>
      <c r="L420" s="1104">
        <v>57.007873237507198</v>
      </c>
      <c r="M420" s="1104">
        <v>34.173895079503602</v>
      </c>
    </row>
    <row r="421" spans="1:20" ht="15" customHeight="1" x14ac:dyDescent="0.25">
      <c r="A421" s="2381" t="s">
        <v>277</v>
      </c>
      <c r="B421" s="2377" t="s">
        <v>20316</v>
      </c>
      <c r="C421" s="1421" t="s">
        <v>20383</v>
      </c>
      <c r="D421" s="2378">
        <v>6.54</v>
      </c>
      <c r="E421" s="2378">
        <v>3.96</v>
      </c>
      <c r="F421" s="2378">
        <v>0</v>
      </c>
      <c r="G421" s="2382">
        <v>0</v>
      </c>
      <c r="H421" s="2378">
        <v>3.96</v>
      </c>
      <c r="I421" s="931"/>
      <c r="J421" s="2377" t="s">
        <v>20295</v>
      </c>
      <c r="K421" s="2377" t="s">
        <v>20295</v>
      </c>
      <c r="L421" s="1104">
        <v>56.853146924655697</v>
      </c>
      <c r="M421" s="1104">
        <v>33.4977328072369</v>
      </c>
      <c r="T421" s="1419"/>
    </row>
    <row r="422" spans="1:20" x14ac:dyDescent="0.25">
      <c r="A422" s="1091" t="s">
        <v>1768</v>
      </c>
      <c r="B422" s="2386"/>
      <c r="C422" s="2385"/>
      <c r="D422" s="2378">
        <v>2</v>
      </c>
      <c r="E422" s="2378">
        <v>0</v>
      </c>
      <c r="F422" s="2378"/>
      <c r="G422" s="2382">
        <v>0</v>
      </c>
      <c r="H422" s="2378">
        <v>0</v>
      </c>
      <c r="I422" s="2378"/>
      <c r="J422" s="2377" t="s">
        <v>20295</v>
      </c>
      <c r="K422" s="2377" t="s">
        <v>20295</v>
      </c>
      <c r="L422" s="1104">
        <v>56.853146924655697</v>
      </c>
      <c r="M422" s="1104">
        <v>33.4977328072369</v>
      </c>
    </row>
    <row r="423" spans="1:20" x14ac:dyDescent="0.25">
      <c r="A423" s="2381" t="s">
        <v>1767</v>
      </c>
      <c r="B423" s="2384"/>
      <c r="C423" s="2385"/>
      <c r="D423" s="2378">
        <v>4.54</v>
      </c>
      <c r="E423" s="2378">
        <v>0</v>
      </c>
      <c r="F423" s="2378"/>
      <c r="G423" s="2382">
        <v>0</v>
      </c>
      <c r="H423" s="2378">
        <v>0</v>
      </c>
      <c r="I423" s="2378"/>
      <c r="J423" s="2377" t="s">
        <v>20295</v>
      </c>
      <c r="K423" s="2377" t="s">
        <v>20295</v>
      </c>
      <c r="L423" s="1104">
        <v>56.853146924655697</v>
      </c>
      <c r="M423" s="1104">
        <v>33.4977328072369</v>
      </c>
    </row>
    <row r="424" spans="1:20" ht="15" customHeight="1" x14ac:dyDescent="0.25">
      <c r="A424" s="2381" t="s">
        <v>278</v>
      </c>
      <c r="B424" s="2377" t="s">
        <v>20309</v>
      </c>
      <c r="C424" s="1421" t="s">
        <v>20334</v>
      </c>
      <c r="D424" s="2378">
        <v>0.99</v>
      </c>
      <c r="E424" s="2378">
        <v>25.65</v>
      </c>
      <c r="F424" s="2378">
        <v>0</v>
      </c>
      <c r="G424" s="2382">
        <v>0</v>
      </c>
      <c r="H424" s="2378">
        <v>25.65</v>
      </c>
      <c r="I424" s="931"/>
      <c r="J424" s="2377" t="s">
        <v>20295</v>
      </c>
      <c r="K424" s="2377" t="s">
        <v>20295</v>
      </c>
      <c r="L424" s="1104">
        <v>56.7828357560401</v>
      </c>
      <c r="M424" s="1104">
        <v>33.525905056328497</v>
      </c>
      <c r="T424" s="1419"/>
    </row>
    <row r="425" spans="1:20" x14ac:dyDescent="0.25">
      <c r="A425" s="1091" t="s">
        <v>1768</v>
      </c>
      <c r="B425" s="2386"/>
      <c r="C425" s="2385"/>
      <c r="D425" s="2378">
        <v>0.64</v>
      </c>
      <c r="E425" s="2378">
        <v>0</v>
      </c>
      <c r="F425" s="2378"/>
      <c r="G425" s="2382">
        <v>0</v>
      </c>
      <c r="H425" s="2378">
        <v>0</v>
      </c>
      <c r="I425" s="2378"/>
      <c r="J425" s="2377" t="s">
        <v>20295</v>
      </c>
      <c r="K425" s="2377" t="s">
        <v>20295</v>
      </c>
      <c r="L425" s="1104">
        <v>56.7828357560401</v>
      </c>
      <c r="M425" s="1104">
        <v>33.525905056328497</v>
      </c>
    </row>
    <row r="426" spans="1:20" x14ac:dyDescent="0.25">
      <c r="A426" s="2381" t="s">
        <v>1767</v>
      </c>
      <c r="B426" s="2384"/>
      <c r="C426" s="2385"/>
      <c r="D426" s="2378">
        <v>0.35</v>
      </c>
      <c r="E426" s="2378">
        <v>0</v>
      </c>
      <c r="F426" s="2378"/>
      <c r="G426" s="2382">
        <v>0</v>
      </c>
      <c r="H426" s="2378">
        <v>0</v>
      </c>
      <c r="I426" s="2378"/>
      <c r="J426" s="2377" t="s">
        <v>20295</v>
      </c>
      <c r="K426" s="2377" t="s">
        <v>20295</v>
      </c>
      <c r="L426" s="1104">
        <v>56.7828357560401</v>
      </c>
      <c r="M426" s="1104">
        <v>33.525905056328497</v>
      </c>
    </row>
    <row r="427" spans="1:20" ht="15" customHeight="1" x14ac:dyDescent="0.25">
      <c r="A427" s="2381" t="s">
        <v>279</v>
      </c>
      <c r="B427" s="2377" t="s">
        <v>20302</v>
      </c>
      <c r="C427" s="1421" t="s">
        <v>20334</v>
      </c>
      <c r="D427" s="2378">
        <v>14.41</v>
      </c>
      <c r="E427" s="2378">
        <v>11.84</v>
      </c>
      <c r="F427" s="2378">
        <v>0.61548913043478259</v>
      </c>
      <c r="G427" s="2382">
        <v>0</v>
      </c>
      <c r="H427" s="2378">
        <v>11.224510869565217</v>
      </c>
      <c r="I427" s="931"/>
      <c r="J427" s="2377" t="s">
        <v>20295</v>
      </c>
      <c r="K427" s="2377" t="s">
        <v>20295</v>
      </c>
      <c r="L427" s="1104">
        <v>57.137287048507098</v>
      </c>
      <c r="M427" s="1104">
        <v>33.1036333908744</v>
      </c>
      <c r="T427" s="1419"/>
    </row>
    <row r="428" spans="1:20" ht="20.100000000000001" customHeight="1" x14ac:dyDescent="0.25">
      <c r="A428" s="1091" t="s">
        <v>1768</v>
      </c>
      <c r="B428" s="2386"/>
      <c r="C428" s="2385"/>
      <c r="D428" s="2378">
        <v>1.49</v>
      </c>
      <c r="E428" s="2378">
        <v>0</v>
      </c>
      <c r="F428" s="2378"/>
      <c r="G428" s="2382">
        <v>0</v>
      </c>
      <c r="H428" s="2378">
        <v>0</v>
      </c>
      <c r="I428" s="2378"/>
      <c r="J428" s="2377" t="s">
        <v>20295</v>
      </c>
      <c r="K428" s="2377" t="s">
        <v>20295</v>
      </c>
      <c r="L428" s="1104">
        <v>57.137287048507098</v>
      </c>
      <c r="M428" s="1104">
        <v>33.1036333908744</v>
      </c>
    </row>
    <row r="429" spans="1:20" ht="20.100000000000001" customHeight="1" x14ac:dyDescent="0.25">
      <c r="A429" s="2381" t="s">
        <v>1767</v>
      </c>
      <c r="B429" s="2384"/>
      <c r="C429" s="2385"/>
      <c r="D429" s="2378">
        <v>12.92</v>
      </c>
      <c r="E429" s="2378">
        <v>0</v>
      </c>
      <c r="F429" s="2378"/>
      <c r="G429" s="2382">
        <v>0</v>
      </c>
      <c r="H429" s="2378">
        <v>0</v>
      </c>
      <c r="I429" s="2378"/>
      <c r="J429" s="2377" t="s">
        <v>20295</v>
      </c>
      <c r="K429" s="2377" t="s">
        <v>20295</v>
      </c>
      <c r="L429" s="1104">
        <v>57.137287048507098</v>
      </c>
      <c r="M429" s="1104">
        <v>33.1036333908744</v>
      </c>
    </row>
    <row r="430" spans="1:20" ht="15" customHeight="1" x14ac:dyDescent="0.25">
      <c r="A430" s="2381" t="s">
        <v>280</v>
      </c>
      <c r="B430" s="2377" t="s">
        <v>20320</v>
      </c>
      <c r="C430" s="1421" t="s">
        <v>20336</v>
      </c>
      <c r="D430" s="2378">
        <v>6.5</v>
      </c>
      <c r="E430" s="2378">
        <v>4</v>
      </c>
      <c r="F430" s="2378">
        <v>0.3681521739130435</v>
      </c>
      <c r="G430" s="2382">
        <v>0</v>
      </c>
      <c r="H430" s="2378">
        <v>3.6318478260869567</v>
      </c>
      <c r="I430" s="931"/>
      <c r="J430" s="2377" t="s">
        <v>20295</v>
      </c>
      <c r="K430" s="2377" t="s">
        <v>20295</v>
      </c>
      <c r="L430" s="1104">
        <v>57.193513743186898</v>
      </c>
      <c r="M430" s="1104">
        <v>33.014034325895501</v>
      </c>
      <c r="T430" s="1419"/>
    </row>
    <row r="431" spans="1:20" x14ac:dyDescent="0.25">
      <c r="A431" s="1091" t="s">
        <v>1768</v>
      </c>
      <c r="B431" s="2386"/>
      <c r="C431" s="2385"/>
      <c r="D431" s="2378">
        <v>3.6</v>
      </c>
      <c r="E431" s="2378">
        <v>0</v>
      </c>
      <c r="F431" s="2378"/>
      <c r="G431" s="2382">
        <v>0</v>
      </c>
      <c r="H431" s="2378">
        <v>0</v>
      </c>
      <c r="I431" s="2378"/>
      <c r="J431" s="2377" t="s">
        <v>20295</v>
      </c>
      <c r="K431" s="2377" t="s">
        <v>20295</v>
      </c>
      <c r="L431" s="1104">
        <v>57.193513743186898</v>
      </c>
      <c r="M431" s="1104">
        <v>33.014034325895501</v>
      </c>
    </row>
    <row r="432" spans="1:20" x14ac:dyDescent="0.25">
      <c r="A432" s="2381" t="s">
        <v>1767</v>
      </c>
      <c r="B432" s="2384"/>
      <c r="C432" s="2385"/>
      <c r="D432" s="2378">
        <v>2.9</v>
      </c>
      <c r="E432" s="2378">
        <v>0</v>
      </c>
      <c r="F432" s="2378"/>
      <c r="G432" s="2379">
        <v>0</v>
      </c>
      <c r="H432" s="2378">
        <v>0</v>
      </c>
      <c r="I432" s="2378"/>
      <c r="J432" s="2377" t="s">
        <v>20295</v>
      </c>
      <c r="K432" s="2377" t="s">
        <v>20295</v>
      </c>
      <c r="L432" s="1104">
        <v>57.193513743186898</v>
      </c>
      <c r="M432" s="1104">
        <v>33.014034325895501</v>
      </c>
    </row>
    <row r="433" spans="1:13" s="232" customFormat="1" x14ac:dyDescent="0.25">
      <c r="A433" s="908"/>
      <c r="B433" s="1420"/>
      <c r="C433" s="908"/>
      <c r="D433" s="908"/>
      <c r="E433" s="908"/>
      <c r="F433" s="908"/>
      <c r="G433" s="908"/>
      <c r="H433" s="908"/>
      <c r="I433" s="908"/>
      <c r="J433" s="908"/>
      <c r="K433" s="908"/>
      <c r="L433" s="2396"/>
      <c r="M433" s="2396"/>
    </row>
    <row r="434" spans="1:13" s="232" customFormat="1" ht="57.75" customHeight="1" x14ac:dyDescent="0.25">
      <c r="A434" s="2489" t="s">
        <v>20418</v>
      </c>
      <c r="B434" s="2490"/>
      <c r="C434" s="2490"/>
      <c r="D434" s="2490"/>
      <c r="E434" s="2490"/>
      <c r="F434" s="2490"/>
      <c r="G434" s="2490"/>
      <c r="H434" s="2490"/>
      <c r="I434" s="2490"/>
      <c r="J434" s="2490"/>
      <c r="K434" s="2490"/>
      <c r="L434" s="2396"/>
      <c r="M434" s="2396"/>
    </row>
    <row r="435" spans="1:13" s="232" customFormat="1" x14ac:dyDescent="0.25">
      <c r="A435" s="908"/>
      <c r="B435" s="1420"/>
      <c r="C435" s="908"/>
      <c r="D435" s="908"/>
      <c r="E435" s="908"/>
      <c r="F435" s="908"/>
      <c r="G435" s="908"/>
      <c r="H435" s="908"/>
      <c r="I435" s="908"/>
      <c r="J435" s="2396"/>
      <c r="K435" s="2396"/>
      <c r="L435" s="2396"/>
      <c r="M435" s="2396"/>
    </row>
    <row r="436" spans="1:13" s="232" customFormat="1" x14ac:dyDescent="0.25">
      <c r="A436" s="908"/>
      <c r="B436" s="1420"/>
      <c r="C436" s="908"/>
      <c r="D436" s="908"/>
      <c r="E436" s="908"/>
      <c r="F436" s="908"/>
      <c r="G436" s="908"/>
      <c r="H436" s="908"/>
      <c r="I436" s="908"/>
      <c r="J436" s="908"/>
      <c r="K436" s="908"/>
      <c r="L436" s="2396"/>
      <c r="M436" s="2396"/>
    </row>
    <row r="437" spans="1:13" s="232" customFormat="1" x14ac:dyDescent="0.25">
      <c r="A437" s="908"/>
      <c r="B437" s="1420"/>
      <c r="C437" s="908"/>
      <c r="D437" s="908"/>
      <c r="E437" s="908"/>
      <c r="F437" s="908"/>
      <c r="G437" s="908"/>
      <c r="H437" s="908"/>
      <c r="I437" s="908"/>
      <c r="J437" s="908"/>
      <c r="K437" s="908"/>
      <c r="L437" s="2396"/>
      <c r="M437" s="2396"/>
    </row>
    <row r="438" spans="1:13" s="232" customFormat="1" x14ac:dyDescent="0.25">
      <c r="A438" s="908"/>
      <c r="B438" s="1420"/>
      <c r="C438" s="908"/>
      <c r="D438" s="908"/>
      <c r="E438" s="908"/>
      <c r="F438" s="908"/>
      <c r="G438" s="908"/>
      <c r="H438" s="908"/>
      <c r="I438" s="908"/>
      <c r="J438" s="908"/>
      <c r="K438" s="908"/>
      <c r="L438" s="2396"/>
      <c r="M438" s="2396"/>
    </row>
    <row r="439" spans="1:13" s="232" customFormat="1" x14ac:dyDescent="0.25">
      <c r="A439" s="908"/>
      <c r="B439" s="1420"/>
      <c r="C439" s="908"/>
      <c r="D439" s="908"/>
      <c r="E439" s="908"/>
      <c r="F439" s="908"/>
      <c r="G439" s="908"/>
      <c r="H439" s="908"/>
      <c r="I439" s="908"/>
      <c r="J439" s="908"/>
      <c r="K439" s="908"/>
      <c r="L439" s="2396"/>
      <c r="M439" s="2396"/>
    </row>
    <row r="440" spans="1:13" s="232" customFormat="1" x14ac:dyDescent="0.25">
      <c r="A440" s="908"/>
      <c r="B440" s="1420"/>
      <c r="C440" s="908"/>
      <c r="D440" s="908"/>
      <c r="E440" s="908"/>
      <c r="F440" s="908"/>
      <c r="G440" s="908"/>
      <c r="H440" s="908"/>
      <c r="I440" s="908"/>
      <c r="J440" s="908"/>
      <c r="K440" s="908"/>
      <c r="L440" s="2396"/>
      <c r="M440" s="2396"/>
    </row>
    <row r="441" spans="1:13" s="232" customFormat="1" x14ac:dyDescent="0.25">
      <c r="A441" s="908"/>
      <c r="B441" s="1420"/>
      <c r="C441" s="908"/>
      <c r="D441" s="908"/>
      <c r="E441" s="908"/>
      <c r="F441" s="908"/>
      <c r="G441" s="908"/>
      <c r="H441" s="908"/>
      <c r="I441" s="908"/>
      <c r="J441" s="908"/>
      <c r="K441" s="908"/>
      <c r="L441" s="2396"/>
      <c r="M441" s="2396"/>
    </row>
    <row r="442" spans="1:13" s="232" customFormat="1" x14ac:dyDescent="0.25">
      <c r="A442" s="908"/>
      <c r="B442" s="1420"/>
      <c r="C442" s="908"/>
      <c r="D442" s="908"/>
      <c r="E442" s="908"/>
      <c r="F442" s="908"/>
      <c r="G442" s="908"/>
      <c r="H442" s="908"/>
      <c r="I442" s="908"/>
      <c r="J442" s="908"/>
      <c r="K442" s="908"/>
      <c r="L442" s="2396"/>
      <c r="M442" s="2396"/>
    </row>
    <row r="443" spans="1:13" s="232" customFormat="1" x14ac:dyDescent="0.25">
      <c r="A443" s="908"/>
      <c r="B443" s="1420"/>
      <c r="C443" s="908"/>
      <c r="D443" s="908"/>
      <c r="E443" s="908"/>
      <c r="F443" s="908"/>
      <c r="G443" s="908"/>
      <c r="H443" s="908"/>
      <c r="I443" s="908"/>
      <c r="J443" s="908"/>
      <c r="K443" s="908"/>
      <c r="L443" s="2396"/>
      <c r="M443" s="2396"/>
    </row>
    <row r="444" spans="1:13" s="232" customFormat="1" x14ac:dyDescent="0.25">
      <c r="A444" s="908"/>
      <c r="B444" s="1420"/>
      <c r="C444" s="908"/>
      <c r="D444" s="908"/>
      <c r="E444" s="908"/>
      <c r="F444" s="908"/>
      <c r="G444" s="908"/>
      <c r="H444" s="908"/>
      <c r="I444" s="908"/>
      <c r="J444" s="908"/>
      <c r="K444" s="908"/>
      <c r="L444" s="2396"/>
      <c r="M444" s="2396"/>
    </row>
    <row r="445" spans="1:13" s="232" customFormat="1" x14ac:dyDescent="0.25">
      <c r="A445" s="908"/>
      <c r="B445" s="1420"/>
      <c r="C445" s="908"/>
      <c r="D445" s="908"/>
      <c r="E445" s="908"/>
      <c r="F445" s="908"/>
      <c r="G445" s="908"/>
      <c r="H445" s="908"/>
      <c r="I445" s="908"/>
      <c r="J445" s="908"/>
      <c r="K445" s="908"/>
      <c r="L445" s="2396"/>
      <c r="M445" s="2396"/>
    </row>
    <row r="446" spans="1:13" s="232" customFormat="1" x14ac:dyDescent="0.25">
      <c r="A446" s="908"/>
      <c r="B446" s="1420"/>
      <c r="C446" s="908"/>
      <c r="D446" s="908"/>
      <c r="E446" s="908"/>
      <c r="F446" s="908"/>
      <c r="G446" s="908"/>
      <c r="H446" s="908"/>
      <c r="I446" s="908"/>
      <c r="J446" s="908"/>
      <c r="K446" s="908"/>
      <c r="L446" s="2396"/>
      <c r="M446" s="2396"/>
    </row>
    <row r="447" spans="1:13" s="232" customFormat="1" x14ac:dyDescent="0.25">
      <c r="A447" s="908"/>
      <c r="B447" s="1420"/>
      <c r="C447" s="908"/>
      <c r="D447" s="908"/>
      <c r="E447" s="908"/>
      <c r="F447" s="908"/>
      <c r="G447" s="908"/>
      <c r="H447" s="908"/>
      <c r="I447" s="908"/>
      <c r="J447" s="908"/>
      <c r="K447" s="908"/>
      <c r="L447" s="2396"/>
      <c r="M447" s="2396"/>
    </row>
    <row r="448" spans="1:13" s="232" customFormat="1" x14ac:dyDescent="0.25">
      <c r="A448" s="908"/>
      <c r="B448" s="1420"/>
      <c r="C448" s="908"/>
      <c r="D448" s="908"/>
      <c r="E448" s="908"/>
      <c r="F448" s="908"/>
      <c r="G448" s="908"/>
      <c r="H448" s="908"/>
      <c r="I448" s="908"/>
      <c r="J448" s="908"/>
      <c r="K448" s="908"/>
      <c r="L448" s="2396"/>
      <c r="M448" s="2396"/>
    </row>
  </sheetData>
  <mergeCells count="1">
    <mergeCell ref="A434:K434"/>
  </mergeCells>
  <conditionalFormatting sqref="G6:G432">
    <cfRule type="expression" dxfId="50" priority="2" stopIfTrue="1">
      <formula>$AJ6="закрыт"</formula>
    </cfRule>
  </conditionalFormatting>
  <conditionalFormatting sqref="G6:G432">
    <cfRule type="expression" dxfId="49" priority="1" stopIfTrue="1">
      <formula>$AJ6="закрыт"</formula>
    </cfRule>
  </conditionalFormatting>
  <conditionalFormatting sqref="A6:B432">
    <cfRule type="expression" dxfId="48" priority="17" stopIfTrue="1">
      <formula>$AN6="ЦП Закрыт"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G10121"/>
  <sheetViews>
    <sheetView zoomScale="70" zoomScaleNormal="70" workbookViewId="0">
      <pane xSplit="6" ySplit="2" topLeftCell="G10087" activePane="bottomRight" state="frozen"/>
      <selection pane="topRight" activeCell="H1" sqref="H1"/>
      <selection pane="bottomLeft" activeCell="A3" sqref="A3"/>
      <selection pane="bottomRight" activeCell="A10121" sqref="A10121"/>
    </sheetView>
  </sheetViews>
  <sheetFormatPr defaultRowHeight="15" x14ac:dyDescent="0.25"/>
  <cols>
    <col min="1" max="2" width="17.42578125" style="233" customWidth="1"/>
    <col min="3" max="3" width="16.140625" style="233" customWidth="1"/>
    <col min="4" max="4" width="34" style="233" customWidth="1"/>
    <col min="5" max="5" width="13.42578125" style="2369" customWidth="1"/>
    <col min="6" max="6" width="37.140625" style="2369" customWidth="1"/>
    <col min="7" max="16384" width="9.140625" style="233"/>
  </cols>
  <sheetData>
    <row r="1" spans="1:7" ht="48" customHeight="1" x14ac:dyDescent="0.25">
      <c r="A1" s="2491" t="s">
        <v>20291</v>
      </c>
      <c r="B1" s="2491"/>
      <c r="C1" s="2491"/>
      <c r="D1" s="2491"/>
      <c r="E1" s="2491"/>
      <c r="F1" s="2491"/>
    </row>
    <row r="2" spans="1:7" ht="69" customHeight="1" x14ac:dyDescent="0.25">
      <c r="A2" s="2351" t="s">
        <v>3655</v>
      </c>
      <c r="B2" s="2351" t="s">
        <v>3656</v>
      </c>
      <c r="C2" s="2351" t="s">
        <v>3657</v>
      </c>
      <c r="D2" s="2351" t="s">
        <v>3658</v>
      </c>
      <c r="E2" s="2351" t="s">
        <v>3659</v>
      </c>
      <c r="F2" s="2351" t="s">
        <v>3660</v>
      </c>
    </row>
    <row r="3" spans="1:7" x14ac:dyDescent="0.25">
      <c r="A3" s="2352" t="s">
        <v>14404</v>
      </c>
      <c r="B3" s="2352" t="s">
        <v>8850</v>
      </c>
      <c r="C3" s="2352" t="s">
        <v>8850</v>
      </c>
      <c r="D3" s="2352" t="s">
        <v>8851</v>
      </c>
      <c r="E3" s="355">
        <v>160</v>
      </c>
      <c r="F3" s="355">
        <v>75</v>
      </c>
      <c r="G3" s="903"/>
    </row>
    <row r="4" spans="1:7" x14ac:dyDescent="0.25">
      <c r="A4" s="2352" t="s">
        <v>14404</v>
      </c>
      <c r="B4" s="2352" t="s">
        <v>8850</v>
      </c>
      <c r="C4" s="2352" t="s">
        <v>8850</v>
      </c>
      <c r="D4" s="2352" t="s">
        <v>8852</v>
      </c>
      <c r="E4" s="355">
        <v>250</v>
      </c>
      <c r="F4" s="1662">
        <v>122</v>
      </c>
      <c r="G4" s="903"/>
    </row>
    <row r="5" spans="1:7" x14ac:dyDescent="0.25">
      <c r="A5" s="2352" t="s">
        <v>14404</v>
      </c>
      <c r="B5" s="2352" t="s">
        <v>8850</v>
      </c>
      <c r="C5" s="2352" t="s">
        <v>8850</v>
      </c>
      <c r="D5" s="2352" t="s">
        <v>8853</v>
      </c>
      <c r="E5" s="355">
        <v>60</v>
      </c>
      <c r="F5" s="1662">
        <v>21</v>
      </c>
      <c r="G5" s="903"/>
    </row>
    <row r="6" spans="1:7" x14ac:dyDescent="0.25">
      <c r="A6" s="2352" t="s">
        <v>9621</v>
      </c>
      <c r="B6" s="2352" t="s">
        <v>8850</v>
      </c>
      <c r="C6" s="2352" t="s">
        <v>8850</v>
      </c>
      <c r="D6" s="2352" t="s">
        <v>8854</v>
      </c>
      <c r="E6" s="355">
        <v>40</v>
      </c>
      <c r="F6" s="1662">
        <v>25</v>
      </c>
      <c r="G6" s="903"/>
    </row>
    <row r="7" spans="1:7" x14ac:dyDescent="0.25">
      <c r="A7" s="2352" t="s">
        <v>10644</v>
      </c>
      <c r="B7" s="2352" t="s">
        <v>8850</v>
      </c>
      <c r="C7" s="2352" t="s">
        <v>8850</v>
      </c>
      <c r="D7" s="2352" t="s">
        <v>8855</v>
      </c>
      <c r="E7" s="355">
        <v>10</v>
      </c>
      <c r="F7" s="1662">
        <v>8</v>
      </c>
      <c r="G7" s="903"/>
    </row>
    <row r="8" spans="1:7" x14ac:dyDescent="0.25">
      <c r="A8" s="2352" t="s">
        <v>14404</v>
      </c>
      <c r="B8" s="2352" t="s">
        <v>8850</v>
      </c>
      <c r="C8" s="2352" t="s">
        <v>8850</v>
      </c>
      <c r="D8" s="2352" t="s">
        <v>8856</v>
      </c>
      <c r="E8" s="355">
        <v>250</v>
      </c>
      <c r="F8" s="1662">
        <v>125</v>
      </c>
      <c r="G8" s="903"/>
    </row>
    <row r="9" spans="1:7" x14ac:dyDescent="0.25">
      <c r="A9" s="2352" t="s">
        <v>14404</v>
      </c>
      <c r="B9" s="2352" t="s">
        <v>8850</v>
      </c>
      <c r="C9" s="2352" t="s">
        <v>8850</v>
      </c>
      <c r="D9" s="2352" t="s">
        <v>8857</v>
      </c>
      <c r="E9" s="355">
        <v>250</v>
      </c>
      <c r="F9" s="1662">
        <v>110</v>
      </c>
      <c r="G9" s="903"/>
    </row>
    <row r="10" spans="1:7" x14ac:dyDescent="0.25">
      <c r="A10" s="2352" t="s">
        <v>8859</v>
      </c>
      <c r="B10" s="2352" t="s">
        <v>8850</v>
      </c>
      <c r="C10" s="2352" t="s">
        <v>8850</v>
      </c>
      <c r="D10" s="2352" t="s">
        <v>8858</v>
      </c>
      <c r="E10" s="355">
        <v>160</v>
      </c>
      <c r="F10" s="1662">
        <v>70</v>
      </c>
      <c r="G10" s="903"/>
    </row>
    <row r="11" spans="1:7" x14ac:dyDescent="0.25">
      <c r="A11" s="2352" t="s">
        <v>8859</v>
      </c>
      <c r="B11" s="2352" t="s">
        <v>8850</v>
      </c>
      <c r="C11" s="2352" t="s">
        <v>8850</v>
      </c>
      <c r="D11" s="2352" t="s">
        <v>8860</v>
      </c>
      <c r="E11" s="355">
        <v>100</v>
      </c>
      <c r="F11" s="1662">
        <v>45</v>
      </c>
      <c r="G11" s="903"/>
    </row>
    <row r="12" spans="1:7" x14ac:dyDescent="0.25">
      <c r="A12" s="2352" t="s">
        <v>14405</v>
      </c>
      <c r="B12" s="2352" t="s">
        <v>8850</v>
      </c>
      <c r="C12" s="2352" t="s">
        <v>8850</v>
      </c>
      <c r="D12" s="2352" t="s">
        <v>8861</v>
      </c>
      <c r="E12" s="355">
        <v>100</v>
      </c>
      <c r="F12" s="1662">
        <v>50</v>
      </c>
      <c r="G12" s="903"/>
    </row>
    <row r="13" spans="1:7" x14ac:dyDescent="0.25">
      <c r="A13" s="2352" t="s">
        <v>14405</v>
      </c>
      <c r="B13" s="2352" t="s">
        <v>8850</v>
      </c>
      <c r="C13" s="2352" t="s">
        <v>8850</v>
      </c>
      <c r="D13" s="2352" t="s">
        <v>8862</v>
      </c>
      <c r="E13" s="355">
        <v>100</v>
      </c>
      <c r="F13" s="1662">
        <v>43</v>
      </c>
      <c r="G13" s="903"/>
    </row>
    <row r="14" spans="1:7" x14ac:dyDescent="0.25">
      <c r="A14" s="2352" t="s">
        <v>14405</v>
      </c>
      <c r="B14" s="2352" t="s">
        <v>8850</v>
      </c>
      <c r="C14" s="2352" t="s">
        <v>8850</v>
      </c>
      <c r="D14" s="2352" t="s">
        <v>8863</v>
      </c>
      <c r="E14" s="355">
        <v>100</v>
      </c>
      <c r="F14" s="1662">
        <v>40</v>
      </c>
      <c r="G14" s="903"/>
    </row>
    <row r="15" spans="1:7" x14ac:dyDescent="0.25">
      <c r="A15" s="2352" t="s">
        <v>14405</v>
      </c>
      <c r="B15" s="2352" t="s">
        <v>8850</v>
      </c>
      <c r="C15" s="2352" t="s">
        <v>8850</v>
      </c>
      <c r="D15" s="2352" t="s">
        <v>8864</v>
      </c>
      <c r="E15" s="355">
        <v>250</v>
      </c>
      <c r="F15" s="1662">
        <v>118</v>
      </c>
      <c r="G15" s="903"/>
    </row>
    <row r="16" spans="1:7" x14ac:dyDescent="0.25">
      <c r="A16" s="2352" t="s">
        <v>6415</v>
      </c>
      <c r="B16" s="2352" t="s">
        <v>8850</v>
      </c>
      <c r="C16" s="2352" t="s">
        <v>8850</v>
      </c>
      <c r="D16" s="2352" t="s">
        <v>8865</v>
      </c>
      <c r="E16" s="355">
        <v>30</v>
      </c>
      <c r="F16" s="1662">
        <v>25</v>
      </c>
      <c r="G16" s="903"/>
    </row>
    <row r="17" spans="1:7" x14ac:dyDescent="0.25">
      <c r="A17" s="2352" t="s">
        <v>14197</v>
      </c>
      <c r="B17" s="2352" t="s">
        <v>8850</v>
      </c>
      <c r="C17" s="2352" t="s">
        <v>8850</v>
      </c>
      <c r="D17" s="2352" t="s">
        <v>8866</v>
      </c>
      <c r="E17" s="355">
        <v>63</v>
      </c>
      <c r="F17" s="1662">
        <v>25</v>
      </c>
      <c r="G17" s="903"/>
    </row>
    <row r="18" spans="1:7" x14ac:dyDescent="0.25">
      <c r="A18" s="2352" t="s">
        <v>14406</v>
      </c>
      <c r="B18" s="2352" t="s">
        <v>8850</v>
      </c>
      <c r="C18" s="2352" t="s">
        <v>8850</v>
      </c>
      <c r="D18" s="2352" t="s">
        <v>8867</v>
      </c>
      <c r="E18" s="355">
        <v>63</v>
      </c>
      <c r="F18" s="1662">
        <v>28</v>
      </c>
      <c r="G18" s="903"/>
    </row>
    <row r="19" spans="1:7" x14ac:dyDescent="0.25">
      <c r="A19" s="2352" t="s">
        <v>14407</v>
      </c>
      <c r="B19" s="2352" t="s">
        <v>8850</v>
      </c>
      <c r="C19" s="2352" t="s">
        <v>8850</v>
      </c>
      <c r="D19" s="2352" t="s">
        <v>8868</v>
      </c>
      <c r="E19" s="355">
        <v>30</v>
      </c>
      <c r="F19" s="1662">
        <v>25</v>
      </c>
      <c r="G19" s="903"/>
    </row>
    <row r="20" spans="1:7" x14ac:dyDescent="0.25">
      <c r="A20" s="2352" t="s">
        <v>14408</v>
      </c>
      <c r="B20" s="2352" t="s">
        <v>8850</v>
      </c>
      <c r="C20" s="2352" t="s">
        <v>8850</v>
      </c>
      <c r="D20" s="2352" t="s">
        <v>8869</v>
      </c>
      <c r="E20" s="355">
        <v>40</v>
      </c>
      <c r="F20" s="1662">
        <v>0</v>
      </c>
      <c r="G20" s="903"/>
    </row>
    <row r="21" spans="1:7" ht="15" customHeight="1" x14ac:dyDescent="0.25">
      <c r="A21" s="2352" t="s">
        <v>14404</v>
      </c>
      <c r="B21" s="2352" t="s">
        <v>8850</v>
      </c>
      <c r="C21" s="2352" t="s">
        <v>8850</v>
      </c>
      <c r="D21" s="2352" t="s">
        <v>8870</v>
      </c>
      <c r="E21" s="355">
        <v>60</v>
      </c>
      <c r="F21" s="1662">
        <v>20</v>
      </c>
      <c r="G21" s="903"/>
    </row>
    <row r="22" spans="1:7" x14ac:dyDescent="0.25">
      <c r="A22" s="2352" t="s">
        <v>14404</v>
      </c>
      <c r="B22" s="2352" t="s">
        <v>8850</v>
      </c>
      <c r="C22" s="2352" t="s">
        <v>8850</v>
      </c>
      <c r="D22" s="2352" t="s">
        <v>8871</v>
      </c>
      <c r="E22" s="355">
        <v>160</v>
      </c>
      <c r="F22" s="1662">
        <v>68</v>
      </c>
      <c r="G22" s="903"/>
    </row>
    <row r="23" spans="1:7" x14ac:dyDescent="0.25">
      <c r="A23" s="2352" t="s">
        <v>14404</v>
      </c>
      <c r="B23" s="2352" t="s">
        <v>8850</v>
      </c>
      <c r="C23" s="2352" t="s">
        <v>8850</v>
      </c>
      <c r="D23" s="2352" t="s">
        <v>8872</v>
      </c>
      <c r="E23" s="355">
        <v>63</v>
      </c>
      <c r="F23" s="1662">
        <v>22</v>
      </c>
      <c r="G23" s="903"/>
    </row>
    <row r="24" spans="1:7" x14ac:dyDescent="0.25">
      <c r="A24" s="2352" t="s">
        <v>14404</v>
      </c>
      <c r="B24" s="2352" t="s">
        <v>8850</v>
      </c>
      <c r="C24" s="2352" t="s">
        <v>8850</v>
      </c>
      <c r="D24" s="2352" t="s">
        <v>8873</v>
      </c>
      <c r="E24" s="355">
        <v>100</v>
      </c>
      <c r="F24" s="1662">
        <v>46</v>
      </c>
      <c r="G24" s="903"/>
    </row>
    <row r="25" spans="1:7" x14ac:dyDescent="0.25">
      <c r="A25" s="2352" t="s">
        <v>14404</v>
      </c>
      <c r="B25" s="2352" t="s">
        <v>8850</v>
      </c>
      <c r="C25" s="2352" t="s">
        <v>8850</v>
      </c>
      <c r="D25" s="2352" t="s">
        <v>8874</v>
      </c>
      <c r="E25" s="355">
        <v>160</v>
      </c>
      <c r="F25" s="1662">
        <v>116</v>
      </c>
      <c r="G25" s="903"/>
    </row>
    <row r="26" spans="1:7" x14ac:dyDescent="0.25">
      <c r="A26" s="2352" t="s">
        <v>9460</v>
      </c>
      <c r="B26" s="2352" t="s">
        <v>8850</v>
      </c>
      <c r="C26" s="2352" t="s">
        <v>8850</v>
      </c>
      <c r="D26" s="2352" t="s">
        <v>8875</v>
      </c>
      <c r="E26" s="355">
        <v>100</v>
      </c>
      <c r="F26" s="1662">
        <v>50</v>
      </c>
      <c r="G26" s="903"/>
    </row>
    <row r="27" spans="1:7" x14ac:dyDescent="0.25">
      <c r="A27" s="2352" t="s">
        <v>9460</v>
      </c>
      <c r="B27" s="2352" t="s">
        <v>8850</v>
      </c>
      <c r="C27" s="2352" t="s">
        <v>8850</v>
      </c>
      <c r="D27" s="2352" t="s">
        <v>8876</v>
      </c>
      <c r="E27" s="355">
        <v>100</v>
      </c>
      <c r="F27" s="1662">
        <v>45</v>
      </c>
      <c r="G27" s="903"/>
    </row>
    <row r="28" spans="1:7" x14ac:dyDescent="0.25">
      <c r="A28" s="2352" t="s">
        <v>11697</v>
      </c>
      <c r="B28" s="2352" t="s">
        <v>8850</v>
      </c>
      <c r="C28" s="2352" t="s">
        <v>8850</v>
      </c>
      <c r="D28" s="2352" t="s">
        <v>8877</v>
      </c>
      <c r="E28" s="355">
        <v>63</v>
      </c>
      <c r="F28" s="1662">
        <v>29</v>
      </c>
      <c r="G28" s="903"/>
    </row>
    <row r="29" spans="1:7" x14ac:dyDescent="0.25">
      <c r="A29" s="2352" t="s">
        <v>14409</v>
      </c>
      <c r="B29" s="2352" t="s">
        <v>8850</v>
      </c>
      <c r="C29" s="2352" t="s">
        <v>8850</v>
      </c>
      <c r="D29" s="2352" t="s">
        <v>8878</v>
      </c>
      <c r="E29" s="355">
        <v>63</v>
      </c>
      <c r="F29" s="1662">
        <v>26</v>
      </c>
      <c r="G29" s="903"/>
    </row>
    <row r="30" spans="1:7" x14ac:dyDescent="0.25">
      <c r="A30" s="2352" t="s">
        <v>13770</v>
      </c>
      <c r="B30" s="2352" t="s">
        <v>8850</v>
      </c>
      <c r="C30" s="2352" t="s">
        <v>8850</v>
      </c>
      <c r="D30" s="2352" t="s">
        <v>8879</v>
      </c>
      <c r="E30" s="355">
        <v>60</v>
      </c>
      <c r="F30" s="1662">
        <v>25</v>
      </c>
      <c r="G30" s="903"/>
    </row>
    <row r="31" spans="1:7" x14ac:dyDescent="0.25">
      <c r="A31" s="2352" t="s">
        <v>13770</v>
      </c>
      <c r="B31" s="2352" t="s">
        <v>8850</v>
      </c>
      <c r="C31" s="2352" t="s">
        <v>8850</v>
      </c>
      <c r="D31" s="2352" t="s">
        <v>8880</v>
      </c>
      <c r="E31" s="355">
        <v>100</v>
      </c>
      <c r="F31" s="1662">
        <v>43</v>
      </c>
      <c r="G31" s="903"/>
    </row>
    <row r="32" spans="1:7" x14ac:dyDescent="0.25">
      <c r="A32" s="2352" t="s">
        <v>13770</v>
      </c>
      <c r="B32" s="2352" t="s">
        <v>8850</v>
      </c>
      <c r="C32" s="2352" t="s">
        <v>8850</v>
      </c>
      <c r="D32" s="2352" t="s">
        <v>8881</v>
      </c>
      <c r="E32" s="355">
        <v>100</v>
      </c>
      <c r="F32" s="1662">
        <v>45</v>
      </c>
      <c r="G32" s="903"/>
    </row>
    <row r="33" spans="1:7" x14ac:dyDescent="0.25">
      <c r="A33" s="2352" t="s">
        <v>13770</v>
      </c>
      <c r="B33" s="2352" t="s">
        <v>8850</v>
      </c>
      <c r="C33" s="2352" t="s">
        <v>8850</v>
      </c>
      <c r="D33" s="2352" t="s">
        <v>8882</v>
      </c>
      <c r="E33" s="355">
        <v>160</v>
      </c>
      <c r="F33" s="1662">
        <v>64</v>
      </c>
      <c r="G33" s="903"/>
    </row>
    <row r="34" spans="1:7" x14ac:dyDescent="0.25">
      <c r="A34" s="2352" t="s">
        <v>14410</v>
      </c>
      <c r="B34" s="2352" t="s">
        <v>8850</v>
      </c>
      <c r="C34" s="2352" t="s">
        <v>8850</v>
      </c>
      <c r="D34" s="2352" t="s">
        <v>8883</v>
      </c>
      <c r="E34" s="355">
        <v>100</v>
      </c>
      <c r="F34" s="1662">
        <v>38</v>
      </c>
      <c r="G34" s="903"/>
    </row>
    <row r="35" spans="1:7" x14ac:dyDescent="0.25">
      <c r="A35" s="2352" t="s">
        <v>14410</v>
      </c>
      <c r="B35" s="2352" t="s">
        <v>8850</v>
      </c>
      <c r="C35" s="2352" t="s">
        <v>8850</v>
      </c>
      <c r="D35" s="2352" t="s">
        <v>8884</v>
      </c>
      <c r="E35" s="355">
        <v>60</v>
      </c>
      <c r="F35" s="1662">
        <v>21</v>
      </c>
      <c r="G35" s="903"/>
    </row>
    <row r="36" spans="1:7" x14ac:dyDescent="0.25">
      <c r="A36" s="2352" t="s">
        <v>3968</v>
      </c>
      <c r="B36" s="2352" t="s">
        <v>8850</v>
      </c>
      <c r="C36" s="2352" t="s">
        <v>8850</v>
      </c>
      <c r="D36" s="2352" t="s">
        <v>8885</v>
      </c>
      <c r="E36" s="355">
        <v>60</v>
      </c>
      <c r="F36" s="1662">
        <v>19</v>
      </c>
      <c r="G36" s="903"/>
    </row>
    <row r="37" spans="1:7" x14ac:dyDescent="0.25">
      <c r="A37" s="2352" t="s">
        <v>3968</v>
      </c>
      <c r="B37" s="2352" t="s">
        <v>8850</v>
      </c>
      <c r="C37" s="2352" t="s">
        <v>8850</v>
      </c>
      <c r="D37" s="2352" t="s">
        <v>8886</v>
      </c>
      <c r="E37" s="355">
        <v>250</v>
      </c>
      <c r="F37" s="1662">
        <v>136</v>
      </c>
      <c r="G37" s="903"/>
    </row>
    <row r="38" spans="1:7" x14ac:dyDescent="0.25">
      <c r="A38" s="2352" t="s">
        <v>3968</v>
      </c>
      <c r="B38" s="2352" t="s">
        <v>8850</v>
      </c>
      <c r="C38" s="2352" t="s">
        <v>8850</v>
      </c>
      <c r="D38" s="2352" t="s">
        <v>8887</v>
      </c>
      <c r="E38" s="355">
        <v>60</v>
      </c>
      <c r="F38" s="1662">
        <v>19</v>
      </c>
      <c r="G38" s="903"/>
    </row>
    <row r="39" spans="1:7" x14ac:dyDescent="0.25">
      <c r="A39" s="2352" t="s">
        <v>4569</v>
      </c>
      <c r="B39" s="2352" t="s">
        <v>8850</v>
      </c>
      <c r="C39" s="2352" t="s">
        <v>8850</v>
      </c>
      <c r="D39" s="2352" t="s">
        <v>8888</v>
      </c>
      <c r="E39" s="355">
        <v>63</v>
      </c>
      <c r="F39" s="1662">
        <v>24</v>
      </c>
      <c r="G39" s="903"/>
    </row>
    <row r="40" spans="1:7" x14ac:dyDescent="0.25">
      <c r="A40" s="2352" t="s">
        <v>14411</v>
      </c>
      <c r="B40" s="2352" t="s">
        <v>8850</v>
      </c>
      <c r="C40" s="2352" t="s">
        <v>8850</v>
      </c>
      <c r="D40" s="2352" t="s">
        <v>8889</v>
      </c>
      <c r="E40" s="355">
        <v>10</v>
      </c>
      <c r="F40" s="1662">
        <v>5</v>
      </c>
      <c r="G40" s="903"/>
    </row>
    <row r="41" spans="1:7" x14ac:dyDescent="0.25">
      <c r="A41" s="2352" t="s">
        <v>5038</v>
      </c>
      <c r="B41" s="2352" t="s">
        <v>8850</v>
      </c>
      <c r="C41" s="2352" t="s">
        <v>8850</v>
      </c>
      <c r="D41" s="2352" t="s">
        <v>8890</v>
      </c>
      <c r="E41" s="355">
        <v>100</v>
      </c>
      <c r="F41" s="1662">
        <v>48</v>
      </c>
      <c r="G41" s="903"/>
    </row>
    <row r="42" spans="1:7" x14ac:dyDescent="0.25">
      <c r="A42" s="2352" t="s">
        <v>14412</v>
      </c>
      <c r="B42" s="2352" t="s">
        <v>8850</v>
      </c>
      <c r="C42" s="2352" t="s">
        <v>8850</v>
      </c>
      <c r="D42" s="2352" t="s">
        <v>8891</v>
      </c>
      <c r="E42" s="355">
        <v>40</v>
      </c>
      <c r="F42" s="1662">
        <v>5</v>
      </c>
      <c r="G42" s="903"/>
    </row>
    <row r="43" spans="1:7" x14ac:dyDescent="0.25">
      <c r="A43" s="2352" t="s">
        <v>3920</v>
      </c>
      <c r="B43" s="2352" t="s">
        <v>8850</v>
      </c>
      <c r="C43" s="2352" t="s">
        <v>8850</v>
      </c>
      <c r="D43" s="2352" t="s">
        <v>8892</v>
      </c>
      <c r="E43" s="355">
        <v>10</v>
      </c>
      <c r="F43" s="1662">
        <v>5</v>
      </c>
      <c r="G43" s="903"/>
    </row>
    <row r="44" spans="1:7" x14ac:dyDescent="0.25">
      <c r="A44" s="2352" t="s">
        <v>14413</v>
      </c>
      <c r="B44" s="2352" t="s">
        <v>8850</v>
      </c>
      <c r="C44" s="2352" t="s">
        <v>8850</v>
      </c>
      <c r="D44" s="2352" t="s">
        <v>8893</v>
      </c>
      <c r="E44" s="355">
        <v>30</v>
      </c>
      <c r="F44" s="1662">
        <v>10</v>
      </c>
      <c r="G44" s="903"/>
    </row>
    <row r="45" spans="1:7" x14ac:dyDescent="0.25">
      <c r="A45" s="2352" t="s">
        <v>14414</v>
      </c>
      <c r="B45" s="2352" t="s">
        <v>8850</v>
      </c>
      <c r="C45" s="2352" t="s">
        <v>8850</v>
      </c>
      <c r="D45" s="2352" t="s">
        <v>8894</v>
      </c>
      <c r="E45" s="355">
        <v>160</v>
      </c>
      <c r="F45" s="1662">
        <v>76</v>
      </c>
      <c r="G45" s="903"/>
    </row>
    <row r="46" spans="1:7" x14ac:dyDescent="0.25">
      <c r="A46" s="2352" t="s">
        <v>14415</v>
      </c>
      <c r="B46" s="2352" t="s">
        <v>8850</v>
      </c>
      <c r="C46" s="2352" t="s">
        <v>8850</v>
      </c>
      <c r="D46" s="2352" t="s">
        <v>8895</v>
      </c>
      <c r="E46" s="355">
        <v>10</v>
      </c>
      <c r="F46" s="1662">
        <v>6</v>
      </c>
      <c r="G46" s="903"/>
    </row>
    <row r="47" spans="1:7" x14ac:dyDescent="0.25">
      <c r="A47" s="2352" t="s">
        <v>14416</v>
      </c>
      <c r="B47" s="2352" t="s">
        <v>8850</v>
      </c>
      <c r="C47" s="2352" t="s">
        <v>8850</v>
      </c>
      <c r="D47" s="2352" t="s">
        <v>8896</v>
      </c>
      <c r="E47" s="355">
        <v>60</v>
      </c>
      <c r="F47" s="1662">
        <v>21</v>
      </c>
      <c r="G47" s="903"/>
    </row>
    <row r="48" spans="1:7" ht="15" customHeight="1" x14ac:dyDescent="0.25">
      <c r="A48" s="2352" t="s">
        <v>6541</v>
      </c>
      <c r="B48" s="2352" t="s">
        <v>8850</v>
      </c>
      <c r="C48" s="2352" t="s">
        <v>8850</v>
      </c>
      <c r="D48" s="2352" t="s">
        <v>8897</v>
      </c>
      <c r="E48" s="355">
        <v>160</v>
      </c>
      <c r="F48" s="1662">
        <v>69</v>
      </c>
      <c r="G48" s="903"/>
    </row>
    <row r="49" spans="1:7" ht="15" customHeight="1" x14ac:dyDescent="0.25">
      <c r="A49" s="2352" t="s">
        <v>6541</v>
      </c>
      <c r="B49" s="2352" t="s">
        <v>8850</v>
      </c>
      <c r="C49" s="2352" t="s">
        <v>8850</v>
      </c>
      <c r="D49" s="2352" t="s">
        <v>8898</v>
      </c>
      <c r="E49" s="355">
        <v>250</v>
      </c>
      <c r="F49" s="1662">
        <v>110</v>
      </c>
      <c r="G49" s="903"/>
    </row>
    <row r="50" spans="1:7" ht="15" customHeight="1" x14ac:dyDescent="0.25">
      <c r="A50" s="2352" t="s">
        <v>12251</v>
      </c>
      <c r="B50" s="2352" t="s">
        <v>8850</v>
      </c>
      <c r="C50" s="2352" t="s">
        <v>8850</v>
      </c>
      <c r="D50" s="2352" t="s">
        <v>8899</v>
      </c>
      <c r="E50" s="355">
        <v>160</v>
      </c>
      <c r="F50" s="1662">
        <v>65</v>
      </c>
      <c r="G50" s="903"/>
    </row>
    <row r="51" spans="1:7" ht="15" customHeight="1" x14ac:dyDescent="0.25">
      <c r="A51" s="2352" t="s">
        <v>14418</v>
      </c>
      <c r="B51" s="2352" t="s">
        <v>8850</v>
      </c>
      <c r="C51" s="2352" t="s">
        <v>8850</v>
      </c>
      <c r="D51" s="2352" t="s">
        <v>8900</v>
      </c>
      <c r="E51" s="355">
        <v>30</v>
      </c>
      <c r="F51" s="1662">
        <v>15</v>
      </c>
      <c r="G51" s="903"/>
    </row>
    <row r="52" spans="1:7" ht="15" customHeight="1" x14ac:dyDescent="0.25">
      <c r="A52" s="2352" t="s">
        <v>14419</v>
      </c>
      <c r="B52" s="2352" t="s">
        <v>8850</v>
      </c>
      <c r="C52" s="2352" t="s">
        <v>8850</v>
      </c>
      <c r="D52" s="2352" t="s">
        <v>8901</v>
      </c>
      <c r="E52" s="355">
        <v>250</v>
      </c>
      <c r="F52" s="1662">
        <v>123</v>
      </c>
      <c r="G52" s="903"/>
    </row>
    <row r="53" spans="1:7" ht="15" customHeight="1" x14ac:dyDescent="0.25">
      <c r="A53" s="2352" t="s">
        <v>14419</v>
      </c>
      <c r="B53" s="2352" t="s">
        <v>8850</v>
      </c>
      <c r="C53" s="2352" t="s">
        <v>8850</v>
      </c>
      <c r="D53" s="2352" t="s">
        <v>8902</v>
      </c>
      <c r="E53" s="355">
        <v>100</v>
      </c>
      <c r="F53" s="1662">
        <v>38</v>
      </c>
      <c r="G53" s="903"/>
    </row>
    <row r="54" spans="1:7" ht="15" customHeight="1" x14ac:dyDescent="0.25">
      <c r="A54" s="2352" t="s">
        <v>14419</v>
      </c>
      <c r="B54" s="2352" t="s">
        <v>8850</v>
      </c>
      <c r="C54" s="2352" t="s">
        <v>8850</v>
      </c>
      <c r="D54" s="2352" t="s">
        <v>8903</v>
      </c>
      <c r="E54" s="355">
        <v>60</v>
      </c>
      <c r="F54" s="1662">
        <v>16</v>
      </c>
      <c r="G54" s="903"/>
    </row>
    <row r="55" spans="1:7" ht="15" customHeight="1" x14ac:dyDescent="0.25">
      <c r="A55" s="2352" t="s">
        <v>14419</v>
      </c>
      <c r="B55" s="2352" t="s">
        <v>8850</v>
      </c>
      <c r="C55" s="2352" t="s">
        <v>8850</v>
      </c>
      <c r="D55" s="2352" t="s">
        <v>8904</v>
      </c>
      <c r="E55" s="355">
        <v>63</v>
      </c>
      <c r="F55" s="1662">
        <v>19</v>
      </c>
      <c r="G55" s="903"/>
    </row>
    <row r="56" spans="1:7" ht="15" customHeight="1" x14ac:dyDescent="0.25">
      <c r="A56" s="2352" t="s">
        <v>14419</v>
      </c>
      <c r="B56" s="2352" t="s">
        <v>8850</v>
      </c>
      <c r="C56" s="2352" t="s">
        <v>8850</v>
      </c>
      <c r="D56" s="2352" t="s">
        <v>8905</v>
      </c>
      <c r="E56" s="355">
        <v>60</v>
      </c>
      <c r="F56" s="1662">
        <v>26</v>
      </c>
      <c r="G56" s="903"/>
    </row>
    <row r="57" spans="1:7" ht="15" customHeight="1" x14ac:dyDescent="0.25">
      <c r="A57" s="2352" t="s">
        <v>4916</v>
      </c>
      <c r="B57" s="2352" t="s">
        <v>8850</v>
      </c>
      <c r="C57" s="2352" t="s">
        <v>8850</v>
      </c>
      <c r="D57" s="2352" t="s">
        <v>8906</v>
      </c>
      <c r="E57" s="355">
        <v>63</v>
      </c>
      <c r="F57" s="1662">
        <v>14</v>
      </c>
      <c r="G57" s="903"/>
    </row>
    <row r="58" spans="1:7" ht="15" customHeight="1" x14ac:dyDescent="0.25">
      <c r="A58" s="2352" t="s">
        <v>14420</v>
      </c>
      <c r="B58" s="2352" t="s">
        <v>8850</v>
      </c>
      <c r="C58" s="2352" t="s">
        <v>8850</v>
      </c>
      <c r="D58" s="2352" t="s">
        <v>8907</v>
      </c>
      <c r="E58" s="355">
        <v>63</v>
      </c>
      <c r="F58" s="1662">
        <v>29</v>
      </c>
      <c r="G58" s="903"/>
    </row>
    <row r="59" spans="1:7" ht="15" customHeight="1" x14ac:dyDescent="0.25">
      <c r="A59" s="2352" t="s">
        <v>14421</v>
      </c>
      <c r="B59" s="2352" t="s">
        <v>8850</v>
      </c>
      <c r="C59" s="2352" t="s">
        <v>8850</v>
      </c>
      <c r="D59" s="2352" t="s">
        <v>8908</v>
      </c>
      <c r="E59" s="355">
        <v>100</v>
      </c>
      <c r="F59" s="1662">
        <v>52</v>
      </c>
      <c r="G59" s="903"/>
    </row>
    <row r="60" spans="1:7" ht="15" customHeight="1" x14ac:dyDescent="0.25">
      <c r="A60" s="2352" t="s">
        <v>14422</v>
      </c>
      <c r="B60" s="2352" t="s">
        <v>8850</v>
      </c>
      <c r="C60" s="2352" t="s">
        <v>8850</v>
      </c>
      <c r="D60" s="2352" t="s">
        <v>8909</v>
      </c>
      <c r="E60" s="355">
        <v>10</v>
      </c>
      <c r="F60" s="1662">
        <v>0</v>
      </c>
      <c r="G60" s="903"/>
    </row>
    <row r="61" spans="1:7" ht="15" customHeight="1" x14ac:dyDescent="0.25">
      <c r="A61" s="2352" t="s">
        <v>14423</v>
      </c>
      <c r="B61" s="2352" t="s">
        <v>8850</v>
      </c>
      <c r="C61" s="2352" t="s">
        <v>8850</v>
      </c>
      <c r="D61" s="2352" t="s">
        <v>8910</v>
      </c>
      <c r="E61" s="355">
        <v>60</v>
      </c>
      <c r="F61" s="1662">
        <v>5</v>
      </c>
      <c r="G61" s="903"/>
    </row>
    <row r="62" spans="1:7" ht="15" customHeight="1" x14ac:dyDescent="0.25">
      <c r="A62" s="2352" t="s">
        <v>14424</v>
      </c>
      <c r="B62" s="2352" t="s">
        <v>8850</v>
      </c>
      <c r="C62" s="2352" t="s">
        <v>8850</v>
      </c>
      <c r="D62" s="2352" t="s">
        <v>8911</v>
      </c>
      <c r="E62" s="355">
        <v>30</v>
      </c>
      <c r="F62" s="1662">
        <v>5</v>
      </c>
      <c r="G62" s="903"/>
    </row>
    <row r="63" spans="1:7" ht="15" customHeight="1" x14ac:dyDescent="0.25">
      <c r="A63" s="2352" t="s">
        <v>3996</v>
      </c>
      <c r="B63" s="2352" t="s">
        <v>8850</v>
      </c>
      <c r="C63" s="2352" t="s">
        <v>8850</v>
      </c>
      <c r="D63" s="2352" t="s">
        <v>8912</v>
      </c>
      <c r="E63" s="355">
        <v>100</v>
      </c>
      <c r="F63" s="1662">
        <v>49</v>
      </c>
      <c r="G63" s="903"/>
    </row>
    <row r="64" spans="1:7" ht="15" customHeight="1" x14ac:dyDescent="0.25">
      <c r="A64" s="2352" t="s">
        <v>14425</v>
      </c>
      <c r="B64" s="2352" t="s">
        <v>8850</v>
      </c>
      <c r="C64" s="2352" t="s">
        <v>8850</v>
      </c>
      <c r="D64" s="2352" t="s">
        <v>8913</v>
      </c>
      <c r="E64" s="355">
        <v>30</v>
      </c>
      <c r="F64" s="1662">
        <v>12</v>
      </c>
      <c r="G64" s="903"/>
    </row>
    <row r="65" spans="1:7" ht="15" customHeight="1" x14ac:dyDescent="0.25">
      <c r="A65" s="2352" t="s">
        <v>14419</v>
      </c>
      <c r="B65" s="2352" t="s">
        <v>8850</v>
      </c>
      <c r="C65" s="2352" t="s">
        <v>8850</v>
      </c>
      <c r="D65" s="2352" t="s">
        <v>8914</v>
      </c>
      <c r="E65" s="355">
        <v>400</v>
      </c>
      <c r="F65" s="1662">
        <v>193</v>
      </c>
      <c r="G65" s="903"/>
    </row>
    <row r="66" spans="1:7" ht="15" customHeight="1" x14ac:dyDescent="0.25">
      <c r="A66" s="2352" t="s">
        <v>14419</v>
      </c>
      <c r="B66" s="2352" t="s">
        <v>8850</v>
      </c>
      <c r="C66" s="2352" t="s">
        <v>8850</v>
      </c>
      <c r="D66" s="2352" t="s">
        <v>8915</v>
      </c>
      <c r="E66" s="355">
        <v>60</v>
      </c>
      <c r="F66" s="1662">
        <v>23</v>
      </c>
      <c r="G66" s="903"/>
    </row>
    <row r="67" spans="1:7" ht="15" customHeight="1" x14ac:dyDescent="0.25">
      <c r="A67" s="2352" t="s">
        <v>7481</v>
      </c>
      <c r="B67" s="2352" t="s">
        <v>8850</v>
      </c>
      <c r="C67" s="2352" t="s">
        <v>8850</v>
      </c>
      <c r="D67" s="2352" t="s">
        <v>8916</v>
      </c>
      <c r="E67" s="355">
        <v>160</v>
      </c>
      <c r="F67" s="1662">
        <v>79</v>
      </c>
      <c r="G67" s="903"/>
    </row>
    <row r="68" spans="1:7" ht="15" customHeight="1" x14ac:dyDescent="0.25">
      <c r="A68" s="2352" t="s">
        <v>7481</v>
      </c>
      <c r="B68" s="2352" t="s">
        <v>8850</v>
      </c>
      <c r="C68" s="2352" t="s">
        <v>8850</v>
      </c>
      <c r="D68" s="2352" t="s">
        <v>8917</v>
      </c>
      <c r="E68" s="355">
        <v>250</v>
      </c>
      <c r="F68" s="1662">
        <v>135</v>
      </c>
      <c r="G68" s="903"/>
    </row>
    <row r="69" spans="1:7" ht="15" customHeight="1" x14ac:dyDescent="0.25">
      <c r="A69" s="2352" t="s">
        <v>6541</v>
      </c>
      <c r="B69" s="2352" t="s">
        <v>8850</v>
      </c>
      <c r="C69" s="2352" t="s">
        <v>8850</v>
      </c>
      <c r="D69" s="2352" t="s">
        <v>8918</v>
      </c>
      <c r="E69" s="355">
        <v>100</v>
      </c>
      <c r="F69" s="1662">
        <v>26</v>
      </c>
      <c r="G69" s="903"/>
    </row>
    <row r="70" spans="1:7" ht="15" customHeight="1" x14ac:dyDescent="0.25">
      <c r="A70" s="2352" t="s">
        <v>14426</v>
      </c>
      <c r="B70" s="2352" t="s">
        <v>8850</v>
      </c>
      <c r="C70" s="2352" t="s">
        <v>8850</v>
      </c>
      <c r="D70" s="2352" t="s">
        <v>8919</v>
      </c>
      <c r="E70" s="355">
        <v>40</v>
      </c>
      <c r="F70" s="1662">
        <v>10</v>
      </c>
      <c r="G70" s="903"/>
    </row>
    <row r="71" spans="1:7" ht="15" customHeight="1" x14ac:dyDescent="0.25">
      <c r="A71" s="2352" t="s">
        <v>14427</v>
      </c>
      <c r="B71" s="2352" t="s">
        <v>8850</v>
      </c>
      <c r="C71" s="2352" t="s">
        <v>8850</v>
      </c>
      <c r="D71" s="2352" t="s">
        <v>8920</v>
      </c>
      <c r="E71" s="355">
        <v>30</v>
      </c>
      <c r="F71" s="1662">
        <v>10</v>
      </c>
      <c r="G71" s="903"/>
    </row>
    <row r="72" spans="1:7" ht="15" customHeight="1" x14ac:dyDescent="0.25">
      <c r="A72" s="2352" t="s">
        <v>14428</v>
      </c>
      <c r="B72" s="2352" t="s">
        <v>8850</v>
      </c>
      <c r="C72" s="2352" t="s">
        <v>8850</v>
      </c>
      <c r="D72" s="2352" t="s">
        <v>8921</v>
      </c>
      <c r="E72" s="355">
        <v>100</v>
      </c>
      <c r="F72" s="1662">
        <v>38</v>
      </c>
      <c r="G72" s="903"/>
    </row>
    <row r="73" spans="1:7" ht="15" customHeight="1" x14ac:dyDescent="0.25">
      <c r="A73" s="2352" t="s">
        <v>14429</v>
      </c>
      <c r="B73" s="2352" t="s">
        <v>8850</v>
      </c>
      <c r="C73" s="2352" t="s">
        <v>8850</v>
      </c>
      <c r="D73" s="2352" t="s">
        <v>8922</v>
      </c>
      <c r="E73" s="355">
        <v>40</v>
      </c>
      <c r="F73" s="1662">
        <v>10</v>
      </c>
      <c r="G73" s="903"/>
    </row>
    <row r="74" spans="1:7" ht="15" customHeight="1" x14ac:dyDescent="0.25">
      <c r="A74" s="2352" t="s">
        <v>14430</v>
      </c>
      <c r="B74" s="2352" t="s">
        <v>8850</v>
      </c>
      <c r="C74" s="2352" t="s">
        <v>8850</v>
      </c>
      <c r="D74" s="2352" t="s">
        <v>8923</v>
      </c>
      <c r="E74" s="355">
        <v>63</v>
      </c>
      <c r="F74" s="1662">
        <v>19</v>
      </c>
      <c r="G74" s="903"/>
    </row>
    <row r="75" spans="1:7" ht="15" customHeight="1" x14ac:dyDescent="0.25">
      <c r="A75" s="2352" t="s">
        <v>6596</v>
      </c>
      <c r="B75" s="2352" t="s">
        <v>8850</v>
      </c>
      <c r="C75" s="2352" t="s">
        <v>8850</v>
      </c>
      <c r="D75" s="2352" t="s">
        <v>8924</v>
      </c>
      <c r="E75" s="355">
        <v>160</v>
      </c>
      <c r="F75" s="1662">
        <v>63</v>
      </c>
      <c r="G75" s="903"/>
    </row>
    <row r="76" spans="1:7" ht="15" customHeight="1" x14ac:dyDescent="0.25">
      <c r="A76" s="2352" t="s">
        <v>14431</v>
      </c>
      <c r="B76" s="2352" t="s">
        <v>8850</v>
      </c>
      <c r="C76" s="2352" t="s">
        <v>8850</v>
      </c>
      <c r="D76" s="2352" t="s">
        <v>8925</v>
      </c>
      <c r="E76" s="355">
        <v>63</v>
      </c>
      <c r="F76" s="1662">
        <v>21</v>
      </c>
      <c r="G76" s="903"/>
    </row>
    <row r="77" spans="1:7" ht="15" customHeight="1" x14ac:dyDescent="0.25">
      <c r="A77" s="2352" t="s">
        <v>14432</v>
      </c>
      <c r="B77" s="2352" t="s">
        <v>8850</v>
      </c>
      <c r="C77" s="2352" t="s">
        <v>8850</v>
      </c>
      <c r="D77" s="2352" t="s">
        <v>8926</v>
      </c>
      <c r="E77" s="355">
        <v>10</v>
      </c>
      <c r="F77" s="1662">
        <v>0</v>
      </c>
      <c r="G77" s="903"/>
    </row>
    <row r="78" spans="1:7" ht="15" customHeight="1" x14ac:dyDescent="0.25">
      <c r="A78" s="2352" t="s">
        <v>14433</v>
      </c>
      <c r="B78" s="2352" t="s">
        <v>8850</v>
      </c>
      <c r="C78" s="2352" t="s">
        <v>8850</v>
      </c>
      <c r="D78" s="2352" t="s">
        <v>8927</v>
      </c>
      <c r="E78" s="355">
        <v>60</v>
      </c>
      <c r="F78" s="1662">
        <v>24</v>
      </c>
      <c r="G78" s="903"/>
    </row>
    <row r="79" spans="1:7" ht="15" customHeight="1" x14ac:dyDescent="0.25">
      <c r="A79" s="2352" t="s">
        <v>14433</v>
      </c>
      <c r="B79" s="2352" t="s">
        <v>8850</v>
      </c>
      <c r="C79" s="2352" t="s">
        <v>8850</v>
      </c>
      <c r="D79" s="2352" t="s">
        <v>8928</v>
      </c>
      <c r="E79" s="355">
        <v>100</v>
      </c>
      <c r="F79" s="1662">
        <v>38</v>
      </c>
      <c r="G79" s="903"/>
    </row>
    <row r="80" spans="1:7" ht="15" customHeight="1" x14ac:dyDescent="0.25">
      <c r="A80" s="2352" t="s">
        <v>14433</v>
      </c>
      <c r="B80" s="2352" t="s">
        <v>8850</v>
      </c>
      <c r="C80" s="2352" t="s">
        <v>8850</v>
      </c>
      <c r="D80" s="2352" t="s">
        <v>8929</v>
      </c>
      <c r="E80" s="355">
        <v>160</v>
      </c>
      <c r="F80" s="1662">
        <v>62</v>
      </c>
      <c r="G80" s="903"/>
    </row>
    <row r="81" spans="1:7" ht="15" customHeight="1" x14ac:dyDescent="0.25">
      <c r="A81" s="2352" t="s">
        <v>14434</v>
      </c>
      <c r="B81" s="2352" t="s">
        <v>8850</v>
      </c>
      <c r="C81" s="2352" t="s">
        <v>8850</v>
      </c>
      <c r="D81" s="2352" t="s">
        <v>8930</v>
      </c>
      <c r="E81" s="355">
        <v>160</v>
      </c>
      <c r="F81" s="1662">
        <v>74</v>
      </c>
      <c r="G81" s="903"/>
    </row>
    <row r="82" spans="1:7" ht="15" customHeight="1" x14ac:dyDescent="0.25">
      <c r="A82" s="2352" t="s">
        <v>14435</v>
      </c>
      <c r="B82" s="2352" t="s">
        <v>8850</v>
      </c>
      <c r="C82" s="2352" t="s">
        <v>8850</v>
      </c>
      <c r="D82" s="2352" t="s">
        <v>8931</v>
      </c>
      <c r="E82" s="355">
        <v>100</v>
      </c>
      <c r="F82" s="1662">
        <v>43</v>
      </c>
      <c r="G82" s="903"/>
    </row>
    <row r="83" spans="1:7" ht="15" customHeight="1" x14ac:dyDescent="0.25">
      <c r="A83" s="2352" t="s">
        <v>14436</v>
      </c>
      <c r="B83" s="2352" t="s">
        <v>8850</v>
      </c>
      <c r="C83" s="2352" t="s">
        <v>8850</v>
      </c>
      <c r="D83" s="2352" t="s">
        <v>8932</v>
      </c>
      <c r="E83" s="355">
        <v>63</v>
      </c>
      <c r="F83" s="1662">
        <v>18</v>
      </c>
      <c r="G83" s="903"/>
    </row>
    <row r="84" spans="1:7" ht="15" customHeight="1" x14ac:dyDescent="0.25">
      <c r="A84" s="2352" t="s">
        <v>6585</v>
      </c>
      <c r="B84" s="2352" t="s">
        <v>8850</v>
      </c>
      <c r="C84" s="2352" t="s">
        <v>8850</v>
      </c>
      <c r="D84" s="2352" t="s">
        <v>8933</v>
      </c>
      <c r="E84" s="355">
        <v>10</v>
      </c>
      <c r="F84" s="1662">
        <v>4</v>
      </c>
      <c r="G84" s="903"/>
    </row>
    <row r="85" spans="1:7" ht="15" customHeight="1" x14ac:dyDescent="0.25">
      <c r="A85" s="2352" t="s">
        <v>7837</v>
      </c>
      <c r="B85" s="2352" t="s">
        <v>8850</v>
      </c>
      <c r="C85" s="2352" t="s">
        <v>8850</v>
      </c>
      <c r="D85" s="2352" t="s">
        <v>8934</v>
      </c>
      <c r="E85" s="355">
        <v>35</v>
      </c>
      <c r="F85" s="1662">
        <v>15</v>
      </c>
      <c r="G85" s="903"/>
    </row>
    <row r="86" spans="1:7" ht="15" customHeight="1" x14ac:dyDescent="0.25">
      <c r="A86" s="2352" t="s">
        <v>14437</v>
      </c>
      <c r="B86" s="2352" t="s">
        <v>8850</v>
      </c>
      <c r="C86" s="2352" t="s">
        <v>8850</v>
      </c>
      <c r="D86" s="2352" t="s">
        <v>8935</v>
      </c>
      <c r="E86" s="355">
        <v>30</v>
      </c>
      <c r="F86" s="1662">
        <v>15</v>
      </c>
      <c r="G86" s="903"/>
    </row>
    <row r="87" spans="1:7" x14ac:dyDescent="0.25">
      <c r="A87" s="2352" t="s">
        <v>14438</v>
      </c>
      <c r="B87" s="2352" t="s">
        <v>8850</v>
      </c>
      <c r="C87" s="2352" t="s">
        <v>8850</v>
      </c>
      <c r="D87" s="2352" t="s">
        <v>8936</v>
      </c>
      <c r="E87" s="355">
        <v>250</v>
      </c>
      <c r="F87" s="1662">
        <v>128</v>
      </c>
      <c r="G87" s="903"/>
    </row>
    <row r="88" spans="1:7" x14ac:dyDescent="0.25">
      <c r="A88" s="2352" t="s">
        <v>4033</v>
      </c>
      <c r="B88" s="2352" t="s">
        <v>8850</v>
      </c>
      <c r="C88" s="2352" t="s">
        <v>8850</v>
      </c>
      <c r="D88" s="2352" t="s">
        <v>8937</v>
      </c>
      <c r="E88" s="355">
        <v>30</v>
      </c>
      <c r="F88" s="1662">
        <v>0</v>
      </c>
      <c r="G88" s="903"/>
    </row>
    <row r="89" spans="1:7" x14ac:dyDescent="0.25">
      <c r="A89" s="2352" t="s">
        <v>4020</v>
      </c>
      <c r="B89" s="2352" t="s">
        <v>8850</v>
      </c>
      <c r="C89" s="2352" t="s">
        <v>8850</v>
      </c>
      <c r="D89" s="2352" t="s">
        <v>8938</v>
      </c>
      <c r="E89" s="355">
        <v>100</v>
      </c>
      <c r="F89" s="1662">
        <v>29</v>
      </c>
      <c r="G89" s="903"/>
    </row>
    <row r="90" spans="1:7" x14ac:dyDescent="0.25">
      <c r="A90" s="2352" t="s">
        <v>14439</v>
      </c>
      <c r="B90" s="2352" t="s">
        <v>8850</v>
      </c>
      <c r="C90" s="2352" t="s">
        <v>8850</v>
      </c>
      <c r="D90" s="2352" t="s">
        <v>8939</v>
      </c>
      <c r="E90" s="355">
        <v>100</v>
      </c>
      <c r="F90" s="1662">
        <v>34</v>
      </c>
      <c r="G90" s="903"/>
    </row>
    <row r="91" spans="1:7" x14ac:dyDescent="0.25">
      <c r="A91" s="2352" t="s">
        <v>9509</v>
      </c>
      <c r="B91" s="2352" t="s">
        <v>8850</v>
      </c>
      <c r="C91" s="2352" t="s">
        <v>8850</v>
      </c>
      <c r="D91" s="2352" t="s">
        <v>8940</v>
      </c>
      <c r="E91" s="355">
        <v>100</v>
      </c>
      <c r="F91" s="1662">
        <v>24</v>
      </c>
      <c r="G91" s="903"/>
    </row>
    <row r="92" spans="1:7" x14ac:dyDescent="0.25">
      <c r="A92" s="2352" t="s">
        <v>9509</v>
      </c>
      <c r="B92" s="2352" t="s">
        <v>8850</v>
      </c>
      <c r="C92" s="2352" t="s">
        <v>8850</v>
      </c>
      <c r="D92" s="2352" t="s">
        <v>8941</v>
      </c>
      <c r="E92" s="355">
        <v>100</v>
      </c>
      <c r="F92" s="1662">
        <v>19</v>
      </c>
      <c r="G92" s="903"/>
    </row>
    <row r="93" spans="1:7" x14ac:dyDescent="0.25">
      <c r="A93" s="2352" t="s">
        <v>14417</v>
      </c>
      <c r="B93" s="2352" t="s">
        <v>8850</v>
      </c>
      <c r="C93" s="2352" t="s">
        <v>8850</v>
      </c>
      <c r="D93" s="2352" t="s">
        <v>8942</v>
      </c>
      <c r="E93" s="355">
        <v>25</v>
      </c>
      <c r="F93" s="1662">
        <v>0</v>
      </c>
      <c r="G93" s="903"/>
    </row>
    <row r="94" spans="1:7" x14ac:dyDescent="0.25">
      <c r="A94" s="2352" t="s">
        <v>9407</v>
      </c>
      <c r="B94" s="2352" t="s">
        <v>8850</v>
      </c>
      <c r="C94" s="2352" t="s">
        <v>8850</v>
      </c>
      <c r="D94" s="2352" t="s">
        <v>8943</v>
      </c>
      <c r="E94" s="355">
        <v>100</v>
      </c>
      <c r="F94" s="1662">
        <v>42</v>
      </c>
      <c r="G94" s="903"/>
    </row>
    <row r="95" spans="1:7" x14ac:dyDescent="0.25">
      <c r="A95" s="2352" t="s">
        <v>9407</v>
      </c>
      <c r="B95" s="2352" t="s">
        <v>8850</v>
      </c>
      <c r="C95" s="2352" t="s">
        <v>8850</v>
      </c>
      <c r="D95" s="2352" t="s">
        <v>8944</v>
      </c>
      <c r="E95" s="355">
        <v>250</v>
      </c>
      <c r="F95" s="1662">
        <v>109</v>
      </c>
      <c r="G95" s="903"/>
    </row>
    <row r="96" spans="1:7" x14ac:dyDescent="0.25">
      <c r="A96" s="2352" t="s">
        <v>14440</v>
      </c>
      <c r="B96" s="2352" t="s">
        <v>8850</v>
      </c>
      <c r="C96" s="2352" t="s">
        <v>8850</v>
      </c>
      <c r="D96" s="2352" t="s">
        <v>8945</v>
      </c>
      <c r="E96" s="355">
        <v>30</v>
      </c>
      <c r="F96" s="1662">
        <v>10</v>
      </c>
      <c r="G96" s="903"/>
    </row>
    <row r="97" spans="1:7" x14ac:dyDescent="0.25">
      <c r="A97" s="2352" t="s">
        <v>14440</v>
      </c>
      <c r="B97" s="2352" t="s">
        <v>8850</v>
      </c>
      <c r="C97" s="2352" t="s">
        <v>8850</v>
      </c>
      <c r="D97" s="2352" t="s">
        <v>8946</v>
      </c>
      <c r="E97" s="355">
        <v>100</v>
      </c>
      <c r="F97" s="1662">
        <v>41</v>
      </c>
      <c r="G97" s="903"/>
    </row>
    <row r="98" spans="1:7" x14ac:dyDescent="0.25">
      <c r="A98" s="2352" t="s">
        <v>14441</v>
      </c>
      <c r="B98" s="2352" t="s">
        <v>8850</v>
      </c>
      <c r="C98" s="2352" t="s">
        <v>8850</v>
      </c>
      <c r="D98" s="2352" t="s">
        <v>8947</v>
      </c>
      <c r="E98" s="355">
        <v>63</v>
      </c>
      <c r="F98" s="1662">
        <v>27</v>
      </c>
      <c r="G98" s="903"/>
    </row>
    <row r="99" spans="1:7" x14ac:dyDescent="0.25">
      <c r="A99" s="2352" t="s">
        <v>14442</v>
      </c>
      <c r="B99" s="2352" t="s">
        <v>8850</v>
      </c>
      <c r="C99" s="2352" t="s">
        <v>8850</v>
      </c>
      <c r="D99" s="2352" t="s">
        <v>8948</v>
      </c>
      <c r="E99" s="355">
        <v>50</v>
      </c>
      <c r="F99" s="1662">
        <v>15</v>
      </c>
      <c r="G99" s="903"/>
    </row>
    <row r="100" spans="1:7" x14ac:dyDescent="0.25">
      <c r="A100" s="2352" t="s">
        <v>14443</v>
      </c>
      <c r="B100" s="2352" t="s">
        <v>8850</v>
      </c>
      <c r="C100" s="2352" t="s">
        <v>8850</v>
      </c>
      <c r="D100" s="2352" t="s">
        <v>8949</v>
      </c>
      <c r="E100" s="355">
        <v>30</v>
      </c>
      <c r="F100" s="1662">
        <v>0</v>
      </c>
      <c r="G100" s="903"/>
    </row>
    <row r="101" spans="1:7" x14ac:dyDescent="0.25">
      <c r="A101" s="2352" t="s">
        <v>14444</v>
      </c>
      <c r="B101" s="2352" t="s">
        <v>8850</v>
      </c>
      <c r="C101" s="2352" t="s">
        <v>8850</v>
      </c>
      <c r="D101" s="2352" t="s">
        <v>8950</v>
      </c>
      <c r="E101" s="355">
        <v>30</v>
      </c>
      <c r="F101" s="1662">
        <v>5</v>
      </c>
      <c r="G101" s="903"/>
    </row>
    <row r="102" spans="1:7" x14ac:dyDescent="0.25">
      <c r="A102" s="2352" t="s">
        <v>14445</v>
      </c>
      <c r="B102" s="2352" t="s">
        <v>8850</v>
      </c>
      <c r="C102" s="2352" t="s">
        <v>8850</v>
      </c>
      <c r="D102" s="2352" t="s">
        <v>8951</v>
      </c>
      <c r="E102" s="355">
        <v>10</v>
      </c>
      <c r="F102" s="1662">
        <v>0</v>
      </c>
      <c r="G102" s="903"/>
    </row>
    <row r="103" spans="1:7" x14ac:dyDescent="0.25">
      <c r="A103" s="2352" t="s">
        <v>14446</v>
      </c>
      <c r="B103" s="2352" t="s">
        <v>8850</v>
      </c>
      <c r="C103" s="2352" t="s">
        <v>8850</v>
      </c>
      <c r="D103" s="2352" t="s">
        <v>8952</v>
      </c>
      <c r="E103" s="355">
        <v>250</v>
      </c>
      <c r="F103" s="1662">
        <v>108</v>
      </c>
      <c r="G103" s="903"/>
    </row>
    <row r="104" spans="1:7" x14ac:dyDescent="0.25">
      <c r="A104" s="2352" t="s">
        <v>4916</v>
      </c>
      <c r="B104" s="2352" t="s">
        <v>8850</v>
      </c>
      <c r="C104" s="2352" t="s">
        <v>8850</v>
      </c>
      <c r="D104" s="2352" t="s">
        <v>8906</v>
      </c>
      <c r="E104" s="355">
        <v>50</v>
      </c>
      <c r="F104" s="1662">
        <v>10</v>
      </c>
      <c r="G104" s="903"/>
    </row>
    <row r="105" spans="1:7" x14ac:dyDescent="0.25">
      <c r="A105" s="2352" t="s">
        <v>14447</v>
      </c>
      <c r="B105" s="2352" t="s">
        <v>8850</v>
      </c>
      <c r="C105" s="2352" t="s">
        <v>8850</v>
      </c>
      <c r="D105" s="2352" t="s">
        <v>8953</v>
      </c>
      <c r="E105" s="355">
        <v>250</v>
      </c>
      <c r="F105" s="1662">
        <v>131</v>
      </c>
      <c r="G105" s="903"/>
    </row>
    <row r="106" spans="1:7" x14ac:dyDescent="0.25">
      <c r="A106" s="2352" t="s">
        <v>14448</v>
      </c>
      <c r="B106" s="2352" t="s">
        <v>8850</v>
      </c>
      <c r="C106" s="2352" t="s">
        <v>8850</v>
      </c>
      <c r="D106" s="2352" t="s">
        <v>8954</v>
      </c>
      <c r="E106" s="355">
        <v>160</v>
      </c>
      <c r="F106" s="1662">
        <v>64</v>
      </c>
      <c r="G106" s="903"/>
    </row>
    <row r="107" spans="1:7" x14ac:dyDescent="0.25">
      <c r="A107" s="2352" t="s">
        <v>14448</v>
      </c>
      <c r="B107" s="2352" t="s">
        <v>8850</v>
      </c>
      <c r="C107" s="2352" t="s">
        <v>8850</v>
      </c>
      <c r="D107" s="2352" t="s">
        <v>8955</v>
      </c>
      <c r="E107" s="355">
        <v>160</v>
      </c>
      <c r="F107" s="1662">
        <v>68</v>
      </c>
      <c r="G107" s="903"/>
    </row>
    <row r="108" spans="1:7" x14ac:dyDescent="0.25">
      <c r="A108" s="2352" t="s">
        <v>14449</v>
      </c>
      <c r="B108" s="2352" t="s">
        <v>8850</v>
      </c>
      <c r="C108" s="2352" t="s">
        <v>8850</v>
      </c>
      <c r="D108" s="2352" t="s">
        <v>8956</v>
      </c>
      <c r="E108" s="355">
        <v>40</v>
      </c>
      <c r="F108" s="1662">
        <v>15</v>
      </c>
      <c r="G108" s="903"/>
    </row>
    <row r="109" spans="1:7" x14ac:dyDescent="0.25">
      <c r="A109" s="2352" t="s">
        <v>14450</v>
      </c>
      <c r="B109" s="2352" t="s">
        <v>8850</v>
      </c>
      <c r="C109" s="2352" t="s">
        <v>8850</v>
      </c>
      <c r="D109" s="2352" t="s">
        <v>8957</v>
      </c>
      <c r="E109" s="355">
        <v>40</v>
      </c>
      <c r="F109" s="1662">
        <v>5</v>
      </c>
      <c r="G109" s="903"/>
    </row>
    <row r="110" spans="1:7" x14ac:dyDescent="0.25">
      <c r="A110" s="2352" t="s">
        <v>14451</v>
      </c>
      <c r="B110" s="2352" t="s">
        <v>8850</v>
      </c>
      <c r="C110" s="2352" t="s">
        <v>8850</v>
      </c>
      <c r="D110" s="2352" t="s">
        <v>8958</v>
      </c>
      <c r="E110" s="355">
        <v>10</v>
      </c>
      <c r="F110" s="1662">
        <v>0</v>
      </c>
      <c r="G110" s="903"/>
    </row>
    <row r="111" spans="1:7" x14ac:dyDescent="0.25">
      <c r="A111" s="2352" t="s">
        <v>14195</v>
      </c>
      <c r="B111" s="2352" t="s">
        <v>8850</v>
      </c>
      <c r="C111" s="2352" t="s">
        <v>8850</v>
      </c>
      <c r="D111" s="2352" t="s">
        <v>8959</v>
      </c>
      <c r="E111" s="355">
        <v>100</v>
      </c>
      <c r="F111" s="1662">
        <v>46</v>
      </c>
      <c r="G111" s="903"/>
    </row>
    <row r="112" spans="1:7" x14ac:dyDescent="0.25">
      <c r="A112" s="2352" t="s">
        <v>10790</v>
      </c>
      <c r="B112" s="2352" t="s">
        <v>8850</v>
      </c>
      <c r="C112" s="2352" t="s">
        <v>8850</v>
      </c>
      <c r="D112" s="2352" t="s">
        <v>8960</v>
      </c>
      <c r="E112" s="355">
        <v>160</v>
      </c>
      <c r="F112" s="1662">
        <v>56</v>
      </c>
      <c r="G112" s="903"/>
    </row>
    <row r="113" spans="1:7" x14ac:dyDescent="0.25">
      <c r="A113" s="2352" t="s">
        <v>14452</v>
      </c>
      <c r="B113" s="2352" t="s">
        <v>8850</v>
      </c>
      <c r="C113" s="2352" t="s">
        <v>8850</v>
      </c>
      <c r="D113" s="2352" t="s">
        <v>8961</v>
      </c>
      <c r="E113" s="355">
        <v>160</v>
      </c>
      <c r="F113" s="1662">
        <v>74</v>
      </c>
      <c r="G113" s="903"/>
    </row>
    <row r="114" spans="1:7" x14ac:dyDescent="0.25">
      <c r="A114" s="2352" t="s">
        <v>4001</v>
      </c>
      <c r="B114" s="2352" t="s">
        <v>8850</v>
      </c>
      <c r="C114" s="2352" t="s">
        <v>8850</v>
      </c>
      <c r="D114" s="2352" t="s">
        <v>8962</v>
      </c>
      <c r="E114" s="355">
        <v>25</v>
      </c>
      <c r="F114" s="1662">
        <v>5</v>
      </c>
      <c r="G114" s="903"/>
    </row>
    <row r="115" spans="1:7" x14ac:dyDescent="0.25">
      <c r="A115" s="2352" t="s">
        <v>14453</v>
      </c>
      <c r="B115" s="2352" t="s">
        <v>8850</v>
      </c>
      <c r="C115" s="2352" t="s">
        <v>8850</v>
      </c>
      <c r="D115" s="2352" t="s">
        <v>8963</v>
      </c>
      <c r="E115" s="355">
        <v>160</v>
      </c>
      <c r="F115" s="1662">
        <v>81</v>
      </c>
      <c r="G115" s="903"/>
    </row>
    <row r="116" spans="1:7" x14ac:dyDescent="0.25">
      <c r="A116" s="2352" t="s">
        <v>14453</v>
      </c>
      <c r="B116" s="2352" t="s">
        <v>8850</v>
      </c>
      <c r="C116" s="2352" t="s">
        <v>8850</v>
      </c>
      <c r="D116" s="2352" t="s">
        <v>8964</v>
      </c>
      <c r="E116" s="355">
        <v>160</v>
      </c>
      <c r="F116" s="1662">
        <v>72</v>
      </c>
      <c r="G116" s="903"/>
    </row>
    <row r="117" spans="1:7" x14ac:dyDescent="0.25">
      <c r="A117" s="2352" t="s">
        <v>14453</v>
      </c>
      <c r="B117" s="2352" t="s">
        <v>8850</v>
      </c>
      <c r="C117" s="2352" t="s">
        <v>8850</v>
      </c>
      <c r="D117" s="2352" t="s">
        <v>8965</v>
      </c>
      <c r="E117" s="355">
        <v>160</v>
      </c>
      <c r="F117" s="1662">
        <v>78</v>
      </c>
      <c r="G117" s="903"/>
    </row>
    <row r="118" spans="1:7" ht="15" customHeight="1" x14ac:dyDescent="0.25">
      <c r="A118" s="2352" t="s">
        <v>8097</v>
      </c>
      <c r="B118" s="2352" t="s">
        <v>8850</v>
      </c>
      <c r="C118" s="2352" t="s">
        <v>8850</v>
      </c>
      <c r="D118" s="2352" t="s">
        <v>8966</v>
      </c>
      <c r="E118" s="355">
        <v>100</v>
      </c>
      <c r="F118" s="1662">
        <v>49</v>
      </c>
      <c r="G118" s="903"/>
    </row>
    <row r="119" spans="1:7" ht="15" customHeight="1" x14ac:dyDescent="0.25">
      <c r="A119" s="2352" t="s">
        <v>8097</v>
      </c>
      <c r="B119" s="2352" t="s">
        <v>8850</v>
      </c>
      <c r="C119" s="2352" t="s">
        <v>8850</v>
      </c>
      <c r="D119" s="2352" t="s">
        <v>8967</v>
      </c>
      <c r="E119" s="355">
        <v>100</v>
      </c>
      <c r="F119" s="1662">
        <v>43</v>
      </c>
      <c r="G119" s="903"/>
    </row>
    <row r="120" spans="1:7" ht="15" customHeight="1" x14ac:dyDescent="0.25">
      <c r="A120" s="2352" t="s">
        <v>6798</v>
      </c>
      <c r="B120" s="2352" t="s">
        <v>8850</v>
      </c>
      <c r="C120" s="2352" t="s">
        <v>8850</v>
      </c>
      <c r="D120" s="2352" t="s">
        <v>8968</v>
      </c>
      <c r="E120" s="355">
        <v>4</v>
      </c>
      <c r="F120" s="1662">
        <v>0</v>
      </c>
      <c r="G120" s="903"/>
    </row>
    <row r="121" spans="1:7" ht="15" customHeight="1" x14ac:dyDescent="0.25">
      <c r="A121" s="2352" t="s">
        <v>14454</v>
      </c>
      <c r="B121" s="2352" t="s">
        <v>8850</v>
      </c>
      <c r="C121" s="2352" t="s">
        <v>8850</v>
      </c>
      <c r="D121" s="2352" t="s">
        <v>8969</v>
      </c>
      <c r="E121" s="355">
        <v>100</v>
      </c>
      <c r="F121" s="1662">
        <v>39</v>
      </c>
      <c r="G121" s="903"/>
    </row>
    <row r="122" spans="1:7" ht="15" customHeight="1" x14ac:dyDescent="0.25">
      <c r="A122" s="2352" t="s">
        <v>14455</v>
      </c>
      <c r="B122" s="2352" t="s">
        <v>8850</v>
      </c>
      <c r="C122" s="2352" t="s">
        <v>8850</v>
      </c>
      <c r="D122" s="2352" t="s">
        <v>8970</v>
      </c>
      <c r="E122" s="355">
        <v>4</v>
      </c>
      <c r="F122" s="1662">
        <v>0</v>
      </c>
      <c r="G122" s="903"/>
    </row>
    <row r="123" spans="1:7" ht="15" customHeight="1" x14ac:dyDescent="0.25">
      <c r="A123" s="2352" t="s">
        <v>14456</v>
      </c>
      <c r="B123" s="2352" t="s">
        <v>8850</v>
      </c>
      <c r="C123" s="2352" t="s">
        <v>8850</v>
      </c>
      <c r="D123" s="2352" t="s">
        <v>8971</v>
      </c>
      <c r="E123" s="355">
        <v>250</v>
      </c>
      <c r="F123" s="1662">
        <v>124</v>
      </c>
      <c r="G123" s="903"/>
    </row>
    <row r="124" spans="1:7" ht="15" customHeight="1" x14ac:dyDescent="0.25">
      <c r="A124" s="2352" t="s">
        <v>14457</v>
      </c>
      <c r="B124" s="2352" t="s">
        <v>8850</v>
      </c>
      <c r="C124" s="2352" t="s">
        <v>8850</v>
      </c>
      <c r="D124" s="2352" t="s">
        <v>8972</v>
      </c>
      <c r="E124" s="355">
        <v>100</v>
      </c>
      <c r="F124" s="1662">
        <v>47</v>
      </c>
      <c r="G124" s="903"/>
    </row>
    <row r="125" spans="1:7" ht="15" customHeight="1" x14ac:dyDescent="0.25">
      <c r="A125" s="2352" t="s">
        <v>14458</v>
      </c>
      <c r="B125" s="2352" t="s">
        <v>8850</v>
      </c>
      <c r="C125" s="2352" t="s">
        <v>8850</v>
      </c>
      <c r="D125" s="2352" t="s">
        <v>8973</v>
      </c>
      <c r="E125" s="355">
        <v>4</v>
      </c>
      <c r="F125" s="1662">
        <v>0</v>
      </c>
      <c r="G125" s="903"/>
    </row>
    <row r="126" spans="1:7" ht="15" customHeight="1" x14ac:dyDescent="0.25">
      <c r="A126" s="2352" t="s">
        <v>14459</v>
      </c>
      <c r="B126" s="2352" t="s">
        <v>8850</v>
      </c>
      <c r="C126" s="2352" t="s">
        <v>8850</v>
      </c>
      <c r="D126" s="2352" t="s">
        <v>8974</v>
      </c>
      <c r="E126" s="355">
        <v>20</v>
      </c>
      <c r="F126" s="1662">
        <v>5</v>
      </c>
      <c r="G126" s="903"/>
    </row>
    <row r="127" spans="1:7" ht="15" customHeight="1" x14ac:dyDescent="0.25">
      <c r="A127" s="2352" t="s">
        <v>14460</v>
      </c>
      <c r="B127" s="2352" t="s">
        <v>8850</v>
      </c>
      <c r="C127" s="2352" t="s">
        <v>8850</v>
      </c>
      <c r="D127" s="2352" t="s">
        <v>8975</v>
      </c>
      <c r="E127" s="355">
        <v>60</v>
      </c>
      <c r="F127" s="1662">
        <v>10</v>
      </c>
      <c r="G127" s="903"/>
    </row>
    <row r="128" spans="1:7" ht="15" customHeight="1" x14ac:dyDescent="0.25">
      <c r="A128" s="2352" t="s">
        <v>14461</v>
      </c>
      <c r="B128" s="2352" t="s">
        <v>8850</v>
      </c>
      <c r="C128" s="2352" t="s">
        <v>8850</v>
      </c>
      <c r="D128" s="2352" t="s">
        <v>8976</v>
      </c>
      <c r="E128" s="355">
        <v>160</v>
      </c>
      <c r="F128" s="1662">
        <v>47</v>
      </c>
      <c r="G128" s="903"/>
    </row>
    <row r="129" spans="1:7" ht="15" customHeight="1" x14ac:dyDescent="0.25">
      <c r="A129" s="2352" t="s">
        <v>14461</v>
      </c>
      <c r="B129" s="2352" t="s">
        <v>8850</v>
      </c>
      <c r="C129" s="2352" t="s">
        <v>8850</v>
      </c>
      <c r="D129" s="2352" t="s">
        <v>8977</v>
      </c>
      <c r="E129" s="355">
        <v>630</v>
      </c>
      <c r="F129" s="1662">
        <v>390</v>
      </c>
      <c r="G129" s="903"/>
    </row>
    <row r="130" spans="1:7" ht="15" customHeight="1" x14ac:dyDescent="0.25">
      <c r="A130" s="2352" t="s">
        <v>14462</v>
      </c>
      <c r="B130" s="2352" t="s">
        <v>8850</v>
      </c>
      <c r="C130" s="2352" t="s">
        <v>8850</v>
      </c>
      <c r="D130" s="2352" t="s">
        <v>8978</v>
      </c>
      <c r="E130" s="355">
        <v>160</v>
      </c>
      <c r="F130" s="1662">
        <v>84</v>
      </c>
      <c r="G130" s="903"/>
    </row>
    <row r="131" spans="1:7" ht="15" customHeight="1" x14ac:dyDescent="0.25">
      <c r="A131" s="2352" t="s">
        <v>14462</v>
      </c>
      <c r="B131" s="2352" t="s">
        <v>8850</v>
      </c>
      <c r="C131" s="2352" t="s">
        <v>8850</v>
      </c>
      <c r="D131" s="2352" t="s">
        <v>8979</v>
      </c>
      <c r="E131" s="355">
        <v>400</v>
      </c>
      <c r="F131" s="1662">
        <v>216</v>
      </c>
      <c r="G131" s="903"/>
    </row>
    <row r="132" spans="1:7" ht="15" customHeight="1" x14ac:dyDescent="0.25">
      <c r="A132" s="2352" t="s">
        <v>4263</v>
      </c>
      <c r="B132" s="2352" t="s">
        <v>8850</v>
      </c>
      <c r="C132" s="2352" t="s">
        <v>8850</v>
      </c>
      <c r="D132" s="2352" t="s">
        <v>8980</v>
      </c>
      <c r="E132" s="355">
        <v>160</v>
      </c>
      <c r="F132" s="1662">
        <v>74</v>
      </c>
      <c r="G132" s="903"/>
    </row>
    <row r="133" spans="1:7" ht="15" customHeight="1" x14ac:dyDescent="0.25">
      <c r="A133" s="2352" t="s">
        <v>14195</v>
      </c>
      <c r="B133" s="2352" t="s">
        <v>8850</v>
      </c>
      <c r="C133" s="2352" t="s">
        <v>8850</v>
      </c>
      <c r="D133" s="2352" t="s">
        <v>8959</v>
      </c>
      <c r="E133" s="355">
        <v>60</v>
      </c>
      <c r="F133" s="1662">
        <v>18</v>
      </c>
      <c r="G133" s="903"/>
    </row>
    <row r="134" spans="1:7" ht="15" customHeight="1" x14ac:dyDescent="0.25">
      <c r="A134" s="2352" t="s">
        <v>14463</v>
      </c>
      <c r="B134" s="2352" t="s">
        <v>8850</v>
      </c>
      <c r="C134" s="2352" t="s">
        <v>8850</v>
      </c>
      <c r="D134" s="2352" t="s">
        <v>8981</v>
      </c>
      <c r="E134" s="355">
        <v>60</v>
      </c>
      <c r="F134" s="1662">
        <v>14</v>
      </c>
      <c r="G134" s="903"/>
    </row>
    <row r="135" spans="1:7" ht="15" customHeight="1" x14ac:dyDescent="0.25">
      <c r="A135" s="2352" t="s">
        <v>14464</v>
      </c>
      <c r="B135" s="2352" t="s">
        <v>8850</v>
      </c>
      <c r="C135" s="2352" t="s">
        <v>8850</v>
      </c>
      <c r="D135" s="2352" t="s">
        <v>8982</v>
      </c>
      <c r="E135" s="355">
        <v>60</v>
      </c>
      <c r="F135" s="1662">
        <v>21</v>
      </c>
      <c r="G135" s="903"/>
    </row>
    <row r="136" spans="1:7" ht="15" customHeight="1" x14ac:dyDescent="0.25">
      <c r="A136" s="2352" t="s">
        <v>14465</v>
      </c>
      <c r="B136" s="2352" t="s">
        <v>8850</v>
      </c>
      <c r="C136" s="2352" t="s">
        <v>8850</v>
      </c>
      <c r="D136" s="2352" t="s">
        <v>8983</v>
      </c>
      <c r="E136" s="355">
        <v>10</v>
      </c>
      <c r="F136" s="1662">
        <v>0</v>
      </c>
      <c r="G136" s="903"/>
    </row>
    <row r="137" spans="1:7" ht="15" customHeight="1" x14ac:dyDescent="0.25">
      <c r="A137" s="2352" t="s">
        <v>11813</v>
      </c>
      <c r="B137" s="2352" t="s">
        <v>8850</v>
      </c>
      <c r="C137" s="2352" t="s">
        <v>8850</v>
      </c>
      <c r="D137" s="2352" t="s">
        <v>8984</v>
      </c>
      <c r="E137" s="355">
        <v>40</v>
      </c>
      <c r="F137" s="1662">
        <v>10</v>
      </c>
      <c r="G137" s="903"/>
    </row>
    <row r="138" spans="1:7" ht="15" customHeight="1" x14ac:dyDescent="0.25">
      <c r="A138" s="2352" t="s">
        <v>14466</v>
      </c>
      <c r="B138" s="2352" t="s">
        <v>8850</v>
      </c>
      <c r="C138" s="2352" t="s">
        <v>8850</v>
      </c>
      <c r="D138" s="2352" t="s">
        <v>8985</v>
      </c>
      <c r="E138" s="355">
        <v>100</v>
      </c>
      <c r="F138" s="1662">
        <v>47</v>
      </c>
      <c r="G138" s="903"/>
    </row>
    <row r="139" spans="1:7" ht="15" customHeight="1" x14ac:dyDescent="0.25">
      <c r="A139" s="2352" t="s">
        <v>14467</v>
      </c>
      <c r="B139" s="2352" t="s">
        <v>8850</v>
      </c>
      <c r="C139" s="2352" t="s">
        <v>8850</v>
      </c>
      <c r="D139" s="2352" t="s">
        <v>8986</v>
      </c>
      <c r="E139" s="355">
        <v>10</v>
      </c>
      <c r="F139" s="1662">
        <v>0</v>
      </c>
      <c r="G139" s="903"/>
    </row>
    <row r="140" spans="1:7" ht="15" customHeight="1" x14ac:dyDescent="0.25">
      <c r="A140" s="2352" t="s">
        <v>14468</v>
      </c>
      <c r="B140" s="2352" t="s">
        <v>8850</v>
      </c>
      <c r="C140" s="2352" t="s">
        <v>8850</v>
      </c>
      <c r="D140" s="2352" t="s">
        <v>8987</v>
      </c>
      <c r="E140" s="355">
        <v>10</v>
      </c>
      <c r="F140" s="1662">
        <v>0</v>
      </c>
      <c r="G140" s="903"/>
    </row>
    <row r="141" spans="1:7" ht="15" customHeight="1" x14ac:dyDescent="0.25">
      <c r="A141" s="2352" t="s">
        <v>14469</v>
      </c>
      <c r="B141" s="2352" t="s">
        <v>8850</v>
      </c>
      <c r="C141" s="2352" t="s">
        <v>8850</v>
      </c>
      <c r="D141" s="2352" t="s">
        <v>8988</v>
      </c>
      <c r="E141" s="355">
        <v>100</v>
      </c>
      <c r="F141" s="1662">
        <v>43</v>
      </c>
      <c r="G141" s="903"/>
    </row>
    <row r="142" spans="1:7" ht="15" customHeight="1" x14ac:dyDescent="0.25">
      <c r="A142" s="2352" t="s">
        <v>14469</v>
      </c>
      <c r="B142" s="2352" t="s">
        <v>8850</v>
      </c>
      <c r="C142" s="2352" t="s">
        <v>8850</v>
      </c>
      <c r="D142" s="2352" t="s">
        <v>8989</v>
      </c>
      <c r="E142" s="355">
        <v>160</v>
      </c>
      <c r="F142" s="1662">
        <v>76</v>
      </c>
      <c r="G142" s="903"/>
    </row>
    <row r="143" spans="1:7" ht="15" customHeight="1" x14ac:dyDescent="0.25">
      <c r="A143" s="2352" t="s">
        <v>14469</v>
      </c>
      <c r="B143" s="2352" t="s">
        <v>8850</v>
      </c>
      <c r="C143" s="2352" t="s">
        <v>8850</v>
      </c>
      <c r="D143" s="2352" t="s">
        <v>8990</v>
      </c>
      <c r="E143" s="355">
        <v>160</v>
      </c>
      <c r="F143" s="1662">
        <v>72</v>
      </c>
      <c r="G143" s="903"/>
    </row>
    <row r="144" spans="1:7" ht="15" customHeight="1" x14ac:dyDescent="0.25">
      <c r="A144" s="2352" t="s">
        <v>14470</v>
      </c>
      <c r="B144" s="2352" t="s">
        <v>8850</v>
      </c>
      <c r="C144" s="2352" t="s">
        <v>8850</v>
      </c>
      <c r="D144" s="2352" t="s">
        <v>8991</v>
      </c>
      <c r="E144" s="355">
        <v>30</v>
      </c>
      <c r="F144" s="1662">
        <v>0</v>
      </c>
      <c r="G144" s="903"/>
    </row>
    <row r="145" spans="1:7" ht="15" customHeight="1" x14ac:dyDescent="0.25">
      <c r="A145" s="2352" t="s">
        <v>14471</v>
      </c>
      <c r="B145" s="2352" t="s">
        <v>8850</v>
      </c>
      <c r="C145" s="2352" t="s">
        <v>8850</v>
      </c>
      <c r="D145" s="2352" t="s">
        <v>8992</v>
      </c>
      <c r="E145" s="355">
        <v>40</v>
      </c>
      <c r="F145" s="1662">
        <v>10</v>
      </c>
      <c r="G145" s="903"/>
    </row>
    <row r="146" spans="1:7" ht="15" customHeight="1" x14ac:dyDescent="0.25">
      <c r="A146" s="2352" t="s">
        <v>14472</v>
      </c>
      <c r="B146" s="2352" t="s">
        <v>8850</v>
      </c>
      <c r="C146" s="2352" t="s">
        <v>8850</v>
      </c>
      <c r="D146" s="2352" t="s">
        <v>8993</v>
      </c>
      <c r="E146" s="355">
        <v>30</v>
      </c>
      <c r="F146" s="1662">
        <v>0</v>
      </c>
      <c r="G146" s="903"/>
    </row>
    <row r="147" spans="1:7" ht="15" customHeight="1" x14ac:dyDescent="0.25">
      <c r="A147" s="2352" t="s">
        <v>7222</v>
      </c>
      <c r="B147" s="2352" t="s">
        <v>8850</v>
      </c>
      <c r="C147" s="2352" t="s">
        <v>8850</v>
      </c>
      <c r="D147" s="2352" t="s">
        <v>8994</v>
      </c>
      <c r="E147" s="355">
        <v>160</v>
      </c>
      <c r="F147" s="1662">
        <v>62</v>
      </c>
      <c r="G147" s="903"/>
    </row>
    <row r="148" spans="1:7" ht="15" customHeight="1" x14ac:dyDescent="0.25">
      <c r="A148" s="2352" t="s">
        <v>7222</v>
      </c>
      <c r="B148" s="2352" t="s">
        <v>8850</v>
      </c>
      <c r="C148" s="2352" t="s">
        <v>8850</v>
      </c>
      <c r="D148" s="2352" t="s">
        <v>8995</v>
      </c>
      <c r="E148" s="355">
        <v>250</v>
      </c>
      <c r="F148" s="1662">
        <v>147</v>
      </c>
      <c r="G148" s="903"/>
    </row>
    <row r="149" spans="1:7" ht="15" customHeight="1" x14ac:dyDescent="0.25">
      <c r="A149" s="2352" t="s">
        <v>7222</v>
      </c>
      <c r="B149" s="2352" t="s">
        <v>8850</v>
      </c>
      <c r="C149" s="2352" t="s">
        <v>8850</v>
      </c>
      <c r="D149" s="2352" t="s">
        <v>8996</v>
      </c>
      <c r="E149" s="355">
        <v>160</v>
      </c>
      <c r="F149" s="1662">
        <v>64</v>
      </c>
      <c r="G149" s="903"/>
    </row>
    <row r="150" spans="1:7" ht="15" customHeight="1" x14ac:dyDescent="0.25">
      <c r="A150" s="2352" t="s">
        <v>7222</v>
      </c>
      <c r="B150" s="2352" t="s">
        <v>8850</v>
      </c>
      <c r="C150" s="2352" t="s">
        <v>8850</v>
      </c>
      <c r="D150" s="2352" t="s">
        <v>8997</v>
      </c>
      <c r="E150" s="355">
        <v>160</v>
      </c>
      <c r="F150" s="1662">
        <v>71</v>
      </c>
      <c r="G150" s="903"/>
    </row>
    <row r="151" spans="1:7" ht="15" customHeight="1" x14ac:dyDescent="0.25">
      <c r="A151" s="2352" t="s">
        <v>7222</v>
      </c>
      <c r="B151" s="2352" t="s">
        <v>8850</v>
      </c>
      <c r="C151" s="2352" t="s">
        <v>8850</v>
      </c>
      <c r="D151" s="2352" t="s">
        <v>8998</v>
      </c>
      <c r="E151" s="355">
        <v>250</v>
      </c>
      <c r="F151" s="1662">
        <v>128</v>
      </c>
      <c r="G151" s="903"/>
    </row>
    <row r="152" spans="1:7" ht="15" customHeight="1" x14ac:dyDescent="0.25">
      <c r="A152" s="2352" t="s">
        <v>14471</v>
      </c>
      <c r="B152" s="2352" t="s">
        <v>8850</v>
      </c>
      <c r="C152" s="2352" t="s">
        <v>8850</v>
      </c>
      <c r="D152" s="2352" t="s">
        <v>8999</v>
      </c>
      <c r="E152" s="355">
        <v>63</v>
      </c>
      <c r="F152" s="1662">
        <v>10</v>
      </c>
      <c r="G152" s="903"/>
    </row>
    <row r="153" spans="1:7" ht="15" customHeight="1" x14ac:dyDescent="0.25">
      <c r="A153" s="2352" t="s">
        <v>14471</v>
      </c>
      <c r="B153" s="2352" t="s">
        <v>8850</v>
      </c>
      <c r="C153" s="2352" t="s">
        <v>8850</v>
      </c>
      <c r="D153" s="2352" t="s">
        <v>9000</v>
      </c>
      <c r="E153" s="355">
        <v>30</v>
      </c>
      <c r="F153" s="1662">
        <v>15</v>
      </c>
      <c r="G153" s="903"/>
    </row>
    <row r="154" spans="1:7" ht="15" customHeight="1" x14ac:dyDescent="0.25">
      <c r="A154" s="2352" t="s">
        <v>14471</v>
      </c>
      <c r="B154" s="2352" t="s">
        <v>8850</v>
      </c>
      <c r="C154" s="2352" t="s">
        <v>8850</v>
      </c>
      <c r="D154" s="2352" t="s">
        <v>9001</v>
      </c>
      <c r="E154" s="355">
        <v>100</v>
      </c>
      <c r="F154" s="1662">
        <v>41</v>
      </c>
      <c r="G154" s="903"/>
    </row>
    <row r="155" spans="1:7" ht="15" customHeight="1" x14ac:dyDescent="0.25">
      <c r="A155" s="2352" t="s">
        <v>14473</v>
      </c>
      <c r="B155" s="2352" t="s">
        <v>8850</v>
      </c>
      <c r="C155" s="2352" t="s">
        <v>8850</v>
      </c>
      <c r="D155" s="2352" t="s">
        <v>9002</v>
      </c>
      <c r="E155" s="355">
        <v>30</v>
      </c>
      <c r="F155" s="1662">
        <v>10</v>
      </c>
      <c r="G155" s="903"/>
    </row>
    <row r="156" spans="1:7" ht="15" customHeight="1" x14ac:dyDescent="0.25">
      <c r="A156" s="2352" t="s">
        <v>14474</v>
      </c>
      <c r="B156" s="2352" t="s">
        <v>8850</v>
      </c>
      <c r="C156" s="2352" t="s">
        <v>8850</v>
      </c>
      <c r="D156" s="2352" t="s">
        <v>9003</v>
      </c>
      <c r="E156" s="355">
        <v>250</v>
      </c>
      <c r="F156" s="1662">
        <v>110</v>
      </c>
      <c r="G156" s="903"/>
    </row>
    <row r="157" spans="1:7" ht="15" customHeight="1" x14ac:dyDescent="0.25">
      <c r="A157" s="2352" t="s">
        <v>14474</v>
      </c>
      <c r="B157" s="2352" t="s">
        <v>8850</v>
      </c>
      <c r="C157" s="2352" t="s">
        <v>8850</v>
      </c>
      <c r="D157" s="2352" t="s">
        <v>9004</v>
      </c>
      <c r="E157" s="355">
        <v>250</v>
      </c>
      <c r="F157" s="1662">
        <v>121</v>
      </c>
      <c r="G157" s="903"/>
    </row>
    <row r="158" spans="1:7" ht="15" customHeight="1" x14ac:dyDescent="0.25">
      <c r="A158" s="2352" t="s">
        <v>14474</v>
      </c>
      <c r="B158" s="2352" t="s">
        <v>8850</v>
      </c>
      <c r="C158" s="2352" t="s">
        <v>8850</v>
      </c>
      <c r="D158" s="2352" t="s">
        <v>9005</v>
      </c>
      <c r="E158" s="355">
        <v>250</v>
      </c>
      <c r="F158" s="1662">
        <v>104</v>
      </c>
      <c r="G158" s="903"/>
    </row>
    <row r="159" spans="1:7" ht="15" customHeight="1" x14ac:dyDescent="0.25">
      <c r="A159" s="2352" t="s">
        <v>10703</v>
      </c>
      <c r="B159" s="2352" t="s">
        <v>8850</v>
      </c>
      <c r="C159" s="2352" t="s">
        <v>8850</v>
      </c>
      <c r="D159" s="2352" t="s">
        <v>9006</v>
      </c>
      <c r="E159" s="355">
        <v>30</v>
      </c>
      <c r="F159" s="1662">
        <v>10</v>
      </c>
      <c r="G159" s="903"/>
    </row>
    <row r="160" spans="1:7" ht="15" customHeight="1" x14ac:dyDescent="0.25">
      <c r="A160" s="2352" t="s">
        <v>14133</v>
      </c>
      <c r="B160" s="2352" t="s">
        <v>8850</v>
      </c>
      <c r="C160" s="2352" t="s">
        <v>8850</v>
      </c>
      <c r="D160" s="2352" t="s">
        <v>9007</v>
      </c>
      <c r="E160" s="355">
        <v>60</v>
      </c>
      <c r="F160" s="1662">
        <v>16</v>
      </c>
      <c r="G160" s="903"/>
    </row>
    <row r="161" spans="1:7" ht="15" customHeight="1" x14ac:dyDescent="0.25">
      <c r="A161" s="2352" t="s">
        <v>14475</v>
      </c>
      <c r="B161" s="2352" t="s">
        <v>8850</v>
      </c>
      <c r="C161" s="2352" t="s">
        <v>8850</v>
      </c>
      <c r="D161" s="2352" t="s">
        <v>9008</v>
      </c>
      <c r="E161" s="355">
        <v>10</v>
      </c>
      <c r="F161" s="1662">
        <v>0</v>
      </c>
      <c r="G161" s="903"/>
    </row>
    <row r="162" spans="1:7" ht="15" customHeight="1" x14ac:dyDescent="0.25">
      <c r="A162" s="2352" t="s">
        <v>5110</v>
      </c>
      <c r="B162" s="2352" t="s">
        <v>8850</v>
      </c>
      <c r="C162" s="2352" t="s">
        <v>8850</v>
      </c>
      <c r="D162" s="2352" t="s">
        <v>9009</v>
      </c>
      <c r="E162" s="355">
        <v>40</v>
      </c>
      <c r="F162" s="1662">
        <v>13</v>
      </c>
      <c r="G162" s="903"/>
    </row>
    <row r="163" spans="1:7" ht="15" customHeight="1" x14ac:dyDescent="0.25">
      <c r="A163" s="2352" t="s">
        <v>14476</v>
      </c>
      <c r="B163" s="2352" t="s">
        <v>8850</v>
      </c>
      <c r="C163" s="2352" t="s">
        <v>8850</v>
      </c>
      <c r="D163" s="2352" t="s">
        <v>9010</v>
      </c>
      <c r="E163" s="355">
        <v>160</v>
      </c>
      <c r="F163" s="1662">
        <v>79</v>
      </c>
      <c r="G163" s="903"/>
    </row>
    <row r="164" spans="1:7" ht="15" customHeight="1" x14ac:dyDescent="0.25">
      <c r="A164" s="2352" t="s">
        <v>4157</v>
      </c>
      <c r="B164" s="2352" t="s">
        <v>8850</v>
      </c>
      <c r="C164" s="2352" t="s">
        <v>8850</v>
      </c>
      <c r="D164" s="2352" t="s">
        <v>9011</v>
      </c>
      <c r="E164" s="355">
        <v>160</v>
      </c>
      <c r="F164" s="1662">
        <v>61</v>
      </c>
      <c r="G164" s="903"/>
    </row>
    <row r="165" spans="1:7" ht="15" customHeight="1" x14ac:dyDescent="0.25">
      <c r="A165" s="2352" t="s">
        <v>10934</v>
      </c>
      <c r="B165" s="2352" t="s">
        <v>8850</v>
      </c>
      <c r="C165" s="2352" t="s">
        <v>8850</v>
      </c>
      <c r="D165" s="2352" t="s">
        <v>9012</v>
      </c>
      <c r="E165" s="355">
        <v>10</v>
      </c>
      <c r="F165" s="1662">
        <v>0</v>
      </c>
      <c r="G165" s="903"/>
    </row>
    <row r="166" spans="1:7" ht="15" customHeight="1" x14ac:dyDescent="0.25">
      <c r="A166" s="2352" t="s">
        <v>14477</v>
      </c>
      <c r="B166" s="2352" t="s">
        <v>8850</v>
      </c>
      <c r="C166" s="2352" t="s">
        <v>8850</v>
      </c>
      <c r="D166" s="2352" t="s">
        <v>9013</v>
      </c>
      <c r="E166" s="355">
        <v>10</v>
      </c>
      <c r="F166" s="1662">
        <v>0</v>
      </c>
      <c r="G166" s="903"/>
    </row>
    <row r="167" spans="1:7" ht="15" customHeight="1" x14ac:dyDescent="0.25">
      <c r="A167" s="2352" t="s">
        <v>14478</v>
      </c>
      <c r="B167" s="2352" t="s">
        <v>8850</v>
      </c>
      <c r="C167" s="2352" t="s">
        <v>8850</v>
      </c>
      <c r="D167" s="2352" t="s">
        <v>9014</v>
      </c>
      <c r="E167" s="355">
        <v>40</v>
      </c>
      <c r="F167" s="1662">
        <v>11</v>
      </c>
      <c r="G167" s="903"/>
    </row>
    <row r="168" spans="1:7" ht="15" customHeight="1" x14ac:dyDescent="0.25">
      <c r="A168" s="2352" t="s">
        <v>14400</v>
      </c>
      <c r="B168" s="2352" t="s">
        <v>8850</v>
      </c>
      <c r="C168" s="2352" t="s">
        <v>8850</v>
      </c>
      <c r="D168" s="2352" t="s">
        <v>9015</v>
      </c>
      <c r="E168" s="355">
        <v>63</v>
      </c>
      <c r="F168" s="1662">
        <v>16</v>
      </c>
      <c r="G168" s="903"/>
    </row>
    <row r="169" spans="1:7" ht="15" customHeight="1" x14ac:dyDescent="0.25">
      <c r="A169" s="2352" t="s">
        <v>14479</v>
      </c>
      <c r="B169" s="2352" t="s">
        <v>8850</v>
      </c>
      <c r="C169" s="2352" t="s">
        <v>8850</v>
      </c>
      <c r="D169" s="2352" t="s">
        <v>9016</v>
      </c>
      <c r="E169" s="355">
        <v>4</v>
      </c>
      <c r="F169" s="1662">
        <v>0</v>
      </c>
      <c r="G169" s="903"/>
    </row>
    <row r="170" spans="1:7" ht="15" customHeight="1" x14ac:dyDescent="0.25">
      <c r="A170" s="2352" t="s">
        <v>14480</v>
      </c>
      <c r="B170" s="2352" t="s">
        <v>8850</v>
      </c>
      <c r="C170" s="2352" t="s">
        <v>8850</v>
      </c>
      <c r="D170" s="2352" t="s">
        <v>9017</v>
      </c>
      <c r="E170" s="355">
        <v>30</v>
      </c>
      <c r="F170" s="1662">
        <v>10</v>
      </c>
      <c r="G170" s="903"/>
    </row>
    <row r="171" spans="1:7" ht="15" customHeight="1" x14ac:dyDescent="0.25">
      <c r="A171" s="2352" t="s">
        <v>14481</v>
      </c>
      <c r="B171" s="2352" t="s">
        <v>8850</v>
      </c>
      <c r="C171" s="2352" t="s">
        <v>8850</v>
      </c>
      <c r="D171" s="2352" t="s">
        <v>9018</v>
      </c>
      <c r="E171" s="355">
        <v>25</v>
      </c>
      <c r="F171" s="1662">
        <v>0</v>
      </c>
      <c r="G171" s="903"/>
    </row>
    <row r="172" spans="1:7" ht="15" customHeight="1" x14ac:dyDescent="0.25">
      <c r="A172" s="2352" t="s">
        <v>9019</v>
      </c>
      <c r="B172" s="2352" t="s">
        <v>8850</v>
      </c>
      <c r="C172" s="2352" t="s">
        <v>8850</v>
      </c>
      <c r="D172" s="2352" t="s">
        <v>9020</v>
      </c>
      <c r="E172" s="355">
        <v>30</v>
      </c>
      <c r="F172" s="1662">
        <v>10</v>
      </c>
      <c r="G172" s="903"/>
    </row>
    <row r="173" spans="1:7" ht="15" customHeight="1" x14ac:dyDescent="0.25">
      <c r="A173" s="2352" t="s">
        <v>14482</v>
      </c>
      <c r="B173" s="2352" t="s">
        <v>8850</v>
      </c>
      <c r="C173" s="2352" t="s">
        <v>8850</v>
      </c>
      <c r="D173" s="2352" t="s">
        <v>9021</v>
      </c>
      <c r="E173" s="355">
        <v>25</v>
      </c>
      <c r="F173" s="1662">
        <v>10</v>
      </c>
      <c r="G173" s="903"/>
    </row>
    <row r="174" spans="1:7" ht="15" customHeight="1" x14ac:dyDescent="0.25">
      <c r="A174" s="2352" t="s">
        <v>14483</v>
      </c>
      <c r="B174" s="2352" t="s">
        <v>8850</v>
      </c>
      <c r="C174" s="2352" t="s">
        <v>8850</v>
      </c>
      <c r="D174" s="2352" t="s">
        <v>9022</v>
      </c>
      <c r="E174" s="355">
        <v>100</v>
      </c>
      <c r="F174" s="1662">
        <v>39</v>
      </c>
      <c r="G174" s="903"/>
    </row>
    <row r="175" spans="1:7" ht="15" customHeight="1" x14ac:dyDescent="0.25">
      <c r="A175" s="2352" t="s">
        <v>6476</v>
      </c>
      <c r="B175" s="2352" t="s">
        <v>8850</v>
      </c>
      <c r="C175" s="2352" t="s">
        <v>8850</v>
      </c>
      <c r="D175" s="2352" t="s">
        <v>9023</v>
      </c>
      <c r="E175" s="355">
        <v>160</v>
      </c>
      <c r="F175" s="1662">
        <v>74</v>
      </c>
      <c r="G175" s="903"/>
    </row>
    <row r="176" spans="1:7" ht="15" customHeight="1" x14ac:dyDescent="0.25">
      <c r="A176" s="2352" t="s">
        <v>6476</v>
      </c>
      <c r="B176" s="2352" t="s">
        <v>8850</v>
      </c>
      <c r="C176" s="2352" t="s">
        <v>8850</v>
      </c>
      <c r="D176" s="2352" t="s">
        <v>9024</v>
      </c>
      <c r="E176" s="355">
        <v>250</v>
      </c>
      <c r="F176" s="1662">
        <v>121</v>
      </c>
      <c r="G176" s="903"/>
    </row>
    <row r="177" spans="1:7" ht="15" customHeight="1" x14ac:dyDescent="0.25">
      <c r="A177" s="2352" t="s">
        <v>6476</v>
      </c>
      <c r="B177" s="2352" t="s">
        <v>8850</v>
      </c>
      <c r="C177" s="2352" t="s">
        <v>8850</v>
      </c>
      <c r="D177" s="2352" t="s">
        <v>9025</v>
      </c>
      <c r="E177" s="355">
        <v>400</v>
      </c>
      <c r="F177" s="1662">
        <v>209</v>
      </c>
      <c r="G177" s="903"/>
    </row>
    <row r="178" spans="1:7" ht="15" customHeight="1" x14ac:dyDescent="0.25">
      <c r="A178" s="2352" t="s">
        <v>6476</v>
      </c>
      <c r="B178" s="2352" t="s">
        <v>8850</v>
      </c>
      <c r="C178" s="2352" t="s">
        <v>8850</v>
      </c>
      <c r="D178" s="2352" t="s">
        <v>9026</v>
      </c>
      <c r="E178" s="355">
        <v>160</v>
      </c>
      <c r="F178" s="1662">
        <v>62</v>
      </c>
      <c r="G178" s="903"/>
    </row>
    <row r="179" spans="1:7" ht="15" customHeight="1" x14ac:dyDescent="0.25">
      <c r="A179" s="2352" t="s">
        <v>6476</v>
      </c>
      <c r="B179" s="2352" t="s">
        <v>8850</v>
      </c>
      <c r="C179" s="2352" t="s">
        <v>8850</v>
      </c>
      <c r="D179" s="2352" t="s">
        <v>9027</v>
      </c>
      <c r="E179" s="355">
        <v>160</v>
      </c>
      <c r="F179" s="1662">
        <v>59</v>
      </c>
      <c r="G179" s="903"/>
    </row>
    <row r="180" spans="1:7" ht="15" customHeight="1" x14ac:dyDescent="0.25">
      <c r="A180" s="2352" t="s">
        <v>14484</v>
      </c>
      <c r="B180" s="2352" t="s">
        <v>8850</v>
      </c>
      <c r="C180" s="2352" t="s">
        <v>8850</v>
      </c>
      <c r="D180" s="2352" t="s">
        <v>9028</v>
      </c>
      <c r="E180" s="355">
        <v>30</v>
      </c>
      <c r="F180" s="1662">
        <v>30</v>
      </c>
      <c r="G180" s="903"/>
    </row>
    <row r="181" spans="1:7" ht="15" customHeight="1" x14ac:dyDescent="0.25">
      <c r="A181" s="2352" t="s">
        <v>14485</v>
      </c>
      <c r="B181" s="2352" t="s">
        <v>8850</v>
      </c>
      <c r="C181" s="2352" t="s">
        <v>8850</v>
      </c>
      <c r="D181" s="2352" t="s">
        <v>9029</v>
      </c>
      <c r="E181" s="355">
        <v>100</v>
      </c>
      <c r="F181" s="1662">
        <v>39</v>
      </c>
      <c r="G181" s="903"/>
    </row>
    <row r="182" spans="1:7" ht="15" customHeight="1" x14ac:dyDescent="0.25">
      <c r="A182" s="2352" t="s">
        <v>9030</v>
      </c>
      <c r="B182" s="2352" t="s">
        <v>8850</v>
      </c>
      <c r="C182" s="2352" t="s">
        <v>8850</v>
      </c>
      <c r="D182" s="2352" t="s">
        <v>9031</v>
      </c>
      <c r="E182" s="355">
        <v>10</v>
      </c>
      <c r="F182" s="1662">
        <v>10</v>
      </c>
      <c r="G182" s="903"/>
    </row>
    <row r="183" spans="1:7" ht="15" customHeight="1" x14ac:dyDescent="0.25">
      <c r="A183" s="2352" t="s">
        <v>14486</v>
      </c>
      <c r="B183" s="2352" t="s">
        <v>8850</v>
      </c>
      <c r="C183" s="2352" t="s">
        <v>8850</v>
      </c>
      <c r="D183" s="2352" t="s">
        <v>9032</v>
      </c>
      <c r="E183" s="355">
        <v>30</v>
      </c>
      <c r="F183" s="1662">
        <v>10</v>
      </c>
      <c r="G183" s="903"/>
    </row>
    <row r="184" spans="1:7" ht="15" customHeight="1" x14ac:dyDescent="0.25">
      <c r="A184" s="2352" t="s">
        <v>14487</v>
      </c>
      <c r="B184" s="2352" t="s">
        <v>8850</v>
      </c>
      <c r="C184" s="2352" t="s">
        <v>8850</v>
      </c>
      <c r="D184" s="2352" t="s">
        <v>9033</v>
      </c>
      <c r="E184" s="355">
        <v>36</v>
      </c>
      <c r="F184" s="1662">
        <v>15</v>
      </c>
      <c r="G184" s="903"/>
    </row>
    <row r="185" spans="1:7" ht="15" customHeight="1" x14ac:dyDescent="0.25">
      <c r="A185" s="2352" t="s">
        <v>14471</v>
      </c>
      <c r="B185" s="2352" t="s">
        <v>8850</v>
      </c>
      <c r="C185" s="2352" t="s">
        <v>8850</v>
      </c>
      <c r="D185" s="2352" t="s">
        <v>9034</v>
      </c>
      <c r="E185" s="355" t="s">
        <v>4202</v>
      </c>
      <c r="F185" s="1662">
        <v>105</v>
      </c>
      <c r="G185" s="903"/>
    </row>
    <row r="186" spans="1:7" ht="15" customHeight="1" x14ac:dyDescent="0.25">
      <c r="A186" s="2352" t="s">
        <v>14471</v>
      </c>
      <c r="B186" s="2352" t="s">
        <v>8850</v>
      </c>
      <c r="C186" s="2352" t="s">
        <v>8850</v>
      </c>
      <c r="D186" s="2352" t="s">
        <v>9035</v>
      </c>
      <c r="E186" s="355" t="s">
        <v>4199</v>
      </c>
      <c r="F186" s="1662">
        <v>164</v>
      </c>
      <c r="G186" s="903"/>
    </row>
    <row r="187" spans="1:7" ht="15" customHeight="1" x14ac:dyDescent="0.25">
      <c r="A187" s="2352" t="s">
        <v>14471</v>
      </c>
      <c r="B187" s="2352" t="s">
        <v>8850</v>
      </c>
      <c r="C187" s="2352" t="s">
        <v>8850</v>
      </c>
      <c r="D187" s="2352" t="s">
        <v>9036</v>
      </c>
      <c r="E187" s="355" t="s">
        <v>4202</v>
      </c>
      <c r="F187" s="1662">
        <v>108</v>
      </c>
      <c r="G187" s="903"/>
    </row>
    <row r="188" spans="1:7" ht="15" customHeight="1" x14ac:dyDescent="0.25">
      <c r="A188" s="2352" t="s">
        <v>14471</v>
      </c>
      <c r="B188" s="2352" t="s">
        <v>8850</v>
      </c>
      <c r="C188" s="2352" t="s">
        <v>8850</v>
      </c>
      <c r="D188" s="2352" t="s">
        <v>9037</v>
      </c>
      <c r="E188" s="355" t="s">
        <v>4202</v>
      </c>
      <c r="F188" s="1662">
        <v>98</v>
      </c>
      <c r="G188" s="903"/>
    </row>
    <row r="189" spans="1:7" ht="15" customHeight="1" x14ac:dyDescent="0.25">
      <c r="A189" s="2352" t="s">
        <v>14471</v>
      </c>
      <c r="B189" s="2352" t="s">
        <v>8850</v>
      </c>
      <c r="C189" s="2352" t="s">
        <v>8850</v>
      </c>
      <c r="D189" s="2352" t="s">
        <v>9038</v>
      </c>
      <c r="E189" s="355" t="s">
        <v>4202</v>
      </c>
      <c r="F189" s="1662">
        <v>92</v>
      </c>
      <c r="G189" s="903"/>
    </row>
    <row r="190" spans="1:7" ht="15" customHeight="1" x14ac:dyDescent="0.25">
      <c r="A190" s="2352" t="s">
        <v>14471</v>
      </c>
      <c r="B190" s="2352" t="s">
        <v>8850</v>
      </c>
      <c r="C190" s="2352" t="s">
        <v>8850</v>
      </c>
      <c r="D190" s="2352" t="s">
        <v>9039</v>
      </c>
      <c r="E190" s="355" t="s">
        <v>4202</v>
      </c>
      <c r="F190" s="1662">
        <v>103</v>
      </c>
      <c r="G190" s="903"/>
    </row>
    <row r="191" spans="1:7" ht="15" customHeight="1" x14ac:dyDescent="0.25">
      <c r="A191" s="2352" t="s">
        <v>3688</v>
      </c>
      <c r="B191" s="2352" t="s">
        <v>15712</v>
      </c>
      <c r="C191" s="2352" t="s">
        <v>15712</v>
      </c>
      <c r="D191" s="2352" t="s">
        <v>15713</v>
      </c>
      <c r="E191" s="355">
        <v>50</v>
      </c>
      <c r="F191" s="1662">
        <v>30</v>
      </c>
      <c r="G191" s="903"/>
    </row>
    <row r="192" spans="1:7" ht="15" customHeight="1" x14ac:dyDescent="0.25">
      <c r="A192" s="2352" t="s">
        <v>15714</v>
      </c>
      <c r="B192" s="2352" t="s">
        <v>15712</v>
      </c>
      <c r="C192" s="2352" t="s">
        <v>15712</v>
      </c>
      <c r="D192" s="2352" t="s">
        <v>15715</v>
      </c>
      <c r="E192" s="355">
        <v>160</v>
      </c>
      <c r="F192" s="1662">
        <v>20</v>
      </c>
      <c r="G192" s="903"/>
    </row>
    <row r="193" spans="1:7" ht="15" customHeight="1" x14ac:dyDescent="0.25">
      <c r="A193" s="2352" t="s">
        <v>15716</v>
      </c>
      <c r="B193" s="2352" t="s">
        <v>15712</v>
      </c>
      <c r="C193" s="2352" t="s">
        <v>15712</v>
      </c>
      <c r="D193" s="2352" t="s">
        <v>15717</v>
      </c>
      <c r="E193" s="355">
        <v>250</v>
      </c>
      <c r="F193" s="1662">
        <v>230</v>
      </c>
      <c r="G193" s="903"/>
    </row>
    <row r="194" spans="1:7" ht="15" customHeight="1" x14ac:dyDescent="0.25">
      <c r="A194" s="2352" t="s">
        <v>15718</v>
      </c>
      <c r="B194" s="2352" t="s">
        <v>15712</v>
      </c>
      <c r="C194" s="2352" t="s">
        <v>15712</v>
      </c>
      <c r="D194" s="2352" t="s">
        <v>15719</v>
      </c>
      <c r="E194" s="355">
        <v>60</v>
      </c>
      <c r="F194" s="1662">
        <v>40</v>
      </c>
      <c r="G194" s="903"/>
    </row>
    <row r="195" spans="1:7" ht="15" customHeight="1" x14ac:dyDescent="0.25">
      <c r="A195" s="2352" t="s">
        <v>14401</v>
      </c>
      <c r="B195" s="2352" t="s">
        <v>15712</v>
      </c>
      <c r="C195" s="2352" t="s">
        <v>15712</v>
      </c>
      <c r="D195" s="2352" t="s">
        <v>15720</v>
      </c>
      <c r="E195" s="355">
        <v>400</v>
      </c>
      <c r="F195" s="1662">
        <v>350</v>
      </c>
      <c r="G195" s="903"/>
    </row>
    <row r="196" spans="1:7" ht="15" customHeight="1" x14ac:dyDescent="0.25">
      <c r="A196" s="2352" t="s">
        <v>15721</v>
      </c>
      <c r="B196" s="2352" t="s">
        <v>15712</v>
      </c>
      <c r="C196" s="2352" t="s">
        <v>15712</v>
      </c>
      <c r="D196" s="2352" t="s">
        <v>15722</v>
      </c>
      <c r="E196" s="355">
        <v>400</v>
      </c>
      <c r="F196" s="1662">
        <v>300</v>
      </c>
      <c r="G196" s="903"/>
    </row>
    <row r="197" spans="1:7" ht="15" customHeight="1" x14ac:dyDescent="0.25">
      <c r="A197" s="2352" t="s">
        <v>4904</v>
      </c>
      <c r="B197" s="2352" t="s">
        <v>15712</v>
      </c>
      <c r="C197" s="2352" t="s">
        <v>15712</v>
      </c>
      <c r="D197" s="2352" t="s">
        <v>15723</v>
      </c>
      <c r="E197" s="355">
        <v>100</v>
      </c>
      <c r="F197" s="1662">
        <v>70</v>
      </c>
      <c r="G197" s="903"/>
    </row>
    <row r="198" spans="1:7" ht="15" customHeight="1" x14ac:dyDescent="0.25">
      <c r="A198" s="2352" t="s">
        <v>8300</v>
      </c>
      <c r="B198" s="2352" t="s">
        <v>15712</v>
      </c>
      <c r="C198" s="2352" t="s">
        <v>15712</v>
      </c>
      <c r="D198" s="2352" t="s">
        <v>15724</v>
      </c>
      <c r="E198" s="355">
        <v>400</v>
      </c>
      <c r="F198" s="1662">
        <v>350</v>
      </c>
      <c r="G198" s="903"/>
    </row>
    <row r="199" spans="1:7" ht="15" customHeight="1" x14ac:dyDescent="0.25">
      <c r="A199" s="2352" t="s">
        <v>15725</v>
      </c>
      <c r="B199" s="2352" t="s">
        <v>15712</v>
      </c>
      <c r="C199" s="2352" t="s">
        <v>15712</v>
      </c>
      <c r="D199" s="2352" t="s">
        <v>15726</v>
      </c>
      <c r="E199" s="355" t="s">
        <v>4199</v>
      </c>
      <c r="F199" s="1662">
        <v>700</v>
      </c>
      <c r="G199" s="903"/>
    </row>
    <row r="200" spans="1:7" ht="15" customHeight="1" x14ac:dyDescent="0.25">
      <c r="A200" s="2352" t="s">
        <v>7226</v>
      </c>
      <c r="B200" s="2352" t="s">
        <v>15712</v>
      </c>
      <c r="C200" s="2352" t="s">
        <v>15712</v>
      </c>
      <c r="D200" s="2352" t="s">
        <v>15727</v>
      </c>
      <c r="E200" s="355" t="s">
        <v>15728</v>
      </c>
      <c r="F200" s="1662" t="s">
        <v>15728</v>
      </c>
      <c r="G200" s="903"/>
    </row>
    <row r="201" spans="1:7" ht="15" customHeight="1" x14ac:dyDescent="0.25">
      <c r="A201" s="2352" t="s">
        <v>15729</v>
      </c>
      <c r="B201" s="2352" t="s">
        <v>15712</v>
      </c>
      <c r="C201" s="2352" t="s">
        <v>15712</v>
      </c>
      <c r="D201" s="2352" t="s">
        <v>15730</v>
      </c>
      <c r="E201" s="355" t="s">
        <v>4202</v>
      </c>
      <c r="F201" s="1662">
        <v>240</v>
      </c>
      <c r="G201" s="903"/>
    </row>
    <row r="202" spans="1:7" ht="15" customHeight="1" x14ac:dyDescent="0.25">
      <c r="A202" s="2352" t="s">
        <v>15731</v>
      </c>
      <c r="B202" s="2352" t="s">
        <v>15712</v>
      </c>
      <c r="C202" s="2352" t="s">
        <v>15712</v>
      </c>
      <c r="D202" s="2352" t="s">
        <v>15732</v>
      </c>
      <c r="E202" s="355" t="s">
        <v>4199</v>
      </c>
      <c r="F202" s="1662">
        <v>680</v>
      </c>
      <c r="G202" s="903"/>
    </row>
    <row r="203" spans="1:7" ht="15" customHeight="1" x14ac:dyDescent="0.25">
      <c r="A203" s="2352" t="s">
        <v>15733</v>
      </c>
      <c r="B203" s="2352" t="s">
        <v>15712</v>
      </c>
      <c r="C203" s="2352" t="s">
        <v>15712</v>
      </c>
      <c r="D203" s="2352" t="s">
        <v>15734</v>
      </c>
      <c r="E203" s="355" t="s">
        <v>4199</v>
      </c>
      <c r="F203" s="1662">
        <v>785</v>
      </c>
      <c r="G203" s="903"/>
    </row>
    <row r="204" spans="1:7" ht="15" customHeight="1" x14ac:dyDescent="0.25">
      <c r="A204" s="2352" t="s">
        <v>9373</v>
      </c>
      <c r="B204" s="2352" t="s">
        <v>15712</v>
      </c>
      <c r="C204" s="2352" t="s">
        <v>15712</v>
      </c>
      <c r="D204" s="2352" t="s">
        <v>15735</v>
      </c>
      <c r="E204" s="355" t="s">
        <v>4200</v>
      </c>
      <c r="F204" s="1662">
        <v>40</v>
      </c>
      <c r="G204" s="903"/>
    </row>
    <row r="205" spans="1:7" ht="15" customHeight="1" x14ac:dyDescent="0.25">
      <c r="A205" s="2352" t="s">
        <v>15736</v>
      </c>
      <c r="B205" s="2352" t="s">
        <v>15712</v>
      </c>
      <c r="C205" s="2352" t="s">
        <v>15712</v>
      </c>
      <c r="D205" s="2352" t="s">
        <v>15737</v>
      </c>
      <c r="E205" s="355">
        <v>400</v>
      </c>
      <c r="F205" s="1662">
        <v>50</v>
      </c>
      <c r="G205" s="903"/>
    </row>
    <row r="206" spans="1:7" ht="15" customHeight="1" x14ac:dyDescent="0.25">
      <c r="A206" s="2352" t="s">
        <v>15738</v>
      </c>
      <c r="B206" s="2352" t="s">
        <v>15712</v>
      </c>
      <c r="C206" s="2352" t="s">
        <v>15712</v>
      </c>
      <c r="D206" s="2352" t="s">
        <v>15739</v>
      </c>
      <c r="E206" s="355" t="s">
        <v>15740</v>
      </c>
      <c r="F206" s="1662">
        <v>700</v>
      </c>
      <c r="G206" s="903"/>
    </row>
    <row r="207" spans="1:7" ht="15" customHeight="1" x14ac:dyDescent="0.25">
      <c r="A207" s="2352" t="s">
        <v>15741</v>
      </c>
      <c r="B207" s="2352" t="s">
        <v>15712</v>
      </c>
      <c r="C207" s="2352" t="s">
        <v>15712</v>
      </c>
      <c r="D207" s="2352" t="s">
        <v>15742</v>
      </c>
      <c r="E207" s="355" t="s">
        <v>4201</v>
      </c>
      <c r="F207" s="1662">
        <v>50</v>
      </c>
      <c r="G207" s="903"/>
    </row>
    <row r="208" spans="1:7" ht="15" customHeight="1" x14ac:dyDescent="0.25">
      <c r="A208" s="2352" t="s">
        <v>6512</v>
      </c>
      <c r="B208" s="2352" t="s">
        <v>15712</v>
      </c>
      <c r="C208" s="2352" t="s">
        <v>15712</v>
      </c>
      <c r="D208" s="2352" t="s">
        <v>15743</v>
      </c>
      <c r="E208" s="355" t="s">
        <v>6280</v>
      </c>
      <c r="F208" s="1662">
        <v>400</v>
      </c>
      <c r="G208" s="903"/>
    </row>
    <row r="209" spans="1:7" ht="15" customHeight="1" x14ac:dyDescent="0.25">
      <c r="A209" s="2352" t="s">
        <v>15744</v>
      </c>
      <c r="B209" s="2352" t="s">
        <v>15712</v>
      </c>
      <c r="C209" s="2352" t="s">
        <v>15712</v>
      </c>
      <c r="D209" s="2352" t="s">
        <v>15745</v>
      </c>
      <c r="E209" s="355" t="s">
        <v>12433</v>
      </c>
      <c r="F209" s="1662">
        <v>160</v>
      </c>
      <c r="G209" s="903"/>
    </row>
    <row r="210" spans="1:7" ht="15" customHeight="1" x14ac:dyDescent="0.25">
      <c r="A210" s="2352" t="s">
        <v>15744</v>
      </c>
      <c r="B210" s="2352" t="s">
        <v>15712</v>
      </c>
      <c r="C210" s="2352" t="s">
        <v>15712</v>
      </c>
      <c r="D210" s="2352" t="s">
        <v>15746</v>
      </c>
      <c r="E210" s="355" t="s">
        <v>4202</v>
      </c>
      <c r="F210" s="1662">
        <v>450</v>
      </c>
      <c r="G210" s="903"/>
    </row>
    <row r="211" spans="1:7" ht="15" customHeight="1" x14ac:dyDescent="0.25">
      <c r="A211" s="2352" t="s">
        <v>15747</v>
      </c>
      <c r="B211" s="2352" t="s">
        <v>15712</v>
      </c>
      <c r="C211" s="2352" t="s">
        <v>15712</v>
      </c>
      <c r="D211" s="2352" t="s">
        <v>15748</v>
      </c>
      <c r="E211" s="355" t="s">
        <v>15749</v>
      </c>
      <c r="F211" s="1662">
        <v>100</v>
      </c>
      <c r="G211" s="903"/>
    </row>
    <row r="212" spans="1:7" ht="15" customHeight="1" x14ac:dyDescent="0.25">
      <c r="A212" s="2352" t="s">
        <v>15747</v>
      </c>
      <c r="B212" s="2352" t="s">
        <v>15712</v>
      </c>
      <c r="C212" s="2352" t="s">
        <v>15712</v>
      </c>
      <c r="D212" s="2352" t="s">
        <v>15750</v>
      </c>
      <c r="E212" s="355">
        <v>630</v>
      </c>
      <c r="F212" s="1662">
        <v>200</v>
      </c>
      <c r="G212" s="903"/>
    </row>
    <row r="213" spans="1:7" ht="15" customHeight="1" x14ac:dyDescent="0.25">
      <c r="A213" s="2352" t="s">
        <v>15747</v>
      </c>
      <c r="B213" s="2352" t="s">
        <v>15712</v>
      </c>
      <c r="C213" s="2352" t="s">
        <v>15712</v>
      </c>
      <c r="D213" s="2352" t="s">
        <v>15751</v>
      </c>
      <c r="E213" s="355">
        <v>400</v>
      </c>
      <c r="F213" s="1662">
        <v>100</v>
      </c>
      <c r="G213" s="903"/>
    </row>
    <row r="214" spans="1:7" ht="15" customHeight="1" x14ac:dyDescent="0.25">
      <c r="A214" s="2352" t="s">
        <v>15752</v>
      </c>
      <c r="B214" s="2352" t="s">
        <v>15712</v>
      </c>
      <c r="C214" s="2352" t="s">
        <v>15712</v>
      </c>
      <c r="D214" s="2352" t="s">
        <v>15753</v>
      </c>
      <c r="E214" s="355" t="s">
        <v>4199</v>
      </c>
      <c r="F214" s="1662">
        <v>750</v>
      </c>
      <c r="G214" s="903"/>
    </row>
    <row r="215" spans="1:7" ht="15" customHeight="1" x14ac:dyDescent="0.25">
      <c r="A215" s="2352" t="s">
        <v>14401</v>
      </c>
      <c r="B215" s="2352" t="s">
        <v>15712</v>
      </c>
      <c r="C215" s="2352" t="s">
        <v>15712</v>
      </c>
      <c r="D215" s="2352" t="s">
        <v>15754</v>
      </c>
      <c r="E215" s="355" t="s">
        <v>4199</v>
      </c>
      <c r="F215" s="1662">
        <v>480</v>
      </c>
      <c r="G215" s="903"/>
    </row>
    <row r="216" spans="1:7" ht="15" customHeight="1" x14ac:dyDescent="0.25">
      <c r="A216" s="2352" t="s">
        <v>15755</v>
      </c>
      <c r="B216" s="2352" t="s">
        <v>15712</v>
      </c>
      <c r="C216" s="2352" t="s">
        <v>15712</v>
      </c>
      <c r="D216" s="2352" t="s">
        <v>15756</v>
      </c>
      <c r="E216" s="355" t="s">
        <v>4199</v>
      </c>
      <c r="F216" s="1662">
        <v>680</v>
      </c>
      <c r="G216" s="903"/>
    </row>
    <row r="217" spans="1:7" ht="15" customHeight="1" x14ac:dyDescent="0.25">
      <c r="A217" s="2352" t="s">
        <v>15755</v>
      </c>
      <c r="B217" s="2352" t="s">
        <v>15712</v>
      </c>
      <c r="C217" s="2352" t="s">
        <v>15712</v>
      </c>
      <c r="D217" s="2352" t="s">
        <v>15757</v>
      </c>
      <c r="E217" s="355" t="s">
        <v>4199</v>
      </c>
      <c r="F217" s="1662">
        <v>690</v>
      </c>
      <c r="G217" s="903"/>
    </row>
    <row r="218" spans="1:7" ht="15" customHeight="1" x14ac:dyDescent="0.25">
      <c r="A218" s="2352" t="s">
        <v>15755</v>
      </c>
      <c r="B218" s="2352" t="s">
        <v>15712</v>
      </c>
      <c r="C218" s="2352" t="s">
        <v>15712</v>
      </c>
      <c r="D218" s="2352" t="s">
        <v>15758</v>
      </c>
      <c r="E218" s="355" t="s">
        <v>4199</v>
      </c>
      <c r="F218" s="1662">
        <v>720</v>
      </c>
      <c r="G218" s="903"/>
    </row>
    <row r="219" spans="1:7" ht="15" customHeight="1" x14ac:dyDescent="0.25">
      <c r="A219" s="2352" t="s">
        <v>15759</v>
      </c>
      <c r="B219" s="2352" t="s">
        <v>15712</v>
      </c>
      <c r="C219" s="2352" t="s">
        <v>15712</v>
      </c>
      <c r="D219" s="2352" t="s">
        <v>15760</v>
      </c>
      <c r="E219" s="355">
        <v>250</v>
      </c>
      <c r="F219" s="1662">
        <v>150</v>
      </c>
      <c r="G219" s="903"/>
    </row>
    <row r="220" spans="1:7" ht="15" customHeight="1" x14ac:dyDescent="0.25">
      <c r="A220" s="2352" t="s">
        <v>15761</v>
      </c>
      <c r="B220" s="2352" t="s">
        <v>15712</v>
      </c>
      <c r="C220" s="2352" t="s">
        <v>15712</v>
      </c>
      <c r="D220" s="2352" t="s">
        <v>15762</v>
      </c>
      <c r="E220" s="355">
        <v>630</v>
      </c>
      <c r="F220" s="1662">
        <v>500</v>
      </c>
      <c r="G220" s="903"/>
    </row>
    <row r="221" spans="1:7" ht="15" customHeight="1" x14ac:dyDescent="0.25">
      <c r="A221" s="2352" t="s">
        <v>15763</v>
      </c>
      <c r="B221" s="2352" t="s">
        <v>15712</v>
      </c>
      <c r="C221" s="2352" t="s">
        <v>15712</v>
      </c>
      <c r="D221" s="2352" t="s">
        <v>15764</v>
      </c>
      <c r="E221" s="355">
        <v>400</v>
      </c>
      <c r="F221" s="1662">
        <v>295</v>
      </c>
      <c r="G221" s="903"/>
    </row>
    <row r="222" spans="1:7" ht="15" customHeight="1" x14ac:dyDescent="0.25">
      <c r="A222" s="2352" t="s">
        <v>15763</v>
      </c>
      <c r="B222" s="2352" t="s">
        <v>15712</v>
      </c>
      <c r="C222" s="2352" t="s">
        <v>15712</v>
      </c>
      <c r="D222" s="2352" t="s">
        <v>15765</v>
      </c>
      <c r="E222" s="355">
        <v>160</v>
      </c>
      <c r="F222" s="1662">
        <v>60</v>
      </c>
      <c r="G222" s="903"/>
    </row>
    <row r="223" spans="1:7" ht="15" customHeight="1" x14ac:dyDescent="0.25">
      <c r="A223" s="2352" t="s">
        <v>15766</v>
      </c>
      <c r="B223" s="2352" t="s">
        <v>15712</v>
      </c>
      <c r="C223" s="2352" t="s">
        <v>15712</v>
      </c>
      <c r="D223" s="2352" t="s">
        <v>15767</v>
      </c>
      <c r="E223" s="355" t="s">
        <v>4202</v>
      </c>
      <c r="F223" s="1662">
        <v>320</v>
      </c>
      <c r="G223" s="903"/>
    </row>
    <row r="224" spans="1:7" ht="15" customHeight="1" x14ac:dyDescent="0.25">
      <c r="A224" s="2352" t="s">
        <v>15733</v>
      </c>
      <c r="B224" s="2352" t="s">
        <v>15712</v>
      </c>
      <c r="C224" s="2352" t="s">
        <v>15712</v>
      </c>
      <c r="D224" s="2352" t="s">
        <v>15768</v>
      </c>
      <c r="E224" s="355" t="s">
        <v>4202</v>
      </c>
      <c r="F224" s="1662">
        <v>350</v>
      </c>
      <c r="G224" s="903"/>
    </row>
    <row r="225" spans="1:7" ht="15" customHeight="1" x14ac:dyDescent="0.25">
      <c r="A225" s="2352" t="s">
        <v>15733</v>
      </c>
      <c r="B225" s="2352" t="s">
        <v>15712</v>
      </c>
      <c r="C225" s="2352" t="s">
        <v>15712</v>
      </c>
      <c r="D225" s="2352" t="s">
        <v>15769</v>
      </c>
      <c r="E225" s="355" t="s">
        <v>4202</v>
      </c>
      <c r="F225" s="1662">
        <v>480</v>
      </c>
      <c r="G225" s="903"/>
    </row>
    <row r="226" spans="1:7" ht="15" customHeight="1" x14ac:dyDescent="0.25">
      <c r="A226" s="2352" t="s">
        <v>15755</v>
      </c>
      <c r="B226" s="2352" t="s">
        <v>15712</v>
      </c>
      <c r="C226" s="2352" t="s">
        <v>15712</v>
      </c>
      <c r="D226" s="2352" t="s">
        <v>15770</v>
      </c>
      <c r="E226" s="355" t="s">
        <v>4199</v>
      </c>
      <c r="F226" s="1662">
        <v>700</v>
      </c>
      <c r="G226" s="903"/>
    </row>
    <row r="227" spans="1:7" ht="15" customHeight="1" x14ac:dyDescent="0.25">
      <c r="A227" s="2352" t="s">
        <v>15755</v>
      </c>
      <c r="B227" s="2352" t="s">
        <v>15712</v>
      </c>
      <c r="C227" s="2352" t="s">
        <v>15712</v>
      </c>
      <c r="D227" s="2352" t="s">
        <v>15771</v>
      </c>
      <c r="E227" s="355">
        <v>400</v>
      </c>
      <c r="F227" s="1662">
        <v>350</v>
      </c>
      <c r="G227" s="903"/>
    </row>
    <row r="228" spans="1:7" ht="15" customHeight="1" x14ac:dyDescent="0.25">
      <c r="A228" s="2352" t="s">
        <v>15772</v>
      </c>
      <c r="B228" s="2352" t="s">
        <v>15712</v>
      </c>
      <c r="C228" s="2352" t="s">
        <v>15712</v>
      </c>
      <c r="D228" s="2352" t="s">
        <v>15773</v>
      </c>
      <c r="E228" s="355">
        <v>250</v>
      </c>
      <c r="F228" s="1662">
        <v>190</v>
      </c>
      <c r="G228" s="903"/>
    </row>
    <row r="229" spans="1:7" ht="15" customHeight="1" x14ac:dyDescent="0.25">
      <c r="A229" s="2352" t="s">
        <v>15772</v>
      </c>
      <c r="B229" s="2352" t="s">
        <v>15712</v>
      </c>
      <c r="C229" s="2352" t="s">
        <v>15712</v>
      </c>
      <c r="D229" s="2352" t="s">
        <v>15774</v>
      </c>
      <c r="E229" s="355">
        <v>400</v>
      </c>
      <c r="F229" s="1662">
        <v>300</v>
      </c>
      <c r="G229" s="903"/>
    </row>
    <row r="230" spans="1:7" ht="15" customHeight="1" x14ac:dyDescent="0.25">
      <c r="A230" s="2352" t="s">
        <v>15775</v>
      </c>
      <c r="B230" s="2352" t="s">
        <v>15712</v>
      </c>
      <c r="C230" s="2352" t="s">
        <v>15712</v>
      </c>
      <c r="D230" s="2352" t="s">
        <v>15776</v>
      </c>
      <c r="E230" s="355">
        <v>60</v>
      </c>
      <c r="F230" s="1662">
        <v>40</v>
      </c>
      <c r="G230" s="903"/>
    </row>
    <row r="231" spans="1:7" ht="15" customHeight="1" x14ac:dyDescent="0.25">
      <c r="A231" s="2352" t="s">
        <v>15744</v>
      </c>
      <c r="B231" s="2352" t="s">
        <v>15712</v>
      </c>
      <c r="C231" s="2352" t="s">
        <v>15712</v>
      </c>
      <c r="D231" s="2352" t="s">
        <v>15777</v>
      </c>
      <c r="E231" s="355">
        <v>250</v>
      </c>
      <c r="F231" s="1662">
        <v>220</v>
      </c>
      <c r="G231" s="903"/>
    </row>
    <row r="232" spans="1:7" ht="15" customHeight="1" x14ac:dyDescent="0.25">
      <c r="A232" s="2352" t="s">
        <v>8300</v>
      </c>
      <c r="B232" s="2352" t="s">
        <v>15712</v>
      </c>
      <c r="C232" s="2352" t="s">
        <v>15712</v>
      </c>
      <c r="D232" s="2352" t="s">
        <v>15778</v>
      </c>
      <c r="E232" s="355">
        <v>250</v>
      </c>
      <c r="F232" s="1662">
        <v>240</v>
      </c>
      <c r="G232" s="903"/>
    </row>
    <row r="233" spans="1:7" ht="15" customHeight="1" x14ac:dyDescent="0.25">
      <c r="A233" s="2352" t="s">
        <v>6703</v>
      </c>
      <c r="B233" s="2352" t="s">
        <v>15712</v>
      </c>
      <c r="C233" s="2352" t="s">
        <v>15712</v>
      </c>
      <c r="D233" s="2352" t="s">
        <v>15779</v>
      </c>
      <c r="E233" s="355">
        <v>100</v>
      </c>
      <c r="F233" s="1662">
        <v>80</v>
      </c>
      <c r="G233" s="903"/>
    </row>
    <row r="234" spans="1:7" ht="15" customHeight="1" x14ac:dyDescent="0.25">
      <c r="A234" s="2352" t="s">
        <v>7417</v>
      </c>
      <c r="B234" s="2352" t="s">
        <v>15712</v>
      </c>
      <c r="C234" s="2352" t="s">
        <v>15712</v>
      </c>
      <c r="D234" s="2352" t="s">
        <v>15780</v>
      </c>
      <c r="E234" s="355">
        <v>160</v>
      </c>
      <c r="F234" s="1662">
        <v>60</v>
      </c>
      <c r="G234" s="903"/>
    </row>
    <row r="235" spans="1:7" ht="15" customHeight="1" x14ac:dyDescent="0.25">
      <c r="A235" s="2352" t="s">
        <v>7417</v>
      </c>
      <c r="B235" s="2352" t="s">
        <v>15712</v>
      </c>
      <c r="C235" s="2352" t="s">
        <v>15712</v>
      </c>
      <c r="D235" s="2352" t="s">
        <v>15781</v>
      </c>
      <c r="E235" s="355">
        <v>100</v>
      </c>
      <c r="F235" s="1662">
        <v>15</v>
      </c>
      <c r="G235" s="903"/>
    </row>
    <row r="236" spans="1:7" ht="15" customHeight="1" x14ac:dyDescent="0.25">
      <c r="A236" s="2352" t="s">
        <v>7417</v>
      </c>
      <c r="B236" s="2352" t="s">
        <v>15712</v>
      </c>
      <c r="C236" s="2352" t="s">
        <v>15712</v>
      </c>
      <c r="D236" s="2352" t="s">
        <v>15782</v>
      </c>
      <c r="E236" s="355">
        <v>100</v>
      </c>
      <c r="F236" s="1662">
        <v>35</v>
      </c>
      <c r="G236" s="903"/>
    </row>
    <row r="237" spans="1:7" ht="15" customHeight="1" x14ac:dyDescent="0.25">
      <c r="A237" s="2352" t="s">
        <v>7417</v>
      </c>
      <c r="B237" s="2352" t="s">
        <v>15712</v>
      </c>
      <c r="C237" s="2352" t="s">
        <v>15712</v>
      </c>
      <c r="D237" s="2352" t="s">
        <v>15783</v>
      </c>
      <c r="E237" s="355">
        <v>160</v>
      </c>
      <c r="F237" s="1662">
        <v>60</v>
      </c>
      <c r="G237" s="903"/>
    </row>
    <row r="238" spans="1:7" ht="15" customHeight="1" x14ac:dyDescent="0.25">
      <c r="A238" s="2352" t="s">
        <v>15784</v>
      </c>
      <c r="B238" s="2352" t="s">
        <v>15712</v>
      </c>
      <c r="C238" s="2352" t="s">
        <v>15712</v>
      </c>
      <c r="D238" s="2352" t="s">
        <v>15785</v>
      </c>
      <c r="E238" s="355">
        <v>250</v>
      </c>
      <c r="F238" s="1662">
        <v>150</v>
      </c>
      <c r="G238" s="903"/>
    </row>
    <row r="239" spans="1:7" ht="15" customHeight="1" x14ac:dyDescent="0.25">
      <c r="A239" s="2352" t="s">
        <v>15786</v>
      </c>
      <c r="B239" s="2352" t="s">
        <v>15712</v>
      </c>
      <c r="C239" s="2352" t="s">
        <v>15712</v>
      </c>
      <c r="D239" s="2352" t="s">
        <v>15787</v>
      </c>
      <c r="E239" s="355">
        <v>100</v>
      </c>
      <c r="F239" s="1662">
        <v>50</v>
      </c>
      <c r="G239" s="903"/>
    </row>
    <row r="240" spans="1:7" ht="15" customHeight="1" x14ac:dyDescent="0.25">
      <c r="A240" s="2352" t="s">
        <v>15788</v>
      </c>
      <c r="B240" s="2352" t="s">
        <v>15712</v>
      </c>
      <c r="C240" s="2352" t="s">
        <v>15712</v>
      </c>
      <c r="D240" s="2352" t="s">
        <v>15789</v>
      </c>
      <c r="E240" s="355">
        <v>25</v>
      </c>
      <c r="F240" s="1662">
        <v>0</v>
      </c>
      <c r="G240" s="903"/>
    </row>
    <row r="241" spans="1:7" ht="15" customHeight="1" x14ac:dyDescent="0.25">
      <c r="A241" s="2352" t="s">
        <v>15790</v>
      </c>
      <c r="B241" s="2352" t="s">
        <v>15712</v>
      </c>
      <c r="C241" s="2352" t="s">
        <v>15712</v>
      </c>
      <c r="D241" s="2352" t="s">
        <v>15791</v>
      </c>
      <c r="E241" s="355">
        <v>630</v>
      </c>
      <c r="F241" s="1662">
        <v>620</v>
      </c>
      <c r="G241" s="903"/>
    </row>
    <row r="242" spans="1:7" ht="15" customHeight="1" x14ac:dyDescent="0.25">
      <c r="A242" s="2352" t="s">
        <v>15792</v>
      </c>
      <c r="B242" s="2352" t="s">
        <v>15712</v>
      </c>
      <c r="C242" s="2352" t="s">
        <v>15712</v>
      </c>
      <c r="D242" s="2352" t="s">
        <v>15793</v>
      </c>
      <c r="E242" s="355">
        <v>60</v>
      </c>
      <c r="F242" s="1662">
        <v>15</v>
      </c>
      <c r="G242" s="903"/>
    </row>
    <row r="243" spans="1:7" ht="15" customHeight="1" x14ac:dyDescent="0.25">
      <c r="A243" s="2352" t="s">
        <v>15794</v>
      </c>
      <c r="B243" s="2352" t="s">
        <v>15712</v>
      </c>
      <c r="C243" s="2352" t="s">
        <v>15712</v>
      </c>
      <c r="D243" s="2352" t="s">
        <v>15795</v>
      </c>
      <c r="E243" s="355">
        <v>100</v>
      </c>
      <c r="F243" s="1662">
        <v>25</v>
      </c>
      <c r="G243" s="903"/>
    </row>
    <row r="244" spans="1:7" ht="15" customHeight="1" x14ac:dyDescent="0.25">
      <c r="A244" s="2352" t="s">
        <v>15794</v>
      </c>
      <c r="B244" s="2352" t="s">
        <v>15712</v>
      </c>
      <c r="C244" s="2352" t="s">
        <v>15712</v>
      </c>
      <c r="D244" s="2352" t="s">
        <v>15796</v>
      </c>
      <c r="E244" s="355">
        <v>160</v>
      </c>
      <c r="F244" s="1662">
        <v>60</v>
      </c>
      <c r="G244" s="903"/>
    </row>
    <row r="245" spans="1:7" ht="15" customHeight="1" x14ac:dyDescent="0.25">
      <c r="A245" s="2352" t="s">
        <v>15747</v>
      </c>
      <c r="B245" s="2352" t="s">
        <v>15712</v>
      </c>
      <c r="C245" s="2352" t="s">
        <v>15712</v>
      </c>
      <c r="D245" s="2352" t="s">
        <v>15797</v>
      </c>
      <c r="E245" s="355">
        <v>250</v>
      </c>
      <c r="F245" s="1662">
        <v>50</v>
      </c>
      <c r="G245" s="903"/>
    </row>
    <row r="246" spans="1:7" ht="15" customHeight="1" x14ac:dyDescent="0.25">
      <c r="A246" s="2352" t="s">
        <v>15747</v>
      </c>
      <c r="B246" s="2352" t="s">
        <v>15712</v>
      </c>
      <c r="C246" s="2352" t="s">
        <v>15712</v>
      </c>
      <c r="D246" s="2352" t="s">
        <v>15798</v>
      </c>
      <c r="E246" s="355">
        <v>160</v>
      </c>
      <c r="F246" s="1662">
        <v>30</v>
      </c>
      <c r="G246" s="903"/>
    </row>
    <row r="247" spans="1:7" ht="15" customHeight="1" x14ac:dyDescent="0.25">
      <c r="A247" s="2352" t="s">
        <v>14618</v>
      </c>
      <c r="B247" s="2352" t="s">
        <v>15712</v>
      </c>
      <c r="C247" s="2352" t="s">
        <v>15712</v>
      </c>
      <c r="D247" s="2352" t="s">
        <v>15799</v>
      </c>
      <c r="E247" s="355">
        <v>60</v>
      </c>
      <c r="F247" s="1662">
        <v>15</v>
      </c>
      <c r="G247" s="903"/>
    </row>
    <row r="248" spans="1:7" ht="15" customHeight="1" x14ac:dyDescent="0.25">
      <c r="A248" s="2352" t="s">
        <v>15800</v>
      </c>
      <c r="B248" s="2352" t="s">
        <v>15712</v>
      </c>
      <c r="C248" s="2352" t="s">
        <v>15712</v>
      </c>
      <c r="D248" s="2352" t="s">
        <v>15801</v>
      </c>
      <c r="E248" s="355">
        <v>30</v>
      </c>
      <c r="F248" s="1662">
        <v>10</v>
      </c>
      <c r="G248" s="903"/>
    </row>
    <row r="249" spans="1:7" ht="15" customHeight="1" x14ac:dyDescent="0.25">
      <c r="A249" s="2352" t="s">
        <v>15802</v>
      </c>
      <c r="B249" s="2352" t="s">
        <v>15712</v>
      </c>
      <c r="C249" s="2352" t="s">
        <v>15712</v>
      </c>
      <c r="D249" s="2352" t="s">
        <v>15803</v>
      </c>
      <c r="E249" s="355">
        <v>30</v>
      </c>
      <c r="F249" s="1662">
        <v>5</v>
      </c>
      <c r="G249" s="903"/>
    </row>
    <row r="250" spans="1:7" ht="15" customHeight="1" x14ac:dyDescent="0.25">
      <c r="A250" s="2352" t="s">
        <v>15804</v>
      </c>
      <c r="B250" s="2352" t="s">
        <v>15712</v>
      </c>
      <c r="C250" s="2352" t="s">
        <v>15712</v>
      </c>
      <c r="D250" s="2352" t="s">
        <v>15805</v>
      </c>
      <c r="E250" s="355">
        <v>30</v>
      </c>
      <c r="F250" s="1662">
        <v>5</v>
      </c>
      <c r="G250" s="903"/>
    </row>
    <row r="251" spans="1:7" ht="15" customHeight="1" x14ac:dyDescent="0.25">
      <c r="A251" s="2352" t="s">
        <v>15806</v>
      </c>
      <c r="B251" s="2352" t="s">
        <v>15712</v>
      </c>
      <c r="C251" s="2352" t="s">
        <v>15712</v>
      </c>
      <c r="D251" s="2352" t="s">
        <v>15807</v>
      </c>
      <c r="E251" s="355">
        <v>100</v>
      </c>
      <c r="F251" s="1662">
        <v>15</v>
      </c>
      <c r="G251" s="903"/>
    </row>
    <row r="252" spans="1:7" ht="15" customHeight="1" x14ac:dyDescent="0.25">
      <c r="A252" s="2352" t="s">
        <v>15808</v>
      </c>
      <c r="B252" s="2352" t="s">
        <v>15712</v>
      </c>
      <c r="C252" s="2352" t="s">
        <v>15712</v>
      </c>
      <c r="D252" s="2352" t="s">
        <v>15809</v>
      </c>
      <c r="E252" s="355">
        <v>63</v>
      </c>
      <c r="F252" s="1662">
        <v>15</v>
      </c>
      <c r="G252" s="903"/>
    </row>
    <row r="253" spans="1:7" ht="15" customHeight="1" x14ac:dyDescent="0.25">
      <c r="A253" s="2352" t="s">
        <v>15810</v>
      </c>
      <c r="B253" s="2352" t="s">
        <v>15712</v>
      </c>
      <c r="C253" s="2352" t="s">
        <v>15712</v>
      </c>
      <c r="D253" s="2352" t="s">
        <v>15811</v>
      </c>
      <c r="E253" s="355">
        <v>100</v>
      </c>
      <c r="F253" s="1662">
        <v>5</v>
      </c>
      <c r="G253" s="903"/>
    </row>
    <row r="254" spans="1:7" ht="15" customHeight="1" x14ac:dyDescent="0.25">
      <c r="A254" s="2352" t="s">
        <v>15810</v>
      </c>
      <c r="B254" s="2352" t="s">
        <v>15712</v>
      </c>
      <c r="C254" s="2352" t="s">
        <v>15712</v>
      </c>
      <c r="D254" s="2352" t="s">
        <v>15812</v>
      </c>
      <c r="E254" s="355">
        <v>40</v>
      </c>
      <c r="F254" s="1662">
        <v>0</v>
      </c>
      <c r="G254" s="903"/>
    </row>
    <row r="255" spans="1:7" ht="15" customHeight="1" x14ac:dyDescent="0.25">
      <c r="A255" s="2352" t="s">
        <v>15813</v>
      </c>
      <c r="B255" s="2352" t="s">
        <v>15712</v>
      </c>
      <c r="C255" s="2352" t="s">
        <v>15712</v>
      </c>
      <c r="D255" s="2352" t="s">
        <v>15814</v>
      </c>
      <c r="E255" s="355">
        <v>10</v>
      </c>
      <c r="F255" s="1662">
        <v>5</v>
      </c>
      <c r="G255" s="903"/>
    </row>
    <row r="256" spans="1:7" ht="15" customHeight="1" x14ac:dyDescent="0.25">
      <c r="A256" s="2352" t="s">
        <v>15815</v>
      </c>
      <c r="B256" s="2352" t="s">
        <v>15712</v>
      </c>
      <c r="C256" s="2352" t="s">
        <v>15712</v>
      </c>
      <c r="D256" s="2352" t="s">
        <v>15816</v>
      </c>
      <c r="E256" s="355">
        <v>250</v>
      </c>
      <c r="F256" s="1662">
        <v>70</v>
      </c>
      <c r="G256" s="903"/>
    </row>
    <row r="257" spans="1:7" ht="15" customHeight="1" x14ac:dyDescent="0.25">
      <c r="A257" s="2352" t="s">
        <v>15817</v>
      </c>
      <c r="B257" s="2352" t="s">
        <v>15712</v>
      </c>
      <c r="C257" s="2352" t="s">
        <v>15712</v>
      </c>
      <c r="D257" s="2352" t="s">
        <v>15818</v>
      </c>
      <c r="E257" s="355">
        <v>50</v>
      </c>
      <c r="F257" s="1662">
        <v>20</v>
      </c>
      <c r="G257" s="903"/>
    </row>
    <row r="258" spans="1:7" ht="15" customHeight="1" x14ac:dyDescent="0.25">
      <c r="A258" s="2352" t="s">
        <v>15819</v>
      </c>
      <c r="B258" s="2352" t="s">
        <v>15712</v>
      </c>
      <c r="C258" s="2352" t="s">
        <v>15712</v>
      </c>
      <c r="D258" s="2352" t="s">
        <v>15820</v>
      </c>
      <c r="E258" s="355">
        <v>160</v>
      </c>
      <c r="F258" s="1662">
        <v>50</v>
      </c>
      <c r="G258" s="903"/>
    </row>
    <row r="259" spans="1:7" ht="15" customHeight="1" x14ac:dyDescent="0.25">
      <c r="A259" s="2352" t="s">
        <v>15819</v>
      </c>
      <c r="B259" s="2352" t="s">
        <v>15712</v>
      </c>
      <c r="C259" s="2352" t="s">
        <v>15712</v>
      </c>
      <c r="D259" s="2352" t="s">
        <v>15821</v>
      </c>
      <c r="E259" s="355">
        <v>160</v>
      </c>
      <c r="F259" s="1662">
        <v>35</v>
      </c>
      <c r="G259" s="903"/>
    </row>
    <row r="260" spans="1:7" ht="15" customHeight="1" x14ac:dyDescent="0.25">
      <c r="A260" s="2352" t="s">
        <v>6524</v>
      </c>
      <c r="B260" s="2352" t="s">
        <v>15712</v>
      </c>
      <c r="C260" s="2352" t="s">
        <v>15712</v>
      </c>
      <c r="D260" s="2352" t="s">
        <v>15822</v>
      </c>
      <c r="E260" s="355">
        <v>60</v>
      </c>
      <c r="F260" s="1662">
        <v>30</v>
      </c>
      <c r="G260" s="903"/>
    </row>
    <row r="261" spans="1:7" ht="15" customHeight="1" x14ac:dyDescent="0.25">
      <c r="A261" s="2352" t="s">
        <v>15819</v>
      </c>
      <c r="B261" s="2352" t="s">
        <v>15712</v>
      </c>
      <c r="C261" s="2352" t="s">
        <v>15712</v>
      </c>
      <c r="D261" s="2352" t="s">
        <v>15823</v>
      </c>
      <c r="E261" s="355">
        <v>250</v>
      </c>
      <c r="F261" s="1662">
        <v>150</v>
      </c>
      <c r="G261" s="903"/>
    </row>
    <row r="262" spans="1:7" ht="15" customHeight="1" x14ac:dyDescent="0.25">
      <c r="A262" s="2352" t="s">
        <v>9373</v>
      </c>
      <c r="B262" s="2352" t="s">
        <v>15712</v>
      </c>
      <c r="C262" s="2352" t="s">
        <v>15712</v>
      </c>
      <c r="D262" s="2352" t="s">
        <v>15824</v>
      </c>
      <c r="E262" s="355">
        <v>400</v>
      </c>
      <c r="F262" s="1662">
        <v>300</v>
      </c>
      <c r="G262" s="903"/>
    </row>
    <row r="263" spans="1:7" ht="15" customHeight="1" x14ac:dyDescent="0.25">
      <c r="A263" s="2352" t="s">
        <v>9373</v>
      </c>
      <c r="B263" s="2352" t="s">
        <v>15712</v>
      </c>
      <c r="C263" s="2352" t="s">
        <v>15712</v>
      </c>
      <c r="D263" s="2352" t="s">
        <v>15825</v>
      </c>
      <c r="E263" s="355">
        <v>63</v>
      </c>
      <c r="F263" s="1662">
        <v>60</v>
      </c>
      <c r="G263" s="903"/>
    </row>
    <row r="264" spans="1:7" ht="15" customHeight="1" x14ac:dyDescent="0.25">
      <c r="A264" s="2352" t="s">
        <v>9373</v>
      </c>
      <c r="B264" s="2352" t="s">
        <v>15712</v>
      </c>
      <c r="C264" s="2352" t="s">
        <v>15712</v>
      </c>
      <c r="D264" s="2352" t="s">
        <v>15826</v>
      </c>
      <c r="E264" s="355">
        <v>400</v>
      </c>
      <c r="F264" s="1662">
        <v>350</v>
      </c>
      <c r="G264" s="903"/>
    </row>
    <row r="265" spans="1:7" ht="15" customHeight="1" x14ac:dyDescent="0.25">
      <c r="A265" s="2352" t="s">
        <v>9373</v>
      </c>
      <c r="B265" s="2352" t="s">
        <v>15712</v>
      </c>
      <c r="C265" s="2352" t="s">
        <v>15712</v>
      </c>
      <c r="D265" s="2352" t="s">
        <v>15827</v>
      </c>
      <c r="E265" s="355">
        <v>100</v>
      </c>
      <c r="F265" s="1662">
        <v>80</v>
      </c>
      <c r="G265" s="903"/>
    </row>
    <row r="266" spans="1:7" ht="15" customHeight="1" x14ac:dyDescent="0.25">
      <c r="A266" s="2352" t="s">
        <v>9373</v>
      </c>
      <c r="B266" s="2352" t="s">
        <v>15712</v>
      </c>
      <c r="C266" s="2352" t="s">
        <v>15712</v>
      </c>
      <c r="D266" s="2352" t="s">
        <v>15828</v>
      </c>
      <c r="E266" s="355">
        <v>630</v>
      </c>
      <c r="F266" s="1662">
        <v>570</v>
      </c>
      <c r="G266" s="903"/>
    </row>
    <row r="267" spans="1:7" ht="15" customHeight="1" x14ac:dyDescent="0.25">
      <c r="A267" s="2352" t="s">
        <v>9373</v>
      </c>
      <c r="B267" s="2352" t="s">
        <v>15712</v>
      </c>
      <c r="C267" s="2352" t="s">
        <v>15712</v>
      </c>
      <c r="D267" s="2352" t="s">
        <v>15829</v>
      </c>
      <c r="E267" s="355">
        <v>250</v>
      </c>
      <c r="F267" s="1662">
        <v>150</v>
      </c>
      <c r="G267" s="903"/>
    </row>
    <row r="268" spans="1:7" ht="15" customHeight="1" x14ac:dyDescent="0.25">
      <c r="A268" s="2352" t="s">
        <v>9373</v>
      </c>
      <c r="B268" s="2352" t="s">
        <v>15712</v>
      </c>
      <c r="C268" s="2352" t="s">
        <v>15712</v>
      </c>
      <c r="D268" s="2352" t="s">
        <v>15830</v>
      </c>
      <c r="E268" s="355">
        <v>160</v>
      </c>
      <c r="F268" s="1662">
        <v>60</v>
      </c>
      <c r="G268" s="903"/>
    </row>
    <row r="269" spans="1:7" ht="15" customHeight="1" x14ac:dyDescent="0.25">
      <c r="A269" s="2352" t="s">
        <v>15831</v>
      </c>
      <c r="B269" s="2352" t="s">
        <v>15712</v>
      </c>
      <c r="C269" s="2352" t="s">
        <v>15712</v>
      </c>
      <c r="D269" s="2352" t="s">
        <v>15832</v>
      </c>
      <c r="E269" s="355">
        <v>50</v>
      </c>
      <c r="F269" s="1662">
        <v>5</v>
      </c>
      <c r="G269" s="903"/>
    </row>
    <row r="270" spans="1:7" ht="15" customHeight="1" x14ac:dyDescent="0.25">
      <c r="A270" s="2352" t="s">
        <v>15831</v>
      </c>
      <c r="B270" s="2352" t="s">
        <v>15712</v>
      </c>
      <c r="C270" s="2352" t="s">
        <v>15712</v>
      </c>
      <c r="D270" s="2352" t="s">
        <v>15833</v>
      </c>
      <c r="E270" s="355">
        <v>250</v>
      </c>
      <c r="F270" s="1662">
        <v>50</v>
      </c>
      <c r="G270" s="903"/>
    </row>
    <row r="271" spans="1:7" ht="15" customHeight="1" x14ac:dyDescent="0.25">
      <c r="A271" s="2352" t="s">
        <v>15736</v>
      </c>
      <c r="B271" s="2352" t="s">
        <v>15712</v>
      </c>
      <c r="C271" s="2352" t="s">
        <v>15712</v>
      </c>
      <c r="D271" s="2352" t="s">
        <v>15834</v>
      </c>
      <c r="E271" s="355">
        <v>160</v>
      </c>
      <c r="F271" s="1662">
        <v>60</v>
      </c>
      <c r="G271" s="903"/>
    </row>
    <row r="272" spans="1:7" ht="15" customHeight="1" x14ac:dyDescent="0.25">
      <c r="A272" s="2352" t="s">
        <v>15736</v>
      </c>
      <c r="B272" s="2352" t="s">
        <v>15712</v>
      </c>
      <c r="C272" s="2352" t="s">
        <v>15712</v>
      </c>
      <c r="D272" s="2352" t="s">
        <v>15835</v>
      </c>
      <c r="E272" s="355">
        <v>400</v>
      </c>
      <c r="F272" s="1662">
        <v>300</v>
      </c>
      <c r="G272" s="903"/>
    </row>
    <row r="273" spans="1:7" ht="15" customHeight="1" x14ac:dyDescent="0.25">
      <c r="A273" s="2352" t="s">
        <v>15836</v>
      </c>
      <c r="B273" s="2352" t="s">
        <v>15712</v>
      </c>
      <c r="C273" s="2352" t="s">
        <v>15712</v>
      </c>
      <c r="D273" s="2352" t="s">
        <v>15837</v>
      </c>
      <c r="E273" s="355">
        <v>160</v>
      </c>
      <c r="F273" s="1662">
        <v>90</v>
      </c>
      <c r="G273" s="903"/>
    </row>
    <row r="274" spans="1:7" ht="15" customHeight="1" x14ac:dyDescent="0.25">
      <c r="A274" s="2352" t="s">
        <v>15838</v>
      </c>
      <c r="B274" s="2352" t="s">
        <v>15712</v>
      </c>
      <c r="C274" s="2352" t="s">
        <v>15712</v>
      </c>
      <c r="D274" s="2352" t="s">
        <v>15839</v>
      </c>
      <c r="E274" s="355">
        <v>250</v>
      </c>
      <c r="F274" s="1662">
        <v>50</v>
      </c>
      <c r="G274" s="903"/>
    </row>
    <row r="275" spans="1:7" ht="15" customHeight="1" x14ac:dyDescent="0.25">
      <c r="A275" s="2352" t="s">
        <v>7884</v>
      </c>
      <c r="B275" s="2352" t="s">
        <v>15712</v>
      </c>
      <c r="C275" s="2352" t="s">
        <v>15712</v>
      </c>
      <c r="D275" s="2352" t="s">
        <v>15840</v>
      </c>
      <c r="E275" s="355">
        <v>160</v>
      </c>
      <c r="F275" s="1662">
        <v>120</v>
      </c>
      <c r="G275" s="903"/>
    </row>
    <row r="276" spans="1:7" ht="15" customHeight="1" x14ac:dyDescent="0.25">
      <c r="A276" s="2352" t="s">
        <v>15736</v>
      </c>
      <c r="B276" s="2352" t="s">
        <v>15712</v>
      </c>
      <c r="C276" s="2352" t="s">
        <v>15712</v>
      </c>
      <c r="D276" s="2352" t="s">
        <v>15841</v>
      </c>
      <c r="E276" s="355">
        <v>160</v>
      </c>
      <c r="F276" s="1662">
        <v>60</v>
      </c>
      <c r="G276" s="903"/>
    </row>
    <row r="277" spans="1:7" ht="15" customHeight="1" x14ac:dyDescent="0.25">
      <c r="A277" s="2352" t="s">
        <v>15736</v>
      </c>
      <c r="B277" s="2352" t="s">
        <v>15712</v>
      </c>
      <c r="C277" s="2352" t="s">
        <v>15712</v>
      </c>
      <c r="D277" s="2352" t="s">
        <v>15842</v>
      </c>
      <c r="E277" s="355">
        <v>160</v>
      </c>
      <c r="F277" s="1662">
        <v>30</v>
      </c>
      <c r="G277" s="903"/>
    </row>
    <row r="278" spans="1:7" ht="15" customHeight="1" x14ac:dyDescent="0.25">
      <c r="A278" s="2352" t="s">
        <v>15843</v>
      </c>
      <c r="B278" s="2352" t="s">
        <v>15712</v>
      </c>
      <c r="C278" s="2352" t="s">
        <v>15712</v>
      </c>
      <c r="D278" s="2352" t="s">
        <v>15844</v>
      </c>
      <c r="E278" s="355">
        <v>100</v>
      </c>
      <c r="F278" s="1662">
        <v>100</v>
      </c>
      <c r="G278" s="903"/>
    </row>
    <row r="279" spans="1:7" ht="15" customHeight="1" x14ac:dyDescent="0.25">
      <c r="A279" s="2352" t="s">
        <v>15736</v>
      </c>
      <c r="B279" s="2352" t="s">
        <v>15712</v>
      </c>
      <c r="C279" s="2352" t="s">
        <v>15712</v>
      </c>
      <c r="D279" s="2352" t="s">
        <v>15845</v>
      </c>
      <c r="E279" s="355">
        <v>250</v>
      </c>
      <c r="F279" s="1662">
        <v>60</v>
      </c>
      <c r="G279" s="903"/>
    </row>
    <row r="280" spans="1:7" ht="15" customHeight="1" x14ac:dyDescent="0.25">
      <c r="A280" s="2352" t="s">
        <v>15736</v>
      </c>
      <c r="B280" s="2352" t="s">
        <v>15712</v>
      </c>
      <c r="C280" s="2352" t="s">
        <v>15712</v>
      </c>
      <c r="D280" s="2352" t="s">
        <v>15846</v>
      </c>
      <c r="E280" s="355">
        <v>160</v>
      </c>
      <c r="F280" s="1662">
        <v>150</v>
      </c>
      <c r="G280" s="903"/>
    </row>
    <row r="281" spans="1:7" ht="15" customHeight="1" x14ac:dyDescent="0.25">
      <c r="A281" s="2352" t="s">
        <v>15736</v>
      </c>
      <c r="B281" s="2352" t="s">
        <v>15712</v>
      </c>
      <c r="C281" s="2352" t="s">
        <v>15712</v>
      </c>
      <c r="D281" s="2352" t="s">
        <v>15847</v>
      </c>
      <c r="E281" s="355">
        <v>250</v>
      </c>
      <c r="F281" s="1662">
        <v>60</v>
      </c>
      <c r="G281" s="903"/>
    </row>
    <row r="282" spans="1:7" ht="15" customHeight="1" x14ac:dyDescent="0.25">
      <c r="A282" s="2352" t="s">
        <v>15736</v>
      </c>
      <c r="B282" s="2352" t="s">
        <v>15712</v>
      </c>
      <c r="C282" s="2352" t="s">
        <v>15712</v>
      </c>
      <c r="D282" s="2352" t="s">
        <v>15848</v>
      </c>
      <c r="E282" s="355">
        <v>160</v>
      </c>
      <c r="F282" s="1662">
        <v>10</v>
      </c>
      <c r="G282" s="903"/>
    </row>
    <row r="283" spans="1:7" ht="15" customHeight="1" x14ac:dyDescent="0.25">
      <c r="A283" s="2352" t="s">
        <v>10494</v>
      </c>
      <c r="B283" s="2352" t="s">
        <v>15712</v>
      </c>
      <c r="C283" s="2352" t="s">
        <v>15712</v>
      </c>
      <c r="D283" s="2352" t="s">
        <v>15849</v>
      </c>
      <c r="E283" s="355">
        <v>30</v>
      </c>
      <c r="F283" s="1662">
        <v>50</v>
      </c>
      <c r="G283" s="903"/>
    </row>
    <row r="284" spans="1:7" ht="15" customHeight="1" x14ac:dyDescent="0.25">
      <c r="A284" s="2352" t="s">
        <v>15850</v>
      </c>
      <c r="B284" s="2352" t="s">
        <v>15712</v>
      </c>
      <c r="C284" s="2352" t="s">
        <v>15712</v>
      </c>
      <c r="D284" s="2352" t="s">
        <v>15851</v>
      </c>
      <c r="E284" s="355">
        <v>100</v>
      </c>
      <c r="F284" s="1662">
        <v>20</v>
      </c>
      <c r="G284" s="903"/>
    </row>
    <row r="285" spans="1:7" ht="15" customHeight="1" x14ac:dyDescent="0.25">
      <c r="A285" s="2352" t="s">
        <v>15852</v>
      </c>
      <c r="B285" s="2352" t="s">
        <v>15712</v>
      </c>
      <c r="C285" s="2352" t="s">
        <v>15712</v>
      </c>
      <c r="D285" s="2352" t="s">
        <v>15853</v>
      </c>
      <c r="E285" s="355">
        <v>100</v>
      </c>
      <c r="F285" s="1662">
        <v>25</v>
      </c>
      <c r="G285" s="903"/>
    </row>
    <row r="286" spans="1:7" ht="15" customHeight="1" x14ac:dyDescent="0.25">
      <c r="A286" s="2352" t="s">
        <v>15854</v>
      </c>
      <c r="B286" s="2352" t="s">
        <v>15712</v>
      </c>
      <c r="C286" s="2352" t="s">
        <v>15712</v>
      </c>
      <c r="D286" s="2352" t="s">
        <v>15855</v>
      </c>
      <c r="E286" s="355" t="s">
        <v>15728</v>
      </c>
      <c r="F286" s="1662" t="s">
        <v>15728</v>
      </c>
      <c r="G286" s="903"/>
    </row>
    <row r="287" spans="1:7" ht="15" customHeight="1" x14ac:dyDescent="0.25">
      <c r="A287" s="2352" t="s">
        <v>15856</v>
      </c>
      <c r="B287" s="2352" t="s">
        <v>15712</v>
      </c>
      <c r="C287" s="2352" t="s">
        <v>15712</v>
      </c>
      <c r="D287" s="2352" t="s">
        <v>15857</v>
      </c>
      <c r="E287" s="355">
        <v>160</v>
      </c>
      <c r="F287" s="1662">
        <v>60</v>
      </c>
      <c r="G287" s="903"/>
    </row>
    <row r="288" spans="1:7" ht="15" customHeight="1" x14ac:dyDescent="0.25">
      <c r="A288" s="2352" t="s">
        <v>8048</v>
      </c>
      <c r="B288" s="2352" t="s">
        <v>15712</v>
      </c>
      <c r="C288" s="2352" t="s">
        <v>15712</v>
      </c>
      <c r="D288" s="2352" t="s">
        <v>15858</v>
      </c>
      <c r="E288" s="355">
        <v>63</v>
      </c>
      <c r="F288" s="1662">
        <v>20</v>
      </c>
      <c r="G288" s="903"/>
    </row>
    <row r="289" spans="1:7" ht="15" customHeight="1" x14ac:dyDescent="0.25">
      <c r="A289" s="2352" t="s">
        <v>15859</v>
      </c>
      <c r="B289" s="2352" t="s">
        <v>15712</v>
      </c>
      <c r="C289" s="2352" t="s">
        <v>15712</v>
      </c>
      <c r="D289" s="2352" t="s">
        <v>15860</v>
      </c>
      <c r="E289" s="355">
        <v>100</v>
      </c>
      <c r="F289" s="1662">
        <v>50</v>
      </c>
      <c r="G289" s="903"/>
    </row>
    <row r="290" spans="1:7" ht="15" customHeight="1" x14ac:dyDescent="0.25">
      <c r="A290" s="2352" t="s">
        <v>15861</v>
      </c>
      <c r="B290" s="2352" t="s">
        <v>15712</v>
      </c>
      <c r="C290" s="2352" t="s">
        <v>15712</v>
      </c>
      <c r="D290" s="2352" t="s">
        <v>15862</v>
      </c>
      <c r="E290" s="355">
        <v>160</v>
      </c>
      <c r="F290" s="1662">
        <v>45</v>
      </c>
      <c r="G290" s="903"/>
    </row>
    <row r="291" spans="1:7" ht="15" customHeight="1" x14ac:dyDescent="0.25">
      <c r="A291" s="2352" t="s">
        <v>15861</v>
      </c>
      <c r="B291" s="2352" t="s">
        <v>15712</v>
      </c>
      <c r="C291" s="2352" t="s">
        <v>15712</v>
      </c>
      <c r="D291" s="2352" t="s">
        <v>15863</v>
      </c>
      <c r="E291" s="355">
        <v>30</v>
      </c>
      <c r="F291" s="1662">
        <v>15</v>
      </c>
      <c r="G291" s="903"/>
    </row>
    <row r="292" spans="1:7" ht="15" customHeight="1" x14ac:dyDescent="0.25">
      <c r="A292" s="2352" t="s">
        <v>15864</v>
      </c>
      <c r="B292" s="2352" t="s">
        <v>15712</v>
      </c>
      <c r="C292" s="2352" t="s">
        <v>15712</v>
      </c>
      <c r="D292" s="2352" t="s">
        <v>15865</v>
      </c>
      <c r="E292" s="355">
        <v>250</v>
      </c>
      <c r="F292" s="1662">
        <v>150</v>
      </c>
      <c r="G292" s="903"/>
    </row>
    <row r="293" spans="1:7" ht="15" customHeight="1" x14ac:dyDescent="0.25">
      <c r="A293" s="2352" t="s">
        <v>15864</v>
      </c>
      <c r="B293" s="2352" t="s">
        <v>15712</v>
      </c>
      <c r="C293" s="2352" t="s">
        <v>15712</v>
      </c>
      <c r="D293" s="2352" t="s">
        <v>15866</v>
      </c>
      <c r="E293" s="355">
        <v>400</v>
      </c>
      <c r="F293" s="1662">
        <v>300</v>
      </c>
      <c r="G293" s="903"/>
    </row>
    <row r="294" spans="1:7" ht="15" customHeight="1" x14ac:dyDescent="0.25">
      <c r="A294" s="2352" t="s">
        <v>15864</v>
      </c>
      <c r="B294" s="2352" t="s">
        <v>15712</v>
      </c>
      <c r="C294" s="2352" t="s">
        <v>15712</v>
      </c>
      <c r="D294" s="2352" t="s">
        <v>15867</v>
      </c>
      <c r="E294" s="355">
        <v>160</v>
      </c>
      <c r="F294" s="1662">
        <v>100</v>
      </c>
      <c r="G294" s="903"/>
    </row>
    <row r="295" spans="1:7" ht="15" customHeight="1" x14ac:dyDescent="0.25">
      <c r="A295" s="2352" t="s">
        <v>15868</v>
      </c>
      <c r="B295" s="2352" t="s">
        <v>15712</v>
      </c>
      <c r="C295" s="2352" t="s">
        <v>15712</v>
      </c>
      <c r="D295" s="2352" t="s">
        <v>15869</v>
      </c>
      <c r="E295" s="355">
        <v>10</v>
      </c>
      <c r="F295" s="1662">
        <v>5</v>
      </c>
      <c r="G295" s="903"/>
    </row>
    <row r="296" spans="1:7" ht="15" customHeight="1" x14ac:dyDescent="0.25">
      <c r="A296" s="2352" t="s">
        <v>15870</v>
      </c>
      <c r="B296" s="2352" t="s">
        <v>15712</v>
      </c>
      <c r="C296" s="2352" t="s">
        <v>15712</v>
      </c>
      <c r="D296" s="2352" t="s">
        <v>15871</v>
      </c>
      <c r="E296" s="355">
        <v>63</v>
      </c>
      <c r="F296" s="1662">
        <v>30</v>
      </c>
      <c r="G296" s="903"/>
    </row>
    <row r="297" spans="1:7" ht="15" customHeight="1" x14ac:dyDescent="0.25">
      <c r="A297" s="2352" t="s">
        <v>15872</v>
      </c>
      <c r="B297" s="2352" t="s">
        <v>15712</v>
      </c>
      <c r="C297" s="2352" t="s">
        <v>15712</v>
      </c>
      <c r="D297" s="2352" t="s">
        <v>15873</v>
      </c>
      <c r="E297" s="355">
        <v>40</v>
      </c>
      <c r="F297" s="1662">
        <v>20</v>
      </c>
      <c r="G297" s="903"/>
    </row>
    <row r="298" spans="1:7" ht="15" customHeight="1" x14ac:dyDescent="0.25">
      <c r="A298" s="2352" t="s">
        <v>15772</v>
      </c>
      <c r="B298" s="2352" t="s">
        <v>15712</v>
      </c>
      <c r="C298" s="2352" t="s">
        <v>15712</v>
      </c>
      <c r="D298" s="2352" t="s">
        <v>15874</v>
      </c>
      <c r="E298" s="355">
        <v>250</v>
      </c>
      <c r="F298" s="1662">
        <v>150</v>
      </c>
      <c r="G298" s="903"/>
    </row>
    <row r="299" spans="1:7" ht="15" customHeight="1" x14ac:dyDescent="0.25">
      <c r="A299" s="2352" t="s">
        <v>15875</v>
      </c>
      <c r="B299" s="2352" t="s">
        <v>15712</v>
      </c>
      <c r="C299" s="2352" t="s">
        <v>15712</v>
      </c>
      <c r="D299" s="2352" t="s">
        <v>15876</v>
      </c>
      <c r="E299" s="355">
        <v>100</v>
      </c>
      <c r="F299" s="1662">
        <v>75</v>
      </c>
      <c r="G299" s="903"/>
    </row>
    <row r="300" spans="1:7" ht="15" customHeight="1" x14ac:dyDescent="0.25">
      <c r="A300" s="2352" t="s">
        <v>15877</v>
      </c>
      <c r="B300" s="2352" t="s">
        <v>15712</v>
      </c>
      <c r="C300" s="2352" t="s">
        <v>15712</v>
      </c>
      <c r="D300" s="2352" t="s">
        <v>15878</v>
      </c>
      <c r="E300" s="355">
        <v>60</v>
      </c>
      <c r="F300" s="1662">
        <v>50</v>
      </c>
      <c r="G300" s="903"/>
    </row>
    <row r="301" spans="1:7" ht="15" customHeight="1" x14ac:dyDescent="0.25">
      <c r="A301" s="2352" t="s">
        <v>4263</v>
      </c>
      <c r="B301" s="2352" t="s">
        <v>15712</v>
      </c>
      <c r="C301" s="2352" t="s">
        <v>15712</v>
      </c>
      <c r="D301" s="2352" t="s">
        <v>15879</v>
      </c>
      <c r="E301" s="355">
        <v>10</v>
      </c>
      <c r="F301" s="1662">
        <v>5</v>
      </c>
      <c r="G301" s="903"/>
    </row>
    <row r="302" spans="1:7" ht="15" customHeight="1" x14ac:dyDescent="0.25">
      <c r="A302" s="2352" t="s">
        <v>3918</v>
      </c>
      <c r="B302" s="2352" t="s">
        <v>15712</v>
      </c>
      <c r="C302" s="2352" t="s">
        <v>15712</v>
      </c>
      <c r="D302" s="2352" t="s">
        <v>15880</v>
      </c>
      <c r="E302" s="355">
        <v>30</v>
      </c>
      <c r="F302" s="1662">
        <v>45</v>
      </c>
      <c r="G302" s="903"/>
    </row>
    <row r="303" spans="1:7" ht="15" customHeight="1" x14ac:dyDescent="0.25">
      <c r="A303" s="2352" t="s">
        <v>15881</v>
      </c>
      <c r="B303" s="2352" t="s">
        <v>15712</v>
      </c>
      <c r="C303" s="2352" t="s">
        <v>15712</v>
      </c>
      <c r="D303" s="2352" t="s">
        <v>15882</v>
      </c>
      <c r="E303" s="355">
        <v>60</v>
      </c>
      <c r="F303" s="1662">
        <v>30</v>
      </c>
      <c r="G303" s="903"/>
    </row>
    <row r="304" spans="1:7" ht="15" customHeight="1" x14ac:dyDescent="0.25">
      <c r="A304" s="2352" t="s">
        <v>11682</v>
      </c>
      <c r="B304" s="2352" t="s">
        <v>15712</v>
      </c>
      <c r="C304" s="2352" t="s">
        <v>15712</v>
      </c>
      <c r="D304" s="2352" t="s">
        <v>15883</v>
      </c>
      <c r="E304" s="355">
        <v>60</v>
      </c>
      <c r="F304" s="1662">
        <v>30</v>
      </c>
      <c r="G304" s="903"/>
    </row>
    <row r="305" spans="1:7" ht="15" customHeight="1" x14ac:dyDescent="0.25">
      <c r="A305" s="2352" t="s">
        <v>15884</v>
      </c>
      <c r="B305" s="2352" t="s">
        <v>15712</v>
      </c>
      <c r="C305" s="2352" t="s">
        <v>15712</v>
      </c>
      <c r="D305" s="2352" t="s">
        <v>15885</v>
      </c>
      <c r="E305" s="355">
        <v>160</v>
      </c>
      <c r="F305" s="1662">
        <v>60</v>
      </c>
      <c r="G305" s="903"/>
    </row>
    <row r="306" spans="1:7" ht="15" customHeight="1" x14ac:dyDescent="0.25">
      <c r="A306" s="2352" t="s">
        <v>15886</v>
      </c>
      <c r="B306" s="2352" t="s">
        <v>15712</v>
      </c>
      <c r="C306" s="2352" t="s">
        <v>15712</v>
      </c>
      <c r="D306" s="2352" t="s">
        <v>15887</v>
      </c>
      <c r="E306" s="355">
        <v>60</v>
      </c>
      <c r="F306" s="1662">
        <v>20</v>
      </c>
      <c r="G306" s="903"/>
    </row>
    <row r="307" spans="1:7" ht="15" customHeight="1" x14ac:dyDescent="0.25">
      <c r="A307" s="2352" t="s">
        <v>13861</v>
      </c>
      <c r="B307" s="2352" t="s">
        <v>15712</v>
      </c>
      <c r="C307" s="2352" t="s">
        <v>15712</v>
      </c>
      <c r="D307" s="2352" t="s">
        <v>15888</v>
      </c>
      <c r="E307" s="355">
        <v>160</v>
      </c>
      <c r="F307" s="1662">
        <v>60</v>
      </c>
      <c r="G307" s="903"/>
    </row>
    <row r="308" spans="1:7" ht="15" customHeight="1" x14ac:dyDescent="0.25">
      <c r="A308" s="2352" t="s">
        <v>7726</v>
      </c>
      <c r="B308" s="2352" t="s">
        <v>15712</v>
      </c>
      <c r="C308" s="2352" t="s">
        <v>15712</v>
      </c>
      <c r="D308" s="2352" t="s">
        <v>15889</v>
      </c>
      <c r="E308" s="355">
        <v>100</v>
      </c>
      <c r="F308" s="1662">
        <v>50</v>
      </c>
      <c r="G308" s="903"/>
    </row>
    <row r="309" spans="1:7" ht="15" customHeight="1" x14ac:dyDescent="0.25">
      <c r="A309" s="2352" t="s">
        <v>7408</v>
      </c>
      <c r="B309" s="2352" t="s">
        <v>15712</v>
      </c>
      <c r="C309" s="2352" t="s">
        <v>15712</v>
      </c>
      <c r="D309" s="2352" t="s">
        <v>15890</v>
      </c>
      <c r="E309" s="355">
        <v>63</v>
      </c>
      <c r="F309" s="1662">
        <v>50</v>
      </c>
      <c r="G309" s="903"/>
    </row>
    <row r="310" spans="1:7" ht="15" customHeight="1" x14ac:dyDescent="0.25">
      <c r="A310" s="2352" t="s">
        <v>7417</v>
      </c>
      <c r="B310" s="2352" t="s">
        <v>15712</v>
      </c>
      <c r="C310" s="2352" t="s">
        <v>15712</v>
      </c>
      <c r="D310" s="2352" t="s">
        <v>15891</v>
      </c>
      <c r="E310" s="355">
        <v>160</v>
      </c>
      <c r="F310" s="1662">
        <v>60</v>
      </c>
      <c r="G310" s="903"/>
    </row>
    <row r="311" spans="1:7" ht="15" customHeight="1" x14ac:dyDescent="0.25">
      <c r="A311" s="2352" t="s">
        <v>7417</v>
      </c>
      <c r="B311" s="2352" t="s">
        <v>15712</v>
      </c>
      <c r="C311" s="2352" t="s">
        <v>15712</v>
      </c>
      <c r="D311" s="2352" t="s">
        <v>15892</v>
      </c>
      <c r="E311" s="355">
        <v>250</v>
      </c>
      <c r="F311" s="1662">
        <v>150</v>
      </c>
      <c r="G311" s="903"/>
    </row>
    <row r="312" spans="1:7" ht="15" customHeight="1" x14ac:dyDescent="0.25">
      <c r="A312" s="2352" t="s">
        <v>15893</v>
      </c>
      <c r="B312" s="2352" t="s">
        <v>15712</v>
      </c>
      <c r="C312" s="2352" t="s">
        <v>15712</v>
      </c>
      <c r="D312" s="2352" t="s">
        <v>15894</v>
      </c>
      <c r="E312" s="355">
        <v>60</v>
      </c>
      <c r="F312" s="1662">
        <v>40</v>
      </c>
      <c r="G312" s="903"/>
    </row>
    <row r="313" spans="1:7" ht="15" customHeight="1" x14ac:dyDescent="0.25">
      <c r="A313" s="2352" t="s">
        <v>15895</v>
      </c>
      <c r="B313" s="2352" t="s">
        <v>15712</v>
      </c>
      <c r="C313" s="2352" t="s">
        <v>15712</v>
      </c>
      <c r="D313" s="2352" t="s">
        <v>15896</v>
      </c>
      <c r="E313" s="355">
        <v>63</v>
      </c>
      <c r="F313" s="1662">
        <v>25</v>
      </c>
      <c r="G313" s="903"/>
    </row>
    <row r="314" spans="1:7" ht="15" customHeight="1" x14ac:dyDescent="0.25">
      <c r="A314" s="2352" t="s">
        <v>15784</v>
      </c>
      <c r="B314" s="2352" t="s">
        <v>15712</v>
      </c>
      <c r="C314" s="2352" t="s">
        <v>15712</v>
      </c>
      <c r="D314" s="2352" t="s">
        <v>15897</v>
      </c>
      <c r="E314" s="355">
        <v>100</v>
      </c>
      <c r="F314" s="1662">
        <v>20</v>
      </c>
      <c r="G314" s="903"/>
    </row>
    <row r="315" spans="1:7" ht="15" customHeight="1" x14ac:dyDescent="0.25">
      <c r="A315" s="2352" t="s">
        <v>3918</v>
      </c>
      <c r="B315" s="2352" t="s">
        <v>15712</v>
      </c>
      <c r="C315" s="2352" t="s">
        <v>15712</v>
      </c>
      <c r="D315" s="2352" t="s">
        <v>15898</v>
      </c>
      <c r="E315" s="355">
        <v>60</v>
      </c>
      <c r="F315" s="1662">
        <v>50</v>
      </c>
      <c r="G315" s="903"/>
    </row>
    <row r="316" spans="1:7" ht="15" customHeight="1" x14ac:dyDescent="0.25">
      <c r="A316" s="2352" t="s">
        <v>15899</v>
      </c>
      <c r="B316" s="2352" t="s">
        <v>15712</v>
      </c>
      <c r="C316" s="2352" t="s">
        <v>15712</v>
      </c>
      <c r="D316" s="2352" t="s">
        <v>15900</v>
      </c>
      <c r="E316" s="355">
        <v>30</v>
      </c>
      <c r="F316" s="1662">
        <v>5</v>
      </c>
      <c r="G316" s="903"/>
    </row>
    <row r="317" spans="1:7" ht="15" customHeight="1" x14ac:dyDescent="0.25">
      <c r="A317" s="2352" t="s">
        <v>15901</v>
      </c>
      <c r="B317" s="2352" t="s">
        <v>15712</v>
      </c>
      <c r="C317" s="2352" t="s">
        <v>15712</v>
      </c>
      <c r="D317" s="2352" t="s">
        <v>15902</v>
      </c>
      <c r="E317" s="355">
        <v>160</v>
      </c>
      <c r="F317" s="1662">
        <v>60</v>
      </c>
      <c r="G317" s="903"/>
    </row>
    <row r="318" spans="1:7" ht="15" customHeight="1" x14ac:dyDescent="0.25">
      <c r="A318" s="2352" t="s">
        <v>15903</v>
      </c>
      <c r="B318" s="2352" t="s">
        <v>15712</v>
      </c>
      <c r="C318" s="2352" t="s">
        <v>15712</v>
      </c>
      <c r="D318" s="2352" t="s">
        <v>15904</v>
      </c>
      <c r="E318" s="355">
        <v>100</v>
      </c>
      <c r="F318" s="1662">
        <v>20</v>
      </c>
      <c r="G318" s="903"/>
    </row>
    <row r="319" spans="1:7" ht="15" customHeight="1" x14ac:dyDescent="0.25">
      <c r="A319" s="2352" t="s">
        <v>15738</v>
      </c>
      <c r="B319" s="2352" t="s">
        <v>15712</v>
      </c>
      <c r="C319" s="2352" t="s">
        <v>15712</v>
      </c>
      <c r="D319" s="2352" t="s">
        <v>15905</v>
      </c>
      <c r="E319" s="355">
        <v>30</v>
      </c>
      <c r="F319" s="1662">
        <v>15</v>
      </c>
      <c r="G319" s="903"/>
    </row>
    <row r="320" spans="1:7" ht="15" customHeight="1" x14ac:dyDescent="0.25">
      <c r="A320" s="2352" t="s">
        <v>15906</v>
      </c>
      <c r="B320" s="2352" t="s">
        <v>15712</v>
      </c>
      <c r="C320" s="2352" t="s">
        <v>15712</v>
      </c>
      <c r="D320" s="2352" t="s">
        <v>15907</v>
      </c>
      <c r="E320" s="355">
        <v>63</v>
      </c>
      <c r="F320" s="1662">
        <v>30</v>
      </c>
      <c r="G320" s="903"/>
    </row>
    <row r="321" spans="1:7" ht="15" customHeight="1" x14ac:dyDescent="0.25">
      <c r="A321" s="2352" t="s">
        <v>8300</v>
      </c>
      <c r="B321" s="2352" t="s">
        <v>15712</v>
      </c>
      <c r="C321" s="2352" t="s">
        <v>15712</v>
      </c>
      <c r="D321" s="2352" t="s">
        <v>15908</v>
      </c>
      <c r="E321" s="355">
        <v>160</v>
      </c>
      <c r="F321" s="1662">
        <v>60</v>
      </c>
      <c r="G321" s="903"/>
    </row>
    <row r="322" spans="1:7" ht="15" customHeight="1" x14ac:dyDescent="0.25">
      <c r="A322" s="2352" t="s">
        <v>4413</v>
      </c>
      <c r="B322" s="2352" t="s">
        <v>15712</v>
      </c>
      <c r="C322" s="2352" t="s">
        <v>15712</v>
      </c>
      <c r="D322" s="2352" t="s">
        <v>15909</v>
      </c>
      <c r="E322" s="355">
        <v>63</v>
      </c>
      <c r="F322" s="1662">
        <v>25</v>
      </c>
      <c r="G322" s="903"/>
    </row>
    <row r="323" spans="1:7" ht="15" customHeight="1" x14ac:dyDescent="0.25">
      <c r="A323" s="2352" t="s">
        <v>15910</v>
      </c>
      <c r="B323" s="2352" t="s">
        <v>15712</v>
      </c>
      <c r="C323" s="2352" t="s">
        <v>15712</v>
      </c>
      <c r="D323" s="2352" t="s">
        <v>15911</v>
      </c>
      <c r="E323" s="355">
        <v>25</v>
      </c>
      <c r="F323" s="1662">
        <v>5</v>
      </c>
      <c r="G323" s="903"/>
    </row>
    <row r="324" spans="1:7" ht="15" customHeight="1" x14ac:dyDescent="0.25">
      <c r="A324" s="2352" t="s">
        <v>15912</v>
      </c>
      <c r="B324" s="2352" t="s">
        <v>15712</v>
      </c>
      <c r="C324" s="2352" t="s">
        <v>15712</v>
      </c>
      <c r="D324" s="2352" t="s">
        <v>15913</v>
      </c>
      <c r="E324" s="355">
        <v>10</v>
      </c>
      <c r="F324" s="1662">
        <v>2</v>
      </c>
      <c r="G324" s="903"/>
    </row>
    <row r="325" spans="1:7" ht="15" customHeight="1" x14ac:dyDescent="0.25">
      <c r="A325" s="2352" t="s">
        <v>14942</v>
      </c>
      <c r="B325" s="2352" t="s">
        <v>15712</v>
      </c>
      <c r="C325" s="2352" t="s">
        <v>15712</v>
      </c>
      <c r="D325" s="2352" t="s">
        <v>15914</v>
      </c>
      <c r="E325" s="355">
        <v>100</v>
      </c>
      <c r="F325" s="1662">
        <v>20</v>
      </c>
      <c r="G325" s="903"/>
    </row>
    <row r="326" spans="1:7" ht="15" customHeight="1" x14ac:dyDescent="0.25">
      <c r="A326" s="2352" t="s">
        <v>15915</v>
      </c>
      <c r="B326" s="2352" t="s">
        <v>15712</v>
      </c>
      <c r="C326" s="2352" t="s">
        <v>15712</v>
      </c>
      <c r="D326" s="2352" t="s">
        <v>15916</v>
      </c>
      <c r="E326" s="355">
        <v>30</v>
      </c>
      <c r="F326" s="1662">
        <v>2</v>
      </c>
      <c r="G326" s="903"/>
    </row>
    <row r="327" spans="1:7" ht="15" customHeight="1" x14ac:dyDescent="0.25">
      <c r="A327" s="2352" t="s">
        <v>15917</v>
      </c>
      <c r="B327" s="2352" t="s">
        <v>15712</v>
      </c>
      <c r="C327" s="2352" t="s">
        <v>15712</v>
      </c>
      <c r="D327" s="2352" t="s">
        <v>15918</v>
      </c>
      <c r="E327" s="355">
        <v>30</v>
      </c>
      <c r="F327" s="1662">
        <v>5</v>
      </c>
      <c r="G327" s="903"/>
    </row>
    <row r="328" spans="1:7" ht="15" customHeight="1" x14ac:dyDescent="0.25">
      <c r="A328" s="2352" t="s">
        <v>7226</v>
      </c>
      <c r="B328" s="2352" t="s">
        <v>15712</v>
      </c>
      <c r="C328" s="2352" t="s">
        <v>15712</v>
      </c>
      <c r="D328" s="2352" t="s">
        <v>15919</v>
      </c>
      <c r="E328" s="355">
        <v>100</v>
      </c>
      <c r="F328" s="1662">
        <v>25</v>
      </c>
      <c r="G328" s="903"/>
    </row>
    <row r="329" spans="1:7" ht="15" customHeight="1" x14ac:dyDescent="0.25">
      <c r="A329" s="2352" t="s">
        <v>15920</v>
      </c>
      <c r="B329" s="2352" t="s">
        <v>15712</v>
      </c>
      <c r="C329" s="2352" t="s">
        <v>15712</v>
      </c>
      <c r="D329" s="2352" t="s">
        <v>15921</v>
      </c>
      <c r="E329" s="355">
        <v>60</v>
      </c>
      <c r="F329" s="1662">
        <v>20</v>
      </c>
      <c r="G329" s="903"/>
    </row>
    <row r="330" spans="1:7" ht="15" customHeight="1" x14ac:dyDescent="0.25">
      <c r="A330" s="2352" t="s">
        <v>15922</v>
      </c>
      <c r="B330" s="2352" t="s">
        <v>15712</v>
      </c>
      <c r="C330" s="2352" t="s">
        <v>15712</v>
      </c>
      <c r="D330" s="2352" t="s">
        <v>15923</v>
      </c>
      <c r="E330" s="355">
        <v>60</v>
      </c>
      <c r="F330" s="1662">
        <v>20</v>
      </c>
      <c r="G330" s="903"/>
    </row>
    <row r="331" spans="1:7" ht="15" customHeight="1" x14ac:dyDescent="0.25">
      <c r="A331" s="2352" t="s">
        <v>6701</v>
      </c>
      <c r="B331" s="2352" t="s">
        <v>15712</v>
      </c>
      <c r="C331" s="2352" t="s">
        <v>15712</v>
      </c>
      <c r="D331" s="2352" t="s">
        <v>15924</v>
      </c>
      <c r="E331" s="355">
        <v>30</v>
      </c>
      <c r="F331" s="1662">
        <v>15</v>
      </c>
      <c r="G331" s="903"/>
    </row>
    <row r="332" spans="1:7" ht="15" customHeight="1" x14ac:dyDescent="0.25">
      <c r="A332" s="2352" t="s">
        <v>15925</v>
      </c>
      <c r="B332" s="2352" t="s">
        <v>15712</v>
      </c>
      <c r="C332" s="2352" t="s">
        <v>15712</v>
      </c>
      <c r="D332" s="2352" t="s">
        <v>15926</v>
      </c>
      <c r="E332" s="355">
        <v>40</v>
      </c>
      <c r="F332" s="1662">
        <v>5</v>
      </c>
      <c r="G332" s="903"/>
    </row>
    <row r="333" spans="1:7" ht="15" customHeight="1" x14ac:dyDescent="0.25">
      <c r="A333" s="2352" t="s">
        <v>15927</v>
      </c>
      <c r="B333" s="2352" t="s">
        <v>15712</v>
      </c>
      <c r="C333" s="2352" t="s">
        <v>15712</v>
      </c>
      <c r="D333" s="2352" t="s">
        <v>15928</v>
      </c>
      <c r="E333" s="355">
        <v>60</v>
      </c>
      <c r="F333" s="1662">
        <v>20</v>
      </c>
      <c r="G333" s="903"/>
    </row>
    <row r="334" spans="1:7" ht="15" customHeight="1" x14ac:dyDescent="0.25">
      <c r="A334" s="2352" t="s">
        <v>8031</v>
      </c>
      <c r="B334" s="2352" t="s">
        <v>15712</v>
      </c>
      <c r="C334" s="2352" t="s">
        <v>15712</v>
      </c>
      <c r="D334" s="2352" t="s">
        <v>15929</v>
      </c>
      <c r="E334" s="355">
        <v>30</v>
      </c>
      <c r="F334" s="1662">
        <v>10</v>
      </c>
      <c r="G334" s="903"/>
    </row>
    <row r="335" spans="1:7" ht="15" customHeight="1" x14ac:dyDescent="0.25">
      <c r="A335" s="2352" t="s">
        <v>15930</v>
      </c>
      <c r="B335" s="2352" t="s">
        <v>15712</v>
      </c>
      <c r="C335" s="2352" t="s">
        <v>15712</v>
      </c>
      <c r="D335" s="2352" t="s">
        <v>15931</v>
      </c>
      <c r="E335" s="355">
        <v>160</v>
      </c>
      <c r="F335" s="1662">
        <v>10</v>
      </c>
      <c r="G335" s="903"/>
    </row>
    <row r="336" spans="1:7" ht="15" customHeight="1" x14ac:dyDescent="0.25">
      <c r="A336" s="2352" t="s">
        <v>4764</v>
      </c>
      <c r="B336" s="2352" t="s">
        <v>15712</v>
      </c>
      <c r="C336" s="2352" t="s">
        <v>15712</v>
      </c>
      <c r="D336" s="2352" t="s">
        <v>15932</v>
      </c>
      <c r="E336" s="355">
        <v>60</v>
      </c>
      <c r="F336" s="1662">
        <v>5</v>
      </c>
      <c r="G336" s="903"/>
    </row>
    <row r="337" spans="1:7" ht="15" customHeight="1" x14ac:dyDescent="0.25">
      <c r="A337" s="2352" t="s">
        <v>15933</v>
      </c>
      <c r="B337" s="2352" t="s">
        <v>15712</v>
      </c>
      <c r="C337" s="2352" t="s">
        <v>15712</v>
      </c>
      <c r="D337" s="2352" t="s">
        <v>15934</v>
      </c>
      <c r="E337" s="355">
        <v>60</v>
      </c>
      <c r="F337" s="1662">
        <v>40</v>
      </c>
      <c r="G337" s="903"/>
    </row>
    <row r="338" spans="1:7" ht="15" customHeight="1" x14ac:dyDescent="0.25">
      <c r="A338" s="2352" t="s">
        <v>15935</v>
      </c>
      <c r="B338" s="2352" t="s">
        <v>15712</v>
      </c>
      <c r="C338" s="2352" t="s">
        <v>15712</v>
      </c>
      <c r="D338" s="2352" t="s">
        <v>15936</v>
      </c>
      <c r="E338" s="355">
        <v>100</v>
      </c>
      <c r="F338" s="1662">
        <v>90</v>
      </c>
      <c r="G338" s="903"/>
    </row>
    <row r="339" spans="1:7" ht="15" customHeight="1" x14ac:dyDescent="0.25">
      <c r="A339" s="2352" t="s">
        <v>15937</v>
      </c>
      <c r="B339" s="2352" t="s">
        <v>15712</v>
      </c>
      <c r="C339" s="2352" t="s">
        <v>15712</v>
      </c>
      <c r="D339" s="2352" t="s">
        <v>15938</v>
      </c>
      <c r="E339" s="355">
        <v>30</v>
      </c>
      <c r="F339" s="1662">
        <v>15</v>
      </c>
      <c r="G339" s="903"/>
    </row>
    <row r="340" spans="1:7" ht="15" customHeight="1" x14ac:dyDescent="0.25">
      <c r="A340" s="2352" t="s">
        <v>15939</v>
      </c>
      <c r="B340" s="2352" t="s">
        <v>15712</v>
      </c>
      <c r="C340" s="2352" t="s">
        <v>15712</v>
      </c>
      <c r="D340" s="2352" t="s">
        <v>15940</v>
      </c>
      <c r="E340" s="355">
        <v>60</v>
      </c>
      <c r="F340" s="1662">
        <v>15</v>
      </c>
      <c r="G340" s="903"/>
    </row>
    <row r="341" spans="1:7" ht="15" customHeight="1" x14ac:dyDescent="0.25">
      <c r="A341" s="2352" t="s">
        <v>15941</v>
      </c>
      <c r="B341" s="2352" t="s">
        <v>15712</v>
      </c>
      <c r="C341" s="2352" t="s">
        <v>15712</v>
      </c>
      <c r="D341" s="2352" t="s">
        <v>15942</v>
      </c>
      <c r="E341" s="355">
        <v>10</v>
      </c>
      <c r="F341" s="1662">
        <v>2</v>
      </c>
      <c r="G341" s="903"/>
    </row>
    <row r="342" spans="1:7" ht="15" customHeight="1" x14ac:dyDescent="0.25">
      <c r="A342" s="2352" t="s">
        <v>15943</v>
      </c>
      <c r="B342" s="2352" t="s">
        <v>15712</v>
      </c>
      <c r="C342" s="2352" t="s">
        <v>15712</v>
      </c>
      <c r="D342" s="2352" t="s">
        <v>15944</v>
      </c>
      <c r="E342" s="355">
        <v>60</v>
      </c>
      <c r="F342" s="1662">
        <v>40</v>
      </c>
      <c r="G342" s="903"/>
    </row>
    <row r="343" spans="1:7" ht="15" customHeight="1" x14ac:dyDescent="0.25">
      <c r="A343" s="2352" t="s">
        <v>15945</v>
      </c>
      <c r="B343" s="2352" t="s">
        <v>15712</v>
      </c>
      <c r="C343" s="2352" t="s">
        <v>15712</v>
      </c>
      <c r="D343" s="2352" t="s">
        <v>15946</v>
      </c>
      <c r="E343" s="355">
        <v>30</v>
      </c>
      <c r="F343" s="1662">
        <v>30</v>
      </c>
      <c r="G343" s="903"/>
    </row>
    <row r="344" spans="1:7" ht="15" customHeight="1" x14ac:dyDescent="0.25">
      <c r="A344" s="2352" t="s">
        <v>4413</v>
      </c>
      <c r="B344" s="2352" t="s">
        <v>15712</v>
      </c>
      <c r="C344" s="2352" t="s">
        <v>15712</v>
      </c>
      <c r="D344" s="2352" t="s">
        <v>15947</v>
      </c>
      <c r="E344" s="355">
        <v>100</v>
      </c>
      <c r="F344" s="1662">
        <v>70</v>
      </c>
      <c r="G344" s="903"/>
    </row>
    <row r="345" spans="1:7" ht="15" customHeight="1" x14ac:dyDescent="0.25">
      <c r="A345" s="2352" t="s">
        <v>15948</v>
      </c>
      <c r="B345" s="2352" t="s">
        <v>15712</v>
      </c>
      <c r="C345" s="2352" t="s">
        <v>15712</v>
      </c>
      <c r="D345" s="2352" t="s">
        <v>15949</v>
      </c>
      <c r="E345" s="355">
        <v>10</v>
      </c>
      <c r="F345" s="1662">
        <v>2</v>
      </c>
      <c r="G345" s="903"/>
    </row>
    <row r="346" spans="1:7" ht="15" customHeight="1" x14ac:dyDescent="0.25">
      <c r="A346" s="2352" t="s">
        <v>15950</v>
      </c>
      <c r="B346" s="2352" t="s">
        <v>15712</v>
      </c>
      <c r="C346" s="2352" t="s">
        <v>15712</v>
      </c>
      <c r="D346" s="2352" t="s">
        <v>15951</v>
      </c>
      <c r="E346" s="355">
        <v>160</v>
      </c>
      <c r="F346" s="1662">
        <v>60</v>
      </c>
      <c r="G346" s="903"/>
    </row>
    <row r="347" spans="1:7" ht="15" customHeight="1" x14ac:dyDescent="0.25">
      <c r="A347" s="2352" t="s">
        <v>15952</v>
      </c>
      <c r="B347" s="2352" t="s">
        <v>15712</v>
      </c>
      <c r="C347" s="2352" t="s">
        <v>15712</v>
      </c>
      <c r="D347" s="2352" t="s">
        <v>15953</v>
      </c>
      <c r="E347" s="355">
        <v>40</v>
      </c>
      <c r="F347" s="1662">
        <v>10</v>
      </c>
      <c r="G347" s="903"/>
    </row>
    <row r="348" spans="1:7" ht="15" customHeight="1" x14ac:dyDescent="0.25">
      <c r="A348" s="2352" t="s">
        <v>6701</v>
      </c>
      <c r="B348" s="2352" t="s">
        <v>15712</v>
      </c>
      <c r="C348" s="2352" t="s">
        <v>15712</v>
      </c>
      <c r="D348" s="2352" t="s">
        <v>15954</v>
      </c>
      <c r="E348" s="355">
        <v>100</v>
      </c>
      <c r="F348" s="1662">
        <v>25</v>
      </c>
      <c r="G348" s="903"/>
    </row>
    <row r="349" spans="1:7" ht="15" customHeight="1" x14ac:dyDescent="0.25">
      <c r="A349" s="2352" t="s">
        <v>15955</v>
      </c>
      <c r="B349" s="2352" t="s">
        <v>15712</v>
      </c>
      <c r="C349" s="2352" t="s">
        <v>15712</v>
      </c>
      <c r="D349" s="2352" t="s">
        <v>15956</v>
      </c>
      <c r="E349" s="355">
        <v>50</v>
      </c>
      <c r="F349" s="1662">
        <v>35</v>
      </c>
      <c r="G349" s="903"/>
    </row>
    <row r="350" spans="1:7" ht="15" customHeight="1" x14ac:dyDescent="0.25">
      <c r="A350" s="2352" t="s">
        <v>8300</v>
      </c>
      <c r="B350" s="2352" t="s">
        <v>15712</v>
      </c>
      <c r="C350" s="2352" t="s">
        <v>15712</v>
      </c>
      <c r="D350" s="2352" t="s">
        <v>15957</v>
      </c>
      <c r="E350" s="355">
        <v>100</v>
      </c>
      <c r="F350" s="1662">
        <v>30</v>
      </c>
      <c r="G350" s="903"/>
    </row>
    <row r="351" spans="1:7" ht="15" customHeight="1" x14ac:dyDescent="0.25">
      <c r="A351" s="2352" t="s">
        <v>15738</v>
      </c>
      <c r="B351" s="2352" t="s">
        <v>15712</v>
      </c>
      <c r="C351" s="2352" t="s">
        <v>15712</v>
      </c>
      <c r="D351" s="2352" t="s">
        <v>15958</v>
      </c>
      <c r="E351" s="355">
        <v>100</v>
      </c>
      <c r="F351" s="1662">
        <v>35</v>
      </c>
      <c r="G351" s="903"/>
    </row>
    <row r="352" spans="1:7" ht="15" customHeight="1" x14ac:dyDescent="0.25">
      <c r="A352" s="2352" t="s">
        <v>3761</v>
      </c>
      <c r="B352" s="2352" t="s">
        <v>15712</v>
      </c>
      <c r="C352" s="2352" t="s">
        <v>15712</v>
      </c>
      <c r="D352" s="2352" t="s">
        <v>15959</v>
      </c>
      <c r="E352" s="355">
        <v>30</v>
      </c>
      <c r="F352" s="1662">
        <v>10</v>
      </c>
      <c r="G352" s="903"/>
    </row>
    <row r="353" spans="1:7" ht="15" customHeight="1" x14ac:dyDescent="0.25">
      <c r="A353" s="2352" t="s">
        <v>15960</v>
      </c>
      <c r="B353" s="2352" t="s">
        <v>15712</v>
      </c>
      <c r="C353" s="2352" t="s">
        <v>15712</v>
      </c>
      <c r="D353" s="2352" t="s">
        <v>15961</v>
      </c>
      <c r="E353" s="355">
        <v>30</v>
      </c>
      <c r="F353" s="1662">
        <v>10</v>
      </c>
      <c r="G353" s="903"/>
    </row>
    <row r="354" spans="1:7" ht="15" customHeight="1" x14ac:dyDescent="0.25">
      <c r="A354" s="2352" t="s">
        <v>15819</v>
      </c>
      <c r="B354" s="2352" t="s">
        <v>15712</v>
      </c>
      <c r="C354" s="2352" t="s">
        <v>15712</v>
      </c>
      <c r="D354" s="2352" t="s">
        <v>15962</v>
      </c>
      <c r="E354" s="355">
        <v>63</v>
      </c>
      <c r="F354" s="1662">
        <v>10</v>
      </c>
      <c r="G354" s="903"/>
    </row>
    <row r="355" spans="1:7" ht="15" customHeight="1" x14ac:dyDescent="0.25">
      <c r="A355" s="2352" t="s">
        <v>15963</v>
      </c>
      <c r="B355" s="2352" t="s">
        <v>15712</v>
      </c>
      <c r="C355" s="2352" t="s">
        <v>15712</v>
      </c>
      <c r="D355" s="2352" t="s">
        <v>15964</v>
      </c>
      <c r="E355" s="355">
        <v>30</v>
      </c>
      <c r="F355" s="1662">
        <v>5</v>
      </c>
      <c r="G355" s="903"/>
    </row>
    <row r="356" spans="1:7" ht="15" customHeight="1" x14ac:dyDescent="0.25">
      <c r="A356" s="2352" t="s">
        <v>15965</v>
      </c>
      <c r="B356" s="2352" t="s">
        <v>15712</v>
      </c>
      <c r="C356" s="2352" t="s">
        <v>15712</v>
      </c>
      <c r="D356" s="2352" t="s">
        <v>15966</v>
      </c>
      <c r="E356" s="355">
        <v>100</v>
      </c>
      <c r="F356" s="1662">
        <v>15</v>
      </c>
      <c r="G356" s="903"/>
    </row>
    <row r="357" spans="1:7" ht="15" customHeight="1" x14ac:dyDescent="0.25">
      <c r="A357" s="2352" t="s">
        <v>15967</v>
      </c>
      <c r="B357" s="2352" t="s">
        <v>15712</v>
      </c>
      <c r="C357" s="2352" t="s">
        <v>15712</v>
      </c>
      <c r="D357" s="2352" t="s">
        <v>15968</v>
      </c>
      <c r="E357" s="355">
        <v>160</v>
      </c>
      <c r="F357" s="1662">
        <v>50</v>
      </c>
      <c r="G357" s="903"/>
    </row>
    <row r="358" spans="1:7" ht="15" customHeight="1" x14ac:dyDescent="0.25">
      <c r="A358" s="2352" t="s">
        <v>15969</v>
      </c>
      <c r="B358" s="2352" t="s">
        <v>15712</v>
      </c>
      <c r="C358" s="2352" t="s">
        <v>15712</v>
      </c>
      <c r="D358" s="2352" t="s">
        <v>15970</v>
      </c>
      <c r="E358" s="355">
        <v>20</v>
      </c>
      <c r="F358" s="1662">
        <v>2</v>
      </c>
      <c r="G358" s="903"/>
    </row>
    <row r="359" spans="1:7" ht="15" customHeight="1" x14ac:dyDescent="0.25">
      <c r="A359" s="2352" t="s">
        <v>15971</v>
      </c>
      <c r="B359" s="2352" t="s">
        <v>15712</v>
      </c>
      <c r="C359" s="2352" t="s">
        <v>15712</v>
      </c>
      <c r="D359" s="2352" t="s">
        <v>15972</v>
      </c>
      <c r="E359" s="355">
        <v>63</v>
      </c>
      <c r="F359" s="1662">
        <v>20</v>
      </c>
      <c r="G359" s="903"/>
    </row>
    <row r="360" spans="1:7" ht="15" customHeight="1" x14ac:dyDescent="0.25">
      <c r="A360" s="2352" t="s">
        <v>15973</v>
      </c>
      <c r="B360" s="2352" t="s">
        <v>15712</v>
      </c>
      <c r="C360" s="2352" t="s">
        <v>15712</v>
      </c>
      <c r="D360" s="2352" t="s">
        <v>15974</v>
      </c>
      <c r="E360" s="355">
        <v>30</v>
      </c>
      <c r="F360" s="1662">
        <v>10</v>
      </c>
      <c r="G360" s="903"/>
    </row>
    <row r="361" spans="1:7" ht="15" customHeight="1" x14ac:dyDescent="0.25">
      <c r="A361" s="2352" t="s">
        <v>15975</v>
      </c>
      <c r="B361" s="2352" t="s">
        <v>15712</v>
      </c>
      <c r="C361" s="2352" t="s">
        <v>15712</v>
      </c>
      <c r="D361" s="2352" t="s">
        <v>15976</v>
      </c>
      <c r="E361" s="355">
        <v>250</v>
      </c>
      <c r="F361" s="1662">
        <v>170</v>
      </c>
      <c r="G361" s="903"/>
    </row>
    <row r="362" spans="1:7" ht="15" customHeight="1" x14ac:dyDescent="0.25">
      <c r="A362" s="2352" t="s">
        <v>15836</v>
      </c>
      <c r="B362" s="2352" t="s">
        <v>15712</v>
      </c>
      <c r="C362" s="2352" t="s">
        <v>15712</v>
      </c>
      <c r="D362" s="2352" t="s">
        <v>15977</v>
      </c>
      <c r="E362" s="355">
        <v>160</v>
      </c>
      <c r="F362" s="1662">
        <v>65</v>
      </c>
      <c r="G362" s="903"/>
    </row>
    <row r="363" spans="1:7" ht="15" customHeight="1" x14ac:dyDescent="0.25">
      <c r="A363" s="2352" t="s">
        <v>15978</v>
      </c>
      <c r="B363" s="2352" t="s">
        <v>15712</v>
      </c>
      <c r="C363" s="2352" t="s">
        <v>15712</v>
      </c>
      <c r="D363" s="2352" t="s">
        <v>15979</v>
      </c>
      <c r="E363" s="355">
        <v>30</v>
      </c>
      <c r="F363" s="1662">
        <v>15</v>
      </c>
      <c r="G363" s="903"/>
    </row>
    <row r="364" spans="1:7" ht="15" customHeight="1" x14ac:dyDescent="0.25">
      <c r="A364" s="2352" t="s">
        <v>15980</v>
      </c>
      <c r="B364" s="2352" t="s">
        <v>15712</v>
      </c>
      <c r="C364" s="2352" t="s">
        <v>15712</v>
      </c>
      <c r="D364" s="2352" t="s">
        <v>15981</v>
      </c>
      <c r="E364" s="355">
        <v>100</v>
      </c>
      <c r="F364" s="1662">
        <v>50</v>
      </c>
      <c r="G364" s="903"/>
    </row>
    <row r="365" spans="1:7" ht="15" customHeight="1" x14ac:dyDescent="0.25">
      <c r="A365" s="2352" t="s">
        <v>15982</v>
      </c>
      <c r="B365" s="2352" t="s">
        <v>15712</v>
      </c>
      <c r="C365" s="2352" t="s">
        <v>15712</v>
      </c>
      <c r="D365" s="2352" t="s">
        <v>15983</v>
      </c>
      <c r="E365" s="355">
        <v>60</v>
      </c>
      <c r="F365" s="1662">
        <v>30</v>
      </c>
      <c r="G365" s="903"/>
    </row>
    <row r="366" spans="1:7" ht="15" customHeight="1" x14ac:dyDescent="0.25">
      <c r="A366" s="2352" t="s">
        <v>4383</v>
      </c>
      <c r="B366" s="2352" t="s">
        <v>15712</v>
      </c>
      <c r="C366" s="2352" t="s">
        <v>15712</v>
      </c>
      <c r="D366" s="2352" t="s">
        <v>15984</v>
      </c>
      <c r="E366" s="355">
        <v>40</v>
      </c>
      <c r="F366" s="1662">
        <v>10</v>
      </c>
      <c r="G366" s="903"/>
    </row>
    <row r="367" spans="1:7" ht="15" customHeight="1" x14ac:dyDescent="0.25">
      <c r="A367" s="2352" t="s">
        <v>15843</v>
      </c>
      <c r="B367" s="2352" t="s">
        <v>15712</v>
      </c>
      <c r="C367" s="2352" t="s">
        <v>15712</v>
      </c>
      <c r="D367" s="2352" t="s">
        <v>15985</v>
      </c>
      <c r="E367" s="355">
        <v>100</v>
      </c>
      <c r="F367" s="1662">
        <v>40</v>
      </c>
      <c r="G367" s="903"/>
    </row>
    <row r="368" spans="1:7" ht="15" customHeight="1" x14ac:dyDescent="0.25">
      <c r="A368" s="2352" t="s">
        <v>15736</v>
      </c>
      <c r="B368" s="2352" t="s">
        <v>15712</v>
      </c>
      <c r="C368" s="2352" t="s">
        <v>15712</v>
      </c>
      <c r="D368" s="2352" t="s">
        <v>15986</v>
      </c>
      <c r="E368" s="355">
        <v>400</v>
      </c>
      <c r="F368" s="1662">
        <v>285</v>
      </c>
      <c r="G368" s="903"/>
    </row>
    <row r="369" spans="1:7" ht="15" customHeight="1" x14ac:dyDescent="0.25">
      <c r="A369" s="2352" t="s">
        <v>15987</v>
      </c>
      <c r="B369" s="2352" t="s">
        <v>15712</v>
      </c>
      <c r="C369" s="2352" t="s">
        <v>15712</v>
      </c>
      <c r="D369" s="2352" t="s">
        <v>15988</v>
      </c>
      <c r="E369" s="355">
        <v>100</v>
      </c>
      <c r="F369" s="1662">
        <v>20</v>
      </c>
      <c r="G369" s="903"/>
    </row>
    <row r="370" spans="1:7" ht="15" customHeight="1" x14ac:dyDescent="0.25">
      <c r="A370" s="2352" t="s">
        <v>4244</v>
      </c>
      <c r="B370" s="2352" t="s">
        <v>15712</v>
      </c>
      <c r="C370" s="2352" t="s">
        <v>15712</v>
      </c>
      <c r="D370" s="2352" t="s">
        <v>15989</v>
      </c>
      <c r="E370" s="355">
        <v>10</v>
      </c>
      <c r="F370" s="1662">
        <v>5</v>
      </c>
      <c r="G370" s="903"/>
    </row>
    <row r="371" spans="1:7" ht="15" customHeight="1" x14ac:dyDescent="0.25">
      <c r="A371" s="2352" t="s">
        <v>6476</v>
      </c>
      <c r="B371" s="2352" t="s">
        <v>15712</v>
      </c>
      <c r="C371" s="2352" t="s">
        <v>15712</v>
      </c>
      <c r="D371" s="2352" t="s">
        <v>15990</v>
      </c>
      <c r="E371" s="355">
        <v>60</v>
      </c>
      <c r="F371" s="1662">
        <v>25</v>
      </c>
      <c r="G371" s="903"/>
    </row>
    <row r="372" spans="1:7" ht="15" customHeight="1" x14ac:dyDescent="0.25">
      <c r="A372" s="2352" t="s">
        <v>15991</v>
      </c>
      <c r="B372" s="2352" t="s">
        <v>15712</v>
      </c>
      <c r="C372" s="2352" t="s">
        <v>15712</v>
      </c>
      <c r="D372" s="2352" t="s">
        <v>15992</v>
      </c>
      <c r="E372" s="355">
        <v>60</v>
      </c>
      <c r="F372" s="1662">
        <v>30</v>
      </c>
      <c r="G372" s="903"/>
    </row>
    <row r="373" spans="1:7" ht="15" customHeight="1" x14ac:dyDescent="0.25">
      <c r="A373" s="2352" t="s">
        <v>8216</v>
      </c>
      <c r="B373" s="2352" t="s">
        <v>15712</v>
      </c>
      <c r="C373" s="2352" t="s">
        <v>15712</v>
      </c>
      <c r="D373" s="2352" t="s">
        <v>15993</v>
      </c>
      <c r="E373" s="355">
        <v>60</v>
      </c>
      <c r="F373" s="1662">
        <v>30</v>
      </c>
      <c r="G373" s="903"/>
    </row>
    <row r="374" spans="1:7" ht="15" customHeight="1" x14ac:dyDescent="0.25">
      <c r="A374" s="2352" t="s">
        <v>15766</v>
      </c>
      <c r="B374" s="2352" t="s">
        <v>15712</v>
      </c>
      <c r="C374" s="2352" t="s">
        <v>15712</v>
      </c>
      <c r="D374" s="2352" t="s">
        <v>15994</v>
      </c>
      <c r="E374" s="355">
        <v>160</v>
      </c>
      <c r="F374" s="1662">
        <v>40</v>
      </c>
      <c r="G374" s="903"/>
    </row>
    <row r="375" spans="1:7" ht="15" customHeight="1" x14ac:dyDescent="0.25">
      <c r="A375" s="2352" t="s">
        <v>15766</v>
      </c>
      <c r="B375" s="2352" t="s">
        <v>15712</v>
      </c>
      <c r="C375" s="2352" t="s">
        <v>15712</v>
      </c>
      <c r="D375" s="2352" t="s">
        <v>15995</v>
      </c>
      <c r="E375" s="355">
        <v>400</v>
      </c>
      <c r="F375" s="1662">
        <v>280</v>
      </c>
      <c r="G375" s="903"/>
    </row>
    <row r="376" spans="1:7" ht="15" customHeight="1" x14ac:dyDescent="0.25">
      <c r="A376" s="2352" t="s">
        <v>15126</v>
      </c>
      <c r="B376" s="2352" t="s">
        <v>15712</v>
      </c>
      <c r="C376" s="2352" t="s">
        <v>15712</v>
      </c>
      <c r="D376" s="2352" t="s">
        <v>15996</v>
      </c>
      <c r="E376" s="355">
        <v>60</v>
      </c>
      <c r="F376" s="1662">
        <v>20</v>
      </c>
      <c r="G376" s="903"/>
    </row>
    <row r="377" spans="1:7" ht="15" customHeight="1" x14ac:dyDescent="0.25">
      <c r="A377" s="2352" t="s">
        <v>15997</v>
      </c>
      <c r="B377" s="2352" t="s">
        <v>15712</v>
      </c>
      <c r="C377" s="2352" t="s">
        <v>15712</v>
      </c>
      <c r="D377" s="2352" t="s">
        <v>15998</v>
      </c>
      <c r="E377" s="355">
        <v>60</v>
      </c>
      <c r="F377" s="1662">
        <v>30</v>
      </c>
      <c r="G377" s="903"/>
    </row>
    <row r="378" spans="1:7" ht="15" customHeight="1" x14ac:dyDescent="0.25">
      <c r="A378" s="2352" t="s">
        <v>15861</v>
      </c>
      <c r="B378" s="2352" t="s">
        <v>15712</v>
      </c>
      <c r="C378" s="2352" t="s">
        <v>15712</v>
      </c>
      <c r="D378" s="2352" t="s">
        <v>15999</v>
      </c>
      <c r="E378" s="355">
        <v>250</v>
      </c>
      <c r="F378" s="1662">
        <v>180</v>
      </c>
      <c r="G378" s="903"/>
    </row>
    <row r="379" spans="1:7" ht="15" customHeight="1" x14ac:dyDescent="0.25">
      <c r="A379" s="2352" t="s">
        <v>16000</v>
      </c>
      <c r="B379" s="2352" t="s">
        <v>15712</v>
      </c>
      <c r="C379" s="2352" t="s">
        <v>15712</v>
      </c>
      <c r="D379" s="2352" t="s">
        <v>16001</v>
      </c>
      <c r="E379" s="355">
        <v>25</v>
      </c>
      <c r="F379" s="1662">
        <v>10</v>
      </c>
      <c r="G379" s="903"/>
    </row>
    <row r="380" spans="1:7" ht="15" customHeight="1" x14ac:dyDescent="0.25">
      <c r="A380" s="2352" t="s">
        <v>16002</v>
      </c>
      <c r="B380" s="2352" t="s">
        <v>15712</v>
      </c>
      <c r="C380" s="2352" t="s">
        <v>15712</v>
      </c>
      <c r="D380" s="2352" t="s">
        <v>16003</v>
      </c>
      <c r="E380" s="355">
        <v>60</v>
      </c>
      <c r="F380" s="1662">
        <v>30</v>
      </c>
      <c r="G380" s="903"/>
    </row>
    <row r="381" spans="1:7" ht="15" customHeight="1" x14ac:dyDescent="0.25">
      <c r="A381" s="2352" t="s">
        <v>7401</v>
      </c>
      <c r="B381" s="2352" t="s">
        <v>15712</v>
      </c>
      <c r="C381" s="2352" t="s">
        <v>15712</v>
      </c>
      <c r="D381" s="2352" t="s">
        <v>16004</v>
      </c>
      <c r="E381" s="355">
        <v>30</v>
      </c>
      <c r="F381" s="1662">
        <v>10</v>
      </c>
      <c r="G381" s="903"/>
    </row>
    <row r="382" spans="1:7" ht="15" customHeight="1" x14ac:dyDescent="0.25">
      <c r="A382" s="2352" t="s">
        <v>16005</v>
      </c>
      <c r="B382" s="2352" t="s">
        <v>15712</v>
      </c>
      <c r="C382" s="2352" t="s">
        <v>15712</v>
      </c>
      <c r="D382" s="2352" t="s">
        <v>16006</v>
      </c>
      <c r="E382" s="355">
        <v>30</v>
      </c>
      <c r="F382" s="1662">
        <v>10</v>
      </c>
      <c r="G382" s="903"/>
    </row>
    <row r="383" spans="1:7" ht="15" customHeight="1" x14ac:dyDescent="0.25">
      <c r="A383" s="2352" t="s">
        <v>16007</v>
      </c>
      <c r="B383" s="2352" t="s">
        <v>15712</v>
      </c>
      <c r="C383" s="2352" t="s">
        <v>15712</v>
      </c>
      <c r="D383" s="2352" t="s">
        <v>16008</v>
      </c>
      <c r="E383" s="355">
        <v>30</v>
      </c>
      <c r="F383" s="1662">
        <v>10</v>
      </c>
      <c r="G383" s="903"/>
    </row>
    <row r="384" spans="1:7" ht="15" customHeight="1" x14ac:dyDescent="0.25">
      <c r="A384" s="2352" t="s">
        <v>14061</v>
      </c>
      <c r="B384" s="2352" t="s">
        <v>15712</v>
      </c>
      <c r="C384" s="2352" t="s">
        <v>15712</v>
      </c>
      <c r="D384" s="2352" t="s">
        <v>16009</v>
      </c>
      <c r="E384" s="355">
        <v>60</v>
      </c>
      <c r="F384" s="1662">
        <v>25</v>
      </c>
      <c r="G384" s="903"/>
    </row>
    <row r="385" spans="1:7" ht="15" customHeight="1" x14ac:dyDescent="0.25">
      <c r="A385" s="2352" t="s">
        <v>6451</v>
      </c>
      <c r="B385" s="2352" t="s">
        <v>15712</v>
      </c>
      <c r="C385" s="2352" t="s">
        <v>15712</v>
      </c>
      <c r="D385" s="2352" t="s">
        <v>16010</v>
      </c>
      <c r="E385" s="355">
        <v>60</v>
      </c>
      <c r="F385" s="1662">
        <v>20</v>
      </c>
      <c r="G385" s="903"/>
    </row>
    <row r="386" spans="1:7" ht="15" customHeight="1" x14ac:dyDescent="0.25">
      <c r="A386" s="2352" t="s">
        <v>6751</v>
      </c>
      <c r="B386" s="2352" t="s">
        <v>15712</v>
      </c>
      <c r="C386" s="2352" t="s">
        <v>15712</v>
      </c>
      <c r="D386" s="2352" t="s">
        <v>16011</v>
      </c>
      <c r="E386" s="355">
        <v>160</v>
      </c>
      <c r="F386" s="1662">
        <v>35</v>
      </c>
      <c r="G386" s="903"/>
    </row>
    <row r="387" spans="1:7" ht="15" customHeight="1" x14ac:dyDescent="0.25">
      <c r="A387" s="2352" t="s">
        <v>16012</v>
      </c>
      <c r="B387" s="2352" t="s">
        <v>15712</v>
      </c>
      <c r="C387" s="2352" t="s">
        <v>15712</v>
      </c>
      <c r="D387" s="2352" t="s">
        <v>16013</v>
      </c>
      <c r="E387" s="355">
        <v>60</v>
      </c>
      <c r="F387" s="1662">
        <v>30</v>
      </c>
      <c r="G387" s="903"/>
    </row>
    <row r="388" spans="1:7" ht="15" customHeight="1" x14ac:dyDescent="0.25">
      <c r="A388" s="2352" t="s">
        <v>16014</v>
      </c>
      <c r="B388" s="2352" t="s">
        <v>15712</v>
      </c>
      <c r="C388" s="2352" t="s">
        <v>15712</v>
      </c>
      <c r="D388" s="2352" t="s">
        <v>16015</v>
      </c>
      <c r="E388" s="355">
        <v>40</v>
      </c>
      <c r="F388" s="1662">
        <v>20</v>
      </c>
      <c r="G388" s="903"/>
    </row>
    <row r="389" spans="1:7" ht="15" customHeight="1" x14ac:dyDescent="0.25">
      <c r="A389" s="2352" t="s">
        <v>16014</v>
      </c>
      <c r="B389" s="2352" t="s">
        <v>15712</v>
      </c>
      <c r="C389" s="2352" t="s">
        <v>15712</v>
      </c>
      <c r="D389" s="2352" t="s">
        <v>16016</v>
      </c>
      <c r="E389" s="355">
        <v>40</v>
      </c>
      <c r="F389" s="1662">
        <v>20</v>
      </c>
      <c r="G389" s="903"/>
    </row>
    <row r="390" spans="1:7" ht="15" customHeight="1" x14ac:dyDescent="0.25">
      <c r="A390" s="2352" t="s">
        <v>16014</v>
      </c>
      <c r="B390" s="2352" t="s">
        <v>15712</v>
      </c>
      <c r="C390" s="2352" t="s">
        <v>15712</v>
      </c>
      <c r="D390" s="2352" t="s">
        <v>16017</v>
      </c>
      <c r="E390" s="355">
        <v>60</v>
      </c>
      <c r="F390" s="1662">
        <v>15</v>
      </c>
      <c r="G390" s="903"/>
    </row>
    <row r="391" spans="1:7" ht="15" customHeight="1" x14ac:dyDescent="0.25">
      <c r="A391" s="2352" t="s">
        <v>15772</v>
      </c>
      <c r="B391" s="2352" t="s">
        <v>15712</v>
      </c>
      <c r="C391" s="2352" t="s">
        <v>15712</v>
      </c>
      <c r="D391" s="2352" t="s">
        <v>16018</v>
      </c>
      <c r="E391" s="355">
        <v>250</v>
      </c>
      <c r="F391" s="1662">
        <v>150</v>
      </c>
      <c r="G391" s="903"/>
    </row>
    <row r="392" spans="1:7" ht="15" customHeight="1" x14ac:dyDescent="0.25">
      <c r="A392" s="2352" t="s">
        <v>16019</v>
      </c>
      <c r="B392" s="2352" t="s">
        <v>15712</v>
      </c>
      <c r="C392" s="2352" t="s">
        <v>15712</v>
      </c>
      <c r="D392" s="2352" t="s">
        <v>16020</v>
      </c>
      <c r="E392" s="355">
        <v>60</v>
      </c>
      <c r="F392" s="1662">
        <v>25</v>
      </c>
      <c r="G392" s="903"/>
    </row>
    <row r="393" spans="1:7" ht="15" customHeight="1" x14ac:dyDescent="0.25">
      <c r="A393" s="2352" t="s">
        <v>16021</v>
      </c>
      <c r="B393" s="2352" t="s">
        <v>15712</v>
      </c>
      <c r="C393" s="2352" t="s">
        <v>15712</v>
      </c>
      <c r="D393" s="2352" t="s">
        <v>16022</v>
      </c>
      <c r="E393" s="355">
        <v>40</v>
      </c>
      <c r="F393" s="1662">
        <v>25</v>
      </c>
      <c r="G393" s="903"/>
    </row>
    <row r="394" spans="1:7" ht="15" customHeight="1" x14ac:dyDescent="0.25">
      <c r="A394" s="2352" t="s">
        <v>16023</v>
      </c>
      <c r="B394" s="2352" t="s">
        <v>15712</v>
      </c>
      <c r="C394" s="2352" t="s">
        <v>15712</v>
      </c>
      <c r="D394" s="2352" t="s">
        <v>16024</v>
      </c>
      <c r="E394" s="355">
        <v>160</v>
      </c>
      <c r="F394" s="1662">
        <v>25</v>
      </c>
      <c r="G394" s="903"/>
    </row>
    <row r="395" spans="1:7" ht="15" customHeight="1" x14ac:dyDescent="0.25">
      <c r="A395" s="2352" t="s">
        <v>15738</v>
      </c>
      <c r="B395" s="2352" t="s">
        <v>15712</v>
      </c>
      <c r="C395" s="2352" t="s">
        <v>15712</v>
      </c>
      <c r="D395" s="2352" t="s">
        <v>16025</v>
      </c>
      <c r="E395" s="355">
        <v>160</v>
      </c>
      <c r="F395" s="1662">
        <v>20</v>
      </c>
      <c r="G395" s="903"/>
    </row>
    <row r="396" spans="1:7" ht="15" customHeight="1" x14ac:dyDescent="0.25">
      <c r="A396" s="2352" t="s">
        <v>15738</v>
      </c>
      <c r="B396" s="2352" t="s">
        <v>15712</v>
      </c>
      <c r="C396" s="2352" t="s">
        <v>15712</v>
      </c>
      <c r="D396" s="2352" t="s">
        <v>16026</v>
      </c>
      <c r="E396" s="355">
        <v>63</v>
      </c>
      <c r="F396" s="1662">
        <v>10</v>
      </c>
      <c r="G396" s="903"/>
    </row>
    <row r="397" spans="1:7" ht="15" customHeight="1" x14ac:dyDescent="0.25">
      <c r="A397" s="2352" t="s">
        <v>15738</v>
      </c>
      <c r="B397" s="2352" t="s">
        <v>15712</v>
      </c>
      <c r="C397" s="2352" t="s">
        <v>15712</v>
      </c>
      <c r="D397" s="2352" t="s">
        <v>16027</v>
      </c>
      <c r="E397" s="355">
        <v>100</v>
      </c>
      <c r="F397" s="1662">
        <v>10</v>
      </c>
      <c r="G397" s="903"/>
    </row>
    <row r="398" spans="1:7" ht="15" customHeight="1" x14ac:dyDescent="0.25">
      <c r="A398" s="2352" t="s">
        <v>15738</v>
      </c>
      <c r="B398" s="2352" t="s">
        <v>15712</v>
      </c>
      <c r="C398" s="2352" t="s">
        <v>15712</v>
      </c>
      <c r="D398" s="2352" t="s">
        <v>17093</v>
      </c>
      <c r="E398" s="355">
        <v>100</v>
      </c>
      <c r="F398" s="1662">
        <v>10</v>
      </c>
      <c r="G398" s="903"/>
    </row>
    <row r="399" spans="1:7" ht="15" customHeight="1" x14ac:dyDescent="0.25">
      <c r="A399" s="2352" t="s">
        <v>4007</v>
      </c>
      <c r="B399" s="2352" t="s">
        <v>15712</v>
      </c>
      <c r="C399" s="2352" t="s">
        <v>15712</v>
      </c>
      <c r="D399" s="2352" t="s">
        <v>16028</v>
      </c>
      <c r="E399" s="355">
        <v>250</v>
      </c>
      <c r="F399" s="1662">
        <v>150</v>
      </c>
      <c r="G399" s="903"/>
    </row>
    <row r="400" spans="1:7" ht="15" customHeight="1" x14ac:dyDescent="0.25">
      <c r="A400" s="2352" t="s">
        <v>15838</v>
      </c>
      <c r="B400" s="2352" t="s">
        <v>15712</v>
      </c>
      <c r="C400" s="2352" t="s">
        <v>15712</v>
      </c>
      <c r="D400" s="2352" t="s">
        <v>16029</v>
      </c>
      <c r="E400" s="355">
        <v>400</v>
      </c>
      <c r="F400" s="1662">
        <v>300</v>
      </c>
      <c r="G400" s="903"/>
    </row>
    <row r="401" spans="1:7" ht="15" customHeight="1" x14ac:dyDescent="0.25">
      <c r="A401" s="2352" t="s">
        <v>15738</v>
      </c>
      <c r="B401" s="2352" t="s">
        <v>15712</v>
      </c>
      <c r="C401" s="2352" t="s">
        <v>15712</v>
      </c>
      <c r="D401" s="2352" t="s">
        <v>16030</v>
      </c>
      <c r="E401" s="355">
        <v>160</v>
      </c>
      <c r="F401" s="1662">
        <v>100</v>
      </c>
      <c r="G401" s="903"/>
    </row>
    <row r="402" spans="1:7" ht="15" customHeight="1" x14ac:dyDescent="0.25">
      <c r="A402" s="2352" t="s">
        <v>15838</v>
      </c>
      <c r="B402" s="2352" t="s">
        <v>15712</v>
      </c>
      <c r="C402" s="2352" t="s">
        <v>15712</v>
      </c>
      <c r="D402" s="2352" t="s">
        <v>16031</v>
      </c>
      <c r="E402" s="355">
        <v>160</v>
      </c>
      <c r="F402" s="1662">
        <v>100</v>
      </c>
      <c r="G402" s="903"/>
    </row>
    <row r="403" spans="1:7" ht="15" customHeight="1" x14ac:dyDescent="0.25">
      <c r="A403" s="2352" t="s">
        <v>15819</v>
      </c>
      <c r="B403" s="2352" t="s">
        <v>15712</v>
      </c>
      <c r="C403" s="2352" t="s">
        <v>15712</v>
      </c>
      <c r="D403" s="2352" t="s">
        <v>16032</v>
      </c>
      <c r="E403" s="355">
        <v>160</v>
      </c>
      <c r="F403" s="1662">
        <v>100</v>
      </c>
      <c r="G403" s="903"/>
    </row>
    <row r="404" spans="1:7" ht="15" customHeight="1" x14ac:dyDescent="0.25">
      <c r="A404" s="2352" t="s">
        <v>15852</v>
      </c>
      <c r="B404" s="2352" t="s">
        <v>15712</v>
      </c>
      <c r="C404" s="2352" t="s">
        <v>15712</v>
      </c>
      <c r="D404" s="2352" t="s">
        <v>16033</v>
      </c>
      <c r="E404" s="355">
        <v>250</v>
      </c>
      <c r="F404" s="1662">
        <v>50</v>
      </c>
      <c r="G404" s="903"/>
    </row>
    <row r="405" spans="1:7" ht="15" customHeight="1" x14ac:dyDescent="0.25">
      <c r="A405" s="2352" t="s">
        <v>15731</v>
      </c>
      <c r="B405" s="2352" t="s">
        <v>15712</v>
      </c>
      <c r="C405" s="2352" t="s">
        <v>15712</v>
      </c>
      <c r="D405" s="2352" t="s">
        <v>16034</v>
      </c>
      <c r="E405" s="355">
        <v>250</v>
      </c>
      <c r="F405" s="1662">
        <v>150</v>
      </c>
      <c r="G405" s="903"/>
    </row>
    <row r="406" spans="1:7" ht="15" customHeight="1" x14ac:dyDescent="0.25">
      <c r="A406" s="2352" t="s">
        <v>15772</v>
      </c>
      <c r="B406" s="2352" t="s">
        <v>15712</v>
      </c>
      <c r="C406" s="2352" t="s">
        <v>15712</v>
      </c>
      <c r="D406" s="2352" t="s">
        <v>16035</v>
      </c>
      <c r="E406" s="355">
        <v>250</v>
      </c>
      <c r="F406" s="1662">
        <v>150</v>
      </c>
      <c r="G406" s="903"/>
    </row>
    <row r="407" spans="1:7" ht="15" customHeight="1" x14ac:dyDescent="0.25">
      <c r="A407" s="2352" t="s">
        <v>5502</v>
      </c>
      <c r="B407" s="2352" t="s">
        <v>15712</v>
      </c>
      <c r="C407" s="2352" t="s">
        <v>15712</v>
      </c>
      <c r="D407" s="2352" t="s">
        <v>16036</v>
      </c>
      <c r="E407" s="355">
        <v>250</v>
      </c>
      <c r="F407" s="1662">
        <v>80</v>
      </c>
      <c r="G407" s="903"/>
    </row>
    <row r="408" spans="1:7" ht="15" customHeight="1" x14ac:dyDescent="0.25">
      <c r="A408" s="2352" t="s">
        <v>16037</v>
      </c>
      <c r="B408" s="2352" t="s">
        <v>15712</v>
      </c>
      <c r="C408" s="2352" t="s">
        <v>15712</v>
      </c>
      <c r="D408" s="2352" t="s">
        <v>16038</v>
      </c>
      <c r="E408" s="355">
        <v>250</v>
      </c>
      <c r="F408" s="1662">
        <v>150</v>
      </c>
      <c r="G408" s="903"/>
    </row>
    <row r="409" spans="1:7" ht="15" customHeight="1" x14ac:dyDescent="0.25">
      <c r="A409" s="2352" t="s">
        <v>15906</v>
      </c>
      <c r="B409" s="2352" t="s">
        <v>15712</v>
      </c>
      <c r="C409" s="2352" t="s">
        <v>15712</v>
      </c>
      <c r="D409" s="2352" t="s">
        <v>16039</v>
      </c>
      <c r="E409" s="355">
        <v>100</v>
      </c>
      <c r="F409" s="1662">
        <v>20</v>
      </c>
      <c r="G409" s="903"/>
    </row>
    <row r="410" spans="1:7" ht="15" customHeight="1" x14ac:dyDescent="0.25">
      <c r="A410" s="2352" t="s">
        <v>15790</v>
      </c>
      <c r="B410" s="2352" t="s">
        <v>15712</v>
      </c>
      <c r="C410" s="2352" t="s">
        <v>15712</v>
      </c>
      <c r="D410" s="2352" t="s">
        <v>16040</v>
      </c>
      <c r="E410" s="355">
        <v>160</v>
      </c>
      <c r="F410" s="1662">
        <v>100</v>
      </c>
      <c r="G410" s="903"/>
    </row>
    <row r="411" spans="1:7" ht="15" customHeight="1" x14ac:dyDescent="0.25">
      <c r="A411" s="2352" t="s">
        <v>15788</v>
      </c>
      <c r="B411" s="2352" t="s">
        <v>15712</v>
      </c>
      <c r="C411" s="2352" t="s">
        <v>15712</v>
      </c>
      <c r="D411" s="2352" t="s">
        <v>16041</v>
      </c>
      <c r="E411" s="355">
        <v>400</v>
      </c>
      <c r="F411" s="1662">
        <v>40</v>
      </c>
      <c r="G411" s="903"/>
    </row>
    <row r="412" spans="1:7" ht="15" customHeight="1" x14ac:dyDescent="0.25">
      <c r="A412" s="2352" t="s">
        <v>15788</v>
      </c>
      <c r="B412" s="2352" t="s">
        <v>15712</v>
      </c>
      <c r="C412" s="2352" t="s">
        <v>15712</v>
      </c>
      <c r="D412" s="2352" t="s">
        <v>16042</v>
      </c>
      <c r="E412" s="355">
        <v>400</v>
      </c>
      <c r="F412" s="1662">
        <v>30</v>
      </c>
      <c r="G412" s="903"/>
    </row>
    <row r="413" spans="1:7" ht="15" customHeight="1" x14ac:dyDescent="0.25">
      <c r="A413" s="2352" t="s">
        <v>15788</v>
      </c>
      <c r="B413" s="2352" t="s">
        <v>15712</v>
      </c>
      <c r="C413" s="2352" t="s">
        <v>15712</v>
      </c>
      <c r="D413" s="2352" t="s">
        <v>16043</v>
      </c>
      <c r="E413" s="355">
        <v>400</v>
      </c>
      <c r="F413" s="1662">
        <v>30</v>
      </c>
      <c r="G413" s="903"/>
    </row>
    <row r="414" spans="1:7" ht="15" customHeight="1" x14ac:dyDescent="0.25">
      <c r="A414" s="2352" t="s">
        <v>15788</v>
      </c>
      <c r="B414" s="2352" t="s">
        <v>15712</v>
      </c>
      <c r="C414" s="2352" t="s">
        <v>15712</v>
      </c>
      <c r="D414" s="2352" t="s">
        <v>16044</v>
      </c>
      <c r="E414" s="355">
        <v>400</v>
      </c>
      <c r="F414" s="1662">
        <v>45</v>
      </c>
      <c r="G414" s="903"/>
    </row>
    <row r="415" spans="1:7" ht="15" customHeight="1" x14ac:dyDescent="0.25">
      <c r="A415" s="2352" t="s">
        <v>15731</v>
      </c>
      <c r="B415" s="2352" t="s">
        <v>15712</v>
      </c>
      <c r="C415" s="2352" t="s">
        <v>15712</v>
      </c>
      <c r="D415" s="2352" t="s">
        <v>16045</v>
      </c>
      <c r="E415" s="355">
        <v>100</v>
      </c>
      <c r="F415" s="1662">
        <v>15</v>
      </c>
      <c r="G415" s="903"/>
    </row>
    <row r="416" spans="1:7" ht="15" customHeight="1" x14ac:dyDescent="0.25">
      <c r="A416" s="2352" t="s">
        <v>14942</v>
      </c>
      <c r="B416" s="2352" t="s">
        <v>15712</v>
      </c>
      <c r="C416" s="2352" t="s">
        <v>15712</v>
      </c>
      <c r="D416" s="2352" t="s">
        <v>16046</v>
      </c>
      <c r="E416" s="355">
        <v>160</v>
      </c>
      <c r="F416" s="1662">
        <v>25</v>
      </c>
      <c r="G416" s="903"/>
    </row>
    <row r="417" spans="1:7" ht="15" customHeight="1" x14ac:dyDescent="0.25">
      <c r="A417" s="2352" t="s">
        <v>14942</v>
      </c>
      <c r="B417" s="2352" t="s">
        <v>15712</v>
      </c>
      <c r="C417" s="2352" t="s">
        <v>15712</v>
      </c>
      <c r="D417" s="2352" t="s">
        <v>16047</v>
      </c>
      <c r="E417" s="355">
        <v>160</v>
      </c>
      <c r="F417" s="1662">
        <v>25</v>
      </c>
      <c r="G417" s="903"/>
    </row>
    <row r="418" spans="1:7" ht="15" customHeight="1" x14ac:dyDescent="0.25">
      <c r="A418" s="2352" t="s">
        <v>14942</v>
      </c>
      <c r="B418" s="2352" t="s">
        <v>15712</v>
      </c>
      <c r="C418" s="2352" t="s">
        <v>15712</v>
      </c>
      <c r="D418" s="2352" t="s">
        <v>16048</v>
      </c>
      <c r="E418" s="355" t="s">
        <v>15728</v>
      </c>
      <c r="F418" s="1662" t="s">
        <v>15728</v>
      </c>
      <c r="G418" s="903"/>
    </row>
    <row r="419" spans="1:7" ht="15" customHeight="1" x14ac:dyDescent="0.25">
      <c r="A419" s="2352" t="s">
        <v>9373</v>
      </c>
      <c r="B419" s="2352" t="s">
        <v>15712</v>
      </c>
      <c r="C419" s="2352" t="s">
        <v>15712</v>
      </c>
      <c r="D419" s="2352" t="s">
        <v>16049</v>
      </c>
      <c r="E419" s="355">
        <v>400</v>
      </c>
      <c r="F419" s="1662">
        <v>300</v>
      </c>
      <c r="G419" s="903"/>
    </row>
    <row r="420" spans="1:7" ht="15" customHeight="1" x14ac:dyDescent="0.25">
      <c r="A420" s="2352" t="s">
        <v>15729</v>
      </c>
      <c r="B420" s="2352" t="s">
        <v>15712</v>
      </c>
      <c r="C420" s="2352" t="s">
        <v>15712</v>
      </c>
      <c r="D420" s="2352" t="s">
        <v>16050</v>
      </c>
      <c r="E420" s="355">
        <v>250</v>
      </c>
      <c r="F420" s="1662">
        <v>100</v>
      </c>
      <c r="G420" s="903"/>
    </row>
    <row r="421" spans="1:7" ht="15" customHeight="1" x14ac:dyDescent="0.25">
      <c r="A421" s="2352" t="s">
        <v>16051</v>
      </c>
      <c r="B421" s="2352" t="s">
        <v>15712</v>
      </c>
      <c r="C421" s="2352" t="s">
        <v>15712</v>
      </c>
      <c r="D421" s="2352" t="s">
        <v>16052</v>
      </c>
      <c r="E421" s="355">
        <v>160</v>
      </c>
      <c r="F421" s="1662">
        <v>60</v>
      </c>
      <c r="G421" s="903"/>
    </row>
    <row r="422" spans="1:7" ht="15" customHeight="1" x14ac:dyDescent="0.25">
      <c r="A422" s="2352" t="s">
        <v>15729</v>
      </c>
      <c r="B422" s="2352" t="s">
        <v>15712</v>
      </c>
      <c r="C422" s="2352" t="s">
        <v>15712</v>
      </c>
      <c r="D422" s="2352" t="s">
        <v>16053</v>
      </c>
      <c r="E422" s="355">
        <v>160</v>
      </c>
      <c r="F422" s="1662">
        <v>60</v>
      </c>
      <c r="G422" s="903"/>
    </row>
    <row r="423" spans="1:7" ht="15" customHeight="1" x14ac:dyDescent="0.25">
      <c r="A423" s="2352" t="s">
        <v>16054</v>
      </c>
      <c r="B423" s="2352" t="s">
        <v>15712</v>
      </c>
      <c r="C423" s="2352" t="s">
        <v>15712</v>
      </c>
      <c r="D423" s="2352" t="s">
        <v>16055</v>
      </c>
      <c r="E423" s="355">
        <v>25</v>
      </c>
      <c r="F423" s="1662">
        <v>5</v>
      </c>
      <c r="G423" s="903"/>
    </row>
    <row r="424" spans="1:7" ht="15" customHeight="1" x14ac:dyDescent="0.25">
      <c r="A424" s="2352" t="s">
        <v>16056</v>
      </c>
      <c r="B424" s="2352" t="s">
        <v>15712</v>
      </c>
      <c r="C424" s="2352" t="s">
        <v>15712</v>
      </c>
      <c r="D424" s="2352" t="s">
        <v>16057</v>
      </c>
      <c r="E424" s="355">
        <v>100</v>
      </c>
      <c r="F424" s="1662">
        <v>30</v>
      </c>
      <c r="G424" s="903"/>
    </row>
    <row r="425" spans="1:7" ht="15" customHeight="1" x14ac:dyDescent="0.25">
      <c r="A425" s="2352" t="s">
        <v>16058</v>
      </c>
      <c r="B425" s="2352" t="s">
        <v>15712</v>
      </c>
      <c r="C425" s="2352" t="s">
        <v>15712</v>
      </c>
      <c r="D425" s="2352" t="s">
        <v>16059</v>
      </c>
      <c r="E425" s="355">
        <v>30</v>
      </c>
      <c r="F425" s="1662">
        <v>10</v>
      </c>
      <c r="G425" s="903"/>
    </row>
    <row r="426" spans="1:7" ht="15" customHeight="1" x14ac:dyDescent="0.25">
      <c r="A426" s="2352" t="s">
        <v>16060</v>
      </c>
      <c r="B426" s="2352" t="s">
        <v>15712</v>
      </c>
      <c r="C426" s="2352" t="s">
        <v>15712</v>
      </c>
      <c r="D426" s="2352" t="s">
        <v>16061</v>
      </c>
      <c r="E426" s="355">
        <v>40</v>
      </c>
      <c r="F426" s="1662">
        <v>10</v>
      </c>
      <c r="G426" s="903"/>
    </row>
    <row r="427" spans="1:7" ht="15" customHeight="1" x14ac:dyDescent="0.25">
      <c r="A427" s="2352" t="s">
        <v>3956</v>
      </c>
      <c r="B427" s="2352" t="s">
        <v>15712</v>
      </c>
      <c r="C427" s="2352" t="s">
        <v>15712</v>
      </c>
      <c r="D427" s="2352" t="s">
        <v>16062</v>
      </c>
      <c r="E427" s="355">
        <v>30</v>
      </c>
      <c r="F427" s="1662">
        <v>10</v>
      </c>
      <c r="G427" s="903"/>
    </row>
    <row r="428" spans="1:7" ht="15" customHeight="1" x14ac:dyDescent="0.25">
      <c r="A428" s="2352" t="s">
        <v>16063</v>
      </c>
      <c r="B428" s="2352" t="s">
        <v>15712</v>
      </c>
      <c r="C428" s="2352" t="s">
        <v>15712</v>
      </c>
      <c r="D428" s="2352" t="s">
        <v>16064</v>
      </c>
      <c r="E428" s="355">
        <v>100</v>
      </c>
      <c r="F428" s="1662">
        <v>15</v>
      </c>
      <c r="G428" s="903"/>
    </row>
    <row r="429" spans="1:7" ht="15" customHeight="1" x14ac:dyDescent="0.25">
      <c r="A429" s="2352" t="s">
        <v>16065</v>
      </c>
      <c r="B429" s="2352" t="s">
        <v>15712</v>
      </c>
      <c r="C429" s="2352" t="s">
        <v>15712</v>
      </c>
      <c r="D429" s="2352" t="s">
        <v>16066</v>
      </c>
      <c r="E429" s="355">
        <v>100</v>
      </c>
      <c r="F429" s="1662">
        <v>30</v>
      </c>
      <c r="G429" s="903"/>
    </row>
    <row r="430" spans="1:7" ht="15" customHeight="1" x14ac:dyDescent="0.25">
      <c r="A430" s="2352" t="s">
        <v>9951</v>
      </c>
      <c r="B430" s="2352" t="s">
        <v>15712</v>
      </c>
      <c r="C430" s="2352" t="s">
        <v>15712</v>
      </c>
      <c r="D430" s="2352" t="s">
        <v>16067</v>
      </c>
      <c r="E430" s="355">
        <v>10</v>
      </c>
      <c r="F430" s="1662">
        <v>2</v>
      </c>
      <c r="G430" s="903"/>
    </row>
    <row r="431" spans="1:7" ht="15" customHeight="1" x14ac:dyDescent="0.25">
      <c r="A431" s="2352" t="s">
        <v>16068</v>
      </c>
      <c r="B431" s="2352" t="s">
        <v>15712</v>
      </c>
      <c r="C431" s="2352" t="s">
        <v>15712</v>
      </c>
      <c r="D431" s="2352" t="s">
        <v>16069</v>
      </c>
      <c r="E431" s="355">
        <v>40</v>
      </c>
      <c r="F431" s="1662">
        <v>10</v>
      </c>
      <c r="G431" s="903"/>
    </row>
    <row r="432" spans="1:7" ht="15" customHeight="1" x14ac:dyDescent="0.25">
      <c r="A432" s="2352" t="s">
        <v>16070</v>
      </c>
      <c r="B432" s="2352" t="s">
        <v>15712</v>
      </c>
      <c r="C432" s="2352" t="s">
        <v>15712</v>
      </c>
      <c r="D432" s="2352" t="s">
        <v>16071</v>
      </c>
      <c r="E432" s="355">
        <v>50</v>
      </c>
      <c r="F432" s="1662">
        <v>15</v>
      </c>
      <c r="G432" s="903"/>
    </row>
    <row r="433" spans="1:7" ht="15" customHeight="1" x14ac:dyDescent="0.25">
      <c r="A433" s="2352" t="s">
        <v>4632</v>
      </c>
      <c r="B433" s="2352" t="s">
        <v>15712</v>
      </c>
      <c r="C433" s="2352" t="s">
        <v>15712</v>
      </c>
      <c r="D433" s="2352" t="s">
        <v>16072</v>
      </c>
      <c r="E433" s="355">
        <v>10</v>
      </c>
      <c r="F433" s="1662">
        <v>5</v>
      </c>
      <c r="G433" s="903"/>
    </row>
    <row r="434" spans="1:7" ht="15" customHeight="1" x14ac:dyDescent="0.25">
      <c r="A434" s="2352" t="s">
        <v>15733</v>
      </c>
      <c r="B434" s="2352" t="s">
        <v>15712</v>
      </c>
      <c r="C434" s="2352" t="s">
        <v>15712</v>
      </c>
      <c r="D434" s="2352" t="s">
        <v>16073</v>
      </c>
      <c r="E434" s="355">
        <v>250</v>
      </c>
      <c r="F434" s="1662">
        <v>230</v>
      </c>
      <c r="G434" s="903"/>
    </row>
    <row r="435" spans="1:7" ht="15" customHeight="1" x14ac:dyDescent="0.25">
      <c r="A435" s="2352" t="s">
        <v>15736</v>
      </c>
      <c r="B435" s="2352" t="s">
        <v>15712</v>
      </c>
      <c r="C435" s="2352" t="s">
        <v>15712</v>
      </c>
      <c r="D435" s="2352" t="s">
        <v>16074</v>
      </c>
      <c r="E435" s="355">
        <v>400</v>
      </c>
      <c r="F435" s="1662">
        <v>300</v>
      </c>
      <c r="G435" s="903"/>
    </row>
    <row r="436" spans="1:7" ht="15" customHeight="1" x14ac:dyDescent="0.25">
      <c r="A436" s="2352" t="s">
        <v>15755</v>
      </c>
      <c r="B436" s="2352" t="s">
        <v>15712</v>
      </c>
      <c r="C436" s="2352" t="s">
        <v>15712</v>
      </c>
      <c r="D436" s="2352" t="s">
        <v>16075</v>
      </c>
      <c r="E436" s="355">
        <v>160</v>
      </c>
      <c r="F436" s="1662">
        <v>60</v>
      </c>
      <c r="G436" s="903"/>
    </row>
    <row r="437" spans="1:7" ht="15" customHeight="1" x14ac:dyDescent="0.25">
      <c r="A437" s="2352" t="s">
        <v>14018</v>
      </c>
      <c r="B437" s="2352" t="s">
        <v>15712</v>
      </c>
      <c r="C437" s="2352" t="s">
        <v>15712</v>
      </c>
      <c r="D437" s="2352" t="s">
        <v>16076</v>
      </c>
      <c r="E437" s="355">
        <v>160</v>
      </c>
      <c r="F437" s="1662">
        <v>60</v>
      </c>
      <c r="G437" s="903"/>
    </row>
    <row r="438" spans="1:7" ht="15" customHeight="1" x14ac:dyDescent="0.25">
      <c r="A438" s="2352" t="s">
        <v>3698</v>
      </c>
      <c r="B438" s="2352" t="s">
        <v>15712</v>
      </c>
      <c r="C438" s="2352" t="s">
        <v>15712</v>
      </c>
      <c r="D438" s="2352" t="s">
        <v>16077</v>
      </c>
      <c r="E438" s="355">
        <v>100</v>
      </c>
      <c r="F438" s="1662">
        <v>40</v>
      </c>
      <c r="G438" s="903"/>
    </row>
    <row r="439" spans="1:7" ht="15" customHeight="1" x14ac:dyDescent="0.25">
      <c r="A439" s="2352" t="s">
        <v>15955</v>
      </c>
      <c r="B439" s="2352" t="s">
        <v>15712</v>
      </c>
      <c r="C439" s="2352" t="s">
        <v>15712</v>
      </c>
      <c r="D439" s="2352" t="s">
        <v>16078</v>
      </c>
      <c r="E439" s="355">
        <v>60</v>
      </c>
      <c r="F439" s="1662">
        <v>30</v>
      </c>
      <c r="G439" s="903"/>
    </row>
    <row r="440" spans="1:7" ht="15" customHeight="1" x14ac:dyDescent="0.25">
      <c r="A440" s="2352" t="s">
        <v>9061</v>
      </c>
      <c r="B440" s="2352" t="s">
        <v>15712</v>
      </c>
      <c r="C440" s="2352" t="s">
        <v>15712</v>
      </c>
      <c r="D440" s="2352" t="s">
        <v>16079</v>
      </c>
      <c r="E440" s="355">
        <v>30</v>
      </c>
      <c r="F440" s="1662">
        <v>10</v>
      </c>
      <c r="G440" s="903"/>
    </row>
    <row r="441" spans="1:7" ht="15" customHeight="1" x14ac:dyDescent="0.25">
      <c r="A441" s="2352" t="s">
        <v>16080</v>
      </c>
      <c r="B441" s="2352" t="s">
        <v>15712</v>
      </c>
      <c r="C441" s="2352" t="s">
        <v>15712</v>
      </c>
      <c r="D441" s="2352" t="s">
        <v>16081</v>
      </c>
      <c r="E441" s="355">
        <v>25</v>
      </c>
      <c r="F441" s="1662">
        <v>15</v>
      </c>
      <c r="G441" s="903"/>
    </row>
    <row r="442" spans="1:7" ht="15" customHeight="1" x14ac:dyDescent="0.25">
      <c r="A442" s="2352" t="s">
        <v>16082</v>
      </c>
      <c r="B442" s="2352" t="s">
        <v>15712</v>
      </c>
      <c r="C442" s="2352" t="s">
        <v>15712</v>
      </c>
      <c r="D442" s="2352" t="s">
        <v>16083</v>
      </c>
      <c r="E442" s="355">
        <v>25</v>
      </c>
      <c r="F442" s="1662">
        <v>15</v>
      </c>
      <c r="G442" s="903"/>
    </row>
    <row r="443" spans="1:7" ht="15" customHeight="1" x14ac:dyDescent="0.25">
      <c r="A443" s="2352" t="s">
        <v>14942</v>
      </c>
      <c r="B443" s="2352" t="s">
        <v>15712</v>
      </c>
      <c r="C443" s="2352" t="s">
        <v>15712</v>
      </c>
      <c r="D443" s="2352" t="s">
        <v>16084</v>
      </c>
      <c r="E443" s="355">
        <v>100</v>
      </c>
      <c r="F443" s="1662">
        <v>30</v>
      </c>
      <c r="G443" s="903"/>
    </row>
    <row r="444" spans="1:7" ht="15" customHeight="1" x14ac:dyDescent="0.25">
      <c r="A444" s="2352" t="s">
        <v>16085</v>
      </c>
      <c r="B444" s="2352" t="s">
        <v>15712</v>
      </c>
      <c r="C444" s="2352" t="s">
        <v>15712</v>
      </c>
      <c r="D444" s="2352" t="s">
        <v>16086</v>
      </c>
      <c r="E444" s="355">
        <v>60</v>
      </c>
      <c r="F444" s="1662">
        <v>15</v>
      </c>
      <c r="G444" s="903"/>
    </row>
    <row r="445" spans="1:7" ht="15" customHeight="1" x14ac:dyDescent="0.25">
      <c r="A445" s="2352" t="s">
        <v>15729</v>
      </c>
      <c r="B445" s="2352" t="s">
        <v>15712</v>
      </c>
      <c r="C445" s="2352" t="s">
        <v>15712</v>
      </c>
      <c r="D445" s="2352" t="s">
        <v>16087</v>
      </c>
      <c r="E445" s="355">
        <v>130</v>
      </c>
      <c r="F445" s="1662">
        <v>300</v>
      </c>
      <c r="G445" s="903"/>
    </row>
    <row r="446" spans="1:7" ht="15" customHeight="1" x14ac:dyDescent="0.25">
      <c r="A446" s="2352" t="s">
        <v>15729</v>
      </c>
      <c r="B446" s="2352" t="s">
        <v>15712</v>
      </c>
      <c r="C446" s="2352" t="s">
        <v>15712</v>
      </c>
      <c r="D446" s="2352" t="s">
        <v>16087</v>
      </c>
      <c r="E446" s="355">
        <v>100</v>
      </c>
      <c r="F446" s="1662">
        <v>50</v>
      </c>
      <c r="G446" s="903"/>
    </row>
    <row r="447" spans="1:7" ht="15" customHeight="1" x14ac:dyDescent="0.25">
      <c r="A447" s="2352" t="s">
        <v>15729</v>
      </c>
      <c r="B447" s="2352" t="s">
        <v>15712</v>
      </c>
      <c r="C447" s="2352" t="s">
        <v>15712</v>
      </c>
      <c r="D447" s="2352" t="s">
        <v>16088</v>
      </c>
      <c r="E447" s="355">
        <v>630</v>
      </c>
      <c r="F447" s="1662">
        <v>300</v>
      </c>
      <c r="G447" s="903"/>
    </row>
    <row r="448" spans="1:7" ht="15" customHeight="1" x14ac:dyDescent="0.25">
      <c r="A448" s="2352" t="s">
        <v>8300</v>
      </c>
      <c r="B448" s="2352" t="s">
        <v>15712</v>
      </c>
      <c r="C448" s="2352" t="s">
        <v>15712</v>
      </c>
      <c r="D448" s="2352" t="s">
        <v>16089</v>
      </c>
      <c r="E448" s="355">
        <v>60</v>
      </c>
      <c r="F448" s="1662">
        <v>20</v>
      </c>
      <c r="G448" s="903"/>
    </row>
    <row r="449" spans="1:7" ht="15" customHeight="1" x14ac:dyDescent="0.25">
      <c r="A449" s="2352" t="s">
        <v>16090</v>
      </c>
      <c r="B449" s="2352" t="s">
        <v>15712</v>
      </c>
      <c r="C449" s="2352" t="s">
        <v>15712</v>
      </c>
      <c r="D449" s="2352" t="s">
        <v>16091</v>
      </c>
      <c r="E449" s="355">
        <v>100</v>
      </c>
      <c r="F449" s="1662">
        <v>20</v>
      </c>
      <c r="G449" s="903"/>
    </row>
    <row r="450" spans="1:7" ht="15" customHeight="1" x14ac:dyDescent="0.25">
      <c r="A450" s="2352" t="s">
        <v>7882</v>
      </c>
      <c r="B450" s="2352" t="s">
        <v>15712</v>
      </c>
      <c r="C450" s="2352" t="s">
        <v>15712</v>
      </c>
      <c r="D450" s="2352" t="s">
        <v>16092</v>
      </c>
      <c r="E450" s="355">
        <v>60</v>
      </c>
      <c r="F450" s="1662">
        <v>10</v>
      </c>
      <c r="G450" s="903"/>
    </row>
    <row r="451" spans="1:7" ht="15" customHeight="1" x14ac:dyDescent="0.25">
      <c r="A451" s="2352" t="s">
        <v>15729</v>
      </c>
      <c r="B451" s="2352" t="s">
        <v>15712</v>
      </c>
      <c r="C451" s="2352" t="s">
        <v>15712</v>
      </c>
      <c r="D451" s="2352" t="s">
        <v>16093</v>
      </c>
      <c r="E451" s="355">
        <v>250</v>
      </c>
      <c r="F451" s="1662">
        <v>50</v>
      </c>
      <c r="G451" s="903"/>
    </row>
    <row r="452" spans="1:7" ht="15" customHeight="1" x14ac:dyDescent="0.25">
      <c r="A452" s="2352" t="s">
        <v>15729</v>
      </c>
      <c r="B452" s="2352" t="s">
        <v>15712</v>
      </c>
      <c r="C452" s="2352" t="s">
        <v>15712</v>
      </c>
      <c r="D452" s="2352" t="s">
        <v>16094</v>
      </c>
      <c r="E452" s="355">
        <v>250</v>
      </c>
      <c r="F452" s="1662">
        <v>70</v>
      </c>
      <c r="G452" s="903"/>
    </row>
    <row r="453" spans="1:7" ht="15" customHeight="1" x14ac:dyDescent="0.25">
      <c r="A453" s="2352" t="s">
        <v>16095</v>
      </c>
      <c r="B453" s="2352" t="s">
        <v>15712</v>
      </c>
      <c r="C453" s="2352" t="s">
        <v>15712</v>
      </c>
      <c r="D453" s="2352" t="s">
        <v>16096</v>
      </c>
      <c r="E453" s="355">
        <v>63</v>
      </c>
      <c r="F453" s="1662">
        <v>20</v>
      </c>
      <c r="G453" s="903"/>
    </row>
    <row r="454" spans="1:7" ht="15" customHeight="1" x14ac:dyDescent="0.25">
      <c r="A454" s="2352" t="s">
        <v>16097</v>
      </c>
      <c r="B454" s="2352" t="s">
        <v>15712</v>
      </c>
      <c r="C454" s="2352" t="s">
        <v>15712</v>
      </c>
      <c r="D454" s="2352" t="s">
        <v>16098</v>
      </c>
      <c r="E454" s="355">
        <v>30</v>
      </c>
      <c r="F454" s="1662">
        <v>0</v>
      </c>
      <c r="G454" s="903"/>
    </row>
    <row r="455" spans="1:7" ht="15" customHeight="1" x14ac:dyDescent="0.25">
      <c r="A455" s="2352" t="s">
        <v>16021</v>
      </c>
      <c r="B455" s="2352" t="s">
        <v>15712</v>
      </c>
      <c r="C455" s="2352" t="s">
        <v>15712</v>
      </c>
      <c r="D455" s="2352" t="s">
        <v>16099</v>
      </c>
      <c r="E455" s="355">
        <v>60</v>
      </c>
      <c r="F455" s="1662">
        <v>20</v>
      </c>
      <c r="G455" s="903"/>
    </row>
    <row r="456" spans="1:7" ht="15" customHeight="1" x14ac:dyDescent="0.25">
      <c r="A456" s="2352" t="s">
        <v>4153</v>
      </c>
      <c r="B456" s="2352" t="s">
        <v>15712</v>
      </c>
      <c r="C456" s="2352" t="s">
        <v>15712</v>
      </c>
      <c r="D456" s="2352" t="s">
        <v>16100</v>
      </c>
      <c r="E456" s="355">
        <v>30</v>
      </c>
      <c r="F456" s="1662">
        <v>10</v>
      </c>
      <c r="G456" s="903"/>
    </row>
    <row r="457" spans="1:7" ht="15" customHeight="1" x14ac:dyDescent="0.25">
      <c r="A457" s="2352" t="s">
        <v>16101</v>
      </c>
      <c r="B457" s="2352" t="s">
        <v>15712</v>
      </c>
      <c r="C457" s="2352" t="s">
        <v>15712</v>
      </c>
      <c r="D457" s="2352" t="s">
        <v>16102</v>
      </c>
      <c r="E457" s="355">
        <v>30</v>
      </c>
      <c r="F457" s="1662">
        <v>20</v>
      </c>
      <c r="G457" s="903"/>
    </row>
    <row r="458" spans="1:7" ht="15" customHeight="1" x14ac:dyDescent="0.25">
      <c r="A458" s="2352" t="s">
        <v>16103</v>
      </c>
      <c r="B458" s="2352" t="s">
        <v>15712</v>
      </c>
      <c r="C458" s="2352" t="s">
        <v>15712</v>
      </c>
      <c r="D458" s="2352" t="s">
        <v>16104</v>
      </c>
      <c r="E458" s="355">
        <v>25</v>
      </c>
      <c r="F458" s="1662">
        <v>5</v>
      </c>
      <c r="G458" s="903"/>
    </row>
    <row r="459" spans="1:7" ht="15" customHeight="1" x14ac:dyDescent="0.25">
      <c r="A459" s="2352" t="s">
        <v>15755</v>
      </c>
      <c r="B459" s="2352" t="s">
        <v>15712</v>
      </c>
      <c r="C459" s="2352" t="s">
        <v>15712</v>
      </c>
      <c r="D459" s="2352" t="s">
        <v>16105</v>
      </c>
      <c r="E459" s="355">
        <v>63</v>
      </c>
      <c r="F459" s="1662">
        <v>15</v>
      </c>
      <c r="G459" s="903"/>
    </row>
    <row r="460" spans="1:7" ht="15" customHeight="1" x14ac:dyDescent="0.25">
      <c r="A460" s="2352" t="s">
        <v>16106</v>
      </c>
      <c r="B460" s="2352" t="s">
        <v>15712</v>
      </c>
      <c r="C460" s="2352" t="s">
        <v>15712</v>
      </c>
      <c r="D460" s="2352" t="s">
        <v>16107</v>
      </c>
      <c r="E460" s="355">
        <v>60</v>
      </c>
      <c r="F460" s="1662">
        <v>20</v>
      </c>
      <c r="G460" s="903"/>
    </row>
    <row r="461" spans="1:7" ht="15" customHeight="1" x14ac:dyDescent="0.25">
      <c r="A461" s="2352" t="s">
        <v>16108</v>
      </c>
      <c r="B461" s="2352" t="s">
        <v>15712</v>
      </c>
      <c r="C461" s="2352" t="s">
        <v>15712</v>
      </c>
      <c r="D461" s="2352" t="s">
        <v>16109</v>
      </c>
      <c r="E461" s="355">
        <v>160</v>
      </c>
      <c r="F461" s="1662">
        <v>30</v>
      </c>
      <c r="G461" s="903"/>
    </row>
    <row r="462" spans="1:7" ht="15" customHeight="1" x14ac:dyDescent="0.25">
      <c r="A462" s="2352" t="s">
        <v>3897</v>
      </c>
      <c r="B462" s="2352" t="s">
        <v>15712</v>
      </c>
      <c r="C462" s="2352" t="s">
        <v>15712</v>
      </c>
      <c r="D462" s="2352" t="s">
        <v>16110</v>
      </c>
      <c r="E462" s="355">
        <v>63</v>
      </c>
      <c r="F462" s="1662">
        <v>20</v>
      </c>
      <c r="G462" s="903"/>
    </row>
    <row r="463" spans="1:7" ht="15" customHeight="1" x14ac:dyDescent="0.25">
      <c r="A463" s="2352" t="s">
        <v>16111</v>
      </c>
      <c r="B463" s="2352" t="s">
        <v>15712</v>
      </c>
      <c r="C463" s="2352" t="s">
        <v>15712</v>
      </c>
      <c r="D463" s="2352" t="s">
        <v>16112</v>
      </c>
      <c r="E463" s="355">
        <v>160</v>
      </c>
      <c r="F463" s="1662">
        <v>25</v>
      </c>
      <c r="G463" s="903"/>
    </row>
    <row r="464" spans="1:7" ht="15" customHeight="1" x14ac:dyDescent="0.25">
      <c r="A464" s="2352" t="s">
        <v>16113</v>
      </c>
      <c r="B464" s="2352" t="s">
        <v>15712</v>
      </c>
      <c r="C464" s="2352" t="s">
        <v>15712</v>
      </c>
      <c r="D464" s="2352" t="s">
        <v>16114</v>
      </c>
      <c r="E464" s="355">
        <v>40</v>
      </c>
      <c r="F464" s="1662">
        <v>10</v>
      </c>
      <c r="G464" s="903"/>
    </row>
    <row r="465" spans="1:7" ht="15" customHeight="1" x14ac:dyDescent="0.25">
      <c r="A465" s="2352" t="s">
        <v>16115</v>
      </c>
      <c r="B465" s="2352" t="s">
        <v>15712</v>
      </c>
      <c r="C465" s="2352" t="s">
        <v>15712</v>
      </c>
      <c r="D465" s="2352" t="s">
        <v>16116</v>
      </c>
      <c r="E465" s="355">
        <v>60</v>
      </c>
      <c r="F465" s="1662">
        <v>30</v>
      </c>
      <c r="G465" s="903"/>
    </row>
    <row r="466" spans="1:7" ht="15" customHeight="1" x14ac:dyDescent="0.25">
      <c r="A466" s="2352" t="s">
        <v>16117</v>
      </c>
      <c r="B466" s="2352" t="s">
        <v>15712</v>
      </c>
      <c r="C466" s="2352" t="s">
        <v>15712</v>
      </c>
      <c r="D466" s="2352" t="s">
        <v>16118</v>
      </c>
      <c r="E466" s="355">
        <v>30</v>
      </c>
      <c r="F466" s="1662">
        <v>15</v>
      </c>
      <c r="G466" s="903"/>
    </row>
    <row r="467" spans="1:7" ht="15" customHeight="1" x14ac:dyDescent="0.25">
      <c r="A467" s="2352" t="s">
        <v>16119</v>
      </c>
      <c r="B467" s="2352" t="s">
        <v>15712</v>
      </c>
      <c r="C467" s="2352" t="s">
        <v>15712</v>
      </c>
      <c r="D467" s="2352" t="s">
        <v>16120</v>
      </c>
      <c r="E467" s="355">
        <v>60</v>
      </c>
      <c r="F467" s="1662">
        <v>40</v>
      </c>
      <c r="G467" s="903"/>
    </row>
    <row r="468" spans="1:7" ht="15" customHeight="1" x14ac:dyDescent="0.25">
      <c r="A468" s="2352" t="s">
        <v>16121</v>
      </c>
      <c r="B468" s="2352" t="s">
        <v>15712</v>
      </c>
      <c r="C468" s="2352" t="s">
        <v>15712</v>
      </c>
      <c r="D468" s="2352" t="s">
        <v>16122</v>
      </c>
      <c r="E468" s="355">
        <v>30</v>
      </c>
      <c r="F468" s="1662">
        <v>10</v>
      </c>
      <c r="G468" s="903"/>
    </row>
    <row r="469" spans="1:7" ht="15" customHeight="1" x14ac:dyDescent="0.25">
      <c r="A469" s="2352" t="s">
        <v>15955</v>
      </c>
      <c r="B469" s="2352" t="s">
        <v>15712</v>
      </c>
      <c r="C469" s="2352" t="s">
        <v>15712</v>
      </c>
      <c r="D469" s="2352" t="s">
        <v>16123</v>
      </c>
      <c r="E469" s="355">
        <v>30</v>
      </c>
      <c r="F469" s="1662">
        <v>10</v>
      </c>
      <c r="G469" s="903"/>
    </row>
    <row r="470" spans="1:7" ht="15" customHeight="1" x14ac:dyDescent="0.25">
      <c r="A470" s="2352" t="s">
        <v>14639</v>
      </c>
      <c r="B470" s="2352" t="s">
        <v>15712</v>
      </c>
      <c r="C470" s="2352" t="s">
        <v>15712</v>
      </c>
      <c r="D470" s="2352" t="s">
        <v>16124</v>
      </c>
      <c r="E470" s="355">
        <v>100</v>
      </c>
      <c r="F470" s="1662">
        <v>30</v>
      </c>
      <c r="G470" s="903"/>
    </row>
    <row r="471" spans="1:7" ht="15" customHeight="1" x14ac:dyDescent="0.25">
      <c r="A471" s="2352" t="s">
        <v>16125</v>
      </c>
      <c r="B471" s="2352" t="s">
        <v>15712</v>
      </c>
      <c r="C471" s="2352" t="s">
        <v>15712</v>
      </c>
      <c r="D471" s="2352" t="s">
        <v>16126</v>
      </c>
      <c r="E471" s="355">
        <v>60</v>
      </c>
      <c r="F471" s="1662">
        <v>20</v>
      </c>
      <c r="G471" s="903"/>
    </row>
    <row r="472" spans="1:7" ht="15" customHeight="1" x14ac:dyDescent="0.25">
      <c r="A472" s="2352" t="s">
        <v>15794</v>
      </c>
      <c r="B472" s="2352" t="s">
        <v>15712</v>
      </c>
      <c r="C472" s="2352" t="s">
        <v>15712</v>
      </c>
      <c r="D472" s="2352" t="s">
        <v>16127</v>
      </c>
      <c r="E472" s="355">
        <v>30</v>
      </c>
      <c r="F472" s="1662">
        <v>10</v>
      </c>
      <c r="G472" s="903"/>
    </row>
    <row r="473" spans="1:7" ht="15" customHeight="1" x14ac:dyDescent="0.25">
      <c r="A473" s="2352"/>
      <c r="B473" s="2352" t="s">
        <v>15712</v>
      </c>
      <c r="C473" s="2352" t="s">
        <v>15712</v>
      </c>
      <c r="D473" s="2352" t="s">
        <v>16128</v>
      </c>
      <c r="E473" s="355">
        <v>60</v>
      </c>
      <c r="F473" s="1662">
        <v>20</v>
      </c>
      <c r="G473" s="903"/>
    </row>
    <row r="474" spans="1:7" ht="15" customHeight="1" x14ac:dyDescent="0.25">
      <c r="A474" s="2352" t="s">
        <v>6538</v>
      </c>
      <c r="B474" s="2352" t="s">
        <v>15712</v>
      </c>
      <c r="C474" s="2352" t="s">
        <v>15712</v>
      </c>
      <c r="D474" s="2352" t="s">
        <v>16129</v>
      </c>
      <c r="E474" s="355">
        <v>10</v>
      </c>
      <c r="F474" s="1662">
        <v>2</v>
      </c>
      <c r="G474" s="903"/>
    </row>
    <row r="475" spans="1:7" ht="15" customHeight="1" x14ac:dyDescent="0.25">
      <c r="A475" s="2352" t="s">
        <v>16130</v>
      </c>
      <c r="B475" s="2352" t="s">
        <v>15712</v>
      </c>
      <c r="C475" s="2352" t="s">
        <v>15712</v>
      </c>
      <c r="D475" s="2352" t="s">
        <v>16131</v>
      </c>
      <c r="E475" s="355">
        <v>60</v>
      </c>
      <c r="F475" s="1662">
        <v>10</v>
      </c>
      <c r="G475" s="903"/>
    </row>
    <row r="476" spans="1:7" ht="15" customHeight="1" x14ac:dyDescent="0.25">
      <c r="A476" s="2352" t="s">
        <v>9453</v>
      </c>
      <c r="B476" s="2352" t="s">
        <v>15712</v>
      </c>
      <c r="C476" s="2352" t="s">
        <v>15712</v>
      </c>
      <c r="D476" s="2352" t="s">
        <v>16132</v>
      </c>
      <c r="E476" s="355">
        <v>30</v>
      </c>
      <c r="F476" s="1662">
        <v>10</v>
      </c>
      <c r="G476" s="903"/>
    </row>
    <row r="477" spans="1:7" ht="15" customHeight="1" x14ac:dyDescent="0.25">
      <c r="A477" s="2352" t="s">
        <v>14579</v>
      </c>
      <c r="B477" s="2352" t="s">
        <v>15712</v>
      </c>
      <c r="C477" s="2352" t="s">
        <v>15712</v>
      </c>
      <c r="D477" s="2352" t="s">
        <v>16133</v>
      </c>
      <c r="E477" s="355">
        <v>30</v>
      </c>
      <c r="F477" s="1662">
        <v>10</v>
      </c>
      <c r="G477" s="903"/>
    </row>
    <row r="478" spans="1:7" ht="15" customHeight="1" x14ac:dyDescent="0.25">
      <c r="A478" s="2352" t="s">
        <v>16014</v>
      </c>
      <c r="B478" s="2352" t="s">
        <v>15712</v>
      </c>
      <c r="C478" s="2352" t="s">
        <v>15712</v>
      </c>
      <c r="D478" s="2352" t="s">
        <v>16134</v>
      </c>
      <c r="E478" s="355">
        <v>100</v>
      </c>
      <c r="F478" s="1662">
        <v>50</v>
      </c>
      <c r="G478" s="903"/>
    </row>
    <row r="479" spans="1:7" ht="15" customHeight="1" x14ac:dyDescent="0.25">
      <c r="A479" s="2352" t="s">
        <v>16111</v>
      </c>
      <c r="B479" s="2352" t="s">
        <v>15712</v>
      </c>
      <c r="C479" s="2352" t="s">
        <v>15712</v>
      </c>
      <c r="D479" s="2352" t="s">
        <v>16135</v>
      </c>
      <c r="E479" s="355">
        <v>160</v>
      </c>
      <c r="F479" s="1662">
        <v>40</v>
      </c>
      <c r="G479" s="903"/>
    </row>
    <row r="480" spans="1:7" ht="15" customHeight="1" x14ac:dyDescent="0.25">
      <c r="A480" s="2352" t="s">
        <v>16136</v>
      </c>
      <c r="B480" s="2352" t="s">
        <v>15712</v>
      </c>
      <c r="C480" s="2352" t="s">
        <v>15712</v>
      </c>
      <c r="D480" s="2352" t="s">
        <v>16137</v>
      </c>
      <c r="E480" s="355">
        <v>100</v>
      </c>
      <c r="F480" s="1662">
        <v>20</v>
      </c>
      <c r="G480" s="903"/>
    </row>
    <row r="481" spans="1:7" ht="15" customHeight="1" x14ac:dyDescent="0.25">
      <c r="A481" s="2352" t="s">
        <v>16138</v>
      </c>
      <c r="B481" s="2352" t="s">
        <v>15712</v>
      </c>
      <c r="C481" s="2352" t="s">
        <v>15712</v>
      </c>
      <c r="D481" s="2352" t="s">
        <v>16139</v>
      </c>
      <c r="E481" s="355">
        <v>10</v>
      </c>
      <c r="F481" s="1662">
        <v>2</v>
      </c>
      <c r="G481" s="903"/>
    </row>
    <row r="482" spans="1:7" ht="15" customHeight="1" x14ac:dyDescent="0.25">
      <c r="A482" s="2352" t="s">
        <v>15838</v>
      </c>
      <c r="B482" s="2352" t="s">
        <v>15712</v>
      </c>
      <c r="C482" s="2352" t="s">
        <v>15712</v>
      </c>
      <c r="D482" s="2352" t="s">
        <v>16140</v>
      </c>
      <c r="E482" s="355">
        <v>250</v>
      </c>
      <c r="F482" s="1662">
        <v>200</v>
      </c>
      <c r="G482" s="903"/>
    </row>
    <row r="483" spans="1:7" ht="15" customHeight="1" x14ac:dyDescent="0.25">
      <c r="A483" s="2352" t="s">
        <v>16141</v>
      </c>
      <c r="B483" s="2352" t="s">
        <v>15712</v>
      </c>
      <c r="C483" s="2352" t="s">
        <v>15712</v>
      </c>
      <c r="D483" s="2352" t="s">
        <v>16142</v>
      </c>
      <c r="E483" s="355">
        <v>160</v>
      </c>
      <c r="F483" s="1662">
        <v>30</v>
      </c>
      <c r="G483" s="903"/>
    </row>
    <row r="484" spans="1:7" ht="15" customHeight="1" x14ac:dyDescent="0.25">
      <c r="A484" s="2352" t="s">
        <v>6512</v>
      </c>
      <c r="B484" s="2352" t="s">
        <v>15712</v>
      </c>
      <c r="C484" s="2352" t="s">
        <v>15712</v>
      </c>
      <c r="D484" s="2352" t="s">
        <v>16143</v>
      </c>
      <c r="E484" s="355">
        <v>400</v>
      </c>
      <c r="F484" s="1662">
        <v>285</v>
      </c>
      <c r="G484" s="903"/>
    </row>
    <row r="485" spans="1:7" ht="15" customHeight="1" x14ac:dyDescent="0.25">
      <c r="A485" s="2352" t="s">
        <v>6512</v>
      </c>
      <c r="B485" s="2352" t="s">
        <v>15712</v>
      </c>
      <c r="C485" s="2352" t="s">
        <v>15712</v>
      </c>
      <c r="D485" s="2352" t="s">
        <v>16144</v>
      </c>
      <c r="E485" s="355">
        <v>250</v>
      </c>
      <c r="F485" s="1662">
        <v>240</v>
      </c>
      <c r="G485" s="903"/>
    </row>
    <row r="486" spans="1:7" ht="15" customHeight="1" x14ac:dyDescent="0.25">
      <c r="A486" s="2352" t="s">
        <v>6512</v>
      </c>
      <c r="B486" s="2352" t="s">
        <v>15712</v>
      </c>
      <c r="C486" s="2352" t="s">
        <v>15712</v>
      </c>
      <c r="D486" s="2352" t="s">
        <v>16145</v>
      </c>
      <c r="E486" s="355">
        <v>160</v>
      </c>
      <c r="F486" s="1662">
        <v>60</v>
      </c>
      <c r="G486" s="903"/>
    </row>
    <row r="487" spans="1:7" ht="15" customHeight="1" x14ac:dyDescent="0.25">
      <c r="A487" s="2352" t="s">
        <v>6512</v>
      </c>
      <c r="B487" s="2352" t="s">
        <v>15712</v>
      </c>
      <c r="C487" s="2352" t="s">
        <v>15712</v>
      </c>
      <c r="D487" s="2352" t="s">
        <v>16146</v>
      </c>
      <c r="E487" s="355">
        <v>250</v>
      </c>
      <c r="F487" s="1662">
        <v>100</v>
      </c>
      <c r="G487" s="903"/>
    </row>
    <row r="488" spans="1:7" ht="15" customHeight="1" x14ac:dyDescent="0.25">
      <c r="A488" s="2352" t="s">
        <v>6512</v>
      </c>
      <c r="B488" s="2352" t="s">
        <v>15712</v>
      </c>
      <c r="C488" s="2352" t="s">
        <v>15712</v>
      </c>
      <c r="D488" s="2352" t="s">
        <v>16147</v>
      </c>
      <c r="E488" s="355">
        <v>400</v>
      </c>
      <c r="F488" s="1662">
        <v>100</v>
      </c>
      <c r="G488" s="903"/>
    </row>
    <row r="489" spans="1:7" ht="15" customHeight="1" x14ac:dyDescent="0.25">
      <c r="A489" s="2352" t="s">
        <v>6512</v>
      </c>
      <c r="B489" s="2352" t="s">
        <v>15712</v>
      </c>
      <c r="C489" s="2352" t="s">
        <v>15712</v>
      </c>
      <c r="D489" s="2352" t="s">
        <v>16148</v>
      </c>
      <c r="E489" s="355">
        <v>160</v>
      </c>
      <c r="F489" s="1662">
        <v>40</v>
      </c>
      <c r="G489" s="903"/>
    </row>
    <row r="490" spans="1:7" ht="15" customHeight="1" x14ac:dyDescent="0.25">
      <c r="A490" s="2352" t="s">
        <v>16149</v>
      </c>
      <c r="B490" s="2352" t="s">
        <v>15712</v>
      </c>
      <c r="C490" s="2352" t="s">
        <v>15712</v>
      </c>
      <c r="D490" s="2352" t="s">
        <v>16150</v>
      </c>
      <c r="E490" s="355">
        <v>60</v>
      </c>
      <c r="F490" s="1662">
        <v>40</v>
      </c>
      <c r="G490" s="903"/>
    </row>
    <row r="491" spans="1:7" ht="15" customHeight="1" x14ac:dyDescent="0.25">
      <c r="A491" s="2352" t="s">
        <v>6512</v>
      </c>
      <c r="B491" s="2352" t="s">
        <v>15712</v>
      </c>
      <c r="C491" s="2352" t="s">
        <v>15712</v>
      </c>
      <c r="D491" s="2352" t="s">
        <v>16151</v>
      </c>
      <c r="E491" s="355">
        <v>100</v>
      </c>
      <c r="F491" s="1662">
        <v>40</v>
      </c>
      <c r="G491" s="903"/>
    </row>
    <row r="492" spans="1:7" ht="15" customHeight="1" x14ac:dyDescent="0.25">
      <c r="A492" s="2352" t="s">
        <v>15744</v>
      </c>
      <c r="B492" s="2352" t="s">
        <v>15712</v>
      </c>
      <c r="C492" s="2352" t="s">
        <v>15712</v>
      </c>
      <c r="D492" s="2352" t="s">
        <v>16152</v>
      </c>
      <c r="E492" s="355">
        <v>400</v>
      </c>
      <c r="F492" s="1662">
        <v>380</v>
      </c>
      <c r="G492" s="903"/>
    </row>
    <row r="493" spans="1:7" ht="15" customHeight="1" x14ac:dyDescent="0.25">
      <c r="A493" s="2352" t="s">
        <v>15772</v>
      </c>
      <c r="B493" s="2352" t="s">
        <v>15712</v>
      </c>
      <c r="C493" s="2352" t="s">
        <v>15712</v>
      </c>
      <c r="D493" s="2352" t="s">
        <v>16153</v>
      </c>
      <c r="E493" s="355">
        <v>250</v>
      </c>
      <c r="F493" s="1662">
        <v>180</v>
      </c>
      <c r="G493" s="903"/>
    </row>
    <row r="494" spans="1:7" ht="15" customHeight="1" x14ac:dyDescent="0.25">
      <c r="A494" s="2352" t="s">
        <v>15744</v>
      </c>
      <c r="B494" s="2352" t="s">
        <v>15712</v>
      </c>
      <c r="C494" s="2352" t="s">
        <v>15712</v>
      </c>
      <c r="D494" s="2352" t="s">
        <v>16154</v>
      </c>
      <c r="E494" s="355">
        <v>400</v>
      </c>
      <c r="F494" s="1662">
        <v>390</v>
      </c>
      <c r="G494" s="903"/>
    </row>
    <row r="495" spans="1:7" ht="15" customHeight="1" x14ac:dyDescent="0.25">
      <c r="A495" s="2352" t="s">
        <v>3918</v>
      </c>
      <c r="B495" s="2352" t="s">
        <v>15712</v>
      </c>
      <c r="C495" s="2352" t="s">
        <v>15712</v>
      </c>
      <c r="D495" s="2352" t="s">
        <v>16155</v>
      </c>
      <c r="E495" s="355">
        <v>160</v>
      </c>
      <c r="F495" s="1662">
        <v>130</v>
      </c>
      <c r="G495" s="903"/>
    </row>
    <row r="496" spans="1:7" ht="15" customHeight="1" x14ac:dyDescent="0.25">
      <c r="A496" s="2352" t="s">
        <v>3812</v>
      </c>
      <c r="B496" s="2352" t="s">
        <v>15712</v>
      </c>
      <c r="C496" s="2352" t="s">
        <v>15712</v>
      </c>
      <c r="D496" s="2352" t="s">
        <v>16156</v>
      </c>
      <c r="E496" s="355">
        <v>160</v>
      </c>
      <c r="F496" s="1662">
        <v>40</v>
      </c>
      <c r="G496" s="903"/>
    </row>
    <row r="497" spans="1:7" ht="15" customHeight="1" x14ac:dyDescent="0.25">
      <c r="A497" s="2352" t="s">
        <v>15747</v>
      </c>
      <c r="B497" s="2352" t="s">
        <v>15712</v>
      </c>
      <c r="C497" s="2352" t="s">
        <v>15712</v>
      </c>
      <c r="D497" s="2352" t="s">
        <v>16157</v>
      </c>
      <c r="E497" s="355">
        <v>250</v>
      </c>
      <c r="F497" s="1662">
        <v>50</v>
      </c>
      <c r="G497" s="903"/>
    </row>
    <row r="498" spans="1:7" ht="15" customHeight="1" x14ac:dyDescent="0.25">
      <c r="A498" s="2352" t="s">
        <v>15747</v>
      </c>
      <c r="B498" s="2352" t="s">
        <v>15712</v>
      </c>
      <c r="C498" s="2352" t="s">
        <v>15712</v>
      </c>
      <c r="D498" s="2352" t="s">
        <v>16158</v>
      </c>
      <c r="E498" s="355">
        <v>100</v>
      </c>
      <c r="F498" s="1662">
        <v>10</v>
      </c>
      <c r="G498" s="903"/>
    </row>
    <row r="499" spans="1:7" ht="15" customHeight="1" x14ac:dyDescent="0.25">
      <c r="A499" s="2352" t="s">
        <v>15747</v>
      </c>
      <c r="B499" s="2352" t="s">
        <v>15712</v>
      </c>
      <c r="C499" s="2352" t="s">
        <v>15712</v>
      </c>
      <c r="D499" s="2352" t="s">
        <v>16159</v>
      </c>
      <c r="E499" s="355">
        <v>160</v>
      </c>
      <c r="F499" s="1662">
        <v>40</v>
      </c>
      <c r="G499" s="903"/>
    </row>
    <row r="500" spans="1:7" ht="15" customHeight="1" x14ac:dyDescent="0.25">
      <c r="A500" s="2352" t="s">
        <v>14401</v>
      </c>
      <c r="B500" s="2352" t="s">
        <v>15712</v>
      </c>
      <c r="C500" s="2352" t="s">
        <v>15712</v>
      </c>
      <c r="D500" s="2352" t="s">
        <v>16160</v>
      </c>
      <c r="E500" s="355">
        <v>250</v>
      </c>
      <c r="F500" s="1662">
        <v>100</v>
      </c>
      <c r="G500" s="903"/>
    </row>
    <row r="501" spans="1:7" ht="15" customHeight="1" x14ac:dyDescent="0.25">
      <c r="A501" s="2352" t="s">
        <v>14401</v>
      </c>
      <c r="B501" s="2352" t="s">
        <v>15712</v>
      </c>
      <c r="C501" s="2352" t="s">
        <v>15712</v>
      </c>
      <c r="D501" s="2352" t="s">
        <v>16161</v>
      </c>
      <c r="E501" s="355">
        <v>400</v>
      </c>
      <c r="F501" s="1662">
        <v>380</v>
      </c>
      <c r="G501" s="903"/>
    </row>
    <row r="502" spans="1:7" ht="15" customHeight="1" x14ac:dyDescent="0.25">
      <c r="A502" s="2352" t="s">
        <v>14401</v>
      </c>
      <c r="B502" s="2352" t="s">
        <v>15712</v>
      </c>
      <c r="C502" s="2352" t="s">
        <v>15712</v>
      </c>
      <c r="D502" s="2352" t="s">
        <v>16162</v>
      </c>
      <c r="E502" s="355">
        <v>160</v>
      </c>
      <c r="F502" s="1662">
        <v>60</v>
      </c>
      <c r="G502" s="903"/>
    </row>
    <row r="503" spans="1:7" ht="15" customHeight="1" x14ac:dyDescent="0.25">
      <c r="A503" s="2352" t="s">
        <v>15802</v>
      </c>
      <c r="B503" s="2352" t="s">
        <v>15712</v>
      </c>
      <c r="C503" s="2352" t="s">
        <v>15712</v>
      </c>
      <c r="D503" s="2352" t="s">
        <v>16163</v>
      </c>
      <c r="E503" s="355">
        <v>160</v>
      </c>
      <c r="F503" s="1662">
        <v>140</v>
      </c>
      <c r="G503" s="903"/>
    </row>
    <row r="504" spans="1:7" ht="15" customHeight="1" x14ac:dyDescent="0.25">
      <c r="A504" s="2352" t="s">
        <v>8530</v>
      </c>
      <c r="B504" s="2352" t="s">
        <v>15712</v>
      </c>
      <c r="C504" s="2352" t="s">
        <v>15712</v>
      </c>
      <c r="D504" s="2352" t="s">
        <v>16164</v>
      </c>
      <c r="E504" s="355">
        <v>30</v>
      </c>
      <c r="F504" s="1662">
        <v>25</v>
      </c>
      <c r="G504" s="903"/>
    </row>
    <row r="505" spans="1:7" ht="15" customHeight="1" x14ac:dyDescent="0.25">
      <c r="A505" s="2352" t="s">
        <v>15802</v>
      </c>
      <c r="B505" s="2352" t="s">
        <v>15712</v>
      </c>
      <c r="C505" s="2352" t="s">
        <v>15712</v>
      </c>
      <c r="D505" s="2352" t="s">
        <v>16165</v>
      </c>
      <c r="E505" s="355">
        <v>160</v>
      </c>
      <c r="F505" s="1662">
        <v>60</v>
      </c>
      <c r="G505" s="903"/>
    </row>
    <row r="506" spans="1:7" ht="15" customHeight="1" x14ac:dyDescent="0.25">
      <c r="A506" s="2352" t="s">
        <v>3920</v>
      </c>
      <c r="B506" s="2352" t="s">
        <v>15712</v>
      </c>
      <c r="C506" s="2352" t="s">
        <v>15712</v>
      </c>
      <c r="D506" s="2352" t="s">
        <v>16166</v>
      </c>
      <c r="E506" s="355">
        <v>60</v>
      </c>
      <c r="F506" s="1662">
        <v>25</v>
      </c>
      <c r="G506" s="903"/>
    </row>
    <row r="507" spans="1:7" ht="15" customHeight="1" x14ac:dyDescent="0.25">
      <c r="A507" s="2352" t="s">
        <v>15806</v>
      </c>
      <c r="B507" s="2352" t="s">
        <v>15712</v>
      </c>
      <c r="C507" s="2352" t="s">
        <v>15712</v>
      </c>
      <c r="D507" s="2352" t="s">
        <v>16167</v>
      </c>
      <c r="E507" s="355">
        <v>100</v>
      </c>
      <c r="F507" s="1662">
        <v>70</v>
      </c>
      <c r="G507" s="903"/>
    </row>
    <row r="508" spans="1:7" ht="15" customHeight="1" x14ac:dyDescent="0.25">
      <c r="A508" s="2352" t="s">
        <v>16168</v>
      </c>
      <c r="B508" s="2352" t="s">
        <v>15712</v>
      </c>
      <c r="C508" s="2352" t="s">
        <v>15712</v>
      </c>
      <c r="D508" s="2352" t="s">
        <v>16169</v>
      </c>
      <c r="E508" s="355">
        <v>60</v>
      </c>
      <c r="F508" s="1662">
        <v>40</v>
      </c>
      <c r="G508" s="903"/>
    </row>
    <row r="509" spans="1:7" ht="15" customHeight="1" x14ac:dyDescent="0.25">
      <c r="A509" s="2352" t="s">
        <v>6423</v>
      </c>
      <c r="B509" s="2352" t="s">
        <v>15712</v>
      </c>
      <c r="C509" s="2352" t="s">
        <v>15712</v>
      </c>
      <c r="D509" s="2352" t="s">
        <v>16170</v>
      </c>
      <c r="E509" s="355">
        <v>100</v>
      </c>
      <c r="F509" s="1662">
        <v>50</v>
      </c>
      <c r="G509" s="903"/>
    </row>
    <row r="510" spans="1:7" ht="15" customHeight="1" x14ac:dyDescent="0.25">
      <c r="A510" s="2352" t="s">
        <v>6423</v>
      </c>
      <c r="B510" s="2352" t="s">
        <v>15712</v>
      </c>
      <c r="C510" s="2352" t="s">
        <v>15712</v>
      </c>
      <c r="D510" s="2352" t="s">
        <v>16171</v>
      </c>
      <c r="E510" s="355">
        <v>400</v>
      </c>
      <c r="F510" s="1662">
        <v>300</v>
      </c>
      <c r="G510" s="903"/>
    </row>
    <row r="511" spans="1:7" ht="15" customHeight="1" x14ac:dyDescent="0.25">
      <c r="A511" s="2352" t="s">
        <v>6423</v>
      </c>
      <c r="B511" s="2352" t="s">
        <v>15712</v>
      </c>
      <c r="C511" s="2352" t="s">
        <v>15712</v>
      </c>
      <c r="D511" s="2352" t="s">
        <v>16172</v>
      </c>
      <c r="E511" s="355">
        <v>160</v>
      </c>
      <c r="F511" s="1662">
        <v>30</v>
      </c>
      <c r="G511" s="903"/>
    </row>
    <row r="512" spans="1:7" ht="15" customHeight="1" x14ac:dyDescent="0.25">
      <c r="A512" s="2352" t="s">
        <v>15755</v>
      </c>
      <c r="B512" s="2352" t="s">
        <v>15712</v>
      </c>
      <c r="C512" s="2352" t="s">
        <v>15712</v>
      </c>
      <c r="D512" s="2352" t="s">
        <v>16173</v>
      </c>
      <c r="E512" s="355">
        <v>250</v>
      </c>
      <c r="F512" s="1662">
        <v>190</v>
      </c>
      <c r="G512" s="903"/>
    </row>
    <row r="513" spans="1:7" ht="15" customHeight="1" x14ac:dyDescent="0.25">
      <c r="A513" s="2352" t="s">
        <v>15755</v>
      </c>
      <c r="B513" s="2352" t="s">
        <v>15712</v>
      </c>
      <c r="C513" s="2352" t="s">
        <v>15712</v>
      </c>
      <c r="D513" s="2352" t="s">
        <v>16174</v>
      </c>
      <c r="E513" s="355">
        <v>160</v>
      </c>
      <c r="F513" s="1662">
        <v>80</v>
      </c>
      <c r="G513" s="903"/>
    </row>
    <row r="514" spans="1:7" ht="15" customHeight="1" x14ac:dyDescent="0.25">
      <c r="A514" s="2352" t="s">
        <v>15755</v>
      </c>
      <c r="B514" s="2352" t="s">
        <v>15712</v>
      </c>
      <c r="C514" s="2352" t="s">
        <v>15712</v>
      </c>
      <c r="D514" s="2352" t="s">
        <v>16175</v>
      </c>
      <c r="E514" s="355">
        <v>630</v>
      </c>
      <c r="F514" s="1662">
        <v>600</v>
      </c>
      <c r="G514" s="903"/>
    </row>
    <row r="515" spans="1:7" ht="15" customHeight="1" x14ac:dyDescent="0.25">
      <c r="A515" s="2352" t="s">
        <v>16176</v>
      </c>
      <c r="B515" s="2352" t="s">
        <v>15712</v>
      </c>
      <c r="C515" s="2352" t="s">
        <v>15712</v>
      </c>
      <c r="D515" s="2352" t="s">
        <v>16177</v>
      </c>
      <c r="E515" s="355">
        <v>100</v>
      </c>
      <c r="F515" s="1662">
        <v>50</v>
      </c>
      <c r="G515" s="903"/>
    </row>
    <row r="516" spans="1:7" ht="15" customHeight="1" x14ac:dyDescent="0.25">
      <c r="A516" s="2352" t="s">
        <v>6548</v>
      </c>
      <c r="B516" s="2352" t="s">
        <v>15712</v>
      </c>
      <c r="C516" s="2352" t="s">
        <v>15712</v>
      </c>
      <c r="D516" s="2352" t="s">
        <v>16178</v>
      </c>
      <c r="E516" s="355">
        <v>60</v>
      </c>
      <c r="F516" s="1662">
        <v>30</v>
      </c>
      <c r="G516" s="903"/>
    </row>
    <row r="517" spans="1:7" ht="15" customHeight="1" x14ac:dyDescent="0.25">
      <c r="A517" s="2352" t="s">
        <v>16179</v>
      </c>
      <c r="B517" s="2352" t="s">
        <v>15712</v>
      </c>
      <c r="C517" s="2352" t="s">
        <v>15712</v>
      </c>
      <c r="D517" s="2352" t="s">
        <v>16180</v>
      </c>
      <c r="E517" s="355">
        <v>40</v>
      </c>
      <c r="F517" s="1662">
        <v>20</v>
      </c>
      <c r="G517" s="903"/>
    </row>
    <row r="518" spans="1:7" ht="15" customHeight="1" x14ac:dyDescent="0.25">
      <c r="A518" s="2352" t="s">
        <v>16181</v>
      </c>
      <c r="B518" s="2352" t="s">
        <v>15712</v>
      </c>
      <c r="C518" s="2352" t="s">
        <v>15712</v>
      </c>
      <c r="D518" s="2352" t="s">
        <v>16182</v>
      </c>
      <c r="E518" s="355">
        <v>100</v>
      </c>
      <c r="F518" s="1662">
        <v>60</v>
      </c>
      <c r="G518" s="903"/>
    </row>
    <row r="519" spans="1:7" ht="15" customHeight="1" x14ac:dyDescent="0.25">
      <c r="A519" s="2352" t="s">
        <v>15810</v>
      </c>
      <c r="B519" s="2352" t="s">
        <v>15712</v>
      </c>
      <c r="C519" s="2352" t="s">
        <v>15712</v>
      </c>
      <c r="D519" s="2352" t="s">
        <v>16183</v>
      </c>
      <c r="E519" s="355">
        <v>160</v>
      </c>
      <c r="F519" s="1662">
        <v>80</v>
      </c>
      <c r="G519" s="903"/>
    </row>
    <row r="520" spans="1:7" ht="15" customHeight="1" x14ac:dyDescent="0.25">
      <c r="A520" s="2352" t="s">
        <v>16184</v>
      </c>
      <c r="B520" s="2352" t="s">
        <v>15712</v>
      </c>
      <c r="C520" s="2352" t="s">
        <v>15712</v>
      </c>
      <c r="D520" s="2352" t="s">
        <v>16185</v>
      </c>
      <c r="E520" s="355">
        <v>60</v>
      </c>
      <c r="F520" s="1662">
        <v>30</v>
      </c>
      <c r="G520" s="903"/>
    </row>
    <row r="521" spans="1:7" ht="15" customHeight="1" x14ac:dyDescent="0.25">
      <c r="A521" s="2352" t="s">
        <v>16186</v>
      </c>
      <c r="B521" s="2352" t="s">
        <v>15712</v>
      </c>
      <c r="C521" s="2352" t="s">
        <v>15712</v>
      </c>
      <c r="D521" s="2352" t="s">
        <v>16187</v>
      </c>
      <c r="E521" s="355">
        <v>100</v>
      </c>
      <c r="F521" s="1662">
        <v>70</v>
      </c>
      <c r="G521" s="903"/>
    </row>
    <row r="522" spans="1:7" ht="15" customHeight="1" x14ac:dyDescent="0.25">
      <c r="A522" s="2352" t="s">
        <v>16188</v>
      </c>
      <c r="B522" s="2352" t="s">
        <v>15712</v>
      </c>
      <c r="C522" s="2352" t="s">
        <v>15712</v>
      </c>
      <c r="D522" s="2352" t="s">
        <v>16189</v>
      </c>
      <c r="E522" s="355">
        <v>63</v>
      </c>
      <c r="F522" s="1662">
        <v>40</v>
      </c>
      <c r="G522" s="903"/>
    </row>
    <row r="523" spans="1:7" ht="15" customHeight="1" x14ac:dyDescent="0.25">
      <c r="A523" s="2352" t="s">
        <v>4802</v>
      </c>
      <c r="B523" s="2352" t="s">
        <v>15712</v>
      </c>
      <c r="C523" s="2352" t="s">
        <v>15712</v>
      </c>
      <c r="D523" s="2352" t="s">
        <v>16190</v>
      </c>
      <c r="E523" s="355">
        <v>100</v>
      </c>
      <c r="F523" s="1662">
        <v>10</v>
      </c>
      <c r="G523" s="903"/>
    </row>
    <row r="524" spans="1:7" ht="15" customHeight="1" x14ac:dyDescent="0.25">
      <c r="A524" s="2352" t="s">
        <v>4802</v>
      </c>
      <c r="B524" s="2352" t="s">
        <v>15712</v>
      </c>
      <c r="C524" s="2352" t="s">
        <v>15712</v>
      </c>
      <c r="D524" s="2352" t="s">
        <v>16191</v>
      </c>
      <c r="E524" s="355">
        <v>250</v>
      </c>
      <c r="F524" s="1662">
        <v>200</v>
      </c>
      <c r="G524" s="903"/>
    </row>
    <row r="525" spans="1:7" ht="15" customHeight="1" x14ac:dyDescent="0.25">
      <c r="A525" s="2352" t="s">
        <v>4802</v>
      </c>
      <c r="B525" s="2352" t="s">
        <v>15712</v>
      </c>
      <c r="C525" s="2352" t="s">
        <v>15712</v>
      </c>
      <c r="D525" s="2352" t="s">
        <v>16192</v>
      </c>
      <c r="E525" s="355">
        <v>250</v>
      </c>
      <c r="F525" s="1662">
        <v>180</v>
      </c>
      <c r="G525" s="903"/>
    </row>
    <row r="526" spans="1:7" ht="15" customHeight="1" x14ac:dyDescent="0.25">
      <c r="A526" s="2352" t="s">
        <v>4802</v>
      </c>
      <c r="B526" s="2352" t="s">
        <v>15712</v>
      </c>
      <c r="C526" s="2352" t="s">
        <v>15712</v>
      </c>
      <c r="D526" s="2352" t="s">
        <v>16193</v>
      </c>
      <c r="E526" s="355">
        <v>60</v>
      </c>
      <c r="F526" s="1662">
        <v>40</v>
      </c>
      <c r="G526" s="903"/>
    </row>
    <row r="527" spans="1:7" ht="15" customHeight="1" x14ac:dyDescent="0.25">
      <c r="A527" s="2352" t="s">
        <v>16194</v>
      </c>
      <c r="B527" s="2352" t="s">
        <v>15712</v>
      </c>
      <c r="C527" s="2352" t="s">
        <v>15712</v>
      </c>
      <c r="D527" s="2352" t="s">
        <v>16195</v>
      </c>
      <c r="E527" s="355">
        <v>100</v>
      </c>
      <c r="F527" s="1662">
        <v>90</v>
      </c>
      <c r="G527" s="903"/>
    </row>
    <row r="528" spans="1:7" ht="15" customHeight="1" x14ac:dyDescent="0.25">
      <c r="A528" s="2352" t="s">
        <v>12075</v>
      </c>
      <c r="B528" s="2352" t="s">
        <v>15712</v>
      </c>
      <c r="C528" s="2352" t="s">
        <v>15712</v>
      </c>
      <c r="D528" s="2352" t="s">
        <v>16196</v>
      </c>
      <c r="E528" s="355">
        <v>400</v>
      </c>
      <c r="F528" s="1662">
        <v>335</v>
      </c>
      <c r="G528" s="903"/>
    </row>
    <row r="529" spans="1:7" ht="15" customHeight="1" x14ac:dyDescent="0.25">
      <c r="A529" s="2352" t="s">
        <v>3698</v>
      </c>
      <c r="B529" s="2352" t="s">
        <v>15712</v>
      </c>
      <c r="C529" s="2352" t="s">
        <v>15712</v>
      </c>
      <c r="D529" s="2352" t="s">
        <v>16197</v>
      </c>
      <c r="E529" s="355">
        <v>250</v>
      </c>
      <c r="F529" s="1662">
        <v>230</v>
      </c>
      <c r="G529" s="903"/>
    </row>
    <row r="530" spans="1:7" ht="15" customHeight="1" x14ac:dyDescent="0.25">
      <c r="A530" s="2352" t="s">
        <v>12075</v>
      </c>
      <c r="B530" s="2352" t="s">
        <v>15712</v>
      </c>
      <c r="C530" s="2352" t="s">
        <v>15712</v>
      </c>
      <c r="D530" s="2352" t="s">
        <v>16198</v>
      </c>
      <c r="E530" s="355">
        <v>100</v>
      </c>
      <c r="F530" s="1662">
        <v>15</v>
      </c>
      <c r="G530" s="903"/>
    </row>
    <row r="531" spans="1:7" ht="15" customHeight="1" x14ac:dyDescent="0.25">
      <c r="A531" s="2352" t="s">
        <v>16199</v>
      </c>
      <c r="B531" s="2352" t="s">
        <v>15712</v>
      </c>
      <c r="C531" s="2352" t="s">
        <v>15712</v>
      </c>
      <c r="D531" s="2352" t="s">
        <v>16200</v>
      </c>
      <c r="E531" s="355">
        <v>400</v>
      </c>
      <c r="F531" s="1662">
        <v>300</v>
      </c>
      <c r="G531" s="903"/>
    </row>
    <row r="532" spans="1:7" ht="15" customHeight="1" x14ac:dyDescent="0.25">
      <c r="A532" s="2352" t="s">
        <v>15738</v>
      </c>
      <c r="B532" s="2352" t="s">
        <v>15712</v>
      </c>
      <c r="C532" s="2352" t="s">
        <v>15712</v>
      </c>
      <c r="D532" s="2352" t="s">
        <v>17094</v>
      </c>
      <c r="E532" s="355">
        <v>160</v>
      </c>
      <c r="F532" s="1662">
        <v>60</v>
      </c>
      <c r="G532" s="903"/>
    </row>
    <row r="533" spans="1:7" ht="15" customHeight="1" x14ac:dyDescent="0.25">
      <c r="A533" s="2352" t="s">
        <v>16201</v>
      </c>
      <c r="B533" s="2352" t="s">
        <v>15712</v>
      </c>
      <c r="C533" s="2352" t="s">
        <v>15712</v>
      </c>
      <c r="D533" s="2352" t="s">
        <v>16202</v>
      </c>
      <c r="E533" s="355">
        <v>30</v>
      </c>
      <c r="F533" s="1662">
        <v>0</v>
      </c>
      <c r="G533" s="903"/>
    </row>
    <row r="534" spans="1:7" ht="15" customHeight="1" x14ac:dyDescent="0.25">
      <c r="A534" s="2352" t="s">
        <v>5502</v>
      </c>
      <c r="B534" s="2352" t="s">
        <v>15712</v>
      </c>
      <c r="C534" s="2352" t="s">
        <v>15712</v>
      </c>
      <c r="D534" s="2352" t="s">
        <v>16203</v>
      </c>
      <c r="E534" s="355">
        <v>160</v>
      </c>
      <c r="F534" s="1662">
        <v>60</v>
      </c>
      <c r="G534" s="903"/>
    </row>
    <row r="535" spans="1:7" ht="15" customHeight="1" x14ac:dyDescent="0.25">
      <c r="A535" s="2352" t="s">
        <v>5502</v>
      </c>
      <c r="B535" s="2352" t="s">
        <v>15712</v>
      </c>
      <c r="C535" s="2352" t="s">
        <v>15712</v>
      </c>
      <c r="D535" s="2352" t="s">
        <v>16204</v>
      </c>
      <c r="E535" s="355">
        <v>160</v>
      </c>
      <c r="F535" s="1662">
        <v>40</v>
      </c>
      <c r="G535" s="903"/>
    </row>
    <row r="536" spans="1:7" ht="15" customHeight="1" x14ac:dyDescent="0.25">
      <c r="A536" s="2352" t="s">
        <v>15731</v>
      </c>
      <c r="B536" s="2352" t="s">
        <v>15712</v>
      </c>
      <c r="C536" s="2352" t="s">
        <v>15712</v>
      </c>
      <c r="D536" s="2352" t="s">
        <v>16205</v>
      </c>
      <c r="E536" s="355">
        <v>100</v>
      </c>
      <c r="F536" s="1662">
        <v>25</v>
      </c>
      <c r="G536" s="903"/>
    </row>
    <row r="537" spans="1:7" ht="15" customHeight="1" x14ac:dyDescent="0.25">
      <c r="A537" s="2352" t="s">
        <v>16206</v>
      </c>
      <c r="B537" s="2352" t="s">
        <v>15712</v>
      </c>
      <c r="C537" s="2352" t="s">
        <v>15712</v>
      </c>
      <c r="D537" s="2352" t="s">
        <v>16207</v>
      </c>
      <c r="E537" s="355">
        <v>100</v>
      </c>
      <c r="F537" s="1662">
        <v>40</v>
      </c>
      <c r="G537" s="903"/>
    </row>
    <row r="538" spans="1:7" ht="15" customHeight="1" x14ac:dyDescent="0.25">
      <c r="A538" s="2352" t="s">
        <v>16208</v>
      </c>
      <c r="B538" s="2352" t="s">
        <v>15712</v>
      </c>
      <c r="C538" s="2352" t="s">
        <v>15712</v>
      </c>
      <c r="D538" s="2352" t="s">
        <v>16209</v>
      </c>
      <c r="E538" s="355">
        <v>250</v>
      </c>
      <c r="F538" s="1662">
        <v>200</v>
      </c>
      <c r="G538" s="903"/>
    </row>
    <row r="539" spans="1:7" ht="15" customHeight="1" x14ac:dyDescent="0.25">
      <c r="A539" s="2352" t="s">
        <v>16210</v>
      </c>
      <c r="B539" s="2352" t="s">
        <v>15712</v>
      </c>
      <c r="C539" s="2352" t="s">
        <v>15712</v>
      </c>
      <c r="D539" s="2352" t="s">
        <v>16211</v>
      </c>
      <c r="E539" s="355">
        <v>30</v>
      </c>
      <c r="F539" s="1662">
        <v>10</v>
      </c>
      <c r="G539" s="903"/>
    </row>
    <row r="540" spans="1:7" ht="15" customHeight="1" x14ac:dyDescent="0.25">
      <c r="A540" s="2352" t="s">
        <v>16208</v>
      </c>
      <c r="B540" s="2352" t="s">
        <v>15712</v>
      </c>
      <c r="C540" s="2352" t="s">
        <v>15712</v>
      </c>
      <c r="D540" s="2352" t="s">
        <v>16212</v>
      </c>
      <c r="E540" s="355">
        <v>400</v>
      </c>
      <c r="F540" s="1662">
        <v>300</v>
      </c>
      <c r="G540" s="903"/>
    </row>
    <row r="541" spans="1:7" ht="15" customHeight="1" x14ac:dyDescent="0.25">
      <c r="A541" s="2352" t="s">
        <v>16208</v>
      </c>
      <c r="B541" s="2352" t="s">
        <v>15712</v>
      </c>
      <c r="C541" s="2352" t="s">
        <v>15712</v>
      </c>
      <c r="D541" s="2352" t="s">
        <v>16213</v>
      </c>
      <c r="E541" s="355">
        <v>400</v>
      </c>
      <c r="F541" s="1662">
        <v>300</v>
      </c>
      <c r="G541" s="903"/>
    </row>
    <row r="542" spans="1:7" ht="15" customHeight="1" x14ac:dyDescent="0.25">
      <c r="A542" s="2352" t="s">
        <v>16214</v>
      </c>
      <c r="B542" s="2352" t="s">
        <v>15712</v>
      </c>
      <c r="C542" s="2352" t="s">
        <v>15712</v>
      </c>
      <c r="D542" s="2352" t="s">
        <v>16215</v>
      </c>
      <c r="E542" s="355">
        <v>100</v>
      </c>
      <c r="F542" s="1662">
        <v>40</v>
      </c>
      <c r="G542" s="903"/>
    </row>
    <row r="543" spans="1:7" ht="15" customHeight="1" x14ac:dyDescent="0.25">
      <c r="A543" s="2352" t="s">
        <v>4764</v>
      </c>
      <c r="B543" s="2352" t="s">
        <v>15712</v>
      </c>
      <c r="C543" s="2352" t="s">
        <v>15712</v>
      </c>
      <c r="D543" s="2352" t="s">
        <v>16216</v>
      </c>
      <c r="E543" s="355">
        <v>250</v>
      </c>
      <c r="F543" s="1662">
        <v>180</v>
      </c>
      <c r="G543" s="903"/>
    </row>
    <row r="544" spans="1:7" ht="15" customHeight="1" x14ac:dyDescent="0.25">
      <c r="A544" s="2352" t="s">
        <v>16063</v>
      </c>
      <c r="B544" s="2352" t="s">
        <v>15712</v>
      </c>
      <c r="C544" s="2352" t="s">
        <v>15712</v>
      </c>
      <c r="D544" s="2352" t="s">
        <v>16217</v>
      </c>
      <c r="E544" s="355">
        <v>630</v>
      </c>
      <c r="F544" s="1662">
        <v>600</v>
      </c>
      <c r="G544" s="903"/>
    </row>
    <row r="545" spans="1:7" ht="15" customHeight="1" x14ac:dyDescent="0.25">
      <c r="A545" s="2352" t="s">
        <v>16063</v>
      </c>
      <c r="B545" s="2352" t="s">
        <v>15712</v>
      </c>
      <c r="C545" s="2352" t="s">
        <v>15712</v>
      </c>
      <c r="D545" s="2352" t="s">
        <v>16218</v>
      </c>
      <c r="E545" s="355">
        <v>160</v>
      </c>
      <c r="F545" s="1662">
        <v>60</v>
      </c>
      <c r="G545" s="903"/>
    </row>
    <row r="546" spans="1:7" ht="15" customHeight="1" x14ac:dyDescent="0.25">
      <c r="A546" s="2352" t="s">
        <v>16219</v>
      </c>
      <c r="B546" s="2352" t="s">
        <v>15712</v>
      </c>
      <c r="C546" s="2352" t="s">
        <v>15712</v>
      </c>
      <c r="D546" s="2352" t="s">
        <v>16220</v>
      </c>
      <c r="E546" s="355">
        <v>100</v>
      </c>
      <c r="F546" s="1662">
        <v>50</v>
      </c>
      <c r="G546" s="903"/>
    </row>
    <row r="547" spans="1:7" ht="15" customHeight="1" x14ac:dyDescent="0.25">
      <c r="A547" s="2352" t="s">
        <v>5530</v>
      </c>
      <c r="B547" s="2352" t="s">
        <v>15712</v>
      </c>
      <c r="C547" s="2352" t="s">
        <v>15712</v>
      </c>
      <c r="D547" s="2352" t="s">
        <v>16221</v>
      </c>
      <c r="E547" s="355">
        <v>100</v>
      </c>
      <c r="F547" s="1662">
        <v>20</v>
      </c>
      <c r="G547" s="903"/>
    </row>
    <row r="548" spans="1:7" ht="15" customHeight="1" x14ac:dyDescent="0.25">
      <c r="A548" s="2352" t="s">
        <v>15819</v>
      </c>
      <c r="B548" s="2352" t="s">
        <v>15712</v>
      </c>
      <c r="C548" s="2352" t="s">
        <v>15712</v>
      </c>
      <c r="D548" s="2352" t="s">
        <v>16222</v>
      </c>
      <c r="E548" s="355">
        <v>160</v>
      </c>
      <c r="F548" s="1662">
        <v>60</v>
      </c>
      <c r="G548" s="903"/>
    </row>
    <row r="549" spans="1:7" ht="15" customHeight="1" x14ac:dyDescent="0.25">
      <c r="A549" s="2352" t="s">
        <v>15819</v>
      </c>
      <c r="B549" s="2352" t="s">
        <v>15712</v>
      </c>
      <c r="C549" s="2352" t="s">
        <v>15712</v>
      </c>
      <c r="D549" s="2352" t="s">
        <v>16223</v>
      </c>
      <c r="E549" s="355">
        <v>250</v>
      </c>
      <c r="F549" s="1662">
        <v>150</v>
      </c>
      <c r="G549" s="903"/>
    </row>
    <row r="550" spans="1:7" ht="15" customHeight="1" x14ac:dyDescent="0.25">
      <c r="A550" s="2352" t="s">
        <v>16224</v>
      </c>
      <c r="B550" s="2352" t="s">
        <v>15712</v>
      </c>
      <c r="C550" s="2352" t="s">
        <v>15712</v>
      </c>
      <c r="D550" s="2352" t="s">
        <v>16225</v>
      </c>
      <c r="E550" s="355">
        <v>250</v>
      </c>
      <c r="F550" s="1662">
        <v>180</v>
      </c>
      <c r="G550" s="903"/>
    </row>
    <row r="551" spans="1:7" ht="15" customHeight="1" x14ac:dyDescent="0.25">
      <c r="A551" s="2352" t="s">
        <v>15819</v>
      </c>
      <c r="B551" s="2352" t="s">
        <v>15712</v>
      </c>
      <c r="C551" s="2352" t="s">
        <v>15712</v>
      </c>
      <c r="D551" s="2352" t="s">
        <v>16226</v>
      </c>
      <c r="E551" s="355">
        <v>160</v>
      </c>
      <c r="F551" s="1662">
        <v>60</v>
      </c>
      <c r="G551" s="903"/>
    </row>
    <row r="552" spans="1:7" ht="15" customHeight="1" x14ac:dyDescent="0.25">
      <c r="A552" s="2352" t="s">
        <v>15763</v>
      </c>
      <c r="B552" s="2352" t="s">
        <v>15712</v>
      </c>
      <c r="C552" s="2352" t="s">
        <v>15712</v>
      </c>
      <c r="D552" s="2352" t="s">
        <v>16227</v>
      </c>
      <c r="E552" s="355">
        <v>250</v>
      </c>
      <c r="F552" s="1662">
        <v>200</v>
      </c>
      <c r="G552" s="903"/>
    </row>
    <row r="553" spans="1:7" ht="15" customHeight="1" x14ac:dyDescent="0.25">
      <c r="A553" s="2352" t="s">
        <v>8255</v>
      </c>
      <c r="B553" s="2352" t="s">
        <v>15712</v>
      </c>
      <c r="C553" s="2352" t="s">
        <v>15712</v>
      </c>
      <c r="D553" s="2352" t="s">
        <v>16228</v>
      </c>
      <c r="E553" s="355">
        <v>250</v>
      </c>
      <c r="F553" s="1662">
        <v>200</v>
      </c>
      <c r="G553" s="903"/>
    </row>
    <row r="554" spans="1:7" ht="15" customHeight="1" x14ac:dyDescent="0.25">
      <c r="A554" s="2352" t="s">
        <v>8255</v>
      </c>
      <c r="B554" s="2352" t="s">
        <v>15712</v>
      </c>
      <c r="C554" s="2352" t="s">
        <v>15712</v>
      </c>
      <c r="D554" s="2352" t="s">
        <v>16229</v>
      </c>
      <c r="E554" s="355">
        <v>250</v>
      </c>
      <c r="F554" s="1662">
        <v>200</v>
      </c>
      <c r="G554" s="903"/>
    </row>
    <row r="555" spans="1:7" ht="15" customHeight="1" x14ac:dyDescent="0.25">
      <c r="A555" s="2352" t="s">
        <v>8255</v>
      </c>
      <c r="B555" s="2352" t="s">
        <v>15712</v>
      </c>
      <c r="C555" s="2352" t="s">
        <v>15712</v>
      </c>
      <c r="D555" s="2352" t="s">
        <v>16230</v>
      </c>
      <c r="E555" s="355">
        <v>400</v>
      </c>
      <c r="F555" s="1662">
        <v>300</v>
      </c>
      <c r="G555" s="903"/>
    </row>
    <row r="556" spans="1:7" ht="15" customHeight="1" x14ac:dyDescent="0.25">
      <c r="A556" s="2352" t="s">
        <v>8255</v>
      </c>
      <c r="B556" s="2352" t="s">
        <v>15712</v>
      </c>
      <c r="C556" s="2352" t="s">
        <v>15712</v>
      </c>
      <c r="D556" s="2352" t="s">
        <v>16231</v>
      </c>
      <c r="E556" s="355">
        <v>400</v>
      </c>
      <c r="F556" s="1662">
        <v>285</v>
      </c>
      <c r="G556" s="903"/>
    </row>
    <row r="557" spans="1:7" ht="15" customHeight="1" x14ac:dyDescent="0.25">
      <c r="A557" s="2352" t="s">
        <v>16232</v>
      </c>
      <c r="B557" s="2352" t="s">
        <v>15712</v>
      </c>
      <c r="C557" s="2352" t="s">
        <v>15712</v>
      </c>
      <c r="D557" s="2352" t="s">
        <v>16233</v>
      </c>
      <c r="E557" s="355">
        <v>50</v>
      </c>
      <c r="F557" s="1662">
        <v>25</v>
      </c>
      <c r="G557" s="903"/>
    </row>
    <row r="558" spans="1:7" ht="15" customHeight="1" x14ac:dyDescent="0.25">
      <c r="A558" s="2352" t="s">
        <v>7343</v>
      </c>
      <c r="B558" s="2352" t="s">
        <v>15712</v>
      </c>
      <c r="C558" s="2352" t="s">
        <v>15712</v>
      </c>
      <c r="D558" s="2352" t="s">
        <v>16234</v>
      </c>
      <c r="E558" s="355">
        <v>60</v>
      </c>
      <c r="F558" s="1662">
        <v>30</v>
      </c>
      <c r="G558" s="903"/>
    </row>
    <row r="559" spans="1:7" ht="15" customHeight="1" x14ac:dyDescent="0.25">
      <c r="A559" s="2352" t="s">
        <v>6540</v>
      </c>
      <c r="B559" s="2352" t="s">
        <v>15712</v>
      </c>
      <c r="C559" s="2352" t="s">
        <v>15712</v>
      </c>
      <c r="D559" s="2352" t="s">
        <v>16235</v>
      </c>
      <c r="E559" s="355">
        <v>60</v>
      </c>
      <c r="F559" s="1662">
        <v>30</v>
      </c>
      <c r="G559" s="903"/>
    </row>
    <row r="560" spans="1:7" ht="15" customHeight="1" x14ac:dyDescent="0.25">
      <c r="A560" s="2352" t="s">
        <v>15852</v>
      </c>
      <c r="B560" s="2352" t="s">
        <v>15712</v>
      </c>
      <c r="C560" s="2352" t="s">
        <v>15712</v>
      </c>
      <c r="D560" s="2352" t="s">
        <v>16236</v>
      </c>
      <c r="E560" s="355">
        <v>160</v>
      </c>
      <c r="F560" s="1662">
        <v>85</v>
      </c>
      <c r="G560" s="903"/>
    </row>
    <row r="561" spans="1:7" ht="15" customHeight="1" x14ac:dyDescent="0.25">
      <c r="A561" s="2352" t="s">
        <v>7640</v>
      </c>
      <c r="B561" s="2352" t="s">
        <v>15712</v>
      </c>
      <c r="C561" s="2352" t="s">
        <v>15712</v>
      </c>
      <c r="D561" s="2352" t="s">
        <v>16237</v>
      </c>
      <c r="E561" s="355">
        <v>63</v>
      </c>
      <c r="F561" s="1662">
        <v>40</v>
      </c>
      <c r="G561" s="903"/>
    </row>
    <row r="562" spans="1:7" ht="15" customHeight="1" x14ac:dyDescent="0.25">
      <c r="A562" s="2352" t="s">
        <v>4218</v>
      </c>
      <c r="B562" s="2352" t="s">
        <v>15712</v>
      </c>
      <c r="C562" s="2352" t="s">
        <v>15712</v>
      </c>
      <c r="D562" s="2352" t="s">
        <v>16238</v>
      </c>
      <c r="E562" s="355">
        <v>180</v>
      </c>
      <c r="F562" s="1662">
        <v>150</v>
      </c>
      <c r="G562" s="903"/>
    </row>
    <row r="563" spans="1:7" ht="15" customHeight="1" x14ac:dyDescent="0.25">
      <c r="A563" s="2352" t="s">
        <v>4218</v>
      </c>
      <c r="B563" s="2352" t="s">
        <v>15712</v>
      </c>
      <c r="C563" s="2352" t="s">
        <v>15712</v>
      </c>
      <c r="D563" s="2352" t="s">
        <v>16239</v>
      </c>
      <c r="E563" s="355">
        <v>250</v>
      </c>
      <c r="F563" s="1662">
        <v>200</v>
      </c>
      <c r="G563" s="903"/>
    </row>
    <row r="564" spans="1:7" ht="15" customHeight="1" x14ac:dyDescent="0.25">
      <c r="A564" s="2352" t="s">
        <v>4218</v>
      </c>
      <c r="B564" s="2352" t="s">
        <v>15712</v>
      </c>
      <c r="C564" s="2352" t="s">
        <v>15712</v>
      </c>
      <c r="D564" s="2352" t="s">
        <v>16240</v>
      </c>
      <c r="E564" s="355">
        <v>250</v>
      </c>
      <c r="F564" s="1662">
        <v>200</v>
      </c>
      <c r="G564" s="903"/>
    </row>
    <row r="565" spans="1:7" ht="15" customHeight="1" x14ac:dyDescent="0.25">
      <c r="A565" s="2352" t="s">
        <v>4218</v>
      </c>
      <c r="B565" s="2352" t="s">
        <v>15712</v>
      </c>
      <c r="C565" s="2352" t="s">
        <v>15712</v>
      </c>
      <c r="D565" s="2352" t="s">
        <v>16241</v>
      </c>
      <c r="E565" s="355">
        <v>100</v>
      </c>
      <c r="F565" s="1662">
        <v>0</v>
      </c>
      <c r="G565" s="903"/>
    </row>
    <row r="566" spans="1:7" ht="15" customHeight="1" x14ac:dyDescent="0.25">
      <c r="A566" s="2352" t="s">
        <v>4218</v>
      </c>
      <c r="B566" s="2352" t="s">
        <v>15712</v>
      </c>
      <c r="C566" s="2352" t="s">
        <v>15712</v>
      </c>
      <c r="D566" s="2352" t="s">
        <v>16242</v>
      </c>
      <c r="E566" s="355">
        <v>250</v>
      </c>
      <c r="F566" s="1662">
        <v>230</v>
      </c>
      <c r="G566" s="903"/>
    </row>
    <row r="567" spans="1:7" ht="15" customHeight="1" x14ac:dyDescent="0.25">
      <c r="A567" s="2352" t="s">
        <v>4218</v>
      </c>
      <c r="B567" s="2352" t="s">
        <v>15712</v>
      </c>
      <c r="C567" s="2352" t="s">
        <v>15712</v>
      </c>
      <c r="D567" s="2352" t="s">
        <v>16243</v>
      </c>
      <c r="E567" s="355">
        <v>160</v>
      </c>
      <c r="F567" s="1662">
        <v>40</v>
      </c>
      <c r="G567" s="903"/>
    </row>
    <row r="568" spans="1:7" ht="15" customHeight="1" x14ac:dyDescent="0.25">
      <c r="A568" s="2352" t="s">
        <v>16244</v>
      </c>
      <c r="B568" s="2352" t="s">
        <v>15712</v>
      </c>
      <c r="C568" s="2352" t="s">
        <v>15712</v>
      </c>
      <c r="D568" s="2352" t="s">
        <v>16245</v>
      </c>
      <c r="E568" s="355">
        <v>100</v>
      </c>
      <c r="F568" s="1662">
        <v>40</v>
      </c>
      <c r="G568" s="903"/>
    </row>
    <row r="569" spans="1:7" ht="15" customHeight="1" x14ac:dyDescent="0.25">
      <c r="A569" s="2352" t="s">
        <v>16246</v>
      </c>
      <c r="B569" s="2352" t="s">
        <v>15712</v>
      </c>
      <c r="C569" s="2352" t="s">
        <v>15712</v>
      </c>
      <c r="D569" s="2352" t="s">
        <v>16247</v>
      </c>
      <c r="E569" s="355">
        <v>63</v>
      </c>
      <c r="F569" s="1662">
        <v>30</v>
      </c>
      <c r="G569" s="903"/>
    </row>
    <row r="570" spans="1:7" ht="15" customHeight="1" x14ac:dyDescent="0.25">
      <c r="A570" s="2352" t="s">
        <v>16248</v>
      </c>
      <c r="B570" s="2352" t="s">
        <v>15712</v>
      </c>
      <c r="C570" s="2352" t="s">
        <v>15712</v>
      </c>
      <c r="D570" s="2352" t="s">
        <v>16249</v>
      </c>
      <c r="E570" s="355">
        <v>60</v>
      </c>
      <c r="F570" s="1662">
        <v>30</v>
      </c>
      <c r="G570" s="903"/>
    </row>
    <row r="571" spans="1:7" ht="15" customHeight="1" x14ac:dyDescent="0.25">
      <c r="A571" s="2352" t="s">
        <v>15838</v>
      </c>
      <c r="B571" s="2352" t="s">
        <v>15712</v>
      </c>
      <c r="C571" s="2352" t="s">
        <v>15712</v>
      </c>
      <c r="D571" s="2352" t="s">
        <v>16250</v>
      </c>
      <c r="E571" s="355">
        <v>250</v>
      </c>
      <c r="F571" s="1662">
        <v>210</v>
      </c>
      <c r="G571" s="903"/>
    </row>
    <row r="572" spans="1:7" ht="15" customHeight="1" x14ac:dyDescent="0.25">
      <c r="A572" s="2352" t="s">
        <v>15838</v>
      </c>
      <c r="B572" s="2352" t="s">
        <v>15712</v>
      </c>
      <c r="C572" s="2352" t="s">
        <v>15712</v>
      </c>
      <c r="D572" s="2352" t="s">
        <v>16251</v>
      </c>
      <c r="E572" s="355">
        <v>250</v>
      </c>
      <c r="F572" s="1662">
        <v>200</v>
      </c>
      <c r="G572" s="903"/>
    </row>
    <row r="573" spans="1:7" ht="15" customHeight="1" x14ac:dyDescent="0.25">
      <c r="A573" s="2352" t="s">
        <v>15838</v>
      </c>
      <c r="B573" s="2352" t="s">
        <v>15712</v>
      </c>
      <c r="C573" s="2352" t="s">
        <v>15712</v>
      </c>
      <c r="D573" s="2352" t="s">
        <v>16252</v>
      </c>
      <c r="E573" s="355">
        <v>250</v>
      </c>
      <c r="F573" s="1662">
        <v>155</v>
      </c>
      <c r="G573" s="903"/>
    </row>
    <row r="574" spans="1:7" ht="15" customHeight="1" x14ac:dyDescent="0.25">
      <c r="A574" s="2352" t="s">
        <v>15838</v>
      </c>
      <c r="B574" s="2352" t="s">
        <v>15712</v>
      </c>
      <c r="C574" s="2352" t="s">
        <v>15712</v>
      </c>
      <c r="D574" s="2352" t="s">
        <v>16253</v>
      </c>
      <c r="E574" s="355">
        <v>160</v>
      </c>
      <c r="F574" s="1662">
        <v>60</v>
      </c>
      <c r="G574" s="903"/>
    </row>
    <row r="575" spans="1:7" ht="15" customHeight="1" x14ac:dyDescent="0.25">
      <c r="A575" s="2352" t="s">
        <v>16254</v>
      </c>
      <c r="B575" s="2352" t="s">
        <v>15712</v>
      </c>
      <c r="C575" s="2352" t="s">
        <v>15712</v>
      </c>
      <c r="D575" s="2352" t="s">
        <v>16255</v>
      </c>
      <c r="E575" s="355">
        <v>250</v>
      </c>
      <c r="F575" s="1662">
        <v>180</v>
      </c>
      <c r="G575" s="903"/>
    </row>
    <row r="576" spans="1:7" ht="15" customHeight="1" x14ac:dyDescent="0.25">
      <c r="A576" s="2352" t="s">
        <v>16254</v>
      </c>
      <c r="B576" s="2352" t="s">
        <v>15712</v>
      </c>
      <c r="C576" s="2352" t="s">
        <v>15712</v>
      </c>
      <c r="D576" s="2352" t="s">
        <v>16256</v>
      </c>
      <c r="E576" s="355">
        <v>100</v>
      </c>
      <c r="F576" s="1662">
        <v>15</v>
      </c>
      <c r="G576" s="903"/>
    </row>
    <row r="577" spans="1:7" ht="15" customHeight="1" x14ac:dyDescent="0.25">
      <c r="A577" s="2352" t="s">
        <v>16254</v>
      </c>
      <c r="B577" s="2352" t="s">
        <v>15712</v>
      </c>
      <c r="C577" s="2352" t="s">
        <v>15712</v>
      </c>
      <c r="D577" s="2352" t="s">
        <v>16257</v>
      </c>
      <c r="E577" s="355">
        <v>160</v>
      </c>
      <c r="F577" s="1662">
        <v>100</v>
      </c>
      <c r="G577" s="903"/>
    </row>
    <row r="578" spans="1:7" ht="15" customHeight="1" x14ac:dyDescent="0.25">
      <c r="A578" s="2352" t="s">
        <v>16254</v>
      </c>
      <c r="B578" s="2352" t="s">
        <v>15712</v>
      </c>
      <c r="C578" s="2352" t="s">
        <v>15712</v>
      </c>
      <c r="D578" s="2352" t="s">
        <v>16258</v>
      </c>
      <c r="E578" s="355">
        <v>250</v>
      </c>
      <c r="F578" s="1662">
        <v>200</v>
      </c>
      <c r="G578" s="903"/>
    </row>
    <row r="579" spans="1:7" ht="15" customHeight="1" x14ac:dyDescent="0.25">
      <c r="A579" s="2352" t="s">
        <v>16259</v>
      </c>
      <c r="B579" s="2352" t="s">
        <v>15712</v>
      </c>
      <c r="C579" s="2352" t="s">
        <v>15712</v>
      </c>
      <c r="D579" s="2352" t="s">
        <v>16260</v>
      </c>
      <c r="E579" s="355">
        <v>30</v>
      </c>
      <c r="F579" s="1662">
        <v>10</v>
      </c>
      <c r="G579" s="903"/>
    </row>
    <row r="580" spans="1:7" ht="15" customHeight="1" x14ac:dyDescent="0.25">
      <c r="A580" s="2352" t="s">
        <v>16261</v>
      </c>
      <c r="B580" s="2352" t="s">
        <v>15712</v>
      </c>
      <c r="C580" s="2352" t="s">
        <v>15712</v>
      </c>
      <c r="D580" s="2352" t="s">
        <v>16262</v>
      </c>
      <c r="E580" s="355">
        <v>100</v>
      </c>
      <c r="F580" s="1662">
        <v>40</v>
      </c>
      <c r="G580" s="903"/>
    </row>
    <row r="581" spans="1:7" ht="15" customHeight="1" x14ac:dyDescent="0.25">
      <c r="A581" s="2352" t="s">
        <v>15766</v>
      </c>
      <c r="B581" s="2352" t="s">
        <v>15712</v>
      </c>
      <c r="C581" s="2352" t="s">
        <v>15712</v>
      </c>
      <c r="D581" s="2352" t="s">
        <v>16263</v>
      </c>
      <c r="E581" s="355">
        <v>250</v>
      </c>
      <c r="F581" s="1662">
        <v>200</v>
      </c>
      <c r="G581" s="903"/>
    </row>
    <row r="582" spans="1:7" ht="15" customHeight="1" x14ac:dyDescent="0.25">
      <c r="A582" s="2352" t="s">
        <v>16264</v>
      </c>
      <c r="B582" s="2352" t="s">
        <v>15712</v>
      </c>
      <c r="C582" s="2352" t="s">
        <v>15712</v>
      </c>
      <c r="D582" s="2352" t="s">
        <v>16265</v>
      </c>
      <c r="E582" s="355">
        <v>30</v>
      </c>
      <c r="F582" s="1662">
        <v>10</v>
      </c>
      <c r="G582" s="903"/>
    </row>
    <row r="583" spans="1:7" ht="15" customHeight="1" x14ac:dyDescent="0.25">
      <c r="A583" s="2352" t="s">
        <v>6751</v>
      </c>
      <c r="B583" s="2352" t="s">
        <v>15712</v>
      </c>
      <c r="C583" s="2352" t="s">
        <v>15712</v>
      </c>
      <c r="D583" s="2352" t="s">
        <v>16266</v>
      </c>
      <c r="E583" s="355">
        <v>160</v>
      </c>
      <c r="F583" s="1662">
        <v>80</v>
      </c>
      <c r="G583" s="903"/>
    </row>
    <row r="584" spans="1:7" ht="15" customHeight="1" x14ac:dyDescent="0.25">
      <c r="A584" s="2352" t="s">
        <v>14018</v>
      </c>
      <c r="B584" s="2352" t="s">
        <v>15712</v>
      </c>
      <c r="C584" s="2352" t="s">
        <v>15712</v>
      </c>
      <c r="D584" s="2352" t="s">
        <v>16267</v>
      </c>
      <c r="E584" s="355">
        <v>250</v>
      </c>
      <c r="F584" s="1662">
        <v>200</v>
      </c>
      <c r="G584" s="903"/>
    </row>
    <row r="585" spans="1:7" ht="15" customHeight="1" x14ac:dyDescent="0.25">
      <c r="A585" s="2352" t="s">
        <v>15714</v>
      </c>
      <c r="B585" s="2352" t="s">
        <v>15712</v>
      </c>
      <c r="C585" s="2352" t="s">
        <v>15712</v>
      </c>
      <c r="D585" s="2352" t="s">
        <v>16268</v>
      </c>
      <c r="E585" s="355">
        <v>100</v>
      </c>
      <c r="F585" s="1662">
        <v>40</v>
      </c>
      <c r="G585" s="903"/>
    </row>
    <row r="586" spans="1:7" ht="15" customHeight="1" x14ac:dyDescent="0.25">
      <c r="A586" s="2352" t="s">
        <v>15714</v>
      </c>
      <c r="B586" s="2352" t="s">
        <v>15712</v>
      </c>
      <c r="C586" s="2352" t="s">
        <v>15712</v>
      </c>
      <c r="D586" s="2352" t="s">
        <v>16269</v>
      </c>
      <c r="E586" s="355">
        <v>160</v>
      </c>
      <c r="F586" s="1662">
        <v>100</v>
      </c>
      <c r="G586" s="903"/>
    </row>
    <row r="587" spans="1:7" ht="15" customHeight="1" x14ac:dyDescent="0.25">
      <c r="A587" s="2352" t="s">
        <v>15714</v>
      </c>
      <c r="B587" s="2352" t="s">
        <v>15712</v>
      </c>
      <c r="C587" s="2352" t="s">
        <v>15712</v>
      </c>
      <c r="D587" s="2352" t="s">
        <v>16270</v>
      </c>
      <c r="E587" s="355">
        <v>100</v>
      </c>
      <c r="F587" s="1662">
        <v>40</v>
      </c>
      <c r="G587" s="903"/>
    </row>
    <row r="588" spans="1:7" ht="15" customHeight="1" x14ac:dyDescent="0.25">
      <c r="A588" s="2352" t="s">
        <v>15755</v>
      </c>
      <c r="B588" s="2352" t="s">
        <v>15712</v>
      </c>
      <c r="C588" s="2352" t="s">
        <v>15712</v>
      </c>
      <c r="D588" s="2352" t="s">
        <v>16271</v>
      </c>
      <c r="E588" s="355">
        <v>160</v>
      </c>
      <c r="F588" s="1662">
        <v>110</v>
      </c>
      <c r="G588" s="903"/>
    </row>
    <row r="589" spans="1:7" ht="15" customHeight="1" x14ac:dyDescent="0.25">
      <c r="A589" s="2352" t="s">
        <v>16272</v>
      </c>
      <c r="B589" s="2352" t="s">
        <v>15712</v>
      </c>
      <c r="C589" s="2352" t="s">
        <v>15712</v>
      </c>
      <c r="D589" s="2352" t="s">
        <v>16273</v>
      </c>
      <c r="E589" s="355">
        <v>30</v>
      </c>
      <c r="F589" s="1662">
        <v>10</v>
      </c>
      <c r="G589" s="903"/>
    </row>
    <row r="590" spans="1:7" ht="15" customHeight="1" x14ac:dyDescent="0.25">
      <c r="A590" s="2352" t="s">
        <v>15736</v>
      </c>
      <c r="B590" s="2352" t="s">
        <v>15712</v>
      </c>
      <c r="C590" s="2352" t="s">
        <v>15712</v>
      </c>
      <c r="D590" s="2352" t="s">
        <v>16274</v>
      </c>
      <c r="E590" s="355">
        <v>400</v>
      </c>
      <c r="F590" s="1662">
        <v>350</v>
      </c>
      <c r="G590" s="903"/>
    </row>
    <row r="591" spans="1:7" ht="15" customHeight="1" x14ac:dyDescent="0.25">
      <c r="A591" s="2352" t="s">
        <v>15736</v>
      </c>
      <c r="B591" s="2352" t="s">
        <v>15712</v>
      </c>
      <c r="C591" s="2352" t="s">
        <v>15712</v>
      </c>
      <c r="D591" s="2352" t="s">
        <v>16275</v>
      </c>
      <c r="E591" s="355">
        <v>100</v>
      </c>
      <c r="F591" s="1662">
        <v>30</v>
      </c>
      <c r="G591" s="903"/>
    </row>
    <row r="592" spans="1:7" ht="15" customHeight="1" x14ac:dyDescent="0.25">
      <c r="A592" s="2352" t="s">
        <v>6508</v>
      </c>
      <c r="B592" s="2352" t="s">
        <v>15712</v>
      </c>
      <c r="C592" s="2352" t="s">
        <v>15712</v>
      </c>
      <c r="D592" s="2352" t="s">
        <v>16276</v>
      </c>
      <c r="E592" s="355">
        <v>60</v>
      </c>
      <c r="F592" s="1662">
        <v>30</v>
      </c>
      <c r="G592" s="903"/>
    </row>
    <row r="593" spans="1:7" ht="15" customHeight="1" x14ac:dyDescent="0.25">
      <c r="A593" s="2352" t="s">
        <v>15802</v>
      </c>
      <c r="B593" s="2352" t="s">
        <v>15712</v>
      </c>
      <c r="C593" s="2352" t="s">
        <v>15712</v>
      </c>
      <c r="D593" s="2352" t="s">
        <v>16277</v>
      </c>
      <c r="E593" s="355">
        <v>50</v>
      </c>
      <c r="F593" s="1662">
        <v>20</v>
      </c>
      <c r="G593" s="903"/>
    </row>
    <row r="594" spans="1:7" ht="15" customHeight="1" x14ac:dyDescent="0.25">
      <c r="A594" s="2352" t="s">
        <v>16278</v>
      </c>
      <c r="B594" s="2352" t="s">
        <v>15712</v>
      </c>
      <c r="C594" s="2352" t="s">
        <v>15712</v>
      </c>
      <c r="D594" s="2352" t="s">
        <v>16279</v>
      </c>
      <c r="E594" s="355">
        <v>40</v>
      </c>
      <c r="F594" s="1662">
        <v>5</v>
      </c>
      <c r="G594" s="903"/>
    </row>
    <row r="595" spans="1:7" ht="15" customHeight="1" x14ac:dyDescent="0.25">
      <c r="A595" s="2352" t="s">
        <v>16280</v>
      </c>
      <c r="B595" s="2352" t="s">
        <v>15712</v>
      </c>
      <c r="C595" s="2352" t="s">
        <v>15712</v>
      </c>
      <c r="D595" s="2352" t="s">
        <v>16281</v>
      </c>
      <c r="E595" s="355">
        <v>60</v>
      </c>
      <c r="F595" s="1662">
        <v>30</v>
      </c>
      <c r="G595" s="903"/>
    </row>
    <row r="596" spans="1:7" ht="15" customHeight="1" x14ac:dyDescent="0.25">
      <c r="A596" s="2352" t="s">
        <v>16282</v>
      </c>
      <c r="B596" s="2352" t="s">
        <v>15712</v>
      </c>
      <c r="C596" s="2352" t="s">
        <v>15712</v>
      </c>
      <c r="D596" s="2352" t="s">
        <v>16283</v>
      </c>
      <c r="E596" s="355">
        <v>30</v>
      </c>
      <c r="F596" s="1662">
        <v>10</v>
      </c>
      <c r="G596" s="903"/>
    </row>
    <row r="597" spans="1:7" ht="15" customHeight="1" x14ac:dyDescent="0.25">
      <c r="A597" s="2352" t="s">
        <v>16248</v>
      </c>
      <c r="B597" s="2352" t="s">
        <v>15712</v>
      </c>
      <c r="C597" s="2352" t="s">
        <v>15712</v>
      </c>
      <c r="D597" s="2352" t="s">
        <v>16284</v>
      </c>
      <c r="E597" s="355">
        <v>60</v>
      </c>
      <c r="F597" s="1662">
        <v>20</v>
      </c>
      <c r="G597" s="903"/>
    </row>
    <row r="598" spans="1:7" ht="15" customHeight="1" x14ac:dyDescent="0.25">
      <c r="A598" s="2352" t="s">
        <v>16285</v>
      </c>
      <c r="B598" s="2352" t="s">
        <v>15712</v>
      </c>
      <c r="C598" s="2352" t="s">
        <v>15712</v>
      </c>
      <c r="D598" s="2352" t="s">
        <v>16286</v>
      </c>
      <c r="E598" s="355">
        <v>160</v>
      </c>
      <c r="F598" s="1662">
        <v>100</v>
      </c>
      <c r="G598" s="903"/>
    </row>
    <row r="599" spans="1:7" ht="15" customHeight="1" x14ac:dyDescent="0.25">
      <c r="A599" s="2352" t="s">
        <v>16287</v>
      </c>
      <c r="B599" s="2352" t="s">
        <v>15712</v>
      </c>
      <c r="C599" s="2352" t="s">
        <v>15712</v>
      </c>
      <c r="D599" s="2352" t="s">
        <v>16288</v>
      </c>
      <c r="E599" s="355">
        <v>60</v>
      </c>
      <c r="F599" s="1662">
        <v>20</v>
      </c>
      <c r="G599" s="903"/>
    </row>
    <row r="600" spans="1:7" ht="15" customHeight="1" x14ac:dyDescent="0.25">
      <c r="A600" s="2352" t="s">
        <v>8315</v>
      </c>
      <c r="B600" s="2352" t="s">
        <v>15712</v>
      </c>
      <c r="C600" s="2352" t="s">
        <v>15712</v>
      </c>
      <c r="D600" s="2352" t="s">
        <v>16289</v>
      </c>
      <c r="E600" s="355">
        <v>50</v>
      </c>
      <c r="F600" s="1662">
        <v>10</v>
      </c>
      <c r="G600" s="903"/>
    </row>
    <row r="601" spans="1:7" ht="15" customHeight="1" x14ac:dyDescent="0.25">
      <c r="A601" s="2352" t="s">
        <v>16014</v>
      </c>
      <c r="B601" s="2352" t="s">
        <v>15712</v>
      </c>
      <c r="C601" s="2352" t="s">
        <v>15712</v>
      </c>
      <c r="D601" s="2352" t="s">
        <v>16290</v>
      </c>
      <c r="E601" s="355">
        <v>250</v>
      </c>
      <c r="F601" s="1662">
        <v>150</v>
      </c>
      <c r="G601" s="903"/>
    </row>
    <row r="602" spans="1:7" ht="15" customHeight="1" x14ac:dyDescent="0.25">
      <c r="A602" s="2352" t="s">
        <v>16291</v>
      </c>
      <c r="B602" s="2352" t="s">
        <v>15712</v>
      </c>
      <c r="C602" s="2352" t="s">
        <v>15712</v>
      </c>
      <c r="D602" s="2352" t="s">
        <v>16292</v>
      </c>
      <c r="E602" s="355">
        <v>63</v>
      </c>
      <c r="F602" s="1662">
        <v>20</v>
      </c>
      <c r="G602" s="903"/>
    </row>
    <row r="603" spans="1:7" ht="15" customHeight="1" x14ac:dyDescent="0.25">
      <c r="A603" s="2352" t="s">
        <v>7417</v>
      </c>
      <c r="B603" s="2352" t="s">
        <v>15712</v>
      </c>
      <c r="C603" s="2352" t="s">
        <v>15712</v>
      </c>
      <c r="D603" s="2352" t="s">
        <v>16293</v>
      </c>
      <c r="E603" s="355">
        <v>100</v>
      </c>
      <c r="F603" s="1662">
        <v>20</v>
      </c>
      <c r="G603" s="903"/>
    </row>
    <row r="604" spans="1:7" ht="15" customHeight="1" x14ac:dyDescent="0.25">
      <c r="A604" s="2352" t="s">
        <v>9453</v>
      </c>
      <c r="B604" s="2352" t="s">
        <v>15712</v>
      </c>
      <c r="C604" s="2352" t="s">
        <v>15712</v>
      </c>
      <c r="D604" s="2352" t="s">
        <v>16294</v>
      </c>
      <c r="E604" s="355">
        <v>100</v>
      </c>
      <c r="F604" s="1662">
        <v>20</v>
      </c>
      <c r="G604" s="903"/>
    </row>
    <row r="605" spans="1:7" ht="15" customHeight="1" x14ac:dyDescent="0.25">
      <c r="A605" s="2352" t="s">
        <v>16295</v>
      </c>
      <c r="B605" s="2352" t="s">
        <v>15712</v>
      </c>
      <c r="C605" s="2352" t="s">
        <v>15712</v>
      </c>
      <c r="D605" s="2352" t="s">
        <v>16296</v>
      </c>
      <c r="E605" s="355">
        <v>160</v>
      </c>
      <c r="F605" s="1662">
        <v>60</v>
      </c>
      <c r="G605" s="903"/>
    </row>
    <row r="606" spans="1:7" ht="15" customHeight="1" x14ac:dyDescent="0.25">
      <c r="A606" s="2352" t="s">
        <v>14618</v>
      </c>
      <c r="B606" s="2352" t="s">
        <v>15712</v>
      </c>
      <c r="C606" s="2352" t="s">
        <v>15712</v>
      </c>
      <c r="D606" s="2352" t="s">
        <v>16297</v>
      </c>
      <c r="E606" s="355">
        <v>100</v>
      </c>
      <c r="F606" s="1662">
        <v>20</v>
      </c>
      <c r="G606" s="903"/>
    </row>
    <row r="607" spans="1:7" ht="15" customHeight="1" x14ac:dyDescent="0.25">
      <c r="A607" s="2352" t="s">
        <v>14401</v>
      </c>
      <c r="B607" s="2352" t="s">
        <v>15712</v>
      </c>
      <c r="C607" s="2352" t="s">
        <v>15712</v>
      </c>
      <c r="D607" s="2352" t="s">
        <v>16298</v>
      </c>
      <c r="E607" s="355">
        <v>100</v>
      </c>
      <c r="F607" s="1662">
        <v>25</v>
      </c>
      <c r="G607" s="903"/>
    </row>
    <row r="608" spans="1:7" ht="15" customHeight="1" x14ac:dyDescent="0.25">
      <c r="A608" s="2352" t="s">
        <v>16299</v>
      </c>
      <c r="B608" s="2352" t="s">
        <v>15712</v>
      </c>
      <c r="C608" s="2352" t="s">
        <v>15712</v>
      </c>
      <c r="D608" s="2352" t="s">
        <v>16300</v>
      </c>
      <c r="E608" s="355">
        <v>60</v>
      </c>
      <c r="F608" s="1662">
        <v>30</v>
      </c>
      <c r="G608" s="903"/>
    </row>
    <row r="609" spans="1:7" ht="15" customHeight="1" x14ac:dyDescent="0.25">
      <c r="A609" s="2352" t="s">
        <v>13861</v>
      </c>
      <c r="B609" s="2352" t="s">
        <v>15712</v>
      </c>
      <c r="C609" s="2352" t="s">
        <v>15712</v>
      </c>
      <c r="D609" s="2352" t="s">
        <v>16301</v>
      </c>
      <c r="E609" s="355">
        <v>100</v>
      </c>
      <c r="F609" s="1662">
        <v>30</v>
      </c>
      <c r="G609" s="903"/>
    </row>
    <row r="610" spans="1:7" ht="15" customHeight="1" x14ac:dyDescent="0.25">
      <c r="A610" s="2352" t="s">
        <v>16302</v>
      </c>
      <c r="B610" s="2352" t="s">
        <v>15712</v>
      </c>
      <c r="C610" s="2352" t="s">
        <v>15712</v>
      </c>
      <c r="D610" s="2352" t="s">
        <v>16303</v>
      </c>
      <c r="E610" s="355">
        <v>60</v>
      </c>
      <c r="F610" s="1662">
        <v>25</v>
      </c>
      <c r="G610" s="903"/>
    </row>
    <row r="611" spans="1:7" ht="15" customHeight="1" x14ac:dyDescent="0.25">
      <c r="A611" s="2352" t="s">
        <v>16304</v>
      </c>
      <c r="B611" s="2352" t="s">
        <v>15712</v>
      </c>
      <c r="C611" s="2352" t="s">
        <v>15712</v>
      </c>
      <c r="D611" s="2352" t="s">
        <v>16305</v>
      </c>
      <c r="E611" s="355">
        <v>60</v>
      </c>
      <c r="F611" s="1662">
        <v>30</v>
      </c>
      <c r="G611" s="903"/>
    </row>
    <row r="612" spans="1:7" ht="15" customHeight="1" x14ac:dyDescent="0.25">
      <c r="A612" s="2352" t="s">
        <v>15786</v>
      </c>
      <c r="B612" s="2352" t="s">
        <v>15712</v>
      </c>
      <c r="C612" s="2352" t="s">
        <v>15712</v>
      </c>
      <c r="D612" s="2352" t="s">
        <v>16306</v>
      </c>
      <c r="E612" s="355">
        <v>160</v>
      </c>
      <c r="F612" s="1662">
        <v>60</v>
      </c>
      <c r="G612" s="903"/>
    </row>
    <row r="613" spans="1:7" ht="15" customHeight="1" x14ac:dyDescent="0.25">
      <c r="A613" s="2352" t="s">
        <v>8250</v>
      </c>
      <c r="B613" s="2352" t="s">
        <v>15712</v>
      </c>
      <c r="C613" s="2352" t="s">
        <v>15712</v>
      </c>
      <c r="D613" s="2352" t="s">
        <v>16307</v>
      </c>
      <c r="E613" s="355">
        <v>50</v>
      </c>
      <c r="F613" s="1662">
        <v>20</v>
      </c>
      <c r="G613" s="903"/>
    </row>
    <row r="614" spans="1:7" ht="15" customHeight="1" x14ac:dyDescent="0.25">
      <c r="A614" s="2352" t="s">
        <v>16308</v>
      </c>
      <c r="B614" s="2352" t="s">
        <v>15712</v>
      </c>
      <c r="C614" s="2352" t="s">
        <v>15712</v>
      </c>
      <c r="D614" s="2352" t="s">
        <v>16309</v>
      </c>
      <c r="E614" s="355">
        <v>30</v>
      </c>
      <c r="F614" s="1662">
        <v>10</v>
      </c>
      <c r="G614" s="903"/>
    </row>
    <row r="615" spans="1:7" ht="15" customHeight="1" x14ac:dyDescent="0.25">
      <c r="A615" s="2352" t="s">
        <v>16310</v>
      </c>
      <c r="B615" s="2352" t="s">
        <v>15712</v>
      </c>
      <c r="C615" s="2352" t="s">
        <v>15712</v>
      </c>
      <c r="D615" s="2352" t="s">
        <v>16311</v>
      </c>
      <c r="E615" s="355">
        <v>40</v>
      </c>
      <c r="F615" s="1662">
        <v>10</v>
      </c>
      <c r="G615" s="903"/>
    </row>
    <row r="616" spans="1:7" ht="15" customHeight="1" x14ac:dyDescent="0.25">
      <c r="A616" s="2352" t="s">
        <v>14401</v>
      </c>
      <c r="B616" s="2352" t="s">
        <v>15712</v>
      </c>
      <c r="C616" s="2352" t="s">
        <v>15712</v>
      </c>
      <c r="D616" s="2352" t="s">
        <v>16312</v>
      </c>
      <c r="E616" s="355">
        <v>100</v>
      </c>
      <c r="F616" s="1662">
        <v>20</v>
      </c>
      <c r="G616" s="903"/>
    </row>
    <row r="617" spans="1:7" ht="15" customHeight="1" x14ac:dyDescent="0.25">
      <c r="A617" s="2352" t="s">
        <v>10656</v>
      </c>
      <c r="B617" s="2352" t="s">
        <v>15712</v>
      </c>
      <c r="C617" s="2352" t="s">
        <v>15712</v>
      </c>
      <c r="D617" s="2352" t="s">
        <v>16313</v>
      </c>
      <c r="E617" s="355">
        <v>60</v>
      </c>
      <c r="F617" s="1662">
        <v>15</v>
      </c>
      <c r="G617" s="903"/>
    </row>
    <row r="618" spans="1:7" ht="15" customHeight="1" x14ac:dyDescent="0.25">
      <c r="A618" s="2352" t="s">
        <v>4686</v>
      </c>
      <c r="B618" s="2352" t="s">
        <v>15712</v>
      </c>
      <c r="C618" s="2352" t="s">
        <v>15712</v>
      </c>
      <c r="D618" s="2352" t="s">
        <v>16314</v>
      </c>
      <c r="E618" s="355">
        <v>40</v>
      </c>
      <c r="F618" s="1662">
        <v>10</v>
      </c>
      <c r="G618" s="903"/>
    </row>
    <row r="619" spans="1:7" ht="15" customHeight="1" x14ac:dyDescent="0.25">
      <c r="A619" s="2352" t="s">
        <v>10644</v>
      </c>
      <c r="B619" s="2352" t="s">
        <v>15712</v>
      </c>
      <c r="C619" s="2352" t="s">
        <v>15712</v>
      </c>
      <c r="D619" s="2352" t="s">
        <v>16315</v>
      </c>
      <c r="E619" s="355">
        <v>25</v>
      </c>
      <c r="F619" s="1662">
        <v>5</v>
      </c>
      <c r="G619" s="903"/>
    </row>
    <row r="620" spans="1:7" ht="15" customHeight="1" x14ac:dyDescent="0.25">
      <c r="A620" s="2352" t="s">
        <v>16316</v>
      </c>
      <c r="B620" s="2352" t="s">
        <v>15712</v>
      </c>
      <c r="C620" s="2352" t="s">
        <v>15712</v>
      </c>
      <c r="D620" s="2352" t="s">
        <v>16317</v>
      </c>
      <c r="E620" s="355">
        <v>160</v>
      </c>
      <c r="F620" s="1662">
        <v>65</v>
      </c>
      <c r="G620" s="903"/>
    </row>
    <row r="621" spans="1:7" ht="15" customHeight="1" x14ac:dyDescent="0.25">
      <c r="A621" s="2352" t="s">
        <v>16318</v>
      </c>
      <c r="B621" s="2352" t="s">
        <v>15712</v>
      </c>
      <c r="C621" s="2352" t="s">
        <v>15712</v>
      </c>
      <c r="D621" s="2352" t="s">
        <v>16319</v>
      </c>
      <c r="E621" s="355">
        <v>60</v>
      </c>
      <c r="F621" s="1662">
        <v>30</v>
      </c>
      <c r="G621" s="903"/>
    </row>
    <row r="622" spans="1:7" ht="15" customHeight="1" x14ac:dyDescent="0.25">
      <c r="A622" s="2352" t="s">
        <v>8190</v>
      </c>
      <c r="B622" s="2352" t="s">
        <v>15712</v>
      </c>
      <c r="C622" s="2352" t="s">
        <v>15712</v>
      </c>
      <c r="D622" s="2352" t="s">
        <v>16320</v>
      </c>
      <c r="E622" s="355">
        <v>30</v>
      </c>
      <c r="F622" s="1662">
        <v>10</v>
      </c>
      <c r="G622" s="903"/>
    </row>
    <row r="623" spans="1:7" ht="15" customHeight="1" x14ac:dyDescent="0.25">
      <c r="A623" s="2352" t="s">
        <v>16014</v>
      </c>
      <c r="B623" s="2352" t="s">
        <v>15712</v>
      </c>
      <c r="C623" s="2352" t="s">
        <v>15712</v>
      </c>
      <c r="D623" s="2352" t="s">
        <v>16321</v>
      </c>
      <c r="E623" s="355">
        <v>100</v>
      </c>
      <c r="F623" s="1662">
        <v>80</v>
      </c>
      <c r="G623" s="903"/>
    </row>
    <row r="624" spans="1:7" ht="15" customHeight="1" x14ac:dyDescent="0.25">
      <c r="A624" s="2352" t="s">
        <v>16322</v>
      </c>
      <c r="B624" s="2352" t="s">
        <v>15712</v>
      </c>
      <c r="C624" s="2352" t="s">
        <v>15712</v>
      </c>
      <c r="D624" s="2352" t="s">
        <v>16323</v>
      </c>
      <c r="E624" s="355">
        <v>30</v>
      </c>
      <c r="F624" s="1662">
        <v>10</v>
      </c>
      <c r="G624" s="903"/>
    </row>
    <row r="625" spans="1:7" ht="15" customHeight="1" x14ac:dyDescent="0.25">
      <c r="A625" s="2352" t="s">
        <v>16324</v>
      </c>
      <c r="B625" s="2352" t="s">
        <v>15712</v>
      </c>
      <c r="C625" s="2352" t="s">
        <v>15712</v>
      </c>
      <c r="D625" s="2352" t="s">
        <v>16325</v>
      </c>
      <c r="E625" s="355">
        <v>40</v>
      </c>
      <c r="F625" s="1662">
        <v>10</v>
      </c>
      <c r="G625" s="903"/>
    </row>
    <row r="626" spans="1:7" ht="15" customHeight="1" x14ac:dyDescent="0.25">
      <c r="A626" s="2352" t="s">
        <v>16326</v>
      </c>
      <c r="B626" s="2352" t="s">
        <v>15712</v>
      </c>
      <c r="C626" s="2352" t="s">
        <v>15712</v>
      </c>
      <c r="D626" s="2352" t="s">
        <v>16327</v>
      </c>
      <c r="E626" s="355">
        <v>25</v>
      </c>
      <c r="F626" s="1662">
        <v>5</v>
      </c>
      <c r="G626" s="903"/>
    </row>
    <row r="627" spans="1:7" ht="15" customHeight="1" x14ac:dyDescent="0.25">
      <c r="A627" s="2352" t="s">
        <v>16328</v>
      </c>
      <c r="B627" s="2352" t="s">
        <v>15712</v>
      </c>
      <c r="C627" s="2352" t="s">
        <v>15712</v>
      </c>
      <c r="D627" s="2352" t="s">
        <v>16329</v>
      </c>
      <c r="E627" s="355">
        <v>60</v>
      </c>
      <c r="F627" s="1662">
        <v>25</v>
      </c>
      <c r="G627" s="903"/>
    </row>
    <row r="628" spans="1:7" ht="15" customHeight="1" x14ac:dyDescent="0.25">
      <c r="A628" s="2352" t="s">
        <v>16330</v>
      </c>
      <c r="B628" s="2352" t="s">
        <v>15712</v>
      </c>
      <c r="C628" s="2352" t="s">
        <v>15712</v>
      </c>
      <c r="D628" s="2352" t="s">
        <v>16331</v>
      </c>
      <c r="E628" s="355">
        <v>30</v>
      </c>
      <c r="F628" s="1662">
        <v>15</v>
      </c>
      <c r="G628" s="903"/>
    </row>
    <row r="629" spans="1:7" ht="15" customHeight="1" x14ac:dyDescent="0.25">
      <c r="A629" s="2352" t="s">
        <v>16332</v>
      </c>
      <c r="B629" s="2352" t="s">
        <v>15712</v>
      </c>
      <c r="C629" s="2352" t="s">
        <v>15712</v>
      </c>
      <c r="D629" s="2352" t="s">
        <v>16333</v>
      </c>
      <c r="E629" s="355">
        <v>10</v>
      </c>
      <c r="F629" s="1662">
        <v>2</v>
      </c>
      <c r="G629" s="903"/>
    </row>
    <row r="630" spans="1:7" ht="15" customHeight="1" x14ac:dyDescent="0.25">
      <c r="A630" s="2352" t="s">
        <v>4244</v>
      </c>
      <c r="B630" s="2352" t="s">
        <v>15712</v>
      </c>
      <c r="C630" s="2352" t="s">
        <v>15712</v>
      </c>
      <c r="D630" s="2352" t="s">
        <v>16334</v>
      </c>
      <c r="E630" s="355">
        <v>100</v>
      </c>
      <c r="F630" s="1662">
        <v>40</v>
      </c>
      <c r="G630" s="903"/>
    </row>
    <row r="631" spans="1:7" ht="15" customHeight="1" x14ac:dyDescent="0.25">
      <c r="A631" s="2352" t="s">
        <v>16335</v>
      </c>
      <c r="B631" s="2352" t="s">
        <v>15712</v>
      </c>
      <c r="C631" s="2352" t="s">
        <v>15712</v>
      </c>
      <c r="D631" s="2352" t="s">
        <v>16336</v>
      </c>
      <c r="E631" s="355">
        <v>25</v>
      </c>
      <c r="F631" s="1662">
        <v>5</v>
      </c>
      <c r="G631" s="903"/>
    </row>
    <row r="632" spans="1:7" ht="15" customHeight="1" x14ac:dyDescent="0.25">
      <c r="A632" s="2352" t="s">
        <v>16337</v>
      </c>
      <c r="B632" s="2352" t="s">
        <v>15712</v>
      </c>
      <c r="C632" s="2352" t="s">
        <v>15712</v>
      </c>
      <c r="D632" s="2352" t="s">
        <v>16338</v>
      </c>
      <c r="E632" s="355">
        <v>63</v>
      </c>
      <c r="F632" s="1662">
        <v>10</v>
      </c>
      <c r="G632" s="903"/>
    </row>
    <row r="633" spans="1:7" ht="15" customHeight="1" x14ac:dyDescent="0.25">
      <c r="A633" s="2352" t="s">
        <v>7532</v>
      </c>
      <c r="B633" s="2352" t="s">
        <v>15712</v>
      </c>
      <c r="C633" s="2352" t="s">
        <v>15712</v>
      </c>
      <c r="D633" s="2352" t="s">
        <v>16339</v>
      </c>
      <c r="E633" s="355">
        <v>100</v>
      </c>
      <c r="F633" s="1662">
        <v>30</v>
      </c>
      <c r="G633" s="903"/>
    </row>
    <row r="634" spans="1:7" ht="15" customHeight="1" x14ac:dyDescent="0.25">
      <c r="A634" s="2352" t="s">
        <v>16340</v>
      </c>
      <c r="B634" s="2352" t="s">
        <v>15712</v>
      </c>
      <c r="C634" s="2352" t="s">
        <v>15712</v>
      </c>
      <c r="D634" s="2352" t="s">
        <v>16341</v>
      </c>
      <c r="E634" s="355">
        <v>160</v>
      </c>
      <c r="F634" s="1662">
        <v>60</v>
      </c>
      <c r="G634" s="903"/>
    </row>
    <row r="635" spans="1:7" ht="15" customHeight="1" x14ac:dyDescent="0.25">
      <c r="A635" s="2352" t="s">
        <v>16342</v>
      </c>
      <c r="B635" s="2352" t="s">
        <v>15712</v>
      </c>
      <c r="C635" s="2352" t="s">
        <v>15712</v>
      </c>
      <c r="D635" s="2352" t="s">
        <v>16343</v>
      </c>
      <c r="E635" s="355">
        <v>100</v>
      </c>
      <c r="F635" s="1662">
        <v>10</v>
      </c>
      <c r="G635" s="903"/>
    </row>
    <row r="636" spans="1:7" ht="15" customHeight="1" x14ac:dyDescent="0.25">
      <c r="A636" s="2352" t="s">
        <v>8025</v>
      </c>
      <c r="B636" s="2352" t="s">
        <v>15712</v>
      </c>
      <c r="C636" s="2352" t="s">
        <v>15712</v>
      </c>
      <c r="D636" s="2352" t="s">
        <v>16344</v>
      </c>
      <c r="E636" s="355">
        <v>30</v>
      </c>
      <c r="F636" s="1662">
        <v>10</v>
      </c>
      <c r="G636" s="903"/>
    </row>
    <row r="637" spans="1:7" ht="15" customHeight="1" x14ac:dyDescent="0.25">
      <c r="A637" s="2352" t="s">
        <v>16345</v>
      </c>
      <c r="B637" s="2352" t="s">
        <v>15712</v>
      </c>
      <c r="C637" s="2352" t="s">
        <v>15712</v>
      </c>
      <c r="D637" s="2352" t="s">
        <v>16346</v>
      </c>
      <c r="E637" s="355">
        <v>30</v>
      </c>
      <c r="F637" s="1662">
        <v>10</v>
      </c>
      <c r="G637" s="903"/>
    </row>
    <row r="638" spans="1:7" ht="15" customHeight="1" x14ac:dyDescent="0.25">
      <c r="A638" s="2352" t="s">
        <v>16347</v>
      </c>
      <c r="B638" s="2352" t="s">
        <v>15712</v>
      </c>
      <c r="C638" s="2352" t="s">
        <v>15712</v>
      </c>
      <c r="D638" s="2352" t="s">
        <v>16348</v>
      </c>
      <c r="E638" s="355">
        <v>30</v>
      </c>
      <c r="F638" s="1662">
        <v>10</v>
      </c>
      <c r="G638" s="903"/>
    </row>
    <row r="639" spans="1:7" ht="15" customHeight="1" x14ac:dyDescent="0.25">
      <c r="A639" s="2352" t="s">
        <v>16248</v>
      </c>
      <c r="B639" s="2352" t="s">
        <v>15712</v>
      </c>
      <c r="C639" s="2352" t="s">
        <v>15712</v>
      </c>
      <c r="D639" s="2352" t="s">
        <v>16349</v>
      </c>
      <c r="E639" s="355">
        <v>100</v>
      </c>
      <c r="F639" s="1662">
        <v>15</v>
      </c>
      <c r="G639" s="903"/>
    </row>
    <row r="640" spans="1:7" ht="15" customHeight="1" x14ac:dyDescent="0.25">
      <c r="A640" s="2352" t="s">
        <v>15790</v>
      </c>
      <c r="B640" s="2352" t="s">
        <v>15712</v>
      </c>
      <c r="C640" s="2352" t="s">
        <v>15712</v>
      </c>
      <c r="D640" s="2352" t="s">
        <v>16350</v>
      </c>
      <c r="E640" s="355">
        <v>63</v>
      </c>
      <c r="F640" s="1662">
        <v>20</v>
      </c>
      <c r="G640" s="903"/>
    </row>
    <row r="641" spans="1:7" ht="15" customHeight="1" x14ac:dyDescent="0.25">
      <c r="A641" s="2352" t="s">
        <v>16351</v>
      </c>
      <c r="B641" s="2352" t="s">
        <v>15712</v>
      </c>
      <c r="C641" s="2352" t="s">
        <v>15712</v>
      </c>
      <c r="D641" s="2352" t="s">
        <v>16352</v>
      </c>
      <c r="E641" s="355">
        <v>50</v>
      </c>
      <c r="F641" s="1662">
        <v>25</v>
      </c>
      <c r="G641" s="903"/>
    </row>
    <row r="642" spans="1:7" ht="15" customHeight="1" x14ac:dyDescent="0.25">
      <c r="A642" s="2352" t="s">
        <v>4764</v>
      </c>
      <c r="B642" s="2352" t="s">
        <v>15712</v>
      </c>
      <c r="C642" s="2352" t="s">
        <v>15712</v>
      </c>
      <c r="D642" s="2352" t="s">
        <v>16353</v>
      </c>
      <c r="E642" s="355">
        <v>100</v>
      </c>
      <c r="F642" s="1662">
        <v>40</v>
      </c>
      <c r="G642" s="903"/>
    </row>
    <row r="643" spans="1:7" ht="15" customHeight="1" x14ac:dyDescent="0.25">
      <c r="A643" s="2352" t="s">
        <v>16354</v>
      </c>
      <c r="B643" s="2352" t="s">
        <v>15712</v>
      </c>
      <c r="C643" s="2352" t="s">
        <v>15712</v>
      </c>
      <c r="D643" s="2352" t="s">
        <v>16355</v>
      </c>
      <c r="E643" s="355">
        <v>30</v>
      </c>
      <c r="F643" s="1662">
        <v>10</v>
      </c>
      <c r="G643" s="903"/>
    </row>
    <row r="644" spans="1:7" ht="15" customHeight="1" x14ac:dyDescent="0.25">
      <c r="A644" s="2352" t="s">
        <v>8065</v>
      </c>
      <c r="B644" s="2352" t="s">
        <v>15712</v>
      </c>
      <c r="C644" s="2352" t="s">
        <v>15712</v>
      </c>
      <c r="D644" s="2352" t="s">
        <v>16356</v>
      </c>
      <c r="E644" s="355">
        <v>25</v>
      </c>
      <c r="F644" s="1662">
        <v>10</v>
      </c>
      <c r="G644" s="903"/>
    </row>
    <row r="645" spans="1:7" ht="15" customHeight="1" x14ac:dyDescent="0.25">
      <c r="A645" s="2352" t="s">
        <v>14058</v>
      </c>
      <c r="B645" s="2352" t="s">
        <v>5552</v>
      </c>
      <c r="C645" s="2352" t="s">
        <v>5552</v>
      </c>
      <c r="D645" s="2352" t="s">
        <v>5553</v>
      </c>
      <c r="E645" s="355">
        <v>160</v>
      </c>
      <c r="F645" s="1662">
        <v>40</v>
      </c>
      <c r="G645" s="903"/>
    </row>
    <row r="646" spans="1:7" ht="15" customHeight="1" x14ac:dyDescent="0.25">
      <c r="A646" s="2352" t="s">
        <v>14058</v>
      </c>
      <c r="B646" s="2352" t="s">
        <v>5552</v>
      </c>
      <c r="C646" s="2352" t="s">
        <v>5552</v>
      </c>
      <c r="D646" s="2352" t="s">
        <v>5554</v>
      </c>
      <c r="E646" s="355">
        <v>160</v>
      </c>
      <c r="F646" s="1662">
        <v>30</v>
      </c>
      <c r="G646" s="903"/>
    </row>
    <row r="647" spans="1:7" ht="15" customHeight="1" x14ac:dyDescent="0.25">
      <c r="A647" s="2352" t="s">
        <v>14058</v>
      </c>
      <c r="B647" s="2352" t="s">
        <v>5552</v>
      </c>
      <c r="C647" s="2352" t="s">
        <v>5552</v>
      </c>
      <c r="D647" s="2352" t="s">
        <v>5555</v>
      </c>
      <c r="E647" s="355">
        <v>100</v>
      </c>
      <c r="F647" s="1662">
        <v>0</v>
      </c>
      <c r="G647" s="903"/>
    </row>
    <row r="648" spans="1:7" ht="15" customHeight="1" x14ac:dyDescent="0.25">
      <c r="A648" s="2352" t="s">
        <v>14058</v>
      </c>
      <c r="B648" s="2352" t="s">
        <v>5552</v>
      </c>
      <c r="C648" s="2352" t="s">
        <v>5552</v>
      </c>
      <c r="D648" s="2352" t="s">
        <v>5556</v>
      </c>
      <c r="E648" s="355">
        <v>160</v>
      </c>
      <c r="F648" s="1662">
        <v>30</v>
      </c>
      <c r="G648" s="903"/>
    </row>
    <row r="649" spans="1:7" ht="15" customHeight="1" x14ac:dyDescent="0.25">
      <c r="A649" s="2352" t="s">
        <v>14058</v>
      </c>
      <c r="B649" s="2352" t="s">
        <v>5552</v>
      </c>
      <c r="C649" s="2352" t="s">
        <v>5552</v>
      </c>
      <c r="D649" s="2352" t="s">
        <v>5557</v>
      </c>
      <c r="E649" s="355" t="s">
        <v>5558</v>
      </c>
      <c r="F649" s="1662">
        <v>90</v>
      </c>
      <c r="G649" s="903"/>
    </row>
    <row r="650" spans="1:7" ht="15" customHeight="1" x14ac:dyDescent="0.25">
      <c r="A650" s="2352" t="s">
        <v>14058</v>
      </c>
      <c r="B650" s="2352" t="s">
        <v>5552</v>
      </c>
      <c r="C650" s="2352" t="s">
        <v>5552</v>
      </c>
      <c r="D650" s="2352" t="s">
        <v>5559</v>
      </c>
      <c r="E650" s="355">
        <v>320</v>
      </c>
      <c r="F650" s="1662">
        <v>35</v>
      </c>
      <c r="G650" s="903"/>
    </row>
    <row r="651" spans="1:7" ht="15" customHeight="1" x14ac:dyDescent="0.25">
      <c r="A651" s="2352" t="s">
        <v>14058</v>
      </c>
      <c r="B651" s="2352" t="s">
        <v>5552</v>
      </c>
      <c r="C651" s="2352" t="s">
        <v>5552</v>
      </c>
      <c r="D651" s="2352" t="s">
        <v>5560</v>
      </c>
      <c r="E651" s="355">
        <v>250</v>
      </c>
      <c r="F651" s="1662">
        <v>0</v>
      </c>
      <c r="G651" s="903"/>
    </row>
    <row r="652" spans="1:7" ht="15" customHeight="1" x14ac:dyDescent="0.25">
      <c r="A652" s="2352" t="s">
        <v>14058</v>
      </c>
      <c r="B652" s="2352" t="s">
        <v>5552</v>
      </c>
      <c r="C652" s="2352" t="s">
        <v>5552</v>
      </c>
      <c r="D652" s="2352" t="s">
        <v>5561</v>
      </c>
      <c r="E652" s="355">
        <v>400</v>
      </c>
      <c r="F652" s="1662">
        <v>15</v>
      </c>
      <c r="G652" s="903"/>
    </row>
    <row r="653" spans="1:7" ht="15" customHeight="1" x14ac:dyDescent="0.25">
      <c r="A653" s="2352" t="s">
        <v>5562</v>
      </c>
      <c r="B653" s="2352" t="s">
        <v>5552</v>
      </c>
      <c r="C653" s="2352" t="s">
        <v>5552</v>
      </c>
      <c r="D653" s="2352" t="s">
        <v>5563</v>
      </c>
      <c r="E653" s="355">
        <v>63</v>
      </c>
      <c r="F653" s="1662">
        <v>25</v>
      </c>
      <c r="G653" s="903"/>
    </row>
    <row r="654" spans="1:7" ht="15" customHeight="1" x14ac:dyDescent="0.25">
      <c r="A654" s="2352" t="s">
        <v>5564</v>
      </c>
      <c r="B654" s="2352" t="s">
        <v>5552</v>
      </c>
      <c r="C654" s="2352" t="s">
        <v>5552</v>
      </c>
      <c r="D654" s="2352" t="s">
        <v>5565</v>
      </c>
      <c r="E654" s="355">
        <v>40</v>
      </c>
      <c r="F654" s="1662">
        <v>0</v>
      </c>
      <c r="G654" s="903"/>
    </row>
    <row r="655" spans="1:7" ht="15" customHeight="1" x14ac:dyDescent="0.25">
      <c r="A655" s="2352" t="s">
        <v>14059</v>
      </c>
      <c r="B655" s="2352" t="s">
        <v>5552</v>
      </c>
      <c r="C655" s="2352" t="s">
        <v>5552</v>
      </c>
      <c r="D655" s="2352" t="s">
        <v>5566</v>
      </c>
      <c r="E655" s="355">
        <v>160</v>
      </c>
      <c r="F655" s="1662">
        <v>25</v>
      </c>
      <c r="G655" s="903"/>
    </row>
    <row r="656" spans="1:7" ht="15" customHeight="1" x14ac:dyDescent="0.25">
      <c r="A656" s="2352" t="s">
        <v>14060</v>
      </c>
      <c r="B656" s="2352" t="s">
        <v>5552</v>
      </c>
      <c r="C656" s="2352" t="s">
        <v>5552</v>
      </c>
      <c r="D656" s="2352" t="s">
        <v>5567</v>
      </c>
      <c r="E656" s="355">
        <v>20</v>
      </c>
      <c r="F656" s="1662">
        <v>0</v>
      </c>
      <c r="G656" s="903"/>
    </row>
    <row r="657" spans="1:7" ht="15" customHeight="1" x14ac:dyDescent="0.25">
      <c r="A657" s="2352" t="s">
        <v>5568</v>
      </c>
      <c r="B657" s="2352" t="s">
        <v>5552</v>
      </c>
      <c r="C657" s="2352" t="s">
        <v>5552</v>
      </c>
      <c r="D657" s="2352" t="s">
        <v>5569</v>
      </c>
      <c r="E657" s="355">
        <v>100</v>
      </c>
      <c r="F657" s="1662">
        <v>35</v>
      </c>
      <c r="G657" s="903"/>
    </row>
    <row r="658" spans="1:7" ht="15" customHeight="1" x14ac:dyDescent="0.25">
      <c r="A658" s="2352" t="s">
        <v>5570</v>
      </c>
      <c r="B658" s="2352" t="s">
        <v>5552</v>
      </c>
      <c r="C658" s="2352" t="s">
        <v>5552</v>
      </c>
      <c r="D658" s="2352" t="s">
        <v>5571</v>
      </c>
      <c r="E658" s="355">
        <v>50</v>
      </c>
      <c r="F658" s="1662">
        <v>35</v>
      </c>
      <c r="G658" s="903"/>
    </row>
    <row r="659" spans="1:7" ht="15" customHeight="1" x14ac:dyDescent="0.25">
      <c r="A659" s="2352" t="s">
        <v>14061</v>
      </c>
      <c r="B659" s="2352" t="s">
        <v>5552</v>
      </c>
      <c r="C659" s="2352" t="s">
        <v>5552</v>
      </c>
      <c r="D659" s="2352" t="s">
        <v>5572</v>
      </c>
      <c r="E659" s="355">
        <v>63</v>
      </c>
      <c r="F659" s="1662">
        <v>40</v>
      </c>
      <c r="G659" s="903"/>
    </row>
    <row r="660" spans="1:7" ht="15" customHeight="1" x14ac:dyDescent="0.25">
      <c r="A660" s="2352" t="s">
        <v>5573</v>
      </c>
      <c r="B660" s="2352" t="s">
        <v>5552</v>
      </c>
      <c r="C660" s="2352" t="s">
        <v>5552</v>
      </c>
      <c r="D660" s="2352" t="s">
        <v>5574</v>
      </c>
      <c r="E660" s="355">
        <v>40</v>
      </c>
      <c r="F660" s="1662">
        <v>5</v>
      </c>
      <c r="G660" s="903"/>
    </row>
    <row r="661" spans="1:7" ht="15" customHeight="1" x14ac:dyDescent="0.25">
      <c r="A661" s="2352" t="s">
        <v>14062</v>
      </c>
      <c r="B661" s="2352" t="s">
        <v>5552</v>
      </c>
      <c r="C661" s="2352" t="s">
        <v>5552</v>
      </c>
      <c r="D661" s="2352" t="s">
        <v>5575</v>
      </c>
      <c r="E661" s="355">
        <v>180</v>
      </c>
      <c r="F661" s="1662">
        <v>15</v>
      </c>
      <c r="G661" s="903"/>
    </row>
    <row r="662" spans="1:7" ht="15" customHeight="1" x14ac:dyDescent="0.25">
      <c r="A662" s="2352" t="s">
        <v>9367</v>
      </c>
      <c r="B662" s="2352" t="s">
        <v>5552</v>
      </c>
      <c r="C662" s="2352" t="s">
        <v>5552</v>
      </c>
      <c r="D662" s="2352" t="s">
        <v>5576</v>
      </c>
      <c r="E662" s="355">
        <v>10</v>
      </c>
      <c r="F662" s="1662">
        <v>0</v>
      </c>
      <c r="G662" s="903"/>
    </row>
    <row r="663" spans="1:7" ht="15" customHeight="1" x14ac:dyDescent="0.25">
      <c r="A663" s="2352" t="s">
        <v>6552</v>
      </c>
      <c r="B663" s="2352" t="s">
        <v>5552</v>
      </c>
      <c r="C663" s="2352" t="s">
        <v>5552</v>
      </c>
      <c r="D663" s="2352" t="s">
        <v>5577</v>
      </c>
      <c r="E663" s="355">
        <v>60</v>
      </c>
      <c r="F663" s="1662">
        <v>0</v>
      </c>
      <c r="G663" s="903"/>
    </row>
    <row r="664" spans="1:7" ht="15" customHeight="1" x14ac:dyDescent="0.25">
      <c r="A664" s="2352" t="s">
        <v>14063</v>
      </c>
      <c r="B664" s="2352" t="s">
        <v>5552</v>
      </c>
      <c r="C664" s="2352" t="s">
        <v>5552</v>
      </c>
      <c r="D664" s="2352" t="s">
        <v>5578</v>
      </c>
      <c r="E664" s="355">
        <v>60</v>
      </c>
      <c r="F664" s="1662">
        <v>5</v>
      </c>
      <c r="G664" s="903"/>
    </row>
    <row r="665" spans="1:7" ht="15" customHeight="1" x14ac:dyDescent="0.25">
      <c r="A665" s="2352" t="s">
        <v>14064</v>
      </c>
      <c r="B665" s="2352" t="s">
        <v>5552</v>
      </c>
      <c r="C665" s="2352" t="s">
        <v>5552</v>
      </c>
      <c r="D665" s="2352" t="s">
        <v>5579</v>
      </c>
      <c r="E665" s="355">
        <v>400</v>
      </c>
      <c r="F665" s="1662">
        <v>90</v>
      </c>
      <c r="G665" s="903"/>
    </row>
    <row r="666" spans="1:7" ht="15" customHeight="1" x14ac:dyDescent="0.25">
      <c r="A666" s="2352" t="s">
        <v>14064</v>
      </c>
      <c r="B666" s="2352" t="s">
        <v>5552</v>
      </c>
      <c r="C666" s="2352" t="s">
        <v>5552</v>
      </c>
      <c r="D666" s="2352" t="s">
        <v>5580</v>
      </c>
      <c r="E666" s="355">
        <v>250</v>
      </c>
      <c r="F666" s="1662">
        <v>190</v>
      </c>
      <c r="G666" s="903"/>
    </row>
    <row r="667" spans="1:7" ht="15" customHeight="1" x14ac:dyDescent="0.25">
      <c r="A667" s="2352" t="s">
        <v>14065</v>
      </c>
      <c r="B667" s="2352" t="s">
        <v>5552</v>
      </c>
      <c r="C667" s="2352" t="s">
        <v>5552</v>
      </c>
      <c r="D667" s="2352" t="s">
        <v>5581</v>
      </c>
      <c r="E667" s="355">
        <v>60</v>
      </c>
      <c r="F667" s="1662">
        <v>0</v>
      </c>
      <c r="G667" s="903"/>
    </row>
    <row r="668" spans="1:7" ht="15" customHeight="1" x14ac:dyDescent="0.25">
      <c r="A668" s="2352" t="s">
        <v>14064</v>
      </c>
      <c r="B668" s="2352" t="s">
        <v>5552</v>
      </c>
      <c r="C668" s="2352" t="s">
        <v>5552</v>
      </c>
      <c r="D668" s="2352" t="s">
        <v>5582</v>
      </c>
      <c r="E668" s="355">
        <v>250</v>
      </c>
      <c r="F668" s="1662">
        <v>30</v>
      </c>
      <c r="G668" s="903"/>
    </row>
    <row r="669" spans="1:7" ht="15" customHeight="1" x14ac:dyDescent="0.25">
      <c r="A669" s="2352" t="s">
        <v>14064</v>
      </c>
      <c r="B669" s="2352" t="s">
        <v>5552</v>
      </c>
      <c r="C669" s="2352" t="s">
        <v>5552</v>
      </c>
      <c r="D669" s="2352" t="s">
        <v>5583</v>
      </c>
      <c r="E669" s="355">
        <v>100</v>
      </c>
      <c r="F669" s="1662">
        <v>30</v>
      </c>
      <c r="G669" s="903"/>
    </row>
    <row r="670" spans="1:7" ht="15" customHeight="1" x14ac:dyDescent="0.25">
      <c r="A670" s="2352" t="s">
        <v>14064</v>
      </c>
      <c r="B670" s="2352" t="s">
        <v>5552</v>
      </c>
      <c r="C670" s="2352" t="s">
        <v>5552</v>
      </c>
      <c r="D670" s="2352" t="s">
        <v>5584</v>
      </c>
      <c r="E670" s="355">
        <v>60</v>
      </c>
      <c r="F670" s="1662">
        <v>25</v>
      </c>
      <c r="G670" s="903"/>
    </row>
    <row r="671" spans="1:7" ht="15" customHeight="1" x14ac:dyDescent="0.25">
      <c r="A671" s="2352" t="s">
        <v>14066</v>
      </c>
      <c r="B671" s="2352" t="s">
        <v>5552</v>
      </c>
      <c r="C671" s="2352" t="s">
        <v>5552</v>
      </c>
      <c r="D671" s="2352" t="s">
        <v>5585</v>
      </c>
      <c r="E671" s="355">
        <v>100</v>
      </c>
      <c r="F671" s="1662">
        <v>10</v>
      </c>
      <c r="G671" s="903"/>
    </row>
    <row r="672" spans="1:7" ht="15" customHeight="1" x14ac:dyDescent="0.25">
      <c r="A672" s="2352" t="s">
        <v>14066</v>
      </c>
      <c r="B672" s="2352" t="s">
        <v>5552</v>
      </c>
      <c r="C672" s="2352" t="s">
        <v>5552</v>
      </c>
      <c r="D672" s="2352" t="s">
        <v>5586</v>
      </c>
      <c r="E672" s="355">
        <v>160</v>
      </c>
      <c r="F672" s="1662">
        <v>30</v>
      </c>
      <c r="G672" s="903"/>
    </row>
    <row r="673" spans="1:7" ht="15" customHeight="1" x14ac:dyDescent="0.25">
      <c r="A673" s="2352" t="s">
        <v>14066</v>
      </c>
      <c r="B673" s="2352" t="s">
        <v>5552</v>
      </c>
      <c r="C673" s="2352" t="s">
        <v>5552</v>
      </c>
      <c r="D673" s="2352" t="s">
        <v>5587</v>
      </c>
      <c r="E673" s="355">
        <v>100</v>
      </c>
      <c r="F673" s="1662">
        <v>35</v>
      </c>
      <c r="G673" s="903"/>
    </row>
    <row r="674" spans="1:7" ht="15" customHeight="1" x14ac:dyDescent="0.25">
      <c r="A674" s="2352" t="s">
        <v>4253</v>
      </c>
      <c r="B674" s="2352" t="s">
        <v>5552</v>
      </c>
      <c r="C674" s="2352" t="s">
        <v>5552</v>
      </c>
      <c r="D674" s="2352" t="s">
        <v>5588</v>
      </c>
      <c r="E674" s="355">
        <v>250</v>
      </c>
      <c r="F674" s="1662">
        <v>200</v>
      </c>
      <c r="G674" s="903"/>
    </row>
    <row r="675" spans="1:7" ht="15" customHeight="1" x14ac:dyDescent="0.25">
      <c r="A675" s="2352" t="s">
        <v>4253</v>
      </c>
      <c r="B675" s="2352" t="s">
        <v>5552</v>
      </c>
      <c r="C675" s="2352" t="s">
        <v>5552</v>
      </c>
      <c r="D675" s="2352" t="s">
        <v>5589</v>
      </c>
      <c r="E675" s="355">
        <v>60</v>
      </c>
      <c r="F675" s="1662">
        <v>10</v>
      </c>
      <c r="G675" s="903"/>
    </row>
    <row r="676" spans="1:7" ht="15" customHeight="1" x14ac:dyDescent="0.25">
      <c r="A676" s="2352" t="s">
        <v>4253</v>
      </c>
      <c r="B676" s="2352" t="s">
        <v>5552</v>
      </c>
      <c r="C676" s="2352" t="s">
        <v>5552</v>
      </c>
      <c r="D676" s="2352" t="s">
        <v>5590</v>
      </c>
      <c r="E676" s="355">
        <v>100</v>
      </c>
      <c r="F676" s="1662">
        <v>0</v>
      </c>
      <c r="G676" s="903"/>
    </row>
    <row r="677" spans="1:7" ht="15" customHeight="1" x14ac:dyDescent="0.25">
      <c r="A677" s="2352" t="s">
        <v>4253</v>
      </c>
      <c r="B677" s="2352" t="s">
        <v>5552</v>
      </c>
      <c r="C677" s="2352" t="s">
        <v>5552</v>
      </c>
      <c r="D677" s="2352" t="s">
        <v>5591</v>
      </c>
      <c r="E677" s="355">
        <v>160</v>
      </c>
      <c r="F677" s="1662">
        <v>35</v>
      </c>
      <c r="G677" s="903"/>
    </row>
    <row r="678" spans="1:7" ht="15" customHeight="1" x14ac:dyDescent="0.25">
      <c r="A678" s="2352" t="s">
        <v>4253</v>
      </c>
      <c r="B678" s="2352" t="s">
        <v>5552</v>
      </c>
      <c r="C678" s="2352" t="s">
        <v>5552</v>
      </c>
      <c r="D678" s="2352" t="s">
        <v>5592</v>
      </c>
      <c r="E678" s="355">
        <v>100</v>
      </c>
      <c r="F678" s="1662">
        <v>20</v>
      </c>
      <c r="G678" s="903"/>
    </row>
    <row r="679" spans="1:7" ht="15" customHeight="1" x14ac:dyDescent="0.25">
      <c r="A679" s="2352" t="s">
        <v>14066</v>
      </c>
      <c r="B679" s="2352" t="s">
        <v>5552</v>
      </c>
      <c r="C679" s="2352" t="s">
        <v>5552</v>
      </c>
      <c r="D679" s="2352" t="s">
        <v>5593</v>
      </c>
      <c r="E679" s="355">
        <v>160</v>
      </c>
      <c r="F679" s="1662">
        <v>0</v>
      </c>
      <c r="G679" s="903"/>
    </row>
    <row r="680" spans="1:7" ht="15" customHeight="1" x14ac:dyDescent="0.25">
      <c r="A680" s="2352" t="s">
        <v>14066</v>
      </c>
      <c r="B680" s="2352" t="s">
        <v>5552</v>
      </c>
      <c r="C680" s="2352" t="s">
        <v>5552</v>
      </c>
      <c r="D680" s="2352" t="s">
        <v>5594</v>
      </c>
      <c r="E680" s="355">
        <v>100</v>
      </c>
      <c r="F680" s="1662">
        <v>0</v>
      </c>
      <c r="G680" s="903"/>
    </row>
    <row r="681" spans="1:7" ht="15" customHeight="1" x14ac:dyDescent="0.25">
      <c r="A681" s="2352" t="s">
        <v>14066</v>
      </c>
      <c r="B681" s="2352" t="s">
        <v>5552</v>
      </c>
      <c r="C681" s="2352" t="s">
        <v>5552</v>
      </c>
      <c r="D681" s="2352" t="s">
        <v>5595</v>
      </c>
      <c r="E681" s="355">
        <v>160</v>
      </c>
      <c r="F681" s="1662">
        <v>0</v>
      </c>
      <c r="G681" s="903"/>
    </row>
    <row r="682" spans="1:7" ht="15" customHeight="1" x14ac:dyDescent="0.25">
      <c r="A682" s="2352" t="s">
        <v>14066</v>
      </c>
      <c r="B682" s="2352" t="s">
        <v>5552</v>
      </c>
      <c r="C682" s="2352" t="s">
        <v>5552</v>
      </c>
      <c r="D682" s="2352" t="s">
        <v>5596</v>
      </c>
      <c r="E682" s="355">
        <v>100</v>
      </c>
      <c r="F682" s="1662">
        <v>5</v>
      </c>
      <c r="G682" s="903"/>
    </row>
    <row r="683" spans="1:7" ht="15" customHeight="1" x14ac:dyDescent="0.25">
      <c r="A683" s="2352" t="s">
        <v>14067</v>
      </c>
      <c r="B683" s="2352" t="s">
        <v>5552</v>
      </c>
      <c r="C683" s="2352" t="s">
        <v>5552</v>
      </c>
      <c r="D683" s="2352" t="s">
        <v>5597</v>
      </c>
      <c r="E683" s="355">
        <v>100</v>
      </c>
      <c r="F683" s="1662">
        <v>25</v>
      </c>
      <c r="G683" s="903"/>
    </row>
    <row r="684" spans="1:7" ht="15" customHeight="1" x14ac:dyDescent="0.25">
      <c r="A684" s="2352" t="s">
        <v>14068</v>
      </c>
      <c r="B684" s="2352" t="s">
        <v>5552</v>
      </c>
      <c r="C684" s="2352" t="s">
        <v>5552</v>
      </c>
      <c r="D684" s="2352" t="s">
        <v>5598</v>
      </c>
      <c r="E684" s="355" t="s">
        <v>5599</v>
      </c>
      <c r="F684" s="1662">
        <v>10</v>
      </c>
      <c r="G684" s="903"/>
    </row>
    <row r="685" spans="1:7" ht="15" customHeight="1" x14ac:dyDescent="0.25">
      <c r="A685" s="2352" t="s">
        <v>14069</v>
      </c>
      <c r="B685" s="2352" t="s">
        <v>5552</v>
      </c>
      <c r="C685" s="2352" t="s">
        <v>5552</v>
      </c>
      <c r="D685" s="2352" t="s">
        <v>5600</v>
      </c>
      <c r="E685" s="355">
        <v>10</v>
      </c>
      <c r="F685" s="1662">
        <v>0</v>
      </c>
      <c r="G685" s="903"/>
    </row>
    <row r="686" spans="1:7" ht="15" customHeight="1" x14ac:dyDescent="0.25">
      <c r="A686" s="2352" t="s">
        <v>14070</v>
      </c>
      <c r="B686" s="2352" t="s">
        <v>5552</v>
      </c>
      <c r="C686" s="2352" t="s">
        <v>5552</v>
      </c>
      <c r="D686" s="2352" t="s">
        <v>5601</v>
      </c>
      <c r="E686" s="355">
        <v>100</v>
      </c>
      <c r="F686" s="1662">
        <v>15</v>
      </c>
      <c r="G686" s="903"/>
    </row>
    <row r="687" spans="1:7" ht="15" customHeight="1" x14ac:dyDescent="0.25">
      <c r="A687" s="2352" t="s">
        <v>14071</v>
      </c>
      <c r="B687" s="2352" t="s">
        <v>5552</v>
      </c>
      <c r="C687" s="2352" t="s">
        <v>5552</v>
      </c>
      <c r="D687" s="2352" t="s">
        <v>5602</v>
      </c>
      <c r="E687" s="355">
        <v>10</v>
      </c>
      <c r="F687" s="1662">
        <v>0</v>
      </c>
      <c r="G687" s="903"/>
    </row>
    <row r="688" spans="1:7" ht="15" customHeight="1" x14ac:dyDescent="0.25">
      <c r="A688" s="2352" t="s">
        <v>14072</v>
      </c>
      <c r="B688" s="2352" t="s">
        <v>5552</v>
      </c>
      <c r="C688" s="2352" t="s">
        <v>5552</v>
      </c>
      <c r="D688" s="2352" t="s">
        <v>5603</v>
      </c>
      <c r="E688" s="355">
        <v>60</v>
      </c>
      <c r="F688" s="1662">
        <v>40</v>
      </c>
      <c r="G688" s="903"/>
    </row>
    <row r="689" spans="1:7" ht="15" customHeight="1" x14ac:dyDescent="0.25">
      <c r="A689" s="2352" t="s">
        <v>3836</v>
      </c>
      <c r="B689" s="2352" t="s">
        <v>5552</v>
      </c>
      <c r="C689" s="2352" t="s">
        <v>5552</v>
      </c>
      <c r="D689" s="2352" t="s">
        <v>5604</v>
      </c>
      <c r="E689" s="355">
        <v>100</v>
      </c>
      <c r="F689" s="1662">
        <v>35</v>
      </c>
      <c r="G689" s="903"/>
    </row>
    <row r="690" spans="1:7" ht="15" customHeight="1" x14ac:dyDescent="0.25">
      <c r="A690" s="2352" t="s">
        <v>14073</v>
      </c>
      <c r="B690" s="2352" t="s">
        <v>5552</v>
      </c>
      <c r="C690" s="2352" t="s">
        <v>5552</v>
      </c>
      <c r="D690" s="2352" t="s">
        <v>5605</v>
      </c>
      <c r="E690" s="355">
        <v>100</v>
      </c>
      <c r="F690" s="1662">
        <v>25</v>
      </c>
      <c r="G690" s="903"/>
    </row>
    <row r="691" spans="1:7" ht="15" customHeight="1" x14ac:dyDescent="0.25">
      <c r="A691" s="2352" t="s">
        <v>14074</v>
      </c>
      <c r="B691" s="2352" t="s">
        <v>5552</v>
      </c>
      <c r="C691" s="2352" t="s">
        <v>5552</v>
      </c>
      <c r="D691" s="2352" t="s">
        <v>5606</v>
      </c>
      <c r="E691" s="355">
        <v>10</v>
      </c>
      <c r="F691" s="1662">
        <v>0</v>
      </c>
      <c r="G691" s="903"/>
    </row>
    <row r="692" spans="1:7" ht="15" customHeight="1" x14ac:dyDescent="0.25">
      <c r="A692" s="2352" t="s">
        <v>14075</v>
      </c>
      <c r="B692" s="2352" t="s">
        <v>5552</v>
      </c>
      <c r="C692" s="2352" t="s">
        <v>5552</v>
      </c>
      <c r="D692" s="2352" t="s">
        <v>5607</v>
      </c>
      <c r="E692" s="355">
        <v>60</v>
      </c>
      <c r="F692" s="1662">
        <v>0</v>
      </c>
      <c r="G692" s="903"/>
    </row>
    <row r="693" spans="1:7" ht="15" customHeight="1" x14ac:dyDescent="0.25">
      <c r="A693" s="2352" t="s">
        <v>4838</v>
      </c>
      <c r="B693" s="2352" t="s">
        <v>5552</v>
      </c>
      <c r="C693" s="2352" t="s">
        <v>5552</v>
      </c>
      <c r="D693" s="2352" t="s">
        <v>5608</v>
      </c>
      <c r="E693" s="355">
        <v>60</v>
      </c>
      <c r="F693" s="1662">
        <v>15</v>
      </c>
      <c r="G693" s="903"/>
    </row>
    <row r="694" spans="1:7" ht="15" customHeight="1" x14ac:dyDescent="0.25">
      <c r="A694" s="2352" t="s">
        <v>4374</v>
      </c>
      <c r="B694" s="2352" t="s">
        <v>5552</v>
      </c>
      <c r="C694" s="2352" t="s">
        <v>5552</v>
      </c>
      <c r="D694" s="2352" t="s">
        <v>5609</v>
      </c>
      <c r="E694" s="355">
        <v>160</v>
      </c>
      <c r="F694" s="1662">
        <v>30</v>
      </c>
      <c r="G694" s="903"/>
    </row>
    <row r="695" spans="1:7" ht="15" customHeight="1" x14ac:dyDescent="0.25">
      <c r="A695" s="2352" t="s">
        <v>10934</v>
      </c>
      <c r="B695" s="2352" t="s">
        <v>5552</v>
      </c>
      <c r="C695" s="2352" t="s">
        <v>5552</v>
      </c>
      <c r="D695" s="2352" t="s">
        <v>5610</v>
      </c>
      <c r="E695" s="355">
        <v>60</v>
      </c>
      <c r="F695" s="1662">
        <v>25</v>
      </c>
      <c r="G695" s="903"/>
    </row>
    <row r="696" spans="1:7" ht="15" customHeight="1" x14ac:dyDescent="0.25">
      <c r="A696" s="2352" t="s">
        <v>14076</v>
      </c>
      <c r="B696" s="2352" t="s">
        <v>5552</v>
      </c>
      <c r="C696" s="2352" t="s">
        <v>5552</v>
      </c>
      <c r="D696" s="2352" t="s">
        <v>5611</v>
      </c>
      <c r="E696" s="355">
        <v>250</v>
      </c>
      <c r="F696" s="1662">
        <v>165</v>
      </c>
      <c r="G696" s="903"/>
    </row>
    <row r="697" spans="1:7" ht="15" customHeight="1" x14ac:dyDescent="0.25">
      <c r="A697" s="2352" t="s">
        <v>3824</v>
      </c>
      <c r="B697" s="2352" t="s">
        <v>5552</v>
      </c>
      <c r="C697" s="2352" t="s">
        <v>5552</v>
      </c>
      <c r="D697" s="2352" t="s">
        <v>5612</v>
      </c>
      <c r="E697" s="355">
        <v>30</v>
      </c>
      <c r="F697" s="1662">
        <v>0</v>
      </c>
      <c r="G697" s="903"/>
    </row>
    <row r="698" spans="1:7" ht="15" customHeight="1" x14ac:dyDescent="0.25">
      <c r="A698" s="2352" t="s">
        <v>14077</v>
      </c>
      <c r="B698" s="2352" t="s">
        <v>5552</v>
      </c>
      <c r="C698" s="2352" t="s">
        <v>5552</v>
      </c>
      <c r="D698" s="2352" t="s">
        <v>5613</v>
      </c>
      <c r="E698" s="355">
        <v>100</v>
      </c>
      <c r="F698" s="1662">
        <v>8</v>
      </c>
      <c r="G698" s="903"/>
    </row>
    <row r="699" spans="1:7" ht="15" customHeight="1" x14ac:dyDescent="0.25">
      <c r="A699" s="2352" t="s">
        <v>14078</v>
      </c>
      <c r="B699" s="2352" t="s">
        <v>5552</v>
      </c>
      <c r="C699" s="2352" t="s">
        <v>5552</v>
      </c>
      <c r="D699" s="2352" t="s">
        <v>5614</v>
      </c>
      <c r="E699" s="355">
        <v>20</v>
      </c>
      <c r="F699" s="1662">
        <v>3</v>
      </c>
      <c r="G699" s="903"/>
    </row>
    <row r="700" spans="1:7" ht="15" customHeight="1" x14ac:dyDescent="0.25">
      <c r="A700" s="2352" t="s">
        <v>14078</v>
      </c>
      <c r="B700" s="2352" t="s">
        <v>5552</v>
      </c>
      <c r="C700" s="2352" t="s">
        <v>5552</v>
      </c>
      <c r="D700" s="2352" t="s">
        <v>5615</v>
      </c>
      <c r="E700" s="355">
        <v>40</v>
      </c>
      <c r="F700" s="1662">
        <v>0</v>
      </c>
      <c r="G700" s="903"/>
    </row>
    <row r="701" spans="1:7" ht="15" customHeight="1" x14ac:dyDescent="0.25">
      <c r="A701" s="2352" t="s">
        <v>14079</v>
      </c>
      <c r="B701" s="2352" t="s">
        <v>5552</v>
      </c>
      <c r="C701" s="2352" t="s">
        <v>5552</v>
      </c>
      <c r="D701" s="2352" t="s">
        <v>5616</v>
      </c>
      <c r="E701" s="355">
        <v>160</v>
      </c>
      <c r="F701" s="1662">
        <v>0</v>
      </c>
      <c r="G701" s="903"/>
    </row>
    <row r="702" spans="1:7" ht="15" customHeight="1" x14ac:dyDescent="0.25">
      <c r="A702" s="2352" t="s">
        <v>14079</v>
      </c>
      <c r="B702" s="2352" t="s">
        <v>5552</v>
      </c>
      <c r="C702" s="2352" t="s">
        <v>5552</v>
      </c>
      <c r="D702" s="2352" t="s">
        <v>5617</v>
      </c>
      <c r="E702" s="355">
        <v>250</v>
      </c>
      <c r="F702" s="1662">
        <v>60</v>
      </c>
      <c r="G702" s="903"/>
    </row>
    <row r="703" spans="1:7" ht="15" customHeight="1" x14ac:dyDescent="0.25">
      <c r="A703" s="2352" t="s">
        <v>14079</v>
      </c>
      <c r="B703" s="2352" t="s">
        <v>5552</v>
      </c>
      <c r="C703" s="2352" t="s">
        <v>5552</v>
      </c>
      <c r="D703" s="2352" t="s">
        <v>5618</v>
      </c>
      <c r="E703" s="355">
        <v>250</v>
      </c>
      <c r="F703" s="1662">
        <v>55</v>
      </c>
      <c r="G703" s="903"/>
    </row>
    <row r="704" spans="1:7" ht="15" customHeight="1" x14ac:dyDescent="0.25">
      <c r="A704" s="2352" t="s">
        <v>14080</v>
      </c>
      <c r="B704" s="2352" t="s">
        <v>5552</v>
      </c>
      <c r="C704" s="2352" t="s">
        <v>5552</v>
      </c>
      <c r="D704" s="2352" t="s">
        <v>5619</v>
      </c>
      <c r="E704" s="355">
        <v>10</v>
      </c>
      <c r="F704" s="1662">
        <v>0</v>
      </c>
      <c r="G704" s="903"/>
    </row>
    <row r="705" spans="1:7" ht="15" customHeight="1" x14ac:dyDescent="0.25">
      <c r="A705" s="2352" t="s">
        <v>14081</v>
      </c>
      <c r="B705" s="2352" t="s">
        <v>5552</v>
      </c>
      <c r="C705" s="2352" t="s">
        <v>5552</v>
      </c>
      <c r="D705" s="2352" t="s">
        <v>5620</v>
      </c>
      <c r="E705" s="355">
        <v>63</v>
      </c>
      <c r="F705" s="1662">
        <v>0</v>
      </c>
      <c r="G705" s="903"/>
    </row>
    <row r="706" spans="1:7" ht="15" customHeight="1" x14ac:dyDescent="0.25">
      <c r="A706" s="2352" t="s">
        <v>6701</v>
      </c>
      <c r="B706" s="2352" t="s">
        <v>5552</v>
      </c>
      <c r="C706" s="2352" t="s">
        <v>5552</v>
      </c>
      <c r="D706" s="2352" t="s">
        <v>5621</v>
      </c>
      <c r="E706" s="355">
        <v>160</v>
      </c>
      <c r="F706" s="1662">
        <v>20</v>
      </c>
      <c r="G706" s="903"/>
    </row>
    <row r="707" spans="1:7" ht="15" customHeight="1" x14ac:dyDescent="0.25">
      <c r="A707" s="2352" t="s">
        <v>6701</v>
      </c>
      <c r="B707" s="2352" t="s">
        <v>5552</v>
      </c>
      <c r="C707" s="2352" t="s">
        <v>5552</v>
      </c>
      <c r="D707" s="2352" t="s">
        <v>5622</v>
      </c>
      <c r="E707" s="355">
        <v>250</v>
      </c>
      <c r="F707" s="1662">
        <v>20</v>
      </c>
      <c r="G707" s="903"/>
    </row>
    <row r="708" spans="1:7" ht="15" customHeight="1" x14ac:dyDescent="0.25">
      <c r="A708" s="2352" t="s">
        <v>6701</v>
      </c>
      <c r="B708" s="2352" t="s">
        <v>5552</v>
      </c>
      <c r="C708" s="2352" t="s">
        <v>5552</v>
      </c>
      <c r="D708" s="2352" t="s">
        <v>5623</v>
      </c>
      <c r="E708" s="355">
        <v>100</v>
      </c>
      <c r="F708" s="1662">
        <v>25</v>
      </c>
      <c r="G708" s="903"/>
    </row>
    <row r="709" spans="1:7" ht="15" customHeight="1" x14ac:dyDescent="0.25">
      <c r="A709" s="2352" t="s">
        <v>14082</v>
      </c>
      <c r="B709" s="2352" t="s">
        <v>5552</v>
      </c>
      <c r="C709" s="2352" t="s">
        <v>5552</v>
      </c>
      <c r="D709" s="2352" t="s">
        <v>5624</v>
      </c>
      <c r="E709" s="355">
        <v>10</v>
      </c>
      <c r="F709" s="1662">
        <v>0</v>
      </c>
      <c r="G709" s="903"/>
    </row>
    <row r="710" spans="1:7" ht="15" customHeight="1" x14ac:dyDescent="0.25">
      <c r="A710" s="2352" t="s">
        <v>14083</v>
      </c>
      <c r="B710" s="2352" t="s">
        <v>5552</v>
      </c>
      <c r="C710" s="2352" t="s">
        <v>5552</v>
      </c>
      <c r="D710" s="2352" t="s">
        <v>5625</v>
      </c>
      <c r="E710" s="355">
        <v>60</v>
      </c>
      <c r="F710" s="1662">
        <v>15</v>
      </c>
      <c r="G710" s="903"/>
    </row>
    <row r="711" spans="1:7" ht="15" customHeight="1" x14ac:dyDescent="0.25">
      <c r="A711" s="2352" t="s">
        <v>14084</v>
      </c>
      <c r="B711" s="2352" t="s">
        <v>5552</v>
      </c>
      <c r="C711" s="2352" t="s">
        <v>5552</v>
      </c>
      <c r="D711" s="2352" t="s">
        <v>5626</v>
      </c>
      <c r="E711" s="355">
        <v>160</v>
      </c>
      <c r="F711" s="1662">
        <v>65</v>
      </c>
      <c r="G711" s="903"/>
    </row>
    <row r="712" spans="1:7" ht="15" customHeight="1" x14ac:dyDescent="0.25">
      <c r="A712" s="2352" t="s">
        <v>14084</v>
      </c>
      <c r="B712" s="2352" t="s">
        <v>5552</v>
      </c>
      <c r="C712" s="2352" t="s">
        <v>5552</v>
      </c>
      <c r="D712" s="2352" t="s">
        <v>5627</v>
      </c>
      <c r="E712" s="355">
        <v>30</v>
      </c>
      <c r="F712" s="1662">
        <v>0</v>
      </c>
      <c r="G712" s="903"/>
    </row>
    <row r="713" spans="1:7" ht="15" customHeight="1" x14ac:dyDescent="0.25">
      <c r="A713" s="2352" t="s">
        <v>14084</v>
      </c>
      <c r="B713" s="2352" t="s">
        <v>5552</v>
      </c>
      <c r="C713" s="2352" t="s">
        <v>5552</v>
      </c>
      <c r="D713" s="2352" t="s">
        <v>5628</v>
      </c>
      <c r="E713" s="355">
        <v>160</v>
      </c>
      <c r="F713" s="1662">
        <v>30</v>
      </c>
      <c r="G713" s="903"/>
    </row>
    <row r="714" spans="1:7" ht="15" customHeight="1" x14ac:dyDescent="0.25">
      <c r="A714" s="2352" t="s">
        <v>14084</v>
      </c>
      <c r="B714" s="2352" t="s">
        <v>5552</v>
      </c>
      <c r="C714" s="2352" t="s">
        <v>5552</v>
      </c>
      <c r="D714" s="2352" t="s">
        <v>5629</v>
      </c>
      <c r="E714" s="355">
        <v>60</v>
      </c>
      <c r="F714" s="1662">
        <v>35</v>
      </c>
      <c r="G714" s="903"/>
    </row>
    <row r="715" spans="1:7" ht="15" customHeight="1" x14ac:dyDescent="0.25">
      <c r="A715" s="2352" t="s">
        <v>7640</v>
      </c>
      <c r="B715" s="2352" t="s">
        <v>5552</v>
      </c>
      <c r="C715" s="2352" t="s">
        <v>5552</v>
      </c>
      <c r="D715" s="2352" t="s">
        <v>5630</v>
      </c>
      <c r="E715" s="355">
        <v>60</v>
      </c>
      <c r="F715" s="1662">
        <v>0</v>
      </c>
      <c r="G715" s="903"/>
    </row>
    <row r="716" spans="1:7" ht="15" customHeight="1" x14ac:dyDescent="0.25">
      <c r="A716" s="2352" t="s">
        <v>4063</v>
      </c>
      <c r="B716" s="2352" t="s">
        <v>5552</v>
      </c>
      <c r="C716" s="2352" t="s">
        <v>5552</v>
      </c>
      <c r="D716" s="2352" t="s">
        <v>5631</v>
      </c>
      <c r="E716" s="355">
        <v>160</v>
      </c>
      <c r="F716" s="1662">
        <v>35</v>
      </c>
      <c r="G716" s="903"/>
    </row>
    <row r="717" spans="1:7" ht="15" customHeight="1" x14ac:dyDescent="0.25">
      <c r="A717" s="2352" t="s">
        <v>4063</v>
      </c>
      <c r="B717" s="2352" t="s">
        <v>5552</v>
      </c>
      <c r="C717" s="2352" t="s">
        <v>5552</v>
      </c>
      <c r="D717" s="2352" t="s">
        <v>5632</v>
      </c>
      <c r="E717" s="355">
        <v>100</v>
      </c>
      <c r="F717" s="1662">
        <v>20</v>
      </c>
      <c r="G717" s="903"/>
    </row>
    <row r="718" spans="1:7" ht="15" customHeight="1" x14ac:dyDescent="0.25">
      <c r="A718" s="2352" t="s">
        <v>14085</v>
      </c>
      <c r="B718" s="2352" t="s">
        <v>5552</v>
      </c>
      <c r="C718" s="2352" t="s">
        <v>5552</v>
      </c>
      <c r="D718" s="2352" t="s">
        <v>5633</v>
      </c>
      <c r="E718" s="355">
        <v>100</v>
      </c>
      <c r="F718" s="1662">
        <v>10</v>
      </c>
      <c r="G718" s="903"/>
    </row>
    <row r="719" spans="1:7" ht="15" customHeight="1" x14ac:dyDescent="0.25">
      <c r="A719" s="2352" t="s">
        <v>14086</v>
      </c>
      <c r="B719" s="2352" t="s">
        <v>5552</v>
      </c>
      <c r="C719" s="2352" t="s">
        <v>5552</v>
      </c>
      <c r="D719" s="2352" t="s">
        <v>5634</v>
      </c>
      <c r="E719" s="355">
        <v>160</v>
      </c>
      <c r="F719" s="1662">
        <v>20</v>
      </c>
      <c r="G719" s="903"/>
    </row>
    <row r="720" spans="1:7" ht="15" customHeight="1" x14ac:dyDescent="0.25">
      <c r="A720" s="2352" t="s">
        <v>14086</v>
      </c>
      <c r="B720" s="2352" t="s">
        <v>5552</v>
      </c>
      <c r="C720" s="2352" t="s">
        <v>5552</v>
      </c>
      <c r="D720" s="2352" t="s">
        <v>5635</v>
      </c>
      <c r="E720" s="355">
        <v>250</v>
      </c>
      <c r="F720" s="1662">
        <v>0</v>
      </c>
      <c r="G720" s="903"/>
    </row>
    <row r="721" spans="1:7" ht="15" customHeight="1" x14ac:dyDescent="0.25">
      <c r="A721" s="2352" t="s">
        <v>14086</v>
      </c>
      <c r="B721" s="2352" t="s">
        <v>5552</v>
      </c>
      <c r="C721" s="2352" t="s">
        <v>5552</v>
      </c>
      <c r="D721" s="2352" t="s">
        <v>5636</v>
      </c>
      <c r="E721" s="355">
        <v>250</v>
      </c>
      <c r="F721" s="1662">
        <v>40</v>
      </c>
      <c r="G721" s="903"/>
    </row>
    <row r="722" spans="1:7" ht="15" customHeight="1" x14ac:dyDescent="0.25">
      <c r="A722" s="2352" t="s">
        <v>14086</v>
      </c>
      <c r="B722" s="2352" t="s">
        <v>5552</v>
      </c>
      <c r="C722" s="2352" t="s">
        <v>5552</v>
      </c>
      <c r="D722" s="2352" t="s">
        <v>5637</v>
      </c>
      <c r="E722" s="355">
        <v>160</v>
      </c>
      <c r="F722" s="1662">
        <v>0</v>
      </c>
      <c r="G722" s="903"/>
    </row>
    <row r="723" spans="1:7" ht="15" customHeight="1" x14ac:dyDescent="0.25">
      <c r="A723" s="2352" t="s">
        <v>14086</v>
      </c>
      <c r="B723" s="2352" t="s">
        <v>5552</v>
      </c>
      <c r="C723" s="2352" t="s">
        <v>5552</v>
      </c>
      <c r="D723" s="2352" t="s">
        <v>5638</v>
      </c>
      <c r="E723" s="355">
        <v>250</v>
      </c>
      <c r="F723" s="1662">
        <v>55</v>
      </c>
      <c r="G723" s="903"/>
    </row>
    <row r="724" spans="1:7" ht="15" customHeight="1" x14ac:dyDescent="0.25">
      <c r="A724" s="2352" t="s">
        <v>14087</v>
      </c>
      <c r="B724" s="2352" t="s">
        <v>5552</v>
      </c>
      <c r="C724" s="2352" t="s">
        <v>5552</v>
      </c>
      <c r="D724" s="2352" t="s">
        <v>5639</v>
      </c>
      <c r="E724" s="355">
        <v>100</v>
      </c>
      <c r="F724" s="1662">
        <v>20</v>
      </c>
      <c r="G724" s="903"/>
    </row>
    <row r="725" spans="1:7" ht="15" customHeight="1" x14ac:dyDescent="0.25">
      <c r="A725" s="2352" t="s">
        <v>14088</v>
      </c>
      <c r="B725" s="2352" t="s">
        <v>5552</v>
      </c>
      <c r="C725" s="2352" t="s">
        <v>5552</v>
      </c>
      <c r="D725" s="2352" t="s">
        <v>5640</v>
      </c>
      <c r="E725" s="355">
        <v>30</v>
      </c>
      <c r="F725" s="1662">
        <v>0</v>
      </c>
      <c r="G725" s="903"/>
    </row>
    <row r="726" spans="1:7" ht="15" customHeight="1" x14ac:dyDescent="0.25">
      <c r="A726" s="2352" t="s">
        <v>14089</v>
      </c>
      <c r="B726" s="2352" t="s">
        <v>5552</v>
      </c>
      <c r="C726" s="2352" t="s">
        <v>5552</v>
      </c>
      <c r="D726" s="2352" t="s">
        <v>5641</v>
      </c>
      <c r="E726" s="355">
        <v>10</v>
      </c>
      <c r="F726" s="1662">
        <v>5</v>
      </c>
      <c r="G726" s="903"/>
    </row>
    <row r="727" spans="1:7" ht="15" customHeight="1" x14ac:dyDescent="0.25">
      <c r="A727" s="2352" t="s">
        <v>14090</v>
      </c>
      <c r="B727" s="2352" t="s">
        <v>5552</v>
      </c>
      <c r="C727" s="2352" t="s">
        <v>5552</v>
      </c>
      <c r="D727" s="2352" t="s">
        <v>5642</v>
      </c>
      <c r="E727" s="355">
        <v>30</v>
      </c>
      <c r="F727" s="1662">
        <v>0</v>
      </c>
      <c r="G727" s="903"/>
    </row>
    <row r="728" spans="1:7" ht="15" customHeight="1" x14ac:dyDescent="0.25">
      <c r="A728" s="2352" t="s">
        <v>14091</v>
      </c>
      <c r="B728" s="2352" t="s">
        <v>5552</v>
      </c>
      <c r="C728" s="2352" t="s">
        <v>5552</v>
      </c>
      <c r="D728" s="2352" t="s">
        <v>5643</v>
      </c>
      <c r="E728" s="355">
        <v>160</v>
      </c>
      <c r="F728" s="1662">
        <v>15</v>
      </c>
      <c r="G728" s="903"/>
    </row>
    <row r="729" spans="1:7" ht="15" customHeight="1" x14ac:dyDescent="0.25">
      <c r="A729" s="2352" t="s">
        <v>14091</v>
      </c>
      <c r="B729" s="2352" t="s">
        <v>5552</v>
      </c>
      <c r="C729" s="2352" t="s">
        <v>5552</v>
      </c>
      <c r="D729" s="2352" t="s">
        <v>5644</v>
      </c>
      <c r="E729" s="355">
        <v>160</v>
      </c>
      <c r="F729" s="1662">
        <v>10</v>
      </c>
      <c r="G729" s="903"/>
    </row>
    <row r="730" spans="1:7" ht="15" customHeight="1" x14ac:dyDescent="0.25">
      <c r="A730" s="2352" t="s">
        <v>14091</v>
      </c>
      <c r="B730" s="2352" t="s">
        <v>5552</v>
      </c>
      <c r="C730" s="2352" t="s">
        <v>5552</v>
      </c>
      <c r="D730" s="2352" t="s">
        <v>5645</v>
      </c>
      <c r="E730" s="355">
        <v>250</v>
      </c>
      <c r="F730" s="1662">
        <v>190</v>
      </c>
      <c r="G730" s="903"/>
    </row>
    <row r="731" spans="1:7" ht="15" customHeight="1" x14ac:dyDescent="0.25">
      <c r="A731" s="2352" t="s">
        <v>14091</v>
      </c>
      <c r="B731" s="2352" t="s">
        <v>5552</v>
      </c>
      <c r="C731" s="2352" t="s">
        <v>5552</v>
      </c>
      <c r="D731" s="2352" t="s">
        <v>5646</v>
      </c>
      <c r="E731" s="355">
        <v>250</v>
      </c>
      <c r="F731" s="1662">
        <v>0</v>
      </c>
      <c r="G731" s="903"/>
    </row>
    <row r="732" spans="1:7" ht="15" customHeight="1" x14ac:dyDescent="0.25">
      <c r="A732" s="2352" t="s">
        <v>14092</v>
      </c>
      <c r="B732" s="2352" t="s">
        <v>5552</v>
      </c>
      <c r="C732" s="2352" t="s">
        <v>5552</v>
      </c>
      <c r="D732" s="2352" t="s">
        <v>5647</v>
      </c>
      <c r="E732" s="355">
        <v>160</v>
      </c>
      <c r="F732" s="1662">
        <v>0</v>
      </c>
      <c r="G732" s="903"/>
    </row>
    <row r="733" spans="1:7" ht="15" customHeight="1" x14ac:dyDescent="0.25">
      <c r="A733" s="2352" t="s">
        <v>14092</v>
      </c>
      <c r="B733" s="2352" t="s">
        <v>5552</v>
      </c>
      <c r="C733" s="2352" t="s">
        <v>5552</v>
      </c>
      <c r="D733" s="2352" t="s">
        <v>5648</v>
      </c>
      <c r="E733" s="355">
        <v>160</v>
      </c>
      <c r="F733" s="1662">
        <v>20</v>
      </c>
      <c r="G733" s="903"/>
    </row>
    <row r="734" spans="1:7" ht="15" customHeight="1" x14ac:dyDescent="0.25">
      <c r="A734" s="2352" t="s">
        <v>14092</v>
      </c>
      <c r="B734" s="2352" t="s">
        <v>5552</v>
      </c>
      <c r="C734" s="2352" t="s">
        <v>5552</v>
      </c>
      <c r="D734" s="2352" t="s">
        <v>5649</v>
      </c>
      <c r="E734" s="355">
        <v>160</v>
      </c>
      <c r="F734" s="1662">
        <v>0</v>
      </c>
      <c r="G734" s="903"/>
    </row>
    <row r="735" spans="1:7" ht="15" customHeight="1" x14ac:dyDescent="0.25">
      <c r="A735" s="2352" t="s">
        <v>7417</v>
      </c>
      <c r="B735" s="2352" t="s">
        <v>5552</v>
      </c>
      <c r="C735" s="2352" t="s">
        <v>5552</v>
      </c>
      <c r="D735" s="2352" t="s">
        <v>5650</v>
      </c>
      <c r="E735" s="355">
        <v>160</v>
      </c>
      <c r="F735" s="1662">
        <v>60</v>
      </c>
      <c r="G735" s="903"/>
    </row>
    <row r="736" spans="1:7" ht="15" customHeight="1" x14ac:dyDescent="0.25">
      <c r="A736" s="2352" t="s">
        <v>7417</v>
      </c>
      <c r="B736" s="2352" t="s">
        <v>5552</v>
      </c>
      <c r="C736" s="2352" t="s">
        <v>5552</v>
      </c>
      <c r="D736" s="2352" t="s">
        <v>5651</v>
      </c>
      <c r="E736" s="355">
        <v>100</v>
      </c>
      <c r="F736" s="1662">
        <v>15</v>
      </c>
      <c r="G736" s="903"/>
    </row>
    <row r="737" spans="1:7" ht="15" customHeight="1" x14ac:dyDescent="0.25">
      <c r="A737" s="2352" t="s">
        <v>4020</v>
      </c>
      <c r="B737" s="2352" t="s">
        <v>5552</v>
      </c>
      <c r="C737" s="2352" t="s">
        <v>5552</v>
      </c>
      <c r="D737" s="2352" t="s">
        <v>5652</v>
      </c>
      <c r="E737" s="355">
        <v>60</v>
      </c>
      <c r="F737" s="1662">
        <v>15</v>
      </c>
      <c r="G737" s="903"/>
    </row>
    <row r="738" spans="1:7" ht="15" customHeight="1" x14ac:dyDescent="0.25">
      <c r="A738" s="2352" t="s">
        <v>14093</v>
      </c>
      <c r="B738" s="2352" t="s">
        <v>5552</v>
      </c>
      <c r="C738" s="2352" t="s">
        <v>5552</v>
      </c>
      <c r="D738" s="2352" t="s">
        <v>5653</v>
      </c>
      <c r="E738" s="355">
        <v>40</v>
      </c>
      <c r="F738" s="1662">
        <v>10</v>
      </c>
      <c r="G738" s="903"/>
    </row>
    <row r="739" spans="1:7" ht="15" customHeight="1" x14ac:dyDescent="0.25">
      <c r="A739" s="2352" t="s">
        <v>5060</v>
      </c>
      <c r="B739" s="2352" t="s">
        <v>5552</v>
      </c>
      <c r="C739" s="2352" t="s">
        <v>5552</v>
      </c>
      <c r="D739" s="2352" t="s">
        <v>5654</v>
      </c>
      <c r="E739" s="355">
        <v>100</v>
      </c>
      <c r="F739" s="1662">
        <v>25</v>
      </c>
      <c r="G739" s="903"/>
    </row>
    <row r="740" spans="1:7" ht="15" customHeight="1" x14ac:dyDescent="0.25">
      <c r="A740" s="2352" t="s">
        <v>14094</v>
      </c>
      <c r="B740" s="2352" t="s">
        <v>5552</v>
      </c>
      <c r="C740" s="2352" t="s">
        <v>5552</v>
      </c>
      <c r="D740" s="2352" t="s">
        <v>5655</v>
      </c>
      <c r="E740" s="355">
        <v>63</v>
      </c>
      <c r="F740" s="1662">
        <v>15</v>
      </c>
      <c r="G740" s="903"/>
    </row>
    <row r="741" spans="1:7" ht="15" customHeight="1" x14ac:dyDescent="0.25">
      <c r="A741" s="2352" t="s">
        <v>14000</v>
      </c>
      <c r="B741" s="2352" t="s">
        <v>5552</v>
      </c>
      <c r="C741" s="2352" t="s">
        <v>5552</v>
      </c>
      <c r="D741" s="2352" t="s">
        <v>5656</v>
      </c>
      <c r="E741" s="355">
        <v>10</v>
      </c>
      <c r="F741" s="1662">
        <v>0</v>
      </c>
      <c r="G741" s="903"/>
    </row>
    <row r="742" spans="1:7" ht="15" customHeight="1" x14ac:dyDescent="0.25">
      <c r="A742" s="2352" t="s">
        <v>14095</v>
      </c>
      <c r="B742" s="2352" t="s">
        <v>5552</v>
      </c>
      <c r="C742" s="2352" t="s">
        <v>5552</v>
      </c>
      <c r="D742" s="2352" t="s">
        <v>5657</v>
      </c>
      <c r="E742" s="355">
        <v>63</v>
      </c>
      <c r="F742" s="1662">
        <v>35</v>
      </c>
      <c r="G742" s="903"/>
    </row>
    <row r="743" spans="1:7" ht="15" customHeight="1" x14ac:dyDescent="0.25">
      <c r="A743" s="2352" t="s">
        <v>14096</v>
      </c>
      <c r="B743" s="2352" t="s">
        <v>5552</v>
      </c>
      <c r="C743" s="2352" t="s">
        <v>5552</v>
      </c>
      <c r="D743" s="2352" t="s">
        <v>5658</v>
      </c>
      <c r="E743" s="355">
        <v>100</v>
      </c>
      <c r="F743" s="1662">
        <v>20</v>
      </c>
      <c r="G743" s="903"/>
    </row>
    <row r="744" spans="1:7" ht="15" customHeight="1" x14ac:dyDescent="0.25">
      <c r="A744" s="2352" t="s">
        <v>14097</v>
      </c>
      <c r="B744" s="2352" t="s">
        <v>5552</v>
      </c>
      <c r="C744" s="2352" t="s">
        <v>5552</v>
      </c>
      <c r="D744" s="2352" t="s">
        <v>5659</v>
      </c>
      <c r="E744" s="355">
        <v>100</v>
      </c>
      <c r="F744" s="1662">
        <v>55</v>
      </c>
      <c r="G744" s="903"/>
    </row>
    <row r="745" spans="1:7" ht="15" customHeight="1" x14ac:dyDescent="0.25">
      <c r="A745" s="2352" t="s">
        <v>14098</v>
      </c>
      <c r="B745" s="2352" t="s">
        <v>5552</v>
      </c>
      <c r="C745" s="2352" t="s">
        <v>5552</v>
      </c>
      <c r="D745" s="2352" t="s">
        <v>5660</v>
      </c>
      <c r="E745" s="355">
        <v>100</v>
      </c>
      <c r="F745" s="1662">
        <v>40</v>
      </c>
      <c r="G745" s="903"/>
    </row>
    <row r="746" spans="1:7" ht="15" customHeight="1" x14ac:dyDescent="0.25">
      <c r="A746" s="2352" t="s">
        <v>14099</v>
      </c>
      <c r="B746" s="2352" t="s">
        <v>5552</v>
      </c>
      <c r="C746" s="2352" t="s">
        <v>5552</v>
      </c>
      <c r="D746" s="2352" t="s">
        <v>5661</v>
      </c>
      <c r="E746" s="355">
        <v>160</v>
      </c>
      <c r="F746" s="1662">
        <v>60</v>
      </c>
      <c r="G746" s="903"/>
    </row>
    <row r="747" spans="1:7" ht="15" customHeight="1" x14ac:dyDescent="0.25">
      <c r="A747" s="2352" t="s">
        <v>14100</v>
      </c>
      <c r="B747" s="2352" t="s">
        <v>5552</v>
      </c>
      <c r="C747" s="2352" t="s">
        <v>5552</v>
      </c>
      <c r="D747" s="2352" t="s">
        <v>5662</v>
      </c>
      <c r="E747" s="355">
        <v>10</v>
      </c>
      <c r="F747" s="1662">
        <v>0</v>
      </c>
      <c r="G747" s="903"/>
    </row>
    <row r="748" spans="1:7" ht="15" customHeight="1" x14ac:dyDescent="0.25">
      <c r="A748" s="2352" t="s">
        <v>14101</v>
      </c>
      <c r="B748" s="2352" t="s">
        <v>5552</v>
      </c>
      <c r="C748" s="2352" t="s">
        <v>5552</v>
      </c>
      <c r="D748" s="2352" t="s">
        <v>5663</v>
      </c>
      <c r="E748" s="355">
        <v>100</v>
      </c>
      <c r="F748" s="1662">
        <v>10</v>
      </c>
      <c r="G748" s="903"/>
    </row>
    <row r="749" spans="1:7" ht="15" customHeight="1" x14ac:dyDescent="0.25">
      <c r="A749" s="2352" t="s">
        <v>14102</v>
      </c>
      <c r="B749" s="2352" t="s">
        <v>5552</v>
      </c>
      <c r="C749" s="2352" t="s">
        <v>5552</v>
      </c>
      <c r="D749" s="2352" t="s">
        <v>5664</v>
      </c>
      <c r="E749" s="355">
        <v>30</v>
      </c>
      <c r="F749" s="1662">
        <v>0</v>
      </c>
      <c r="G749" s="903"/>
    </row>
    <row r="750" spans="1:7" ht="15" customHeight="1" x14ac:dyDescent="0.25">
      <c r="A750" s="2352" t="s">
        <v>6527</v>
      </c>
      <c r="B750" s="2352" t="s">
        <v>5552</v>
      </c>
      <c r="C750" s="2352" t="s">
        <v>5552</v>
      </c>
      <c r="D750" s="2352" t="s">
        <v>5665</v>
      </c>
      <c r="E750" s="355">
        <v>63</v>
      </c>
      <c r="F750" s="1662">
        <v>25</v>
      </c>
      <c r="G750" s="903"/>
    </row>
    <row r="751" spans="1:7" ht="15" customHeight="1" x14ac:dyDescent="0.25">
      <c r="A751" s="2352" t="s">
        <v>4153</v>
      </c>
      <c r="B751" s="2352" t="s">
        <v>5552</v>
      </c>
      <c r="C751" s="2352" t="s">
        <v>5552</v>
      </c>
      <c r="D751" s="2352" t="s">
        <v>5666</v>
      </c>
      <c r="E751" s="355">
        <v>25</v>
      </c>
      <c r="F751" s="1662">
        <v>5</v>
      </c>
      <c r="G751" s="903"/>
    </row>
    <row r="752" spans="1:7" ht="15" customHeight="1" x14ac:dyDescent="0.25">
      <c r="A752" s="2352" t="s">
        <v>14103</v>
      </c>
      <c r="B752" s="2352" t="s">
        <v>5552</v>
      </c>
      <c r="C752" s="2352" t="s">
        <v>5552</v>
      </c>
      <c r="D752" s="2352" t="s">
        <v>5667</v>
      </c>
      <c r="E752" s="355">
        <v>60</v>
      </c>
      <c r="F752" s="1662">
        <v>10</v>
      </c>
      <c r="G752" s="903"/>
    </row>
    <row r="753" spans="1:7" ht="15" customHeight="1" x14ac:dyDescent="0.25">
      <c r="A753" s="2352" t="s">
        <v>14104</v>
      </c>
      <c r="B753" s="2352" t="s">
        <v>5552</v>
      </c>
      <c r="C753" s="2352" t="s">
        <v>5552</v>
      </c>
      <c r="D753" s="2352" t="s">
        <v>5668</v>
      </c>
      <c r="E753" s="355">
        <v>60</v>
      </c>
      <c r="F753" s="1662">
        <v>10</v>
      </c>
      <c r="G753" s="903"/>
    </row>
    <row r="754" spans="1:7" ht="15" customHeight="1" x14ac:dyDescent="0.25">
      <c r="A754" s="2352" t="s">
        <v>4381</v>
      </c>
      <c r="B754" s="2352" t="s">
        <v>5552</v>
      </c>
      <c r="C754" s="2352" t="s">
        <v>5552</v>
      </c>
      <c r="D754" s="2352" t="s">
        <v>5669</v>
      </c>
      <c r="E754" s="355">
        <v>160</v>
      </c>
      <c r="F754" s="1662">
        <v>70</v>
      </c>
      <c r="G754" s="903"/>
    </row>
    <row r="755" spans="1:7" ht="15" customHeight="1" x14ac:dyDescent="0.25">
      <c r="A755" s="2352" t="s">
        <v>14105</v>
      </c>
      <c r="B755" s="2352" t="s">
        <v>5552</v>
      </c>
      <c r="C755" s="2352" t="s">
        <v>5552</v>
      </c>
      <c r="D755" s="2352" t="s">
        <v>5670</v>
      </c>
      <c r="E755" s="355">
        <v>30</v>
      </c>
      <c r="F755" s="1662">
        <v>0</v>
      </c>
      <c r="G755" s="903"/>
    </row>
    <row r="756" spans="1:7" ht="15" customHeight="1" x14ac:dyDescent="0.25">
      <c r="A756" s="2352" t="s">
        <v>3741</v>
      </c>
      <c r="B756" s="2352" t="s">
        <v>5552</v>
      </c>
      <c r="C756" s="2352" t="s">
        <v>5552</v>
      </c>
      <c r="D756" s="2352" t="s">
        <v>5671</v>
      </c>
      <c r="E756" s="355">
        <v>30</v>
      </c>
      <c r="F756" s="1662">
        <v>5</v>
      </c>
      <c r="G756" s="903"/>
    </row>
    <row r="757" spans="1:7" ht="15" customHeight="1" x14ac:dyDescent="0.25">
      <c r="A757" s="2352" t="s">
        <v>4374</v>
      </c>
      <c r="B757" s="2352" t="s">
        <v>5552</v>
      </c>
      <c r="C757" s="2352" t="s">
        <v>5552</v>
      </c>
      <c r="D757" s="2352" t="s">
        <v>5672</v>
      </c>
      <c r="E757" s="355">
        <v>40</v>
      </c>
      <c r="F757" s="1662">
        <v>0</v>
      </c>
      <c r="G757" s="903"/>
    </row>
    <row r="758" spans="1:7" ht="15" customHeight="1" x14ac:dyDescent="0.25">
      <c r="A758" s="2352" t="s">
        <v>14106</v>
      </c>
      <c r="B758" s="2352" t="s">
        <v>5552</v>
      </c>
      <c r="C758" s="2352" t="s">
        <v>5552</v>
      </c>
      <c r="D758" s="2352" t="s">
        <v>5673</v>
      </c>
      <c r="E758" s="355">
        <v>100</v>
      </c>
      <c r="F758" s="1662">
        <v>0</v>
      </c>
      <c r="G758" s="903"/>
    </row>
    <row r="759" spans="1:7" ht="15" customHeight="1" x14ac:dyDescent="0.25">
      <c r="A759" s="2352" t="s">
        <v>14106</v>
      </c>
      <c r="B759" s="2352" t="s">
        <v>5552</v>
      </c>
      <c r="C759" s="2352" t="s">
        <v>5552</v>
      </c>
      <c r="D759" s="2352" t="s">
        <v>5674</v>
      </c>
      <c r="E759" s="355">
        <v>0</v>
      </c>
      <c r="F759" s="1662">
        <v>0</v>
      </c>
      <c r="G759" s="903"/>
    </row>
    <row r="760" spans="1:7" ht="15" customHeight="1" x14ac:dyDescent="0.25">
      <c r="A760" s="2352" t="s">
        <v>14107</v>
      </c>
      <c r="B760" s="2352" t="s">
        <v>5552</v>
      </c>
      <c r="C760" s="2352" t="s">
        <v>5552</v>
      </c>
      <c r="D760" s="2352" t="s">
        <v>5675</v>
      </c>
      <c r="E760" s="355">
        <v>63</v>
      </c>
      <c r="F760" s="1662">
        <v>10</v>
      </c>
      <c r="G760" s="903"/>
    </row>
    <row r="761" spans="1:7" ht="15" customHeight="1" x14ac:dyDescent="0.25">
      <c r="A761" s="2352" t="s">
        <v>4151</v>
      </c>
      <c r="B761" s="2352" t="s">
        <v>5552</v>
      </c>
      <c r="C761" s="2352" t="s">
        <v>5552</v>
      </c>
      <c r="D761" s="2352" t="s">
        <v>5676</v>
      </c>
      <c r="E761" s="355">
        <v>40</v>
      </c>
      <c r="F761" s="1662">
        <v>0</v>
      </c>
      <c r="G761" s="903"/>
    </row>
    <row r="762" spans="1:7" ht="15" customHeight="1" x14ac:dyDescent="0.25">
      <c r="A762" s="2352" t="s">
        <v>14086</v>
      </c>
      <c r="B762" s="2352" t="s">
        <v>5552</v>
      </c>
      <c r="C762" s="2352" t="s">
        <v>5552</v>
      </c>
      <c r="D762" s="2352" t="s">
        <v>5677</v>
      </c>
      <c r="E762" s="355">
        <v>100</v>
      </c>
      <c r="F762" s="1662">
        <v>0</v>
      </c>
      <c r="G762" s="903"/>
    </row>
    <row r="763" spans="1:7" ht="15" customHeight="1" x14ac:dyDescent="0.25">
      <c r="A763" s="2352" t="s">
        <v>14086</v>
      </c>
      <c r="B763" s="2352" t="s">
        <v>5552</v>
      </c>
      <c r="C763" s="2352" t="s">
        <v>5552</v>
      </c>
      <c r="D763" s="2352" t="s">
        <v>5678</v>
      </c>
      <c r="E763" s="355">
        <v>63</v>
      </c>
      <c r="F763" s="1662">
        <v>0</v>
      </c>
      <c r="G763" s="903"/>
    </row>
    <row r="764" spans="1:7" ht="15" customHeight="1" x14ac:dyDescent="0.25">
      <c r="A764" s="2352" t="s">
        <v>14086</v>
      </c>
      <c r="B764" s="2352" t="s">
        <v>5552</v>
      </c>
      <c r="C764" s="2352" t="s">
        <v>5552</v>
      </c>
      <c r="D764" s="2352" t="s">
        <v>5679</v>
      </c>
      <c r="E764" s="355">
        <v>250</v>
      </c>
      <c r="F764" s="1662">
        <v>130</v>
      </c>
      <c r="G764" s="903"/>
    </row>
    <row r="765" spans="1:7" ht="15" customHeight="1" x14ac:dyDescent="0.25">
      <c r="A765" s="2352" t="s">
        <v>14086</v>
      </c>
      <c r="B765" s="2352" t="s">
        <v>5552</v>
      </c>
      <c r="C765" s="2352" t="s">
        <v>5552</v>
      </c>
      <c r="D765" s="2352" t="s">
        <v>5680</v>
      </c>
      <c r="E765" s="355">
        <v>60</v>
      </c>
      <c r="F765" s="1662">
        <v>0</v>
      </c>
      <c r="G765" s="903"/>
    </row>
    <row r="766" spans="1:7" ht="15" customHeight="1" x14ac:dyDescent="0.25">
      <c r="A766" s="2352" t="s">
        <v>14086</v>
      </c>
      <c r="B766" s="2352" t="s">
        <v>5552</v>
      </c>
      <c r="C766" s="2352" t="s">
        <v>5552</v>
      </c>
      <c r="D766" s="2352" t="s">
        <v>5681</v>
      </c>
      <c r="E766" s="355">
        <v>250</v>
      </c>
      <c r="F766" s="1662">
        <v>30</v>
      </c>
      <c r="G766" s="903"/>
    </row>
    <row r="767" spans="1:7" ht="15" customHeight="1" x14ac:dyDescent="0.25">
      <c r="A767" s="2352" t="s">
        <v>4007</v>
      </c>
      <c r="B767" s="2352" t="s">
        <v>5552</v>
      </c>
      <c r="C767" s="2352" t="s">
        <v>5552</v>
      </c>
      <c r="D767" s="2352" t="s">
        <v>5682</v>
      </c>
      <c r="E767" s="355">
        <v>60</v>
      </c>
      <c r="F767" s="1662">
        <v>10</v>
      </c>
      <c r="G767" s="903"/>
    </row>
    <row r="768" spans="1:7" ht="15" customHeight="1" x14ac:dyDescent="0.25">
      <c r="A768" s="2352" t="s">
        <v>14086</v>
      </c>
      <c r="B768" s="2352" t="s">
        <v>5552</v>
      </c>
      <c r="C768" s="2352" t="s">
        <v>5552</v>
      </c>
      <c r="D768" s="2352" t="s">
        <v>5683</v>
      </c>
      <c r="E768" s="355">
        <v>250</v>
      </c>
      <c r="F768" s="1662">
        <v>0</v>
      </c>
      <c r="G768" s="903"/>
    </row>
    <row r="769" spans="1:7" ht="15" customHeight="1" x14ac:dyDescent="0.25">
      <c r="A769" s="2352" t="s">
        <v>14108</v>
      </c>
      <c r="B769" s="2352" t="s">
        <v>5552</v>
      </c>
      <c r="C769" s="2352" t="s">
        <v>5552</v>
      </c>
      <c r="D769" s="2352" t="s">
        <v>5684</v>
      </c>
      <c r="E769" s="355">
        <v>100</v>
      </c>
      <c r="F769" s="1662">
        <v>25</v>
      </c>
      <c r="G769" s="903"/>
    </row>
    <row r="770" spans="1:7" ht="15" customHeight="1" x14ac:dyDescent="0.25">
      <c r="A770" s="2352" t="s">
        <v>14109</v>
      </c>
      <c r="B770" s="2352" t="s">
        <v>5552</v>
      </c>
      <c r="C770" s="2352" t="s">
        <v>5552</v>
      </c>
      <c r="D770" s="2352" t="s">
        <v>5685</v>
      </c>
      <c r="E770" s="355">
        <v>30</v>
      </c>
      <c r="F770" s="1662">
        <v>0</v>
      </c>
      <c r="G770" s="903"/>
    </row>
    <row r="771" spans="1:7" ht="15" customHeight="1" x14ac:dyDescent="0.25">
      <c r="A771" s="2352" t="s">
        <v>14110</v>
      </c>
      <c r="B771" s="2352" t="s">
        <v>5552</v>
      </c>
      <c r="C771" s="2352" t="s">
        <v>5552</v>
      </c>
      <c r="D771" s="2352" t="s">
        <v>5686</v>
      </c>
      <c r="E771" s="355">
        <v>30</v>
      </c>
      <c r="F771" s="1662">
        <v>10</v>
      </c>
      <c r="G771" s="903"/>
    </row>
    <row r="772" spans="1:7" ht="15" customHeight="1" x14ac:dyDescent="0.25">
      <c r="A772" s="2352" t="s">
        <v>14110</v>
      </c>
      <c r="B772" s="2352" t="s">
        <v>5552</v>
      </c>
      <c r="C772" s="2352" t="s">
        <v>5552</v>
      </c>
      <c r="D772" s="2352" t="s">
        <v>5687</v>
      </c>
      <c r="E772" s="355">
        <v>160</v>
      </c>
      <c r="F772" s="1662">
        <v>0</v>
      </c>
      <c r="G772" s="903"/>
    </row>
    <row r="773" spans="1:7" ht="15" customHeight="1" x14ac:dyDescent="0.25">
      <c r="A773" s="2352" t="s">
        <v>14111</v>
      </c>
      <c r="B773" s="2352" t="s">
        <v>5552</v>
      </c>
      <c r="C773" s="2352" t="s">
        <v>5552</v>
      </c>
      <c r="D773" s="2352" t="s">
        <v>5688</v>
      </c>
      <c r="E773" s="355">
        <v>40</v>
      </c>
      <c r="F773" s="1662">
        <v>20</v>
      </c>
      <c r="G773" s="903"/>
    </row>
    <row r="774" spans="1:7" ht="15" customHeight="1" x14ac:dyDescent="0.25">
      <c r="A774" s="2352" t="s">
        <v>14112</v>
      </c>
      <c r="B774" s="2352" t="s">
        <v>5552</v>
      </c>
      <c r="C774" s="2352" t="s">
        <v>5552</v>
      </c>
      <c r="D774" s="2352" t="s">
        <v>5689</v>
      </c>
      <c r="E774" s="355">
        <v>100</v>
      </c>
      <c r="F774" s="1662">
        <v>20</v>
      </c>
      <c r="G774" s="903"/>
    </row>
    <row r="775" spans="1:7" ht="15" customHeight="1" x14ac:dyDescent="0.25">
      <c r="A775" s="2352" t="s">
        <v>14112</v>
      </c>
      <c r="B775" s="2352" t="s">
        <v>5552</v>
      </c>
      <c r="C775" s="2352" t="s">
        <v>5552</v>
      </c>
      <c r="D775" s="2352" t="s">
        <v>5690</v>
      </c>
      <c r="E775" s="355">
        <v>100</v>
      </c>
      <c r="F775" s="1662">
        <v>60</v>
      </c>
      <c r="G775" s="903"/>
    </row>
    <row r="776" spans="1:7" ht="15" customHeight="1" x14ac:dyDescent="0.25">
      <c r="A776" s="2352" t="s">
        <v>3761</v>
      </c>
      <c r="B776" s="2352" t="s">
        <v>5552</v>
      </c>
      <c r="C776" s="2352" t="s">
        <v>5552</v>
      </c>
      <c r="D776" s="2352" t="s">
        <v>5691</v>
      </c>
      <c r="E776" s="355">
        <v>30</v>
      </c>
      <c r="F776" s="1662">
        <v>0</v>
      </c>
      <c r="G776" s="903"/>
    </row>
    <row r="777" spans="1:7" ht="15" customHeight="1" x14ac:dyDescent="0.25">
      <c r="A777" s="2352" t="s">
        <v>14113</v>
      </c>
      <c r="B777" s="2352" t="s">
        <v>5552</v>
      </c>
      <c r="C777" s="2352" t="s">
        <v>5552</v>
      </c>
      <c r="D777" s="2352" t="s">
        <v>5692</v>
      </c>
      <c r="E777" s="355">
        <v>25</v>
      </c>
      <c r="F777" s="1662">
        <v>0</v>
      </c>
      <c r="G777" s="903"/>
    </row>
    <row r="778" spans="1:7" ht="15" customHeight="1" x14ac:dyDescent="0.25">
      <c r="A778" s="2352" t="s">
        <v>6596</v>
      </c>
      <c r="B778" s="2352" t="s">
        <v>5552</v>
      </c>
      <c r="C778" s="2352" t="s">
        <v>5552</v>
      </c>
      <c r="D778" s="2352" t="s">
        <v>5693</v>
      </c>
      <c r="E778" s="355">
        <v>40</v>
      </c>
      <c r="F778" s="1662">
        <v>0</v>
      </c>
      <c r="G778" s="903"/>
    </row>
    <row r="779" spans="1:7" ht="15" customHeight="1" x14ac:dyDescent="0.25">
      <c r="A779" s="2352" t="s">
        <v>14114</v>
      </c>
      <c r="B779" s="2352" t="s">
        <v>5552</v>
      </c>
      <c r="C779" s="2352" t="s">
        <v>5552</v>
      </c>
      <c r="D779" s="2352" t="s">
        <v>5694</v>
      </c>
      <c r="E779" s="355">
        <v>50</v>
      </c>
      <c r="F779" s="1662">
        <v>10</v>
      </c>
      <c r="G779" s="903"/>
    </row>
    <row r="780" spans="1:7" ht="15" customHeight="1" x14ac:dyDescent="0.25">
      <c r="A780" s="2352" t="s">
        <v>14115</v>
      </c>
      <c r="B780" s="2352" t="s">
        <v>5552</v>
      </c>
      <c r="C780" s="2352" t="s">
        <v>5552</v>
      </c>
      <c r="D780" s="2352" t="s">
        <v>5695</v>
      </c>
      <c r="E780" s="355">
        <v>50</v>
      </c>
      <c r="F780" s="1662">
        <v>2</v>
      </c>
      <c r="G780" s="903"/>
    </row>
    <row r="781" spans="1:7" ht="15" customHeight="1" x14ac:dyDescent="0.25">
      <c r="A781" s="2352" t="s">
        <v>14116</v>
      </c>
      <c r="B781" s="2352" t="s">
        <v>5552</v>
      </c>
      <c r="C781" s="2352" t="s">
        <v>5552</v>
      </c>
      <c r="D781" s="2352" t="s">
        <v>5696</v>
      </c>
      <c r="E781" s="355">
        <v>100</v>
      </c>
      <c r="F781" s="1662">
        <v>18</v>
      </c>
      <c r="G781" s="903"/>
    </row>
    <row r="782" spans="1:7" ht="15" customHeight="1" x14ac:dyDescent="0.25">
      <c r="A782" s="2352" t="s">
        <v>14117</v>
      </c>
      <c r="B782" s="2352" t="s">
        <v>5552</v>
      </c>
      <c r="C782" s="2352" t="s">
        <v>5552</v>
      </c>
      <c r="D782" s="2352" t="s">
        <v>5697</v>
      </c>
      <c r="E782" s="355">
        <v>100</v>
      </c>
      <c r="F782" s="1662">
        <v>30</v>
      </c>
      <c r="G782" s="903"/>
    </row>
    <row r="783" spans="1:7" ht="15" customHeight="1" x14ac:dyDescent="0.25">
      <c r="A783" s="2352" t="s">
        <v>14118</v>
      </c>
      <c r="B783" s="2352" t="s">
        <v>5552</v>
      </c>
      <c r="C783" s="2352" t="s">
        <v>5552</v>
      </c>
      <c r="D783" s="2352" t="s">
        <v>5698</v>
      </c>
      <c r="E783" s="355">
        <v>40</v>
      </c>
      <c r="F783" s="1662">
        <v>0</v>
      </c>
      <c r="G783" s="903"/>
    </row>
    <row r="784" spans="1:7" ht="15" customHeight="1" x14ac:dyDescent="0.25">
      <c r="A784" s="2352" t="s">
        <v>14119</v>
      </c>
      <c r="B784" s="2352" t="s">
        <v>5552</v>
      </c>
      <c r="C784" s="2352" t="s">
        <v>5552</v>
      </c>
      <c r="D784" s="2352" t="s">
        <v>5699</v>
      </c>
      <c r="E784" s="355">
        <v>30</v>
      </c>
      <c r="F784" s="1662">
        <v>10</v>
      </c>
      <c r="G784" s="903"/>
    </row>
    <row r="785" spans="1:7" ht="15" customHeight="1" x14ac:dyDescent="0.25">
      <c r="A785" s="2352" t="s">
        <v>14120</v>
      </c>
      <c r="B785" s="2352" t="s">
        <v>5552</v>
      </c>
      <c r="C785" s="2352" t="s">
        <v>5552</v>
      </c>
      <c r="D785" s="2352" t="s">
        <v>5700</v>
      </c>
      <c r="E785" s="355">
        <v>30</v>
      </c>
      <c r="F785" s="1662">
        <v>0</v>
      </c>
      <c r="G785" s="903"/>
    </row>
    <row r="786" spans="1:7" ht="15" customHeight="1" x14ac:dyDescent="0.25">
      <c r="A786" s="2352" t="s">
        <v>14110</v>
      </c>
      <c r="B786" s="2352" t="s">
        <v>5552</v>
      </c>
      <c r="C786" s="2352" t="s">
        <v>5552</v>
      </c>
      <c r="D786" s="2352" t="s">
        <v>5701</v>
      </c>
      <c r="E786" s="355">
        <v>160</v>
      </c>
      <c r="F786" s="1662">
        <v>30</v>
      </c>
      <c r="G786" s="903"/>
    </row>
    <row r="787" spans="1:7" ht="15" customHeight="1" x14ac:dyDescent="0.25">
      <c r="A787" s="2352" t="s">
        <v>14121</v>
      </c>
      <c r="B787" s="2352" t="s">
        <v>5552</v>
      </c>
      <c r="C787" s="2352" t="s">
        <v>5552</v>
      </c>
      <c r="D787" s="2352" t="s">
        <v>5702</v>
      </c>
      <c r="E787" s="355">
        <v>160</v>
      </c>
      <c r="F787" s="1662">
        <v>20</v>
      </c>
      <c r="G787" s="903"/>
    </row>
    <row r="788" spans="1:7" ht="15" customHeight="1" x14ac:dyDescent="0.25">
      <c r="A788" s="2352" t="s">
        <v>14110</v>
      </c>
      <c r="B788" s="2352" t="s">
        <v>5552</v>
      </c>
      <c r="C788" s="2352" t="s">
        <v>5552</v>
      </c>
      <c r="D788" s="2352" t="s">
        <v>5703</v>
      </c>
      <c r="E788" s="355">
        <v>160</v>
      </c>
      <c r="F788" s="1662">
        <v>0</v>
      </c>
      <c r="G788" s="903"/>
    </row>
    <row r="789" spans="1:7" ht="15" customHeight="1" x14ac:dyDescent="0.25">
      <c r="A789" s="2352" t="s">
        <v>3824</v>
      </c>
      <c r="B789" s="2352" t="s">
        <v>5552</v>
      </c>
      <c r="C789" s="2352" t="s">
        <v>5552</v>
      </c>
      <c r="D789" s="2352" t="s">
        <v>5704</v>
      </c>
      <c r="E789" s="355">
        <v>30</v>
      </c>
      <c r="F789" s="1662">
        <v>0</v>
      </c>
      <c r="G789" s="903"/>
    </row>
    <row r="790" spans="1:7" ht="15" customHeight="1" x14ac:dyDescent="0.25">
      <c r="A790" s="2352" t="s">
        <v>14122</v>
      </c>
      <c r="B790" s="2352" t="s">
        <v>5552</v>
      </c>
      <c r="C790" s="2352" t="s">
        <v>5552</v>
      </c>
      <c r="D790" s="2352" t="s">
        <v>5705</v>
      </c>
      <c r="E790" s="355">
        <v>40</v>
      </c>
      <c r="F790" s="1662">
        <v>10</v>
      </c>
      <c r="G790" s="903"/>
    </row>
    <row r="791" spans="1:7" ht="15" customHeight="1" x14ac:dyDescent="0.25">
      <c r="A791" s="2352" t="s">
        <v>14123</v>
      </c>
      <c r="B791" s="2352" t="s">
        <v>5552</v>
      </c>
      <c r="C791" s="2352" t="s">
        <v>5552</v>
      </c>
      <c r="D791" s="2352" t="s">
        <v>5706</v>
      </c>
      <c r="E791" s="355">
        <v>160</v>
      </c>
      <c r="F791" s="1662">
        <v>80</v>
      </c>
      <c r="G791" s="903"/>
    </row>
    <row r="792" spans="1:7" ht="15" customHeight="1" x14ac:dyDescent="0.25">
      <c r="A792" s="2352" t="s">
        <v>14124</v>
      </c>
      <c r="B792" s="2352" t="s">
        <v>5552</v>
      </c>
      <c r="C792" s="2352" t="s">
        <v>5552</v>
      </c>
      <c r="D792" s="2352" t="s">
        <v>5707</v>
      </c>
      <c r="E792" s="355">
        <v>100</v>
      </c>
      <c r="F792" s="1662">
        <v>50</v>
      </c>
      <c r="G792" s="903"/>
    </row>
    <row r="793" spans="1:7" ht="15" customHeight="1" x14ac:dyDescent="0.25">
      <c r="A793" s="2352" t="s">
        <v>14110</v>
      </c>
      <c r="B793" s="2352" t="s">
        <v>5552</v>
      </c>
      <c r="C793" s="2352" t="s">
        <v>5552</v>
      </c>
      <c r="D793" s="2352" t="s">
        <v>5708</v>
      </c>
      <c r="E793" s="355">
        <v>250</v>
      </c>
      <c r="F793" s="1662">
        <v>50</v>
      </c>
      <c r="G793" s="903"/>
    </row>
    <row r="794" spans="1:7" ht="15" customHeight="1" x14ac:dyDescent="0.25">
      <c r="A794" s="2352" t="s">
        <v>14125</v>
      </c>
      <c r="B794" s="2352" t="s">
        <v>5552</v>
      </c>
      <c r="C794" s="2352" t="s">
        <v>5552</v>
      </c>
      <c r="D794" s="2352" t="s">
        <v>5709</v>
      </c>
      <c r="E794" s="355">
        <v>100</v>
      </c>
      <c r="F794" s="1662">
        <v>50</v>
      </c>
      <c r="G794" s="903"/>
    </row>
    <row r="795" spans="1:7" ht="15" customHeight="1" x14ac:dyDescent="0.25">
      <c r="A795" s="2352" t="s">
        <v>14126</v>
      </c>
      <c r="B795" s="2352" t="s">
        <v>5552</v>
      </c>
      <c r="C795" s="2352" t="s">
        <v>5552</v>
      </c>
      <c r="D795" s="2352" t="s">
        <v>5710</v>
      </c>
      <c r="E795" s="355">
        <v>250</v>
      </c>
      <c r="F795" s="1662">
        <v>50</v>
      </c>
      <c r="G795" s="903"/>
    </row>
    <row r="796" spans="1:7" ht="15" customHeight="1" x14ac:dyDescent="0.25">
      <c r="A796" s="2352" t="s">
        <v>14125</v>
      </c>
      <c r="B796" s="2352" t="s">
        <v>5552</v>
      </c>
      <c r="C796" s="2352" t="s">
        <v>5552</v>
      </c>
      <c r="D796" s="2352" t="s">
        <v>5711</v>
      </c>
      <c r="E796" s="355">
        <v>100</v>
      </c>
      <c r="F796" s="1662">
        <v>20</v>
      </c>
      <c r="G796" s="903"/>
    </row>
    <row r="797" spans="1:7" ht="15" customHeight="1" x14ac:dyDescent="0.25">
      <c r="A797" s="2352" t="s">
        <v>14125</v>
      </c>
      <c r="B797" s="2352" t="s">
        <v>5552</v>
      </c>
      <c r="C797" s="2352" t="s">
        <v>5552</v>
      </c>
      <c r="D797" s="2352" t="s">
        <v>5712</v>
      </c>
      <c r="E797" s="355">
        <v>250</v>
      </c>
      <c r="F797" s="1662">
        <v>150</v>
      </c>
      <c r="G797" s="903"/>
    </row>
    <row r="798" spans="1:7" ht="15" customHeight="1" x14ac:dyDescent="0.25">
      <c r="A798" s="2352" t="s">
        <v>14125</v>
      </c>
      <c r="B798" s="2352" t="s">
        <v>5552</v>
      </c>
      <c r="C798" s="2352" t="s">
        <v>5552</v>
      </c>
      <c r="D798" s="2352" t="s">
        <v>5713</v>
      </c>
      <c r="E798" s="355">
        <v>60</v>
      </c>
      <c r="F798" s="1662">
        <v>25</v>
      </c>
      <c r="G798" s="903"/>
    </row>
    <row r="799" spans="1:7" ht="15" customHeight="1" x14ac:dyDescent="0.25">
      <c r="A799" s="2352" t="s">
        <v>14125</v>
      </c>
      <c r="B799" s="2352" t="s">
        <v>5552</v>
      </c>
      <c r="C799" s="2352" t="s">
        <v>5552</v>
      </c>
      <c r="D799" s="2352" t="s">
        <v>5714</v>
      </c>
      <c r="E799" s="355" t="s">
        <v>5715</v>
      </c>
      <c r="F799" s="1662">
        <v>468</v>
      </c>
      <c r="G799" s="903"/>
    </row>
    <row r="800" spans="1:7" ht="15" customHeight="1" x14ac:dyDescent="0.25">
      <c r="A800" s="2352" t="s">
        <v>14125</v>
      </c>
      <c r="B800" s="2352" t="s">
        <v>5552</v>
      </c>
      <c r="C800" s="2352" t="s">
        <v>5552</v>
      </c>
      <c r="D800" s="2352" t="s">
        <v>5716</v>
      </c>
      <c r="E800" s="355">
        <v>160</v>
      </c>
      <c r="F800" s="1662">
        <v>47</v>
      </c>
      <c r="G800" s="903"/>
    </row>
    <row r="801" spans="1:7" ht="15" customHeight="1" x14ac:dyDescent="0.25">
      <c r="A801" s="2352" t="s">
        <v>14125</v>
      </c>
      <c r="B801" s="2352" t="s">
        <v>5552</v>
      </c>
      <c r="C801" s="2352" t="s">
        <v>5552</v>
      </c>
      <c r="D801" s="2352" t="s">
        <v>5717</v>
      </c>
      <c r="E801" s="355">
        <v>100</v>
      </c>
      <c r="F801" s="1662">
        <v>28</v>
      </c>
      <c r="G801" s="903"/>
    </row>
    <row r="802" spans="1:7" ht="15" customHeight="1" x14ac:dyDescent="0.25">
      <c r="A802" s="2352" t="s">
        <v>14127</v>
      </c>
      <c r="B802" s="2352" t="s">
        <v>5552</v>
      </c>
      <c r="C802" s="2352" t="s">
        <v>5552</v>
      </c>
      <c r="D802" s="2352" t="s">
        <v>5718</v>
      </c>
      <c r="E802" s="355">
        <v>10</v>
      </c>
      <c r="F802" s="1662">
        <v>0</v>
      </c>
      <c r="G802" s="903"/>
    </row>
    <row r="803" spans="1:7" ht="15" customHeight="1" x14ac:dyDescent="0.25">
      <c r="A803" s="2352" t="s">
        <v>14128</v>
      </c>
      <c r="B803" s="2352" t="s">
        <v>5552</v>
      </c>
      <c r="C803" s="2352" t="s">
        <v>5552</v>
      </c>
      <c r="D803" s="2352" t="s">
        <v>5719</v>
      </c>
      <c r="E803" s="355">
        <v>100</v>
      </c>
      <c r="F803" s="1662">
        <v>10</v>
      </c>
      <c r="G803" s="903"/>
    </row>
    <row r="804" spans="1:7" ht="15" customHeight="1" x14ac:dyDescent="0.25">
      <c r="A804" s="2352" t="s">
        <v>14128</v>
      </c>
      <c r="B804" s="2352" t="s">
        <v>5552</v>
      </c>
      <c r="C804" s="2352" t="s">
        <v>5552</v>
      </c>
      <c r="D804" s="2352" t="s">
        <v>5720</v>
      </c>
      <c r="E804" s="355">
        <v>60</v>
      </c>
      <c r="F804" s="1662">
        <v>60</v>
      </c>
      <c r="G804" s="903"/>
    </row>
    <row r="805" spans="1:7" ht="15" customHeight="1" x14ac:dyDescent="0.25">
      <c r="A805" s="2352" t="s">
        <v>14129</v>
      </c>
      <c r="B805" s="2352" t="s">
        <v>5552</v>
      </c>
      <c r="C805" s="2352" t="s">
        <v>5552</v>
      </c>
      <c r="D805" s="2352" t="s">
        <v>5721</v>
      </c>
      <c r="E805" s="355">
        <v>100</v>
      </c>
      <c r="F805" s="1662">
        <v>18</v>
      </c>
      <c r="G805" s="903"/>
    </row>
    <row r="806" spans="1:7" ht="15" customHeight="1" x14ac:dyDescent="0.25">
      <c r="A806" s="2352" t="s">
        <v>14130</v>
      </c>
      <c r="B806" s="2352" t="s">
        <v>5552</v>
      </c>
      <c r="C806" s="2352" t="s">
        <v>5552</v>
      </c>
      <c r="D806" s="2352" t="s">
        <v>5722</v>
      </c>
      <c r="E806" s="355">
        <v>40</v>
      </c>
      <c r="F806" s="1662">
        <v>10</v>
      </c>
      <c r="G806" s="903"/>
    </row>
    <row r="807" spans="1:7" ht="15" customHeight="1" x14ac:dyDescent="0.25">
      <c r="A807" s="2352" t="s">
        <v>6429</v>
      </c>
      <c r="B807" s="2352" t="s">
        <v>5552</v>
      </c>
      <c r="C807" s="2352" t="s">
        <v>5552</v>
      </c>
      <c r="D807" s="2352" t="s">
        <v>5723</v>
      </c>
      <c r="E807" s="355">
        <v>25</v>
      </c>
      <c r="F807" s="1662">
        <v>5</v>
      </c>
      <c r="G807" s="903"/>
    </row>
    <row r="808" spans="1:7" ht="15" customHeight="1" x14ac:dyDescent="0.25">
      <c r="A808" s="2352" t="s">
        <v>9371</v>
      </c>
      <c r="B808" s="2352" t="s">
        <v>5552</v>
      </c>
      <c r="C808" s="2352" t="s">
        <v>5552</v>
      </c>
      <c r="D808" s="2352" t="s">
        <v>5724</v>
      </c>
      <c r="E808" s="355">
        <v>30</v>
      </c>
      <c r="F808" s="1662">
        <v>5</v>
      </c>
      <c r="G808" s="903"/>
    </row>
    <row r="809" spans="1:7" ht="15" customHeight="1" x14ac:dyDescent="0.25">
      <c r="A809" s="2352" t="s">
        <v>14131</v>
      </c>
      <c r="B809" s="2352" t="s">
        <v>5552</v>
      </c>
      <c r="C809" s="2352" t="s">
        <v>5552</v>
      </c>
      <c r="D809" s="2352" t="s">
        <v>5725</v>
      </c>
      <c r="E809" s="355">
        <v>30</v>
      </c>
      <c r="F809" s="1662">
        <v>0</v>
      </c>
      <c r="G809" s="903"/>
    </row>
    <row r="810" spans="1:7" ht="15" customHeight="1" x14ac:dyDescent="0.25">
      <c r="A810" s="2352" t="s">
        <v>4110</v>
      </c>
      <c r="B810" s="2352" t="s">
        <v>5552</v>
      </c>
      <c r="C810" s="2352" t="s">
        <v>5552</v>
      </c>
      <c r="D810" s="2352" t="s">
        <v>5726</v>
      </c>
      <c r="E810" s="355">
        <v>160</v>
      </c>
      <c r="F810" s="1662">
        <v>60</v>
      </c>
      <c r="G810" s="903"/>
    </row>
    <row r="811" spans="1:7" ht="15" customHeight="1" x14ac:dyDescent="0.25">
      <c r="A811" s="2352" t="s">
        <v>4110</v>
      </c>
      <c r="B811" s="2352" t="s">
        <v>5552</v>
      </c>
      <c r="C811" s="2352" t="s">
        <v>5552</v>
      </c>
      <c r="D811" s="2352" t="s">
        <v>5727</v>
      </c>
      <c r="E811" s="355">
        <v>30</v>
      </c>
      <c r="F811" s="1662">
        <v>5</v>
      </c>
      <c r="G811" s="903"/>
    </row>
    <row r="812" spans="1:7" ht="15" customHeight="1" x14ac:dyDescent="0.25">
      <c r="A812" s="2352" t="s">
        <v>4110</v>
      </c>
      <c r="B812" s="2352" t="s">
        <v>5552</v>
      </c>
      <c r="C812" s="2352" t="s">
        <v>5552</v>
      </c>
      <c r="D812" s="2352" t="s">
        <v>5728</v>
      </c>
      <c r="E812" s="355">
        <v>60</v>
      </c>
      <c r="F812" s="1662">
        <v>30</v>
      </c>
      <c r="G812" s="903"/>
    </row>
    <row r="813" spans="1:7" ht="15" customHeight="1" x14ac:dyDescent="0.25">
      <c r="A813" s="2352" t="s">
        <v>14132</v>
      </c>
      <c r="B813" s="2352" t="s">
        <v>5552</v>
      </c>
      <c r="C813" s="2352" t="s">
        <v>5552</v>
      </c>
      <c r="D813" s="2352" t="s">
        <v>5729</v>
      </c>
      <c r="E813" s="355">
        <v>10</v>
      </c>
      <c r="F813" s="1662">
        <v>0</v>
      </c>
      <c r="G813" s="903"/>
    </row>
    <row r="814" spans="1:7" ht="15" customHeight="1" x14ac:dyDescent="0.25">
      <c r="A814" s="2352" t="s">
        <v>14133</v>
      </c>
      <c r="B814" s="2352" t="s">
        <v>5552</v>
      </c>
      <c r="C814" s="2352" t="s">
        <v>5552</v>
      </c>
      <c r="D814" s="2352" t="s">
        <v>5730</v>
      </c>
      <c r="E814" s="355">
        <v>30</v>
      </c>
      <c r="F814" s="1662">
        <v>15</v>
      </c>
      <c r="G814" s="903"/>
    </row>
    <row r="815" spans="1:7" ht="15" customHeight="1" x14ac:dyDescent="0.25">
      <c r="A815" s="2352" t="s">
        <v>14125</v>
      </c>
      <c r="B815" s="2352" t="s">
        <v>5552</v>
      </c>
      <c r="C815" s="2352" t="s">
        <v>5552</v>
      </c>
      <c r="D815" s="2352" t="s">
        <v>5731</v>
      </c>
      <c r="E815" s="355">
        <v>250</v>
      </c>
      <c r="F815" s="1662">
        <v>100</v>
      </c>
      <c r="G815" s="903"/>
    </row>
    <row r="816" spans="1:7" ht="15" customHeight="1" x14ac:dyDescent="0.25">
      <c r="A816" s="2352" t="s">
        <v>14125</v>
      </c>
      <c r="B816" s="2352" t="s">
        <v>5552</v>
      </c>
      <c r="C816" s="2352" t="s">
        <v>5552</v>
      </c>
      <c r="D816" s="2352" t="s">
        <v>5732</v>
      </c>
      <c r="E816" s="355">
        <v>160</v>
      </c>
      <c r="F816" s="1662">
        <v>0</v>
      </c>
      <c r="G816" s="903"/>
    </row>
    <row r="817" spans="1:7" ht="15" customHeight="1" x14ac:dyDescent="0.25">
      <c r="A817" s="2352" t="s">
        <v>14125</v>
      </c>
      <c r="B817" s="2352" t="s">
        <v>5552</v>
      </c>
      <c r="C817" s="2352" t="s">
        <v>5552</v>
      </c>
      <c r="D817" s="2352" t="s">
        <v>5733</v>
      </c>
      <c r="E817" s="355">
        <v>400</v>
      </c>
      <c r="F817" s="1662">
        <v>300</v>
      </c>
      <c r="G817" s="903"/>
    </row>
    <row r="818" spans="1:7" ht="15" customHeight="1" x14ac:dyDescent="0.25">
      <c r="A818" s="2352" t="s">
        <v>14125</v>
      </c>
      <c r="B818" s="2352" t="s">
        <v>5552</v>
      </c>
      <c r="C818" s="2352" t="s">
        <v>5552</v>
      </c>
      <c r="D818" s="2352" t="s">
        <v>5734</v>
      </c>
      <c r="E818" s="355">
        <v>400</v>
      </c>
      <c r="F818" s="1662">
        <v>200</v>
      </c>
      <c r="G818" s="903"/>
    </row>
    <row r="819" spans="1:7" ht="15" customHeight="1" x14ac:dyDescent="0.25">
      <c r="A819" s="2352" t="s">
        <v>14125</v>
      </c>
      <c r="B819" s="2352" t="s">
        <v>5552</v>
      </c>
      <c r="C819" s="2352" t="s">
        <v>5552</v>
      </c>
      <c r="D819" s="2352" t="s">
        <v>5735</v>
      </c>
      <c r="E819" s="355">
        <v>160</v>
      </c>
      <c r="F819" s="1662">
        <v>60</v>
      </c>
      <c r="G819" s="903"/>
    </row>
    <row r="820" spans="1:7" ht="15" customHeight="1" x14ac:dyDescent="0.25">
      <c r="A820" s="2352" t="s">
        <v>14134</v>
      </c>
      <c r="B820" s="2352" t="s">
        <v>5552</v>
      </c>
      <c r="C820" s="2352" t="s">
        <v>5552</v>
      </c>
      <c r="D820" s="2352" t="s">
        <v>5736</v>
      </c>
      <c r="E820" s="355">
        <v>160</v>
      </c>
      <c r="F820" s="1662">
        <v>130</v>
      </c>
      <c r="G820" s="903"/>
    </row>
    <row r="821" spans="1:7" ht="15" customHeight="1" x14ac:dyDescent="0.25">
      <c r="A821" s="2352" t="s">
        <v>14134</v>
      </c>
      <c r="B821" s="2352" t="s">
        <v>5552</v>
      </c>
      <c r="C821" s="2352" t="s">
        <v>5552</v>
      </c>
      <c r="D821" s="2352" t="s">
        <v>5737</v>
      </c>
      <c r="E821" s="355">
        <v>100</v>
      </c>
      <c r="F821" s="1662">
        <v>15</v>
      </c>
      <c r="G821" s="903"/>
    </row>
    <row r="822" spans="1:7" ht="15" customHeight="1" x14ac:dyDescent="0.25">
      <c r="A822" s="2352" t="s">
        <v>7594</v>
      </c>
      <c r="B822" s="2352" t="s">
        <v>5552</v>
      </c>
      <c r="C822" s="2352" t="s">
        <v>5552</v>
      </c>
      <c r="D822" s="2352" t="s">
        <v>5738</v>
      </c>
      <c r="E822" s="355">
        <v>63</v>
      </c>
      <c r="F822" s="1662">
        <v>0</v>
      </c>
      <c r="G822" s="903"/>
    </row>
    <row r="823" spans="1:7" ht="15" customHeight="1" x14ac:dyDescent="0.25">
      <c r="A823" s="2352" t="s">
        <v>7594</v>
      </c>
      <c r="B823" s="2352" t="s">
        <v>5552</v>
      </c>
      <c r="C823" s="2352" t="s">
        <v>5552</v>
      </c>
      <c r="D823" s="2352" t="s">
        <v>20079</v>
      </c>
      <c r="E823" s="355">
        <v>0</v>
      </c>
      <c r="F823" s="1662">
        <v>0</v>
      </c>
      <c r="G823" s="903"/>
    </row>
    <row r="824" spans="1:7" ht="15" customHeight="1" x14ac:dyDescent="0.25">
      <c r="A824" s="2352" t="s">
        <v>14135</v>
      </c>
      <c r="B824" s="2352" t="s">
        <v>5552</v>
      </c>
      <c r="C824" s="2352" t="s">
        <v>5552</v>
      </c>
      <c r="D824" s="2352" t="s">
        <v>5739</v>
      </c>
      <c r="E824" s="355">
        <v>100</v>
      </c>
      <c r="F824" s="1662">
        <v>15</v>
      </c>
      <c r="G824" s="903"/>
    </row>
    <row r="825" spans="1:7" ht="15" customHeight="1" x14ac:dyDescent="0.25">
      <c r="A825" s="2352" t="s">
        <v>14136</v>
      </c>
      <c r="B825" s="2352" t="s">
        <v>5552</v>
      </c>
      <c r="C825" s="2352" t="s">
        <v>5552</v>
      </c>
      <c r="D825" s="2352" t="s">
        <v>5740</v>
      </c>
      <c r="E825" s="355">
        <v>60</v>
      </c>
      <c r="F825" s="1662">
        <v>10</v>
      </c>
      <c r="G825" s="903"/>
    </row>
    <row r="826" spans="1:7" ht="15" customHeight="1" x14ac:dyDescent="0.25">
      <c r="A826" s="2352" t="s">
        <v>14137</v>
      </c>
      <c r="B826" s="2352" t="s">
        <v>5552</v>
      </c>
      <c r="C826" s="2352" t="s">
        <v>5552</v>
      </c>
      <c r="D826" s="2352" t="s">
        <v>5741</v>
      </c>
      <c r="E826" s="355">
        <v>60</v>
      </c>
      <c r="F826" s="1662">
        <v>10</v>
      </c>
      <c r="G826" s="903"/>
    </row>
    <row r="827" spans="1:7" ht="15" customHeight="1" x14ac:dyDescent="0.25">
      <c r="A827" s="2352" t="s">
        <v>13698</v>
      </c>
      <c r="B827" s="2352" t="s">
        <v>5552</v>
      </c>
      <c r="C827" s="2352" t="s">
        <v>5552</v>
      </c>
      <c r="D827" s="2352" t="s">
        <v>5742</v>
      </c>
      <c r="E827" s="355">
        <v>25</v>
      </c>
      <c r="F827" s="1662">
        <v>5</v>
      </c>
      <c r="G827" s="903"/>
    </row>
    <row r="828" spans="1:7" ht="15" customHeight="1" x14ac:dyDescent="0.25">
      <c r="A828" s="2352" t="s">
        <v>14138</v>
      </c>
      <c r="B828" s="2352" t="s">
        <v>5552</v>
      </c>
      <c r="C828" s="2352" t="s">
        <v>5552</v>
      </c>
      <c r="D828" s="2352" t="s">
        <v>5743</v>
      </c>
      <c r="E828" s="355">
        <v>160</v>
      </c>
      <c r="F828" s="1662">
        <v>120</v>
      </c>
      <c r="G828" s="903"/>
    </row>
    <row r="829" spans="1:7" ht="15" customHeight="1" x14ac:dyDescent="0.25">
      <c r="A829" s="2352" t="s">
        <v>14139</v>
      </c>
      <c r="B829" s="2352" t="s">
        <v>5552</v>
      </c>
      <c r="C829" s="2352" t="s">
        <v>5552</v>
      </c>
      <c r="D829" s="2352" t="s">
        <v>5744</v>
      </c>
      <c r="E829" s="355">
        <v>63</v>
      </c>
      <c r="F829" s="1662">
        <v>20</v>
      </c>
      <c r="G829" s="903"/>
    </row>
    <row r="830" spans="1:7" ht="15" customHeight="1" x14ac:dyDescent="0.25">
      <c r="A830" s="2352" t="s">
        <v>14139</v>
      </c>
      <c r="B830" s="2352" t="s">
        <v>5552</v>
      </c>
      <c r="C830" s="2352" t="s">
        <v>5552</v>
      </c>
      <c r="D830" s="2352" t="s">
        <v>5745</v>
      </c>
      <c r="E830" s="355">
        <v>250</v>
      </c>
      <c r="F830" s="1662">
        <v>65</v>
      </c>
      <c r="G830" s="903"/>
    </row>
    <row r="831" spans="1:7" ht="15" customHeight="1" x14ac:dyDescent="0.25">
      <c r="A831" s="2352" t="s">
        <v>14139</v>
      </c>
      <c r="B831" s="2352" t="s">
        <v>5552</v>
      </c>
      <c r="C831" s="2352" t="s">
        <v>5552</v>
      </c>
      <c r="D831" s="2352" t="s">
        <v>5746</v>
      </c>
      <c r="E831" s="355">
        <v>100</v>
      </c>
      <c r="F831" s="1662">
        <v>25</v>
      </c>
      <c r="G831" s="903"/>
    </row>
    <row r="832" spans="1:7" ht="15" customHeight="1" x14ac:dyDescent="0.25">
      <c r="A832" s="2352" t="s">
        <v>14139</v>
      </c>
      <c r="B832" s="2352" t="s">
        <v>5552</v>
      </c>
      <c r="C832" s="2352" t="s">
        <v>5552</v>
      </c>
      <c r="D832" s="2352" t="s">
        <v>5747</v>
      </c>
      <c r="E832" s="355">
        <v>100</v>
      </c>
      <c r="F832" s="1662">
        <v>40</v>
      </c>
      <c r="G832" s="903"/>
    </row>
    <row r="833" spans="1:7" ht="15" customHeight="1" x14ac:dyDescent="0.25">
      <c r="A833" s="2352" t="s">
        <v>12117</v>
      </c>
      <c r="B833" s="2352" t="s">
        <v>5552</v>
      </c>
      <c r="C833" s="2352" t="s">
        <v>5552</v>
      </c>
      <c r="D833" s="2352" t="s">
        <v>5748</v>
      </c>
      <c r="E833" s="355">
        <v>30</v>
      </c>
      <c r="F833" s="1662">
        <v>10</v>
      </c>
      <c r="G833" s="903"/>
    </row>
    <row r="834" spans="1:7" ht="15" customHeight="1" x14ac:dyDescent="0.25">
      <c r="A834" s="2352" t="s">
        <v>14140</v>
      </c>
      <c r="B834" s="2352" t="s">
        <v>5552</v>
      </c>
      <c r="C834" s="2352" t="s">
        <v>5552</v>
      </c>
      <c r="D834" s="2352" t="s">
        <v>5749</v>
      </c>
      <c r="E834" s="355">
        <v>160</v>
      </c>
      <c r="F834" s="1662">
        <v>60</v>
      </c>
      <c r="G834" s="903"/>
    </row>
    <row r="835" spans="1:7" ht="15" customHeight="1" x14ac:dyDescent="0.25">
      <c r="A835" s="2352" t="s">
        <v>14141</v>
      </c>
      <c r="B835" s="2352" t="s">
        <v>5552</v>
      </c>
      <c r="C835" s="2352" t="s">
        <v>5552</v>
      </c>
      <c r="D835" s="2352" t="s">
        <v>5750</v>
      </c>
      <c r="E835" s="355">
        <v>100</v>
      </c>
      <c r="F835" s="1662">
        <v>20</v>
      </c>
      <c r="G835" s="903"/>
    </row>
    <row r="836" spans="1:7" ht="15" customHeight="1" x14ac:dyDescent="0.25">
      <c r="A836" s="2352" t="s">
        <v>14142</v>
      </c>
      <c r="B836" s="2352" t="s">
        <v>5552</v>
      </c>
      <c r="C836" s="2352" t="s">
        <v>5552</v>
      </c>
      <c r="D836" s="2352" t="s">
        <v>5751</v>
      </c>
      <c r="E836" s="355">
        <v>60</v>
      </c>
      <c r="F836" s="1662">
        <v>10</v>
      </c>
      <c r="G836" s="903"/>
    </row>
    <row r="837" spans="1:7" ht="15" customHeight="1" x14ac:dyDescent="0.25">
      <c r="A837" s="2352" t="s">
        <v>14143</v>
      </c>
      <c r="B837" s="2352" t="s">
        <v>5552</v>
      </c>
      <c r="C837" s="2352" t="s">
        <v>5552</v>
      </c>
      <c r="D837" s="2352" t="s">
        <v>5752</v>
      </c>
      <c r="E837" s="355">
        <v>10</v>
      </c>
      <c r="F837" s="1662">
        <v>0</v>
      </c>
      <c r="G837" s="903"/>
    </row>
    <row r="838" spans="1:7" ht="15" customHeight="1" x14ac:dyDescent="0.25">
      <c r="A838" s="2352" t="s">
        <v>6416</v>
      </c>
      <c r="B838" s="2352" t="s">
        <v>5552</v>
      </c>
      <c r="C838" s="2352" t="s">
        <v>5552</v>
      </c>
      <c r="D838" s="2352" t="s">
        <v>5753</v>
      </c>
      <c r="E838" s="355">
        <v>50</v>
      </c>
      <c r="F838" s="1662">
        <v>10</v>
      </c>
      <c r="G838" s="903"/>
    </row>
    <row r="839" spans="1:7" ht="15" customHeight="1" x14ac:dyDescent="0.25">
      <c r="A839" s="2352" t="s">
        <v>14144</v>
      </c>
      <c r="B839" s="2352" t="s">
        <v>5552</v>
      </c>
      <c r="C839" s="2352" t="s">
        <v>5552</v>
      </c>
      <c r="D839" s="2352" t="s">
        <v>5754</v>
      </c>
      <c r="E839" s="355">
        <v>30</v>
      </c>
      <c r="F839" s="1662">
        <v>0</v>
      </c>
      <c r="G839" s="903"/>
    </row>
    <row r="840" spans="1:7" ht="15" customHeight="1" x14ac:dyDescent="0.25">
      <c r="A840" s="2352" t="s">
        <v>14139</v>
      </c>
      <c r="B840" s="2352" t="s">
        <v>5552</v>
      </c>
      <c r="C840" s="2352" t="s">
        <v>5552</v>
      </c>
      <c r="D840" s="2352" t="s">
        <v>5755</v>
      </c>
      <c r="E840" s="355" t="s">
        <v>5756</v>
      </c>
      <c r="F840" s="1662">
        <v>400</v>
      </c>
      <c r="G840" s="903"/>
    </row>
    <row r="841" spans="1:7" ht="15" customHeight="1" x14ac:dyDescent="0.25">
      <c r="A841" s="2352" t="s">
        <v>14139</v>
      </c>
      <c r="B841" s="2352" t="s">
        <v>5552</v>
      </c>
      <c r="C841" s="2352" t="s">
        <v>5552</v>
      </c>
      <c r="D841" s="2352" t="s">
        <v>5757</v>
      </c>
      <c r="E841" s="355">
        <v>100</v>
      </c>
      <c r="F841" s="1662">
        <v>0</v>
      </c>
      <c r="G841" s="903"/>
    </row>
    <row r="842" spans="1:7" ht="15" customHeight="1" x14ac:dyDescent="0.25">
      <c r="A842" s="2352" t="s">
        <v>14139</v>
      </c>
      <c r="B842" s="2352" t="s">
        <v>5552</v>
      </c>
      <c r="C842" s="2352" t="s">
        <v>5552</v>
      </c>
      <c r="D842" s="2352" t="s">
        <v>5758</v>
      </c>
      <c r="E842" s="355">
        <v>160</v>
      </c>
      <c r="F842" s="1662">
        <v>0</v>
      </c>
      <c r="G842" s="903"/>
    </row>
    <row r="843" spans="1:7" ht="15" customHeight="1" x14ac:dyDescent="0.25">
      <c r="A843" s="2352" t="s">
        <v>10934</v>
      </c>
      <c r="B843" s="2352" t="s">
        <v>5552</v>
      </c>
      <c r="C843" s="2352" t="s">
        <v>5552</v>
      </c>
      <c r="D843" s="2352" t="s">
        <v>5759</v>
      </c>
      <c r="E843" s="355">
        <v>30</v>
      </c>
      <c r="F843" s="1662">
        <v>0</v>
      </c>
      <c r="G843" s="903"/>
    </row>
    <row r="844" spans="1:7" ht="15" customHeight="1" x14ac:dyDescent="0.25">
      <c r="A844" s="2352" t="s">
        <v>14145</v>
      </c>
      <c r="B844" s="2352" t="s">
        <v>5552</v>
      </c>
      <c r="C844" s="2352" t="s">
        <v>5552</v>
      </c>
      <c r="D844" s="2352" t="s">
        <v>5760</v>
      </c>
      <c r="E844" s="355">
        <v>60</v>
      </c>
      <c r="F844" s="1662">
        <v>15</v>
      </c>
      <c r="G844" s="903"/>
    </row>
    <row r="845" spans="1:7" ht="15" customHeight="1" x14ac:dyDescent="0.25">
      <c r="A845" s="2352" t="s">
        <v>14146</v>
      </c>
      <c r="B845" s="2352" t="s">
        <v>5552</v>
      </c>
      <c r="C845" s="2352" t="s">
        <v>5552</v>
      </c>
      <c r="D845" s="2352" t="s">
        <v>5761</v>
      </c>
      <c r="E845" s="355">
        <v>50</v>
      </c>
      <c r="F845" s="1662">
        <v>15</v>
      </c>
      <c r="G845" s="903"/>
    </row>
    <row r="846" spans="1:7" ht="15" customHeight="1" x14ac:dyDescent="0.25">
      <c r="A846" s="2352" t="s">
        <v>4014</v>
      </c>
      <c r="B846" s="2352" t="s">
        <v>5552</v>
      </c>
      <c r="C846" s="2352" t="s">
        <v>5552</v>
      </c>
      <c r="D846" s="2352" t="s">
        <v>5762</v>
      </c>
      <c r="E846" s="355">
        <v>60</v>
      </c>
      <c r="F846" s="1662">
        <v>0</v>
      </c>
      <c r="G846" s="903"/>
    </row>
    <row r="847" spans="1:7" ht="15" customHeight="1" x14ac:dyDescent="0.25">
      <c r="A847" s="2352" t="s">
        <v>14138</v>
      </c>
      <c r="B847" s="2352" t="s">
        <v>5552</v>
      </c>
      <c r="C847" s="2352" t="s">
        <v>5552</v>
      </c>
      <c r="D847" s="2352" t="s">
        <v>5763</v>
      </c>
      <c r="E847" s="355">
        <v>160</v>
      </c>
      <c r="F847" s="1662">
        <v>60</v>
      </c>
      <c r="G847" s="903"/>
    </row>
    <row r="848" spans="1:7" ht="15" customHeight="1" x14ac:dyDescent="0.25">
      <c r="A848" s="2352" t="s">
        <v>14147</v>
      </c>
      <c r="B848" s="2352" t="s">
        <v>5552</v>
      </c>
      <c r="C848" s="2352" t="s">
        <v>5552</v>
      </c>
      <c r="D848" s="2352" t="s">
        <v>5764</v>
      </c>
      <c r="E848" s="355">
        <v>40</v>
      </c>
      <c r="F848" s="1662">
        <v>5</v>
      </c>
      <c r="G848" s="903"/>
    </row>
    <row r="849" spans="1:7" ht="15" customHeight="1" x14ac:dyDescent="0.25">
      <c r="A849" s="2352" t="s">
        <v>14148</v>
      </c>
      <c r="B849" s="2352" t="s">
        <v>5552</v>
      </c>
      <c r="C849" s="2352" t="s">
        <v>5552</v>
      </c>
      <c r="D849" s="2352" t="s">
        <v>5765</v>
      </c>
      <c r="E849" s="355">
        <v>100</v>
      </c>
      <c r="F849" s="1662">
        <v>0</v>
      </c>
      <c r="G849" s="903"/>
    </row>
    <row r="850" spans="1:7" ht="15" customHeight="1" x14ac:dyDescent="0.25">
      <c r="A850" s="2352" t="s">
        <v>14148</v>
      </c>
      <c r="B850" s="2352" t="s">
        <v>5552</v>
      </c>
      <c r="C850" s="2352" t="s">
        <v>5552</v>
      </c>
      <c r="D850" s="2352" t="s">
        <v>5766</v>
      </c>
      <c r="E850" s="355">
        <v>250</v>
      </c>
      <c r="F850" s="1662">
        <v>0</v>
      </c>
      <c r="G850" s="903"/>
    </row>
    <row r="851" spans="1:7" ht="15" customHeight="1" x14ac:dyDescent="0.25">
      <c r="A851" s="2352" t="s">
        <v>14149</v>
      </c>
      <c r="B851" s="2352" t="s">
        <v>5552</v>
      </c>
      <c r="C851" s="2352" t="s">
        <v>5552</v>
      </c>
      <c r="D851" s="2352" t="s">
        <v>5767</v>
      </c>
      <c r="E851" s="355">
        <v>60</v>
      </c>
      <c r="F851" s="1662">
        <v>20</v>
      </c>
      <c r="G851" s="903"/>
    </row>
    <row r="852" spans="1:7" ht="15" customHeight="1" x14ac:dyDescent="0.25">
      <c r="A852" s="2352" t="s">
        <v>14150</v>
      </c>
      <c r="B852" s="2352" t="s">
        <v>5552</v>
      </c>
      <c r="C852" s="2352" t="s">
        <v>5552</v>
      </c>
      <c r="D852" s="2352" t="s">
        <v>5768</v>
      </c>
      <c r="E852" s="355">
        <v>60</v>
      </c>
      <c r="F852" s="1662">
        <v>20</v>
      </c>
      <c r="G852" s="903"/>
    </row>
    <row r="853" spans="1:7" ht="15" customHeight="1" x14ac:dyDescent="0.25">
      <c r="A853" s="2352" t="s">
        <v>14151</v>
      </c>
      <c r="B853" s="2352" t="s">
        <v>5552</v>
      </c>
      <c r="C853" s="2352" t="s">
        <v>5552</v>
      </c>
      <c r="D853" s="2352" t="s">
        <v>5769</v>
      </c>
      <c r="E853" s="355">
        <v>160</v>
      </c>
      <c r="F853" s="1662">
        <v>20</v>
      </c>
      <c r="G853" s="903"/>
    </row>
    <row r="854" spans="1:7" ht="15" customHeight="1" x14ac:dyDescent="0.25">
      <c r="A854" s="2352" t="s">
        <v>14152</v>
      </c>
      <c r="B854" s="2352" t="s">
        <v>5552</v>
      </c>
      <c r="C854" s="2352" t="s">
        <v>5552</v>
      </c>
      <c r="D854" s="2352" t="s">
        <v>5770</v>
      </c>
      <c r="E854" s="355">
        <v>30</v>
      </c>
      <c r="F854" s="1662">
        <v>10</v>
      </c>
      <c r="G854" s="903"/>
    </row>
    <row r="855" spans="1:7" ht="15" customHeight="1" x14ac:dyDescent="0.25">
      <c r="A855" s="2352" t="s">
        <v>14153</v>
      </c>
      <c r="B855" s="2352" t="s">
        <v>5552</v>
      </c>
      <c r="C855" s="2352" t="s">
        <v>5552</v>
      </c>
      <c r="D855" s="2352" t="s">
        <v>5771</v>
      </c>
      <c r="E855" s="355">
        <v>10</v>
      </c>
      <c r="F855" s="1662">
        <v>0</v>
      </c>
      <c r="G855" s="903"/>
    </row>
    <row r="856" spans="1:7" ht="15" customHeight="1" x14ac:dyDescent="0.25">
      <c r="A856" s="2352" t="s">
        <v>3964</v>
      </c>
      <c r="B856" s="2352" t="s">
        <v>5552</v>
      </c>
      <c r="C856" s="2352" t="s">
        <v>5552</v>
      </c>
      <c r="D856" s="2352" t="s">
        <v>5772</v>
      </c>
      <c r="E856" s="355">
        <v>25</v>
      </c>
      <c r="F856" s="1662">
        <v>10</v>
      </c>
      <c r="G856" s="903"/>
    </row>
    <row r="857" spans="1:7" ht="15" customHeight="1" x14ac:dyDescent="0.25">
      <c r="A857" s="2352" t="s">
        <v>8561</v>
      </c>
      <c r="B857" s="2352" t="s">
        <v>5552</v>
      </c>
      <c r="C857" s="2352" t="s">
        <v>5552</v>
      </c>
      <c r="D857" s="2352" t="s">
        <v>5773</v>
      </c>
      <c r="E857" s="355">
        <v>10</v>
      </c>
      <c r="F857" s="1662">
        <v>0</v>
      </c>
      <c r="G857" s="903"/>
    </row>
    <row r="858" spans="1:7" ht="15" customHeight="1" x14ac:dyDescent="0.25">
      <c r="A858" s="2352" t="s">
        <v>14154</v>
      </c>
      <c r="B858" s="2352" t="s">
        <v>5552</v>
      </c>
      <c r="C858" s="2352" t="s">
        <v>5552</v>
      </c>
      <c r="D858" s="2352" t="s">
        <v>5774</v>
      </c>
      <c r="E858" s="355">
        <v>63</v>
      </c>
      <c r="F858" s="1662">
        <v>33</v>
      </c>
      <c r="G858" s="903"/>
    </row>
    <row r="859" spans="1:7" ht="15" customHeight="1" x14ac:dyDescent="0.25">
      <c r="A859" s="2352" t="s">
        <v>14155</v>
      </c>
      <c r="B859" s="2352" t="s">
        <v>5552</v>
      </c>
      <c r="C859" s="2352" t="s">
        <v>5552</v>
      </c>
      <c r="D859" s="2352" t="s">
        <v>5775</v>
      </c>
      <c r="E859" s="355">
        <v>320</v>
      </c>
      <c r="F859" s="1662">
        <v>65</v>
      </c>
      <c r="G859" s="903"/>
    </row>
    <row r="860" spans="1:7" ht="15" customHeight="1" x14ac:dyDescent="0.25">
      <c r="A860" s="2352" t="s">
        <v>14156</v>
      </c>
      <c r="B860" s="2352" t="s">
        <v>5552</v>
      </c>
      <c r="C860" s="2352" t="s">
        <v>5552</v>
      </c>
      <c r="D860" s="2352" t="s">
        <v>5776</v>
      </c>
      <c r="E860" s="355">
        <v>630</v>
      </c>
      <c r="F860" s="1662">
        <v>595</v>
      </c>
      <c r="G860" s="903"/>
    </row>
    <row r="861" spans="1:7" ht="15" customHeight="1" x14ac:dyDescent="0.25">
      <c r="A861" s="2352" t="s">
        <v>14058</v>
      </c>
      <c r="B861" s="2352" t="s">
        <v>5552</v>
      </c>
      <c r="C861" s="2352" t="s">
        <v>5552</v>
      </c>
      <c r="D861" s="2352" t="s">
        <v>5777</v>
      </c>
      <c r="E861" s="355">
        <v>160</v>
      </c>
      <c r="F861" s="1662">
        <v>45</v>
      </c>
      <c r="G861" s="903"/>
    </row>
    <row r="862" spans="1:7" ht="15" customHeight="1" x14ac:dyDescent="0.25">
      <c r="A862" s="2352" t="s">
        <v>14062</v>
      </c>
      <c r="B862" s="2352" t="s">
        <v>5552</v>
      </c>
      <c r="C862" s="2352" t="s">
        <v>5552</v>
      </c>
      <c r="D862" s="2352" t="s">
        <v>5778</v>
      </c>
      <c r="E862" s="355">
        <v>250</v>
      </c>
      <c r="F862" s="1662">
        <v>180</v>
      </c>
      <c r="G862" s="903"/>
    </row>
    <row r="863" spans="1:7" ht="15" customHeight="1" x14ac:dyDescent="0.25">
      <c r="A863" s="2352" t="s">
        <v>14157</v>
      </c>
      <c r="B863" s="2352" t="s">
        <v>5552</v>
      </c>
      <c r="C863" s="2352" t="s">
        <v>5552</v>
      </c>
      <c r="D863" s="2352" t="s">
        <v>5779</v>
      </c>
      <c r="E863" s="355">
        <v>100</v>
      </c>
      <c r="F863" s="1662">
        <v>25</v>
      </c>
      <c r="G863" s="903"/>
    </row>
    <row r="864" spans="1:7" ht="15" customHeight="1" x14ac:dyDescent="0.25">
      <c r="A864" s="2352" t="s">
        <v>14078</v>
      </c>
      <c r="B864" s="2352" t="s">
        <v>5552</v>
      </c>
      <c r="C864" s="2352" t="s">
        <v>5552</v>
      </c>
      <c r="D864" s="2352" t="s">
        <v>5780</v>
      </c>
      <c r="E864" s="355">
        <v>25</v>
      </c>
      <c r="F864" s="1662">
        <v>0</v>
      </c>
      <c r="G864" s="903"/>
    </row>
    <row r="865" spans="1:7" ht="15" customHeight="1" x14ac:dyDescent="0.25">
      <c r="A865" s="2352" t="s">
        <v>14140</v>
      </c>
      <c r="B865" s="2352" t="s">
        <v>5552</v>
      </c>
      <c r="C865" s="2352" t="s">
        <v>5552</v>
      </c>
      <c r="D865" s="2352" t="s">
        <v>5781</v>
      </c>
      <c r="E865" s="355">
        <v>100</v>
      </c>
      <c r="F865" s="1662">
        <v>15</v>
      </c>
      <c r="G865" s="903"/>
    </row>
    <row r="866" spans="1:7" ht="15" customHeight="1" x14ac:dyDescent="0.25">
      <c r="A866" s="2352" t="s">
        <v>16357</v>
      </c>
      <c r="B866" s="2352" t="s">
        <v>16358</v>
      </c>
      <c r="C866" s="2352" t="s">
        <v>16358</v>
      </c>
      <c r="D866" s="2352" t="s">
        <v>16359</v>
      </c>
      <c r="E866" s="355" t="s">
        <v>17095</v>
      </c>
      <c r="F866" s="1662">
        <v>54</v>
      </c>
      <c r="G866" s="903"/>
    </row>
    <row r="867" spans="1:7" ht="15" customHeight="1" x14ac:dyDescent="0.25">
      <c r="A867" s="2352" t="s">
        <v>11743</v>
      </c>
      <c r="B867" s="2352" t="s">
        <v>16358</v>
      </c>
      <c r="C867" s="2352" t="s">
        <v>16358</v>
      </c>
      <c r="D867" s="2352" t="s">
        <v>16360</v>
      </c>
      <c r="E867" s="355" t="s">
        <v>17096</v>
      </c>
      <c r="F867" s="1662">
        <v>168</v>
      </c>
      <c r="G867" s="903"/>
    </row>
    <row r="868" spans="1:7" ht="15" customHeight="1" x14ac:dyDescent="0.25">
      <c r="A868" s="2352" t="s">
        <v>11743</v>
      </c>
      <c r="B868" s="2352" t="s">
        <v>16358</v>
      </c>
      <c r="C868" s="2352" t="s">
        <v>16358</v>
      </c>
      <c r="D868" s="2352" t="s">
        <v>16361</v>
      </c>
      <c r="E868" s="355" t="s">
        <v>17097</v>
      </c>
      <c r="F868" s="1662">
        <v>26</v>
      </c>
      <c r="G868" s="903"/>
    </row>
    <row r="869" spans="1:7" ht="15" customHeight="1" x14ac:dyDescent="0.25">
      <c r="A869" s="2352" t="s">
        <v>16362</v>
      </c>
      <c r="B869" s="2352" t="s">
        <v>16358</v>
      </c>
      <c r="C869" s="2352" t="s">
        <v>16358</v>
      </c>
      <c r="D869" s="2352" t="s">
        <v>16363</v>
      </c>
      <c r="E869" s="355" t="s">
        <v>17098</v>
      </c>
      <c r="F869" s="1662">
        <v>0</v>
      </c>
      <c r="G869" s="903"/>
    </row>
    <row r="870" spans="1:7" ht="15" customHeight="1" x14ac:dyDescent="0.25">
      <c r="A870" s="2352" t="s">
        <v>4153</v>
      </c>
      <c r="B870" s="2352" t="s">
        <v>16358</v>
      </c>
      <c r="C870" s="2352" t="s">
        <v>16358</v>
      </c>
      <c r="D870" s="2352" t="s">
        <v>16364</v>
      </c>
      <c r="E870" s="355" t="s">
        <v>17099</v>
      </c>
      <c r="F870" s="1662">
        <v>31</v>
      </c>
      <c r="G870" s="903"/>
    </row>
    <row r="871" spans="1:7" ht="15" customHeight="1" x14ac:dyDescent="0.25">
      <c r="A871" s="2352" t="s">
        <v>16365</v>
      </c>
      <c r="B871" s="2352" t="s">
        <v>16358</v>
      </c>
      <c r="C871" s="2352" t="s">
        <v>16358</v>
      </c>
      <c r="D871" s="2352" t="s">
        <v>16366</v>
      </c>
      <c r="E871" s="355" t="s">
        <v>17097</v>
      </c>
      <c r="F871" s="1662">
        <v>56</v>
      </c>
      <c r="G871" s="903"/>
    </row>
    <row r="872" spans="1:7" ht="15" customHeight="1" x14ac:dyDescent="0.25">
      <c r="A872" s="2352" t="s">
        <v>16365</v>
      </c>
      <c r="B872" s="2352" t="s">
        <v>16358</v>
      </c>
      <c r="C872" s="2352" t="s">
        <v>16358</v>
      </c>
      <c r="D872" s="2352" t="s">
        <v>16367</v>
      </c>
      <c r="E872" s="355" t="s">
        <v>17099</v>
      </c>
      <c r="F872" s="1662">
        <v>0</v>
      </c>
      <c r="G872" s="903"/>
    </row>
    <row r="873" spans="1:7" ht="15" customHeight="1" x14ac:dyDescent="0.25">
      <c r="A873" s="2352" t="s">
        <v>16368</v>
      </c>
      <c r="B873" s="2352" t="s">
        <v>16358</v>
      </c>
      <c r="C873" s="2352" t="s">
        <v>16358</v>
      </c>
      <c r="D873" s="2352" t="s">
        <v>16369</v>
      </c>
      <c r="E873" s="355" t="s">
        <v>17099</v>
      </c>
      <c r="F873" s="1662">
        <v>28</v>
      </c>
      <c r="G873" s="903"/>
    </row>
    <row r="874" spans="1:7" ht="15" customHeight="1" x14ac:dyDescent="0.25">
      <c r="A874" s="2352" t="s">
        <v>16370</v>
      </c>
      <c r="B874" s="2352" t="s">
        <v>16358</v>
      </c>
      <c r="C874" s="2352" t="s">
        <v>16358</v>
      </c>
      <c r="D874" s="2352" t="s">
        <v>16371</v>
      </c>
      <c r="E874" s="355" t="s">
        <v>17100</v>
      </c>
      <c r="F874" s="1662">
        <v>6</v>
      </c>
      <c r="G874" s="903"/>
    </row>
    <row r="875" spans="1:7" ht="15" customHeight="1" x14ac:dyDescent="0.25">
      <c r="A875" s="2352" t="s">
        <v>16372</v>
      </c>
      <c r="B875" s="2352" t="s">
        <v>16358</v>
      </c>
      <c r="C875" s="2352" t="s">
        <v>16358</v>
      </c>
      <c r="D875" s="2352" t="s">
        <v>16373</v>
      </c>
      <c r="E875" s="355" t="s">
        <v>17099</v>
      </c>
      <c r="F875" s="1662">
        <v>22</v>
      </c>
      <c r="G875" s="903"/>
    </row>
    <row r="876" spans="1:7" ht="15" customHeight="1" x14ac:dyDescent="0.25">
      <c r="A876" s="2352" t="s">
        <v>16374</v>
      </c>
      <c r="B876" s="2352" t="s">
        <v>16358</v>
      </c>
      <c r="C876" s="2352" t="s">
        <v>16358</v>
      </c>
      <c r="D876" s="2352" t="s">
        <v>16375</v>
      </c>
      <c r="E876" s="355" t="s">
        <v>17100</v>
      </c>
      <c r="F876" s="1662">
        <v>4</v>
      </c>
      <c r="G876" s="903"/>
    </row>
    <row r="877" spans="1:7" ht="15" customHeight="1" x14ac:dyDescent="0.25">
      <c r="A877" s="2352" t="s">
        <v>16376</v>
      </c>
      <c r="B877" s="2352" t="s">
        <v>16358</v>
      </c>
      <c r="C877" s="2352" t="s">
        <v>16358</v>
      </c>
      <c r="D877" s="2352" t="s">
        <v>16377</v>
      </c>
      <c r="E877" s="355" t="s">
        <v>17097</v>
      </c>
      <c r="F877" s="1662">
        <v>9</v>
      </c>
      <c r="G877" s="903"/>
    </row>
    <row r="878" spans="1:7" ht="15" customHeight="1" x14ac:dyDescent="0.25">
      <c r="A878" s="2352" t="s">
        <v>16378</v>
      </c>
      <c r="B878" s="2352" t="s">
        <v>16358</v>
      </c>
      <c r="C878" s="2352" t="s">
        <v>16358</v>
      </c>
      <c r="D878" s="2352" t="s">
        <v>16379</v>
      </c>
      <c r="E878" s="355" t="s">
        <v>17097</v>
      </c>
      <c r="F878" s="1662">
        <v>25</v>
      </c>
      <c r="G878" s="903"/>
    </row>
    <row r="879" spans="1:7" ht="15" customHeight="1" x14ac:dyDescent="0.25">
      <c r="A879" s="2352" t="s">
        <v>16378</v>
      </c>
      <c r="B879" s="2352" t="s">
        <v>16358</v>
      </c>
      <c r="C879" s="2352" t="s">
        <v>16358</v>
      </c>
      <c r="D879" s="2352" t="s">
        <v>16380</v>
      </c>
      <c r="E879" s="355" t="s">
        <v>17097</v>
      </c>
      <c r="F879" s="1662">
        <v>17</v>
      </c>
      <c r="G879" s="903"/>
    </row>
    <row r="880" spans="1:7" ht="15" customHeight="1" x14ac:dyDescent="0.25">
      <c r="A880" s="2352" t="s">
        <v>16381</v>
      </c>
      <c r="B880" s="2352" t="s">
        <v>16358</v>
      </c>
      <c r="C880" s="2352" t="s">
        <v>16358</v>
      </c>
      <c r="D880" s="2352" t="s">
        <v>16382</v>
      </c>
      <c r="E880" s="355" t="s">
        <v>17099</v>
      </c>
      <c r="F880" s="1662">
        <v>42</v>
      </c>
      <c r="G880" s="903"/>
    </row>
    <row r="881" spans="1:7" ht="15" customHeight="1" x14ac:dyDescent="0.25">
      <c r="A881" s="2352" t="s">
        <v>16381</v>
      </c>
      <c r="B881" s="2352" t="s">
        <v>16358</v>
      </c>
      <c r="C881" s="2352" t="s">
        <v>16358</v>
      </c>
      <c r="D881" s="2352" t="s">
        <v>16383</v>
      </c>
      <c r="E881" s="355" t="s">
        <v>17097</v>
      </c>
      <c r="F881" s="1662">
        <v>26</v>
      </c>
      <c r="G881" s="903"/>
    </row>
    <row r="882" spans="1:7" ht="15" customHeight="1" x14ac:dyDescent="0.25">
      <c r="A882" s="2352" t="s">
        <v>4413</v>
      </c>
      <c r="B882" s="2352" t="s">
        <v>16358</v>
      </c>
      <c r="C882" s="2352" t="s">
        <v>16358</v>
      </c>
      <c r="D882" s="2352" t="s">
        <v>16384</v>
      </c>
      <c r="E882" s="355" t="s">
        <v>17097</v>
      </c>
      <c r="F882" s="1662">
        <v>19</v>
      </c>
      <c r="G882" s="903"/>
    </row>
    <row r="883" spans="1:7" ht="15" customHeight="1" x14ac:dyDescent="0.25">
      <c r="A883" s="2352" t="s">
        <v>16385</v>
      </c>
      <c r="B883" s="2352" t="s">
        <v>16358</v>
      </c>
      <c r="C883" s="2352" t="s">
        <v>16358</v>
      </c>
      <c r="D883" s="2352" t="s">
        <v>16386</v>
      </c>
      <c r="E883" s="355" t="s">
        <v>17101</v>
      </c>
      <c r="F883" s="1662">
        <v>580</v>
      </c>
      <c r="G883" s="903"/>
    </row>
    <row r="884" spans="1:7" ht="15" customHeight="1" x14ac:dyDescent="0.25">
      <c r="A884" s="2352" t="s">
        <v>3938</v>
      </c>
      <c r="B884" s="2352" t="s">
        <v>16358</v>
      </c>
      <c r="C884" s="2352" t="s">
        <v>16358</v>
      </c>
      <c r="D884" s="2352" t="s">
        <v>16387</v>
      </c>
      <c r="E884" s="355" t="s">
        <v>17102</v>
      </c>
      <c r="F884" s="1662">
        <v>81</v>
      </c>
      <c r="G884" s="903"/>
    </row>
    <row r="885" spans="1:7" ht="15" customHeight="1" x14ac:dyDescent="0.25">
      <c r="A885" s="2352" t="s">
        <v>16388</v>
      </c>
      <c r="B885" s="2352" t="s">
        <v>16358</v>
      </c>
      <c r="C885" s="2352" t="s">
        <v>16358</v>
      </c>
      <c r="D885" s="2352" t="s">
        <v>16389</v>
      </c>
      <c r="E885" s="355" t="s">
        <v>17097</v>
      </c>
      <c r="F885" s="1662">
        <v>33</v>
      </c>
      <c r="G885" s="903"/>
    </row>
    <row r="886" spans="1:7" ht="15" customHeight="1" x14ac:dyDescent="0.25">
      <c r="A886" s="2352" t="s">
        <v>16390</v>
      </c>
      <c r="B886" s="2352" t="s">
        <v>16358</v>
      </c>
      <c r="C886" s="2352" t="s">
        <v>16358</v>
      </c>
      <c r="D886" s="2352" t="s">
        <v>16391</v>
      </c>
      <c r="E886" s="355" t="s">
        <v>17103</v>
      </c>
      <c r="F886" s="1662">
        <v>18</v>
      </c>
      <c r="G886" s="903"/>
    </row>
    <row r="887" spans="1:7" ht="15" customHeight="1" x14ac:dyDescent="0.25">
      <c r="A887" s="2352" t="s">
        <v>6564</v>
      </c>
      <c r="B887" s="2352" t="s">
        <v>16358</v>
      </c>
      <c r="C887" s="2352" t="s">
        <v>16358</v>
      </c>
      <c r="D887" s="2352" t="s">
        <v>16392</v>
      </c>
      <c r="E887" s="355" t="s">
        <v>17104</v>
      </c>
      <c r="F887" s="1662">
        <v>21</v>
      </c>
      <c r="G887" s="903"/>
    </row>
    <row r="888" spans="1:7" ht="15" customHeight="1" x14ac:dyDescent="0.25">
      <c r="A888" s="2352" t="s">
        <v>3741</v>
      </c>
      <c r="B888" s="2352" t="s">
        <v>16358</v>
      </c>
      <c r="C888" s="2352" t="s">
        <v>16358</v>
      </c>
      <c r="D888" s="2352" t="s">
        <v>16393</v>
      </c>
      <c r="E888" s="355" t="s">
        <v>17099</v>
      </c>
      <c r="F888" s="1662">
        <v>79</v>
      </c>
      <c r="G888" s="903"/>
    </row>
    <row r="889" spans="1:7" ht="15" customHeight="1" x14ac:dyDescent="0.25">
      <c r="A889" s="2352" t="s">
        <v>3741</v>
      </c>
      <c r="B889" s="2352" t="s">
        <v>16358</v>
      </c>
      <c r="C889" s="2352" t="s">
        <v>16358</v>
      </c>
      <c r="D889" s="2352" t="s">
        <v>16394</v>
      </c>
      <c r="E889" s="355" t="s">
        <v>17099</v>
      </c>
      <c r="F889" s="1662">
        <v>83</v>
      </c>
      <c r="G889" s="903"/>
    </row>
    <row r="890" spans="1:7" ht="15" customHeight="1" x14ac:dyDescent="0.25">
      <c r="A890" s="2352" t="s">
        <v>16395</v>
      </c>
      <c r="B890" s="2352" t="s">
        <v>16358</v>
      </c>
      <c r="C890" s="2352" t="s">
        <v>16358</v>
      </c>
      <c r="D890" s="2352" t="s">
        <v>16396</v>
      </c>
      <c r="E890" s="355" t="s">
        <v>17104</v>
      </c>
      <c r="F890" s="1662">
        <v>16</v>
      </c>
      <c r="G890" s="903"/>
    </row>
    <row r="891" spans="1:7" ht="15" customHeight="1" x14ac:dyDescent="0.25">
      <c r="A891" s="2352" t="s">
        <v>16397</v>
      </c>
      <c r="B891" s="2352" t="s">
        <v>16358</v>
      </c>
      <c r="C891" s="2352" t="s">
        <v>16358</v>
      </c>
      <c r="D891" s="2352" t="s">
        <v>16398</v>
      </c>
      <c r="E891" s="355" t="s">
        <v>17099</v>
      </c>
      <c r="F891" s="1662">
        <v>32</v>
      </c>
      <c r="G891" s="903"/>
    </row>
    <row r="892" spans="1:7" ht="15" customHeight="1" x14ac:dyDescent="0.25">
      <c r="A892" s="2352" t="s">
        <v>16397</v>
      </c>
      <c r="B892" s="2352" t="s">
        <v>16358</v>
      </c>
      <c r="C892" s="2352" t="s">
        <v>16358</v>
      </c>
      <c r="D892" s="2352" t="s">
        <v>16399</v>
      </c>
      <c r="E892" s="355" t="s">
        <v>17096</v>
      </c>
      <c r="F892" s="1662">
        <v>84</v>
      </c>
      <c r="G892" s="903"/>
    </row>
    <row r="893" spans="1:7" ht="15" customHeight="1" x14ac:dyDescent="0.25">
      <c r="A893" s="2352" t="s">
        <v>16397</v>
      </c>
      <c r="B893" s="2352" t="s">
        <v>16358</v>
      </c>
      <c r="C893" s="2352" t="s">
        <v>16358</v>
      </c>
      <c r="D893" s="2352" t="s">
        <v>16400</v>
      </c>
      <c r="E893" s="355" t="s">
        <v>17102</v>
      </c>
      <c r="F893" s="1662">
        <v>64</v>
      </c>
      <c r="G893" s="903"/>
    </row>
    <row r="894" spans="1:7" ht="15" customHeight="1" x14ac:dyDescent="0.25">
      <c r="A894" s="2352" t="s">
        <v>16397</v>
      </c>
      <c r="B894" s="2352" t="s">
        <v>16358</v>
      </c>
      <c r="C894" s="2352" t="s">
        <v>16358</v>
      </c>
      <c r="D894" s="2352" t="s">
        <v>16401</v>
      </c>
      <c r="E894" s="355" t="s">
        <v>17095</v>
      </c>
      <c r="F894" s="1662">
        <v>108</v>
      </c>
      <c r="G894" s="903"/>
    </row>
    <row r="895" spans="1:7" ht="15" customHeight="1" x14ac:dyDescent="0.25">
      <c r="A895" s="2352" t="s">
        <v>16397</v>
      </c>
      <c r="B895" s="2352" t="s">
        <v>16358</v>
      </c>
      <c r="C895" s="2352" t="s">
        <v>16358</v>
      </c>
      <c r="D895" s="2352" t="s">
        <v>16402</v>
      </c>
      <c r="E895" s="355" t="s">
        <v>17097</v>
      </c>
      <c r="F895" s="1662">
        <v>24</v>
      </c>
      <c r="G895" s="903"/>
    </row>
    <row r="896" spans="1:7" ht="15" customHeight="1" x14ac:dyDescent="0.25">
      <c r="A896" s="2352" t="s">
        <v>16403</v>
      </c>
      <c r="B896" s="2352" t="s">
        <v>16358</v>
      </c>
      <c r="C896" s="2352" t="s">
        <v>16358</v>
      </c>
      <c r="D896" s="2352" t="s">
        <v>16404</v>
      </c>
      <c r="E896" s="355" t="s">
        <v>17102</v>
      </c>
      <c r="F896" s="1662">
        <v>42</v>
      </c>
      <c r="G896" s="903"/>
    </row>
    <row r="897" spans="1:7" ht="15" customHeight="1" x14ac:dyDescent="0.25">
      <c r="A897" s="2352" t="s">
        <v>16405</v>
      </c>
      <c r="B897" s="2352" t="s">
        <v>16358</v>
      </c>
      <c r="C897" s="2352" t="s">
        <v>16358</v>
      </c>
      <c r="D897" s="2352" t="s">
        <v>16406</v>
      </c>
      <c r="E897" s="355" t="s">
        <v>17101</v>
      </c>
      <c r="F897" s="1662">
        <v>96</v>
      </c>
      <c r="G897" s="903"/>
    </row>
    <row r="898" spans="1:7" ht="15" customHeight="1" x14ac:dyDescent="0.25">
      <c r="A898" s="2352" t="s">
        <v>16405</v>
      </c>
      <c r="B898" s="2352" t="s">
        <v>16358</v>
      </c>
      <c r="C898" s="2352" t="s">
        <v>16358</v>
      </c>
      <c r="D898" s="2352" t="s">
        <v>16407</v>
      </c>
      <c r="E898" s="355" t="s">
        <v>17095</v>
      </c>
      <c r="F898" s="1662">
        <v>112</v>
      </c>
      <c r="G898" s="903"/>
    </row>
    <row r="899" spans="1:7" ht="15" customHeight="1" x14ac:dyDescent="0.25">
      <c r="A899" s="2352" t="s">
        <v>16405</v>
      </c>
      <c r="B899" s="2352" t="s">
        <v>16358</v>
      </c>
      <c r="C899" s="2352" t="s">
        <v>16358</v>
      </c>
      <c r="D899" s="2352" t="s">
        <v>16408</v>
      </c>
      <c r="E899" s="355" t="s">
        <v>17099</v>
      </c>
      <c r="F899" s="1662">
        <v>48</v>
      </c>
      <c r="G899" s="903"/>
    </row>
    <row r="900" spans="1:7" ht="15" customHeight="1" x14ac:dyDescent="0.25">
      <c r="A900" s="2352" t="s">
        <v>16405</v>
      </c>
      <c r="B900" s="2352" t="s">
        <v>16358</v>
      </c>
      <c r="C900" s="2352" t="s">
        <v>16358</v>
      </c>
      <c r="D900" s="2352" t="s">
        <v>16409</v>
      </c>
      <c r="E900" s="355" t="s">
        <v>17095</v>
      </c>
      <c r="F900" s="1662">
        <v>132</v>
      </c>
      <c r="G900" s="903"/>
    </row>
    <row r="901" spans="1:7" ht="15" customHeight="1" x14ac:dyDescent="0.25">
      <c r="A901" s="2352" t="s">
        <v>16405</v>
      </c>
      <c r="B901" s="2352" t="s">
        <v>16358</v>
      </c>
      <c r="C901" s="2352" t="s">
        <v>16358</v>
      </c>
      <c r="D901" s="2352" t="s">
        <v>16410</v>
      </c>
      <c r="E901" s="355" t="s">
        <v>17099</v>
      </c>
      <c r="F901" s="1662">
        <v>38</v>
      </c>
      <c r="G901" s="903"/>
    </row>
    <row r="902" spans="1:7" ht="15" customHeight="1" x14ac:dyDescent="0.25">
      <c r="A902" s="2352" t="s">
        <v>16405</v>
      </c>
      <c r="B902" s="2352" t="s">
        <v>16358</v>
      </c>
      <c r="C902" s="2352" t="s">
        <v>16358</v>
      </c>
      <c r="D902" s="2352" t="s">
        <v>16411</v>
      </c>
      <c r="E902" s="355" t="s">
        <v>17096</v>
      </c>
      <c r="F902" s="1662">
        <v>189</v>
      </c>
      <c r="G902" s="903"/>
    </row>
    <row r="903" spans="1:7" ht="15" customHeight="1" x14ac:dyDescent="0.25">
      <c r="A903" s="2352" t="s">
        <v>6482</v>
      </c>
      <c r="B903" s="2352" t="s">
        <v>16358</v>
      </c>
      <c r="C903" s="2352" t="s">
        <v>16358</v>
      </c>
      <c r="D903" s="2352" t="s">
        <v>16412</v>
      </c>
      <c r="E903" s="355" t="s">
        <v>17097</v>
      </c>
      <c r="F903" s="1662">
        <v>24</v>
      </c>
      <c r="G903" s="903"/>
    </row>
    <row r="904" spans="1:7" ht="15" customHeight="1" x14ac:dyDescent="0.25">
      <c r="A904" s="2352" t="s">
        <v>16413</v>
      </c>
      <c r="B904" s="2352" t="s">
        <v>16358</v>
      </c>
      <c r="C904" s="2352" t="s">
        <v>16358</v>
      </c>
      <c r="D904" s="2352" t="s">
        <v>16414</v>
      </c>
      <c r="E904" s="355" t="s">
        <v>17097</v>
      </c>
      <c r="F904" s="1662">
        <v>48</v>
      </c>
      <c r="G904" s="903"/>
    </row>
    <row r="905" spans="1:7" ht="15" customHeight="1" x14ac:dyDescent="0.25">
      <c r="A905" s="2352" t="s">
        <v>14897</v>
      </c>
      <c r="B905" s="2352" t="s">
        <v>16358</v>
      </c>
      <c r="C905" s="2352" t="s">
        <v>16358</v>
      </c>
      <c r="D905" s="2352" t="s">
        <v>16415</v>
      </c>
      <c r="E905" s="355" t="s">
        <v>17099</v>
      </c>
      <c r="F905" s="1662">
        <v>79</v>
      </c>
      <c r="G905" s="903"/>
    </row>
    <row r="906" spans="1:7" ht="15" customHeight="1" x14ac:dyDescent="0.25">
      <c r="A906" s="2352" t="s">
        <v>14067</v>
      </c>
      <c r="B906" s="2352" t="s">
        <v>16358</v>
      </c>
      <c r="C906" s="2352" t="s">
        <v>16358</v>
      </c>
      <c r="D906" s="2352" t="s">
        <v>16416</v>
      </c>
      <c r="E906" s="355" t="s">
        <v>17099</v>
      </c>
      <c r="F906" s="1662">
        <v>56</v>
      </c>
      <c r="G906" s="903"/>
    </row>
    <row r="907" spans="1:7" ht="15" customHeight="1" x14ac:dyDescent="0.25">
      <c r="A907" s="2352" t="s">
        <v>16417</v>
      </c>
      <c r="B907" s="2352" t="s">
        <v>16358</v>
      </c>
      <c r="C907" s="2352" t="s">
        <v>16358</v>
      </c>
      <c r="D907" s="2352" t="s">
        <v>16418</v>
      </c>
      <c r="E907" s="355" t="s">
        <v>17098</v>
      </c>
      <c r="F907" s="1662">
        <v>11</v>
      </c>
      <c r="G907" s="903"/>
    </row>
    <row r="908" spans="1:7" ht="15" customHeight="1" x14ac:dyDescent="0.25">
      <c r="A908" s="2352" t="s">
        <v>14904</v>
      </c>
      <c r="B908" s="2352" t="s">
        <v>16358</v>
      </c>
      <c r="C908" s="2352" t="s">
        <v>16358</v>
      </c>
      <c r="D908" s="2352" t="s">
        <v>16419</v>
      </c>
      <c r="E908" s="355" t="s">
        <v>17105</v>
      </c>
      <c r="F908" s="1662">
        <v>20</v>
      </c>
      <c r="G908" s="903"/>
    </row>
    <row r="909" spans="1:7" ht="15" customHeight="1" x14ac:dyDescent="0.25">
      <c r="A909" s="2352" t="s">
        <v>16420</v>
      </c>
      <c r="B909" s="2352" t="s">
        <v>16358</v>
      </c>
      <c r="C909" s="2352" t="s">
        <v>16358</v>
      </c>
      <c r="D909" s="2352" t="s">
        <v>16421</v>
      </c>
      <c r="E909" s="355" t="s">
        <v>17097</v>
      </c>
      <c r="F909" s="1662">
        <v>37</v>
      </c>
      <c r="G909" s="903"/>
    </row>
    <row r="910" spans="1:7" ht="15" customHeight="1" x14ac:dyDescent="0.25">
      <c r="A910" s="2352" t="s">
        <v>16422</v>
      </c>
      <c r="B910" s="2352" t="s">
        <v>16358</v>
      </c>
      <c r="C910" s="2352" t="s">
        <v>16358</v>
      </c>
      <c r="D910" s="2352" t="s">
        <v>16423</v>
      </c>
      <c r="E910" s="355" t="s">
        <v>17099</v>
      </c>
      <c r="F910" s="1662">
        <v>31</v>
      </c>
      <c r="G910" s="903"/>
    </row>
    <row r="911" spans="1:7" ht="15" customHeight="1" x14ac:dyDescent="0.25">
      <c r="A911" s="2352" t="s">
        <v>16424</v>
      </c>
      <c r="B911" s="2352" t="s">
        <v>16358</v>
      </c>
      <c r="C911" s="2352" t="s">
        <v>16358</v>
      </c>
      <c r="D911" s="2352" t="s">
        <v>16425</v>
      </c>
      <c r="E911" s="355" t="s">
        <v>17097</v>
      </c>
      <c r="F911" s="1662">
        <v>17</v>
      </c>
      <c r="G911" s="903"/>
    </row>
    <row r="912" spans="1:7" ht="15" customHeight="1" x14ac:dyDescent="0.25">
      <c r="A912" s="2352" t="s">
        <v>16426</v>
      </c>
      <c r="B912" s="2352" t="s">
        <v>16358</v>
      </c>
      <c r="C912" s="2352" t="s">
        <v>16358</v>
      </c>
      <c r="D912" s="2352" t="s">
        <v>16427</v>
      </c>
      <c r="E912" s="355" t="s">
        <v>17104</v>
      </c>
      <c r="F912" s="1662">
        <v>17</v>
      </c>
      <c r="G912" s="903"/>
    </row>
    <row r="913" spans="1:7" ht="15" customHeight="1" x14ac:dyDescent="0.25">
      <c r="A913" s="2352" t="s">
        <v>15920</v>
      </c>
      <c r="B913" s="2352" t="s">
        <v>16358</v>
      </c>
      <c r="C913" s="2352" t="s">
        <v>16358</v>
      </c>
      <c r="D913" s="2352" t="s">
        <v>16428</v>
      </c>
      <c r="E913" s="355" t="s">
        <v>17097</v>
      </c>
      <c r="F913" s="1662">
        <v>29</v>
      </c>
      <c r="G913" s="903"/>
    </row>
    <row r="914" spans="1:7" ht="15" customHeight="1" x14ac:dyDescent="0.25">
      <c r="A914" s="2352" t="s">
        <v>6412</v>
      </c>
      <c r="B914" s="2352" t="s">
        <v>16358</v>
      </c>
      <c r="C914" s="2352" t="s">
        <v>16358</v>
      </c>
      <c r="D914" s="2352" t="s">
        <v>16429</v>
      </c>
      <c r="E914" s="355" t="s">
        <v>17104</v>
      </c>
      <c r="F914" s="1662">
        <v>12</v>
      </c>
      <c r="G914" s="903"/>
    </row>
    <row r="915" spans="1:7" ht="15" customHeight="1" x14ac:dyDescent="0.25">
      <c r="A915" s="2352" t="s">
        <v>15784</v>
      </c>
      <c r="B915" s="2352" t="s">
        <v>16358</v>
      </c>
      <c r="C915" s="2352" t="s">
        <v>16358</v>
      </c>
      <c r="D915" s="2352" t="s">
        <v>16430</v>
      </c>
      <c r="E915" s="355" t="s">
        <v>17099</v>
      </c>
      <c r="F915" s="1662">
        <v>64</v>
      </c>
      <c r="G915" s="903"/>
    </row>
    <row r="916" spans="1:7" ht="15" customHeight="1" x14ac:dyDescent="0.25">
      <c r="A916" s="2352" t="s">
        <v>8298</v>
      </c>
      <c r="B916" s="2352" t="s">
        <v>16358</v>
      </c>
      <c r="C916" s="2352" t="s">
        <v>16358</v>
      </c>
      <c r="D916" s="2352" t="s">
        <v>16431</v>
      </c>
      <c r="E916" s="355" t="s">
        <v>17100</v>
      </c>
      <c r="F916" s="1662">
        <v>6</v>
      </c>
      <c r="G916" s="903"/>
    </row>
    <row r="917" spans="1:7" ht="15" customHeight="1" x14ac:dyDescent="0.25">
      <c r="A917" s="2352" t="s">
        <v>6540</v>
      </c>
      <c r="B917" s="2352" t="s">
        <v>16358</v>
      </c>
      <c r="C917" s="2352" t="s">
        <v>16358</v>
      </c>
      <c r="D917" s="2352" t="s">
        <v>16432</v>
      </c>
      <c r="E917" s="355" t="s">
        <v>17095</v>
      </c>
      <c r="F917" s="1662">
        <v>121</v>
      </c>
      <c r="G917" s="903"/>
    </row>
    <row r="918" spans="1:7" ht="15" customHeight="1" x14ac:dyDescent="0.25">
      <c r="A918" s="2352" t="s">
        <v>6540</v>
      </c>
      <c r="B918" s="2352" t="s">
        <v>16358</v>
      </c>
      <c r="C918" s="2352" t="s">
        <v>16358</v>
      </c>
      <c r="D918" s="2352" t="s">
        <v>16433</v>
      </c>
      <c r="E918" s="355" t="s">
        <v>17097</v>
      </c>
      <c r="F918" s="1662">
        <v>23</v>
      </c>
      <c r="G918" s="903"/>
    </row>
    <row r="919" spans="1:7" ht="15" customHeight="1" x14ac:dyDescent="0.25">
      <c r="A919" s="2352" t="s">
        <v>16434</v>
      </c>
      <c r="B919" s="2352" t="s">
        <v>16358</v>
      </c>
      <c r="C919" s="2352" t="s">
        <v>16358</v>
      </c>
      <c r="D919" s="2352" t="s">
        <v>16435</v>
      </c>
      <c r="E919" s="355" t="s">
        <v>17102</v>
      </c>
      <c r="F919" s="1662">
        <v>84</v>
      </c>
      <c r="G919" s="903"/>
    </row>
    <row r="920" spans="1:7" ht="15" customHeight="1" x14ac:dyDescent="0.25">
      <c r="A920" s="2352" t="s">
        <v>6540</v>
      </c>
      <c r="B920" s="2352" t="s">
        <v>16358</v>
      </c>
      <c r="C920" s="2352" t="s">
        <v>16358</v>
      </c>
      <c r="D920" s="2352" t="s">
        <v>16436</v>
      </c>
      <c r="E920" s="355" t="s">
        <v>17102</v>
      </c>
      <c r="F920" s="1662">
        <v>68</v>
      </c>
      <c r="G920" s="903"/>
    </row>
    <row r="921" spans="1:7" ht="15" customHeight="1" x14ac:dyDescent="0.25">
      <c r="A921" s="2352" t="s">
        <v>16437</v>
      </c>
      <c r="B921" s="2352" t="s">
        <v>16358</v>
      </c>
      <c r="C921" s="2352" t="s">
        <v>16358</v>
      </c>
      <c r="D921" s="2352" t="s">
        <v>16438</v>
      </c>
      <c r="E921" s="355" t="s">
        <v>17105</v>
      </c>
      <c r="F921" s="1662">
        <v>29</v>
      </c>
      <c r="G921" s="903"/>
    </row>
    <row r="922" spans="1:7" ht="15" customHeight="1" x14ac:dyDescent="0.25">
      <c r="A922" s="2352" t="s">
        <v>16439</v>
      </c>
      <c r="B922" s="2352" t="s">
        <v>16358</v>
      </c>
      <c r="C922" s="2352" t="s">
        <v>16358</v>
      </c>
      <c r="D922" s="2352" t="s">
        <v>16440</v>
      </c>
      <c r="E922" s="355" t="s">
        <v>17102</v>
      </c>
      <c r="F922" s="1662">
        <v>132</v>
      </c>
      <c r="G922" s="903"/>
    </row>
    <row r="923" spans="1:7" ht="15" customHeight="1" x14ac:dyDescent="0.25">
      <c r="A923" s="2352" t="s">
        <v>16441</v>
      </c>
      <c r="B923" s="2352" t="s">
        <v>16358</v>
      </c>
      <c r="C923" s="2352" t="s">
        <v>16358</v>
      </c>
      <c r="D923" s="2352" t="s">
        <v>16442</v>
      </c>
      <c r="E923" s="355" t="s">
        <v>17104</v>
      </c>
      <c r="F923" s="1662">
        <v>18</v>
      </c>
      <c r="G923" s="903"/>
    </row>
    <row r="924" spans="1:7" ht="15" customHeight="1" x14ac:dyDescent="0.25">
      <c r="A924" s="2352" t="s">
        <v>16443</v>
      </c>
      <c r="B924" s="2352" t="s">
        <v>16358</v>
      </c>
      <c r="C924" s="2352" t="s">
        <v>16358</v>
      </c>
      <c r="D924" s="2352" t="s">
        <v>16444</v>
      </c>
      <c r="E924" s="355" t="s">
        <v>17098</v>
      </c>
      <c r="F924" s="1662">
        <v>18</v>
      </c>
      <c r="G924" s="903"/>
    </row>
    <row r="925" spans="1:7" ht="15" customHeight="1" x14ac:dyDescent="0.25">
      <c r="A925" s="2352" t="s">
        <v>16445</v>
      </c>
      <c r="B925" s="2352" t="s">
        <v>16358</v>
      </c>
      <c r="C925" s="2352" t="s">
        <v>16358</v>
      </c>
      <c r="D925" s="2352" t="s">
        <v>16446</v>
      </c>
      <c r="E925" s="355" t="s">
        <v>17097</v>
      </c>
      <c r="F925" s="1662">
        <v>29</v>
      </c>
      <c r="G925" s="903"/>
    </row>
    <row r="926" spans="1:7" ht="15" customHeight="1" x14ac:dyDescent="0.25">
      <c r="A926" s="2352" t="s">
        <v>8185</v>
      </c>
      <c r="B926" s="2352" t="s">
        <v>16358</v>
      </c>
      <c r="C926" s="2352" t="s">
        <v>16358</v>
      </c>
      <c r="D926" s="2352" t="s">
        <v>16447</v>
      </c>
      <c r="E926" s="355" t="s">
        <v>17103</v>
      </c>
      <c r="F926" s="1662">
        <v>24</v>
      </c>
      <c r="G926" s="903"/>
    </row>
    <row r="927" spans="1:7" ht="15" customHeight="1" x14ac:dyDescent="0.25">
      <c r="A927" s="2352" t="s">
        <v>3956</v>
      </c>
      <c r="B927" s="2352" t="s">
        <v>16358</v>
      </c>
      <c r="C927" s="2352" t="s">
        <v>16358</v>
      </c>
      <c r="D927" s="2352" t="s">
        <v>16448</v>
      </c>
      <c r="E927" s="355" t="s">
        <v>17104</v>
      </c>
      <c r="F927" s="1662">
        <v>19</v>
      </c>
      <c r="G927" s="903"/>
    </row>
    <row r="928" spans="1:7" ht="15" customHeight="1" x14ac:dyDescent="0.25">
      <c r="A928" s="2352" t="s">
        <v>7285</v>
      </c>
      <c r="B928" s="2352" t="s">
        <v>16358</v>
      </c>
      <c r="C928" s="2352" t="s">
        <v>16358</v>
      </c>
      <c r="D928" s="2352" t="s">
        <v>16449</v>
      </c>
      <c r="E928" s="355" t="s">
        <v>17097</v>
      </c>
      <c r="F928" s="1662">
        <v>42</v>
      </c>
      <c r="G928" s="903"/>
    </row>
    <row r="929" spans="1:7" ht="15" customHeight="1" x14ac:dyDescent="0.25">
      <c r="A929" s="2352" t="s">
        <v>14050</v>
      </c>
      <c r="B929" s="2352" t="s">
        <v>16358</v>
      </c>
      <c r="C929" s="2352" t="s">
        <v>16358</v>
      </c>
      <c r="D929" s="2352" t="s">
        <v>16450</v>
      </c>
      <c r="E929" s="355" t="s">
        <v>17099</v>
      </c>
      <c r="F929" s="1662">
        <v>87</v>
      </c>
      <c r="G929" s="903"/>
    </row>
    <row r="930" spans="1:7" ht="15" customHeight="1" x14ac:dyDescent="0.25">
      <c r="A930" s="2352" t="s">
        <v>16451</v>
      </c>
      <c r="B930" s="2352" t="s">
        <v>16358</v>
      </c>
      <c r="C930" s="2352" t="s">
        <v>16358</v>
      </c>
      <c r="D930" s="2352" t="s">
        <v>16452</v>
      </c>
      <c r="E930" s="355" t="s">
        <v>17105</v>
      </c>
      <c r="F930" s="1662">
        <v>29</v>
      </c>
      <c r="G930" s="903"/>
    </row>
    <row r="931" spans="1:7" ht="15" customHeight="1" x14ac:dyDescent="0.25">
      <c r="A931" s="2352" t="s">
        <v>6506</v>
      </c>
      <c r="B931" s="2352" t="s">
        <v>16358</v>
      </c>
      <c r="C931" s="2352" t="s">
        <v>16358</v>
      </c>
      <c r="D931" s="2352" t="s">
        <v>16453</v>
      </c>
      <c r="E931" s="355" t="s">
        <v>17104</v>
      </c>
      <c r="F931" s="1662">
        <v>16</v>
      </c>
      <c r="G931" s="903"/>
    </row>
    <row r="932" spans="1:7" ht="15" customHeight="1" x14ac:dyDescent="0.25">
      <c r="A932" s="2352" t="s">
        <v>16454</v>
      </c>
      <c r="B932" s="2352" t="s">
        <v>16358</v>
      </c>
      <c r="C932" s="2352" t="s">
        <v>16358</v>
      </c>
      <c r="D932" s="2352" t="s">
        <v>16455</v>
      </c>
      <c r="E932" s="355" t="s">
        <v>17095</v>
      </c>
      <c r="F932" s="1662">
        <v>249</v>
      </c>
      <c r="G932" s="903"/>
    </row>
    <row r="933" spans="1:7" ht="15" customHeight="1" x14ac:dyDescent="0.25">
      <c r="A933" s="2352" t="s">
        <v>16454</v>
      </c>
      <c r="B933" s="2352" t="s">
        <v>16358</v>
      </c>
      <c r="C933" s="2352" t="s">
        <v>16358</v>
      </c>
      <c r="D933" s="2352" t="s">
        <v>16456</v>
      </c>
      <c r="E933" s="355" t="s">
        <v>17099</v>
      </c>
      <c r="F933" s="1662">
        <v>78</v>
      </c>
      <c r="G933" s="903"/>
    </row>
    <row r="934" spans="1:7" ht="15" customHeight="1" x14ac:dyDescent="0.25">
      <c r="A934" s="2352" t="s">
        <v>16457</v>
      </c>
      <c r="B934" s="2352" t="s">
        <v>16358</v>
      </c>
      <c r="C934" s="2352" t="s">
        <v>16358</v>
      </c>
      <c r="D934" s="2352" t="s">
        <v>16458</v>
      </c>
      <c r="E934" s="355" t="s">
        <v>17097</v>
      </c>
      <c r="F934" s="1662">
        <v>22</v>
      </c>
      <c r="G934" s="903"/>
    </row>
    <row r="935" spans="1:7" ht="15" customHeight="1" x14ac:dyDescent="0.25">
      <c r="A935" s="2352" t="s">
        <v>16459</v>
      </c>
      <c r="B935" s="2352" t="s">
        <v>16358</v>
      </c>
      <c r="C935" s="2352" t="s">
        <v>16358</v>
      </c>
      <c r="D935" s="2352" t="s">
        <v>16460</v>
      </c>
      <c r="E935" s="355" t="s">
        <v>17104</v>
      </c>
      <c r="F935" s="1662">
        <v>27</v>
      </c>
      <c r="G935" s="903"/>
    </row>
    <row r="936" spans="1:7" ht="15" customHeight="1" x14ac:dyDescent="0.25">
      <c r="A936" s="2352" t="s">
        <v>16461</v>
      </c>
      <c r="B936" s="2352" t="s">
        <v>16358</v>
      </c>
      <c r="C936" s="2352" t="s">
        <v>16358</v>
      </c>
      <c r="D936" s="2352" t="s">
        <v>16462</v>
      </c>
      <c r="E936" s="355" t="s">
        <v>17105</v>
      </c>
      <c r="F936" s="1662">
        <v>12</v>
      </c>
      <c r="G936" s="903"/>
    </row>
    <row r="937" spans="1:7" ht="15" customHeight="1" x14ac:dyDescent="0.25">
      <c r="A937" s="2352" t="s">
        <v>16463</v>
      </c>
      <c r="B937" s="2352" t="s">
        <v>16358</v>
      </c>
      <c r="C937" s="2352" t="s">
        <v>16358</v>
      </c>
      <c r="D937" s="2352" t="s">
        <v>16464</v>
      </c>
      <c r="E937" s="355" t="s">
        <v>17104</v>
      </c>
      <c r="F937" s="1662">
        <v>8</v>
      </c>
      <c r="G937" s="903"/>
    </row>
    <row r="938" spans="1:7" ht="15" customHeight="1" x14ac:dyDescent="0.25">
      <c r="A938" s="2352" t="s">
        <v>13922</v>
      </c>
      <c r="B938" s="2352" t="s">
        <v>16358</v>
      </c>
      <c r="C938" s="2352" t="s">
        <v>16358</v>
      </c>
      <c r="D938" s="2352" t="s">
        <v>16465</v>
      </c>
      <c r="E938" s="355" t="s">
        <v>17099</v>
      </c>
      <c r="F938" s="1662">
        <v>27</v>
      </c>
      <c r="G938" s="903"/>
    </row>
    <row r="939" spans="1:7" ht="15" customHeight="1" x14ac:dyDescent="0.25">
      <c r="A939" s="2352" t="s">
        <v>13922</v>
      </c>
      <c r="B939" s="2352" t="s">
        <v>16358</v>
      </c>
      <c r="C939" s="2352" t="s">
        <v>16358</v>
      </c>
      <c r="D939" s="2352" t="s">
        <v>16466</v>
      </c>
      <c r="E939" s="355" t="s">
        <v>17102</v>
      </c>
      <c r="F939" s="1662">
        <v>49</v>
      </c>
      <c r="G939" s="903"/>
    </row>
    <row r="940" spans="1:7" ht="15" customHeight="1" x14ac:dyDescent="0.25">
      <c r="A940" s="2352" t="s">
        <v>13922</v>
      </c>
      <c r="B940" s="2352" t="s">
        <v>16358</v>
      </c>
      <c r="C940" s="2352" t="s">
        <v>16358</v>
      </c>
      <c r="D940" s="2352" t="s">
        <v>16467</v>
      </c>
      <c r="E940" s="355" t="s">
        <v>17096</v>
      </c>
      <c r="F940" s="1662">
        <v>247</v>
      </c>
      <c r="G940" s="903"/>
    </row>
    <row r="941" spans="1:7" ht="15" customHeight="1" x14ac:dyDescent="0.25">
      <c r="A941" s="2352" t="s">
        <v>13922</v>
      </c>
      <c r="B941" s="2352" t="s">
        <v>16358</v>
      </c>
      <c r="C941" s="2352" t="s">
        <v>16358</v>
      </c>
      <c r="D941" s="2352" t="s">
        <v>16468</v>
      </c>
      <c r="E941" s="355" t="s">
        <v>17102</v>
      </c>
      <c r="F941" s="1662">
        <v>54</v>
      </c>
      <c r="G941" s="903"/>
    </row>
    <row r="942" spans="1:7" ht="15" customHeight="1" x14ac:dyDescent="0.25">
      <c r="A942" s="2352" t="s">
        <v>16469</v>
      </c>
      <c r="B942" s="2352" t="s">
        <v>16358</v>
      </c>
      <c r="C942" s="2352" t="s">
        <v>16358</v>
      </c>
      <c r="D942" s="2352" t="s">
        <v>16470</v>
      </c>
      <c r="E942" s="355" t="s">
        <v>17096</v>
      </c>
      <c r="F942" s="1662">
        <v>129</v>
      </c>
      <c r="G942" s="903"/>
    </row>
    <row r="943" spans="1:7" ht="15" customHeight="1" x14ac:dyDescent="0.25">
      <c r="A943" s="2352" t="s">
        <v>13922</v>
      </c>
      <c r="B943" s="2352" t="s">
        <v>16358</v>
      </c>
      <c r="C943" s="2352" t="s">
        <v>16358</v>
      </c>
      <c r="D943" s="2352" t="s">
        <v>16471</v>
      </c>
      <c r="E943" s="355" t="s">
        <v>17099</v>
      </c>
      <c r="F943" s="1662">
        <v>34</v>
      </c>
      <c r="G943" s="903"/>
    </row>
    <row r="944" spans="1:7" ht="15" customHeight="1" x14ac:dyDescent="0.25">
      <c r="A944" s="2352" t="s">
        <v>16469</v>
      </c>
      <c r="B944" s="2352" t="s">
        <v>16358</v>
      </c>
      <c r="C944" s="2352" t="s">
        <v>16358</v>
      </c>
      <c r="D944" s="2352" t="s">
        <v>16472</v>
      </c>
      <c r="E944" s="355" t="s">
        <v>17095</v>
      </c>
      <c r="F944" s="1662">
        <v>189</v>
      </c>
      <c r="G944" s="903"/>
    </row>
    <row r="945" spans="1:7" ht="15" customHeight="1" x14ac:dyDescent="0.25">
      <c r="A945" s="2352" t="s">
        <v>11695</v>
      </c>
      <c r="B945" s="2352" t="s">
        <v>16358</v>
      </c>
      <c r="C945" s="2352" t="s">
        <v>16358</v>
      </c>
      <c r="D945" s="2352" t="s">
        <v>16473</v>
      </c>
      <c r="E945" s="355" t="s">
        <v>17099</v>
      </c>
      <c r="F945" s="1662">
        <v>35</v>
      </c>
      <c r="G945" s="903"/>
    </row>
    <row r="946" spans="1:7" ht="15" customHeight="1" x14ac:dyDescent="0.25">
      <c r="A946" s="2352" t="s">
        <v>11695</v>
      </c>
      <c r="B946" s="2352" t="s">
        <v>16358</v>
      </c>
      <c r="C946" s="2352" t="s">
        <v>16358</v>
      </c>
      <c r="D946" s="2352" t="s">
        <v>16474</v>
      </c>
      <c r="E946" s="355" t="s">
        <v>17099</v>
      </c>
      <c r="F946" s="1662">
        <v>64</v>
      </c>
      <c r="G946" s="903"/>
    </row>
    <row r="947" spans="1:7" ht="15" customHeight="1" x14ac:dyDescent="0.25">
      <c r="A947" s="2352" t="s">
        <v>16475</v>
      </c>
      <c r="B947" s="2352" t="s">
        <v>16358</v>
      </c>
      <c r="C947" s="2352" t="s">
        <v>16358</v>
      </c>
      <c r="D947" s="2352" t="s">
        <v>16476</v>
      </c>
      <c r="E947" s="355" t="s">
        <v>17097</v>
      </c>
      <c r="F947" s="1662">
        <v>49</v>
      </c>
      <c r="G947" s="903"/>
    </row>
    <row r="948" spans="1:7" ht="15" customHeight="1" x14ac:dyDescent="0.25">
      <c r="A948" s="2352" t="s">
        <v>16477</v>
      </c>
      <c r="B948" s="2352" t="s">
        <v>16358</v>
      </c>
      <c r="C948" s="2352" t="s">
        <v>16358</v>
      </c>
      <c r="D948" s="2352" t="s">
        <v>16478</v>
      </c>
      <c r="E948" s="355" t="s">
        <v>17097</v>
      </c>
      <c r="F948" s="1662">
        <v>37</v>
      </c>
      <c r="G948" s="903"/>
    </row>
    <row r="949" spans="1:7" ht="15" customHeight="1" x14ac:dyDescent="0.25">
      <c r="A949" s="2352" t="s">
        <v>16479</v>
      </c>
      <c r="B949" s="2352" t="s">
        <v>16358</v>
      </c>
      <c r="C949" s="2352" t="s">
        <v>16358</v>
      </c>
      <c r="D949" s="2352" t="s">
        <v>16480</v>
      </c>
      <c r="E949" s="355" t="s">
        <v>17096</v>
      </c>
      <c r="F949" s="1662">
        <v>137</v>
      </c>
      <c r="G949" s="903"/>
    </row>
    <row r="950" spans="1:7" ht="15" customHeight="1" x14ac:dyDescent="0.25">
      <c r="A950" s="2352" t="s">
        <v>16481</v>
      </c>
      <c r="B950" s="2352" t="s">
        <v>16358</v>
      </c>
      <c r="C950" s="2352" t="s">
        <v>16358</v>
      </c>
      <c r="D950" s="2352" t="s">
        <v>16482</v>
      </c>
      <c r="E950" s="355" t="s">
        <v>17104</v>
      </c>
      <c r="F950" s="1662">
        <v>12</v>
      </c>
      <c r="G950" s="903"/>
    </row>
    <row r="951" spans="1:7" ht="15" customHeight="1" x14ac:dyDescent="0.25">
      <c r="A951" s="2352" t="s">
        <v>10679</v>
      </c>
      <c r="B951" s="2352" t="s">
        <v>16358</v>
      </c>
      <c r="C951" s="2352" t="s">
        <v>16358</v>
      </c>
      <c r="D951" s="2352" t="s">
        <v>16483</v>
      </c>
      <c r="E951" s="355" t="s">
        <v>17097</v>
      </c>
      <c r="F951" s="1662">
        <v>41</v>
      </c>
      <c r="G951" s="903"/>
    </row>
    <row r="952" spans="1:7" ht="15" customHeight="1" x14ac:dyDescent="0.25">
      <c r="A952" s="2352" t="s">
        <v>6462</v>
      </c>
      <c r="B952" s="2352" t="s">
        <v>16358</v>
      </c>
      <c r="C952" s="2352" t="s">
        <v>16358</v>
      </c>
      <c r="D952" s="2352" t="s">
        <v>16484</v>
      </c>
      <c r="E952" s="355" t="s">
        <v>17097</v>
      </c>
      <c r="F952" s="1662">
        <v>51</v>
      </c>
      <c r="G952" s="903"/>
    </row>
    <row r="953" spans="1:7" ht="15" customHeight="1" x14ac:dyDescent="0.25">
      <c r="A953" s="2352" t="s">
        <v>16485</v>
      </c>
      <c r="B953" s="2352" t="s">
        <v>16358</v>
      </c>
      <c r="C953" s="2352" t="s">
        <v>16358</v>
      </c>
      <c r="D953" s="2352" t="s">
        <v>16486</v>
      </c>
      <c r="E953" s="355" t="s">
        <v>17095</v>
      </c>
      <c r="F953" s="1662">
        <v>180</v>
      </c>
      <c r="G953" s="903"/>
    </row>
    <row r="954" spans="1:7" ht="15" customHeight="1" x14ac:dyDescent="0.25">
      <c r="A954" s="2352" t="s">
        <v>4904</v>
      </c>
      <c r="B954" s="2352" t="s">
        <v>16358</v>
      </c>
      <c r="C954" s="2352" t="s">
        <v>16358</v>
      </c>
      <c r="D954" s="2352" t="s">
        <v>16487</v>
      </c>
      <c r="E954" s="355" t="s">
        <v>17104</v>
      </c>
      <c r="F954" s="1662">
        <v>22</v>
      </c>
      <c r="G954" s="903"/>
    </row>
    <row r="955" spans="1:7" ht="15" customHeight="1" x14ac:dyDescent="0.25">
      <c r="A955" s="2352" t="s">
        <v>16488</v>
      </c>
      <c r="B955" s="2352" t="s">
        <v>16358</v>
      </c>
      <c r="C955" s="2352" t="s">
        <v>16358</v>
      </c>
      <c r="D955" s="2352" t="s">
        <v>16489</v>
      </c>
      <c r="E955" s="355" t="s">
        <v>17097</v>
      </c>
      <c r="F955" s="1662">
        <v>52</v>
      </c>
      <c r="G955" s="903"/>
    </row>
    <row r="956" spans="1:7" ht="15" customHeight="1" x14ac:dyDescent="0.25">
      <c r="A956" s="2352" t="s">
        <v>16490</v>
      </c>
      <c r="B956" s="2352" t="s">
        <v>16358</v>
      </c>
      <c r="C956" s="2352" t="s">
        <v>16358</v>
      </c>
      <c r="D956" s="2352" t="s">
        <v>16491</v>
      </c>
      <c r="E956" s="355" t="s">
        <v>17104</v>
      </c>
      <c r="F956" s="1662">
        <v>14</v>
      </c>
      <c r="G956" s="903"/>
    </row>
    <row r="957" spans="1:7" ht="15" customHeight="1" x14ac:dyDescent="0.25">
      <c r="A957" s="2352" t="s">
        <v>5495</v>
      </c>
      <c r="B957" s="2352" t="s">
        <v>16358</v>
      </c>
      <c r="C957" s="2352" t="s">
        <v>16358</v>
      </c>
      <c r="D957" s="2352" t="s">
        <v>16492</v>
      </c>
      <c r="E957" s="355" t="s">
        <v>17102</v>
      </c>
      <c r="F957" s="1662">
        <v>138</v>
      </c>
      <c r="G957" s="903"/>
    </row>
    <row r="958" spans="1:7" ht="15" customHeight="1" x14ac:dyDescent="0.25">
      <c r="A958" s="2352" t="s">
        <v>5495</v>
      </c>
      <c r="B958" s="2352" t="s">
        <v>16358</v>
      </c>
      <c r="C958" s="2352" t="s">
        <v>16358</v>
      </c>
      <c r="D958" s="2352" t="s">
        <v>16493</v>
      </c>
      <c r="E958" s="355" t="s">
        <v>17102</v>
      </c>
      <c r="F958" s="1662">
        <v>112</v>
      </c>
      <c r="G958" s="903"/>
    </row>
    <row r="959" spans="1:7" ht="15" customHeight="1" x14ac:dyDescent="0.25">
      <c r="A959" s="2352" t="s">
        <v>14498</v>
      </c>
      <c r="B959" s="2352" t="s">
        <v>16358</v>
      </c>
      <c r="C959" s="2352" t="s">
        <v>16358</v>
      </c>
      <c r="D959" s="2352" t="s">
        <v>16494</v>
      </c>
      <c r="E959" s="355" t="s">
        <v>17100</v>
      </c>
      <c r="F959" s="1662">
        <v>8</v>
      </c>
      <c r="G959" s="903"/>
    </row>
    <row r="960" spans="1:7" ht="15" customHeight="1" x14ac:dyDescent="0.25">
      <c r="A960" s="2352" t="s">
        <v>16495</v>
      </c>
      <c r="B960" s="2352" t="s">
        <v>16358</v>
      </c>
      <c r="C960" s="2352" t="s">
        <v>16358</v>
      </c>
      <c r="D960" s="2352" t="s">
        <v>16496</v>
      </c>
      <c r="E960" s="355" t="s">
        <v>17100</v>
      </c>
      <c r="F960" s="1662">
        <v>7</v>
      </c>
      <c r="G960" s="903"/>
    </row>
    <row r="961" spans="1:7" ht="15" customHeight="1" x14ac:dyDescent="0.25">
      <c r="A961" s="2352" t="s">
        <v>16497</v>
      </c>
      <c r="B961" s="2352" t="s">
        <v>16358</v>
      </c>
      <c r="C961" s="2352" t="s">
        <v>16358</v>
      </c>
      <c r="D961" s="2352" t="s">
        <v>16498</v>
      </c>
      <c r="E961" s="355" t="s">
        <v>17095</v>
      </c>
      <c r="F961" s="1662">
        <v>81</v>
      </c>
      <c r="G961" s="903"/>
    </row>
    <row r="962" spans="1:7" ht="15" customHeight="1" x14ac:dyDescent="0.25">
      <c r="A962" s="2352" t="s">
        <v>6816</v>
      </c>
      <c r="B962" s="2352" t="s">
        <v>16358</v>
      </c>
      <c r="C962" s="2352" t="s">
        <v>16358</v>
      </c>
      <c r="D962" s="2352" t="s">
        <v>16499</v>
      </c>
      <c r="E962" s="355" t="s">
        <v>17097</v>
      </c>
      <c r="F962" s="1662">
        <v>12</v>
      </c>
      <c r="G962" s="903"/>
    </row>
    <row r="963" spans="1:7" ht="15" customHeight="1" x14ac:dyDescent="0.25">
      <c r="A963" s="2352" t="s">
        <v>16500</v>
      </c>
      <c r="B963" s="2352" t="s">
        <v>16358</v>
      </c>
      <c r="C963" s="2352" t="s">
        <v>16358</v>
      </c>
      <c r="D963" s="2352" t="s">
        <v>16501</v>
      </c>
      <c r="E963" s="355" t="s">
        <v>17102</v>
      </c>
      <c r="F963" s="1662">
        <v>149</v>
      </c>
      <c r="G963" s="903"/>
    </row>
    <row r="964" spans="1:7" ht="15" customHeight="1" x14ac:dyDescent="0.25">
      <c r="A964" s="2352" t="s">
        <v>16502</v>
      </c>
      <c r="B964" s="2352" t="s">
        <v>16358</v>
      </c>
      <c r="C964" s="2352" t="s">
        <v>16358</v>
      </c>
      <c r="D964" s="2352" t="s">
        <v>16503</v>
      </c>
      <c r="E964" s="355" t="s">
        <v>17100</v>
      </c>
      <c r="F964" s="1662">
        <v>7</v>
      </c>
      <c r="G964" s="903"/>
    </row>
    <row r="965" spans="1:7" ht="15" customHeight="1" x14ac:dyDescent="0.25">
      <c r="A965" s="2352" t="s">
        <v>14652</v>
      </c>
      <c r="B965" s="2352" t="s">
        <v>16358</v>
      </c>
      <c r="C965" s="2352" t="s">
        <v>16358</v>
      </c>
      <c r="D965" s="2352" t="s">
        <v>16504</v>
      </c>
      <c r="E965" s="355" t="s">
        <v>17105</v>
      </c>
      <c r="F965" s="1662">
        <v>40</v>
      </c>
      <c r="G965" s="903"/>
    </row>
    <row r="966" spans="1:7" ht="15" customHeight="1" x14ac:dyDescent="0.25">
      <c r="A966" s="2352" t="s">
        <v>16505</v>
      </c>
      <c r="B966" s="2352" t="s">
        <v>16358</v>
      </c>
      <c r="C966" s="2352" t="s">
        <v>16358</v>
      </c>
      <c r="D966" s="2352" t="s">
        <v>16506</v>
      </c>
      <c r="E966" s="355" t="s">
        <v>17097</v>
      </c>
      <c r="F966" s="1662">
        <v>37</v>
      </c>
      <c r="G966" s="903"/>
    </row>
    <row r="967" spans="1:7" ht="15" customHeight="1" x14ac:dyDescent="0.25">
      <c r="A967" s="2352" t="s">
        <v>16505</v>
      </c>
      <c r="B967" s="2352" t="s">
        <v>16358</v>
      </c>
      <c r="C967" s="2352" t="s">
        <v>16358</v>
      </c>
      <c r="D967" s="2352" t="s">
        <v>16507</v>
      </c>
      <c r="E967" s="355" t="s">
        <v>17096</v>
      </c>
      <c r="F967" s="1662">
        <v>227</v>
      </c>
      <c r="G967" s="903"/>
    </row>
    <row r="968" spans="1:7" ht="15" customHeight="1" x14ac:dyDescent="0.25">
      <c r="A968" s="2352" t="s">
        <v>16505</v>
      </c>
      <c r="B968" s="2352" t="s">
        <v>16358</v>
      </c>
      <c r="C968" s="2352" t="s">
        <v>16358</v>
      </c>
      <c r="D968" s="2352" t="s">
        <v>16508</v>
      </c>
      <c r="E968" s="355" t="s">
        <v>17095</v>
      </c>
      <c r="F968" s="1662">
        <v>180</v>
      </c>
      <c r="G968" s="903"/>
    </row>
    <row r="969" spans="1:7" ht="15" customHeight="1" x14ac:dyDescent="0.25">
      <c r="A969" s="2352" t="s">
        <v>16509</v>
      </c>
      <c r="B969" s="2352" t="s">
        <v>16358</v>
      </c>
      <c r="C969" s="2352" t="s">
        <v>16358</v>
      </c>
      <c r="D969" s="2352" t="s">
        <v>16510</v>
      </c>
      <c r="E969" s="355" t="s">
        <v>17095</v>
      </c>
      <c r="F969" s="1662">
        <v>198</v>
      </c>
      <c r="G969" s="903"/>
    </row>
    <row r="970" spans="1:7" ht="15" customHeight="1" x14ac:dyDescent="0.25">
      <c r="A970" s="2352" t="s">
        <v>16505</v>
      </c>
      <c r="B970" s="2352" t="s">
        <v>16358</v>
      </c>
      <c r="C970" s="2352" t="s">
        <v>16358</v>
      </c>
      <c r="D970" s="2352" t="s">
        <v>16511</v>
      </c>
      <c r="E970" s="355" t="s">
        <v>17103</v>
      </c>
      <c r="F970" s="1662">
        <v>11</v>
      </c>
      <c r="G970" s="903"/>
    </row>
    <row r="971" spans="1:7" ht="15" customHeight="1" x14ac:dyDescent="0.25">
      <c r="A971" s="2352" t="s">
        <v>16505</v>
      </c>
      <c r="B971" s="2352" t="s">
        <v>16358</v>
      </c>
      <c r="C971" s="2352" t="s">
        <v>16358</v>
      </c>
      <c r="D971" s="2352" t="s">
        <v>16512</v>
      </c>
      <c r="E971" s="355" t="s">
        <v>17097</v>
      </c>
      <c r="F971" s="1662">
        <v>28</v>
      </c>
      <c r="G971" s="903"/>
    </row>
    <row r="972" spans="1:7" ht="15" customHeight="1" x14ac:dyDescent="0.25">
      <c r="A972" s="2352" t="s">
        <v>4904</v>
      </c>
      <c r="B972" s="2352" t="s">
        <v>16358</v>
      </c>
      <c r="C972" s="2352" t="s">
        <v>16358</v>
      </c>
      <c r="D972" s="2352" t="s">
        <v>16513</v>
      </c>
      <c r="E972" s="355" t="s">
        <v>17097</v>
      </c>
      <c r="F972" s="1662">
        <v>52</v>
      </c>
      <c r="G972" s="903"/>
    </row>
    <row r="973" spans="1:7" ht="15" customHeight="1" x14ac:dyDescent="0.25">
      <c r="A973" s="2352" t="s">
        <v>4838</v>
      </c>
      <c r="B973" s="2352" t="s">
        <v>16358</v>
      </c>
      <c r="C973" s="2352" t="s">
        <v>16358</v>
      </c>
      <c r="D973" s="2352" t="s">
        <v>16514</v>
      </c>
      <c r="E973" s="355" t="s">
        <v>17105</v>
      </c>
      <c r="F973" s="1662">
        <v>29</v>
      </c>
      <c r="G973" s="903"/>
    </row>
    <row r="974" spans="1:7" ht="15" customHeight="1" x14ac:dyDescent="0.25">
      <c r="A974" s="2352" t="s">
        <v>16515</v>
      </c>
      <c r="B974" s="2352" t="s">
        <v>16358</v>
      </c>
      <c r="C974" s="2352" t="s">
        <v>16358</v>
      </c>
      <c r="D974" s="2352" t="s">
        <v>16516</v>
      </c>
      <c r="E974" s="355" t="s">
        <v>17105</v>
      </c>
      <c r="F974" s="1662">
        <v>31</v>
      </c>
      <c r="G974" s="903"/>
    </row>
    <row r="975" spans="1:7" ht="15" customHeight="1" x14ac:dyDescent="0.25">
      <c r="A975" s="2352" t="s">
        <v>16517</v>
      </c>
      <c r="B975" s="2352" t="s">
        <v>16358</v>
      </c>
      <c r="C975" s="2352" t="s">
        <v>16358</v>
      </c>
      <c r="D975" s="2352" t="s">
        <v>16518</v>
      </c>
      <c r="E975" s="355" t="s">
        <v>17105</v>
      </c>
      <c r="F975" s="1662">
        <v>11</v>
      </c>
      <c r="G975" s="903"/>
    </row>
    <row r="976" spans="1:7" ht="15" customHeight="1" x14ac:dyDescent="0.25">
      <c r="A976" s="2352" t="s">
        <v>7343</v>
      </c>
      <c r="B976" s="2352" t="s">
        <v>16358</v>
      </c>
      <c r="C976" s="2352" t="s">
        <v>16358</v>
      </c>
      <c r="D976" s="2352" t="s">
        <v>16519</v>
      </c>
      <c r="E976" s="355" t="s">
        <v>17102</v>
      </c>
      <c r="F976" s="1662">
        <v>98</v>
      </c>
      <c r="G976" s="903"/>
    </row>
    <row r="977" spans="1:7" ht="15" customHeight="1" x14ac:dyDescent="0.25">
      <c r="A977" s="2352" t="s">
        <v>16520</v>
      </c>
      <c r="B977" s="2352" t="s">
        <v>16358</v>
      </c>
      <c r="C977" s="2352" t="s">
        <v>16358</v>
      </c>
      <c r="D977" s="2352" t="s">
        <v>16521</v>
      </c>
      <c r="E977" s="355" t="s">
        <v>17100</v>
      </c>
      <c r="F977" s="1662">
        <v>9</v>
      </c>
      <c r="G977" s="903"/>
    </row>
    <row r="978" spans="1:7" ht="15" customHeight="1" x14ac:dyDescent="0.25">
      <c r="A978" s="2352" t="s">
        <v>9173</v>
      </c>
      <c r="B978" s="2352" t="s">
        <v>16358</v>
      </c>
      <c r="C978" s="2352" t="s">
        <v>16358</v>
      </c>
      <c r="D978" s="2352" t="s">
        <v>16522</v>
      </c>
      <c r="E978" s="355" t="s">
        <v>17099</v>
      </c>
      <c r="F978" s="1662">
        <v>87</v>
      </c>
      <c r="G978" s="903"/>
    </row>
    <row r="979" spans="1:7" ht="15" customHeight="1" x14ac:dyDescent="0.25">
      <c r="A979" s="2352" t="s">
        <v>16523</v>
      </c>
      <c r="B979" s="2352" t="s">
        <v>16358</v>
      </c>
      <c r="C979" s="2352" t="s">
        <v>16358</v>
      </c>
      <c r="D979" s="2352" t="s">
        <v>16524</v>
      </c>
      <c r="E979" s="355" t="s">
        <v>17105</v>
      </c>
      <c r="F979" s="1662">
        <v>38</v>
      </c>
      <c r="G979" s="903"/>
    </row>
    <row r="980" spans="1:7" ht="15" customHeight="1" x14ac:dyDescent="0.25">
      <c r="A980" s="2352" t="s">
        <v>16525</v>
      </c>
      <c r="B980" s="2352" t="s">
        <v>16358</v>
      </c>
      <c r="C980" s="2352" t="s">
        <v>16358</v>
      </c>
      <c r="D980" s="2352" t="s">
        <v>16526</v>
      </c>
      <c r="E980" s="355" t="s">
        <v>17105</v>
      </c>
      <c r="F980" s="1662">
        <v>39</v>
      </c>
      <c r="G980" s="903"/>
    </row>
    <row r="981" spans="1:7" ht="15" customHeight="1" x14ac:dyDescent="0.25">
      <c r="A981" s="2352" t="s">
        <v>16527</v>
      </c>
      <c r="B981" s="2352" t="s">
        <v>16358</v>
      </c>
      <c r="C981" s="2352" t="s">
        <v>16358</v>
      </c>
      <c r="D981" s="2352" t="s">
        <v>16528</v>
      </c>
      <c r="E981" s="355" t="s">
        <v>17097</v>
      </c>
      <c r="F981" s="1662">
        <v>61</v>
      </c>
      <c r="G981" s="903"/>
    </row>
    <row r="982" spans="1:7" ht="15" customHeight="1" x14ac:dyDescent="0.25">
      <c r="A982" s="2352" t="s">
        <v>16529</v>
      </c>
      <c r="B982" s="2352" t="s">
        <v>16358</v>
      </c>
      <c r="C982" s="2352" t="s">
        <v>16358</v>
      </c>
      <c r="D982" s="2352" t="s">
        <v>16530</v>
      </c>
      <c r="E982" s="355" t="s">
        <v>17097</v>
      </c>
      <c r="F982" s="1662">
        <v>34</v>
      </c>
      <c r="G982" s="903"/>
    </row>
    <row r="983" spans="1:7" ht="15" customHeight="1" x14ac:dyDescent="0.25">
      <c r="A983" s="2352" t="s">
        <v>16497</v>
      </c>
      <c r="B983" s="2352" t="s">
        <v>16358</v>
      </c>
      <c r="C983" s="2352" t="s">
        <v>16358</v>
      </c>
      <c r="D983" s="2352" t="s">
        <v>16531</v>
      </c>
      <c r="E983" s="355" t="s">
        <v>17099</v>
      </c>
      <c r="F983" s="1662">
        <v>31</v>
      </c>
      <c r="G983" s="903"/>
    </row>
    <row r="984" spans="1:7" ht="15" customHeight="1" x14ac:dyDescent="0.25">
      <c r="A984" s="2352" t="s">
        <v>16497</v>
      </c>
      <c r="B984" s="2352" t="s">
        <v>16358</v>
      </c>
      <c r="C984" s="2352" t="s">
        <v>16358</v>
      </c>
      <c r="D984" s="2352" t="s">
        <v>16532</v>
      </c>
      <c r="E984" s="355" t="s">
        <v>4199</v>
      </c>
      <c r="F984" s="1662">
        <v>127</v>
      </c>
      <c r="G984" s="903"/>
    </row>
    <row r="985" spans="1:7" ht="15" customHeight="1" x14ac:dyDescent="0.25">
      <c r="A985" s="2352" t="s">
        <v>16497</v>
      </c>
      <c r="B985" s="2352" t="s">
        <v>16358</v>
      </c>
      <c r="C985" s="2352" t="s">
        <v>16358</v>
      </c>
      <c r="D985" s="2352" t="s">
        <v>16533</v>
      </c>
      <c r="E985" s="355" t="s">
        <v>17102</v>
      </c>
      <c r="F985" s="1662">
        <v>41</v>
      </c>
      <c r="G985" s="903"/>
    </row>
    <row r="986" spans="1:7" ht="15" customHeight="1" x14ac:dyDescent="0.25">
      <c r="A986" s="2352" t="s">
        <v>16497</v>
      </c>
      <c r="B986" s="2352" t="s">
        <v>16358</v>
      </c>
      <c r="C986" s="2352" t="s">
        <v>16358</v>
      </c>
      <c r="D986" s="2352" t="s">
        <v>16534</v>
      </c>
      <c r="E986" s="355" t="s">
        <v>17102</v>
      </c>
      <c r="F986" s="1662">
        <v>35</v>
      </c>
      <c r="G986" s="903"/>
    </row>
    <row r="987" spans="1:7" ht="15" customHeight="1" x14ac:dyDescent="0.25">
      <c r="A987" s="2352" t="s">
        <v>16535</v>
      </c>
      <c r="B987" s="2352" t="s">
        <v>16358</v>
      </c>
      <c r="C987" s="2352" t="s">
        <v>16358</v>
      </c>
      <c r="D987" s="2352" t="s">
        <v>16536</v>
      </c>
      <c r="E987" s="355" t="s">
        <v>17099</v>
      </c>
      <c r="F987" s="1662">
        <v>13</v>
      </c>
      <c r="G987" s="903"/>
    </row>
    <row r="988" spans="1:7" ht="15" customHeight="1" x14ac:dyDescent="0.25">
      <c r="A988" s="2352" t="s">
        <v>16537</v>
      </c>
      <c r="B988" s="2352" t="s">
        <v>16358</v>
      </c>
      <c r="C988" s="2352" t="s">
        <v>16358</v>
      </c>
      <c r="D988" s="2352" t="s">
        <v>16538</v>
      </c>
      <c r="E988" s="355" t="s">
        <v>17105</v>
      </c>
      <c r="F988" s="1662">
        <v>23</v>
      </c>
      <c r="G988" s="903"/>
    </row>
    <row r="989" spans="1:7" ht="15" customHeight="1" x14ac:dyDescent="0.25">
      <c r="A989" s="2352" t="s">
        <v>16539</v>
      </c>
      <c r="B989" s="2352" t="s">
        <v>16358</v>
      </c>
      <c r="C989" s="2352" t="s">
        <v>16358</v>
      </c>
      <c r="D989" s="2352" t="s">
        <v>16540</v>
      </c>
      <c r="E989" s="355" t="s">
        <v>17097</v>
      </c>
      <c r="F989" s="1662">
        <v>21</v>
      </c>
      <c r="G989" s="903"/>
    </row>
    <row r="990" spans="1:7" ht="15" customHeight="1" x14ac:dyDescent="0.25">
      <c r="A990" s="2352" t="s">
        <v>16541</v>
      </c>
      <c r="B990" s="2352" t="s">
        <v>16358</v>
      </c>
      <c r="C990" s="2352" t="s">
        <v>16358</v>
      </c>
      <c r="D990" s="2352" t="s">
        <v>16542</v>
      </c>
      <c r="E990" s="355" t="s">
        <v>17102</v>
      </c>
      <c r="F990" s="1662">
        <v>138</v>
      </c>
      <c r="G990" s="903"/>
    </row>
    <row r="991" spans="1:7" ht="15" customHeight="1" x14ac:dyDescent="0.25">
      <c r="A991" s="2352" t="s">
        <v>16543</v>
      </c>
      <c r="B991" s="2352" t="s">
        <v>16358</v>
      </c>
      <c r="C991" s="2352" t="s">
        <v>16358</v>
      </c>
      <c r="D991" s="2352" t="s">
        <v>16544</v>
      </c>
      <c r="E991" s="355" t="s">
        <v>17105</v>
      </c>
      <c r="F991" s="1662">
        <v>31</v>
      </c>
      <c r="G991" s="903"/>
    </row>
    <row r="992" spans="1:7" ht="15" customHeight="1" x14ac:dyDescent="0.25">
      <c r="A992" s="2352" t="s">
        <v>16545</v>
      </c>
      <c r="B992" s="2352" t="s">
        <v>16358</v>
      </c>
      <c r="C992" s="2352" t="s">
        <v>16358</v>
      </c>
      <c r="D992" s="2352" t="s">
        <v>16546</v>
      </c>
      <c r="E992" s="355" t="s">
        <v>17097</v>
      </c>
      <c r="F992" s="1662">
        <v>23</v>
      </c>
      <c r="G992" s="903"/>
    </row>
    <row r="993" spans="1:7" ht="15" customHeight="1" x14ac:dyDescent="0.25">
      <c r="A993" s="2352" t="s">
        <v>16545</v>
      </c>
      <c r="B993" s="2352" t="s">
        <v>16358</v>
      </c>
      <c r="C993" s="2352" t="s">
        <v>16358</v>
      </c>
      <c r="D993" s="2352" t="s">
        <v>16547</v>
      </c>
      <c r="E993" s="355" t="s">
        <v>17095</v>
      </c>
      <c r="F993" s="1662">
        <v>113</v>
      </c>
      <c r="G993" s="903"/>
    </row>
    <row r="994" spans="1:7" ht="15" customHeight="1" x14ac:dyDescent="0.25">
      <c r="A994" s="2352" t="s">
        <v>16497</v>
      </c>
      <c r="B994" s="2352" t="s">
        <v>16358</v>
      </c>
      <c r="C994" s="2352" t="s">
        <v>16358</v>
      </c>
      <c r="D994" s="2352" t="s">
        <v>16548</v>
      </c>
      <c r="E994" s="355" t="s">
        <v>17097</v>
      </c>
      <c r="F994" s="1662">
        <v>20</v>
      </c>
      <c r="G994" s="903"/>
    </row>
    <row r="995" spans="1:7" ht="15" customHeight="1" x14ac:dyDescent="0.25">
      <c r="A995" s="2352" t="s">
        <v>16549</v>
      </c>
      <c r="B995" s="2352" t="s">
        <v>16358</v>
      </c>
      <c r="C995" s="2352" t="s">
        <v>16358</v>
      </c>
      <c r="D995" s="2352" t="s">
        <v>16550</v>
      </c>
      <c r="E995" s="355" t="s">
        <v>17105</v>
      </c>
      <c r="F995" s="1662">
        <v>34</v>
      </c>
      <c r="G995" s="903"/>
    </row>
    <row r="996" spans="1:7" ht="15" customHeight="1" x14ac:dyDescent="0.25">
      <c r="A996" s="2352" t="s">
        <v>16551</v>
      </c>
      <c r="B996" s="2352" t="s">
        <v>16358</v>
      </c>
      <c r="C996" s="2352" t="s">
        <v>16358</v>
      </c>
      <c r="D996" s="2352" t="s">
        <v>16552</v>
      </c>
      <c r="E996" s="355" t="s">
        <v>17105</v>
      </c>
      <c r="F996" s="1662">
        <v>36</v>
      </c>
      <c r="G996" s="903"/>
    </row>
    <row r="997" spans="1:7" ht="15" customHeight="1" x14ac:dyDescent="0.25">
      <c r="A997" s="2352" t="s">
        <v>16553</v>
      </c>
      <c r="B997" s="2352" t="s">
        <v>16358</v>
      </c>
      <c r="C997" s="2352" t="s">
        <v>16358</v>
      </c>
      <c r="D997" s="2352" t="s">
        <v>16554</v>
      </c>
      <c r="E997" s="355" t="s">
        <v>17100</v>
      </c>
      <c r="F997" s="1662">
        <v>2</v>
      </c>
      <c r="G997" s="903"/>
    </row>
    <row r="998" spans="1:7" ht="15" customHeight="1" x14ac:dyDescent="0.25">
      <c r="A998" s="2352" t="s">
        <v>16555</v>
      </c>
      <c r="B998" s="2352" t="s">
        <v>16358</v>
      </c>
      <c r="C998" s="2352" t="s">
        <v>16358</v>
      </c>
      <c r="D998" s="2352" t="s">
        <v>16556</v>
      </c>
      <c r="E998" s="355" t="s">
        <v>17097</v>
      </c>
      <c r="F998" s="1662">
        <v>8</v>
      </c>
      <c r="G998" s="903"/>
    </row>
    <row r="999" spans="1:7" ht="15" customHeight="1" x14ac:dyDescent="0.25">
      <c r="A999" s="2352" t="s">
        <v>16557</v>
      </c>
      <c r="B999" s="2352" t="s">
        <v>16358</v>
      </c>
      <c r="C999" s="2352" t="s">
        <v>16358</v>
      </c>
      <c r="D999" s="2352" t="s">
        <v>16558</v>
      </c>
      <c r="E999" s="355" t="s">
        <v>17096</v>
      </c>
      <c r="F999" s="1662">
        <v>120</v>
      </c>
      <c r="G999" s="903"/>
    </row>
    <row r="1000" spans="1:7" ht="15" customHeight="1" x14ac:dyDescent="0.25">
      <c r="A1000" s="2352" t="s">
        <v>16559</v>
      </c>
      <c r="B1000" s="2352" t="s">
        <v>16358</v>
      </c>
      <c r="C1000" s="2352" t="s">
        <v>16358</v>
      </c>
      <c r="D1000" s="2352" t="s">
        <v>16560</v>
      </c>
      <c r="E1000" s="355" t="s">
        <v>17099</v>
      </c>
      <c r="F1000" s="1662">
        <v>73</v>
      </c>
      <c r="G1000" s="903"/>
    </row>
    <row r="1001" spans="1:7" ht="15" customHeight="1" x14ac:dyDescent="0.25">
      <c r="A1001" s="2352" t="s">
        <v>16561</v>
      </c>
      <c r="B1001" s="2352" t="s">
        <v>16358</v>
      </c>
      <c r="C1001" s="2352" t="s">
        <v>16358</v>
      </c>
      <c r="D1001" s="2352" t="s">
        <v>16562</v>
      </c>
      <c r="E1001" s="355" t="s">
        <v>17104</v>
      </c>
      <c r="F1001" s="1662">
        <v>27</v>
      </c>
      <c r="G1001" s="903"/>
    </row>
    <row r="1002" spans="1:7" ht="15" customHeight="1" x14ac:dyDescent="0.25">
      <c r="A1002" s="2352" t="s">
        <v>8536</v>
      </c>
      <c r="B1002" s="2352" t="s">
        <v>16358</v>
      </c>
      <c r="C1002" s="2352" t="s">
        <v>16358</v>
      </c>
      <c r="D1002" s="2352" t="s">
        <v>16563</v>
      </c>
      <c r="E1002" s="355" t="s">
        <v>17105</v>
      </c>
      <c r="F1002" s="1662">
        <v>22</v>
      </c>
      <c r="G1002" s="903"/>
    </row>
    <row r="1003" spans="1:7" ht="15" customHeight="1" x14ac:dyDescent="0.25">
      <c r="A1003" s="2352" t="s">
        <v>4349</v>
      </c>
      <c r="B1003" s="2352" t="s">
        <v>16358</v>
      </c>
      <c r="C1003" s="2352" t="s">
        <v>16358</v>
      </c>
      <c r="D1003" s="2352" t="s">
        <v>16564</v>
      </c>
      <c r="E1003" s="355" t="s">
        <v>17100</v>
      </c>
      <c r="F1003" s="1662">
        <v>4</v>
      </c>
      <c r="G1003" s="903"/>
    </row>
    <row r="1004" spans="1:7" ht="15" customHeight="1" x14ac:dyDescent="0.25">
      <c r="A1004" s="2352" t="s">
        <v>9389</v>
      </c>
      <c r="B1004" s="2352" t="s">
        <v>16358</v>
      </c>
      <c r="C1004" s="2352" t="s">
        <v>16358</v>
      </c>
      <c r="D1004" s="2352" t="s">
        <v>16565</v>
      </c>
      <c r="E1004" s="355" t="s">
        <v>17100</v>
      </c>
      <c r="F1004" s="1662">
        <v>3</v>
      </c>
      <c r="G1004" s="903"/>
    </row>
    <row r="1005" spans="1:7" ht="15" customHeight="1" x14ac:dyDescent="0.25">
      <c r="A1005" s="2352" t="s">
        <v>16566</v>
      </c>
      <c r="B1005" s="2352" t="s">
        <v>16358</v>
      </c>
      <c r="C1005" s="2352" t="s">
        <v>16358</v>
      </c>
      <c r="D1005" s="2352" t="s">
        <v>16567</v>
      </c>
      <c r="E1005" s="355" t="s">
        <v>17099</v>
      </c>
      <c r="F1005" s="1662">
        <v>28</v>
      </c>
      <c r="G1005" s="903"/>
    </row>
    <row r="1006" spans="1:7" ht="15" customHeight="1" x14ac:dyDescent="0.25">
      <c r="A1006" s="2352" t="s">
        <v>16568</v>
      </c>
      <c r="B1006" s="2352" t="s">
        <v>16358</v>
      </c>
      <c r="C1006" s="2352" t="s">
        <v>16358</v>
      </c>
      <c r="D1006" s="2352" t="s">
        <v>16569</v>
      </c>
      <c r="E1006" s="355" t="s">
        <v>17099</v>
      </c>
      <c r="F1006" s="1662">
        <v>18</v>
      </c>
      <c r="G1006" s="903"/>
    </row>
    <row r="1007" spans="1:7" ht="15" customHeight="1" x14ac:dyDescent="0.25">
      <c r="A1007" s="2352" t="s">
        <v>16570</v>
      </c>
      <c r="B1007" s="2352" t="s">
        <v>16358</v>
      </c>
      <c r="C1007" s="2352" t="s">
        <v>16358</v>
      </c>
      <c r="D1007" s="2352" t="s">
        <v>16571</v>
      </c>
      <c r="E1007" s="355" t="s">
        <v>17105</v>
      </c>
      <c r="F1007" s="1662">
        <v>12</v>
      </c>
      <c r="G1007" s="903"/>
    </row>
    <row r="1008" spans="1:7" ht="15" customHeight="1" x14ac:dyDescent="0.25">
      <c r="A1008" s="2352" t="s">
        <v>16572</v>
      </c>
      <c r="B1008" s="2352" t="s">
        <v>16358</v>
      </c>
      <c r="C1008" s="2352" t="s">
        <v>16358</v>
      </c>
      <c r="D1008" s="2352" t="s">
        <v>16573</v>
      </c>
      <c r="E1008" s="355" t="s">
        <v>17096</v>
      </c>
      <c r="F1008" s="1662">
        <v>123</v>
      </c>
      <c r="G1008" s="903"/>
    </row>
    <row r="1009" spans="1:7" ht="15" customHeight="1" x14ac:dyDescent="0.25">
      <c r="A1009" s="2352" t="s">
        <v>16566</v>
      </c>
      <c r="B1009" s="2352" t="s">
        <v>16358</v>
      </c>
      <c r="C1009" s="2352" t="s">
        <v>16358</v>
      </c>
      <c r="D1009" s="2352" t="s">
        <v>16574</v>
      </c>
      <c r="E1009" s="355" t="s">
        <v>17099</v>
      </c>
      <c r="F1009" s="1662">
        <v>32</v>
      </c>
      <c r="G1009" s="903"/>
    </row>
    <row r="1010" spans="1:7" ht="15" customHeight="1" x14ac:dyDescent="0.25">
      <c r="A1010" s="2352" t="s">
        <v>3893</v>
      </c>
      <c r="B1010" s="2352" t="s">
        <v>16358</v>
      </c>
      <c r="C1010" s="2352" t="s">
        <v>16358</v>
      </c>
      <c r="D1010" s="2352" t="s">
        <v>16575</v>
      </c>
      <c r="E1010" s="355" t="s">
        <v>17097</v>
      </c>
      <c r="F1010" s="1662">
        <v>31</v>
      </c>
      <c r="G1010" s="903"/>
    </row>
    <row r="1011" spans="1:7" ht="15" customHeight="1" x14ac:dyDescent="0.25">
      <c r="A1011" s="2352" t="s">
        <v>16576</v>
      </c>
      <c r="B1011" s="2352" t="s">
        <v>16358</v>
      </c>
      <c r="C1011" s="2352" t="s">
        <v>16358</v>
      </c>
      <c r="D1011" s="2352" t="s">
        <v>16577</v>
      </c>
      <c r="E1011" s="355" t="s">
        <v>17104</v>
      </c>
      <c r="F1011" s="1662">
        <v>19</v>
      </c>
      <c r="G1011" s="903"/>
    </row>
    <row r="1012" spans="1:7" ht="15" customHeight="1" x14ac:dyDescent="0.25">
      <c r="A1012" s="2352" t="s">
        <v>16578</v>
      </c>
      <c r="B1012" s="2352" t="s">
        <v>16358</v>
      </c>
      <c r="C1012" s="2352" t="s">
        <v>16358</v>
      </c>
      <c r="D1012" s="2352" t="s">
        <v>16579</v>
      </c>
      <c r="E1012" s="355" t="s">
        <v>17095</v>
      </c>
      <c r="F1012" s="1662">
        <v>119</v>
      </c>
      <c r="G1012" s="903"/>
    </row>
    <row r="1013" spans="1:7" ht="15" customHeight="1" x14ac:dyDescent="0.25">
      <c r="A1013" s="2352" t="s">
        <v>16578</v>
      </c>
      <c r="B1013" s="2352" t="s">
        <v>16358</v>
      </c>
      <c r="C1013" s="2352" t="s">
        <v>16358</v>
      </c>
      <c r="D1013" s="2352" t="s">
        <v>16580</v>
      </c>
      <c r="E1013" s="355" t="s">
        <v>17099</v>
      </c>
      <c r="F1013" s="1662">
        <v>61</v>
      </c>
      <c r="G1013" s="903"/>
    </row>
    <row r="1014" spans="1:7" ht="15" customHeight="1" x14ac:dyDescent="0.25">
      <c r="A1014" s="2352" t="s">
        <v>16578</v>
      </c>
      <c r="B1014" s="2352" t="s">
        <v>16358</v>
      </c>
      <c r="C1014" s="2352" t="s">
        <v>16358</v>
      </c>
      <c r="D1014" s="2352" t="s">
        <v>16581</v>
      </c>
      <c r="E1014" s="355" t="s">
        <v>17099</v>
      </c>
      <c r="F1014" s="1662">
        <v>39</v>
      </c>
      <c r="G1014" s="903"/>
    </row>
    <row r="1015" spans="1:7" ht="15" customHeight="1" x14ac:dyDescent="0.25">
      <c r="A1015" s="2352" t="s">
        <v>16578</v>
      </c>
      <c r="B1015" s="2352" t="s">
        <v>16358</v>
      </c>
      <c r="C1015" s="2352" t="s">
        <v>16358</v>
      </c>
      <c r="D1015" s="2352" t="s">
        <v>16582</v>
      </c>
      <c r="E1015" s="355" t="s">
        <v>17097</v>
      </c>
      <c r="F1015" s="1662">
        <v>19</v>
      </c>
      <c r="G1015" s="903"/>
    </row>
    <row r="1016" spans="1:7" ht="15" customHeight="1" x14ac:dyDescent="0.25">
      <c r="A1016" s="2352" t="s">
        <v>16578</v>
      </c>
      <c r="B1016" s="2352" t="s">
        <v>16358</v>
      </c>
      <c r="C1016" s="2352" t="s">
        <v>16358</v>
      </c>
      <c r="D1016" s="2352" t="s">
        <v>16583</v>
      </c>
      <c r="E1016" s="355" t="s">
        <v>17097</v>
      </c>
      <c r="F1016" s="1662">
        <v>23</v>
      </c>
      <c r="G1016" s="903"/>
    </row>
    <row r="1017" spans="1:7" ht="15" customHeight="1" x14ac:dyDescent="0.25">
      <c r="A1017" s="2352" t="s">
        <v>16578</v>
      </c>
      <c r="B1017" s="2352" t="s">
        <v>16358</v>
      </c>
      <c r="C1017" s="2352" t="s">
        <v>16358</v>
      </c>
      <c r="D1017" s="2352" t="s">
        <v>16584</v>
      </c>
      <c r="E1017" s="355" t="s">
        <v>17095</v>
      </c>
      <c r="F1017" s="1662">
        <v>167</v>
      </c>
      <c r="G1017" s="903"/>
    </row>
    <row r="1018" spans="1:7" ht="15" customHeight="1" x14ac:dyDescent="0.25">
      <c r="A1018" s="2352" t="s">
        <v>3893</v>
      </c>
      <c r="B1018" s="2352" t="s">
        <v>16358</v>
      </c>
      <c r="C1018" s="2352" t="s">
        <v>16358</v>
      </c>
      <c r="D1018" s="2352" t="s">
        <v>16585</v>
      </c>
      <c r="E1018" s="355" t="s">
        <v>17099</v>
      </c>
      <c r="F1018" s="1662">
        <v>29</v>
      </c>
      <c r="G1018" s="903"/>
    </row>
    <row r="1019" spans="1:7" ht="15" customHeight="1" x14ac:dyDescent="0.25">
      <c r="A1019" s="2352" t="s">
        <v>16578</v>
      </c>
      <c r="B1019" s="2352" t="s">
        <v>16358</v>
      </c>
      <c r="C1019" s="2352" t="s">
        <v>16358</v>
      </c>
      <c r="D1019" s="2352" t="s">
        <v>16586</v>
      </c>
      <c r="E1019" s="355" t="s">
        <v>17095</v>
      </c>
      <c r="F1019" s="1662">
        <v>187</v>
      </c>
      <c r="G1019" s="903"/>
    </row>
    <row r="1020" spans="1:7" ht="15" customHeight="1" x14ac:dyDescent="0.25">
      <c r="A1020" s="2352" t="s">
        <v>3914</v>
      </c>
      <c r="B1020" s="2352" t="s">
        <v>16358</v>
      </c>
      <c r="C1020" s="2352" t="s">
        <v>16358</v>
      </c>
      <c r="D1020" s="2352" t="s">
        <v>16587</v>
      </c>
      <c r="E1020" s="355" t="s">
        <v>17104</v>
      </c>
      <c r="F1020" s="1662">
        <v>11</v>
      </c>
      <c r="G1020" s="903"/>
    </row>
    <row r="1021" spans="1:7" ht="15" customHeight="1" x14ac:dyDescent="0.25">
      <c r="A1021" s="2352" t="s">
        <v>16588</v>
      </c>
      <c r="B1021" s="2352" t="s">
        <v>16358</v>
      </c>
      <c r="C1021" s="2352" t="s">
        <v>16358</v>
      </c>
      <c r="D1021" s="2352" t="s">
        <v>16589</v>
      </c>
      <c r="E1021" s="355" t="s">
        <v>17095</v>
      </c>
      <c r="F1021" s="1662">
        <v>67</v>
      </c>
      <c r="G1021" s="903"/>
    </row>
    <row r="1022" spans="1:7" ht="15" customHeight="1" x14ac:dyDescent="0.25">
      <c r="A1022" s="2352" t="s">
        <v>16590</v>
      </c>
      <c r="B1022" s="2352" t="s">
        <v>16358</v>
      </c>
      <c r="C1022" s="2352" t="s">
        <v>16358</v>
      </c>
      <c r="D1022" s="2352" t="s">
        <v>16591</v>
      </c>
      <c r="E1022" s="355" t="s">
        <v>17099</v>
      </c>
      <c r="F1022" s="1662">
        <v>71</v>
      </c>
      <c r="G1022" s="903"/>
    </row>
    <row r="1023" spans="1:7" ht="15" customHeight="1" x14ac:dyDescent="0.25">
      <c r="A1023" s="2352" t="s">
        <v>16592</v>
      </c>
      <c r="B1023" s="2352" t="s">
        <v>16358</v>
      </c>
      <c r="C1023" s="2352" t="s">
        <v>16358</v>
      </c>
      <c r="D1023" s="2352" t="s">
        <v>16593</v>
      </c>
      <c r="E1023" s="355" t="s">
        <v>17097</v>
      </c>
      <c r="F1023" s="1662">
        <v>52</v>
      </c>
      <c r="G1023" s="903"/>
    </row>
    <row r="1024" spans="1:7" ht="15" customHeight="1" x14ac:dyDescent="0.25">
      <c r="A1024" s="2352" t="s">
        <v>3938</v>
      </c>
      <c r="B1024" s="2352" t="s">
        <v>16358</v>
      </c>
      <c r="C1024" s="2352" t="s">
        <v>16358</v>
      </c>
      <c r="D1024" s="2352" t="s">
        <v>16594</v>
      </c>
      <c r="E1024" s="355" t="s">
        <v>17104</v>
      </c>
      <c r="F1024" s="1662">
        <v>13</v>
      </c>
      <c r="G1024" s="903"/>
    </row>
    <row r="1025" spans="1:7" ht="15" customHeight="1" x14ac:dyDescent="0.25">
      <c r="A1025" s="2352" t="s">
        <v>14906</v>
      </c>
      <c r="B1025" s="2352" t="s">
        <v>16358</v>
      </c>
      <c r="C1025" s="2352" t="s">
        <v>16358</v>
      </c>
      <c r="D1025" s="2352" t="s">
        <v>16595</v>
      </c>
      <c r="E1025" s="355" t="s">
        <v>17104</v>
      </c>
      <c r="F1025" s="1662">
        <v>11</v>
      </c>
      <c r="G1025" s="903"/>
    </row>
    <row r="1026" spans="1:7" ht="15" customHeight="1" x14ac:dyDescent="0.25">
      <c r="A1026" s="2352" t="s">
        <v>16459</v>
      </c>
      <c r="B1026" s="2352" t="s">
        <v>16358</v>
      </c>
      <c r="C1026" s="2352" t="s">
        <v>16358</v>
      </c>
      <c r="D1026" s="2352" t="s">
        <v>16596</v>
      </c>
      <c r="E1026" s="355" t="s">
        <v>17097</v>
      </c>
      <c r="F1026" s="1662">
        <v>13</v>
      </c>
      <c r="G1026" s="903"/>
    </row>
    <row r="1027" spans="1:7" ht="15" customHeight="1" x14ac:dyDescent="0.25">
      <c r="A1027" s="2352" t="s">
        <v>6581</v>
      </c>
      <c r="B1027" s="2352" t="s">
        <v>16358</v>
      </c>
      <c r="C1027" s="2352" t="s">
        <v>16358</v>
      </c>
      <c r="D1027" s="2352" t="s">
        <v>16597</v>
      </c>
      <c r="E1027" s="355" t="s">
        <v>17096</v>
      </c>
      <c r="F1027" s="1662">
        <v>62</v>
      </c>
      <c r="G1027" s="903"/>
    </row>
    <row r="1028" spans="1:7" ht="15" customHeight="1" x14ac:dyDescent="0.25">
      <c r="A1028" s="2352" t="s">
        <v>16598</v>
      </c>
      <c r="B1028" s="2352" t="s">
        <v>16358</v>
      </c>
      <c r="C1028" s="2352" t="s">
        <v>16358</v>
      </c>
      <c r="D1028" s="2352" t="s">
        <v>16599</v>
      </c>
      <c r="E1028" s="355" t="s">
        <v>17102</v>
      </c>
      <c r="F1028" s="1662">
        <v>76</v>
      </c>
      <c r="G1028" s="903"/>
    </row>
    <row r="1029" spans="1:7" ht="15" customHeight="1" x14ac:dyDescent="0.25">
      <c r="A1029" s="2352" t="s">
        <v>16600</v>
      </c>
      <c r="B1029" s="2352" t="s">
        <v>16358</v>
      </c>
      <c r="C1029" s="2352" t="s">
        <v>16358</v>
      </c>
      <c r="D1029" s="2352" t="s">
        <v>16601</v>
      </c>
      <c r="E1029" s="355" t="s">
        <v>17099</v>
      </c>
      <c r="F1029" s="1662">
        <v>27</v>
      </c>
      <c r="G1029" s="903"/>
    </row>
    <row r="1030" spans="1:7" ht="15" customHeight="1" x14ac:dyDescent="0.25">
      <c r="A1030" s="2352" t="s">
        <v>16602</v>
      </c>
      <c r="B1030" s="2352" t="s">
        <v>16358</v>
      </c>
      <c r="C1030" s="2352" t="s">
        <v>16358</v>
      </c>
      <c r="D1030" s="2352" t="s">
        <v>16603</v>
      </c>
      <c r="E1030" s="355" t="s">
        <v>17105</v>
      </c>
      <c r="F1030" s="1662">
        <v>32</v>
      </c>
      <c r="G1030" s="903"/>
    </row>
    <row r="1031" spans="1:7" ht="15" customHeight="1" x14ac:dyDescent="0.25">
      <c r="A1031" s="2352" t="s">
        <v>16604</v>
      </c>
      <c r="B1031" s="2352" t="s">
        <v>16358</v>
      </c>
      <c r="C1031" s="2352" t="s">
        <v>16358</v>
      </c>
      <c r="D1031" s="2352" t="s">
        <v>16605</v>
      </c>
      <c r="E1031" s="355" t="s">
        <v>17100</v>
      </c>
      <c r="F1031" s="1662">
        <v>3</v>
      </c>
      <c r="G1031" s="903"/>
    </row>
    <row r="1032" spans="1:7" ht="15" customHeight="1" x14ac:dyDescent="0.25">
      <c r="A1032" s="2352" t="s">
        <v>16588</v>
      </c>
      <c r="B1032" s="2352" t="s">
        <v>16358</v>
      </c>
      <c r="C1032" s="2352" t="s">
        <v>16358</v>
      </c>
      <c r="D1032" s="2352" t="s">
        <v>16606</v>
      </c>
      <c r="E1032" s="355" t="s">
        <v>17102</v>
      </c>
      <c r="F1032" s="1662">
        <v>72</v>
      </c>
      <c r="G1032" s="903"/>
    </row>
    <row r="1033" spans="1:7" ht="15" customHeight="1" x14ac:dyDescent="0.25">
      <c r="A1033" s="2352" t="s">
        <v>16607</v>
      </c>
      <c r="B1033" s="2352" t="s">
        <v>16358</v>
      </c>
      <c r="C1033" s="2352" t="s">
        <v>16358</v>
      </c>
      <c r="D1033" s="2352" t="s">
        <v>16608</v>
      </c>
      <c r="E1033" s="355" t="s">
        <v>17097</v>
      </c>
      <c r="F1033" s="1662">
        <v>21</v>
      </c>
      <c r="G1033" s="903"/>
    </row>
    <row r="1034" spans="1:7" ht="15" customHeight="1" x14ac:dyDescent="0.25">
      <c r="A1034" s="2352" t="s">
        <v>16588</v>
      </c>
      <c r="B1034" s="2352" t="s">
        <v>16358</v>
      </c>
      <c r="C1034" s="2352" t="s">
        <v>16358</v>
      </c>
      <c r="D1034" s="2352" t="s">
        <v>16609</v>
      </c>
      <c r="E1034" s="355" t="s">
        <v>17102</v>
      </c>
      <c r="F1034" s="1662">
        <v>39</v>
      </c>
      <c r="G1034" s="903"/>
    </row>
    <row r="1035" spans="1:7" ht="15" customHeight="1" x14ac:dyDescent="0.25">
      <c r="A1035" s="2352" t="s">
        <v>16588</v>
      </c>
      <c r="B1035" s="2352" t="s">
        <v>16358</v>
      </c>
      <c r="C1035" s="2352" t="s">
        <v>16358</v>
      </c>
      <c r="D1035" s="2352" t="s">
        <v>16610</v>
      </c>
      <c r="E1035" s="355" t="s">
        <v>17096</v>
      </c>
      <c r="F1035" s="1662">
        <v>139</v>
      </c>
      <c r="G1035" s="903"/>
    </row>
    <row r="1036" spans="1:7" ht="15" customHeight="1" x14ac:dyDescent="0.25">
      <c r="A1036" s="2352" t="s">
        <v>16588</v>
      </c>
      <c r="B1036" s="2352" t="s">
        <v>16358</v>
      </c>
      <c r="C1036" s="2352" t="s">
        <v>16358</v>
      </c>
      <c r="D1036" s="2352" t="s">
        <v>16611</v>
      </c>
      <c r="E1036" s="355" t="s">
        <v>17102</v>
      </c>
      <c r="F1036" s="1662">
        <v>78</v>
      </c>
      <c r="G1036" s="903"/>
    </row>
    <row r="1037" spans="1:7" ht="15" customHeight="1" x14ac:dyDescent="0.25">
      <c r="A1037" s="2352" t="s">
        <v>16612</v>
      </c>
      <c r="B1037" s="2352" t="s">
        <v>16358</v>
      </c>
      <c r="C1037" s="2352" t="s">
        <v>16358</v>
      </c>
      <c r="D1037" s="2352" t="s">
        <v>16613</v>
      </c>
      <c r="E1037" s="355" t="s">
        <v>17096</v>
      </c>
      <c r="F1037" s="1662">
        <v>212</v>
      </c>
      <c r="G1037" s="903"/>
    </row>
    <row r="1038" spans="1:7" ht="15" customHeight="1" x14ac:dyDescent="0.25">
      <c r="A1038" s="2352" t="s">
        <v>16588</v>
      </c>
      <c r="B1038" s="2352" t="s">
        <v>16358</v>
      </c>
      <c r="C1038" s="2352" t="s">
        <v>16358</v>
      </c>
      <c r="D1038" s="2352" t="s">
        <v>16614</v>
      </c>
      <c r="E1038" s="355" t="s">
        <v>17104</v>
      </c>
      <c r="F1038" s="1662">
        <v>12</v>
      </c>
      <c r="G1038" s="903"/>
    </row>
    <row r="1039" spans="1:7" ht="15" customHeight="1" x14ac:dyDescent="0.25">
      <c r="A1039" s="2352" t="s">
        <v>6581</v>
      </c>
      <c r="B1039" s="2352" t="s">
        <v>16358</v>
      </c>
      <c r="C1039" s="2352" t="s">
        <v>16358</v>
      </c>
      <c r="D1039" s="2352" t="s">
        <v>16615</v>
      </c>
      <c r="E1039" s="355" t="s">
        <v>17097</v>
      </c>
      <c r="F1039" s="1662">
        <v>34</v>
      </c>
      <c r="G1039" s="903"/>
    </row>
    <row r="1040" spans="1:7" ht="15" customHeight="1" x14ac:dyDescent="0.25">
      <c r="A1040" s="2352" t="s">
        <v>16598</v>
      </c>
      <c r="B1040" s="2352" t="s">
        <v>16358</v>
      </c>
      <c r="C1040" s="2352" t="s">
        <v>16358</v>
      </c>
      <c r="D1040" s="2352" t="s">
        <v>16616</v>
      </c>
      <c r="E1040" s="355" t="s">
        <v>17102</v>
      </c>
      <c r="F1040" s="1662">
        <v>64</v>
      </c>
      <c r="G1040" s="903"/>
    </row>
    <row r="1041" spans="1:7" ht="15" customHeight="1" x14ac:dyDescent="0.25">
      <c r="A1041" s="2352" t="s">
        <v>6581</v>
      </c>
      <c r="B1041" s="2352" t="s">
        <v>16358</v>
      </c>
      <c r="C1041" s="2352" t="s">
        <v>16358</v>
      </c>
      <c r="D1041" s="2352" t="s">
        <v>16617</v>
      </c>
      <c r="E1041" s="355" t="s">
        <v>17103</v>
      </c>
      <c r="F1041" s="1662">
        <v>12</v>
      </c>
      <c r="G1041" s="903"/>
    </row>
    <row r="1042" spans="1:7" ht="15" customHeight="1" x14ac:dyDescent="0.25">
      <c r="A1042" s="2352" t="s">
        <v>6581</v>
      </c>
      <c r="B1042" s="2352" t="s">
        <v>16358</v>
      </c>
      <c r="C1042" s="2352" t="s">
        <v>16358</v>
      </c>
      <c r="D1042" s="2352" t="s">
        <v>16618</v>
      </c>
      <c r="E1042" s="355" t="s">
        <v>17099</v>
      </c>
      <c r="F1042" s="1662">
        <v>39</v>
      </c>
      <c r="G1042" s="903"/>
    </row>
    <row r="1043" spans="1:7" ht="15" customHeight="1" x14ac:dyDescent="0.25">
      <c r="A1043" s="2352" t="s">
        <v>9782</v>
      </c>
      <c r="B1043" s="2352" t="s">
        <v>16358</v>
      </c>
      <c r="C1043" s="2352" t="s">
        <v>16358</v>
      </c>
      <c r="D1043" s="2352" t="s">
        <v>16619</v>
      </c>
      <c r="E1043" s="355" t="s">
        <v>17105</v>
      </c>
      <c r="F1043" s="1662">
        <v>24</v>
      </c>
      <c r="G1043" s="903"/>
    </row>
    <row r="1044" spans="1:7" ht="15" customHeight="1" x14ac:dyDescent="0.25">
      <c r="A1044" s="2352" t="s">
        <v>10238</v>
      </c>
      <c r="B1044" s="2352" t="s">
        <v>16358</v>
      </c>
      <c r="C1044" s="2352" t="s">
        <v>16358</v>
      </c>
      <c r="D1044" s="2352" t="s">
        <v>16620</v>
      </c>
      <c r="E1044" s="355" t="s">
        <v>17102</v>
      </c>
      <c r="F1044" s="1662">
        <v>79</v>
      </c>
      <c r="G1044" s="903"/>
    </row>
    <row r="1045" spans="1:7" ht="15" customHeight="1" x14ac:dyDescent="0.25">
      <c r="A1045" s="2352" t="s">
        <v>10238</v>
      </c>
      <c r="B1045" s="2352" t="s">
        <v>16358</v>
      </c>
      <c r="C1045" s="2352" t="s">
        <v>16358</v>
      </c>
      <c r="D1045" s="2352" t="s">
        <v>16621</v>
      </c>
      <c r="E1045" s="355" t="s">
        <v>17099</v>
      </c>
      <c r="F1045" s="1662">
        <v>68</v>
      </c>
      <c r="G1045" s="903"/>
    </row>
    <row r="1046" spans="1:7" ht="15" customHeight="1" x14ac:dyDescent="0.25">
      <c r="A1046" s="2352" t="s">
        <v>7875</v>
      </c>
      <c r="B1046" s="2352" t="s">
        <v>16358</v>
      </c>
      <c r="C1046" s="2352" t="s">
        <v>16358</v>
      </c>
      <c r="D1046" s="2352" t="s">
        <v>16622</v>
      </c>
      <c r="E1046" s="355" t="s">
        <v>17102</v>
      </c>
      <c r="F1046" s="1662">
        <v>93</v>
      </c>
      <c r="G1046" s="903"/>
    </row>
    <row r="1047" spans="1:7" ht="15" customHeight="1" x14ac:dyDescent="0.25">
      <c r="A1047" s="2352" t="s">
        <v>16623</v>
      </c>
      <c r="B1047" s="2352" t="s">
        <v>16358</v>
      </c>
      <c r="C1047" s="2352" t="s">
        <v>16358</v>
      </c>
      <c r="D1047" s="2352" t="s">
        <v>16624</v>
      </c>
      <c r="E1047" s="355" t="s">
        <v>17102</v>
      </c>
      <c r="F1047" s="1662">
        <v>127</v>
      </c>
      <c r="G1047" s="903"/>
    </row>
    <row r="1048" spans="1:7" ht="15" customHeight="1" x14ac:dyDescent="0.25">
      <c r="A1048" s="2352" t="s">
        <v>16625</v>
      </c>
      <c r="B1048" s="2352" t="s">
        <v>16358</v>
      </c>
      <c r="C1048" s="2352" t="s">
        <v>16358</v>
      </c>
      <c r="D1048" s="2352" t="s">
        <v>16626</v>
      </c>
      <c r="E1048" s="355" t="s">
        <v>17104</v>
      </c>
      <c r="F1048" s="1662">
        <v>19</v>
      </c>
      <c r="G1048" s="903"/>
    </row>
    <row r="1049" spans="1:7" ht="15" customHeight="1" x14ac:dyDescent="0.25">
      <c r="A1049" s="2352" t="s">
        <v>16627</v>
      </c>
      <c r="B1049" s="2352" t="s">
        <v>16358</v>
      </c>
      <c r="C1049" s="2352" t="s">
        <v>16358</v>
      </c>
      <c r="D1049" s="2352" t="s">
        <v>16628</v>
      </c>
      <c r="E1049" s="355" t="s">
        <v>17104</v>
      </c>
      <c r="F1049" s="1662">
        <v>26</v>
      </c>
      <c r="G1049" s="903"/>
    </row>
    <row r="1050" spans="1:7" ht="15" customHeight="1" x14ac:dyDescent="0.25">
      <c r="A1050" s="2352" t="s">
        <v>14133</v>
      </c>
      <c r="B1050" s="2352" t="s">
        <v>16358</v>
      </c>
      <c r="C1050" s="2352" t="s">
        <v>16358</v>
      </c>
      <c r="D1050" s="2352" t="s">
        <v>16629</v>
      </c>
      <c r="E1050" s="355" t="s">
        <v>17097</v>
      </c>
      <c r="F1050" s="1662">
        <v>37</v>
      </c>
      <c r="G1050" s="903"/>
    </row>
    <row r="1051" spans="1:7" ht="15" customHeight="1" x14ac:dyDescent="0.25">
      <c r="A1051" s="2352" t="s">
        <v>6422</v>
      </c>
      <c r="B1051" s="2352" t="s">
        <v>16358</v>
      </c>
      <c r="C1051" s="2352" t="s">
        <v>16358</v>
      </c>
      <c r="D1051" s="2352" t="s">
        <v>16630</v>
      </c>
      <c r="E1051" s="355" t="s">
        <v>17097</v>
      </c>
      <c r="F1051" s="1662">
        <v>31</v>
      </c>
      <c r="G1051" s="903"/>
    </row>
    <row r="1052" spans="1:7" ht="15" customHeight="1" x14ac:dyDescent="0.25">
      <c r="A1052" s="2352" t="s">
        <v>7331</v>
      </c>
      <c r="B1052" s="2352" t="s">
        <v>16358</v>
      </c>
      <c r="C1052" s="2352" t="s">
        <v>16358</v>
      </c>
      <c r="D1052" s="2352" t="s">
        <v>16631</v>
      </c>
      <c r="E1052" s="355" t="s">
        <v>17099</v>
      </c>
      <c r="F1052" s="1662">
        <v>28</v>
      </c>
      <c r="G1052" s="903"/>
    </row>
    <row r="1053" spans="1:7" ht="15" customHeight="1" x14ac:dyDescent="0.25">
      <c r="A1053" s="2352" t="s">
        <v>7331</v>
      </c>
      <c r="B1053" s="2352" t="s">
        <v>16358</v>
      </c>
      <c r="C1053" s="2352" t="s">
        <v>16358</v>
      </c>
      <c r="D1053" s="2352" t="s">
        <v>16632</v>
      </c>
      <c r="E1053" s="355" t="s">
        <v>17095</v>
      </c>
      <c r="F1053" s="1662">
        <v>131</v>
      </c>
      <c r="G1053" s="903"/>
    </row>
    <row r="1054" spans="1:7" ht="15" customHeight="1" x14ac:dyDescent="0.25">
      <c r="A1054" s="2352" t="s">
        <v>7331</v>
      </c>
      <c r="B1054" s="2352" t="s">
        <v>16358</v>
      </c>
      <c r="C1054" s="2352" t="s">
        <v>16358</v>
      </c>
      <c r="D1054" s="2352" t="s">
        <v>16633</v>
      </c>
      <c r="E1054" s="355" t="s">
        <v>17096</v>
      </c>
      <c r="F1054" s="1662">
        <v>380</v>
      </c>
      <c r="G1054" s="903"/>
    </row>
    <row r="1055" spans="1:7" ht="15" customHeight="1" x14ac:dyDescent="0.25">
      <c r="A1055" s="2352" t="s">
        <v>7331</v>
      </c>
      <c r="B1055" s="2352" t="s">
        <v>16358</v>
      </c>
      <c r="C1055" s="2352" t="s">
        <v>16358</v>
      </c>
      <c r="D1055" s="2352" t="s">
        <v>16634</v>
      </c>
      <c r="E1055" s="355" t="s">
        <v>17102</v>
      </c>
      <c r="F1055" s="1662">
        <v>82</v>
      </c>
      <c r="G1055" s="903"/>
    </row>
    <row r="1056" spans="1:7" ht="15" customHeight="1" x14ac:dyDescent="0.25">
      <c r="A1056" s="2352" t="s">
        <v>7331</v>
      </c>
      <c r="B1056" s="2352" t="s">
        <v>16358</v>
      </c>
      <c r="C1056" s="2352" t="s">
        <v>16358</v>
      </c>
      <c r="D1056" s="2352" t="s">
        <v>16635</v>
      </c>
      <c r="E1056" s="355" t="s">
        <v>17102</v>
      </c>
      <c r="F1056" s="1662">
        <v>94</v>
      </c>
      <c r="G1056" s="903"/>
    </row>
    <row r="1057" spans="1:7" ht="15" customHeight="1" x14ac:dyDescent="0.25">
      <c r="A1057" s="2352" t="s">
        <v>16636</v>
      </c>
      <c r="B1057" s="2352" t="s">
        <v>16358</v>
      </c>
      <c r="C1057" s="2352" t="s">
        <v>16358</v>
      </c>
      <c r="D1057" s="2352" t="s">
        <v>16637</v>
      </c>
      <c r="E1057" s="355" t="s">
        <v>17103</v>
      </c>
      <c r="F1057" s="1662">
        <v>13</v>
      </c>
      <c r="G1057" s="903"/>
    </row>
    <row r="1058" spans="1:7" ht="15" customHeight="1" x14ac:dyDescent="0.25">
      <c r="A1058" s="2352" t="s">
        <v>16638</v>
      </c>
      <c r="B1058" s="2352" t="s">
        <v>16358</v>
      </c>
      <c r="C1058" s="2352" t="s">
        <v>16358</v>
      </c>
      <c r="D1058" s="2352" t="s">
        <v>16639</v>
      </c>
      <c r="E1058" s="355" t="s">
        <v>17104</v>
      </c>
      <c r="F1058" s="1662">
        <v>14</v>
      </c>
      <c r="G1058" s="903"/>
    </row>
    <row r="1059" spans="1:7" ht="15" customHeight="1" x14ac:dyDescent="0.25">
      <c r="A1059" s="2352" t="s">
        <v>16640</v>
      </c>
      <c r="B1059" s="2352" t="s">
        <v>16358</v>
      </c>
      <c r="C1059" s="2352" t="s">
        <v>16358</v>
      </c>
      <c r="D1059" s="2352" t="s">
        <v>16641</v>
      </c>
      <c r="E1059" s="355" t="s">
        <v>17104</v>
      </c>
      <c r="F1059" s="1662">
        <v>21</v>
      </c>
      <c r="G1059" s="903"/>
    </row>
    <row r="1060" spans="1:7" ht="15" customHeight="1" x14ac:dyDescent="0.25">
      <c r="A1060" s="2352" t="s">
        <v>4786</v>
      </c>
      <c r="B1060" s="2352" t="s">
        <v>16358</v>
      </c>
      <c r="C1060" s="2352" t="s">
        <v>16358</v>
      </c>
      <c r="D1060" s="2352" t="s">
        <v>16642</v>
      </c>
      <c r="E1060" s="355" t="s">
        <v>17103</v>
      </c>
      <c r="F1060" s="1662">
        <v>11</v>
      </c>
      <c r="G1060" s="903"/>
    </row>
    <row r="1061" spans="1:7" ht="15" customHeight="1" x14ac:dyDescent="0.25">
      <c r="A1061" s="2352" t="s">
        <v>16643</v>
      </c>
      <c r="B1061" s="2352" t="s">
        <v>16358</v>
      </c>
      <c r="C1061" s="2352" t="s">
        <v>16358</v>
      </c>
      <c r="D1061" s="2352" t="s">
        <v>16644</v>
      </c>
      <c r="E1061" s="355" t="s">
        <v>17104</v>
      </c>
      <c r="F1061" s="1662">
        <v>13</v>
      </c>
      <c r="G1061" s="903"/>
    </row>
    <row r="1062" spans="1:7" ht="15" customHeight="1" x14ac:dyDescent="0.25">
      <c r="A1062" s="2352" t="s">
        <v>4153</v>
      </c>
      <c r="B1062" s="2352" t="s">
        <v>3661</v>
      </c>
      <c r="C1062" s="2352" t="s">
        <v>3661</v>
      </c>
      <c r="D1062" s="2352" t="s">
        <v>3662</v>
      </c>
      <c r="E1062" s="355">
        <v>63</v>
      </c>
      <c r="F1062" s="1662">
        <v>15</v>
      </c>
      <c r="G1062" s="903"/>
    </row>
    <row r="1063" spans="1:7" ht="15" customHeight="1" x14ac:dyDescent="0.25">
      <c r="A1063" s="2352" t="s">
        <v>6525</v>
      </c>
      <c r="B1063" s="2352" t="s">
        <v>3661</v>
      </c>
      <c r="C1063" s="2352" t="s">
        <v>3661</v>
      </c>
      <c r="D1063" s="2352" t="s">
        <v>3663</v>
      </c>
      <c r="E1063" s="355">
        <v>100</v>
      </c>
      <c r="F1063" s="1662">
        <v>40</v>
      </c>
      <c r="G1063" s="903"/>
    </row>
    <row r="1064" spans="1:7" ht="15" customHeight="1" x14ac:dyDescent="0.25">
      <c r="A1064" s="2352" t="s">
        <v>6701</v>
      </c>
      <c r="B1064" s="2352" t="s">
        <v>3661</v>
      </c>
      <c r="C1064" s="2352" t="s">
        <v>3661</v>
      </c>
      <c r="D1064" s="2352" t="s">
        <v>3664</v>
      </c>
      <c r="E1064" s="355">
        <v>25</v>
      </c>
      <c r="F1064" s="1662">
        <v>5</v>
      </c>
      <c r="G1064" s="903"/>
    </row>
    <row r="1065" spans="1:7" ht="15" customHeight="1" x14ac:dyDescent="0.25">
      <c r="A1065" s="2352" t="s">
        <v>3665</v>
      </c>
      <c r="B1065" s="2352" t="s">
        <v>3661</v>
      </c>
      <c r="C1065" s="2352" t="s">
        <v>3661</v>
      </c>
      <c r="D1065" s="2352" t="s">
        <v>3666</v>
      </c>
      <c r="E1065" s="355">
        <v>10</v>
      </c>
      <c r="F1065" s="1662">
        <v>2</v>
      </c>
      <c r="G1065" s="903"/>
    </row>
    <row r="1066" spans="1:7" ht="15" customHeight="1" x14ac:dyDescent="0.25">
      <c r="A1066" s="2352" t="s">
        <v>14158</v>
      </c>
      <c r="B1066" s="2352" t="s">
        <v>3661</v>
      </c>
      <c r="C1066" s="2352" t="s">
        <v>3661</v>
      </c>
      <c r="D1066" s="2352" t="s">
        <v>3667</v>
      </c>
      <c r="E1066" s="355">
        <v>100</v>
      </c>
      <c r="F1066" s="1662">
        <v>30</v>
      </c>
      <c r="G1066" s="903"/>
    </row>
    <row r="1067" spans="1:7" ht="15" customHeight="1" x14ac:dyDescent="0.25">
      <c r="A1067" s="2352" t="s">
        <v>14158</v>
      </c>
      <c r="B1067" s="2352" t="s">
        <v>3661</v>
      </c>
      <c r="C1067" s="2352" t="s">
        <v>3661</v>
      </c>
      <c r="D1067" s="2352" t="s">
        <v>3668</v>
      </c>
      <c r="E1067" s="355">
        <v>400</v>
      </c>
      <c r="F1067" s="1662">
        <v>80</v>
      </c>
      <c r="G1067" s="903"/>
    </row>
    <row r="1068" spans="1:7" ht="15" customHeight="1" x14ac:dyDescent="0.25">
      <c r="A1068" s="2352" t="s">
        <v>14158</v>
      </c>
      <c r="B1068" s="2352" t="s">
        <v>3661</v>
      </c>
      <c r="C1068" s="2352" t="s">
        <v>3661</v>
      </c>
      <c r="D1068" s="2352" t="s">
        <v>3669</v>
      </c>
      <c r="E1068" s="355">
        <v>160</v>
      </c>
      <c r="F1068" s="1662">
        <v>10</v>
      </c>
      <c r="G1068" s="903"/>
    </row>
    <row r="1069" spans="1:7" ht="15" customHeight="1" x14ac:dyDescent="0.25">
      <c r="A1069" s="2352" t="s">
        <v>14158</v>
      </c>
      <c r="B1069" s="2352" t="s">
        <v>3661</v>
      </c>
      <c r="C1069" s="2352" t="s">
        <v>3661</v>
      </c>
      <c r="D1069" s="2352" t="s">
        <v>3670</v>
      </c>
      <c r="E1069" s="355">
        <v>250</v>
      </c>
      <c r="F1069" s="1662">
        <v>60</v>
      </c>
      <c r="G1069" s="903"/>
    </row>
    <row r="1070" spans="1:7" ht="15" customHeight="1" x14ac:dyDescent="0.25">
      <c r="A1070" s="2352" t="s">
        <v>3671</v>
      </c>
      <c r="B1070" s="2352" t="s">
        <v>3661</v>
      </c>
      <c r="C1070" s="2352" t="s">
        <v>3661</v>
      </c>
      <c r="D1070" s="2352" t="s">
        <v>3672</v>
      </c>
      <c r="E1070" s="355">
        <v>250</v>
      </c>
      <c r="F1070" s="1662">
        <v>35</v>
      </c>
      <c r="G1070" s="903"/>
    </row>
    <row r="1071" spans="1:7" ht="15" customHeight="1" x14ac:dyDescent="0.25">
      <c r="A1071" s="2352" t="s">
        <v>3671</v>
      </c>
      <c r="B1071" s="2352" t="s">
        <v>3661</v>
      </c>
      <c r="C1071" s="2352" t="s">
        <v>3661</v>
      </c>
      <c r="D1071" s="2352" t="s">
        <v>3673</v>
      </c>
      <c r="E1071" s="355">
        <v>100</v>
      </c>
      <c r="F1071" s="1662">
        <v>40</v>
      </c>
      <c r="G1071" s="903"/>
    </row>
    <row r="1072" spans="1:7" ht="15" customHeight="1" x14ac:dyDescent="0.25">
      <c r="A1072" s="2352" t="s">
        <v>3674</v>
      </c>
      <c r="B1072" s="2352" t="s">
        <v>3661</v>
      </c>
      <c r="C1072" s="2352" t="s">
        <v>3661</v>
      </c>
      <c r="D1072" s="2352" t="s">
        <v>3675</v>
      </c>
      <c r="E1072" s="355">
        <v>63</v>
      </c>
      <c r="F1072" s="1662">
        <v>0</v>
      </c>
      <c r="G1072" s="903"/>
    </row>
    <row r="1073" spans="1:7" ht="15" customHeight="1" x14ac:dyDescent="0.25">
      <c r="A1073" s="2352" t="s">
        <v>3676</v>
      </c>
      <c r="B1073" s="2352" t="s">
        <v>3661</v>
      </c>
      <c r="C1073" s="2352" t="s">
        <v>3661</v>
      </c>
      <c r="D1073" s="2352" t="s">
        <v>3677</v>
      </c>
      <c r="E1073" s="355">
        <v>63</v>
      </c>
      <c r="F1073" s="1662">
        <v>10</v>
      </c>
      <c r="G1073" s="903"/>
    </row>
    <row r="1074" spans="1:7" ht="15" customHeight="1" x14ac:dyDescent="0.25">
      <c r="A1074" s="2352" t="s">
        <v>3678</v>
      </c>
      <c r="B1074" s="2352" t="s">
        <v>3661</v>
      </c>
      <c r="C1074" s="2352" t="s">
        <v>3661</v>
      </c>
      <c r="D1074" s="2352" t="s">
        <v>3679</v>
      </c>
      <c r="E1074" s="355">
        <v>30</v>
      </c>
      <c r="F1074" s="1662">
        <v>0</v>
      </c>
      <c r="G1074" s="903"/>
    </row>
    <row r="1075" spans="1:7" ht="15" customHeight="1" x14ac:dyDescent="0.25">
      <c r="A1075" s="2352" t="s">
        <v>3680</v>
      </c>
      <c r="B1075" s="2352" t="s">
        <v>3661</v>
      </c>
      <c r="C1075" s="2352" t="s">
        <v>3661</v>
      </c>
      <c r="D1075" s="2352" t="s">
        <v>3681</v>
      </c>
      <c r="E1075" s="355">
        <v>160</v>
      </c>
      <c r="F1075" s="1662">
        <v>50</v>
      </c>
      <c r="G1075" s="903"/>
    </row>
    <row r="1076" spans="1:7" ht="15" customHeight="1" x14ac:dyDescent="0.25">
      <c r="A1076" s="2352" t="s">
        <v>3682</v>
      </c>
      <c r="B1076" s="2352" t="s">
        <v>3661</v>
      </c>
      <c r="C1076" s="2352" t="s">
        <v>3661</v>
      </c>
      <c r="D1076" s="2352" t="s">
        <v>3683</v>
      </c>
      <c r="E1076" s="355">
        <v>10</v>
      </c>
      <c r="F1076" s="1662">
        <v>1</v>
      </c>
      <c r="G1076" s="903"/>
    </row>
    <row r="1077" spans="1:7" ht="15" customHeight="1" x14ac:dyDescent="0.25">
      <c r="A1077" s="2352" t="s">
        <v>3684</v>
      </c>
      <c r="B1077" s="2352" t="s">
        <v>3661</v>
      </c>
      <c r="C1077" s="2352" t="s">
        <v>3661</v>
      </c>
      <c r="D1077" s="2352" t="s">
        <v>3685</v>
      </c>
      <c r="E1077" s="355">
        <v>30</v>
      </c>
      <c r="F1077" s="1662">
        <v>0</v>
      </c>
      <c r="G1077" s="903"/>
    </row>
    <row r="1078" spans="1:7" ht="15" customHeight="1" x14ac:dyDescent="0.25">
      <c r="A1078" s="2352" t="s">
        <v>3686</v>
      </c>
      <c r="B1078" s="2352" t="s">
        <v>3661</v>
      </c>
      <c r="C1078" s="2352" t="s">
        <v>3661</v>
      </c>
      <c r="D1078" s="2352" t="s">
        <v>3687</v>
      </c>
      <c r="E1078" s="355">
        <v>63</v>
      </c>
      <c r="F1078" s="1662">
        <v>50</v>
      </c>
      <c r="G1078" s="903"/>
    </row>
    <row r="1079" spans="1:7" ht="15" customHeight="1" x14ac:dyDescent="0.25">
      <c r="A1079" s="2352" t="s">
        <v>3688</v>
      </c>
      <c r="B1079" s="2352" t="s">
        <v>3661</v>
      </c>
      <c r="C1079" s="2352" t="s">
        <v>3661</v>
      </c>
      <c r="D1079" s="2352" t="s">
        <v>3689</v>
      </c>
      <c r="E1079" s="355">
        <v>10</v>
      </c>
      <c r="F1079" s="1662">
        <v>0</v>
      </c>
      <c r="G1079" s="903"/>
    </row>
    <row r="1080" spans="1:7" ht="15" customHeight="1" x14ac:dyDescent="0.25">
      <c r="A1080" s="2352" t="s">
        <v>3690</v>
      </c>
      <c r="B1080" s="2352" t="s">
        <v>3661</v>
      </c>
      <c r="C1080" s="2352" t="s">
        <v>3661</v>
      </c>
      <c r="D1080" s="2352" t="s">
        <v>3691</v>
      </c>
      <c r="E1080" s="355">
        <v>100</v>
      </c>
      <c r="F1080" s="1662">
        <v>30</v>
      </c>
      <c r="G1080" s="903"/>
    </row>
    <row r="1081" spans="1:7" ht="15" customHeight="1" x14ac:dyDescent="0.25">
      <c r="A1081" s="2352" t="s">
        <v>3692</v>
      </c>
      <c r="B1081" s="2352" t="s">
        <v>3661</v>
      </c>
      <c r="C1081" s="2352" t="s">
        <v>3661</v>
      </c>
      <c r="D1081" s="2352" t="s">
        <v>3693</v>
      </c>
      <c r="E1081" s="355">
        <v>63</v>
      </c>
      <c r="F1081" s="1662">
        <v>25</v>
      </c>
      <c r="G1081" s="903"/>
    </row>
    <row r="1082" spans="1:7" ht="15" customHeight="1" x14ac:dyDescent="0.25">
      <c r="A1082" s="2352" t="s">
        <v>3690</v>
      </c>
      <c r="B1082" s="2352" t="s">
        <v>3661</v>
      </c>
      <c r="C1082" s="2352" t="s">
        <v>3661</v>
      </c>
      <c r="D1082" s="2352" t="s">
        <v>3694</v>
      </c>
      <c r="E1082" s="355">
        <v>400</v>
      </c>
      <c r="F1082" s="1662">
        <v>160</v>
      </c>
      <c r="G1082" s="903"/>
    </row>
    <row r="1083" spans="1:7" ht="15" customHeight="1" x14ac:dyDescent="0.25">
      <c r="A1083" s="2352" t="s">
        <v>14159</v>
      </c>
      <c r="B1083" s="2352" t="s">
        <v>3661</v>
      </c>
      <c r="C1083" s="2352" t="s">
        <v>3661</v>
      </c>
      <c r="D1083" s="2352" t="s">
        <v>3695</v>
      </c>
      <c r="E1083" s="355">
        <v>400</v>
      </c>
      <c r="F1083" s="1662">
        <v>80</v>
      </c>
      <c r="G1083" s="903"/>
    </row>
    <row r="1084" spans="1:7" ht="15" customHeight="1" x14ac:dyDescent="0.25">
      <c r="A1084" s="2352" t="s">
        <v>3696</v>
      </c>
      <c r="B1084" s="2352" t="s">
        <v>3661</v>
      </c>
      <c r="C1084" s="2352" t="s">
        <v>3661</v>
      </c>
      <c r="D1084" s="2352" t="s">
        <v>3697</v>
      </c>
      <c r="E1084" s="355">
        <v>30</v>
      </c>
      <c r="F1084" s="1662">
        <v>10</v>
      </c>
      <c r="G1084" s="903"/>
    </row>
    <row r="1085" spans="1:7" ht="15" customHeight="1" x14ac:dyDescent="0.25">
      <c r="A1085" s="2352" t="s">
        <v>3698</v>
      </c>
      <c r="B1085" s="2352" t="s">
        <v>3661</v>
      </c>
      <c r="C1085" s="2352" t="s">
        <v>3661</v>
      </c>
      <c r="D1085" s="2352" t="s">
        <v>3699</v>
      </c>
      <c r="E1085" s="355">
        <v>100</v>
      </c>
      <c r="F1085" s="1662">
        <v>30</v>
      </c>
      <c r="G1085" s="903"/>
    </row>
    <row r="1086" spans="1:7" ht="15" customHeight="1" x14ac:dyDescent="0.25">
      <c r="A1086" s="2352" t="s">
        <v>3698</v>
      </c>
      <c r="B1086" s="2352" t="s">
        <v>3661</v>
      </c>
      <c r="C1086" s="2352" t="s">
        <v>3661</v>
      </c>
      <c r="D1086" s="2352" t="s">
        <v>3700</v>
      </c>
      <c r="E1086" s="355">
        <v>160</v>
      </c>
      <c r="F1086" s="1662">
        <v>40</v>
      </c>
      <c r="G1086" s="903"/>
    </row>
    <row r="1087" spans="1:7" ht="15" customHeight="1" x14ac:dyDescent="0.25">
      <c r="A1087" s="2352" t="s">
        <v>3698</v>
      </c>
      <c r="B1087" s="2352" t="s">
        <v>3661</v>
      </c>
      <c r="C1087" s="2352" t="s">
        <v>3661</v>
      </c>
      <c r="D1087" s="2352" t="s">
        <v>3701</v>
      </c>
      <c r="E1087" s="355">
        <v>63</v>
      </c>
      <c r="F1087" s="1662">
        <v>25</v>
      </c>
      <c r="G1087" s="903"/>
    </row>
    <row r="1088" spans="1:7" ht="15" customHeight="1" x14ac:dyDescent="0.25">
      <c r="A1088" s="2352" t="s">
        <v>3698</v>
      </c>
      <c r="B1088" s="2352" t="s">
        <v>3661</v>
      </c>
      <c r="C1088" s="2352" t="s">
        <v>3661</v>
      </c>
      <c r="D1088" s="2352" t="s">
        <v>3702</v>
      </c>
      <c r="E1088" s="355">
        <v>160</v>
      </c>
      <c r="F1088" s="1662">
        <v>100</v>
      </c>
      <c r="G1088" s="903"/>
    </row>
    <row r="1089" spans="1:7" ht="15" customHeight="1" x14ac:dyDescent="0.25">
      <c r="A1089" s="2352" t="s">
        <v>3703</v>
      </c>
      <c r="B1089" s="2352" t="s">
        <v>3661</v>
      </c>
      <c r="C1089" s="2352" t="s">
        <v>3661</v>
      </c>
      <c r="D1089" s="2352" t="s">
        <v>3704</v>
      </c>
      <c r="E1089" s="355">
        <v>160</v>
      </c>
      <c r="F1089" s="1662">
        <v>100</v>
      </c>
      <c r="G1089" s="903"/>
    </row>
    <row r="1090" spans="1:7" ht="15" customHeight="1" x14ac:dyDescent="0.25">
      <c r="A1090" s="2352" t="s">
        <v>14160</v>
      </c>
      <c r="B1090" s="2352" t="s">
        <v>3661</v>
      </c>
      <c r="C1090" s="2352" t="s">
        <v>3661</v>
      </c>
      <c r="D1090" s="2352" t="s">
        <v>3705</v>
      </c>
      <c r="E1090" s="355">
        <v>100</v>
      </c>
      <c r="F1090" s="1662">
        <v>80</v>
      </c>
      <c r="G1090" s="903"/>
    </row>
    <row r="1091" spans="1:7" ht="15" customHeight="1" x14ac:dyDescent="0.25">
      <c r="A1091" s="2352" t="s">
        <v>3706</v>
      </c>
      <c r="B1091" s="2352" t="s">
        <v>3661</v>
      </c>
      <c r="C1091" s="2352" t="s">
        <v>3661</v>
      </c>
      <c r="D1091" s="2352" t="s">
        <v>3707</v>
      </c>
      <c r="E1091" s="355">
        <v>100</v>
      </c>
      <c r="F1091" s="1662">
        <v>30</v>
      </c>
      <c r="G1091" s="903"/>
    </row>
    <row r="1092" spans="1:7" ht="15" customHeight="1" x14ac:dyDescent="0.25">
      <c r="A1092" s="2352" t="s">
        <v>3708</v>
      </c>
      <c r="B1092" s="2352" t="s">
        <v>3661</v>
      </c>
      <c r="C1092" s="2352" t="s">
        <v>3661</v>
      </c>
      <c r="D1092" s="2352" t="s">
        <v>3709</v>
      </c>
      <c r="E1092" s="355">
        <v>100</v>
      </c>
      <c r="F1092" s="1662">
        <v>70</v>
      </c>
      <c r="G1092" s="903"/>
    </row>
    <row r="1093" spans="1:7" ht="15" customHeight="1" x14ac:dyDescent="0.25">
      <c r="A1093" s="2352" t="s">
        <v>3710</v>
      </c>
      <c r="B1093" s="2352" t="s">
        <v>3661</v>
      </c>
      <c r="C1093" s="2352" t="s">
        <v>3661</v>
      </c>
      <c r="D1093" s="2352" t="s">
        <v>3711</v>
      </c>
      <c r="E1093" s="355">
        <v>63</v>
      </c>
      <c r="F1093" s="1662">
        <v>30</v>
      </c>
      <c r="G1093" s="903"/>
    </row>
    <row r="1094" spans="1:7" ht="15" customHeight="1" x14ac:dyDescent="0.25">
      <c r="A1094" s="2352" t="s">
        <v>3712</v>
      </c>
      <c r="B1094" s="2352" t="s">
        <v>3661</v>
      </c>
      <c r="C1094" s="2352" t="s">
        <v>3661</v>
      </c>
      <c r="D1094" s="2352" t="s">
        <v>3713</v>
      </c>
      <c r="E1094" s="355">
        <v>160</v>
      </c>
      <c r="F1094" s="1662">
        <v>20</v>
      </c>
      <c r="G1094" s="903"/>
    </row>
    <row r="1095" spans="1:7" ht="15" customHeight="1" x14ac:dyDescent="0.25">
      <c r="A1095" s="2352" t="s">
        <v>3714</v>
      </c>
      <c r="B1095" s="2352" t="s">
        <v>3661</v>
      </c>
      <c r="C1095" s="2352" t="s">
        <v>3661</v>
      </c>
      <c r="D1095" s="2352" t="s">
        <v>3715</v>
      </c>
      <c r="E1095" s="355">
        <v>140</v>
      </c>
      <c r="F1095" s="1662">
        <v>20</v>
      </c>
      <c r="G1095" s="903"/>
    </row>
    <row r="1096" spans="1:7" ht="15" customHeight="1" x14ac:dyDescent="0.25">
      <c r="A1096" s="2352" t="s">
        <v>3716</v>
      </c>
      <c r="B1096" s="2352" t="s">
        <v>3661</v>
      </c>
      <c r="C1096" s="2352" t="s">
        <v>3661</v>
      </c>
      <c r="D1096" s="2352" t="s">
        <v>3717</v>
      </c>
      <c r="E1096" s="355">
        <v>100</v>
      </c>
      <c r="F1096" s="1662">
        <v>0</v>
      </c>
      <c r="G1096" s="903"/>
    </row>
    <row r="1097" spans="1:7" ht="15" customHeight="1" x14ac:dyDescent="0.25">
      <c r="A1097" s="2352" t="s">
        <v>3718</v>
      </c>
      <c r="B1097" s="2352" t="s">
        <v>3661</v>
      </c>
      <c r="C1097" s="2352" t="s">
        <v>3661</v>
      </c>
      <c r="D1097" s="2352" t="s">
        <v>3719</v>
      </c>
      <c r="E1097" s="355">
        <v>63</v>
      </c>
      <c r="F1097" s="1662">
        <v>0</v>
      </c>
      <c r="G1097" s="903"/>
    </row>
    <row r="1098" spans="1:7" ht="15" customHeight="1" x14ac:dyDescent="0.25">
      <c r="A1098" s="2352" t="s">
        <v>3720</v>
      </c>
      <c r="B1098" s="2352" t="s">
        <v>3661</v>
      </c>
      <c r="C1098" s="2352" t="s">
        <v>3661</v>
      </c>
      <c r="D1098" s="2352" t="s">
        <v>3721</v>
      </c>
      <c r="E1098" s="355">
        <v>160</v>
      </c>
      <c r="F1098" s="1662">
        <v>0</v>
      </c>
      <c r="G1098" s="903"/>
    </row>
    <row r="1099" spans="1:7" ht="15" customHeight="1" x14ac:dyDescent="0.25">
      <c r="A1099" s="2352" t="s">
        <v>14161</v>
      </c>
      <c r="B1099" s="2352" t="s">
        <v>3661</v>
      </c>
      <c r="C1099" s="2352" t="s">
        <v>3661</v>
      </c>
      <c r="D1099" s="2352" t="s">
        <v>3722</v>
      </c>
      <c r="E1099" s="355">
        <v>63</v>
      </c>
      <c r="F1099" s="1662">
        <v>10</v>
      </c>
      <c r="G1099" s="903"/>
    </row>
    <row r="1100" spans="1:7" ht="15" customHeight="1" x14ac:dyDescent="0.25">
      <c r="A1100" s="2352" t="s">
        <v>14161</v>
      </c>
      <c r="B1100" s="2352" t="s">
        <v>3661</v>
      </c>
      <c r="C1100" s="2352" t="s">
        <v>3661</v>
      </c>
      <c r="D1100" s="2352" t="s">
        <v>3723</v>
      </c>
      <c r="E1100" s="355">
        <v>160</v>
      </c>
      <c r="F1100" s="1662">
        <v>130</v>
      </c>
      <c r="G1100" s="903"/>
    </row>
    <row r="1101" spans="1:7" ht="15" customHeight="1" x14ac:dyDescent="0.25">
      <c r="A1101" s="2352" t="s">
        <v>14162</v>
      </c>
      <c r="B1101" s="2352" t="s">
        <v>3661</v>
      </c>
      <c r="C1101" s="2352" t="s">
        <v>3661</v>
      </c>
      <c r="D1101" s="2352" t="s">
        <v>3724</v>
      </c>
      <c r="E1101" s="355">
        <v>400</v>
      </c>
      <c r="F1101" s="1662">
        <v>350</v>
      </c>
      <c r="G1101" s="903"/>
    </row>
    <row r="1102" spans="1:7" ht="15" customHeight="1" x14ac:dyDescent="0.25">
      <c r="A1102" s="2352" t="s">
        <v>14162</v>
      </c>
      <c r="B1102" s="2352" t="s">
        <v>3661</v>
      </c>
      <c r="C1102" s="2352" t="s">
        <v>3661</v>
      </c>
      <c r="D1102" s="2352" t="s">
        <v>3726</v>
      </c>
      <c r="E1102" s="355" t="s">
        <v>4200</v>
      </c>
      <c r="F1102" s="1662">
        <v>100</v>
      </c>
      <c r="G1102" s="903"/>
    </row>
    <row r="1103" spans="1:7" ht="15" customHeight="1" x14ac:dyDescent="0.25">
      <c r="A1103" s="2352" t="s">
        <v>14162</v>
      </c>
      <c r="B1103" s="2352" t="s">
        <v>3661</v>
      </c>
      <c r="C1103" s="2352" t="s">
        <v>3661</v>
      </c>
      <c r="D1103" s="2352" t="s">
        <v>3727</v>
      </c>
      <c r="E1103" s="355">
        <v>320</v>
      </c>
      <c r="F1103" s="1662">
        <v>200</v>
      </c>
      <c r="G1103" s="903"/>
    </row>
    <row r="1104" spans="1:7" ht="15" customHeight="1" x14ac:dyDescent="0.25">
      <c r="A1104" s="2352" t="s">
        <v>14162</v>
      </c>
      <c r="B1104" s="2352" t="s">
        <v>3661</v>
      </c>
      <c r="C1104" s="2352" t="s">
        <v>3661</v>
      </c>
      <c r="D1104" s="2352" t="s">
        <v>3728</v>
      </c>
      <c r="E1104" s="355">
        <v>400</v>
      </c>
      <c r="F1104" s="1662">
        <v>340</v>
      </c>
      <c r="G1104" s="903"/>
    </row>
    <row r="1105" spans="1:7" ht="15" customHeight="1" x14ac:dyDescent="0.25">
      <c r="A1105" s="2352" t="s">
        <v>3729</v>
      </c>
      <c r="B1105" s="2352" t="s">
        <v>3661</v>
      </c>
      <c r="C1105" s="2352" t="s">
        <v>3661</v>
      </c>
      <c r="D1105" s="2352" t="s">
        <v>3730</v>
      </c>
      <c r="E1105" s="355">
        <v>30</v>
      </c>
      <c r="F1105" s="1662">
        <v>0</v>
      </c>
      <c r="G1105" s="903"/>
    </row>
    <row r="1106" spans="1:7" ht="15" customHeight="1" x14ac:dyDescent="0.25">
      <c r="A1106" s="2352" t="s">
        <v>14163</v>
      </c>
      <c r="B1106" s="2352" t="s">
        <v>3661</v>
      </c>
      <c r="C1106" s="2352" t="s">
        <v>3661</v>
      </c>
      <c r="D1106" s="2352" t="s">
        <v>3731</v>
      </c>
      <c r="E1106" s="355">
        <v>100</v>
      </c>
      <c r="F1106" s="1662">
        <v>30</v>
      </c>
      <c r="G1106" s="903"/>
    </row>
    <row r="1107" spans="1:7" ht="15" customHeight="1" x14ac:dyDescent="0.25">
      <c r="A1107" s="2352" t="s">
        <v>14162</v>
      </c>
      <c r="B1107" s="2352" t="s">
        <v>3661</v>
      </c>
      <c r="C1107" s="2352" t="s">
        <v>3661</v>
      </c>
      <c r="D1107" s="2352" t="s">
        <v>3732</v>
      </c>
      <c r="E1107" s="355">
        <v>250</v>
      </c>
      <c r="F1107" s="1662">
        <v>0</v>
      </c>
      <c r="G1107" s="903"/>
    </row>
    <row r="1108" spans="1:7" ht="15" customHeight="1" x14ac:dyDescent="0.25">
      <c r="A1108" s="2352" t="s">
        <v>14162</v>
      </c>
      <c r="B1108" s="2352" t="s">
        <v>3661</v>
      </c>
      <c r="C1108" s="2352" t="s">
        <v>3661</v>
      </c>
      <c r="D1108" s="2352" t="s">
        <v>3733</v>
      </c>
      <c r="E1108" s="355">
        <v>63</v>
      </c>
      <c r="F1108" s="1662">
        <v>20</v>
      </c>
      <c r="G1108" s="903"/>
    </row>
    <row r="1109" spans="1:7" ht="15" customHeight="1" x14ac:dyDescent="0.25">
      <c r="A1109" s="2352" t="s">
        <v>14162</v>
      </c>
      <c r="B1109" s="2352" t="s">
        <v>3661</v>
      </c>
      <c r="C1109" s="2352" t="s">
        <v>3661</v>
      </c>
      <c r="D1109" s="2352" t="s">
        <v>3734</v>
      </c>
      <c r="E1109" s="355">
        <v>63</v>
      </c>
      <c r="F1109" s="1662">
        <v>0</v>
      </c>
      <c r="G1109" s="903"/>
    </row>
    <row r="1110" spans="1:7" ht="15" customHeight="1" x14ac:dyDescent="0.25">
      <c r="A1110" s="2352" t="s">
        <v>3735</v>
      </c>
      <c r="B1110" s="2352" t="s">
        <v>3661</v>
      </c>
      <c r="C1110" s="2352" t="s">
        <v>3661</v>
      </c>
      <c r="D1110" s="2352" t="s">
        <v>3736</v>
      </c>
      <c r="E1110" s="355">
        <v>63</v>
      </c>
      <c r="F1110" s="1662">
        <v>20</v>
      </c>
      <c r="G1110" s="903"/>
    </row>
    <row r="1111" spans="1:7" ht="15" customHeight="1" x14ac:dyDescent="0.25">
      <c r="A1111" s="2352" t="s">
        <v>3737</v>
      </c>
      <c r="B1111" s="2352" t="s">
        <v>3661</v>
      </c>
      <c r="C1111" s="2352" t="s">
        <v>3661</v>
      </c>
      <c r="D1111" s="2352" t="s">
        <v>3738</v>
      </c>
      <c r="E1111" s="355">
        <v>30</v>
      </c>
      <c r="F1111" s="1662">
        <v>10</v>
      </c>
      <c r="G1111" s="903"/>
    </row>
    <row r="1112" spans="1:7" ht="15" customHeight="1" x14ac:dyDescent="0.25">
      <c r="A1112" s="2352" t="s">
        <v>3739</v>
      </c>
      <c r="B1112" s="2352" t="s">
        <v>3661</v>
      </c>
      <c r="C1112" s="2352" t="s">
        <v>3661</v>
      </c>
      <c r="D1112" s="2352" t="s">
        <v>3740</v>
      </c>
      <c r="E1112" s="355">
        <v>100</v>
      </c>
      <c r="F1112" s="1662">
        <v>50</v>
      </c>
      <c r="G1112" s="903"/>
    </row>
    <row r="1113" spans="1:7" ht="15" customHeight="1" x14ac:dyDescent="0.25">
      <c r="A1113" s="2352" t="s">
        <v>3741</v>
      </c>
      <c r="B1113" s="2352" t="s">
        <v>3661</v>
      </c>
      <c r="C1113" s="2352" t="s">
        <v>3661</v>
      </c>
      <c r="D1113" s="2352" t="s">
        <v>3742</v>
      </c>
      <c r="E1113" s="355">
        <v>160</v>
      </c>
      <c r="F1113" s="1662">
        <v>10</v>
      </c>
      <c r="G1113" s="903"/>
    </row>
    <row r="1114" spans="1:7" ht="15" customHeight="1" x14ac:dyDescent="0.25">
      <c r="A1114" s="2352" t="s">
        <v>14164</v>
      </c>
      <c r="B1114" s="2352" t="s">
        <v>3661</v>
      </c>
      <c r="C1114" s="2352" t="s">
        <v>3661</v>
      </c>
      <c r="D1114" s="2352" t="s">
        <v>3743</v>
      </c>
      <c r="E1114" s="355">
        <v>10</v>
      </c>
      <c r="F1114" s="1662">
        <v>5</v>
      </c>
      <c r="G1114" s="903"/>
    </row>
    <row r="1115" spans="1:7" ht="15" customHeight="1" x14ac:dyDescent="0.25">
      <c r="A1115" s="2352" t="s">
        <v>3744</v>
      </c>
      <c r="B1115" s="2352" t="s">
        <v>3661</v>
      </c>
      <c r="C1115" s="2352" t="s">
        <v>3661</v>
      </c>
      <c r="D1115" s="2352" t="s">
        <v>3745</v>
      </c>
      <c r="E1115" s="355">
        <v>30</v>
      </c>
      <c r="F1115" s="1662">
        <v>10</v>
      </c>
      <c r="G1115" s="903"/>
    </row>
    <row r="1116" spans="1:7" ht="15" customHeight="1" x14ac:dyDescent="0.25">
      <c r="A1116" s="2352" t="s">
        <v>3746</v>
      </c>
      <c r="B1116" s="2352" t="s">
        <v>3661</v>
      </c>
      <c r="C1116" s="2352" t="s">
        <v>3661</v>
      </c>
      <c r="D1116" s="2352" t="s">
        <v>3747</v>
      </c>
      <c r="E1116" s="355">
        <v>10</v>
      </c>
      <c r="F1116" s="1662">
        <v>5</v>
      </c>
      <c r="G1116" s="903"/>
    </row>
    <row r="1117" spans="1:7" ht="15" customHeight="1" x14ac:dyDescent="0.25">
      <c r="A1117" s="2352" t="s">
        <v>3748</v>
      </c>
      <c r="B1117" s="2352" t="s">
        <v>3661</v>
      </c>
      <c r="C1117" s="2352" t="s">
        <v>3661</v>
      </c>
      <c r="D1117" s="2352" t="s">
        <v>3749</v>
      </c>
      <c r="E1117" s="355" t="s">
        <v>4199</v>
      </c>
      <c r="F1117" s="1662">
        <v>300</v>
      </c>
      <c r="G1117" s="903"/>
    </row>
    <row r="1118" spans="1:7" ht="15" customHeight="1" x14ac:dyDescent="0.25">
      <c r="A1118" s="2352" t="s">
        <v>3748</v>
      </c>
      <c r="B1118" s="2352" t="s">
        <v>3661</v>
      </c>
      <c r="C1118" s="2352" t="s">
        <v>3661</v>
      </c>
      <c r="D1118" s="2352" t="s">
        <v>3750</v>
      </c>
      <c r="E1118" s="355" t="s">
        <v>4201</v>
      </c>
      <c r="F1118" s="1662">
        <v>30</v>
      </c>
      <c r="G1118" s="903"/>
    </row>
    <row r="1119" spans="1:7" ht="15" customHeight="1" x14ac:dyDescent="0.25">
      <c r="A1119" s="2352" t="s">
        <v>3748</v>
      </c>
      <c r="B1119" s="2352" t="s">
        <v>3661</v>
      </c>
      <c r="C1119" s="2352" t="s">
        <v>3661</v>
      </c>
      <c r="D1119" s="2352" t="s">
        <v>3751</v>
      </c>
      <c r="E1119" s="355">
        <v>160</v>
      </c>
      <c r="F1119" s="1662">
        <v>30</v>
      </c>
      <c r="G1119" s="903"/>
    </row>
    <row r="1120" spans="1:7" ht="15" customHeight="1" x14ac:dyDescent="0.25">
      <c r="A1120" s="2352" t="s">
        <v>3752</v>
      </c>
      <c r="B1120" s="2352" t="s">
        <v>3661</v>
      </c>
      <c r="C1120" s="2352" t="s">
        <v>3661</v>
      </c>
      <c r="D1120" s="2352" t="s">
        <v>3753</v>
      </c>
      <c r="E1120" s="355">
        <v>100</v>
      </c>
      <c r="F1120" s="1662">
        <v>10</v>
      </c>
      <c r="G1120" s="903"/>
    </row>
    <row r="1121" spans="1:7" ht="15" customHeight="1" x14ac:dyDescent="0.25">
      <c r="A1121" s="2352" t="s">
        <v>3754</v>
      </c>
      <c r="B1121" s="2352" t="s">
        <v>3661</v>
      </c>
      <c r="C1121" s="2352" t="s">
        <v>3661</v>
      </c>
      <c r="D1121" s="2352" t="s">
        <v>3755</v>
      </c>
      <c r="E1121" s="355">
        <v>10</v>
      </c>
      <c r="F1121" s="1662">
        <v>5</v>
      </c>
      <c r="G1121" s="903"/>
    </row>
    <row r="1122" spans="1:7" ht="15" customHeight="1" x14ac:dyDescent="0.25">
      <c r="A1122" s="2352" t="s">
        <v>3756</v>
      </c>
      <c r="B1122" s="2352" t="s">
        <v>3661</v>
      </c>
      <c r="C1122" s="2352" t="s">
        <v>3661</v>
      </c>
      <c r="D1122" s="2352" t="s">
        <v>3757</v>
      </c>
      <c r="E1122" s="355">
        <v>400</v>
      </c>
      <c r="F1122" s="1662">
        <v>350</v>
      </c>
      <c r="G1122" s="903"/>
    </row>
    <row r="1123" spans="1:7" ht="15" customHeight="1" x14ac:dyDescent="0.25">
      <c r="A1123" s="2352" t="s">
        <v>3756</v>
      </c>
      <c r="B1123" s="2352" t="s">
        <v>3661</v>
      </c>
      <c r="C1123" s="2352" t="s">
        <v>3661</v>
      </c>
      <c r="D1123" s="2352" t="s">
        <v>3758</v>
      </c>
      <c r="E1123" s="355">
        <v>250</v>
      </c>
      <c r="F1123" s="1662">
        <v>100</v>
      </c>
      <c r="G1123" s="903"/>
    </row>
    <row r="1124" spans="1:7" ht="15" customHeight="1" x14ac:dyDescent="0.25">
      <c r="A1124" s="2352" t="s">
        <v>3759</v>
      </c>
      <c r="B1124" s="2352" t="s">
        <v>3661</v>
      </c>
      <c r="C1124" s="2352" t="s">
        <v>3661</v>
      </c>
      <c r="D1124" s="2352" t="s">
        <v>3760</v>
      </c>
      <c r="E1124" s="355">
        <v>30</v>
      </c>
      <c r="F1124" s="1662">
        <v>0</v>
      </c>
      <c r="G1124" s="903"/>
    </row>
    <row r="1125" spans="1:7" ht="15" customHeight="1" x14ac:dyDescent="0.25">
      <c r="A1125" s="2352" t="s">
        <v>3761</v>
      </c>
      <c r="B1125" s="2352" t="s">
        <v>3661</v>
      </c>
      <c r="C1125" s="2352" t="s">
        <v>3661</v>
      </c>
      <c r="D1125" s="2352" t="s">
        <v>3762</v>
      </c>
      <c r="E1125" s="355">
        <v>30</v>
      </c>
      <c r="F1125" s="1662">
        <v>5</v>
      </c>
      <c r="G1125" s="903"/>
    </row>
    <row r="1126" spans="1:7" ht="15" customHeight="1" x14ac:dyDescent="0.25">
      <c r="A1126" s="2352" t="s">
        <v>3763</v>
      </c>
      <c r="B1126" s="2352" t="s">
        <v>3661</v>
      </c>
      <c r="C1126" s="2352" t="s">
        <v>3661</v>
      </c>
      <c r="D1126" s="2352" t="s">
        <v>3764</v>
      </c>
      <c r="E1126" s="355">
        <v>63</v>
      </c>
      <c r="F1126" s="1662">
        <v>20</v>
      </c>
      <c r="G1126" s="903"/>
    </row>
    <row r="1127" spans="1:7" ht="15" customHeight="1" x14ac:dyDescent="0.25">
      <c r="A1127" s="2352" t="s">
        <v>3765</v>
      </c>
      <c r="B1127" s="2352" t="s">
        <v>3661</v>
      </c>
      <c r="C1127" s="2352" t="s">
        <v>3661</v>
      </c>
      <c r="D1127" s="2352" t="s">
        <v>3766</v>
      </c>
      <c r="E1127" s="355">
        <v>63</v>
      </c>
      <c r="F1127" s="1662">
        <v>20</v>
      </c>
      <c r="G1127" s="903"/>
    </row>
    <row r="1128" spans="1:7" ht="15" customHeight="1" x14ac:dyDescent="0.25">
      <c r="A1128" s="2352" t="s">
        <v>3767</v>
      </c>
      <c r="B1128" s="2352" t="s">
        <v>3661</v>
      </c>
      <c r="C1128" s="2352" t="s">
        <v>3661</v>
      </c>
      <c r="D1128" s="2352" t="s">
        <v>3768</v>
      </c>
      <c r="E1128" s="355">
        <v>40</v>
      </c>
      <c r="F1128" s="1662">
        <v>0</v>
      </c>
      <c r="G1128" s="903"/>
    </row>
    <row r="1129" spans="1:7" ht="15" customHeight="1" x14ac:dyDescent="0.25">
      <c r="A1129" s="2352" t="s">
        <v>3769</v>
      </c>
      <c r="B1129" s="2352" t="s">
        <v>3661</v>
      </c>
      <c r="C1129" s="2352" t="s">
        <v>3661</v>
      </c>
      <c r="D1129" s="2352" t="s">
        <v>3770</v>
      </c>
      <c r="E1129" s="355">
        <v>160</v>
      </c>
      <c r="F1129" s="1662">
        <v>60</v>
      </c>
      <c r="G1129" s="903"/>
    </row>
    <row r="1130" spans="1:7" ht="15" customHeight="1" x14ac:dyDescent="0.25">
      <c r="A1130" s="2352" t="s">
        <v>3767</v>
      </c>
      <c r="B1130" s="2352" t="s">
        <v>3661</v>
      </c>
      <c r="C1130" s="2352" t="s">
        <v>3661</v>
      </c>
      <c r="D1130" s="2352" t="s">
        <v>3771</v>
      </c>
      <c r="E1130" s="355">
        <v>260</v>
      </c>
      <c r="F1130" s="1662">
        <v>100</v>
      </c>
      <c r="G1130" s="903"/>
    </row>
    <row r="1131" spans="1:7" ht="15" customHeight="1" x14ac:dyDescent="0.25">
      <c r="A1131" s="2352" t="s">
        <v>3769</v>
      </c>
      <c r="B1131" s="2352" t="s">
        <v>3661</v>
      </c>
      <c r="C1131" s="2352" t="s">
        <v>3661</v>
      </c>
      <c r="D1131" s="2352" t="s">
        <v>3772</v>
      </c>
      <c r="E1131" s="355">
        <v>100</v>
      </c>
      <c r="F1131" s="1662">
        <v>30</v>
      </c>
      <c r="G1131" s="903"/>
    </row>
    <row r="1132" spans="1:7" ht="15" customHeight="1" x14ac:dyDescent="0.25">
      <c r="A1132" s="2352" t="s">
        <v>3769</v>
      </c>
      <c r="B1132" s="2352" t="s">
        <v>3661</v>
      </c>
      <c r="C1132" s="2352" t="s">
        <v>3661</v>
      </c>
      <c r="D1132" s="2352" t="s">
        <v>3773</v>
      </c>
      <c r="E1132" s="355">
        <v>160</v>
      </c>
      <c r="F1132" s="1662">
        <v>100</v>
      </c>
      <c r="G1132" s="903"/>
    </row>
    <row r="1133" spans="1:7" ht="15" customHeight="1" x14ac:dyDescent="0.25">
      <c r="A1133" s="2352" t="s">
        <v>3769</v>
      </c>
      <c r="B1133" s="2352" t="s">
        <v>3661</v>
      </c>
      <c r="C1133" s="2352" t="s">
        <v>3661</v>
      </c>
      <c r="D1133" s="2352" t="s">
        <v>3774</v>
      </c>
      <c r="E1133" s="355">
        <v>63</v>
      </c>
      <c r="F1133" s="1662">
        <v>40</v>
      </c>
      <c r="G1133" s="903"/>
    </row>
    <row r="1134" spans="1:7" ht="15" customHeight="1" x14ac:dyDescent="0.25">
      <c r="A1134" s="2352" t="s">
        <v>3775</v>
      </c>
      <c r="B1134" s="2352" t="s">
        <v>3661</v>
      </c>
      <c r="C1134" s="2352" t="s">
        <v>3661</v>
      </c>
      <c r="D1134" s="2352" t="s">
        <v>3751</v>
      </c>
      <c r="E1134" s="355">
        <v>160</v>
      </c>
      <c r="F1134" s="1662">
        <v>10</v>
      </c>
      <c r="G1134" s="903"/>
    </row>
    <row r="1135" spans="1:7" ht="15" customHeight="1" x14ac:dyDescent="0.25">
      <c r="A1135" s="2352" t="s">
        <v>3775</v>
      </c>
      <c r="B1135" s="2352" t="s">
        <v>3661</v>
      </c>
      <c r="C1135" s="2352" t="s">
        <v>3661</v>
      </c>
      <c r="D1135" s="2352" t="s">
        <v>3776</v>
      </c>
      <c r="E1135" s="355">
        <v>320</v>
      </c>
      <c r="F1135" s="1662">
        <v>0</v>
      </c>
      <c r="G1135" s="903"/>
    </row>
    <row r="1136" spans="1:7" ht="15" customHeight="1" x14ac:dyDescent="0.25">
      <c r="A1136" s="2352" t="s">
        <v>3775</v>
      </c>
      <c r="B1136" s="2352" t="s">
        <v>3661</v>
      </c>
      <c r="C1136" s="2352" t="s">
        <v>3661</v>
      </c>
      <c r="D1136" s="2352" t="s">
        <v>3777</v>
      </c>
      <c r="E1136" s="355">
        <v>100</v>
      </c>
      <c r="F1136" s="1662">
        <v>30</v>
      </c>
      <c r="G1136" s="903"/>
    </row>
    <row r="1137" spans="1:7" ht="15" customHeight="1" x14ac:dyDescent="0.25">
      <c r="A1137" s="2352" t="s">
        <v>3778</v>
      </c>
      <c r="B1137" s="2352" t="s">
        <v>3661</v>
      </c>
      <c r="C1137" s="2352" t="s">
        <v>3661</v>
      </c>
      <c r="D1137" s="2352" t="s">
        <v>3779</v>
      </c>
      <c r="E1137" s="355">
        <v>160</v>
      </c>
      <c r="F1137" s="1662">
        <v>0</v>
      </c>
      <c r="G1137" s="903"/>
    </row>
    <row r="1138" spans="1:7" ht="15" customHeight="1" x14ac:dyDescent="0.25">
      <c r="A1138" s="2352" t="s">
        <v>3778</v>
      </c>
      <c r="B1138" s="2352" t="s">
        <v>3661</v>
      </c>
      <c r="C1138" s="2352" t="s">
        <v>3661</v>
      </c>
      <c r="D1138" s="2352" t="s">
        <v>3780</v>
      </c>
      <c r="E1138" s="355">
        <v>160</v>
      </c>
      <c r="F1138" s="1662">
        <v>100</v>
      </c>
      <c r="G1138" s="903"/>
    </row>
    <row r="1139" spans="1:7" ht="15" customHeight="1" x14ac:dyDescent="0.25">
      <c r="A1139" s="2352" t="s">
        <v>3781</v>
      </c>
      <c r="B1139" s="2352" t="s">
        <v>3661</v>
      </c>
      <c r="C1139" s="2352" t="s">
        <v>3661</v>
      </c>
      <c r="D1139" s="2352" t="s">
        <v>3782</v>
      </c>
      <c r="E1139" s="355">
        <v>100</v>
      </c>
      <c r="F1139" s="1662">
        <v>80</v>
      </c>
      <c r="G1139" s="903"/>
    </row>
    <row r="1140" spans="1:7" ht="15" customHeight="1" x14ac:dyDescent="0.25">
      <c r="A1140" s="2352" t="s">
        <v>3783</v>
      </c>
      <c r="B1140" s="2352" t="s">
        <v>3661</v>
      </c>
      <c r="C1140" s="2352" t="s">
        <v>3661</v>
      </c>
      <c r="D1140" s="2352" t="s">
        <v>3784</v>
      </c>
      <c r="E1140" s="355">
        <v>63</v>
      </c>
      <c r="F1140" s="1662">
        <v>20</v>
      </c>
      <c r="G1140" s="903"/>
    </row>
    <row r="1141" spans="1:7" ht="15" customHeight="1" x14ac:dyDescent="0.25">
      <c r="A1141" s="2352" t="s">
        <v>3785</v>
      </c>
      <c r="B1141" s="2352" t="s">
        <v>3661</v>
      </c>
      <c r="C1141" s="2352" t="s">
        <v>3661</v>
      </c>
      <c r="D1141" s="2352" t="s">
        <v>3786</v>
      </c>
      <c r="E1141" s="355">
        <v>63</v>
      </c>
      <c r="F1141" s="1662">
        <v>10</v>
      </c>
      <c r="G1141" s="903"/>
    </row>
    <row r="1142" spans="1:7" ht="15" customHeight="1" x14ac:dyDescent="0.25">
      <c r="A1142" s="2352" t="s">
        <v>3787</v>
      </c>
      <c r="B1142" s="2352" t="s">
        <v>3661</v>
      </c>
      <c r="C1142" s="2352" t="s">
        <v>3661</v>
      </c>
      <c r="D1142" s="2352" t="s">
        <v>3788</v>
      </c>
      <c r="E1142" s="355">
        <v>10</v>
      </c>
      <c r="F1142" s="1662">
        <v>5</v>
      </c>
      <c r="G1142" s="903"/>
    </row>
    <row r="1143" spans="1:7" ht="15" customHeight="1" x14ac:dyDescent="0.25">
      <c r="A1143" s="2352" t="s">
        <v>3690</v>
      </c>
      <c r="B1143" s="2352" t="s">
        <v>3661</v>
      </c>
      <c r="C1143" s="2352" t="s">
        <v>3661</v>
      </c>
      <c r="D1143" s="2352" t="s">
        <v>3789</v>
      </c>
      <c r="E1143" s="355">
        <v>400</v>
      </c>
      <c r="F1143" s="1662">
        <v>360</v>
      </c>
      <c r="G1143" s="903"/>
    </row>
    <row r="1144" spans="1:7" ht="15" customHeight="1" x14ac:dyDescent="0.25">
      <c r="A1144" s="2352" t="s">
        <v>3690</v>
      </c>
      <c r="B1144" s="2352" t="s">
        <v>3661</v>
      </c>
      <c r="C1144" s="2352" t="s">
        <v>3661</v>
      </c>
      <c r="D1144" s="2352" t="s">
        <v>3776</v>
      </c>
      <c r="E1144" s="355">
        <v>100</v>
      </c>
      <c r="F1144" s="1662">
        <v>0</v>
      </c>
      <c r="G1144" s="903"/>
    </row>
    <row r="1145" spans="1:7" ht="15" customHeight="1" x14ac:dyDescent="0.25">
      <c r="A1145" s="2352" t="s">
        <v>3690</v>
      </c>
      <c r="B1145" s="2352" t="s">
        <v>3661</v>
      </c>
      <c r="C1145" s="2352" t="s">
        <v>3661</v>
      </c>
      <c r="D1145" s="2352" t="s">
        <v>3790</v>
      </c>
      <c r="E1145" s="355">
        <v>100</v>
      </c>
      <c r="F1145" s="1662">
        <v>0</v>
      </c>
      <c r="G1145" s="903"/>
    </row>
    <row r="1146" spans="1:7" ht="15" customHeight="1" x14ac:dyDescent="0.25">
      <c r="A1146" s="2352" t="s">
        <v>3791</v>
      </c>
      <c r="B1146" s="2352" t="s">
        <v>3661</v>
      </c>
      <c r="C1146" s="2352" t="s">
        <v>3661</v>
      </c>
      <c r="D1146" s="2352" t="s">
        <v>3792</v>
      </c>
      <c r="E1146" s="355">
        <v>63</v>
      </c>
      <c r="F1146" s="1662">
        <v>10</v>
      </c>
      <c r="G1146" s="903"/>
    </row>
    <row r="1147" spans="1:7" ht="15" customHeight="1" x14ac:dyDescent="0.25">
      <c r="A1147" s="2352" t="s">
        <v>3793</v>
      </c>
      <c r="B1147" s="2352" t="s">
        <v>3661</v>
      </c>
      <c r="C1147" s="2352" t="s">
        <v>3661</v>
      </c>
      <c r="D1147" s="2352" t="s">
        <v>3794</v>
      </c>
      <c r="E1147" s="355">
        <v>100</v>
      </c>
      <c r="F1147" s="1662">
        <v>40</v>
      </c>
      <c r="G1147" s="903"/>
    </row>
    <row r="1148" spans="1:7" ht="15" customHeight="1" x14ac:dyDescent="0.25">
      <c r="A1148" s="2352" t="s">
        <v>3795</v>
      </c>
      <c r="B1148" s="2352" t="s">
        <v>3661</v>
      </c>
      <c r="C1148" s="2352" t="s">
        <v>3661</v>
      </c>
      <c r="D1148" s="2352" t="s">
        <v>3796</v>
      </c>
      <c r="E1148" s="355">
        <v>63</v>
      </c>
      <c r="F1148" s="1662">
        <v>30</v>
      </c>
      <c r="G1148" s="903"/>
    </row>
    <row r="1149" spans="1:7" ht="15" customHeight="1" x14ac:dyDescent="0.25">
      <c r="A1149" s="2352" t="s">
        <v>3797</v>
      </c>
      <c r="B1149" s="2352" t="s">
        <v>3661</v>
      </c>
      <c r="C1149" s="2352" t="s">
        <v>3661</v>
      </c>
      <c r="D1149" s="2352" t="s">
        <v>3798</v>
      </c>
      <c r="E1149" s="355">
        <v>30</v>
      </c>
      <c r="F1149" s="1662">
        <v>10</v>
      </c>
      <c r="G1149" s="903"/>
    </row>
    <row r="1150" spans="1:7" ht="15" customHeight="1" x14ac:dyDescent="0.25">
      <c r="A1150" s="2352" t="s">
        <v>3799</v>
      </c>
      <c r="B1150" s="2352" t="s">
        <v>3661</v>
      </c>
      <c r="C1150" s="2352" t="s">
        <v>3661</v>
      </c>
      <c r="D1150" s="2352" t="s">
        <v>3800</v>
      </c>
      <c r="E1150" s="355">
        <v>63</v>
      </c>
      <c r="F1150" s="1662">
        <v>30</v>
      </c>
      <c r="G1150" s="903"/>
    </row>
    <row r="1151" spans="1:7" ht="15" customHeight="1" x14ac:dyDescent="0.25">
      <c r="A1151" s="2352" t="s">
        <v>3801</v>
      </c>
      <c r="B1151" s="2352" t="s">
        <v>3661</v>
      </c>
      <c r="C1151" s="2352" t="s">
        <v>3661</v>
      </c>
      <c r="D1151" s="2352" t="s">
        <v>3802</v>
      </c>
      <c r="E1151" s="355">
        <v>63</v>
      </c>
      <c r="F1151" s="1662">
        <v>30</v>
      </c>
      <c r="G1151" s="903"/>
    </row>
    <row r="1152" spans="1:7" ht="15" customHeight="1" x14ac:dyDescent="0.25">
      <c r="A1152" s="2352" t="s">
        <v>14165</v>
      </c>
      <c r="B1152" s="2352" t="s">
        <v>3661</v>
      </c>
      <c r="C1152" s="2352" t="s">
        <v>3661</v>
      </c>
      <c r="D1152" s="2352" t="s">
        <v>3803</v>
      </c>
      <c r="E1152" s="355">
        <v>630</v>
      </c>
      <c r="F1152" s="1662">
        <v>280</v>
      </c>
      <c r="G1152" s="903"/>
    </row>
    <row r="1153" spans="1:7" ht="15" customHeight="1" x14ac:dyDescent="0.25">
      <c r="A1153" s="2352" t="s">
        <v>14165</v>
      </c>
      <c r="B1153" s="2352" t="s">
        <v>3661</v>
      </c>
      <c r="C1153" s="2352" t="s">
        <v>3661</v>
      </c>
      <c r="D1153" s="2352" t="s">
        <v>3804</v>
      </c>
      <c r="E1153" s="355">
        <v>100</v>
      </c>
      <c r="F1153" s="1662">
        <v>50</v>
      </c>
      <c r="G1153" s="903"/>
    </row>
    <row r="1154" spans="1:7" ht="15" customHeight="1" x14ac:dyDescent="0.25">
      <c r="A1154" s="2352" t="s">
        <v>3805</v>
      </c>
      <c r="B1154" s="2352" t="s">
        <v>3661</v>
      </c>
      <c r="C1154" s="2352" t="s">
        <v>3661</v>
      </c>
      <c r="D1154" s="2352" t="s">
        <v>3806</v>
      </c>
      <c r="E1154" s="355">
        <v>160</v>
      </c>
      <c r="F1154" s="1662">
        <v>80</v>
      </c>
      <c r="G1154" s="903"/>
    </row>
    <row r="1155" spans="1:7" ht="15" customHeight="1" x14ac:dyDescent="0.25">
      <c r="A1155" s="2352" t="s">
        <v>3807</v>
      </c>
      <c r="B1155" s="2352" t="s">
        <v>3661</v>
      </c>
      <c r="C1155" s="2352" t="s">
        <v>3661</v>
      </c>
      <c r="D1155" s="2352" t="s">
        <v>3808</v>
      </c>
      <c r="E1155" s="355">
        <v>160</v>
      </c>
      <c r="F1155" s="1662">
        <v>50</v>
      </c>
      <c r="G1155" s="903"/>
    </row>
    <row r="1156" spans="1:7" ht="15" customHeight="1" x14ac:dyDescent="0.25">
      <c r="A1156" s="2352" t="s">
        <v>3807</v>
      </c>
      <c r="B1156" s="2352" t="s">
        <v>3661</v>
      </c>
      <c r="C1156" s="2352" t="s">
        <v>3661</v>
      </c>
      <c r="D1156" s="2352" t="s">
        <v>3809</v>
      </c>
      <c r="E1156" s="355">
        <v>100</v>
      </c>
      <c r="F1156" s="1662">
        <v>0</v>
      </c>
      <c r="G1156" s="903"/>
    </row>
    <row r="1157" spans="1:7" ht="15" customHeight="1" x14ac:dyDescent="0.25">
      <c r="A1157" s="2352" t="s">
        <v>3810</v>
      </c>
      <c r="B1157" s="2352" t="s">
        <v>3661</v>
      </c>
      <c r="C1157" s="2352" t="s">
        <v>3661</v>
      </c>
      <c r="D1157" s="2352" t="s">
        <v>3811</v>
      </c>
      <c r="E1157" s="355">
        <v>100</v>
      </c>
      <c r="F1157" s="1662">
        <v>0</v>
      </c>
      <c r="G1157" s="903"/>
    </row>
    <row r="1158" spans="1:7" ht="15" customHeight="1" x14ac:dyDescent="0.25">
      <c r="A1158" s="2352" t="s">
        <v>3812</v>
      </c>
      <c r="B1158" s="2352" t="s">
        <v>3661</v>
      </c>
      <c r="C1158" s="2352" t="s">
        <v>3661</v>
      </c>
      <c r="D1158" s="2352" t="s">
        <v>3813</v>
      </c>
      <c r="E1158" s="355">
        <v>100</v>
      </c>
      <c r="F1158" s="1662">
        <v>0</v>
      </c>
      <c r="G1158" s="903"/>
    </row>
    <row r="1159" spans="1:7" ht="15" customHeight="1" x14ac:dyDescent="0.25">
      <c r="A1159" s="2352" t="s">
        <v>3807</v>
      </c>
      <c r="B1159" s="2352" t="s">
        <v>3661</v>
      </c>
      <c r="C1159" s="2352" t="s">
        <v>3661</v>
      </c>
      <c r="D1159" s="2352" t="s">
        <v>3732</v>
      </c>
      <c r="E1159" s="355">
        <v>250</v>
      </c>
      <c r="F1159" s="1662">
        <v>50</v>
      </c>
      <c r="G1159" s="903"/>
    </row>
    <row r="1160" spans="1:7" ht="15" customHeight="1" x14ac:dyDescent="0.25">
      <c r="A1160" s="2352" t="s">
        <v>3807</v>
      </c>
      <c r="B1160" s="2352" t="s">
        <v>3661</v>
      </c>
      <c r="C1160" s="2352" t="s">
        <v>3661</v>
      </c>
      <c r="D1160" s="2352" t="s">
        <v>3751</v>
      </c>
      <c r="E1160" s="355">
        <v>400</v>
      </c>
      <c r="F1160" s="1662">
        <v>100</v>
      </c>
      <c r="G1160" s="903"/>
    </row>
    <row r="1161" spans="1:7" ht="15" customHeight="1" x14ac:dyDescent="0.25">
      <c r="A1161" s="2352" t="s">
        <v>3814</v>
      </c>
      <c r="B1161" s="2352" t="s">
        <v>3661</v>
      </c>
      <c r="C1161" s="2352" t="s">
        <v>3661</v>
      </c>
      <c r="D1161" s="2352" t="s">
        <v>3815</v>
      </c>
      <c r="E1161" s="355">
        <v>63</v>
      </c>
      <c r="F1161" s="1662">
        <v>13</v>
      </c>
      <c r="G1161" s="903"/>
    </row>
    <row r="1162" spans="1:7" ht="15" customHeight="1" x14ac:dyDescent="0.25">
      <c r="A1162" s="2352" t="s">
        <v>3816</v>
      </c>
      <c r="B1162" s="2352" t="s">
        <v>3661</v>
      </c>
      <c r="C1162" s="2352" t="s">
        <v>3661</v>
      </c>
      <c r="D1162" s="2352" t="s">
        <v>3817</v>
      </c>
      <c r="E1162" s="355">
        <v>160</v>
      </c>
      <c r="F1162" s="1662">
        <v>0</v>
      </c>
      <c r="G1162" s="903"/>
    </row>
    <row r="1163" spans="1:7" ht="15" customHeight="1" x14ac:dyDescent="0.25">
      <c r="A1163" s="2352" t="s">
        <v>3818</v>
      </c>
      <c r="B1163" s="2352" t="s">
        <v>3661</v>
      </c>
      <c r="C1163" s="2352" t="s">
        <v>3661</v>
      </c>
      <c r="D1163" s="2352" t="s">
        <v>3819</v>
      </c>
      <c r="E1163" s="355">
        <v>160</v>
      </c>
      <c r="F1163" s="1662">
        <v>0</v>
      </c>
      <c r="G1163" s="903"/>
    </row>
    <row r="1164" spans="1:7" ht="15" customHeight="1" x14ac:dyDescent="0.25">
      <c r="A1164" s="2352" t="s">
        <v>3820</v>
      </c>
      <c r="B1164" s="2352" t="s">
        <v>3661</v>
      </c>
      <c r="C1164" s="2352" t="s">
        <v>3661</v>
      </c>
      <c r="D1164" s="2352" t="s">
        <v>3821</v>
      </c>
      <c r="E1164" s="355">
        <v>63</v>
      </c>
      <c r="F1164" s="1662">
        <v>0</v>
      </c>
      <c r="G1164" s="903"/>
    </row>
    <row r="1165" spans="1:7" ht="15" customHeight="1" x14ac:dyDescent="0.25">
      <c r="A1165" s="2352" t="s">
        <v>3822</v>
      </c>
      <c r="B1165" s="2352" t="s">
        <v>3661</v>
      </c>
      <c r="C1165" s="2352" t="s">
        <v>3661</v>
      </c>
      <c r="D1165" s="2352" t="s">
        <v>3823</v>
      </c>
      <c r="E1165" s="355">
        <v>100</v>
      </c>
      <c r="F1165" s="1662">
        <v>30</v>
      </c>
      <c r="G1165" s="903"/>
    </row>
    <row r="1166" spans="1:7" ht="15" customHeight="1" x14ac:dyDescent="0.25">
      <c r="A1166" s="2352" t="s">
        <v>3824</v>
      </c>
      <c r="B1166" s="2352" t="s">
        <v>3661</v>
      </c>
      <c r="C1166" s="2352" t="s">
        <v>3661</v>
      </c>
      <c r="D1166" s="2352" t="s">
        <v>3825</v>
      </c>
      <c r="E1166" s="355">
        <v>30</v>
      </c>
      <c r="F1166" s="1662">
        <v>0</v>
      </c>
      <c r="G1166" s="903"/>
    </row>
    <row r="1167" spans="1:7" ht="15" customHeight="1" x14ac:dyDescent="0.25">
      <c r="A1167" s="2352" t="s">
        <v>3814</v>
      </c>
      <c r="B1167" s="2352" t="s">
        <v>3661</v>
      </c>
      <c r="C1167" s="2352" t="s">
        <v>3661</v>
      </c>
      <c r="D1167" s="2352" t="s">
        <v>3826</v>
      </c>
      <c r="E1167" s="355">
        <v>30</v>
      </c>
      <c r="F1167" s="1662">
        <v>30</v>
      </c>
      <c r="G1167" s="903"/>
    </row>
    <row r="1168" spans="1:7" ht="15" customHeight="1" x14ac:dyDescent="0.25">
      <c r="A1168" s="2352" t="s">
        <v>3827</v>
      </c>
      <c r="B1168" s="2352" t="s">
        <v>3661</v>
      </c>
      <c r="C1168" s="2352" t="s">
        <v>3661</v>
      </c>
      <c r="D1168" s="2352" t="s">
        <v>3828</v>
      </c>
      <c r="E1168" s="355">
        <v>400</v>
      </c>
      <c r="F1168" s="1662">
        <v>100</v>
      </c>
      <c r="G1168" s="903"/>
    </row>
    <row r="1169" spans="1:7" ht="15" customHeight="1" x14ac:dyDescent="0.25">
      <c r="A1169" s="2352" t="s">
        <v>3829</v>
      </c>
      <c r="B1169" s="2352" t="s">
        <v>3661</v>
      </c>
      <c r="C1169" s="2352" t="s">
        <v>3661</v>
      </c>
      <c r="D1169" s="2352" t="s">
        <v>3830</v>
      </c>
      <c r="E1169" s="355">
        <v>160</v>
      </c>
      <c r="F1169" s="1662">
        <v>100</v>
      </c>
      <c r="G1169" s="903"/>
    </row>
    <row r="1170" spans="1:7" ht="15" customHeight="1" x14ac:dyDescent="0.25">
      <c r="A1170" s="2352" t="s">
        <v>3831</v>
      </c>
      <c r="B1170" s="2352" t="s">
        <v>3661</v>
      </c>
      <c r="C1170" s="2352" t="s">
        <v>3661</v>
      </c>
      <c r="D1170" s="2352" t="s">
        <v>3832</v>
      </c>
      <c r="E1170" s="355">
        <v>250</v>
      </c>
      <c r="F1170" s="1662">
        <v>50</v>
      </c>
      <c r="G1170" s="903"/>
    </row>
    <row r="1171" spans="1:7" ht="15" customHeight="1" x14ac:dyDescent="0.25">
      <c r="A1171" s="2352" t="s">
        <v>3833</v>
      </c>
      <c r="B1171" s="2352" t="s">
        <v>3661</v>
      </c>
      <c r="C1171" s="2352" t="s">
        <v>3661</v>
      </c>
      <c r="D1171" s="2352" t="s">
        <v>3834</v>
      </c>
      <c r="E1171" s="355">
        <v>40</v>
      </c>
      <c r="F1171" s="1662">
        <v>0</v>
      </c>
      <c r="G1171" s="903"/>
    </row>
    <row r="1172" spans="1:7" ht="15" customHeight="1" x14ac:dyDescent="0.25">
      <c r="A1172" s="2352" t="s">
        <v>3831</v>
      </c>
      <c r="B1172" s="2352" t="s">
        <v>3661</v>
      </c>
      <c r="C1172" s="2352" t="s">
        <v>3661</v>
      </c>
      <c r="D1172" s="2352" t="s">
        <v>3835</v>
      </c>
      <c r="E1172" s="355">
        <v>250</v>
      </c>
      <c r="F1172" s="1662">
        <v>175</v>
      </c>
      <c r="G1172" s="903"/>
    </row>
    <row r="1173" spans="1:7" ht="15" customHeight="1" x14ac:dyDescent="0.25">
      <c r="A1173" s="2352" t="s">
        <v>3836</v>
      </c>
      <c r="B1173" s="2352" t="s">
        <v>3661</v>
      </c>
      <c r="C1173" s="2352" t="s">
        <v>3661</v>
      </c>
      <c r="D1173" s="2352" t="s">
        <v>3837</v>
      </c>
      <c r="E1173" s="355">
        <v>100</v>
      </c>
      <c r="F1173" s="1662">
        <v>0</v>
      </c>
      <c r="G1173" s="903"/>
    </row>
    <row r="1174" spans="1:7" ht="15" customHeight="1" x14ac:dyDescent="0.25">
      <c r="A1174" s="2352" t="s">
        <v>3836</v>
      </c>
      <c r="B1174" s="2352" t="s">
        <v>3661</v>
      </c>
      <c r="C1174" s="2352" t="s">
        <v>3661</v>
      </c>
      <c r="D1174" s="2352" t="s">
        <v>3838</v>
      </c>
      <c r="E1174" s="355">
        <v>100</v>
      </c>
      <c r="F1174" s="1662">
        <v>0</v>
      </c>
      <c r="G1174" s="903"/>
    </row>
    <row r="1175" spans="1:7" ht="15" customHeight="1" x14ac:dyDescent="0.25">
      <c r="A1175" s="2352" t="s">
        <v>3839</v>
      </c>
      <c r="B1175" s="2352" t="s">
        <v>3661</v>
      </c>
      <c r="C1175" s="2352" t="s">
        <v>3661</v>
      </c>
      <c r="D1175" s="2352" t="s">
        <v>3840</v>
      </c>
      <c r="E1175" s="355">
        <v>63</v>
      </c>
      <c r="F1175" s="1662">
        <v>3</v>
      </c>
      <c r="G1175" s="903"/>
    </row>
    <row r="1176" spans="1:7" ht="15" customHeight="1" x14ac:dyDescent="0.25">
      <c r="A1176" s="2352" t="s">
        <v>3841</v>
      </c>
      <c r="B1176" s="2352" t="s">
        <v>3661</v>
      </c>
      <c r="C1176" s="2352" t="s">
        <v>3661</v>
      </c>
      <c r="D1176" s="2352" t="s">
        <v>3842</v>
      </c>
      <c r="E1176" s="355">
        <v>100</v>
      </c>
      <c r="F1176" s="1662">
        <v>0</v>
      </c>
      <c r="G1176" s="903"/>
    </row>
    <row r="1177" spans="1:7" ht="15" customHeight="1" x14ac:dyDescent="0.25">
      <c r="A1177" s="2352" t="s">
        <v>3841</v>
      </c>
      <c r="B1177" s="2352" t="s">
        <v>3661</v>
      </c>
      <c r="C1177" s="2352" t="s">
        <v>3661</v>
      </c>
      <c r="D1177" s="2352" t="s">
        <v>3843</v>
      </c>
      <c r="E1177" s="355">
        <v>100</v>
      </c>
      <c r="F1177" s="1662">
        <v>0</v>
      </c>
      <c r="G1177" s="903"/>
    </row>
    <row r="1178" spans="1:7" ht="15" customHeight="1" x14ac:dyDescent="0.25">
      <c r="A1178" s="2352" t="s">
        <v>3844</v>
      </c>
      <c r="B1178" s="2352" t="s">
        <v>3661</v>
      </c>
      <c r="C1178" s="2352" t="s">
        <v>3661</v>
      </c>
      <c r="D1178" s="2352" t="s">
        <v>3845</v>
      </c>
      <c r="E1178" s="355">
        <v>63</v>
      </c>
      <c r="F1178" s="1662">
        <v>0</v>
      </c>
      <c r="G1178" s="903"/>
    </row>
    <row r="1179" spans="1:7" ht="15" customHeight="1" x14ac:dyDescent="0.25">
      <c r="A1179" s="2352" t="s">
        <v>3846</v>
      </c>
      <c r="B1179" s="2352" t="s">
        <v>3661</v>
      </c>
      <c r="C1179" s="2352" t="s">
        <v>3661</v>
      </c>
      <c r="D1179" s="2352" t="s">
        <v>3847</v>
      </c>
      <c r="E1179" s="355">
        <v>63</v>
      </c>
      <c r="F1179" s="1662">
        <v>0</v>
      </c>
      <c r="G1179" s="903"/>
    </row>
    <row r="1180" spans="1:7" ht="15" customHeight="1" x14ac:dyDescent="0.25">
      <c r="A1180" s="2352" t="s">
        <v>3848</v>
      </c>
      <c r="B1180" s="2352" t="s">
        <v>3661</v>
      </c>
      <c r="C1180" s="2352" t="s">
        <v>3661</v>
      </c>
      <c r="D1180" s="2352" t="s">
        <v>3849</v>
      </c>
      <c r="E1180" s="355">
        <v>63</v>
      </c>
      <c r="F1180" s="1662">
        <v>30</v>
      </c>
      <c r="G1180" s="903"/>
    </row>
    <row r="1181" spans="1:7" ht="15" customHeight="1" x14ac:dyDescent="0.25">
      <c r="A1181" s="2352" t="s">
        <v>3827</v>
      </c>
      <c r="B1181" s="2352" t="s">
        <v>3661</v>
      </c>
      <c r="C1181" s="2352" t="s">
        <v>3661</v>
      </c>
      <c r="D1181" s="2352" t="s">
        <v>3850</v>
      </c>
      <c r="E1181" s="355">
        <v>250</v>
      </c>
      <c r="F1181" s="1662">
        <v>130</v>
      </c>
      <c r="G1181" s="903"/>
    </row>
    <row r="1182" spans="1:7" ht="15" customHeight="1" x14ac:dyDescent="0.25">
      <c r="A1182" s="2352" t="s">
        <v>3851</v>
      </c>
      <c r="B1182" s="2352" t="s">
        <v>3661</v>
      </c>
      <c r="C1182" s="2352" t="s">
        <v>3661</v>
      </c>
      <c r="D1182" s="2352" t="s">
        <v>3852</v>
      </c>
      <c r="E1182" s="355">
        <v>100</v>
      </c>
      <c r="F1182" s="1662">
        <v>0</v>
      </c>
      <c r="G1182" s="903"/>
    </row>
    <row r="1183" spans="1:7" ht="15" customHeight="1" x14ac:dyDescent="0.25">
      <c r="A1183" s="2352" t="s">
        <v>3853</v>
      </c>
      <c r="B1183" s="2352" t="s">
        <v>3661</v>
      </c>
      <c r="C1183" s="2352" t="s">
        <v>3661</v>
      </c>
      <c r="D1183" s="2352" t="s">
        <v>3854</v>
      </c>
      <c r="E1183" s="355">
        <v>63</v>
      </c>
      <c r="F1183" s="1662">
        <v>40</v>
      </c>
      <c r="G1183" s="903"/>
    </row>
    <row r="1184" spans="1:7" ht="15" customHeight="1" x14ac:dyDescent="0.25">
      <c r="A1184" s="2352" t="s">
        <v>14161</v>
      </c>
      <c r="B1184" s="2352" t="s">
        <v>3661</v>
      </c>
      <c r="C1184" s="2352" t="s">
        <v>3661</v>
      </c>
      <c r="D1184" s="2352" t="s">
        <v>3855</v>
      </c>
      <c r="E1184" s="355">
        <v>100</v>
      </c>
      <c r="F1184" s="1662">
        <v>50</v>
      </c>
      <c r="G1184" s="903"/>
    </row>
    <row r="1185" spans="1:7" ht="15" customHeight="1" x14ac:dyDescent="0.25">
      <c r="A1185" s="2352" t="s">
        <v>14161</v>
      </c>
      <c r="B1185" s="2352" t="s">
        <v>3661</v>
      </c>
      <c r="C1185" s="2352" t="s">
        <v>3661</v>
      </c>
      <c r="D1185" s="2352" t="s">
        <v>3856</v>
      </c>
      <c r="E1185" s="355">
        <v>60</v>
      </c>
      <c r="F1185" s="1662">
        <v>50</v>
      </c>
      <c r="G1185" s="903"/>
    </row>
    <row r="1186" spans="1:7" ht="15" customHeight="1" x14ac:dyDescent="0.25">
      <c r="A1186" s="2352" t="s">
        <v>3857</v>
      </c>
      <c r="B1186" s="2352" t="s">
        <v>3661</v>
      </c>
      <c r="C1186" s="2352" t="s">
        <v>3661</v>
      </c>
      <c r="D1186" s="2352" t="s">
        <v>3858</v>
      </c>
      <c r="E1186" s="355">
        <v>50</v>
      </c>
      <c r="F1186" s="1662">
        <v>0</v>
      </c>
      <c r="G1186" s="903"/>
    </row>
    <row r="1187" spans="1:7" ht="15" customHeight="1" x14ac:dyDescent="0.25">
      <c r="A1187" s="2352" t="s">
        <v>3857</v>
      </c>
      <c r="B1187" s="2352" t="s">
        <v>3661</v>
      </c>
      <c r="C1187" s="2352" t="s">
        <v>3661</v>
      </c>
      <c r="D1187" s="2352" t="s">
        <v>3859</v>
      </c>
      <c r="E1187" s="355">
        <v>160</v>
      </c>
      <c r="F1187" s="1662">
        <v>100</v>
      </c>
      <c r="G1187" s="903"/>
    </row>
    <row r="1188" spans="1:7" ht="15" customHeight="1" x14ac:dyDescent="0.25">
      <c r="A1188" s="2352" t="s">
        <v>3857</v>
      </c>
      <c r="B1188" s="2352" t="s">
        <v>3661</v>
      </c>
      <c r="C1188" s="2352" t="s">
        <v>3661</v>
      </c>
      <c r="D1188" s="2352" t="s">
        <v>3860</v>
      </c>
      <c r="E1188" s="355">
        <v>160</v>
      </c>
      <c r="F1188" s="1662">
        <v>80</v>
      </c>
      <c r="G1188" s="903"/>
    </row>
    <row r="1189" spans="1:7" ht="15" customHeight="1" x14ac:dyDescent="0.25">
      <c r="A1189" s="2352" t="s">
        <v>3857</v>
      </c>
      <c r="B1189" s="2352" t="s">
        <v>3661</v>
      </c>
      <c r="C1189" s="2352" t="s">
        <v>3661</v>
      </c>
      <c r="D1189" s="2352" t="s">
        <v>3861</v>
      </c>
      <c r="E1189" s="355">
        <v>100</v>
      </c>
      <c r="F1189" s="1662">
        <v>0</v>
      </c>
      <c r="G1189" s="903"/>
    </row>
    <row r="1190" spans="1:7" ht="15" customHeight="1" x14ac:dyDescent="0.25">
      <c r="A1190" s="2352" t="s">
        <v>3857</v>
      </c>
      <c r="B1190" s="2352" t="s">
        <v>3661</v>
      </c>
      <c r="C1190" s="2352" t="s">
        <v>3661</v>
      </c>
      <c r="D1190" s="2352" t="s">
        <v>3862</v>
      </c>
      <c r="E1190" s="355">
        <v>250</v>
      </c>
      <c r="F1190" s="1662">
        <v>160</v>
      </c>
      <c r="G1190" s="903"/>
    </row>
    <row r="1191" spans="1:7" ht="15" customHeight="1" x14ac:dyDescent="0.25">
      <c r="A1191" s="2352" t="s">
        <v>3863</v>
      </c>
      <c r="B1191" s="2352" t="s">
        <v>3661</v>
      </c>
      <c r="C1191" s="2352" t="s">
        <v>3661</v>
      </c>
      <c r="D1191" s="2352" t="s">
        <v>3864</v>
      </c>
      <c r="E1191" s="355">
        <v>63</v>
      </c>
      <c r="F1191" s="1662">
        <v>0</v>
      </c>
      <c r="G1191" s="903"/>
    </row>
    <row r="1192" spans="1:7" ht="15" customHeight="1" x14ac:dyDescent="0.25">
      <c r="A1192" s="2352" t="s">
        <v>3863</v>
      </c>
      <c r="B1192" s="2352" t="s">
        <v>3661</v>
      </c>
      <c r="C1192" s="2352" t="s">
        <v>3661</v>
      </c>
      <c r="D1192" s="2352" t="s">
        <v>3865</v>
      </c>
      <c r="E1192" s="355">
        <v>100</v>
      </c>
      <c r="F1192" s="1662">
        <v>50</v>
      </c>
      <c r="G1192" s="903"/>
    </row>
    <row r="1193" spans="1:7" ht="15" customHeight="1" x14ac:dyDescent="0.25">
      <c r="A1193" s="2352" t="s">
        <v>3857</v>
      </c>
      <c r="B1193" s="2352" t="s">
        <v>3661</v>
      </c>
      <c r="C1193" s="2352" t="s">
        <v>3661</v>
      </c>
      <c r="D1193" s="2352" t="s">
        <v>3866</v>
      </c>
      <c r="E1193" s="355">
        <v>250</v>
      </c>
      <c r="F1193" s="1662">
        <v>120</v>
      </c>
      <c r="G1193" s="903"/>
    </row>
    <row r="1194" spans="1:7" ht="15" customHeight="1" x14ac:dyDescent="0.25">
      <c r="A1194" s="2352" t="s">
        <v>3857</v>
      </c>
      <c r="B1194" s="2352" t="s">
        <v>3661</v>
      </c>
      <c r="C1194" s="2352" t="s">
        <v>3661</v>
      </c>
      <c r="D1194" s="2352" t="s">
        <v>3867</v>
      </c>
      <c r="E1194" s="355">
        <v>160</v>
      </c>
      <c r="F1194" s="1662">
        <v>100</v>
      </c>
      <c r="G1194" s="903"/>
    </row>
    <row r="1195" spans="1:7" ht="15" customHeight="1" x14ac:dyDescent="0.25">
      <c r="A1195" s="2352" t="s">
        <v>3868</v>
      </c>
      <c r="B1195" s="2352" t="s">
        <v>3661</v>
      </c>
      <c r="C1195" s="2352" t="s">
        <v>3661</v>
      </c>
      <c r="D1195" s="2352" t="s">
        <v>3869</v>
      </c>
      <c r="E1195" s="355">
        <v>50</v>
      </c>
      <c r="F1195" s="1662">
        <v>0</v>
      </c>
      <c r="G1195" s="903"/>
    </row>
    <row r="1196" spans="1:7" ht="15" customHeight="1" x14ac:dyDescent="0.25">
      <c r="A1196" s="2352" t="s">
        <v>3870</v>
      </c>
      <c r="B1196" s="2352" t="s">
        <v>3661</v>
      </c>
      <c r="C1196" s="2352" t="s">
        <v>3661</v>
      </c>
      <c r="D1196" s="2352" t="s">
        <v>3871</v>
      </c>
      <c r="E1196" s="355">
        <v>100</v>
      </c>
      <c r="F1196" s="1662">
        <v>0</v>
      </c>
      <c r="G1196" s="903"/>
    </row>
    <row r="1197" spans="1:7" ht="15" customHeight="1" x14ac:dyDescent="0.25">
      <c r="A1197" s="2352" t="s">
        <v>3872</v>
      </c>
      <c r="B1197" s="2352" t="s">
        <v>3661</v>
      </c>
      <c r="C1197" s="2352" t="s">
        <v>3661</v>
      </c>
      <c r="D1197" s="2352" t="s">
        <v>3873</v>
      </c>
      <c r="E1197" s="355">
        <v>50</v>
      </c>
      <c r="F1197" s="1662">
        <v>0</v>
      </c>
      <c r="G1197" s="903"/>
    </row>
    <row r="1198" spans="1:7" ht="15" customHeight="1" x14ac:dyDescent="0.25">
      <c r="A1198" s="2352" t="s">
        <v>3872</v>
      </c>
      <c r="B1198" s="2352" t="s">
        <v>3661</v>
      </c>
      <c r="C1198" s="2352" t="s">
        <v>3661</v>
      </c>
      <c r="D1198" s="2352" t="s">
        <v>3874</v>
      </c>
      <c r="E1198" s="355">
        <v>100</v>
      </c>
      <c r="F1198" s="1662">
        <v>0</v>
      </c>
      <c r="G1198" s="903"/>
    </row>
    <row r="1199" spans="1:7" ht="15" customHeight="1" x14ac:dyDescent="0.25">
      <c r="A1199" s="2352" t="s">
        <v>3875</v>
      </c>
      <c r="B1199" s="2352" t="s">
        <v>3661</v>
      </c>
      <c r="C1199" s="2352" t="s">
        <v>3661</v>
      </c>
      <c r="D1199" s="2352" t="s">
        <v>3876</v>
      </c>
      <c r="E1199" s="355">
        <v>63</v>
      </c>
      <c r="F1199" s="1662">
        <v>50</v>
      </c>
      <c r="G1199" s="903"/>
    </row>
    <row r="1200" spans="1:7" ht="15" customHeight="1" x14ac:dyDescent="0.25">
      <c r="A1200" s="2352" t="s">
        <v>3875</v>
      </c>
      <c r="B1200" s="2352" t="s">
        <v>3661</v>
      </c>
      <c r="C1200" s="2352" t="s">
        <v>3661</v>
      </c>
      <c r="D1200" s="2352" t="s">
        <v>3856</v>
      </c>
      <c r="E1200" s="355" t="s">
        <v>4202</v>
      </c>
      <c r="F1200" s="1662">
        <v>0</v>
      </c>
      <c r="G1200" s="903"/>
    </row>
    <row r="1201" spans="1:7" ht="15" customHeight="1" x14ac:dyDescent="0.25">
      <c r="A1201" s="2352" t="s">
        <v>3877</v>
      </c>
      <c r="B1201" s="2352" t="s">
        <v>3661</v>
      </c>
      <c r="C1201" s="2352" t="s">
        <v>3661</v>
      </c>
      <c r="D1201" s="2352" t="s">
        <v>3878</v>
      </c>
      <c r="E1201" s="355">
        <v>30</v>
      </c>
      <c r="F1201" s="1662">
        <v>6</v>
      </c>
      <c r="G1201" s="903"/>
    </row>
    <row r="1202" spans="1:7" ht="15" customHeight="1" x14ac:dyDescent="0.25">
      <c r="A1202" s="2352" t="s">
        <v>3801</v>
      </c>
      <c r="B1202" s="2352" t="s">
        <v>3661</v>
      </c>
      <c r="C1202" s="2352" t="s">
        <v>3661</v>
      </c>
      <c r="D1202" s="2352" t="s">
        <v>3802</v>
      </c>
      <c r="E1202" s="355">
        <v>63</v>
      </c>
      <c r="F1202" s="1662">
        <v>45</v>
      </c>
      <c r="G1202" s="903"/>
    </row>
    <row r="1203" spans="1:7" ht="15" customHeight="1" x14ac:dyDescent="0.25">
      <c r="A1203" s="2352" t="s">
        <v>3879</v>
      </c>
      <c r="B1203" s="2352" t="s">
        <v>3661</v>
      </c>
      <c r="C1203" s="2352" t="s">
        <v>3661</v>
      </c>
      <c r="D1203" s="2352" t="s">
        <v>3880</v>
      </c>
      <c r="E1203" s="355">
        <v>63</v>
      </c>
      <c r="F1203" s="1662">
        <v>0</v>
      </c>
      <c r="G1203" s="903"/>
    </row>
    <row r="1204" spans="1:7" ht="15" customHeight="1" x14ac:dyDescent="0.25">
      <c r="A1204" s="2352" t="s">
        <v>3881</v>
      </c>
      <c r="B1204" s="2352" t="s">
        <v>3661</v>
      </c>
      <c r="C1204" s="2352" t="s">
        <v>3661</v>
      </c>
      <c r="D1204" s="2352" t="s">
        <v>3882</v>
      </c>
      <c r="E1204" s="355">
        <v>25</v>
      </c>
      <c r="F1204" s="1662">
        <v>10</v>
      </c>
      <c r="G1204" s="903"/>
    </row>
    <row r="1205" spans="1:7" ht="15" customHeight="1" x14ac:dyDescent="0.25">
      <c r="A1205" s="2352" t="s">
        <v>3756</v>
      </c>
      <c r="B1205" s="2352" t="s">
        <v>3661</v>
      </c>
      <c r="C1205" s="2352" t="s">
        <v>3661</v>
      </c>
      <c r="D1205" s="2352" t="s">
        <v>3883</v>
      </c>
      <c r="E1205" s="355">
        <v>30</v>
      </c>
      <c r="F1205" s="1662">
        <v>0</v>
      </c>
      <c r="G1205" s="903"/>
    </row>
    <row r="1206" spans="1:7" ht="15" customHeight="1" x14ac:dyDescent="0.25">
      <c r="A1206" s="2352" t="s">
        <v>3884</v>
      </c>
      <c r="B1206" s="2352" t="s">
        <v>3661</v>
      </c>
      <c r="C1206" s="2352" t="s">
        <v>3661</v>
      </c>
      <c r="D1206" s="2352" t="s">
        <v>3885</v>
      </c>
      <c r="E1206" s="355">
        <v>40</v>
      </c>
      <c r="F1206" s="1662">
        <v>0</v>
      </c>
      <c r="G1206" s="903"/>
    </row>
    <row r="1207" spans="1:7" ht="15" customHeight="1" x14ac:dyDescent="0.25">
      <c r="A1207" s="2352" t="s">
        <v>3886</v>
      </c>
      <c r="B1207" s="2352" t="s">
        <v>3661</v>
      </c>
      <c r="C1207" s="2352" t="s">
        <v>3661</v>
      </c>
      <c r="D1207" s="2352" t="s">
        <v>3887</v>
      </c>
      <c r="E1207" s="355">
        <v>160</v>
      </c>
      <c r="F1207" s="1662">
        <v>90</v>
      </c>
      <c r="G1207" s="903"/>
    </row>
    <row r="1208" spans="1:7" ht="15" customHeight="1" x14ac:dyDescent="0.25">
      <c r="A1208" s="2352" t="s">
        <v>3886</v>
      </c>
      <c r="B1208" s="2352" t="s">
        <v>3661</v>
      </c>
      <c r="C1208" s="2352" t="s">
        <v>3661</v>
      </c>
      <c r="D1208" s="2352" t="s">
        <v>3888</v>
      </c>
      <c r="E1208" s="355" t="s">
        <v>4202</v>
      </c>
      <c r="F1208" s="1662">
        <v>160</v>
      </c>
      <c r="G1208" s="903"/>
    </row>
    <row r="1209" spans="1:7" ht="15" customHeight="1" x14ac:dyDescent="0.25">
      <c r="A1209" s="2352" t="s">
        <v>3889</v>
      </c>
      <c r="B1209" s="2352" t="s">
        <v>3661</v>
      </c>
      <c r="C1209" s="2352" t="s">
        <v>3661</v>
      </c>
      <c r="D1209" s="2352" t="s">
        <v>3890</v>
      </c>
      <c r="E1209" s="355">
        <v>100</v>
      </c>
      <c r="F1209" s="1662">
        <v>58</v>
      </c>
      <c r="G1209" s="903"/>
    </row>
    <row r="1210" spans="1:7" ht="15" customHeight="1" x14ac:dyDescent="0.25">
      <c r="A1210" s="2352" t="s">
        <v>3891</v>
      </c>
      <c r="B1210" s="2352" t="s">
        <v>3661</v>
      </c>
      <c r="C1210" s="2352" t="s">
        <v>3661</v>
      </c>
      <c r="D1210" s="2352" t="s">
        <v>3892</v>
      </c>
      <c r="E1210" s="355">
        <v>25</v>
      </c>
      <c r="F1210" s="1662">
        <v>0</v>
      </c>
      <c r="G1210" s="903"/>
    </row>
    <row r="1211" spans="1:7" ht="15" customHeight="1" x14ac:dyDescent="0.25">
      <c r="A1211" s="2352" t="s">
        <v>3893</v>
      </c>
      <c r="B1211" s="2352" t="s">
        <v>3661</v>
      </c>
      <c r="C1211" s="2352" t="s">
        <v>3661</v>
      </c>
      <c r="D1211" s="2352" t="s">
        <v>3894</v>
      </c>
      <c r="E1211" s="355">
        <v>20</v>
      </c>
      <c r="F1211" s="1662">
        <v>0</v>
      </c>
      <c r="G1211" s="903"/>
    </row>
    <row r="1212" spans="1:7" ht="15" customHeight="1" x14ac:dyDescent="0.25">
      <c r="A1212" s="2352" t="s">
        <v>3895</v>
      </c>
      <c r="B1212" s="2352" t="s">
        <v>3661</v>
      </c>
      <c r="C1212" s="2352" t="s">
        <v>3661</v>
      </c>
      <c r="D1212" s="2352" t="s">
        <v>3896</v>
      </c>
      <c r="E1212" s="355">
        <v>25</v>
      </c>
      <c r="F1212" s="1662">
        <v>0</v>
      </c>
      <c r="G1212" s="903"/>
    </row>
    <row r="1213" spans="1:7" ht="15" customHeight="1" x14ac:dyDescent="0.25">
      <c r="A1213" s="2352" t="s">
        <v>3897</v>
      </c>
      <c r="B1213" s="2352" t="s">
        <v>3661</v>
      </c>
      <c r="C1213" s="2352" t="s">
        <v>3661</v>
      </c>
      <c r="D1213" s="2352" t="s">
        <v>3898</v>
      </c>
      <c r="E1213" s="355">
        <v>30</v>
      </c>
      <c r="F1213" s="1662">
        <v>0</v>
      </c>
      <c r="G1213" s="903"/>
    </row>
    <row r="1214" spans="1:7" ht="15" customHeight="1" x14ac:dyDescent="0.25">
      <c r="A1214" s="2352" t="s">
        <v>3899</v>
      </c>
      <c r="B1214" s="2352" t="s">
        <v>3661</v>
      </c>
      <c r="C1214" s="2352" t="s">
        <v>3661</v>
      </c>
      <c r="D1214" s="2352" t="s">
        <v>3900</v>
      </c>
      <c r="E1214" s="355">
        <v>100</v>
      </c>
      <c r="F1214" s="1662">
        <v>50</v>
      </c>
      <c r="G1214" s="903"/>
    </row>
    <row r="1215" spans="1:7" ht="15" customHeight="1" x14ac:dyDescent="0.25">
      <c r="A1215" s="2352" t="s">
        <v>3901</v>
      </c>
      <c r="B1215" s="2352" t="s">
        <v>3661</v>
      </c>
      <c r="C1215" s="2352" t="s">
        <v>3661</v>
      </c>
      <c r="D1215" s="2352" t="s">
        <v>3902</v>
      </c>
      <c r="E1215" s="355">
        <v>160</v>
      </c>
      <c r="F1215" s="1662">
        <v>0</v>
      </c>
      <c r="G1215" s="903"/>
    </row>
    <row r="1216" spans="1:7" ht="15" customHeight="1" x14ac:dyDescent="0.25">
      <c r="A1216" s="2352" t="s">
        <v>3829</v>
      </c>
      <c r="B1216" s="2352" t="s">
        <v>3661</v>
      </c>
      <c r="C1216" s="2352" t="s">
        <v>3661</v>
      </c>
      <c r="D1216" s="2352" t="s">
        <v>3830</v>
      </c>
      <c r="E1216" s="355">
        <v>30</v>
      </c>
      <c r="F1216" s="1662">
        <v>20</v>
      </c>
      <c r="G1216" s="903"/>
    </row>
    <row r="1217" spans="1:7" ht="15" customHeight="1" x14ac:dyDescent="0.25">
      <c r="A1217" s="2352" t="s">
        <v>3827</v>
      </c>
      <c r="B1217" s="2352" t="s">
        <v>3661</v>
      </c>
      <c r="C1217" s="2352" t="s">
        <v>3661</v>
      </c>
      <c r="D1217" s="2352" t="s">
        <v>3903</v>
      </c>
      <c r="E1217" s="355">
        <v>100</v>
      </c>
      <c r="F1217" s="1662">
        <v>65</v>
      </c>
      <c r="G1217" s="903"/>
    </row>
    <row r="1218" spans="1:7" ht="15" customHeight="1" x14ac:dyDescent="0.25">
      <c r="A1218" s="2352" t="s">
        <v>3904</v>
      </c>
      <c r="B1218" s="2352" t="s">
        <v>3661</v>
      </c>
      <c r="C1218" s="2352" t="s">
        <v>3661</v>
      </c>
      <c r="D1218" s="2352" t="s">
        <v>3905</v>
      </c>
      <c r="E1218" s="355">
        <v>20</v>
      </c>
      <c r="F1218" s="1662">
        <v>3</v>
      </c>
      <c r="G1218" s="903"/>
    </row>
    <row r="1219" spans="1:7" ht="15" customHeight="1" x14ac:dyDescent="0.25">
      <c r="A1219" s="2352" t="s">
        <v>3785</v>
      </c>
      <c r="B1219" s="2352" t="s">
        <v>3661</v>
      </c>
      <c r="C1219" s="2352" t="s">
        <v>3661</v>
      </c>
      <c r="D1219" s="2352" t="s">
        <v>3786</v>
      </c>
      <c r="E1219" s="355">
        <v>63</v>
      </c>
      <c r="F1219" s="1662">
        <v>20</v>
      </c>
      <c r="G1219" s="903"/>
    </row>
    <row r="1220" spans="1:7" ht="15" customHeight="1" x14ac:dyDescent="0.25">
      <c r="A1220" s="2352" t="s">
        <v>3906</v>
      </c>
      <c r="B1220" s="2352" t="s">
        <v>3661</v>
      </c>
      <c r="C1220" s="2352" t="s">
        <v>3661</v>
      </c>
      <c r="D1220" s="2352" t="s">
        <v>3907</v>
      </c>
      <c r="E1220" s="355">
        <v>20</v>
      </c>
      <c r="F1220" s="1662">
        <v>10</v>
      </c>
      <c r="G1220" s="903"/>
    </row>
    <row r="1221" spans="1:7" ht="15" customHeight="1" x14ac:dyDescent="0.25">
      <c r="A1221" s="2352" t="s">
        <v>3908</v>
      </c>
      <c r="B1221" s="2352" t="s">
        <v>3661</v>
      </c>
      <c r="C1221" s="2352" t="s">
        <v>3661</v>
      </c>
      <c r="D1221" s="2352" t="s">
        <v>3909</v>
      </c>
      <c r="E1221" s="355">
        <v>20</v>
      </c>
      <c r="F1221" s="1662">
        <v>0</v>
      </c>
      <c r="G1221" s="903"/>
    </row>
    <row r="1222" spans="1:7" ht="15" customHeight="1" x14ac:dyDescent="0.25">
      <c r="A1222" s="2352" t="s">
        <v>3910</v>
      </c>
      <c r="B1222" s="2352" t="s">
        <v>3661</v>
      </c>
      <c r="C1222" s="2352" t="s">
        <v>3661</v>
      </c>
      <c r="D1222" s="2352" t="s">
        <v>3911</v>
      </c>
      <c r="E1222" s="355">
        <v>63</v>
      </c>
      <c r="F1222" s="1662">
        <v>20</v>
      </c>
      <c r="G1222" s="903"/>
    </row>
    <row r="1223" spans="1:7" ht="15" customHeight="1" x14ac:dyDescent="0.25">
      <c r="A1223" s="2352" t="s">
        <v>3912</v>
      </c>
      <c r="B1223" s="2352" t="s">
        <v>3661</v>
      </c>
      <c r="C1223" s="2352" t="s">
        <v>3661</v>
      </c>
      <c r="D1223" s="2352" t="s">
        <v>3913</v>
      </c>
      <c r="E1223" s="355">
        <v>30</v>
      </c>
      <c r="F1223" s="1662">
        <v>0</v>
      </c>
      <c r="G1223" s="903"/>
    </row>
    <row r="1224" spans="1:7" ht="15" customHeight="1" x14ac:dyDescent="0.25">
      <c r="A1224" s="2352" t="s">
        <v>3914</v>
      </c>
      <c r="B1224" s="2352" t="s">
        <v>3661</v>
      </c>
      <c r="C1224" s="2352" t="s">
        <v>3661</v>
      </c>
      <c r="D1224" s="2352" t="s">
        <v>3915</v>
      </c>
      <c r="E1224" s="355">
        <v>30</v>
      </c>
      <c r="F1224" s="1662">
        <v>0</v>
      </c>
      <c r="G1224" s="903"/>
    </row>
    <row r="1225" spans="1:7" ht="15" customHeight="1" x14ac:dyDescent="0.25">
      <c r="A1225" s="2352" t="s">
        <v>3916</v>
      </c>
      <c r="B1225" s="2352" t="s">
        <v>3661</v>
      </c>
      <c r="C1225" s="2352" t="s">
        <v>3661</v>
      </c>
      <c r="D1225" s="2352" t="s">
        <v>3917</v>
      </c>
      <c r="E1225" s="355">
        <v>63</v>
      </c>
      <c r="F1225" s="1662">
        <v>0</v>
      </c>
      <c r="G1225" s="903"/>
    </row>
    <row r="1226" spans="1:7" ht="15" customHeight="1" x14ac:dyDescent="0.25">
      <c r="A1226" s="2352" t="s">
        <v>3918</v>
      </c>
      <c r="B1226" s="2352" t="s">
        <v>3661</v>
      </c>
      <c r="C1226" s="2352" t="s">
        <v>3661</v>
      </c>
      <c r="D1226" s="2352" t="s">
        <v>3919</v>
      </c>
      <c r="E1226" s="355">
        <v>100</v>
      </c>
      <c r="F1226" s="1662">
        <v>20</v>
      </c>
      <c r="G1226" s="903"/>
    </row>
    <row r="1227" spans="1:7" ht="15" customHeight="1" x14ac:dyDescent="0.25">
      <c r="A1227" s="2352" t="s">
        <v>3920</v>
      </c>
      <c r="B1227" s="2352" t="s">
        <v>3661</v>
      </c>
      <c r="C1227" s="2352" t="s">
        <v>3661</v>
      </c>
      <c r="D1227" s="2352" t="s">
        <v>3921</v>
      </c>
      <c r="E1227" s="355">
        <v>160</v>
      </c>
      <c r="F1227" s="1662">
        <v>0</v>
      </c>
      <c r="G1227" s="903"/>
    </row>
    <row r="1228" spans="1:7" ht="15" customHeight="1" x14ac:dyDescent="0.25">
      <c r="A1228" s="2352" t="s">
        <v>3922</v>
      </c>
      <c r="B1228" s="2352" t="s">
        <v>3661</v>
      </c>
      <c r="C1228" s="2352" t="s">
        <v>3661</v>
      </c>
      <c r="D1228" s="2352" t="s">
        <v>3923</v>
      </c>
      <c r="E1228" s="355">
        <v>10</v>
      </c>
      <c r="F1228" s="1662">
        <v>10</v>
      </c>
      <c r="G1228" s="903"/>
    </row>
    <row r="1229" spans="1:7" ht="15" customHeight="1" x14ac:dyDescent="0.25">
      <c r="A1229" s="2352" t="s">
        <v>14166</v>
      </c>
      <c r="B1229" s="2352" t="s">
        <v>3661</v>
      </c>
      <c r="C1229" s="2352" t="s">
        <v>3661</v>
      </c>
      <c r="D1229" s="2352" t="s">
        <v>3924</v>
      </c>
      <c r="E1229" s="355">
        <v>30</v>
      </c>
      <c r="F1229" s="1662">
        <v>0</v>
      </c>
      <c r="G1229" s="903"/>
    </row>
    <row r="1230" spans="1:7" ht="15" customHeight="1" x14ac:dyDescent="0.25">
      <c r="A1230" s="2352" t="s">
        <v>14167</v>
      </c>
      <c r="B1230" s="2352" t="s">
        <v>3661</v>
      </c>
      <c r="C1230" s="2352" t="s">
        <v>3661</v>
      </c>
      <c r="D1230" s="2352" t="s">
        <v>3925</v>
      </c>
      <c r="E1230" s="355">
        <v>63</v>
      </c>
      <c r="F1230" s="1662">
        <v>0</v>
      </c>
      <c r="G1230" s="903"/>
    </row>
    <row r="1231" spans="1:7" ht="15" customHeight="1" x14ac:dyDescent="0.25">
      <c r="A1231" s="2352" t="s">
        <v>3926</v>
      </c>
      <c r="B1231" s="2352" t="s">
        <v>3661</v>
      </c>
      <c r="C1231" s="2352" t="s">
        <v>3661</v>
      </c>
      <c r="D1231" s="2352" t="s">
        <v>3927</v>
      </c>
      <c r="E1231" s="355">
        <v>100</v>
      </c>
      <c r="F1231" s="1662">
        <v>70</v>
      </c>
      <c r="G1231" s="903"/>
    </row>
    <row r="1232" spans="1:7" ht="15" customHeight="1" x14ac:dyDescent="0.25">
      <c r="A1232" s="2352" t="s">
        <v>3926</v>
      </c>
      <c r="B1232" s="2352" t="s">
        <v>3661</v>
      </c>
      <c r="C1232" s="2352" t="s">
        <v>3661</v>
      </c>
      <c r="D1232" s="2352" t="s">
        <v>3928</v>
      </c>
      <c r="E1232" s="355">
        <v>100</v>
      </c>
      <c r="F1232" s="1662">
        <v>20</v>
      </c>
      <c r="G1232" s="903"/>
    </row>
    <row r="1233" spans="1:7" ht="15" customHeight="1" x14ac:dyDescent="0.25">
      <c r="A1233" s="2352" t="s">
        <v>3926</v>
      </c>
      <c r="B1233" s="2352" t="s">
        <v>3661</v>
      </c>
      <c r="C1233" s="2352" t="s">
        <v>3661</v>
      </c>
      <c r="D1233" s="2352" t="s">
        <v>3929</v>
      </c>
      <c r="E1233" s="355">
        <v>250</v>
      </c>
      <c r="F1233" s="1662">
        <v>100</v>
      </c>
      <c r="G1233" s="903"/>
    </row>
    <row r="1234" spans="1:7" ht="15" customHeight="1" x14ac:dyDescent="0.25">
      <c r="A1234" s="2352" t="s">
        <v>3926</v>
      </c>
      <c r="B1234" s="2352" t="s">
        <v>3661</v>
      </c>
      <c r="C1234" s="2352" t="s">
        <v>3661</v>
      </c>
      <c r="D1234" s="2352" t="s">
        <v>3930</v>
      </c>
      <c r="E1234" s="355">
        <v>400</v>
      </c>
      <c r="F1234" s="1662">
        <v>250</v>
      </c>
      <c r="G1234" s="903"/>
    </row>
    <row r="1235" spans="1:7" ht="15" customHeight="1" x14ac:dyDescent="0.25">
      <c r="A1235" s="2352" t="s">
        <v>3926</v>
      </c>
      <c r="B1235" s="2352" t="s">
        <v>3661</v>
      </c>
      <c r="C1235" s="2352" t="s">
        <v>3661</v>
      </c>
      <c r="D1235" s="2352" t="s">
        <v>3931</v>
      </c>
      <c r="E1235" s="355">
        <v>100</v>
      </c>
      <c r="F1235" s="1662">
        <v>0</v>
      </c>
      <c r="G1235" s="903"/>
    </row>
    <row r="1236" spans="1:7" ht="15" customHeight="1" x14ac:dyDescent="0.25">
      <c r="A1236" s="2352" t="s">
        <v>3926</v>
      </c>
      <c r="B1236" s="2352" t="s">
        <v>3661</v>
      </c>
      <c r="C1236" s="2352" t="s">
        <v>3661</v>
      </c>
      <c r="D1236" s="2352" t="s">
        <v>3932</v>
      </c>
      <c r="E1236" s="355">
        <v>250</v>
      </c>
      <c r="F1236" s="1662">
        <v>150</v>
      </c>
      <c r="G1236" s="903"/>
    </row>
    <row r="1237" spans="1:7" ht="15" customHeight="1" x14ac:dyDescent="0.25">
      <c r="A1237" s="2352" t="s">
        <v>3926</v>
      </c>
      <c r="B1237" s="2352" t="s">
        <v>3661</v>
      </c>
      <c r="C1237" s="2352" t="s">
        <v>3661</v>
      </c>
      <c r="D1237" s="2352" t="s">
        <v>3933</v>
      </c>
      <c r="E1237" s="355" t="s">
        <v>4201</v>
      </c>
      <c r="F1237" s="1662">
        <v>100</v>
      </c>
      <c r="G1237" s="903"/>
    </row>
    <row r="1238" spans="1:7" ht="15" customHeight="1" x14ac:dyDescent="0.25">
      <c r="A1238" s="2352" t="s">
        <v>3934</v>
      </c>
      <c r="B1238" s="2352" t="s">
        <v>3661</v>
      </c>
      <c r="C1238" s="2352" t="s">
        <v>3661</v>
      </c>
      <c r="D1238" s="2352" t="s">
        <v>3935</v>
      </c>
      <c r="E1238" s="355">
        <v>50</v>
      </c>
      <c r="F1238" s="1662">
        <v>0</v>
      </c>
      <c r="G1238" s="903"/>
    </row>
    <row r="1239" spans="1:7" ht="15" customHeight="1" x14ac:dyDescent="0.25">
      <c r="A1239" s="2352" t="s">
        <v>3936</v>
      </c>
      <c r="B1239" s="2352" t="s">
        <v>3661</v>
      </c>
      <c r="C1239" s="2352" t="s">
        <v>3661</v>
      </c>
      <c r="D1239" s="2352" t="s">
        <v>3937</v>
      </c>
      <c r="E1239" s="355">
        <v>50</v>
      </c>
      <c r="F1239" s="1662">
        <v>0</v>
      </c>
      <c r="G1239" s="903"/>
    </row>
    <row r="1240" spans="1:7" ht="15" customHeight="1" x14ac:dyDescent="0.25">
      <c r="A1240" s="2352" t="s">
        <v>3938</v>
      </c>
      <c r="B1240" s="2352" t="s">
        <v>3661</v>
      </c>
      <c r="C1240" s="2352" t="s">
        <v>3661</v>
      </c>
      <c r="D1240" s="2352" t="s">
        <v>3939</v>
      </c>
      <c r="E1240" s="355">
        <v>30</v>
      </c>
      <c r="F1240" s="1662">
        <v>0</v>
      </c>
      <c r="G1240" s="903"/>
    </row>
    <row r="1241" spans="1:7" ht="15" customHeight="1" x14ac:dyDescent="0.25">
      <c r="A1241" s="2352" t="s">
        <v>3940</v>
      </c>
      <c r="B1241" s="2352" t="s">
        <v>3661</v>
      </c>
      <c r="C1241" s="2352" t="s">
        <v>3661</v>
      </c>
      <c r="D1241" s="2352" t="s">
        <v>3941</v>
      </c>
      <c r="E1241" s="355">
        <v>180</v>
      </c>
      <c r="F1241" s="1662">
        <v>0</v>
      </c>
      <c r="G1241" s="903"/>
    </row>
    <row r="1242" spans="1:7" ht="15" customHeight="1" x14ac:dyDescent="0.25">
      <c r="A1242" s="2352" t="s">
        <v>3942</v>
      </c>
      <c r="B1242" s="2352" t="s">
        <v>3661</v>
      </c>
      <c r="C1242" s="2352" t="s">
        <v>3661</v>
      </c>
      <c r="D1242" s="2352" t="s">
        <v>3943</v>
      </c>
      <c r="E1242" s="355">
        <v>180</v>
      </c>
      <c r="F1242" s="1662">
        <v>100</v>
      </c>
      <c r="G1242" s="903"/>
    </row>
    <row r="1243" spans="1:7" ht="15" customHeight="1" x14ac:dyDescent="0.25">
      <c r="A1243" s="2352" t="s">
        <v>3942</v>
      </c>
      <c r="B1243" s="2352" t="s">
        <v>3661</v>
      </c>
      <c r="C1243" s="2352" t="s">
        <v>3661</v>
      </c>
      <c r="D1243" s="2352" t="s">
        <v>3944</v>
      </c>
      <c r="E1243" s="355">
        <v>63</v>
      </c>
      <c r="F1243" s="1662">
        <v>0</v>
      </c>
      <c r="G1243" s="903"/>
    </row>
    <row r="1244" spans="1:7" ht="15" customHeight="1" x14ac:dyDescent="0.25">
      <c r="A1244" s="2352" t="s">
        <v>3942</v>
      </c>
      <c r="B1244" s="2352" t="s">
        <v>3661</v>
      </c>
      <c r="C1244" s="2352" t="s">
        <v>3661</v>
      </c>
      <c r="D1244" s="2352" t="s">
        <v>3945</v>
      </c>
      <c r="E1244" s="355">
        <v>100</v>
      </c>
      <c r="F1244" s="1662">
        <v>0</v>
      </c>
      <c r="G1244" s="903"/>
    </row>
    <row r="1245" spans="1:7" ht="15" customHeight="1" x14ac:dyDescent="0.25">
      <c r="A1245" s="2352" t="s">
        <v>3946</v>
      </c>
      <c r="B1245" s="2352" t="s">
        <v>3661</v>
      </c>
      <c r="C1245" s="2352" t="s">
        <v>3661</v>
      </c>
      <c r="D1245" s="2352" t="s">
        <v>3947</v>
      </c>
      <c r="E1245" s="355">
        <v>63</v>
      </c>
      <c r="F1245" s="1662">
        <v>50</v>
      </c>
      <c r="G1245" s="903"/>
    </row>
    <row r="1246" spans="1:7" ht="15" customHeight="1" x14ac:dyDescent="0.25">
      <c r="A1246" s="2352" t="s">
        <v>3948</v>
      </c>
      <c r="B1246" s="2352" t="s">
        <v>3661</v>
      </c>
      <c r="C1246" s="2352" t="s">
        <v>3661</v>
      </c>
      <c r="D1246" s="2352" t="s">
        <v>3949</v>
      </c>
      <c r="E1246" s="355">
        <v>630</v>
      </c>
      <c r="F1246" s="1662">
        <v>350</v>
      </c>
      <c r="G1246" s="903"/>
    </row>
    <row r="1247" spans="1:7" ht="15" customHeight="1" x14ac:dyDescent="0.25">
      <c r="A1247" s="2352" t="s">
        <v>3950</v>
      </c>
      <c r="B1247" s="2352" t="s">
        <v>3661</v>
      </c>
      <c r="C1247" s="2352" t="s">
        <v>3661</v>
      </c>
      <c r="D1247" s="2352" t="s">
        <v>3951</v>
      </c>
      <c r="E1247" s="355">
        <v>40</v>
      </c>
      <c r="F1247" s="1662">
        <v>0</v>
      </c>
      <c r="G1247" s="903"/>
    </row>
    <row r="1248" spans="1:7" ht="15" customHeight="1" x14ac:dyDescent="0.25">
      <c r="A1248" s="2352" t="s">
        <v>3948</v>
      </c>
      <c r="B1248" s="2352" t="s">
        <v>3661</v>
      </c>
      <c r="C1248" s="2352" t="s">
        <v>3661</v>
      </c>
      <c r="D1248" s="2352" t="s">
        <v>3952</v>
      </c>
      <c r="E1248" s="355">
        <v>250</v>
      </c>
      <c r="F1248" s="1662">
        <v>120</v>
      </c>
      <c r="G1248" s="903"/>
    </row>
    <row r="1249" spans="1:7" ht="15" customHeight="1" x14ac:dyDescent="0.25">
      <c r="A1249" s="2352" t="s">
        <v>3953</v>
      </c>
      <c r="B1249" s="2352" t="s">
        <v>3661</v>
      </c>
      <c r="C1249" s="2352" t="s">
        <v>3661</v>
      </c>
      <c r="D1249" s="2352" t="s">
        <v>3954</v>
      </c>
      <c r="E1249" s="355">
        <v>160</v>
      </c>
      <c r="F1249" s="1662">
        <v>60</v>
      </c>
      <c r="G1249" s="903"/>
    </row>
    <row r="1250" spans="1:7" ht="15" customHeight="1" x14ac:dyDescent="0.25">
      <c r="A1250" s="2352" t="s">
        <v>3953</v>
      </c>
      <c r="B1250" s="2352" t="s">
        <v>3661</v>
      </c>
      <c r="C1250" s="2352" t="s">
        <v>3661</v>
      </c>
      <c r="D1250" s="2352" t="s">
        <v>3955</v>
      </c>
      <c r="E1250" s="355">
        <v>160</v>
      </c>
      <c r="F1250" s="1662">
        <v>45</v>
      </c>
      <c r="G1250" s="903"/>
    </row>
    <row r="1251" spans="1:7" ht="15" customHeight="1" x14ac:dyDescent="0.25">
      <c r="A1251" s="2352" t="s">
        <v>3956</v>
      </c>
      <c r="B1251" s="2352" t="s">
        <v>3661</v>
      </c>
      <c r="C1251" s="2352" t="s">
        <v>3661</v>
      </c>
      <c r="D1251" s="2352" t="s">
        <v>3957</v>
      </c>
      <c r="E1251" s="355">
        <v>160</v>
      </c>
      <c r="F1251" s="1662">
        <v>90</v>
      </c>
      <c r="G1251" s="903"/>
    </row>
    <row r="1252" spans="1:7" ht="15" customHeight="1" x14ac:dyDescent="0.25">
      <c r="A1252" s="2352" t="s">
        <v>3956</v>
      </c>
      <c r="B1252" s="2352" t="s">
        <v>3661</v>
      </c>
      <c r="C1252" s="2352" t="s">
        <v>3661</v>
      </c>
      <c r="D1252" s="2352" t="s">
        <v>3958</v>
      </c>
      <c r="E1252" s="355">
        <v>160</v>
      </c>
      <c r="F1252" s="1662">
        <v>0</v>
      </c>
      <c r="G1252" s="903"/>
    </row>
    <row r="1253" spans="1:7" ht="15" customHeight="1" x14ac:dyDescent="0.25">
      <c r="A1253" s="2352" t="s">
        <v>3956</v>
      </c>
      <c r="B1253" s="2352" t="s">
        <v>3661</v>
      </c>
      <c r="C1253" s="2352" t="s">
        <v>3661</v>
      </c>
      <c r="D1253" s="2352" t="s">
        <v>3959</v>
      </c>
      <c r="E1253" s="355">
        <v>100</v>
      </c>
      <c r="F1253" s="1662">
        <v>85</v>
      </c>
      <c r="G1253" s="903"/>
    </row>
    <row r="1254" spans="1:7" ht="15" customHeight="1" x14ac:dyDescent="0.25">
      <c r="A1254" s="2352" t="s">
        <v>3956</v>
      </c>
      <c r="B1254" s="2352" t="s">
        <v>3661</v>
      </c>
      <c r="C1254" s="2352" t="s">
        <v>3661</v>
      </c>
      <c r="D1254" s="2352" t="s">
        <v>3960</v>
      </c>
      <c r="E1254" s="355">
        <v>160</v>
      </c>
      <c r="F1254" s="1662">
        <v>10</v>
      </c>
      <c r="G1254" s="903"/>
    </row>
    <row r="1255" spans="1:7" ht="15" customHeight="1" x14ac:dyDescent="0.25">
      <c r="A1255" s="2352" t="s">
        <v>3956</v>
      </c>
      <c r="B1255" s="2352" t="s">
        <v>3661</v>
      </c>
      <c r="C1255" s="2352" t="s">
        <v>3661</v>
      </c>
      <c r="D1255" s="2352" t="s">
        <v>3961</v>
      </c>
      <c r="E1255" s="355">
        <v>160</v>
      </c>
      <c r="F1255" s="1662">
        <v>100</v>
      </c>
      <c r="G1255" s="903"/>
    </row>
    <row r="1256" spans="1:7" ht="15" customHeight="1" x14ac:dyDescent="0.25">
      <c r="A1256" s="2352" t="s">
        <v>3962</v>
      </c>
      <c r="B1256" s="2352" t="s">
        <v>3661</v>
      </c>
      <c r="C1256" s="2352" t="s">
        <v>3661</v>
      </c>
      <c r="D1256" s="2352" t="s">
        <v>3963</v>
      </c>
      <c r="E1256" s="355">
        <v>30</v>
      </c>
      <c r="F1256" s="1662">
        <v>0</v>
      </c>
      <c r="G1256" s="903"/>
    </row>
    <row r="1257" spans="1:7" ht="15" customHeight="1" x14ac:dyDescent="0.25">
      <c r="A1257" s="2352" t="s">
        <v>3964</v>
      </c>
      <c r="B1257" s="2352" t="s">
        <v>3661</v>
      </c>
      <c r="C1257" s="2352" t="s">
        <v>3661</v>
      </c>
      <c r="D1257" s="2352" t="s">
        <v>3965</v>
      </c>
      <c r="E1257" s="355">
        <v>30</v>
      </c>
      <c r="F1257" s="1662">
        <v>0</v>
      </c>
      <c r="G1257" s="903"/>
    </row>
    <row r="1258" spans="1:7" ht="15" customHeight="1" x14ac:dyDescent="0.25">
      <c r="A1258" s="2352" t="s">
        <v>3966</v>
      </c>
      <c r="B1258" s="2352" t="s">
        <v>3661</v>
      </c>
      <c r="C1258" s="2352" t="s">
        <v>3661</v>
      </c>
      <c r="D1258" s="2352" t="s">
        <v>3967</v>
      </c>
      <c r="E1258" s="355">
        <v>20</v>
      </c>
      <c r="F1258" s="1662">
        <v>5</v>
      </c>
      <c r="G1258" s="903"/>
    </row>
    <row r="1259" spans="1:7" ht="15" customHeight="1" x14ac:dyDescent="0.25">
      <c r="A1259" s="2352" t="s">
        <v>3968</v>
      </c>
      <c r="B1259" s="2352" t="s">
        <v>3661</v>
      </c>
      <c r="C1259" s="2352" t="s">
        <v>3661</v>
      </c>
      <c r="D1259" s="2352" t="s">
        <v>3969</v>
      </c>
      <c r="E1259" s="355">
        <v>30</v>
      </c>
      <c r="F1259" s="1662">
        <v>5</v>
      </c>
      <c r="G1259" s="903"/>
    </row>
    <row r="1260" spans="1:7" ht="15" customHeight="1" x14ac:dyDescent="0.25">
      <c r="A1260" s="2352" t="s">
        <v>3970</v>
      </c>
      <c r="B1260" s="2352" t="s">
        <v>3661</v>
      </c>
      <c r="C1260" s="2352" t="s">
        <v>3661</v>
      </c>
      <c r="D1260" s="2352" t="s">
        <v>3971</v>
      </c>
      <c r="E1260" s="355">
        <v>20</v>
      </c>
      <c r="F1260" s="1662">
        <v>0</v>
      </c>
      <c r="G1260" s="903"/>
    </row>
    <row r="1261" spans="1:7" ht="15" customHeight="1" x14ac:dyDescent="0.25">
      <c r="A1261" s="2352" t="s">
        <v>3972</v>
      </c>
      <c r="B1261" s="2352" t="s">
        <v>3661</v>
      </c>
      <c r="C1261" s="2352" t="s">
        <v>3661</v>
      </c>
      <c r="D1261" s="2352" t="s">
        <v>3973</v>
      </c>
      <c r="E1261" s="355">
        <v>25</v>
      </c>
      <c r="F1261" s="1662">
        <v>5</v>
      </c>
      <c r="G1261" s="903"/>
    </row>
    <row r="1262" spans="1:7" ht="15" customHeight="1" x14ac:dyDescent="0.25">
      <c r="A1262" s="2352" t="s">
        <v>3974</v>
      </c>
      <c r="B1262" s="2352" t="s">
        <v>3661</v>
      </c>
      <c r="C1262" s="2352" t="s">
        <v>3661</v>
      </c>
      <c r="D1262" s="2352" t="s">
        <v>3975</v>
      </c>
      <c r="E1262" s="355">
        <v>25</v>
      </c>
      <c r="F1262" s="1662">
        <v>15</v>
      </c>
      <c r="G1262" s="903"/>
    </row>
    <row r="1263" spans="1:7" ht="15" customHeight="1" x14ac:dyDescent="0.25">
      <c r="A1263" s="2352" t="s">
        <v>14168</v>
      </c>
      <c r="B1263" s="2352" t="s">
        <v>3661</v>
      </c>
      <c r="C1263" s="2352" t="s">
        <v>3661</v>
      </c>
      <c r="D1263" s="2352" t="s">
        <v>3976</v>
      </c>
      <c r="E1263" s="355">
        <v>30</v>
      </c>
      <c r="F1263" s="1662">
        <v>0</v>
      </c>
      <c r="G1263" s="903"/>
    </row>
    <row r="1264" spans="1:7" ht="15" customHeight="1" x14ac:dyDescent="0.25">
      <c r="A1264" s="2352" t="s">
        <v>14169</v>
      </c>
      <c r="B1264" s="2352" t="s">
        <v>3661</v>
      </c>
      <c r="C1264" s="2352" t="s">
        <v>3661</v>
      </c>
      <c r="D1264" s="2352" t="s">
        <v>3977</v>
      </c>
      <c r="E1264" s="355">
        <v>160</v>
      </c>
      <c r="F1264" s="1662">
        <v>30</v>
      </c>
      <c r="G1264" s="903"/>
    </row>
    <row r="1265" spans="1:7" ht="15" customHeight="1" x14ac:dyDescent="0.25">
      <c r="A1265" s="2352" t="s">
        <v>3978</v>
      </c>
      <c r="B1265" s="2352" t="s">
        <v>3661</v>
      </c>
      <c r="C1265" s="2352" t="s">
        <v>3661</v>
      </c>
      <c r="D1265" s="2352" t="s">
        <v>3979</v>
      </c>
      <c r="E1265" s="355">
        <v>100</v>
      </c>
      <c r="F1265" s="1662">
        <v>0</v>
      </c>
      <c r="G1265" s="903"/>
    </row>
    <row r="1266" spans="1:7" ht="15" customHeight="1" x14ac:dyDescent="0.25">
      <c r="A1266" s="2352" t="s">
        <v>3980</v>
      </c>
      <c r="B1266" s="2352" t="s">
        <v>3661</v>
      </c>
      <c r="C1266" s="2352" t="s">
        <v>3661</v>
      </c>
      <c r="D1266" s="2352" t="s">
        <v>3981</v>
      </c>
      <c r="E1266" s="355">
        <v>30</v>
      </c>
      <c r="F1266" s="1662">
        <v>0</v>
      </c>
      <c r="G1266" s="903"/>
    </row>
    <row r="1267" spans="1:7" ht="15" customHeight="1" x14ac:dyDescent="0.25">
      <c r="A1267" s="2352" t="s">
        <v>3982</v>
      </c>
      <c r="B1267" s="2352" t="s">
        <v>3661</v>
      </c>
      <c r="C1267" s="2352" t="s">
        <v>3661</v>
      </c>
      <c r="D1267" s="2352" t="s">
        <v>3983</v>
      </c>
      <c r="E1267" s="355">
        <v>30</v>
      </c>
      <c r="F1267" s="1662">
        <v>0</v>
      </c>
      <c r="G1267" s="903"/>
    </row>
    <row r="1268" spans="1:7" ht="15" customHeight="1" x14ac:dyDescent="0.25">
      <c r="A1268" s="2352" t="s">
        <v>3984</v>
      </c>
      <c r="B1268" s="2352" t="s">
        <v>3661</v>
      </c>
      <c r="C1268" s="2352" t="s">
        <v>3661</v>
      </c>
      <c r="D1268" s="2352" t="s">
        <v>3985</v>
      </c>
      <c r="E1268" s="355">
        <v>60</v>
      </c>
      <c r="F1268" s="1662">
        <v>10</v>
      </c>
      <c r="G1268" s="903"/>
    </row>
    <row r="1269" spans="1:7" ht="15" customHeight="1" x14ac:dyDescent="0.25">
      <c r="A1269" s="2352" t="s">
        <v>3986</v>
      </c>
      <c r="B1269" s="2352" t="s">
        <v>3661</v>
      </c>
      <c r="C1269" s="2352" t="s">
        <v>3661</v>
      </c>
      <c r="D1269" s="2352" t="s">
        <v>3987</v>
      </c>
      <c r="E1269" s="355">
        <v>30</v>
      </c>
      <c r="F1269" s="1662">
        <v>0</v>
      </c>
      <c r="G1269" s="903"/>
    </row>
    <row r="1270" spans="1:7" ht="15" customHeight="1" x14ac:dyDescent="0.25">
      <c r="A1270" s="2352" t="s">
        <v>3988</v>
      </c>
      <c r="B1270" s="2352" t="s">
        <v>3661</v>
      </c>
      <c r="C1270" s="2352" t="s">
        <v>3661</v>
      </c>
      <c r="D1270" s="2352" t="s">
        <v>3989</v>
      </c>
      <c r="E1270" s="355" t="s">
        <v>4202</v>
      </c>
      <c r="F1270" s="1662">
        <v>250</v>
      </c>
      <c r="G1270" s="903"/>
    </row>
    <row r="1271" spans="1:7" ht="15" customHeight="1" x14ac:dyDescent="0.25">
      <c r="A1271" s="2352" t="s">
        <v>3988</v>
      </c>
      <c r="B1271" s="2352" t="s">
        <v>3661</v>
      </c>
      <c r="C1271" s="2352" t="s">
        <v>3661</v>
      </c>
      <c r="D1271" s="2352" t="s">
        <v>3990</v>
      </c>
      <c r="E1271" s="355">
        <v>100</v>
      </c>
      <c r="F1271" s="1662">
        <v>0</v>
      </c>
      <c r="G1271" s="903"/>
    </row>
    <row r="1272" spans="1:7" ht="15" customHeight="1" x14ac:dyDescent="0.25">
      <c r="A1272" s="2352" t="s">
        <v>3988</v>
      </c>
      <c r="B1272" s="2352" t="s">
        <v>3661</v>
      </c>
      <c r="C1272" s="2352" t="s">
        <v>3661</v>
      </c>
      <c r="D1272" s="2352" t="s">
        <v>3991</v>
      </c>
      <c r="E1272" s="355">
        <v>250</v>
      </c>
      <c r="F1272" s="1662">
        <v>180</v>
      </c>
      <c r="G1272" s="903"/>
    </row>
    <row r="1273" spans="1:7" ht="15" customHeight="1" x14ac:dyDescent="0.25">
      <c r="A1273" s="2352" t="s">
        <v>3992</v>
      </c>
      <c r="B1273" s="2352" t="s">
        <v>3661</v>
      </c>
      <c r="C1273" s="2352" t="s">
        <v>3661</v>
      </c>
      <c r="D1273" s="2352" t="s">
        <v>3993</v>
      </c>
      <c r="E1273" s="355">
        <v>30</v>
      </c>
      <c r="F1273" s="1662">
        <v>5</v>
      </c>
      <c r="G1273" s="903"/>
    </row>
    <row r="1274" spans="1:7" ht="15" customHeight="1" x14ac:dyDescent="0.25">
      <c r="A1274" s="2352" t="s">
        <v>3994</v>
      </c>
      <c r="B1274" s="2352" t="s">
        <v>3661</v>
      </c>
      <c r="C1274" s="2352" t="s">
        <v>3661</v>
      </c>
      <c r="D1274" s="2352" t="s">
        <v>3995</v>
      </c>
      <c r="E1274" s="355">
        <v>10</v>
      </c>
      <c r="F1274" s="1662">
        <v>2</v>
      </c>
      <c r="G1274" s="903"/>
    </row>
    <row r="1275" spans="1:7" ht="15" customHeight="1" x14ac:dyDescent="0.25">
      <c r="A1275" s="2352" t="s">
        <v>3996</v>
      </c>
      <c r="B1275" s="2352" t="s">
        <v>3661</v>
      </c>
      <c r="C1275" s="2352" t="s">
        <v>3661</v>
      </c>
      <c r="D1275" s="2352" t="s">
        <v>3997</v>
      </c>
      <c r="E1275" s="355">
        <v>40</v>
      </c>
      <c r="F1275" s="1662">
        <v>0</v>
      </c>
      <c r="G1275" s="903"/>
    </row>
    <row r="1276" spans="1:7" ht="15" customHeight="1" x14ac:dyDescent="0.25">
      <c r="A1276" s="2352" t="s">
        <v>3741</v>
      </c>
      <c r="B1276" s="2352" t="s">
        <v>3661</v>
      </c>
      <c r="C1276" s="2352" t="s">
        <v>3661</v>
      </c>
      <c r="D1276" s="2352" t="s">
        <v>3998</v>
      </c>
      <c r="E1276" s="355">
        <v>250</v>
      </c>
      <c r="F1276" s="1662">
        <v>180</v>
      </c>
      <c r="G1276" s="903"/>
    </row>
    <row r="1277" spans="1:7" ht="15" customHeight="1" x14ac:dyDescent="0.25">
      <c r="A1277" s="2352" t="s">
        <v>3741</v>
      </c>
      <c r="B1277" s="2352" t="s">
        <v>3661</v>
      </c>
      <c r="C1277" s="2352" t="s">
        <v>3661</v>
      </c>
      <c r="D1277" s="2352" t="s">
        <v>3999</v>
      </c>
      <c r="E1277" s="355">
        <v>100</v>
      </c>
      <c r="F1277" s="1662">
        <v>20</v>
      </c>
      <c r="G1277" s="903"/>
    </row>
    <row r="1278" spans="1:7" ht="15" customHeight="1" x14ac:dyDescent="0.25">
      <c r="A1278" s="2352" t="s">
        <v>3783</v>
      </c>
      <c r="B1278" s="2352" t="s">
        <v>3661</v>
      </c>
      <c r="C1278" s="2352" t="s">
        <v>3661</v>
      </c>
      <c r="D1278" s="2352" t="s">
        <v>3784</v>
      </c>
      <c r="E1278" s="355">
        <v>10</v>
      </c>
      <c r="F1278" s="1662">
        <v>0</v>
      </c>
      <c r="G1278" s="903"/>
    </row>
    <row r="1279" spans="1:7" ht="15" customHeight="1" x14ac:dyDescent="0.25">
      <c r="A1279" s="2352" t="s">
        <v>3741</v>
      </c>
      <c r="B1279" s="2352" t="s">
        <v>3661</v>
      </c>
      <c r="C1279" s="2352" t="s">
        <v>3661</v>
      </c>
      <c r="D1279" s="2352" t="s">
        <v>4000</v>
      </c>
      <c r="E1279" s="355">
        <v>150</v>
      </c>
      <c r="F1279" s="1662">
        <v>0</v>
      </c>
      <c r="G1279" s="903"/>
    </row>
    <row r="1280" spans="1:7" ht="15" customHeight="1" x14ac:dyDescent="0.25">
      <c r="A1280" s="2352" t="s">
        <v>4001</v>
      </c>
      <c r="B1280" s="2352" t="s">
        <v>3661</v>
      </c>
      <c r="C1280" s="2352" t="s">
        <v>3661</v>
      </c>
      <c r="D1280" s="2352" t="s">
        <v>4002</v>
      </c>
      <c r="E1280" s="355">
        <v>30</v>
      </c>
      <c r="F1280" s="1662">
        <v>0</v>
      </c>
      <c r="G1280" s="903"/>
    </row>
    <row r="1281" spans="1:7" ht="15" customHeight="1" x14ac:dyDescent="0.25">
      <c r="A1281" s="2352" t="s">
        <v>4003</v>
      </c>
      <c r="B1281" s="2352" t="s">
        <v>3661</v>
      </c>
      <c r="C1281" s="2352" t="s">
        <v>3661</v>
      </c>
      <c r="D1281" s="2352" t="s">
        <v>4004</v>
      </c>
      <c r="E1281" s="355">
        <v>100</v>
      </c>
      <c r="F1281" s="1662">
        <v>70</v>
      </c>
      <c r="G1281" s="903"/>
    </row>
    <row r="1282" spans="1:7" ht="15" customHeight="1" x14ac:dyDescent="0.25">
      <c r="A1282" s="2352" t="s">
        <v>4005</v>
      </c>
      <c r="B1282" s="2352" t="s">
        <v>3661</v>
      </c>
      <c r="C1282" s="2352" t="s">
        <v>3661</v>
      </c>
      <c r="D1282" s="2352" t="s">
        <v>4006</v>
      </c>
      <c r="E1282" s="355">
        <v>100</v>
      </c>
      <c r="F1282" s="1662">
        <v>40</v>
      </c>
      <c r="G1282" s="903"/>
    </row>
    <row r="1283" spans="1:7" ht="15" customHeight="1" x14ac:dyDescent="0.25">
      <c r="A1283" s="2352" t="s">
        <v>4007</v>
      </c>
      <c r="B1283" s="2352" t="s">
        <v>3661</v>
      </c>
      <c r="C1283" s="2352" t="s">
        <v>3661</v>
      </c>
      <c r="D1283" s="2352" t="s">
        <v>4008</v>
      </c>
      <c r="E1283" s="355">
        <v>100</v>
      </c>
      <c r="F1283" s="1662">
        <v>20</v>
      </c>
      <c r="G1283" s="903"/>
    </row>
    <row r="1284" spans="1:7" ht="15" customHeight="1" x14ac:dyDescent="0.25">
      <c r="A1284" s="2352" t="s">
        <v>4007</v>
      </c>
      <c r="B1284" s="2352" t="s">
        <v>3661</v>
      </c>
      <c r="C1284" s="2352" t="s">
        <v>3661</v>
      </c>
      <c r="D1284" s="2352" t="s">
        <v>4009</v>
      </c>
      <c r="E1284" s="355">
        <v>100</v>
      </c>
      <c r="F1284" s="1662">
        <v>0</v>
      </c>
      <c r="G1284" s="903"/>
    </row>
    <row r="1285" spans="1:7" ht="15" customHeight="1" x14ac:dyDescent="0.25">
      <c r="A1285" s="2352" t="s">
        <v>4010</v>
      </c>
      <c r="B1285" s="2352" t="s">
        <v>3661</v>
      </c>
      <c r="C1285" s="2352" t="s">
        <v>3661</v>
      </c>
      <c r="D1285" s="2352" t="s">
        <v>4011</v>
      </c>
      <c r="E1285" s="355">
        <v>20</v>
      </c>
      <c r="F1285" s="1662">
        <v>5</v>
      </c>
      <c r="G1285" s="903"/>
    </row>
    <row r="1286" spans="1:7" ht="15" customHeight="1" x14ac:dyDescent="0.25">
      <c r="A1286" s="2352" t="s">
        <v>4012</v>
      </c>
      <c r="B1286" s="2352" t="s">
        <v>3661</v>
      </c>
      <c r="C1286" s="2352" t="s">
        <v>3661</v>
      </c>
      <c r="D1286" s="2352" t="s">
        <v>4013</v>
      </c>
      <c r="E1286" s="355">
        <v>50</v>
      </c>
      <c r="F1286" s="1662">
        <v>0</v>
      </c>
      <c r="G1286" s="903"/>
    </row>
    <row r="1287" spans="1:7" ht="15" customHeight="1" x14ac:dyDescent="0.25">
      <c r="A1287" s="2352" t="s">
        <v>4014</v>
      </c>
      <c r="B1287" s="2352" t="s">
        <v>3661</v>
      </c>
      <c r="C1287" s="2352" t="s">
        <v>3661</v>
      </c>
      <c r="D1287" s="2352" t="s">
        <v>4015</v>
      </c>
      <c r="E1287" s="355">
        <v>63</v>
      </c>
      <c r="F1287" s="1662">
        <v>0</v>
      </c>
      <c r="G1287" s="903"/>
    </row>
    <row r="1288" spans="1:7" ht="15" customHeight="1" x14ac:dyDescent="0.25">
      <c r="A1288" s="2352" t="s">
        <v>4016</v>
      </c>
      <c r="B1288" s="2352" t="s">
        <v>3661</v>
      </c>
      <c r="C1288" s="2352" t="s">
        <v>3661</v>
      </c>
      <c r="D1288" s="2352" t="s">
        <v>4017</v>
      </c>
      <c r="E1288" s="355">
        <v>30</v>
      </c>
      <c r="F1288" s="1662">
        <v>0</v>
      </c>
      <c r="G1288" s="903"/>
    </row>
    <row r="1289" spans="1:7" ht="15" customHeight="1" x14ac:dyDescent="0.25">
      <c r="A1289" s="2352" t="s">
        <v>4018</v>
      </c>
      <c r="B1289" s="2352" t="s">
        <v>3661</v>
      </c>
      <c r="C1289" s="2352" t="s">
        <v>3661</v>
      </c>
      <c r="D1289" s="2352" t="s">
        <v>4019</v>
      </c>
      <c r="E1289" s="355">
        <v>50</v>
      </c>
      <c r="F1289" s="1662">
        <v>0</v>
      </c>
      <c r="G1289" s="903"/>
    </row>
    <row r="1290" spans="1:7" ht="15" customHeight="1" x14ac:dyDescent="0.25">
      <c r="A1290" s="2352" t="s">
        <v>4020</v>
      </c>
      <c r="B1290" s="2352" t="s">
        <v>3661</v>
      </c>
      <c r="C1290" s="2352" t="s">
        <v>3661</v>
      </c>
      <c r="D1290" s="2352" t="s">
        <v>4021</v>
      </c>
      <c r="E1290" s="355">
        <v>250</v>
      </c>
      <c r="F1290" s="1662">
        <v>200</v>
      </c>
      <c r="G1290" s="903"/>
    </row>
    <row r="1291" spans="1:7" ht="15" customHeight="1" x14ac:dyDescent="0.25">
      <c r="A1291" s="2352" t="s">
        <v>4020</v>
      </c>
      <c r="B1291" s="2352" t="s">
        <v>3661</v>
      </c>
      <c r="C1291" s="2352" t="s">
        <v>3661</v>
      </c>
      <c r="D1291" s="2352" t="s">
        <v>4022</v>
      </c>
      <c r="E1291" s="355">
        <v>250</v>
      </c>
      <c r="F1291" s="1662">
        <v>200</v>
      </c>
      <c r="G1291" s="903"/>
    </row>
    <row r="1292" spans="1:7" ht="15" customHeight="1" x14ac:dyDescent="0.25">
      <c r="A1292" s="2352" t="s">
        <v>4020</v>
      </c>
      <c r="B1292" s="2352" t="s">
        <v>3661</v>
      </c>
      <c r="C1292" s="2352" t="s">
        <v>3661</v>
      </c>
      <c r="D1292" s="2352" t="s">
        <v>4023</v>
      </c>
      <c r="E1292" s="355">
        <v>100</v>
      </c>
      <c r="F1292" s="1662">
        <v>0</v>
      </c>
      <c r="G1292" s="903"/>
    </row>
    <row r="1293" spans="1:7" ht="15" customHeight="1" x14ac:dyDescent="0.25">
      <c r="A1293" s="2352" t="s">
        <v>4020</v>
      </c>
      <c r="B1293" s="2352" t="s">
        <v>3661</v>
      </c>
      <c r="C1293" s="2352" t="s">
        <v>3661</v>
      </c>
      <c r="D1293" s="2352" t="s">
        <v>4024</v>
      </c>
      <c r="E1293" s="355">
        <v>250</v>
      </c>
      <c r="F1293" s="1662">
        <v>170</v>
      </c>
      <c r="G1293" s="903"/>
    </row>
    <row r="1294" spans="1:7" ht="15" customHeight="1" x14ac:dyDescent="0.25">
      <c r="A1294" s="2352" t="s">
        <v>4025</v>
      </c>
      <c r="B1294" s="2352" t="s">
        <v>3661</v>
      </c>
      <c r="C1294" s="2352" t="s">
        <v>3661</v>
      </c>
      <c r="D1294" s="2352" t="s">
        <v>4026</v>
      </c>
      <c r="E1294" s="355">
        <v>100</v>
      </c>
      <c r="F1294" s="1662">
        <v>30</v>
      </c>
      <c r="G1294" s="903"/>
    </row>
    <row r="1295" spans="1:7" ht="15" customHeight="1" x14ac:dyDescent="0.25">
      <c r="A1295" s="2352" t="s">
        <v>4027</v>
      </c>
      <c r="B1295" s="2352" t="s">
        <v>3661</v>
      </c>
      <c r="C1295" s="2352" t="s">
        <v>3661</v>
      </c>
      <c r="D1295" s="2352" t="s">
        <v>4028</v>
      </c>
      <c r="E1295" s="355">
        <v>100</v>
      </c>
      <c r="F1295" s="1662">
        <v>10</v>
      </c>
      <c r="G1295" s="903"/>
    </row>
    <row r="1296" spans="1:7" ht="15" customHeight="1" x14ac:dyDescent="0.25">
      <c r="A1296" s="2352" t="s">
        <v>4029</v>
      </c>
      <c r="B1296" s="2352" t="s">
        <v>3661</v>
      </c>
      <c r="C1296" s="2352" t="s">
        <v>3661</v>
      </c>
      <c r="D1296" s="2352" t="s">
        <v>4030</v>
      </c>
      <c r="E1296" s="355">
        <v>30</v>
      </c>
      <c r="F1296" s="1662">
        <v>5</v>
      </c>
      <c r="G1296" s="903"/>
    </row>
    <row r="1297" spans="1:7" ht="15" customHeight="1" x14ac:dyDescent="0.25">
      <c r="A1297" s="2352" t="s">
        <v>4031</v>
      </c>
      <c r="B1297" s="2352" t="s">
        <v>3661</v>
      </c>
      <c r="C1297" s="2352" t="s">
        <v>3661</v>
      </c>
      <c r="D1297" s="2352" t="s">
        <v>4032</v>
      </c>
      <c r="E1297" s="355">
        <v>100</v>
      </c>
      <c r="F1297" s="1662">
        <v>40</v>
      </c>
      <c r="G1297" s="903"/>
    </row>
    <row r="1298" spans="1:7" ht="15" customHeight="1" x14ac:dyDescent="0.25">
      <c r="A1298" s="2352" t="s">
        <v>4033</v>
      </c>
      <c r="B1298" s="2352" t="s">
        <v>3661</v>
      </c>
      <c r="C1298" s="2352" t="s">
        <v>3661</v>
      </c>
      <c r="D1298" s="2352" t="s">
        <v>4034</v>
      </c>
      <c r="E1298" s="355">
        <v>60</v>
      </c>
      <c r="F1298" s="1662">
        <v>0</v>
      </c>
      <c r="G1298" s="903"/>
    </row>
    <row r="1299" spans="1:7" ht="15" customHeight="1" x14ac:dyDescent="0.25">
      <c r="A1299" s="2352" t="s">
        <v>4035</v>
      </c>
      <c r="B1299" s="2352" t="s">
        <v>3661</v>
      </c>
      <c r="C1299" s="2352" t="s">
        <v>3661</v>
      </c>
      <c r="D1299" s="2352" t="s">
        <v>4036</v>
      </c>
      <c r="E1299" s="355">
        <v>30</v>
      </c>
      <c r="F1299" s="1662">
        <v>0</v>
      </c>
      <c r="G1299" s="903"/>
    </row>
    <row r="1300" spans="1:7" ht="15" customHeight="1" x14ac:dyDescent="0.25">
      <c r="A1300" s="2352" t="s">
        <v>4037</v>
      </c>
      <c r="B1300" s="2352" t="s">
        <v>3661</v>
      </c>
      <c r="C1300" s="2352" t="s">
        <v>3661</v>
      </c>
      <c r="D1300" s="2352" t="s">
        <v>4038</v>
      </c>
      <c r="E1300" s="355">
        <v>400</v>
      </c>
      <c r="F1300" s="1662">
        <v>200</v>
      </c>
      <c r="G1300" s="903"/>
    </row>
    <row r="1301" spans="1:7" ht="15" customHeight="1" x14ac:dyDescent="0.25">
      <c r="A1301" s="2352" t="s">
        <v>4039</v>
      </c>
      <c r="B1301" s="2352" t="s">
        <v>3661</v>
      </c>
      <c r="C1301" s="2352" t="s">
        <v>3661</v>
      </c>
      <c r="D1301" s="2352" t="s">
        <v>4040</v>
      </c>
      <c r="E1301" s="355">
        <v>40</v>
      </c>
      <c r="F1301" s="1662">
        <v>10</v>
      </c>
      <c r="G1301" s="903"/>
    </row>
    <row r="1302" spans="1:7" ht="15" customHeight="1" x14ac:dyDescent="0.25">
      <c r="A1302" s="2352" t="s">
        <v>4041</v>
      </c>
      <c r="B1302" s="2352" t="s">
        <v>3661</v>
      </c>
      <c r="C1302" s="2352" t="s">
        <v>3661</v>
      </c>
      <c r="D1302" s="2352" t="s">
        <v>4042</v>
      </c>
      <c r="E1302" s="355">
        <v>60</v>
      </c>
      <c r="F1302" s="1662">
        <v>10</v>
      </c>
      <c r="G1302" s="903"/>
    </row>
    <row r="1303" spans="1:7" ht="15" customHeight="1" x14ac:dyDescent="0.25">
      <c r="A1303" s="2352" t="s">
        <v>4043</v>
      </c>
      <c r="B1303" s="2352" t="s">
        <v>3661</v>
      </c>
      <c r="C1303" s="2352" t="s">
        <v>3661</v>
      </c>
      <c r="D1303" s="2352" t="s">
        <v>4044</v>
      </c>
      <c r="E1303" s="355">
        <v>100</v>
      </c>
      <c r="F1303" s="1662">
        <v>50</v>
      </c>
      <c r="G1303" s="903"/>
    </row>
    <row r="1304" spans="1:7" ht="15" customHeight="1" x14ac:dyDescent="0.25">
      <c r="A1304" s="2352" t="s">
        <v>4045</v>
      </c>
      <c r="B1304" s="2352" t="s">
        <v>3661</v>
      </c>
      <c r="C1304" s="2352" t="s">
        <v>3661</v>
      </c>
      <c r="D1304" s="2352" t="s">
        <v>4046</v>
      </c>
      <c r="E1304" s="355">
        <v>180</v>
      </c>
      <c r="F1304" s="1662">
        <v>0</v>
      </c>
      <c r="G1304" s="903"/>
    </row>
    <row r="1305" spans="1:7" ht="15" customHeight="1" x14ac:dyDescent="0.25">
      <c r="A1305" s="2352" t="s">
        <v>4045</v>
      </c>
      <c r="B1305" s="2352" t="s">
        <v>3661</v>
      </c>
      <c r="C1305" s="2352" t="s">
        <v>3661</v>
      </c>
      <c r="D1305" s="2352" t="s">
        <v>4047</v>
      </c>
      <c r="E1305" s="355">
        <v>100</v>
      </c>
      <c r="F1305" s="1662">
        <v>20</v>
      </c>
      <c r="G1305" s="903"/>
    </row>
    <row r="1306" spans="1:7" ht="15" customHeight="1" x14ac:dyDescent="0.25">
      <c r="A1306" s="2352" t="s">
        <v>4045</v>
      </c>
      <c r="B1306" s="2352" t="s">
        <v>3661</v>
      </c>
      <c r="C1306" s="2352" t="s">
        <v>3661</v>
      </c>
      <c r="D1306" s="2352" t="s">
        <v>4048</v>
      </c>
      <c r="E1306" s="355">
        <v>160</v>
      </c>
      <c r="F1306" s="1662">
        <v>60</v>
      </c>
      <c r="G1306" s="903"/>
    </row>
    <row r="1307" spans="1:7" ht="15" customHeight="1" x14ac:dyDescent="0.25">
      <c r="A1307" s="2352" t="s">
        <v>4045</v>
      </c>
      <c r="B1307" s="2352" t="s">
        <v>3661</v>
      </c>
      <c r="C1307" s="2352" t="s">
        <v>3661</v>
      </c>
      <c r="D1307" s="2352" t="s">
        <v>3808</v>
      </c>
      <c r="E1307" s="355">
        <v>250</v>
      </c>
      <c r="F1307" s="1662">
        <v>200</v>
      </c>
      <c r="G1307" s="903"/>
    </row>
    <row r="1308" spans="1:7" ht="15" customHeight="1" x14ac:dyDescent="0.25">
      <c r="A1308" s="2352" t="s">
        <v>4049</v>
      </c>
      <c r="B1308" s="2352" t="s">
        <v>3661</v>
      </c>
      <c r="C1308" s="2352" t="s">
        <v>3661</v>
      </c>
      <c r="D1308" s="2352" t="s">
        <v>4050</v>
      </c>
      <c r="E1308" s="355">
        <v>20</v>
      </c>
      <c r="F1308" s="1662">
        <v>0</v>
      </c>
      <c r="G1308" s="903"/>
    </row>
    <row r="1309" spans="1:7" ht="15" customHeight="1" x14ac:dyDescent="0.25">
      <c r="A1309" s="2352" t="s">
        <v>4051</v>
      </c>
      <c r="B1309" s="2352" t="s">
        <v>3661</v>
      </c>
      <c r="C1309" s="2352" t="s">
        <v>3661</v>
      </c>
      <c r="D1309" s="2352" t="s">
        <v>4052</v>
      </c>
      <c r="E1309" s="355">
        <v>20</v>
      </c>
      <c r="F1309" s="1662">
        <v>0</v>
      </c>
      <c r="G1309" s="903"/>
    </row>
    <row r="1310" spans="1:7" ht="15" customHeight="1" x14ac:dyDescent="0.25">
      <c r="A1310" s="2352" t="s">
        <v>4053</v>
      </c>
      <c r="B1310" s="2352" t="s">
        <v>3661</v>
      </c>
      <c r="C1310" s="2352" t="s">
        <v>3661</v>
      </c>
      <c r="D1310" s="2352" t="s">
        <v>4054</v>
      </c>
      <c r="E1310" s="355">
        <v>30</v>
      </c>
      <c r="F1310" s="1662">
        <v>0</v>
      </c>
      <c r="G1310" s="903"/>
    </row>
    <row r="1311" spans="1:7" ht="15" customHeight="1" x14ac:dyDescent="0.25">
      <c r="A1311" s="2352" t="s">
        <v>4055</v>
      </c>
      <c r="B1311" s="2352" t="s">
        <v>3661</v>
      </c>
      <c r="C1311" s="2352" t="s">
        <v>3661</v>
      </c>
      <c r="D1311" s="2352" t="s">
        <v>4056</v>
      </c>
      <c r="E1311" s="355">
        <v>30</v>
      </c>
      <c r="F1311" s="1662">
        <v>20</v>
      </c>
      <c r="G1311" s="903"/>
    </row>
    <row r="1312" spans="1:7" ht="15" customHeight="1" x14ac:dyDescent="0.25">
      <c r="A1312" s="2352" t="s">
        <v>4057</v>
      </c>
      <c r="B1312" s="2352" t="s">
        <v>3661</v>
      </c>
      <c r="C1312" s="2352" t="s">
        <v>3661</v>
      </c>
      <c r="D1312" s="2352" t="s">
        <v>4058</v>
      </c>
      <c r="E1312" s="355">
        <v>30</v>
      </c>
      <c r="F1312" s="1662">
        <v>5</v>
      </c>
      <c r="G1312" s="903"/>
    </row>
    <row r="1313" spans="1:7" ht="15" customHeight="1" x14ac:dyDescent="0.25">
      <c r="A1313" s="2352" t="s">
        <v>4059</v>
      </c>
      <c r="B1313" s="2352" t="s">
        <v>3661</v>
      </c>
      <c r="C1313" s="2352" t="s">
        <v>3661</v>
      </c>
      <c r="D1313" s="2352" t="s">
        <v>4060</v>
      </c>
      <c r="E1313" s="355">
        <v>60</v>
      </c>
      <c r="F1313" s="1662">
        <v>20</v>
      </c>
      <c r="G1313" s="903"/>
    </row>
    <row r="1314" spans="1:7" ht="15" customHeight="1" x14ac:dyDescent="0.25">
      <c r="A1314" s="2352" t="s">
        <v>4061</v>
      </c>
      <c r="B1314" s="2352" t="s">
        <v>3661</v>
      </c>
      <c r="C1314" s="2352" t="s">
        <v>3661</v>
      </c>
      <c r="D1314" s="2352" t="s">
        <v>4062</v>
      </c>
      <c r="E1314" s="355">
        <v>100</v>
      </c>
      <c r="F1314" s="1662">
        <v>75</v>
      </c>
      <c r="G1314" s="903"/>
    </row>
    <row r="1315" spans="1:7" ht="15" customHeight="1" x14ac:dyDescent="0.25">
      <c r="A1315" s="2352" t="s">
        <v>4063</v>
      </c>
      <c r="B1315" s="2352" t="s">
        <v>3661</v>
      </c>
      <c r="C1315" s="2352" t="s">
        <v>3661</v>
      </c>
      <c r="D1315" s="2352" t="s">
        <v>4064</v>
      </c>
      <c r="E1315" s="355">
        <v>50</v>
      </c>
      <c r="F1315" s="1662">
        <v>0</v>
      </c>
      <c r="G1315" s="903"/>
    </row>
    <row r="1316" spans="1:7" ht="15" customHeight="1" x14ac:dyDescent="0.25">
      <c r="A1316" s="2352" t="s">
        <v>4065</v>
      </c>
      <c r="B1316" s="2352" t="s">
        <v>3661</v>
      </c>
      <c r="C1316" s="2352" t="s">
        <v>3661</v>
      </c>
      <c r="D1316" s="2352" t="s">
        <v>4066</v>
      </c>
      <c r="E1316" s="355">
        <v>63</v>
      </c>
      <c r="F1316" s="1662">
        <v>0</v>
      </c>
      <c r="G1316" s="903"/>
    </row>
    <row r="1317" spans="1:7" ht="15" customHeight="1" x14ac:dyDescent="0.25">
      <c r="A1317" s="2352" t="s">
        <v>4061</v>
      </c>
      <c r="B1317" s="2352" t="s">
        <v>3661</v>
      </c>
      <c r="C1317" s="2352" t="s">
        <v>3661</v>
      </c>
      <c r="D1317" s="2352" t="s">
        <v>4067</v>
      </c>
      <c r="E1317" s="355">
        <v>100</v>
      </c>
      <c r="F1317" s="1662">
        <v>0</v>
      </c>
      <c r="G1317" s="903"/>
    </row>
    <row r="1318" spans="1:7" ht="15" customHeight="1" x14ac:dyDescent="0.25">
      <c r="A1318" s="2352" t="s">
        <v>4061</v>
      </c>
      <c r="B1318" s="2352" t="s">
        <v>3661</v>
      </c>
      <c r="C1318" s="2352" t="s">
        <v>3661</v>
      </c>
      <c r="D1318" s="2352" t="s">
        <v>4068</v>
      </c>
      <c r="E1318" s="355">
        <v>63</v>
      </c>
      <c r="F1318" s="1662">
        <v>45</v>
      </c>
      <c r="G1318" s="903"/>
    </row>
    <row r="1319" spans="1:7" ht="15" customHeight="1" x14ac:dyDescent="0.25">
      <c r="A1319" s="2352" t="s">
        <v>4061</v>
      </c>
      <c r="B1319" s="2352" t="s">
        <v>3661</v>
      </c>
      <c r="C1319" s="2352" t="s">
        <v>3661</v>
      </c>
      <c r="D1319" s="2352" t="s">
        <v>4069</v>
      </c>
      <c r="E1319" s="355">
        <v>400</v>
      </c>
      <c r="F1319" s="1662">
        <v>20</v>
      </c>
      <c r="G1319" s="903"/>
    </row>
    <row r="1320" spans="1:7" ht="15" customHeight="1" x14ac:dyDescent="0.25">
      <c r="A1320" s="2352" t="s">
        <v>4061</v>
      </c>
      <c r="B1320" s="2352" t="s">
        <v>3661</v>
      </c>
      <c r="C1320" s="2352" t="s">
        <v>3661</v>
      </c>
      <c r="D1320" s="2352" t="s">
        <v>3903</v>
      </c>
      <c r="E1320" s="355">
        <v>160</v>
      </c>
      <c r="F1320" s="1662">
        <v>100</v>
      </c>
      <c r="G1320" s="903"/>
    </row>
    <row r="1321" spans="1:7" ht="15" customHeight="1" x14ac:dyDescent="0.25">
      <c r="A1321" s="2352" t="s">
        <v>4061</v>
      </c>
      <c r="B1321" s="2352" t="s">
        <v>3661</v>
      </c>
      <c r="C1321" s="2352" t="s">
        <v>3661</v>
      </c>
      <c r="D1321" s="2352" t="s">
        <v>4070</v>
      </c>
      <c r="E1321" s="355">
        <v>63</v>
      </c>
      <c r="F1321" s="1662">
        <v>0</v>
      </c>
      <c r="G1321" s="903"/>
    </row>
    <row r="1322" spans="1:7" ht="15" customHeight="1" x14ac:dyDescent="0.25">
      <c r="A1322" s="2352" t="s">
        <v>4061</v>
      </c>
      <c r="B1322" s="2352" t="s">
        <v>3661</v>
      </c>
      <c r="C1322" s="2352" t="s">
        <v>3661</v>
      </c>
      <c r="D1322" s="2352" t="s">
        <v>3751</v>
      </c>
      <c r="E1322" s="355">
        <v>400</v>
      </c>
      <c r="F1322" s="1662">
        <v>30</v>
      </c>
      <c r="G1322" s="903"/>
    </row>
    <row r="1323" spans="1:7" ht="15" customHeight="1" x14ac:dyDescent="0.25">
      <c r="A1323" s="2352" t="s">
        <v>4061</v>
      </c>
      <c r="B1323" s="2352" t="s">
        <v>3661</v>
      </c>
      <c r="C1323" s="2352" t="s">
        <v>3661</v>
      </c>
      <c r="D1323" s="2352" t="s">
        <v>3808</v>
      </c>
      <c r="E1323" s="355">
        <v>400</v>
      </c>
      <c r="F1323" s="1662">
        <v>0</v>
      </c>
      <c r="G1323" s="903"/>
    </row>
    <row r="1324" spans="1:7" ht="15" customHeight="1" x14ac:dyDescent="0.25">
      <c r="A1324" s="2352" t="s">
        <v>3688</v>
      </c>
      <c r="B1324" s="2352" t="s">
        <v>3661</v>
      </c>
      <c r="C1324" s="2352" t="s">
        <v>3661</v>
      </c>
      <c r="D1324" s="2352" t="s">
        <v>3689</v>
      </c>
      <c r="E1324" s="355">
        <v>100</v>
      </c>
      <c r="F1324" s="1662">
        <v>0</v>
      </c>
      <c r="G1324" s="903"/>
    </row>
    <row r="1325" spans="1:7" ht="15" customHeight="1" x14ac:dyDescent="0.25">
      <c r="A1325" s="2352" t="s">
        <v>4071</v>
      </c>
      <c r="B1325" s="2352" t="s">
        <v>3661</v>
      </c>
      <c r="C1325" s="2352" t="s">
        <v>3661</v>
      </c>
      <c r="D1325" s="2352" t="s">
        <v>4072</v>
      </c>
      <c r="E1325" s="355">
        <v>100</v>
      </c>
      <c r="F1325" s="1662">
        <v>70</v>
      </c>
      <c r="G1325" s="903"/>
    </row>
    <row r="1326" spans="1:7" ht="15" customHeight="1" x14ac:dyDescent="0.25">
      <c r="A1326" s="2352" t="s">
        <v>4073</v>
      </c>
      <c r="B1326" s="2352" t="s">
        <v>3661</v>
      </c>
      <c r="C1326" s="2352" t="s">
        <v>3661</v>
      </c>
      <c r="D1326" s="2352" t="s">
        <v>4074</v>
      </c>
      <c r="E1326" s="355">
        <v>30</v>
      </c>
      <c r="F1326" s="1662">
        <v>0</v>
      </c>
      <c r="G1326" s="903"/>
    </row>
    <row r="1327" spans="1:7" ht="15" customHeight="1" x14ac:dyDescent="0.25">
      <c r="A1327" s="2352" t="s">
        <v>4075</v>
      </c>
      <c r="B1327" s="2352" t="s">
        <v>3661</v>
      </c>
      <c r="C1327" s="2352" t="s">
        <v>3661</v>
      </c>
      <c r="D1327" s="2352" t="s">
        <v>4076</v>
      </c>
      <c r="E1327" s="355">
        <v>30</v>
      </c>
      <c r="F1327" s="1662">
        <v>0</v>
      </c>
      <c r="G1327" s="903"/>
    </row>
    <row r="1328" spans="1:7" ht="15" customHeight="1" x14ac:dyDescent="0.25">
      <c r="A1328" s="2352" t="s">
        <v>14170</v>
      </c>
      <c r="B1328" s="2352" t="s">
        <v>3661</v>
      </c>
      <c r="C1328" s="2352" t="s">
        <v>3661</v>
      </c>
      <c r="D1328" s="2352" t="s">
        <v>4077</v>
      </c>
      <c r="E1328" s="355">
        <v>100</v>
      </c>
      <c r="F1328" s="1662">
        <v>50</v>
      </c>
      <c r="G1328" s="903"/>
    </row>
    <row r="1329" spans="1:7" ht="15" customHeight="1" x14ac:dyDescent="0.25">
      <c r="A1329" s="2352" t="s">
        <v>4078</v>
      </c>
      <c r="B1329" s="2352" t="s">
        <v>3661</v>
      </c>
      <c r="C1329" s="2352" t="s">
        <v>3661</v>
      </c>
      <c r="D1329" s="2352" t="s">
        <v>4079</v>
      </c>
      <c r="E1329" s="355">
        <v>250</v>
      </c>
      <c r="F1329" s="1662">
        <v>0</v>
      </c>
      <c r="G1329" s="903"/>
    </row>
    <row r="1330" spans="1:7" ht="15" customHeight="1" x14ac:dyDescent="0.25">
      <c r="A1330" s="2352" t="s">
        <v>4080</v>
      </c>
      <c r="B1330" s="2352" t="s">
        <v>3661</v>
      </c>
      <c r="C1330" s="2352" t="s">
        <v>3661</v>
      </c>
      <c r="D1330" s="2352" t="s">
        <v>4081</v>
      </c>
      <c r="E1330" s="355" t="s">
        <v>4082</v>
      </c>
      <c r="F1330" s="1662">
        <v>180</v>
      </c>
      <c r="G1330" s="903"/>
    </row>
    <row r="1331" spans="1:7" ht="15" customHeight="1" x14ac:dyDescent="0.25">
      <c r="A1331" s="2352" t="s">
        <v>4080</v>
      </c>
      <c r="B1331" s="2352" t="s">
        <v>3661</v>
      </c>
      <c r="C1331" s="2352" t="s">
        <v>3661</v>
      </c>
      <c r="D1331" s="2352" t="s">
        <v>4083</v>
      </c>
      <c r="E1331" s="355" t="s">
        <v>4199</v>
      </c>
      <c r="F1331" s="1662">
        <v>400</v>
      </c>
      <c r="G1331" s="903"/>
    </row>
    <row r="1332" spans="1:7" ht="15" customHeight="1" x14ac:dyDescent="0.25">
      <c r="A1332" s="2352" t="s">
        <v>4080</v>
      </c>
      <c r="B1332" s="2352" t="s">
        <v>3661</v>
      </c>
      <c r="C1332" s="2352" t="s">
        <v>3661</v>
      </c>
      <c r="D1332" s="2352" t="s">
        <v>4084</v>
      </c>
      <c r="E1332" s="355">
        <v>160</v>
      </c>
      <c r="F1332" s="1662">
        <v>60</v>
      </c>
      <c r="G1332" s="903"/>
    </row>
    <row r="1333" spans="1:7" ht="15" customHeight="1" x14ac:dyDescent="0.25">
      <c r="A1333" s="2352" t="s">
        <v>4085</v>
      </c>
      <c r="B1333" s="2352" t="s">
        <v>3661</v>
      </c>
      <c r="C1333" s="2352" t="s">
        <v>3661</v>
      </c>
      <c r="D1333" s="2352" t="s">
        <v>4086</v>
      </c>
      <c r="E1333" s="355">
        <v>160</v>
      </c>
      <c r="F1333" s="1662">
        <v>0</v>
      </c>
      <c r="G1333" s="903"/>
    </row>
    <row r="1334" spans="1:7" ht="15" customHeight="1" x14ac:dyDescent="0.25">
      <c r="A1334" s="2352" t="s">
        <v>4087</v>
      </c>
      <c r="B1334" s="2352" t="s">
        <v>3661</v>
      </c>
      <c r="C1334" s="2352" t="s">
        <v>3661</v>
      </c>
      <c r="D1334" s="2352" t="s">
        <v>4088</v>
      </c>
      <c r="E1334" s="355">
        <v>250</v>
      </c>
      <c r="F1334" s="1662">
        <v>50</v>
      </c>
      <c r="G1334" s="903"/>
    </row>
    <row r="1335" spans="1:7" ht="15" customHeight="1" x14ac:dyDescent="0.25">
      <c r="A1335" s="2352" t="s">
        <v>4089</v>
      </c>
      <c r="B1335" s="2352" t="s">
        <v>3661</v>
      </c>
      <c r="C1335" s="2352" t="s">
        <v>3661</v>
      </c>
      <c r="D1335" s="2352" t="s">
        <v>4090</v>
      </c>
      <c r="E1335" s="355">
        <v>40</v>
      </c>
      <c r="F1335" s="1662">
        <v>20</v>
      </c>
      <c r="G1335" s="903"/>
    </row>
    <row r="1336" spans="1:7" ht="15" customHeight="1" x14ac:dyDescent="0.25">
      <c r="A1336" s="2352" t="s">
        <v>4089</v>
      </c>
      <c r="B1336" s="2352" t="s">
        <v>3661</v>
      </c>
      <c r="C1336" s="2352" t="s">
        <v>3661</v>
      </c>
      <c r="D1336" s="2352" t="s">
        <v>3751</v>
      </c>
      <c r="E1336" s="355" t="s">
        <v>4203</v>
      </c>
      <c r="F1336" s="1662">
        <v>400</v>
      </c>
      <c r="G1336" s="903"/>
    </row>
    <row r="1337" spans="1:7" ht="15" customHeight="1" x14ac:dyDescent="0.25">
      <c r="A1337" s="2352" t="s">
        <v>4089</v>
      </c>
      <c r="B1337" s="2352" t="s">
        <v>3661</v>
      </c>
      <c r="C1337" s="2352" t="s">
        <v>3661</v>
      </c>
      <c r="D1337" s="2352" t="s">
        <v>4091</v>
      </c>
      <c r="E1337" s="355">
        <v>315</v>
      </c>
      <c r="F1337" s="1662">
        <v>160</v>
      </c>
      <c r="G1337" s="903"/>
    </row>
    <row r="1338" spans="1:7" ht="15" customHeight="1" x14ac:dyDescent="0.25">
      <c r="A1338" s="2352" t="s">
        <v>4089</v>
      </c>
      <c r="B1338" s="2352" t="s">
        <v>3661</v>
      </c>
      <c r="C1338" s="2352" t="s">
        <v>3661</v>
      </c>
      <c r="D1338" s="2352" t="s">
        <v>4092</v>
      </c>
      <c r="E1338" s="355" t="s">
        <v>4203</v>
      </c>
      <c r="F1338" s="1662">
        <v>400</v>
      </c>
      <c r="G1338" s="903"/>
    </row>
    <row r="1339" spans="1:7" ht="15" customHeight="1" x14ac:dyDescent="0.25">
      <c r="A1339" s="2352" t="s">
        <v>4089</v>
      </c>
      <c r="B1339" s="2352" t="s">
        <v>3661</v>
      </c>
      <c r="C1339" s="2352" t="s">
        <v>3661</v>
      </c>
      <c r="D1339" s="2352" t="s">
        <v>4093</v>
      </c>
      <c r="E1339" s="355">
        <v>60</v>
      </c>
      <c r="F1339" s="1662">
        <v>30</v>
      </c>
      <c r="G1339" s="903"/>
    </row>
    <row r="1340" spans="1:7" ht="15" customHeight="1" x14ac:dyDescent="0.25">
      <c r="A1340" s="2352" t="s">
        <v>4089</v>
      </c>
      <c r="B1340" s="2352" t="s">
        <v>3661</v>
      </c>
      <c r="C1340" s="2352" t="s">
        <v>3661</v>
      </c>
      <c r="D1340" s="2352" t="s">
        <v>4094</v>
      </c>
      <c r="E1340" s="355">
        <v>250</v>
      </c>
      <c r="F1340" s="1662">
        <v>190</v>
      </c>
      <c r="G1340" s="903"/>
    </row>
    <row r="1341" spans="1:7" ht="15" customHeight="1" x14ac:dyDescent="0.25">
      <c r="A1341" s="2352" t="s">
        <v>4089</v>
      </c>
      <c r="B1341" s="2352" t="s">
        <v>3661</v>
      </c>
      <c r="C1341" s="2352" t="s">
        <v>3661</v>
      </c>
      <c r="D1341" s="2352" t="s">
        <v>4095</v>
      </c>
      <c r="E1341" s="355">
        <v>63</v>
      </c>
      <c r="F1341" s="1662">
        <v>30</v>
      </c>
      <c r="G1341" s="903"/>
    </row>
    <row r="1342" spans="1:7" ht="15" customHeight="1" x14ac:dyDescent="0.25">
      <c r="A1342" s="2352" t="s">
        <v>4089</v>
      </c>
      <c r="B1342" s="2352" t="s">
        <v>3661</v>
      </c>
      <c r="C1342" s="2352" t="s">
        <v>3661</v>
      </c>
      <c r="D1342" s="2352" t="s">
        <v>4096</v>
      </c>
      <c r="E1342" s="355">
        <v>250</v>
      </c>
      <c r="F1342" s="1662">
        <v>200</v>
      </c>
      <c r="G1342" s="903"/>
    </row>
    <row r="1343" spans="1:7" ht="15" customHeight="1" x14ac:dyDescent="0.25">
      <c r="A1343" s="2352" t="s">
        <v>4089</v>
      </c>
      <c r="B1343" s="2352" t="s">
        <v>3661</v>
      </c>
      <c r="C1343" s="2352" t="s">
        <v>3661</v>
      </c>
      <c r="D1343" s="2352" t="s">
        <v>4097</v>
      </c>
      <c r="E1343" s="355">
        <v>160</v>
      </c>
      <c r="F1343" s="1662">
        <v>100</v>
      </c>
      <c r="G1343" s="903"/>
    </row>
    <row r="1344" spans="1:7" ht="15" customHeight="1" x14ac:dyDescent="0.25">
      <c r="A1344" s="2352" t="s">
        <v>4089</v>
      </c>
      <c r="B1344" s="2352" t="s">
        <v>3661</v>
      </c>
      <c r="C1344" s="2352" t="s">
        <v>3661</v>
      </c>
      <c r="D1344" s="2352" t="s">
        <v>3749</v>
      </c>
      <c r="E1344" s="355">
        <v>40</v>
      </c>
      <c r="F1344" s="1662">
        <v>0</v>
      </c>
      <c r="G1344" s="903"/>
    </row>
    <row r="1345" spans="1:7" ht="15" customHeight="1" x14ac:dyDescent="0.25">
      <c r="A1345" s="2352" t="s">
        <v>4089</v>
      </c>
      <c r="B1345" s="2352" t="s">
        <v>3661</v>
      </c>
      <c r="C1345" s="2352" t="s">
        <v>3661</v>
      </c>
      <c r="D1345" s="2352" t="s">
        <v>4098</v>
      </c>
      <c r="E1345" s="355">
        <v>100</v>
      </c>
      <c r="F1345" s="1662">
        <v>50</v>
      </c>
      <c r="G1345" s="903"/>
    </row>
    <row r="1346" spans="1:7" ht="15" customHeight="1" x14ac:dyDescent="0.25">
      <c r="A1346" s="2352" t="s">
        <v>4089</v>
      </c>
      <c r="B1346" s="2352" t="s">
        <v>3661</v>
      </c>
      <c r="C1346" s="2352" t="s">
        <v>3661</v>
      </c>
      <c r="D1346" s="2352" t="s">
        <v>4099</v>
      </c>
      <c r="E1346" s="355">
        <v>100</v>
      </c>
      <c r="F1346" s="1662">
        <v>60</v>
      </c>
      <c r="G1346" s="903"/>
    </row>
    <row r="1347" spans="1:7" ht="15" customHeight="1" x14ac:dyDescent="0.25">
      <c r="A1347" s="2352" t="s">
        <v>4100</v>
      </c>
      <c r="B1347" s="2352" t="s">
        <v>3661</v>
      </c>
      <c r="C1347" s="2352" t="s">
        <v>3661</v>
      </c>
      <c r="D1347" s="2352" t="s">
        <v>4101</v>
      </c>
      <c r="E1347" s="355">
        <v>63</v>
      </c>
      <c r="F1347" s="1662">
        <v>30</v>
      </c>
      <c r="G1347" s="903"/>
    </row>
    <row r="1348" spans="1:7" ht="15" customHeight="1" x14ac:dyDescent="0.25">
      <c r="A1348" s="2352" t="s">
        <v>4102</v>
      </c>
      <c r="B1348" s="2352" t="s">
        <v>3661</v>
      </c>
      <c r="C1348" s="2352" t="s">
        <v>3661</v>
      </c>
      <c r="D1348" s="2352" t="s">
        <v>4103</v>
      </c>
      <c r="E1348" s="355">
        <v>40</v>
      </c>
      <c r="F1348" s="1662">
        <v>0</v>
      </c>
      <c r="G1348" s="903"/>
    </row>
    <row r="1349" spans="1:7" ht="15" customHeight="1" x14ac:dyDescent="0.25">
      <c r="A1349" s="2352" t="s">
        <v>4104</v>
      </c>
      <c r="B1349" s="2352" t="s">
        <v>3661</v>
      </c>
      <c r="C1349" s="2352" t="s">
        <v>3661</v>
      </c>
      <c r="D1349" s="2352" t="s">
        <v>4105</v>
      </c>
      <c r="E1349" s="355">
        <v>100</v>
      </c>
      <c r="F1349" s="1662">
        <v>60</v>
      </c>
      <c r="G1349" s="903"/>
    </row>
    <row r="1350" spans="1:7" ht="15" customHeight="1" x14ac:dyDescent="0.25">
      <c r="A1350" s="2352" t="s">
        <v>4106</v>
      </c>
      <c r="B1350" s="2352" t="s">
        <v>3661</v>
      </c>
      <c r="C1350" s="2352" t="s">
        <v>3661</v>
      </c>
      <c r="D1350" s="2352" t="s">
        <v>4107</v>
      </c>
      <c r="E1350" s="355">
        <v>30</v>
      </c>
      <c r="F1350" s="1662">
        <v>15</v>
      </c>
      <c r="G1350" s="903"/>
    </row>
    <row r="1351" spans="1:7" ht="15" customHeight="1" x14ac:dyDescent="0.25">
      <c r="A1351" s="2352" t="s">
        <v>4108</v>
      </c>
      <c r="B1351" s="2352" t="s">
        <v>3661</v>
      </c>
      <c r="C1351" s="2352" t="s">
        <v>3661</v>
      </c>
      <c r="D1351" s="2352" t="s">
        <v>4109</v>
      </c>
      <c r="E1351" s="355">
        <v>100</v>
      </c>
      <c r="F1351" s="1662">
        <v>60</v>
      </c>
      <c r="G1351" s="903"/>
    </row>
    <row r="1352" spans="1:7" ht="15" customHeight="1" x14ac:dyDescent="0.25">
      <c r="A1352" s="2352" t="s">
        <v>4110</v>
      </c>
      <c r="B1352" s="2352" t="s">
        <v>3661</v>
      </c>
      <c r="C1352" s="2352" t="s">
        <v>3661</v>
      </c>
      <c r="D1352" s="2352" t="s">
        <v>4111</v>
      </c>
      <c r="E1352" s="355">
        <v>40</v>
      </c>
      <c r="F1352" s="1662">
        <v>20</v>
      </c>
      <c r="G1352" s="903"/>
    </row>
    <row r="1353" spans="1:7" ht="15" customHeight="1" x14ac:dyDescent="0.25">
      <c r="A1353" s="2352" t="s">
        <v>4089</v>
      </c>
      <c r="B1353" s="2352" t="s">
        <v>3661</v>
      </c>
      <c r="C1353" s="2352" t="s">
        <v>3661</v>
      </c>
      <c r="D1353" s="2352" t="s">
        <v>4112</v>
      </c>
      <c r="E1353" s="355" t="s">
        <v>4200</v>
      </c>
      <c r="F1353" s="1662">
        <v>160</v>
      </c>
      <c r="G1353" s="903"/>
    </row>
    <row r="1354" spans="1:7" ht="15" customHeight="1" x14ac:dyDescent="0.25">
      <c r="A1354" s="2352" t="s">
        <v>3918</v>
      </c>
      <c r="B1354" s="2352" t="s">
        <v>3661</v>
      </c>
      <c r="C1354" s="2352" t="s">
        <v>3661</v>
      </c>
      <c r="D1354" s="2352" t="s">
        <v>4113</v>
      </c>
      <c r="E1354" s="355">
        <v>63</v>
      </c>
      <c r="F1354" s="1662">
        <v>30</v>
      </c>
      <c r="G1354" s="903"/>
    </row>
    <row r="1355" spans="1:7" ht="15" customHeight="1" x14ac:dyDescent="0.25">
      <c r="A1355" s="2352" t="s">
        <v>4114</v>
      </c>
      <c r="B1355" s="2352" t="s">
        <v>3661</v>
      </c>
      <c r="C1355" s="2352" t="s">
        <v>3661</v>
      </c>
      <c r="D1355" s="2352" t="s">
        <v>4115</v>
      </c>
      <c r="E1355" s="355">
        <v>100</v>
      </c>
      <c r="F1355" s="1662">
        <v>60</v>
      </c>
      <c r="G1355" s="903"/>
    </row>
    <row r="1356" spans="1:7" ht="15" customHeight="1" x14ac:dyDescent="0.25">
      <c r="A1356" s="2352" t="s">
        <v>4116</v>
      </c>
      <c r="B1356" s="2352" t="s">
        <v>3661</v>
      </c>
      <c r="C1356" s="2352" t="s">
        <v>3661</v>
      </c>
      <c r="D1356" s="2352" t="s">
        <v>4117</v>
      </c>
      <c r="E1356" s="355">
        <v>100</v>
      </c>
      <c r="F1356" s="1662">
        <v>60</v>
      </c>
      <c r="G1356" s="903"/>
    </row>
    <row r="1357" spans="1:7" ht="15" customHeight="1" x14ac:dyDescent="0.25">
      <c r="A1357" s="2352" t="s">
        <v>4118</v>
      </c>
      <c r="B1357" s="2352" t="s">
        <v>3661</v>
      </c>
      <c r="C1357" s="2352" t="s">
        <v>3661</v>
      </c>
      <c r="D1357" s="2352" t="s">
        <v>4119</v>
      </c>
      <c r="E1357" s="355">
        <v>100</v>
      </c>
      <c r="F1357" s="1662">
        <v>50</v>
      </c>
      <c r="G1357" s="903"/>
    </row>
    <row r="1358" spans="1:7" ht="15" customHeight="1" x14ac:dyDescent="0.25">
      <c r="A1358" s="2352" t="s">
        <v>4120</v>
      </c>
      <c r="B1358" s="2352" t="s">
        <v>3661</v>
      </c>
      <c r="C1358" s="2352" t="s">
        <v>3661</v>
      </c>
      <c r="D1358" s="2352" t="s">
        <v>4121</v>
      </c>
      <c r="E1358" s="355">
        <v>63</v>
      </c>
      <c r="F1358" s="1662">
        <v>30</v>
      </c>
      <c r="G1358" s="903"/>
    </row>
    <row r="1359" spans="1:7" ht="15" customHeight="1" x14ac:dyDescent="0.25">
      <c r="A1359" s="2352" t="s">
        <v>4118</v>
      </c>
      <c r="B1359" s="2352" t="s">
        <v>3661</v>
      </c>
      <c r="C1359" s="2352" t="s">
        <v>3661</v>
      </c>
      <c r="D1359" s="2352" t="s">
        <v>4122</v>
      </c>
      <c r="E1359" s="355">
        <v>160</v>
      </c>
      <c r="F1359" s="1662">
        <v>90</v>
      </c>
      <c r="G1359" s="903"/>
    </row>
    <row r="1360" spans="1:7" ht="15" customHeight="1" x14ac:dyDescent="0.25">
      <c r="A1360" s="2352" t="s">
        <v>4118</v>
      </c>
      <c r="B1360" s="2352" t="s">
        <v>3661</v>
      </c>
      <c r="C1360" s="2352" t="s">
        <v>3661</v>
      </c>
      <c r="D1360" s="2352" t="s">
        <v>4123</v>
      </c>
      <c r="E1360" s="355">
        <v>100</v>
      </c>
      <c r="F1360" s="1662">
        <v>65</v>
      </c>
      <c r="G1360" s="903"/>
    </row>
    <row r="1361" spans="1:7" ht="15" customHeight="1" x14ac:dyDescent="0.25">
      <c r="A1361" s="2352" t="s">
        <v>4124</v>
      </c>
      <c r="B1361" s="2352" t="s">
        <v>3661</v>
      </c>
      <c r="C1361" s="2352" t="s">
        <v>3661</v>
      </c>
      <c r="D1361" s="2352" t="s">
        <v>4125</v>
      </c>
      <c r="E1361" s="355">
        <v>40</v>
      </c>
      <c r="F1361" s="1662">
        <v>25</v>
      </c>
      <c r="G1361" s="903"/>
    </row>
    <row r="1362" spans="1:7" ht="15" customHeight="1" x14ac:dyDescent="0.25">
      <c r="A1362" s="2352" t="s">
        <v>4126</v>
      </c>
      <c r="B1362" s="2352" t="s">
        <v>3661</v>
      </c>
      <c r="C1362" s="2352" t="s">
        <v>3661</v>
      </c>
      <c r="D1362" s="2352" t="s">
        <v>4127</v>
      </c>
      <c r="E1362" s="355">
        <v>30</v>
      </c>
      <c r="F1362" s="1662">
        <v>15</v>
      </c>
      <c r="G1362" s="903"/>
    </row>
    <row r="1363" spans="1:7" ht="15" customHeight="1" x14ac:dyDescent="0.25">
      <c r="A1363" s="2352" t="s">
        <v>4128</v>
      </c>
      <c r="B1363" s="2352" t="s">
        <v>3661</v>
      </c>
      <c r="C1363" s="2352" t="s">
        <v>3661</v>
      </c>
      <c r="D1363" s="2352" t="s">
        <v>4129</v>
      </c>
      <c r="E1363" s="355">
        <v>30</v>
      </c>
      <c r="F1363" s="1662">
        <v>10</v>
      </c>
      <c r="G1363" s="903"/>
    </row>
    <row r="1364" spans="1:7" ht="15" customHeight="1" x14ac:dyDescent="0.25">
      <c r="A1364" s="2352" t="s">
        <v>4130</v>
      </c>
      <c r="B1364" s="2352" t="s">
        <v>3661</v>
      </c>
      <c r="C1364" s="2352" t="s">
        <v>3661</v>
      </c>
      <c r="D1364" s="2352" t="s">
        <v>4131</v>
      </c>
      <c r="E1364" s="355">
        <v>30</v>
      </c>
      <c r="F1364" s="1662">
        <v>15</v>
      </c>
      <c r="G1364" s="903"/>
    </row>
    <row r="1365" spans="1:7" ht="15" customHeight="1" x14ac:dyDescent="0.25">
      <c r="A1365" s="2352" t="s">
        <v>4132</v>
      </c>
      <c r="B1365" s="2352" t="s">
        <v>3661</v>
      </c>
      <c r="C1365" s="2352" t="s">
        <v>3661</v>
      </c>
      <c r="D1365" s="2352" t="s">
        <v>4133</v>
      </c>
      <c r="E1365" s="355">
        <v>40</v>
      </c>
      <c r="F1365" s="1662">
        <v>25</v>
      </c>
      <c r="G1365" s="903"/>
    </row>
    <row r="1366" spans="1:7" ht="15" customHeight="1" x14ac:dyDescent="0.25">
      <c r="A1366" s="2352" t="s">
        <v>4134</v>
      </c>
      <c r="B1366" s="2352" t="s">
        <v>3661</v>
      </c>
      <c r="C1366" s="2352" t="s">
        <v>3661</v>
      </c>
      <c r="D1366" s="2352" t="s">
        <v>4135</v>
      </c>
      <c r="E1366" s="355">
        <v>100</v>
      </c>
      <c r="F1366" s="1662">
        <v>60</v>
      </c>
      <c r="G1366" s="903"/>
    </row>
    <row r="1367" spans="1:7" ht="15" customHeight="1" x14ac:dyDescent="0.25">
      <c r="A1367" s="2352" t="s">
        <v>3851</v>
      </c>
      <c r="B1367" s="2352" t="s">
        <v>3661</v>
      </c>
      <c r="C1367" s="2352" t="s">
        <v>3661</v>
      </c>
      <c r="D1367" s="2352" t="s">
        <v>4136</v>
      </c>
      <c r="E1367" s="355">
        <v>160</v>
      </c>
      <c r="F1367" s="1662">
        <v>100</v>
      </c>
      <c r="G1367" s="903"/>
    </row>
    <row r="1368" spans="1:7" ht="15" customHeight="1" x14ac:dyDescent="0.25">
      <c r="A1368" s="2352" t="s">
        <v>4137</v>
      </c>
      <c r="B1368" s="2352" t="s">
        <v>3661</v>
      </c>
      <c r="C1368" s="2352" t="s">
        <v>3661</v>
      </c>
      <c r="D1368" s="2352" t="s">
        <v>4138</v>
      </c>
      <c r="E1368" s="355">
        <v>10</v>
      </c>
      <c r="F1368" s="1662">
        <v>4</v>
      </c>
      <c r="G1368" s="903"/>
    </row>
    <row r="1369" spans="1:7" ht="15" customHeight="1" x14ac:dyDescent="0.25">
      <c r="A1369" s="2352" t="s">
        <v>4139</v>
      </c>
      <c r="B1369" s="2352" t="s">
        <v>3661</v>
      </c>
      <c r="C1369" s="2352" t="s">
        <v>3661</v>
      </c>
      <c r="D1369" s="2352" t="s">
        <v>4140</v>
      </c>
      <c r="E1369" s="355">
        <v>20</v>
      </c>
      <c r="F1369" s="1662">
        <v>10</v>
      </c>
      <c r="G1369" s="903"/>
    </row>
    <row r="1370" spans="1:7" ht="15" customHeight="1" x14ac:dyDescent="0.25">
      <c r="A1370" s="2352" t="s">
        <v>4141</v>
      </c>
      <c r="B1370" s="2352" t="s">
        <v>3661</v>
      </c>
      <c r="C1370" s="2352" t="s">
        <v>3661</v>
      </c>
      <c r="D1370" s="2352" t="s">
        <v>4142</v>
      </c>
      <c r="E1370" s="355">
        <v>10</v>
      </c>
      <c r="F1370" s="1662">
        <v>8</v>
      </c>
      <c r="G1370" s="903"/>
    </row>
    <row r="1371" spans="1:7" ht="15" customHeight="1" x14ac:dyDescent="0.25">
      <c r="A1371" s="2352" t="s">
        <v>3761</v>
      </c>
      <c r="B1371" s="2352" t="s">
        <v>3661</v>
      </c>
      <c r="C1371" s="2352" t="s">
        <v>3661</v>
      </c>
      <c r="D1371" s="2352" t="s">
        <v>3762</v>
      </c>
      <c r="E1371" s="355">
        <v>10</v>
      </c>
      <c r="F1371" s="1662">
        <v>8</v>
      </c>
      <c r="G1371" s="903"/>
    </row>
    <row r="1372" spans="1:7" ht="15" customHeight="1" x14ac:dyDescent="0.25">
      <c r="A1372" s="2352" t="s">
        <v>4143</v>
      </c>
      <c r="B1372" s="2352" t="s">
        <v>3661</v>
      </c>
      <c r="C1372" s="2352" t="s">
        <v>3661</v>
      </c>
      <c r="D1372" s="2352" t="s">
        <v>4144</v>
      </c>
      <c r="E1372" s="355">
        <v>63</v>
      </c>
      <c r="F1372" s="1662">
        <v>30</v>
      </c>
      <c r="G1372" s="903"/>
    </row>
    <row r="1373" spans="1:7" ht="15" customHeight="1" x14ac:dyDescent="0.25">
      <c r="A1373" s="2352" t="s">
        <v>4145</v>
      </c>
      <c r="B1373" s="2352" t="s">
        <v>3661</v>
      </c>
      <c r="C1373" s="2352" t="s">
        <v>3661</v>
      </c>
      <c r="D1373" s="2352" t="s">
        <v>4146</v>
      </c>
      <c r="E1373" s="355">
        <v>63</v>
      </c>
      <c r="F1373" s="1662">
        <v>30</v>
      </c>
      <c r="G1373" s="903"/>
    </row>
    <row r="1374" spans="1:7" ht="15" customHeight="1" x14ac:dyDescent="0.25">
      <c r="A1374" s="2352" t="s">
        <v>4147</v>
      </c>
      <c r="B1374" s="2352" t="s">
        <v>3661</v>
      </c>
      <c r="C1374" s="2352" t="s">
        <v>3661</v>
      </c>
      <c r="D1374" s="2352" t="s">
        <v>4148</v>
      </c>
      <c r="E1374" s="355">
        <v>160</v>
      </c>
      <c r="F1374" s="1662">
        <v>60</v>
      </c>
      <c r="G1374" s="903"/>
    </row>
    <row r="1375" spans="1:7" ht="15" customHeight="1" x14ac:dyDescent="0.25">
      <c r="A1375" s="2352" t="s">
        <v>4149</v>
      </c>
      <c r="B1375" s="2352" t="s">
        <v>3661</v>
      </c>
      <c r="C1375" s="2352" t="s">
        <v>3661</v>
      </c>
      <c r="D1375" s="2352" t="s">
        <v>4150</v>
      </c>
      <c r="E1375" s="355">
        <v>10</v>
      </c>
      <c r="F1375" s="1662">
        <v>6</v>
      </c>
      <c r="G1375" s="903"/>
    </row>
    <row r="1376" spans="1:7" ht="15" customHeight="1" x14ac:dyDescent="0.25">
      <c r="A1376" s="2352" t="s">
        <v>4151</v>
      </c>
      <c r="B1376" s="2352" t="s">
        <v>3661</v>
      </c>
      <c r="C1376" s="2352" t="s">
        <v>3661</v>
      </c>
      <c r="D1376" s="2352" t="s">
        <v>4152</v>
      </c>
      <c r="E1376" s="355">
        <v>30</v>
      </c>
      <c r="F1376" s="1662">
        <v>15</v>
      </c>
      <c r="G1376" s="903"/>
    </row>
    <row r="1377" spans="1:7" ht="15" customHeight="1" x14ac:dyDescent="0.25">
      <c r="A1377" s="2352" t="s">
        <v>4153</v>
      </c>
      <c r="B1377" s="2352" t="s">
        <v>3661</v>
      </c>
      <c r="C1377" s="2352" t="s">
        <v>3661</v>
      </c>
      <c r="D1377" s="2352" t="s">
        <v>4154</v>
      </c>
      <c r="E1377" s="355">
        <v>30</v>
      </c>
      <c r="F1377" s="1662">
        <v>15</v>
      </c>
      <c r="G1377" s="903"/>
    </row>
    <row r="1378" spans="1:7" ht="15" customHeight="1" x14ac:dyDescent="0.25">
      <c r="A1378" s="2352" t="s">
        <v>4155</v>
      </c>
      <c r="B1378" s="2352" t="s">
        <v>3661</v>
      </c>
      <c r="C1378" s="2352" t="s">
        <v>3661</v>
      </c>
      <c r="D1378" s="2352" t="s">
        <v>4156</v>
      </c>
      <c r="E1378" s="355">
        <v>10</v>
      </c>
      <c r="F1378" s="1662">
        <v>8</v>
      </c>
      <c r="G1378" s="903"/>
    </row>
    <row r="1379" spans="1:7" ht="15" customHeight="1" x14ac:dyDescent="0.25">
      <c r="A1379" s="2352" t="s">
        <v>4157</v>
      </c>
      <c r="B1379" s="2352" t="s">
        <v>3661</v>
      </c>
      <c r="C1379" s="2352" t="s">
        <v>3661</v>
      </c>
      <c r="D1379" s="2352" t="s">
        <v>4158</v>
      </c>
      <c r="E1379" s="355">
        <v>40</v>
      </c>
      <c r="F1379" s="1662">
        <v>10</v>
      </c>
      <c r="G1379" s="903"/>
    </row>
    <row r="1380" spans="1:7" ht="15" customHeight="1" x14ac:dyDescent="0.25">
      <c r="A1380" s="2352" t="s">
        <v>14171</v>
      </c>
      <c r="B1380" s="2352" t="s">
        <v>3661</v>
      </c>
      <c r="C1380" s="2352" t="s">
        <v>3661</v>
      </c>
      <c r="D1380" s="2352" t="s">
        <v>4159</v>
      </c>
      <c r="E1380" s="355">
        <v>100</v>
      </c>
      <c r="F1380" s="1662">
        <v>60</v>
      </c>
      <c r="G1380" s="903"/>
    </row>
    <row r="1381" spans="1:7" ht="15" customHeight="1" x14ac:dyDescent="0.25">
      <c r="A1381" s="2352" t="s">
        <v>4160</v>
      </c>
      <c r="B1381" s="2352" t="s">
        <v>3661</v>
      </c>
      <c r="C1381" s="2352" t="s">
        <v>3661</v>
      </c>
      <c r="D1381" s="2352" t="s">
        <v>4161</v>
      </c>
      <c r="E1381" s="355">
        <v>63</v>
      </c>
      <c r="F1381" s="1662">
        <v>20</v>
      </c>
      <c r="G1381" s="903"/>
    </row>
    <row r="1382" spans="1:7" ht="15" customHeight="1" x14ac:dyDescent="0.25">
      <c r="A1382" s="2352" t="s">
        <v>4160</v>
      </c>
      <c r="B1382" s="2352" t="s">
        <v>3661</v>
      </c>
      <c r="C1382" s="2352" t="s">
        <v>3661</v>
      </c>
      <c r="D1382" s="2352" t="s">
        <v>4162</v>
      </c>
      <c r="E1382" s="355">
        <v>160</v>
      </c>
      <c r="F1382" s="1662">
        <v>90</v>
      </c>
      <c r="G1382" s="903"/>
    </row>
    <row r="1383" spans="1:7" ht="15" customHeight="1" x14ac:dyDescent="0.25">
      <c r="A1383" s="2352" t="s">
        <v>4163</v>
      </c>
      <c r="B1383" s="2352" t="s">
        <v>3661</v>
      </c>
      <c r="C1383" s="2352" t="s">
        <v>3661</v>
      </c>
      <c r="D1383" s="2352" t="s">
        <v>4164</v>
      </c>
      <c r="E1383" s="355">
        <v>40</v>
      </c>
      <c r="F1383" s="1662">
        <v>20</v>
      </c>
      <c r="G1383" s="903"/>
    </row>
    <row r="1384" spans="1:7" ht="15" customHeight="1" x14ac:dyDescent="0.25">
      <c r="A1384" s="2352" t="s">
        <v>4165</v>
      </c>
      <c r="B1384" s="2352" t="s">
        <v>3661</v>
      </c>
      <c r="C1384" s="2352" t="s">
        <v>3661</v>
      </c>
      <c r="D1384" s="2352" t="s">
        <v>4166</v>
      </c>
      <c r="E1384" s="355">
        <v>63</v>
      </c>
      <c r="F1384" s="1662">
        <v>15</v>
      </c>
      <c r="G1384" s="903"/>
    </row>
    <row r="1385" spans="1:7" ht="15" customHeight="1" x14ac:dyDescent="0.25">
      <c r="A1385" s="2352" t="s">
        <v>4167</v>
      </c>
      <c r="B1385" s="2352" t="s">
        <v>3661</v>
      </c>
      <c r="C1385" s="2352" t="s">
        <v>3661</v>
      </c>
      <c r="D1385" s="2352" t="s">
        <v>4168</v>
      </c>
      <c r="E1385" s="355">
        <v>100</v>
      </c>
      <c r="F1385" s="1662">
        <v>70</v>
      </c>
      <c r="G1385" s="903"/>
    </row>
    <row r="1386" spans="1:7" ht="15" customHeight="1" x14ac:dyDescent="0.25">
      <c r="A1386" s="2352" t="s">
        <v>4169</v>
      </c>
      <c r="B1386" s="2352" t="s">
        <v>3661</v>
      </c>
      <c r="C1386" s="2352" t="s">
        <v>3661</v>
      </c>
      <c r="D1386" s="2352" t="s">
        <v>4170</v>
      </c>
      <c r="E1386" s="355">
        <v>100</v>
      </c>
      <c r="F1386" s="1662">
        <v>40</v>
      </c>
      <c r="G1386" s="903"/>
    </row>
    <row r="1387" spans="1:7" ht="15" customHeight="1" x14ac:dyDescent="0.25">
      <c r="A1387" s="2352" t="s">
        <v>4171</v>
      </c>
      <c r="B1387" s="2352" t="s">
        <v>3661</v>
      </c>
      <c r="C1387" s="2352" t="s">
        <v>3661</v>
      </c>
      <c r="D1387" s="2352" t="s">
        <v>4172</v>
      </c>
      <c r="E1387" s="355">
        <v>10</v>
      </c>
      <c r="F1387" s="1662">
        <v>8</v>
      </c>
      <c r="G1387" s="903"/>
    </row>
    <row r="1388" spans="1:7" ht="15" customHeight="1" x14ac:dyDescent="0.25">
      <c r="A1388" s="2352" t="s">
        <v>4169</v>
      </c>
      <c r="B1388" s="2352" t="s">
        <v>3661</v>
      </c>
      <c r="C1388" s="2352" t="s">
        <v>3661</v>
      </c>
      <c r="D1388" s="2352" t="s">
        <v>4173</v>
      </c>
      <c r="E1388" s="355">
        <v>160</v>
      </c>
      <c r="F1388" s="1662">
        <v>100</v>
      </c>
      <c r="G1388" s="903"/>
    </row>
    <row r="1389" spans="1:7" ht="15" customHeight="1" x14ac:dyDescent="0.25">
      <c r="A1389" s="2352" t="s">
        <v>4169</v>
      </c>
      <c r="B1389" s="2352" t="s">
        <v>3661</v>
      </c>
      <c r="C1389" s="2352" t="s">
        <v>3661</v>
      </c>
      <c r="D1389" s="2352" t="s">
        <v>4174</v>
      </c>
      <c r="E1389" s="355">
        <v>250</v>
      </c>
      <c r="F1389" s="1662">
        <v>150</v>
      </c>
      <c r="G1389" s="903"/>
    </row>
    <row r="1390" spans="1:7" ht="15" customHeight="1" x14ac:dyDescent="0.25">
      <c r="A1390" s="2352" t="s">
        <v>4151</v>
      </c>
      <c r="B1390" s="2352" t="s">
        <v>3661</v>
      </c>
      <c r="C1390" s="2352" t="s">
        <v>3661</v>
      </c>
      <c r="D1390" s="2352" t="s">
        <v>4175</v>
      </c>
      <c r="E1390" s="355">
        <v>100</v>
      </c>
      <c r="F1390" s="1662">
        <v>30</v>
      </c>
      <c r="G1390" s="903"/>
    </row>
    <row r="1391" spans="1:7" ht="15" customHeight="1" x14ac:dyDescent="0.25">
      <c r="A1391" s="2352" t="s">
        <v>4169</v>
      </c>
      <c r="B1391" s="2352" t="s">
        <v>3661</v>
      </c>
      <c r="C1391" s="2352" t="s">
        <v>3661</v>
      </c>
      <c r="D1391" s="2352" t="s">
        <v>4176</v>
      </c>
      <c r="E1391" s="355" t="s">
        <v>4203</v>
      </c>
      <c r="F1391" s="1662" t="s">
        <v>17106</v>
      </c>
      <c r="G1391" s="903"/>
    </row>
    <row r="1392" spans="1:7" ht="15" customHeight="1" x14ac:dyDescent="0.25">
      <c r="A1392" s="2352" t="s">
        <v>4169</v>
      </c>
      <c r="B1392" s="2352" t="s">
        <v>3661</v>
      </c>
      <c r="C1392" s="2352" t="s">
        <v>3661</v>
      </c>
      <c r="D1392" s="2352" t="s">
        <v>4177</v>
      </c>
      <c r="E1392" s="355">
        <v>400</v>
      </c>
      <c r="F1392" s="1662">
        <v>200</v>
      </c>
      <c r="G1392" s="903"/>
    </row>
    <row r="1393" spans="1:7" ht="15" customHeight="1" x14ac:dyDescent="0.25">
      <c r="A1393" s="2352" t="s">
        <v>4178</v>
      </c>
      <c r="B1393" s="2352" t="s">
        <v>3661</v>
      </c>
      <c r="C1393" s="2352" t="s">
        <v>3661</v>
      </c>
      <c r="D1393" s="2352" t="s">
        <v>4092</v>
      </c>
      <c r="E1393" s="355" t="s">
        <v>4203</v>
      </c>
      <c r="F1393" s="1662">
        <v>400</v>
      </c>
      <c r="G1393" s="903"/>
    </row>
    <row r="1394" spans="1:7" ht="15" customHeight="1" x14ac:dyDescent="0.25">
      <c r="A1394" s="2352" t="s">
        <v>4178</v>
      </c>
      <c r="B1394" s="2352" t="s">
        <v>3661</v>
      </c>
      <c r="C1394" s="2352" t="s">
        <v>3661</v>
      </c>
      <c r="D1394" s="2352" t="s">
        <v>4179</v>
      </c>
      <c r="E1394" s="355">
        <v>400</v>
      </c>
      <c r="F1394" s="1662">
        <v>200</v>
      </c>
      <c r="G1394" s="903"/>
    </row>
    <row r="1395" spans="1:7" ht="15" customHeight="1" x14ac:dyDescent="0.25">
      <c r="A1395" s="2352" t="s">
        <v>4178</v>
      </c>
      <c r="B1395" s="2352" t="s">
        <v>3661</v>
      </c>
      <c r="C1395" s="2352" t="s">
        <v>3661</v>
      </c>
      <c r="D1395" s="2352" t="s">
        <v>4180</v>
      </c>
      <c r="E1395" s="355">
        <v>400</v>
      </c>
      <c r="F1395" s="1662">
        <v>340</v>
      </c>
      <c r="G1395" s="903"/>
    </row>
    <row r="1396" spans="1:7" ht="15" customHeight="1" x14ac:dyDescent="0.25">
      <c r="A1396" s="2352" t="s">
        <v>4178</v>
      </c>
      <c r="B1396" s="2352" t="s">
        <v>3661</v>
      </c>
      <c r="C1396" s="2352" t="s">
        <v>3661</v>
      </c>
      <c r="D1396" s="2352" t="s">
        <v>4181</v>
      </c>
      <c r="E1396" s="355">
        <v>250</v>
      </c>
      <c r="F1396" s="1662">
        <v>100</v>
      </c>
      <c r="G1396" s="903"/>
    </row>
    <row r="1397" spans="1:7" ht="15" customHeight="1" x14ac:dyDescent="0.25">
      <c r="A1397" s="2352" t="s">
        <v>4182</v>
      </c>
      <c r="B1397" s="2352" t="s">
        <v>3661</v>
      </c>
      <c r="C1397" s="2352" t="s">
        <v>3661</v>
      </c>
      <c r="D1397" s="2352" t="s">
        <v>4183</v>
      </c>
      <c r="E1397" s="355">
        <v>30</v>
      </c>
      <c r="F1397" s="1662">
        <v>20</v>
      </c>
      <c r="G1397" s="903"/>
    </row>
    <row r="1398" spans="1:7" ht="15" customHeight="1" x14ac:dyDescent="0.25">
      <c r="A1398" s="2352" t="s">
        <v>4184</v>
      </c>
      <c r="B1398" s="2352" t="s">
        <v>3661</v>
      </c>
      <c r="C1398" s="2352" t="s">
        <v>3661</v>
      </c>
      <c r="D1398" s="2352" t="s">
        <v>4185</v>
      </c>
      <c r="E1398" s="355">
        <v>100</v>
      </c>
      <c r="F1398" s="1662">
        <v>70</v>
      </c>
      <c r="G1398" s="903"/>
    </row>
    <row r="1399" spans="1:7" ht="15" customHeight="1" x14ac:dyDescent="0.25">
      <c r="A1399" s="2352" t="s">
        <v>4186</v>
      </c>
      <c r="B1399" s="2352" t="s">
        <v>3661</v>
      </c>
      <c r="C1399" s="2352" t="s">
        <v>3661</v>
      </c>
      <c r="D1399" s="2352" t="s">
        <v>4187</v>
      </c>
      <c r="E1399" s="355">
        <v>100</v>
      </c>
      <c r="F1399" s="1662">
        <v>70</v>
      </c>
      <c r="G1399" s="903"/>
    </row>
    <row r="1400" spans="1:7" ht="15" customHeight="1" x14ac:dyDescent="0.25">
      <c r="A1400" s="2352" t="s">
        <v>4188</v>
      </c>
      <c r="B1400" s="2352" t="s">
        <v>3661</v>
      </c>
      <c r="C1400" s="2352" t="s">
        <v>3661</v>
      </c>
      <c r="D1400" s="2352" t="s">
        <v>4189</v>
      </c>
      <c r="E1400" s="355">
        <v>10</v>
      </c>
      <c r="F1400" s="1662">
        <v>5</v>
      </c>
      <c r="G1400" s="903"/>
    </row>
    <row r="1401" spans="1:7" ht="15" customHeight="1" x14ac:dyDescent="0.25">
      <c r="A1401" s="2352" t="s">
        <v>4178</v>
      </c>
      <c r="B1401" s="2352" t="s">
        <v>3661</v>
      </c>
      <c r="C1401" s="2352" t="s">
        <v>3661</v>
      </c>
      <c r="D1401" s="2352" t="s">
        <v>4190</v>
      </c>
      <c r="E1401" s="355">
        <v>20</v>
      </c>
      <c r="F1401" s="1662">
        <v>15</v>
      </c>
      <c r="G1401" s="903"/>
    </row>
    <row r="1402" spans="1:7" ht="15" customHeight="1" x14ac:dyDescent="0.25">
      <c r="A1402" s="2352" t="s">
        <v>4191</v>
      </c>
      <c r="B1402" s="2352" t="s">
        <v>3661</v>
      </c>
      <c r="C1402" s="2352" t="s">
        <v>3661</v>
      </c>
      <c r="D1402" s="2352" t="s">
        <v>4192</v>
      </c>
      <c r="E1402" s="355">
        <v>30</v>
      </c>
      <c r="F1402" s="1662">
        <v>15</v>
      </c>
      <c r="G1402" s="903"/>
    </row>
    <row r="1403" spans="1:7" ht="15" customHeight="1" x14ac:dyDescent="0.25">
      <c r="A1403" s="2352" t="s">
        <v>4193</v>
      </c>
      <c r="B1403" s="2352" t="s">
        <v>3661</v>
      </c>
      <c r="C1403" s="2352" t="s">
        <v>3661</v>
      </c>
      <c r="D1403" s="2352" t="s">
        <v>4194</v>
      </c>
      <c r="E1403" s="355">
        <v>100</v>
      </c>
      <c r="F1403" s="1662">
        <v>70</v>
      </c>
      <c r="G1403" s="903"/>
    </row>
    <row r="1404" spans="1:7" ht="15" customHeight="1" x14ac:dyDescent="0.25">
      <c r="A1404" s="2352" t="s">
        <v>4195</v>
      </c>
      <c r="B1404" s="2352" t="s">
        <v>3661</v>
      </c>
      <c r="C1404" s="2352" t="s">
        <v>3661</v>
      </c>
      <c r="D1404" s="2352" t="s">
        <v>4196</v>
      </c>
      <c r="E1404" s="355">
        <v>10</v>
      </c>
      <c r="F1404" s="1662">
        <v>5</v>
      </c>
      <c r="G1404" s="903"/>
    </row>
    <row r="1405" spans="1:7" ht="15" customHeight="1" x14ac:dyDescent="0.25">
      <c r="A1405" s="2352" t="s">
        <v>4197</v>
      </c>
      <c r="B1405" s="2352" t="s">
        <v>3661</v>
      </c>
      <c r="C1405" s="2352" t="s">
        <v>3661</v>
      </c>
      <c r="D1405" s="2352" t="s">
        <v>4198</v>
      </c>
      <c r="E1405" s="355">
        <v>100</v>
      </c>
      <c r="F1405" s="1662">
        <v>50</v>
      </c>
      <c r="G1405" s="903"/>
    </row>
    <row r="1406" spans="1:7" ht="15" customHeight="1" x14ac:dyDescent="0.25">
      <c r="A1406" s="2352" t="s">
        <v>9040</v>
      </c>
      <c r="B1406" s="2352" t="s">
        <v>9041</v>
      </c>
      <c r="C1406" s="2352" t="s">
        <v>9041</v>
      </c>
      <c r="D1406" s="2352" t="s">
        <v>9042</v>
      </c>
      <c r="E1406" s="355">
        <v>100</v>
      </c>
      <c r="F1406" s="1662">
        <v>20</v>
      </c>
      <c r="G1406" s="903"/>
    </row>
    <row r="1407" spans="1:7" ht="15" customHeight="1" x14ac:dyDescent="0.25">
      <c r="A1407" s="2352" t="s">
        <v>9040</v>
      </c>
      <c r="B1407" s="2352" t="s">
        <v>9041</v>
      </c>
      <c r="C1407" s="2352" t="s">
        <v>9041</v>
      </c>
      <c r="D1407" s="2352" t="s">
        <v>9043</v>
      </c>
      <c r="E1407" s="355">
        <v>100</v>
      </c>
      <c r="F1407" s="1662">
        <v>0</v>
      </c>
      <c r="G1407" s="903"/>
    </row>
    <row r="1408" spans="1:7" ht="15" customHeight="1" x14ac:dyDescent="0.25">
      <c r="A1408" s="2352" t="s">
        <v>9040</v>
      </c>
      <c r="B1408" s="2352" t="s">
        <v>9041</v>
      </c>
      <c r="C1408" s="2352" t="s">
        <v>9041</v>
      </c>
      <c r="D1408" s="2352" t="s">
        <v>9044</v>
      </c>
      <c r="E1408" s="355">
        <v>100</v>
      </c>
      <c r="F1408" s="1662">
        <v>30</v>
      </c>
      <c r="G1408" s="903"/>
    </row>
    <row r="1409" spans="1:7" ht="15" customHeight="1" x14ac:dyDescent="0.25">
      <c r="A1409" s="2352" t="s">
        <v>9045</v>
      </c>
      <c r="B1409" s="2352" t="s">
        <v>9041</v>
      </c>
      <c r="C1409" s="2352" t="s">
        <v>9041</v>
      </c>
      <c r="D1409" s="2352" t="s">
        <v>9046</v>
      </c>
      <c r="E1409" s="355">
        <v>63</v>
      </c>
      <c r="F1409" s="1662">
        <v>40</v>
      </c>
      <c r="G1409" s="903"/>
    </row>
    <row r="1410" spans="1:7" ht="15" customHeight="1" x14ac:dyDescent="0.25">
      <c r="A1410" s="2352" t="s">
        <v>9047</v>
      </c>
      <c r="B1410" s="2352" t="s">
        <v>9041</v>
      </c>
      <c r="C1410" s="2352" t="s">
        <v>9041</v>
      </c>
      <c r="D1410" s="2352" t="s">
        <v>9048</v>
      </c>
      <c r="E1410" s="355">
        <v>160</v>
      </c>
      <c r="F1410" s="1662">
        <v>60</v>
      </c>
      <c r="G1410" s="903"/>
    </row>
    <row r="1411" spans="1:7" ht="15" customHeight="1" x14ac:dyDescent="0.25">
      <c r="A1411" s="2352" t="s">
        <v>9047</v>
      </c>
      <c r="B1411" s="2352" t="s">
        <v>9041</v>
      </c>
      <c r="C1411" s="2352" t="s">
        <v>9041</v>
      </c>
      <c r="D1411" s="2352" t="s">
        <v>9049</v>
      </c>
      <c r="E1411" s="355">
        <v>160</v>
      </c>
      <c r="F1411" s="1662">
        <v>60</v>
      </c>
      <c r="G1411" s="903"/>
    </row>
    <row r="1412" spans="1:7" ht="15" customHeight="1" x14ac:dyDescent="0.25">
      <c r="A1412" s="2352" t="s">
        <v>9040</v>
      </c>
      <c r="B1412" s="2352" t="s">
        <v>9041</v>
      </c>
      <c r="C1412" s="2352" t="s">
        <v>9041</v>
      </c>
      <c r="D1412" s="2352" t="s">
        <v>9050</v>
      </c>
      <c r="E1412" s="355">
        <v>400</v>
      </c>
      <c r="F1412" s="1662">
        <v>350</v>
      </c>
      <c r="G1412" s="903"/>
    </row>
    <row r="1413" spans="1:7" ht="15" customHeight="1" x14ac:dyDescent="0.25">
      <c r="A1413" s="2352" t="s">
        <v>9040</v>
      </c>
      <c r="B1413" s="2352" t="s">
        <v>9041</v>
      </c>
      <c r="C1413" s="2352" t="s">
        <v>9041</v>
      </c>
      <c r="D1413" s="2352" t="s">
        <v>9051</v>
      </c>
      <c r="E1413" s="355">
        <v>100</v>
      </c>
      <c r="F1413" s="1662">
        <v>10</v>
      </c>
      <c r="G1413" s="903"/>
    </row>
    <row r="1414" spans="1:7" ht="15" customHeight="1" x14ac:dyDescent="0.25">
      <c r="A1414" s="2352" t="s">
        <v>9040</v>
      </c>
      <c r="B1414" s="2352" t="s">
        <v>9041</v>
      </c>
      <c r="C1414" s="2352" t="s">
        <v>9041</v>
      </c>
      <c r="D1414" s="2352" t="s">
        <v>9052</v>
      </c>
      <c r="E1414" s="355">
        <v>250</v>
      </c>
      <c r="F1414" s="1662">
        <v>50</v>
      </c>
      <c r="G1414" s="903"/>
    </row>
    <row r="1415" spans="1:7" ht="15" customHeight="1" x14ac:dyDescent="0.25">
      <c r="A1415" s="2352" t="s">
        <v>9040</v>
      </c>
      <c r="B1415" s="2352" t="s">
        <v>9041</v>
      </c>
      <c r="C1415" s="2352" t="s">
        <v>9041</v>
      </c>
      <c r="D1415" s="2352" t="s">
        <v>9053</v>
      </c>
      <c r="E1415" s="355">
        <v>400</v>
      </c>
      <c r="F1415" s="1662">
        <v>80</v>
      </c>
      <c r="G1415" s="903"/>
    </row>
    <row r="1416" spans="1:7" ht="15" customHeight="1" x14ac:dyDescent="0.25">
      <c r="A1416" s="2352" t="s">
        <v>9040</v>
      </c>
      <c r="B1416" s="2352" t="s">
        <v>9041</v>
      </c>
      <c r="C1416" s="2352" t="s">
        <v>9041</v>
      </c>
      <c r="D1416" s="2352" t="s">
        <v>9054</v>
      </c>
      <c r="E1416" s="355">
        <v>400</v>
      </c>
      <c r="F1416" s="1662">
        <v>100</v>
      </c>
      <c r="G1416" s="903"/>
    </row>
    <row r="1417" spans="1:7" ht="15" customHeight="1" x14ac:dyDescent="0.25">
      <c r="A1417" s="2352" t="s">
        <v>9040</v>
      </c>
      <c r="B1417" s="2352" t="s">
        <v>9041</v>
      </c>
      <c r="C1417" s="2352" t="s">
        <v>9041</v>
      </c>
      <c r="D1417" s="2352" t="s">
        <v>9055</v>
      </c>
      <c r="E1417" s="355">
        <v>250</v>
      </c>
      <c r="F1417" s="1662">
        <v>100</v>
      </c>
      <c r="G1417" s="903"/>
    </row>
    <row r="1418" spans="1:7" ht="15" customHeight="1" x14ac:dyDescent="0.25">
      <c r="A1418" s="2352" t="s">
        <v>9040</v>
      </c>
      <c r="B1418" s="2352" t="s">
        <v>9041</v>
      </c>
      <c r="C1418" s="2352" t="s">
        <v>9041</v>
      </c>
      <c r="D1418" s="2352" t="s">
        <v>9056</v>
      </c>
      <c r="E1418" s="355">
        <v>100</v>
      </c>
      <c r="F1418" s="1662">
        <v>0</v>
      </c>
      <c r="G1418" s="903"/>
    </row>
    <row r="1419" spans="1:7" ht="15" customHeight="1" x14ac:dyDescent="0.25">
      <c r="A1419" s="2352" t="s">
        <v>9040</v>
      </c>
      <c r="B1419" s="2352" t="s">
        <v>9041</v>
      </c>
      <c r="C1419" s="2352" t="s">
        <v>9041</v>
      </c>
      <c r="D1419" s="2352" t="s">
        <v>9057</v>
      </c>
      <c r="E1419" s="355">
        <v>250</v>
      </c>
      <c r="F1419" s="1662">
        <v>200</v>
      </c>
      <c r="G1419" s="903"/>
    </row>
    <row r="1420" spans="1:7" ht="15" customHeight="1" x14ac:dyDescent="0.25">
      <c r="A1420" s="2352" t="s">
        <v>9040</v>
      </c>
      <c r="B1420" s="2352" t="s">
        <v>9041</v>
      </c>
      <c r="C1420" s="2352" t="s">
        <v>9041</v>
      </c>
      <c r="D1420" s="2352" t="s">
        <v>9058</v>
      </c>
      <c r="E1420" s="355">
        <v>100</v>
      </c>
      <c r="F1420" s="1662">
        <v>10</v>
      </c>
      <c r="G1420" s="903"/>
    </row>
    <row r="1421" spans="1:7" ht="15" customHeight="1" x14ac:dyDescent="0.25">
      <c r="A1421" s="2352" t="s">
        <v>9040</v>
      </c>
      <c r="B1421" s="2352" t="s">
        <v>9041</v>
      </c>
      <c r="C1421" s="2352" t="s">
        <v>9041</v>
      </c>
      <c r="D1421" s="2352" t="s">
        <v>9059</v>
      </c>
      <c r="E1421" s="355">
        <v>250</v>
      </c>
      <c r="F1421" s="1662">
        <v>20</v>
      </c>
      <c r="G1421" s="903"/>
    </row>
    <row r="1422" spans="1:7" ht="15" customHeight="1" x14ac:dyDescent="0.25">
      <c r="A1422" s="2352" t="s">
        <v>9040</v>
      </c>
      <c r="B1422" s="2352" t="s">
        <v>9041</v>
      </c>
      <c r="C1422" s="2352" t="s">
        <v>9041</v>
      </c>
      <c r="D1422" s="2352" t="s">
        <v>9060</v>
      </c>
      <c r="E1422" s="355">
        <v>160</v>
      </c>
      <c r="F1422" s="1662">
        <v>100</v>
      </c>
      <c r="G1422" s="903"/>
    </row>
    <row r="1423" spans="1:7" ht="15" customHeight="1" x14ac:dyDescent="0.25">
      <c r="A1423" s="2352" t="s">
        <v>9061</v>
      </c>
      <c r="B1423" s="2352" t="s">
        <v>9041</v>
      </c>
      <c r="C1423" s="2352" t="s">
        <v>9041</v>
      </c>
      <c r="D1423" s="2352" t="s">
        <v>9062</v>
      </c>
      <c r="E1423" s="355">
        <v>25</v>
      </c>
      <c r="F1423" s="1662">
        <v>15</v>
      </c>
      <c r="G1423" s="903"/>
    </row>
    <row r="1424" spans="1:7" ht="15" customHeight="1" x14ac:dyDescent="0.25">
      <c r="A1424" s="2352" t="s">
        <v>9063</v>
      </c>
      <c r="B1424" s="2352" t="s">
        <v>9041</v>
      </c>
      <c r="C1424" s="2352" t="s">
        <v>9041</v>
      </c>
      <c r="D1424" s="2352" t="s">
        <v>9064</v>
      </c>
      <c r="E1424" s="355">
        <v>10</v>
      </c>
      <c r="F1424" s="1662">
        <v>7</v>
      </c>
      <c r="G1424" s="903"/>
    </row>
    <row r="1425" spans="1:7" ht="15" customHeight="1" x14ac:dyDescent="0.25">
      <c r="A1425" s="2352" t="s">
        <v>9065</v>
      </c>
      <c r="B1425" s="2352" t="s">
        <v>9041</v>
      </c>
      <c r="C1425" s="2352" t="s">
        <v>9041</v>
      </c>
      <c r="D1425" s="2352" t="s">
        <v>9066</v>
      </c>
      <c r="E1425" s="355">
        <v>63</v>
      </c>
      <c r="F1425" s="1662">
        <v>40</v>
      </c>
      <c r="G1425" s="903"/>
    </row>
    <row r="1426" spans="1:7" ht="15" customHeight="1" x14ac:dyDescent="0.25">
      <c r="A1426" s="2352" t="s">
        <v>9067</v>
      </c>
      <c r="B1426" s="2352" t="s">
        <v>9041</v>
      </c>
      <c r="C1426" s="2352" t="s">
        <v>9041</v>
      </c>
      <c r="D1426" s="2352" t="s">
        <v>9068</v>
      </c>
      <c r="E1426" s="355">
        <v>160</v>
      </c>
      <c r="F1426" s="1662">
        <v>70</v>
      </c>
      <c r="G1426" s="903"/>
    </row>
    <row r="1427" spans="1:7" ht="15" customHeight="1" x14ac:dyDescent="0.25">
      <c r="A1427" s="2352" t="s">
        <v>9067</v>
      </c>
      <c r="B1427" s="2352" t="s">
        <v>9041</v>
      </c>
      <c r="C1427" s="2352" t="s">
        <v>9041</v>
      </c>
      <c r="D1427" s="2352" t="s">
        <v>9069</v>
      </c>
      <c r="E1427" s="355">
        <v>250</v>
      </c>
      <c r="F1427" s="1662">
        <v>250</v>
      </c>
      <c r="G1427" s="903"/>
    </row>
    <row r="1428" spans="1:7" ht="15" customHeight="1" x14ac:dyDescent="0.25">
      <c r="A1428" s="2352" t="s">
        <v>9070</v>
      </c>
      <c r="B1428" s="2352" t="s">
        <v>9041</v>
      </c>
      <c r="C1428" s="2352" t="s">
        <v>9041</v>
      </c>
      <c r="D1428" s="2352" t="s">
        <v>9071</v>
      </c>
      <c r="E1428" s="355">
        <v>30</v>
      </c>
      <c r="F1428" s="1662">
        <v>30</v>
      </c>
      <c r="G1428" s="903"/>
    </row>
    <row r="1429" spans="1:7" ht="15" customHeight="1" x14ac:dyDescent="0.25">
      <c r="A1429" s="2352" t="s">
        <v>9072</v>
      </c>
      <c r="B1429" s="2352" t="s">
        <v>9041</v>
      </c>
      <c r="C1429" s="2352" t="s">
        <v>9041</v>
      </c>
      <c r="D1429" s="2352" t="s">
        <v>9073</v>
      </c>
      <c r="E1429" s="355">
        <v>63</v>
      </c>
      <c r="F1429" s="1662">
        <v>63</v>
      </c>
      <c r="G1429" s="903"/>
    </row>
    <row r="1430" spans="1:7" ht="15" customHeight="1" x14ac:dyDescent="0.25">
      <c r="A1430" s="2352" t="s">
        <v>9074</v>
      </c>
      <c r="B1430" s="2352" t="s">
        <v>9041</v>
      </c>
      <c r="C1430" s="2352" t="s">
        <v>9041</v>
      </c>
      <c r="D1430" s="2352" t="s">
        <v>9075</v>
      </c>
      <c r="E1430" s="355">
        <v>100</v>
      </c>
      <c r="F1430" s="1662">
        <v>70</v>
      </c>
      <c r="G1430" s="903"/>
    </row>
    <row r="1431" spans="1:7" ht="15" customHeight="1" x14ac:dyDescent="0.25">
      <c r="A1431" s="2352" t="s">
        <v>3918</v>
      </c>
      <c r="B1431" s="2352" t="s">
        <v>9041</v>
      </c>
      <c r="C1431" s="2352" t="s">
        <v>9041</v>
      </c>
      <c r="D1431" s="2352" t="s">
        <v>9076</v>
      </c>
      <c r="E1431" s="355">
        <v>63</v>
      </c>
      <c r="F1431" s="1662">
        <v>40</v>
      </c>
      <c r="G1431" s="903"/>
    </row>
    <row r="1432" spans="1:7" ht="15" customHeight="1" x14ac:dyDescent="0.25">
      <c r="A1432" s="2352" t="s">
        <v>9077</v>
      </c>
      <c r="B1432" s="2352" t="s">
        <v>9041</v>
      </c>
      <c r="C1432" s="2352" t="s">
        <v>9041</v>
      </c>
      <c r="D1432" s="2352" t="s">
        <v>9078</v>
      </c>
      <c r="E1432" s="355">
        <v>250</v>
      </c>
      <c r="F1432" s="1662">
        <v>100</v>
      </c>
      <c r="G1432" s="903"/>
    </row>
    <row r="1433" spans="1:7" ht="15" customHeight="1" x14ac:dyDescent="0.25">
      <c r="A1433" s="2352" t="s">
        <v>9077</v>
      </c>
      <c r="B1433" s="2352" t="s">
        <v>9041</v>
      </c>
      <c r="C1433" s="2352" t="s">
        <v>9041</v>
      </c>
      <c r="D1433" s="2352" t="s">
        <v>9079</v>
      </c>
      <c r="E1433" s="355">
        <v>250</v>
      </c>
      <c r="F1433" s="1662">
        <v>200</v>
      </c>
      <c r="G1433" s="903"/>
    </row>
    <row r="1434" spans="1:7" ht="15" customHeight="1" x14ac:dyDescent="0.25">
      <c r="A1434" s="2352" t="s">
        <v>9077</v>
      </c>
      <c r="B1434" s="2352" t="s">
        <v>9041</v>
      </c>
      <c r="C1434" s="2352" t="s">
        <v>9041</v>
      </c>
      <c r="D1434" s="2352" t="s">
        <v>9080</v>
      </c>
      <c r="E1434" s="355">
        <v>100</v>
      </c>
      <c r="F1434" s="1662">
        <v>100</v>
      </c>
      <c r="G1434" s="903"/>
    </row>
    <row r="1435" spans="1:7" ht="15" customHeight="1" x14ac:dyDescent="0.25">
      <c r="A1435" s="2352" t="s">
        <v>17107</v>
      </c>
      <c r="B1435" s="2352" t="s">
        <v>9041</v>
      </c>
      <c r="C1435" s="2352" t="s">
        <v>9041</v>
      </c>
      <c r="D1435" s="2352" t="s">
        <v>9081</v>
      </c>
      <c r="E1435" s="355">
        <v>100</v>
      </c>
      <c r="F1435" s="1662">
        <v>100</v>
      </c>
      <c r="G1435" s="903"/>
    </row>
    <row r="1436" spans="1:7" ht="15" customHeight="1" x14ac:dyDescent="0.25">
      <c r="A1436" s="2352" t="s">
        <v>9082</v>
      </c>
      <c r="B1436" s="2352" t="s">
        <v>9041</v>
      </c>
      <c r="C1436" s="2352" t="s">
        <v>9041</v>
      </c>
      <c r="D1436" s="2352" t="s">
        <v>9083</v>
      </c>
      <c r="E1436" s="355">
        <v>100</v>
      </c>
      <c r="F1436" s="1662">
        <v>60</v>
      </c>
      <c r="G1436" s="903"/>
    </row>
    <row r="1437" spans="1:7" ht="15" customHeight="1" x14ac:dyDescent="0.25">
      <c r="A1437" s="2352" t="s">
        <v>9084</v>
      </c>
      <c r="B1437" s="2352" t="s">
        <v>9041</v>
      </c>
      <c r="C1437" s="2352" t="s">
        <v>9041</v>
      </c>
      <c r="D1437" s="2352" t="s">
        <v>9085</v>
      </c>
      <c r="E1437" s="355">
        <v>63</v>
      </c>
      <c r="F1437" s="1662">
        <v>10</v>
      </c>
      <c r="G1437" s="903"/>
    </row>
    <row r="1438" spans="1:7" ht="15" customHeight="1" x14ac:dyDescent="0.25">
      <c r="A1438" s="2352" t="s">
        <v>9086</v>
      </c>
      <c r="B1438" s="2352" t="s">
        <v>9041</v>
      </c>
      <c r="C1438" s="2352" t="s">
        <v>9041</v>
      </c>
      <c r="D1438" s="2352" t="s">
        <v>9087</v>
      </c>
      <c r="E1438" s="355">
        <v>100</v>
      </c>
      <c r="F1438" s="1662">
        <v>100</v>
      </c>
      <c r="G1438" s="903"/>
    </row>
    <row r="1439" spans="1:7" ht="15" customHeight="1" x14ac:dyDescent="0.25">
      <c r="A1439" s="2352" t="s">
        <v>9086</v>
      </c>
      <c r="B1439" s="2352" t="s">
        <v>9041</v>
      </c>
      <c r="C1439" s="2352" t="s">
        <v>9041</v>
      </c>
      <c r="D1439" s="2352" t="s">
        <v>9088</v>
      </c>
      <c r="E1439" s="355">
        <v>100</v>
      </c>
      <c r="F1439" s="1662">
        <v>20</v>
      </c>
      <c r="G1439" s="903"/>
    </row>
    <row r="1440" spans="1:7" ht="15" customHeight="1" x14ac:dyDescent="0.25">
      <c r="A1440" s="2352" t="s">
        <v>9089</v>
      </c>
      <c r="B1440" s="2352" t="s">
        <v>9041</v>
      </c>
      <c r="C1440" s="2352" t="s">
        <v>9041</v>
      </c>
      <c r="D1440" s="2352" t="s">
        <v>9090</v>
      </c>
      <c r="E1440" s="355">
        <v>10</v>
      </c>
      <c r="F1440" s="1662">
        <v>6</v>
      </c>
      <c r="G1440" s="903"/>
    </row>
    <row r="1441" spans="1:7" ht="15" customHeight="1" x14ac:dyDescent="0.25">
      <c r="A1441" s="2352" t="s">
        <v>9086</v>
      </c>
      <c r="B1441" s="2352" t="s">
        <v>9041</v>
      </c>
      <c r="C1441" s="2352" t="s">
        <v>9041</v>
      </c>
      <c r="D1441" s="2352" t="s">
        <v>9091</v>
      </c>
      <c r="E1441" s="355">
        <v>160</v>
      </c>
      <c r="F1441" s="1662">
        <v>160</v>
      </c>
      <c r="G1441" s="903"/>
    </row>
    <row r="1442" spans="1:7" ht="15" customHeight="1" x14ac:dyDescent="0.25">
      <c r="A1442" s="2352" t="s">
        <v>9092</v>
      </c>
      <c r="B1442" s="2352" t="s">
        <v>9041</v>
      </c>
      <c r="C1442" s="2352" t="s">
        <v>9041</v>
      </c>
      <c r="D1442" s="2352" t="s">
        <v>9093</v>
      </c>
      <c r="E1442" s="355">
        <v>10</v>
      </c>
      <c r="F1442" s="1662">
        <v>5</v>
      </c>
      <c r="G1442" s="903"/>
    </row>
    <row r="1443" spans="1:7" ht="15" customHeight="1" x14ac:dyDescent="0.25">
      <c r="A1443" s="2352" t="s">
        <v>9086</v>
      </c>
      <c r="B1443" s="2352" t="s">
        <v>9041</v>
      </c>
      <c r="C1443" s="2352" t="s">
        <v>9041</v>
      </c>
      <c r="D1443" s="2352" t="s">
        <v>9094</v>
      </c>
      <c r="E1443" s="355">
        <v>250</v>
      </c>
      <c r="F1443" s="1662">
        <v>250</v>
      </c>
      <c r="G1443" s="903"/>
    </row>
    <row r="1444" spans="1:7" ht="15" customHeight="1" x14ac:dyDescent="0.25">
      <c r="A1444" s="2352" t="s">
        <v>9086</v>
      </c>
      <c r="B1444" s="2352" t="s">
        <v>9041</v>
      </c>
      <c r="C1444" s="2352" t="s">
        <v>9041</v>
      </c>
      <c r="D1444" s="2352" t="s">
        <v>9095</v>
      </c>
      <c r="E1444" s="355">
        <v>100</v>
      </c>
      <c r="F1444" s="1662">
        <v>17</v>
      </c>
      <c r="G1444" s="903"/>
    </row>
    <row r="1445" spans="1:7" ht="15" customHeight="1" x14ac:dyDescent="0.25">
      <c r="A1445" s="2352" t="s">
        <v>9096</v>
      </c>
      <c r="B1445" s="2352" t="s">
        <v>9041</v>
      </c>
      <c r="C1445" s="2352" t="s">
        <v>9041</v>
      </c>
      <c r="D1445" s="2352" t="s">
        <v>9097</v>
      </c>
      <c r="E1445" s="355">
        <v>63</v>
      </c>
      <c r="F1445" s="1662">
        <v>55</v>
      </c>
      <c r="G1445" s="903"/>
    </row>
    <row r="1446" spans="1:7" ht="15" customHeight="1" x14ac:dyDescent="0.25">
      <c r="A1446" s="2352" t="s">
        <v>9098</v>
      </c>
      <c r="B1446" s="2352" t="s">
        <v>9041</v>
      </c>
      <c r="C1446" s="2352" t="s">
        <v>9041</v>
      </c>
      <c r="D1446" s="2352" t="s">
        <v>9099</v>
      </c>
      <c r="E1446" s="355">
        <v>63</v>
      </c>
      <c r="F1446" s="1662">
        <v>40</v>
      </c>
      <c r="G1446" s="903"/>
    </row>
    <row r="1447" spans="1:7" ht="15" customHeight="1" x14ac:dyDescent="0.25">
      <c r="A1447" s="2352" t="s">
        <v>9100</v>
      </c>
      <c r="B1447" s="2352" t="s">
        <v>9041</v>
      </c>
      <c r="C1447" s="2352" t="s">
        <v>9041</v>
      </c>
      <c r="D1447" s="2352" t="s">
        <v>9101</v>
      </c>
      <c r="E1447" s="355">
        <v>63</v>
      </c>
      <c r="F1447" s="1662">
        <v>50</v>
      </c>
      <c r="G1447" s="903"/>
    </row>
    <row r="1448" spans="1:7" ht="15" customHeight="1" x14ac:dyDescent="0.25">
      <c r="A1448" s="2352" t="s">
        <v>9102</v>
      </c>
      <c r="B1448" s="2352" t="s">
        <v>9041</v>
      </c>
      <c r="C1448" s="2352" t="s">
        <v>9041</v>
      </c>
      <c r="D1448" s="2352" t="s">
        <v>9103</v>
      </c>
      <c r="E1448" s="355">
        <v>63</v>
      </c>
      <c r="F1448" s="1662">
        <v>50</v>
      </c>
      <c r="G1448" s="903"/>
    </row>
    <row r="1449" spans="1:7" ht="15" customHeight="1" x14ac:dyDescent="0.25">
      <c r="A1449" s="2352" t="s">
        <v>9104</v>
      </c>
      <c r="B1449" s="2352" t="s">
        <v>9041</v>
      </c>
      <c r="C1449" s="2352" t="s">
        <v>9041</v>
      </c>
      <c r="D1449" s="2352" t="s">
        <v>9105</v>
      </c>
      <c r="E1449" s="355">
        <v>63</v>
      </c>
      <c r="F1449" s="1662">
        <v>52</v>
      </c>
      <c r="G1449" s="903"/>
    </row>
    <row r="1450" spans="1:7" ht="15" customHeight="1" x14ac:dyDescent="0.25">
      <c r="A1450" s="2352" t="s">
        <v>9106</v>
      </c>
      <c r="B1450" s="2352" t="s">
        <v>9041</v>
      </c>
      <c r="C1450" s="2352" t="s">
        <v>9041</v>
      </c>
      <c r="D1450" s="2352" t="s">
        <v>9107</v>
      </c>
      <c r="E1450" s="355">
        <v>63</v>
      </c>
      <c r="F1450" s="1662">
        <v>50</v>
      </c>
      <c r="G1450" s="903"/>
    </row>
    <row r="1451" spans="1:7" ht="15" customHeight="1" x14ac:dyDescent="0.25">
      <c r="A1451" s="2352" t="s">
        <v>4007</v>
      </c>
      <c r="B1451" s="2352" t="s">
        <v>9041</v>
      </c>
      <c r="C1451" s="2352" t="s">
        <v>9041</v>
      </c>
      <c r="D1451" s="2352" t="s">
        <v>9108</v>
      </c>
      <c r="E1451" s="355">
        <v>10</v>
      </c>
      <c r="F1451" s="1662">
        <v>50</v>
      </c>
      <c r="G1451" s="903"/>
    </row>
    <row r="1452" spans="1:7" ht="15" customHeight="1" x14ac:dyDescent="0.25">
      <c r="A1452" s="2352" t="s">
        <v>9106</v>
      </c>
      <c r="B1452" s="2352" t="s">
        <v>9041</v>
      </c>
      <c r="C1452" s="2352" t="s">
        <v>9041</v>
      </c>
      <c r="D1452" s="2352" t="s">
        <v>9109</v>
      </c>
      <c r="E1452" s="355">
        <v>30</v>
      </c>
      <c r="F1452" s="1662">
        <v>7</v>
      </c>
      <c r="G1452" s="903"/>
    </row>
    <row r="1453" spans="1:7" ht="15" customHeight="1" x14ac:dyDescent="0.25">
      <c r="A1453" s="2352" t="s">
        <v>9110</v>
      </c>
      <c r="B1453" s="2352" t="s">
        <v>9041</v>
      </c>
      <c r="C1453" s="2352" t="s">
        <v>9041</v>
      </c>
      <c r="D1453" s="2352" t="s">
        <v>9111</v>
      </c>
      <c r="E1453" s="355">
        <v>40</v>
      </c>
      <c r="F1453" s="1662">
        <v>20</v>
      </c>
      <c r="G1453" s="903"/>
    </row>
    <row r="1454" spans="1:7" ht="15" customHeight="1" x14ac:dyDescent="0.25">
      <c r="A1454" s="2352" t="s">
        <v>9112</v>
      </c>
      <c r="B1454" s="2352" t="s">
        <v>9041</v>
      </c>
      <c r="C1454" s="2352" t="s">
        <v>9041</v>
      </c>
      <c r="D1454" s="2352" t="s">
        <v>9113</v>
      </c>
      <c r="E1454" s="355">
        <v>25</v>
      </c>
      <c r="F1454" s="1662">
        <v>30</v>
      </c>
      <c r="G1454" s="903"/>
    </row>
    <row r="1455" spans="1:7" ht="15" customHeight="1" x14ac:dyDescent="0.25">
      <c r="A1455" s="2352" t="s">
        <v>9114</v>
      </c>
      <c r="B1455" s="2352" t="s">
        <v>9041</v>
      </c>
      <c r="C1455" s="2352" t="s">
        <v>9041</v>
      </c>
      <c r="D1455" s="2352" t="s">
        <v>9115</v>
      </c>
      <c r="E1455" s="355">
        <v>100</v>
      </c>
      <c r="F1455" s="1662">
        <v>0</v>
      </c>
      <c r="G1455" s="903"/>
    </row>
    <row r="1456" spans="1:7" ht="15" customHeight="1" x14ac:dyDescent="0.25">
      <c r="A1456" s="2352" t="s">
        <v>7272</v>
      </c>
      <c r="B1456" s="2352" t="s">
        <v>9041</v>
      </c>
      <c r="C1456" s="2352" t="s">
        <v>9041</v>
      </c>
      <c r="D1456" s="2352" t="s">
        <v>9116</v>
      </c>
      <c r="E1456" s="355">
        <v>30</v>
      </c>
      <c r="F1456" s="1662">
        <v>80</v>
      </c>
      <c r="G1456" s="903"/>
    </row>
    <row r="1457" spans="1:7" ht="15" customHeight="1" x14ac:dyDescent="0.25">
      <c r="A1457" s="2352" t="s">
        <v>9117</v>
      </c>
      <c r="B1457" s="2352" t="s">
        <v>9041</v>
      </c>
      <c r="C1457" s="2352" t="s">
        <v>9041</v>
      </c>
      <c r="D1457" s="2352" t="s">
        <v>9118</v>
      </c>
      <c r="E1457" s="355">
        <v>100</v>
      </c>
      <c r="F1457" s="1662">
        <v>18</v>
      </c>
      <c r="G1457" s="903"/>
    </row>
    <row r="1458" spans="1:7" ht="15" customHeight="1" x14ac:dyDescent="0.25">
      <c r="A1458" s="2352" t="s">
        <v>6512</v>
      </c>
      <c r="B1458" s="2352" t="s">
        <v>9041</v>
      </c>
      <c r="C1458" s="2352" t="s">
        <v>9041</v>
      </c>
      <c r="D1458" s="2352" t="s">
        <v>9119</v>
      </c>
      <c r="E1458" s="355">
        <v>63</v>
      </c>
      <c r="F1458" s="1662">
        <v>65</v>
      </c>
      <c r="G1458" s="903"/>
    </row>
    <row r="1459" spans="1:7" ht="15" customHeight="1" x14ac:dyDescent="0.25">
      <c r="A1459" s="2352" t="s">
        <v>8246</v>
      </c>
      <c r="B1459" s="2352" t="s">
        <v>9041</v>
      </c>
      <c r="C1459" s="2352" t="s">
        <v>9041</v>
      </c>
      <c r="D1459" s="2352" t="s">
        <v>9120</v>
      </c>
      <c r="E1459" s="355">
        <v>100</v>
      </c>
      <c r="F1459" s="1662">
        <v>40</v>
      </c>
      <c r="G1459" s="903"/>
    </row>
    <row r="1460" spans="1:7" ht="15" customHeight="1" x14ac:dyDescent="0.25">
      <c r="A1460" s="2352" t="s">
        <v>8246</v>
      </c>
      <c r="B1460" s="2352" t="s">
        <v>9041</v>
      </c>
      <c r="C1460" s="2352" t="s">
        <v>9041</v>
      </c>
      <c r="D1460" s="2352" t="s">
        <v>9121</v>
      </c>
      <c r="E1460" s="355">
        <v>160</v>
      </c>
      <c r="F1460" s="1662">
        <v>60</v>
      </c>
      <c r="G1460" s="903"/>
    </row>
    <row r="1461" spans="1:7" ht="15" customHeight="1" x14ac:dyDescent="0.25">
      <c r="A1461" s="2352" t="s">
        <v>8246</v>
      </c>
      <c r="B1461" s="2352" t="s">
        <v>9041</v>
      </c>
      <c r="C1461" s="2352" t="s">
        <v>9041</v>
      </c>
      <c r="D1461" s="2352" t="s">
        <v>9122</v>
      </c>
      <c r="E1461" s="355">
        <v>63</v>
      </c>
      <c r="F1461" s="1662">
        <v>150</v>
      </c>
      <c r="G1461" s="903"/>
    </row>
    <row r="1462" spans="1:7" ht="15" customHeight="1" x14ac:dyDescent="0.25">
      <c r="A1462" s="2352" t="s">
        <v>9123</v>
      </c>
      <c r="B1462" s="2352" t="s">
        <v>9041</v>
      </c>
      <c r="C1462" s="2352" t="s">
        <v>9041</v>
      </c>
      <c r="D1462" s="2352" t="s">
        <v>9124</v>
      </c>
      <c r="E1462" s="355">
        <v>25</v>
      </c>
      <c r="F1462" s="1662">
        <v>23</v>
      </c>
      <c r="G1462" s="903"/>
    </row>
    <row r="1463" spans="1:7" ht="15" customHeight="1" x14ac:dyDescent="0.25">
      <c r="A1463" s="2352" t="s">
        <v>9125</v>
      </c>
      <c r="B1463" s="2352" t="s">
        <v>9041</v>
      </c>
      <c r="C1463" s="2352" t="s">
        <v>9041</v>
      </c>
      <c r="D1463" s="2352" t="s">
        <v>9126</v>
      </c>
      <c r="E1463" s="355">
        <v>30</v>
      </c>
      <c r="F1463" s="1662">
        <v>15</v>
      </c>
      <c r="G1463" s="903"/>
    </row>
    <row r="1464" spans="1:7" ht="15" customHeight="1" x14ac:dyDescent="0.25">
      <c r="A1464" s="2352" t="s">
        <v>9127</v>
      </c>
      <c r="B1464" s="2352" t="s">
        <v>9041</v>
      </c>
      <c r="C1464" s="2352" t="s">
        <v>9041</v>
      </c>
      <c r="D1464" s="2352" t="s">
        <v>9128</v>
      </c>
      <c r="E1464" s="355">
        <v>160</v>
      </c>
      <c r="F1464" s="1662">
        <v>5</v>
      </c>
      <c r="G1464" s="903"/>
    </row>
    <row r="1465" spans="1:7" ht="15" customHeight="1" x14ac:dyDescent="0.25">
      <c r="A1465" s="2352" t="s">
        <v>9129</v>
      </c>
      <c r="B1465" s="2352" t="s">
        <v>9041</v>
      </c>
      <c r="C1465" s="2352" t="s">
        <v>9041</v>
      </c>
      <c r="D1465" s="2352" t="s">
        <v>9130</v>
      </c>
      <c r="E1465" s="355">
        <v>250</v>
      </c>
      <c r="F1465" s="1662">
        <v>100</v>
      </c>
      <c r="G1465" s="903"/>
    </row>
    <row r="1466" spans="1:7" ht="15" customHeight="1" x14ac:dyDescent="0.25">
      <c r="A1466" s="2352" t="s">
        <v>9040</v>
      </c>
      <c r="B1466" s="2352" t="s">
        <v>9041</v>
      </c>
      <c r="C1466" s="2352" t="s">
        <v>9041</v>
      </c>
      <c r="D1466" s="2352" t="s">
        <v>9131</v>
      </c>
      <c r="E1466" s="355">
        <v>250</v>
      </c>
      <c r="F1466" s="1662">
        <v>150</v>
      </c>
      <c r="G1466" s="903"/>
    </row>
    <row r="1467" spans="1:7" ht="15" customHeight="1" x14ac:dyDescent="0.25">
      <c r="A1467" s="2352" t="s">
        <v>9040</v>
      </c>
      <c r="B1467" s="2352" t="s">
        <v>9041</v>
      </c>
      <c r="C1467" s="2352" t="s">
        <v>9041</v>
      </c>
      <c r="D1467" s="2352" t="s">
        <v>9132</v>
      </c>
      <c r="E1467" s="355">
        <v>100</v>
      </c>
      <c r="F1467" s="1662">
        <v>40</v>
      </c>
      <c r="G1467" s="903"/>
    </row>
    <row r="1468" spans="1:7" ht="15" customHeight="1" x14ac:dyDescent="0.25">
      <c r="A1468" s="2352" t="s">
        <v>9040</v>
      </c>
      <c r="B1468" s="2352" t="s">
        <v>9041</v>
      </c>
      <c r="C1468" s="2352" t="s">
        <v>9041</v>
      </c>
      <c r="D1468" s="2352" t="s">
        <v>9133</v>
      </c>
      <c r="E1468" s="355">
        <v>100</v>
      </c>
      <c r="F1468" s="1662">
        <v>40</v>
      </c>
      <c r="G1468" s="903"/>
    </row>
    <row r="1469" spans="1:7" ht="15" customHeight="1" x14ac:dyDescent="0.25">
      <c r="A1469" s="2352" t="s">
        <v>9040</v>
      </c>
      <c r="B1469" s="2352" t="s">
        <v>9041</v>
      </c>
      <c r="C1469" s="2352" t="s">
        <v>9041</v>
      </c>
      <c r="D1469" s="2352" t="s">
        <v>9134</v>
      </c>
      <c r="E1469" s="355">
        <v>250</v>
      </c>
      <c r="F1469" s="1662">
        <v>100</v>
      </c>
      <c r="G1469" s="903"/>
    </row>
    <row r="1470" spans="1:7" ht="15" customHeight="1" x14ac:dyDescent="0.25">
      <c r="A1470" s="2352" t="s">
        <v>9040</v>
      </c>
      <c r="B1470" s="2352" t="s">
        <v>9041</v>
      </c>
      <c r="C1470" s="2352" t="s">
        <v>9041</v>
      </c>
      <c r="D1470" s="2352" t="s">
        <v>9135</v>
      </c>
      <c r="E1470" s="355">
        <v>250</v>
      </c>
      <c r="F1470" s="1662">
        <v>100</v>
      </c>
      <c r="G1470" s="903"/>
    </row>
    <row r="1471" spans="1:7" ht="15" customHeight="1" x14ac:dyDescent="0.25">
      <c r="A1471" s="2352" t="s">
        <v>9040</v>
      </c>
      <c r="B1471" s="2352" t="s">
        <v>9041</v>
      </c>
      <c r="C1471" s="2352" t="s">
        <v>9041</v>
      </c>
      <c r="D1471" s="2352" t="s">
        <v>9136</v>
      </c>
      <c r="E1471" s="355">
        <v>160</v>
      </c>
      <c r="F1471" s="1662">
        <v>60</v>
      </c>
      <c r="G1471" s="903"/>
    </row>
    <row r="1472" spans="1:7" ht="15" customHeight="1" x14ac:dyDescent="0.25">
      <c r="A1472" s="2352" t="s">
        <v>9040</v>
      </c>
      <c r="B1472" s="2352" t="s">
        <v>9041</v>
      </c>
      <c r="C1472" s="2352" t="s">
        <v>9041</v>
      </c>
      <c r="D1472" s="2352" t="s">
        <v>9137</v>
      </c>
      <c r="E1472" s="355">
        <v>400</v>
      </c>
      <c r="F1472" s="1662">
        <v>65</v>
      </c>
      <c r="G1472" s="903"/>
    </row>
    <row r="1473" spans="1:7" ht="15" customHeight="1" x14ac:dyDescent="0.25">
      <c r="A1473" s="2352" t="s">
        <v>9040</v>
      </c>
      <c r="B1473" s="2352" t="s">
        <v>9041</v>
      </c>
      <c r="C1473" s="2352" t="s">
        <v>9041</v>
      </c>
      <c r="D1473" s="2352" t="s">
        <v>9138</v>
      </c>
      <c r="E1473" s="355">
        <v>400</v>
      </c>
      <c r="F1473" s="1662">
        <v>100</v>
      </c>
      <c r="G1473" s="903"/>
    </row>
    <row r="1474" spans="1:7" ht="15" customHeight="1" x14ac:dyDescent="0.25">
      <c r="A1474" s="2352" t="s">
        <v>9040</v>
      </c>
      <c r="B1474" s="2352" t="s">
        <v>9041</v>
      </c>
      <c r="C1474" s="2352" t="s">
        <v>9041</v>
      </c>
      <c r="D1474" s="2352" t="s">
        <v>9139</v>
      </c>
      <c r="E1474" s="355">
        <v>100</v>
      </c>
      <c r="F1474" s="1662">
        <v>10</v>
      </c>
      <c r="G1474" s="903"/>
    </row>
    <row r="1475" spans="1:7" ht="15" customHeight="1" x14ac:dyDescent="0.25">
      <c r="A1475" s="2352" t="s">
        <v>9040</v>
      </c>
      <c r="B1475" s="2352" t="s">
        <v>9041</v>
      </c>
      <c r="C1475" s="2352" t="s">
        <v>9041</v>
      </c>
      <c r="D1475" s="2352" t="s">
        <v>9140</v>
      </c>
      <c r="E1475" s="355">
        <v>100</v>
      </c>
      <c r="F1475" s="1662">
        <v>10</v>
      </c>
      <c r="G1475" s="903"/>
    </row>
    <row r="1476" spans="1:7" ht="15" customHeight="1" x14ac:dyDescent="0.25">
      <c r="A1476" s="2352" t="s">
        <v>9040</v>
      </c>
      <c r="B1476" s="2352" t="s">
        <v>9041</v>
      </c>
      <c r="C1476" s="2352" t="s">
        <v>9041</v>
      </c>
      <c r="D1476" s="2352" t="s">
        <v>9141</v>
      </c>
      <c r="E1476" s="355">
        <v>100</v>
      </c>
      <c r="F1476" s="1662">
        <v>80</v>
      </c>
      <c r="G1476" s="903"/>
    </row>
    <row r="1477" spans="1:7" ht="15" customHeight="1" x14ac:dyDescent="0.25">
      <c r="A1477" s="2352" t="s">
        <v>9040</v>
      </c>
      <c r="B1477" s="2352" t="s">
        <v>9041</v>
      </c>
      <c r="C1477" s="2352" t="s">
        <v>9041</v>
      </c>
      <c r="D1477" s="2352" t="s">
        <v>9142</v>
      </c>
      <c r="E1477" s="355">
        <v>100</v>
      </c>
      <c r="F1477" s="1662">
        <v>10</v>
      </c>
      <c r="G1477" s="903"/>
    </row>
    <row r="1478" spans="1:7" ht="15" customHeight="1" x14ac:dyDescent="0.25">
      <c r="A1478" s="2352" t="s">
        <v>9040</v>
      </c>
      <c r="B1478" s="2352" t="s">
        <v>9041</v>
      </c>
      <c r="C1478" s="2352" t="s">
        <v>9041</v>
      </c>
      <c r="D1478" s="2352" t="s">
        <v>9143</v>
      </c>
      <c r="E1478" s="355">
        <v>400</v>
      </c>
      <c r="F1478" s="1662">
        <v>55</v>
      </c>
      <c r="G1478" s="903"/>
    </row>
    <row r="1479" spans="1:7" ht="15" customHeight="1" x14ac:dyDescent="0.25">
      <c r="A1479" s="2352" t="s">
        <v>9040</v>
      </c>
      <c r="B1479" s="2352" t="s">
        <v>9041</v>
      </c>
      <c r="C1479" s="2352" t="s">
        <v>9041</v>
      </c>
      <c r="D1479" s="2352" t="s">
        <v>9144</v>
      </c>
      <c r="E1479" s="355">
        <v>160</v>
      </c>
      <c r="F1479" s="1662">
        <v>30</v>
      </c>
      <c r="G1479" s="903"/>
    </row>
    <row r="1480" spans="1:7" ht="15" customHeight="1" x14ac:dyDescent="0.25">
      <c r="A1480" s="2352" t="s">
        <v>9040</v>
      </c>
      <c r="B1480" s="2352" t="s">
        <v>9041</v>
      </c>
      <c r="C1480" s="2352" t="s">
        <v>9041</v>
      </c>
      <c r="D1480" s="2352" t="s">
        <v>9145</v>
      </c>
      <c r="E1480" s="355">
        <v>63</v>
      </c>
      <c r="F1480" s="1662">
        <v>36</v>
      </c>
      <c r="G1480" s="903"/>
    </row>
    <row r="1481" spans="1:7" ht="15" customHeight="1" x14ac:dyDescent="0.25">
      <c r="A1481" s="2352" t="s">
        <v>7594</v>
      </c>
      <c r="B1481" s="2352" t="s">
        <v>9041</v>
      </c>
      <c r="C1481" s="2352" t="s">
        <v>9041</v>
      </c>
      <c r="D1481" s="2352" t="s">
        <v>9146</v>
      </c>
      <c r="E1481" s="355">
        <v>100</v>
      </c>
      <c r="F1481" s="1662">
        <v>85</v>
      </c>
      <c r="G1481" s="903"/>
    </row>
    <row r="1482" spans="1:7" ht="15" customHeight="1" x14ac:dyDescent="0.25">
      <c r="A1482" s="2352" t="s">
        <v>9147</v>
      </c>
      <c r="B1482" s="2352" t="s">
        <v>9041</v>
      </c>
      <c r="C1482" s="2352" t="s">
        <v>9041</v>
      </c>
      <c r="D1482" s="2352" t="s">
        <v>9148</v>
      </c>
      <c r="E1482" s="355">
        <v>160</v>
      </c>
      <c r="F1482" s="1662">
        <v>130</v>
      </c>
      <c r="G1482" s="903"/>
    </row>
    <row r="1483" spans="1:7" ht="15" customHeight="1" x14ac:dyDescent="0.25">
      <c r="A1483" s="2352" t="s">
        <v>9149</v>
      </c>
      <c r="B1483" s="2352" t="s">
        <v>9041</v>
      </c>
      <c r="C1483" s="2352" t="s">
        <v>9041</v>
      </c>
      <c r="D1483" s="2352" t="s">
        <v>9150</v>
      </c>
      <c r="E1483" s="355">
        <v>100</v>
      </c>
      <c r="F1483" s="1662">
        <v>40</v>
      </c>
      <c r="G1483" s="903"/>
    </row>
    <row r="1484" spans="1:7" ht="15" customHeight="1" x14ac:dyDescent="0.25">
      <c r="A1484" s="2352" t="s">
        <v>9149</v>
      </c>
      <c r="B1484" s="2352" t="s">
        <v>9041</v>
      </c>
      <c r="C1484" s="2352" t="s">
        <v>9041</v>
      </c>
      <c r="D1484" s="2352" t="s">
        <v>9151</v>
      </c>
      <c r="E1484" s="355">
        <v>160</v>
      </c>
      <c r="F1484" s="1662">
        <v>50</v>
      </c>
      <c r="G1484" s="903"/>
    </row>
    <row r="1485" spans="1:7" ht="15" customHeight="1" x14ac:dyDescent="0.25">
      <c r="A1485" s="2352" t="s">
        <v>17108</v>
      </c>
      <c r="B1485" s="2352" t="s">
        <v>9041</v>
      </c>
      <c r="C1485" s="2352" t="s">
        <v>9041</v>
      </c>
      <c r="D1485" s="2352" t="s">
        <v>9152</v>
      </c>
      <c r="E1485" s="355">
        <v>25</v>
      </c>
      <c r="F1485" s="1662">
        <v>13</v>
      </c>
      <c r="G1485" s="903"/>
    </row>
    <row r="1486" spans="1:7" ht="15" customHeight="1" x14ac:dyDescent="0.25">
      <c r="A1486" s="2352" t="s">
        <v>9153</v>
      </c>
      <c r="B1486" s="2352" t="s">
        <v>9041</v>
      </c>
      <c r="C1486" s="2352" t="s">
        <v>9041</v>
      </c>
      <c r="D1486" s="2352" t="s">
        <v>9154</v>
      </c>
      <c r="E1486" s="355">
        <v>100</v>
      </c>
      <c r="F1486" s="1662">
        <v>80</v>
      </c>
      <c r="G1486" s="903"/>
    </row>
    <row r="1487" spans="1:7" ht="15" customHeight="1" x14ac:dyDescent="0.25">
      <c r="A1487" s="2352" t="s">
        <v>9155</v>
      </c>
      <c r="B1487" s="2352" t="s">
        <v>9041</v>
      </c>
      <c r="C1487" s="2352" t="s">
        <v>9041</v>
      </c>
      <c r="D1487" s="2352" t="s">
        <v>9156</v>
      </c>
      <c r="E1487" s="355">
        <v>100</v>
      </c>
      <c r="F1487" s="1662">
        <v>40</v>
      </c>
      <c r="G1487" s="903"/>
    </row>
    <row r="1488" spans="1:7" ht="15" customHeight="1" x14ac:dyDescent="0.25">
      <c r="A1488" s="2352" t="s">
        <v>9157</v>
      </c>
      <c r="B1488" s="2352" t="s">
        <v>9041</v>
      </c>
      <c r="C1488" s="2352" t="s">
        <v>9041</v>
      </c>
      <c r="D1488" s="2352" t="s">
        <v>9158</v>
      </c>
      <c r="E1488" s="355">
        <v>63</v>
      </c>
      <c r="F1488" s="1662">
        <v>0</v>
      </c>
      <c r="G1488" s="903"/>
    </row>
    <row r="1489" spans="1:7" ht="15" customHeight="1" x14ac:dyDescent="0.25">
      <c r="A1489" s="2352" t="s">
        <v>9159</v>
      </c>
      <c r="B1489" s="2352" t="s">
        <v>9041</v>
      </c>
      <c r="C1489" s="2352" t="s">
        <v>9041</v>
      </c>
      <c r="D1489" s="2352" t="s">
        <v>9160</v>
      </c>
      <c r="E1489" s="355">
        <v>30</v>
      </c>
      <c r="F1489" s="1662">
        <v>10</v>
      </c>
      <c r="G1489" s="903"/>
    </row>
    <row r="1490" spans="1:7" ht="15" customHeight="1" x14ac:dyDescent="0.25">
      <c r="A1490" s="2352" t="s">
        <v>9161</v>
      </c>
      <c r="B1490" s="2352" t="s">
        <v>9041</v>
      </c>
      <c r="C1490" s="2352" t="s">
        <v>9041</v>
      </c>
      <c r="D1490" s="2352" t="s">
        <v>9162</v>
      </c>
      <c r="E1490" s="355">
        <v>40</v>
      </c>
      <c r="F1490" s="1662">
        <v>12</v>
      </c>
      <c r="G1490" s="903"/>
    </row>
    <row r="1491" spans="1:7" ht="15" customHeight="1" x14ac:dyDescent="0.25">
      <c r="A1491" s="2352" t="s">
        <v>9163</v>
      </c>
      <c r="B1491" s="2352" t="s">
        <v>9041</v>
      </c>
      <c r="C1491" s="2352" t="s">
        <v>9041</v>
      </c>
      <c r="D1491" s="2352" t="s">
        <v>9164</v>
      </c>
      <c r="E1491" s="355">
        <v>30</v>
      </c>
      <c r="F1491" s="1662">
        <v>8</v>
      </c>
      <c r="G1491" s="903"/>
    </row>
    <row r="1492" spans="1:7" ht="15" customHeight="1" x14ac:dyDescent="0.25">
      <c r="A1492" s="2352" t="s">
        <v>9165</v>
      </c>
      <c r="B1492" s="2352" t="s">
        <v>9041</v>
      </c>
      <c r="C1492" s="2352" t="s">
        <v>9041</v>
      </c>
      <c r="D1492" s="2352" t="s">
        <v>9166</v>
      </c>
      <c r="E1492" s="355">
        <v>63</v>
      </c>
      <c r="F1492" s="1662">
        <v>42</v>
      </c>
      <c r="G1492" s="903"/>
    </row>
    <row r="1493" spans="1:7" ht="15" customHeight="1" x14ac:dyDescent="0.25">
      <c r="A1493" s="2352" t="s">
        <v>9165</v>
      </c>
      <c r="B1493" s="2352" t="s">
        <v>9041</v>
      </c>
      <c r="C1493" s="2352" t="s">
        <v>9041</v>
      </c>
      <c r="D1493" s="2352" t="s">
        <v>9167</v>
      </c>
      <c r="E1493" s="355">
        <v>25</v>
      </c>
      <c r="F1493" s="1662">
        <v>15</v>
      </c>
      <c r="G1493" s="903"/>
    </row>
    <row r="1494" spans="1:7" ht="15" customHeight="1" x14ac:dyDescent="0.25">
      <c r="A1494" s="2352" t="s">
        <v>9168</v>
      </c>
      <c r="B1494" s="2352" t="s">
        <v>9041</v>
      </c>
      <c r="C1494" s="2352" t="s">
        <v>9041</v>
      </c>
      <c r="D1494" s="2352" t="s">
        <v>9169</v>
      </c>
      <c r="E1494" s="355">
        <v>63</v>
      </c>
      <c r="F1494" s="1662">
        <v>33</v>
      </c>
      <c r="G1494" s="903"/>
    </row>
    <row r="1495" spans="1:7" ht="15" customHeight="1" x14ac:dyDescent="0.25">
      <c r="A1495" s="2352" t="s">
        <v>9168</v>
      </c>
      <c r="B1495" s="2352" t="s">
        <v>9041</v>
      </c>
      <c r="C1495" s="2352" t="s">
        <v>9041</v>
      </c>
      <c r="D1495" s="2352" t="s">
        <v>9170</v>
      </c>
      <c r="E1495" s="355">
        <v>100</v>
      </c>
      <c r="F1495" s="1662">
        <v>22</v>
      </c>
      <c r="G1495" s="903"/>
    </row>
    <row r="1496" spans="1:7" ht="15" customHeight="1" x14ac:dyDescent="0.25">
      <c r="A1496" s="2352" t="s">
        <v>9171</v>
      </c>
      <c r="B1496" s="2352" t="s">
        <v>9041</v>
      </c>
      <c r="C1496" s="2352" t="s">
        <v>9041</v>
      </c>
      <c r="D1496" s="2352" t="s">
        <v>9172</v>
      </c>
      <c r="E1496" s="355">
        <v>25</v>
      </c>
      <c r="F1496" s="1662">
        <v>5</v>
      </c>
      <c r="G1496" s="903"/>
    </row>
    <row r="1497" spans="1:7" ht="15" customHeight="1" x14ac:dyDescent="0.25">
      <c r="A1497" s="2352" t="s">
        <v>9173</v>
      </c>
      <c r="B1497" s="2352" t="s">
        <v>9041</v>
      </c>
      <c r="C1497" s="2352" t="s">
        <v>9041</v>
      </c>
      <c r="D1497" s="2352" t="s">
        <v>9174</v>
      </c>
      <c r="E1497" s="355">
        <v>160</v>
      </c>
      <c r="F1497" s="1662">
        <v>130</v>
      </c>
      <c r="G1497" s="903"/>
    </row>
    <row r="1498" spans="1:7" ht="15" customHeight="1" x14ac:dyDescent="0.25">
      <c r="A1498" s="2352" t="s">
        <v>9173</v>
      </c>
      <c r="B1498" s="2352" t="s">
        <v>9041</v>
      </c>
      <c r="C1498" s="2352" t="s">
        <v>9041</v>
      </c>
      <c r="D1498" s="2352" t="s">
        <v>9175</v>
      </c>
      <c r="E1498" s="355">
        <v>63</v>
      </c>
      <c r="F1498" s="1662">
        <v>50</v>
      </c>
      <c r="G1498" s="903"/>
    </row>
    <row r="1499" spans="1:7" ht="15" customHeight="1" x14ac:dyDescent="0.25">
      <c r="A1499" s="2352" t="s">
        <v>9176</v>
      </c>
      <c r="B1499" s="2352" t="s">
        <v>9041</v>
      </c>
      <c r="C1499" s="2352" t="s">
        <v>9041</v>
      </c>
      <c r="D1499" s="2352" t="s">
        <v>9177</v>
      </c>
      <c r="E1499" s="355">
        <v>10</v>
      </c>
      <c r="F1499" s="1662">
        <v>0</v>
      </c>
      <c r="G1499" s="903"/>
    </row>
    <row r="1500" spans="1:7" ht="15" customHeight="1" x14ac:dyDescent="0.25">
      <c r="A1500" s="2352" t="s">
        <v>9125</v>
      </c>
      <c r="B1500" s="2352" t="s">
        <v>9041</v>
      </c>
      <c r="C1500" s="2352" t="s">
        <v>9041</v>
      </c>
      <c r="D1500" s="2352" t="s">
        <v>9178</v>
      </c>
      <c r="E1500" s="355">
        <v>100</v>
      </c>
      <c r="F1500" s="1662">
        <v>55</v>
      </c>
      <c r="G1500" s="903"/>
    </row>
    <row r="1501" spans="1:7" ht="15" customHeight="1" x14ac:dyDescent="0.25">
      <c r="A1501" s="2352" t="s">
        <v>9179</v>
      </c>
      <c r="B1501" s="2352" t="s">
        <v>9041</v>
      </c>
      <c r="C1501" s="2352" t="s">
        <v>9041</v>
      </c>
      <c r="D1501" s="2352" t="s">
        <v>9180</v>
      </c>
      <c r="E1501" s="355">
        <v>100</v>
      </c>
      <c r="F1501" s="1662">
        <v>70</v>
      </c>
      <c r="G1501" s="903"/>
    </row>
    <row r="1502" spans="1:7" ht="15" customHeight="1" x14ac:dyDescent="0.25">
      <c r="A1502" s="2352" t="s">
        <v>9181</v>
      </c>
      <c r="B1502" s="2352" t="s">
        <v>9041</v>
      </c>
      <c r="C1502" s="2352" t="s">
        <v>9041</v>
      </c>
      <c r="D1502" s="2352" t="s">
        <v>9182</v>
      </c>
      <c r="E1502" s="355">
        <v>250</v>
      </c>
      <c r="F1502" s="1662">
        <v>170</v>
      </c>
      <c r="G1502" s="903"/>
    </row>
    <row r="1503" spans="1:7" ht="15" customHeight="1" x14ac:dyDescent="0.25">
      <c r="A1503" s="2352" t="s">
        <v>9181</v>
      </c>
      <c r="B1503" s="2352" t="s">
        <v>9041</v>
      </c>
      <c r="C1503" s="2352" t="s">
        <v>9041</v>
      </c>
      <c r="D1503" s="2352" t="s">
        <v>9183</v>
      </c>
      <c r="E1503" s="355">
        <v>160</v>
      </c>
      <c r="F1503" s="1662">
        <v>80</v>
      </c>
      <c r="G1503" s="903"/>
    </row>
    <row r="1504" spans="1:7" ht="15" customHeight="1" x14ac:dyDescent="0.25">
      <c r="A1504" s="2352" t="s">
        <v>9184</v>
      </c>
      <c r="B1504" s="2352" t="s">
        <v>9041</v>
      </c>
      <c r="C1504" s="2352" t="s">
        <v>9041</v>
      </c>
      <c r="D1504" s="2352" t="s">
        <v>9185</v>
      </c>
      <c r="E1504" s="355">
        <v>100</v>
      </c>
      <c r="F1504" s="1662">
        <v>0</v>
      </c>
      <c r="G1504" s="903"/>
    </row>
    <row r="1505" spans="1:7" ht="15" customHeight="1" x14ac:dyDescent="0.25">
      <c r="A1505" s="2352" t="s">
        <v>4869</v>
      </c>
      <c r="B1505" s="2352" t="s">
        <v>9041</v>
      </c>
      <c r="C1505" s="2352" t="s">
        <v>9041</v>
      </c>
      <c r="D1505" s="2352" t="s">
        <v>9186</v>
      </c>
      <c r="E1505" s="355">
        <v>160</v>
      </c>
      <c r="F1505" s="1662">
        <v>10</v>
      </c>
      <c r="G1505" s="903"/>
    </row>
    <row r="1506" spans="1:7" ht="15" customHeight="1" x14ac:dyDescent="0.25">
      <c r="A1506" s="2352" t="s">
        <v>4869</v>
      </c>
      <c r="B1506" s="2352" t="s">
        <v>9041</v>
      </c>
      <c r="C1506" s="2352" t="s">
        <v>9041</v>
      </c>
      <c r="D1506" s="2352" t="s">
        <v>9187</v>
      </c>
      <c r="E1506" s="355">
        <v>63</v>
      </c>
      <c r="F1506" s="1662">
        <v>0</v>
      </c>
      <c r="G1506" s="903"/>
    </row>
    <row r="1507" spans="1:7" ht="15" customHeight="1" x14ac:dyDescent="0.25">
      <c r="A1507" s="2352" t="s">
        <v>4869</v>
      </c>
      <c r="B1507" s="2352" t="s">
        <v>9041</v>
      </c>
      <c r="C1507" s="2352" t="s">
        <v>9041</v>
      </c>
      <c r="D1507" s="2352" t="s">
        <v>9188</v>
      </c>
      <c r="E1507" s="355">
        <v>100</v>
      </c>
      <c r="F1507" s="1662">
        <v>10</v>
      </c>
      <c r="G1507" s="903"/>
    </row>
    <row r="1508" spans="1:7" ht="15" customHeight="1" x14ac:dyDescent="0.25">
      <c r="A1508" s="2352" t="s">
        <v>4869</v>
      </c>
      <c r="B1508" s="2352" t="s">
        <v>9041</v>
      </c>
      <c r="C1508" s="2352" t="s">
        <v>9041</v>
      </c>
      <c r="D1508" s="2352" t="s">
        <v>9189</v>
      </c>
      <c r="E1508" s="355">
        <v>250</v>
      </c>
      <c r="F1508" s="1662">
        <v>50</v>
      </c>
      <c r="G1508" s="903"/>
    </row>
    <row r="1509" spans="1:7" ht="15" customHeight="1" x14ac:dyDescent="0.25">
      <c r="A1509" s="2352" t="s">
        <v>9190</v>
      </c>
      <c r="B1509" s="2352" t="s">
        <v>9041</v>
      </c>
      <c r="C1509" s="2352" t="s">
        <v>9041</v>
      </c>
      <c r="D1509" s="2352" t="s">
        <v>9191</v>
      </c>
      <c r="E1509" s="355">
        <v>30</v>
      </c>
      <c r="F1509" s="1662">
        <v>20</v>
      </c>
      <c r="G1509" s="903"/>
    </row>
    <row r="1510" spans="1:7" ht="15" customHeight="1" x14ac:dyDescent="0.25">
      <c r="A1510" s="2352" t="s">
        <v>17109</v>
      </c>
      <c r="B1510" s="2352" t="s">
        <v>9041</v>
      </c>
      <c r="C1510" s="2352" t="s">
        <v>9041</v>
      </c>
      <c r="D1510" s="2352" t="s">
        <v>9192</v>
      </c>
      <c r="E1510" s="355">
        <v>180</v>
      </c>
      <c r="F1510" s="1662">
        <v>10</v>
      </c>
      <c r="G1510" s="903"/>
    </row>
    <row r="1511" spans="1:7" ht="15" customHeight="1" x14ac:dyDescent="0.25">
      <c r="A1511" s="2352" t="s">
        <v>6540</v>
      </c>
      <c r="B1511" s="2352" t="s">
        <v>9041</v>
      </c>
      <c r="C1511" s="2352" t="s">
        <v>9041</v>
      </c>
      <c r="D1511" s="2352" t="s">
        <v>9193</v>
      </c>
      <c r="E1511" s="355">
        <v>40</v>
      </c>
      <c r="F1511" s="1662">
        <v>34</v>
      </c>
      <c r="G1511" s="903"/>
    </row>
    <row r="1512" spans="1:7" ht="15" customHeight="1" x14ac:dyDescent="0.25">
      <c r="A1512" s="2352" t="s">
        <v>9194</v>
      </c>
      <c r="B1512" s="2352" t="s">
        <v>9041</v>
      </c>
      <c r="C1512" s="2352" t="s">
        <v>9041</v>
      </c>
      <c r="D1512" s="2352" t="s">
        <v>9195</v>
      </c>
      <c r="E1512" s="355">
        <v>160</v>
      </c>
      <c r="F1512" s="1662">
        <v>140</v>
      </c>
      <c r="G1512" s="903"/>
    </row>
    <row r="1513" spans="1:7" ht="15" customHeight="1" x14ac:dyDescent="0.25">
      <c r="A1513" s="2352" t="s">
        <v>9196</v>
      </c>
      <c r="B1513" s="2352" t="s">
        <v>9041</v>
      </c>
      <c r="C1513" s="2352" t="s">
        <v>9041</v>
      </c>
      <c r="D1513" s="2352" t="s">
        <v>9197</v>
      </c>
      <c r="E1513" s="355">
        <v>63</v>
      </c>
      <c r="F1513" s="1662">
        <v>23</v>
      </c>
      <c r="G1513" s="903"/>
    </row>
    <row r="1514" spans="1:7" ht="15" customHeight="1" x14ac:dyDescent="0.25">
      <c r="A1514" s="2352" t="s">
        <v>9198</v>
      </c>
      <c r="B1514" s="2352" t="s">
        <v>9041</v>
      </c>
      <c r="C1514" s="2352" t="s">
        <v>9041</v>
      </c>
      <c r="D1514" s="2352" t="s">
        <v>9199</v>
      </c>
      <c r="E1514" s="355">
        <v>100</v>
      </c>
      <c r="F1514" s="1662">
        <v>0</v>
      </c>
      <c r="G1514" s="903"/>
    </row>
    <row r="1515" spans="1:7" ht="15" customHeight="1" x14ac:dyDescent="0.25">
      <c r="A1515" s="2352" t="s">
        <v>9200</v>
      </c>
      <c r="B1515" s="2352" t="s">
        <v>9041</v>
      </c>
      <c r="C1515" s="2352" t="s">
        <v>9041</v>
      </c>
      <c r="D1515" s="2352" t="s">
        <v>9201</v>
      </c>
      <c r="E1515" s="355">
        <v>100</v>
      </c>
      <c r="F1515" s="1662">
        <v>0</v>
      </c>
      <c r="G1515" s="903"/>
    </row>
    <row r="1516" spans="1:7" ht="15" customHeight="1" x14ac:dyDescent="0.25">
      <c r="A1516" s="2352" t="s">
        <v>9202</v>
      </c>
      <c r="B1516" s="2352" t="s">
        <v>9041</v>
      </c>
      <c r="C1516" s="2352" t="s">
        <v>9041</v>
      </c>
      <c r="D1516" s="2352" t="s">
        <v>9203</v>
      </c>
      <c r="E1516" s="355">
        <v>160</v>
      </c>
      <c r="F1516" s="1662">
        <v>60</v>
      </c>
      <c r="G1516" s="903"/>
    </row>
    <row r="1517" spans="1:7" ht="15" customHeight="1" x14ac:dyDescent="0.25">
      <c r="A1517" s="2352" t="s">
        <v>9202</v>
      </c>
      <c r="B1517" s="2352" t="s">
        <v>9041</v>
      </c>
      <c r="C1517" s="2352" t="s">
        <v>9041</v>
      </c>
      <c r="D1517" s="2352" t="s">
        <v>9204</v>
      </c>
      <c r="E1517" s="355">
        <v>400</v>
      </c>
      <c r="F1517" s="1662">
        <v>300</v>
      </c>
      <c r="G1517" s="903"/>
    </row>
    <row r="1518" spans="1:7" ht="15" customHeight="1" x14ac:dyDescent="0.25">
      <c r="A1518" s="2352" t="s">
        <v>9205</v>
      </c>
      <c r="B1518" s="2352" t="s">
        <v>9041</v>
      </c>
      <c r="C1518" s="2352" t="s">
        <v>9041</v>
      </c>
      <c r="D1518" s="2352" t="s">
        <v>9206</v>
      </c>
      <c r="E1518" s="355">
        <v>250</v>
      </c>
      <c r="F1518" s="1662">
        <v>150</v>
      </c>
      <c r="G1518" s="903"/>
    </row>
    <row r="1519" spans="1:7" ht="15" customHeight="1" x14ac:dyDescent="0.25">
      <c r="A1519" s="2352" t="s">
        <v>9207</v>
      </c>
      <c r="B1519" s="2352" t="s">
        <v>9041</v>
      </c>
      <c r="C1519" s="2352" t="s">
        <v>9041</v>
      </c>
      <c r="D1519" s="2352" t="s">
        <v>9208</v>
      </c>
      <c r="E1519" s="355">
        <v>100</v>
      </c>
      <c r="F1519" s="1662">
        <v>0</v>
      </c>
      <c r="G1519" s="903"/>
    </row>
    <row r="1520" spans="1:7" ht="15" customHeight="1" x14ac:dyDescent="0.25">
      <c r="A1520" s="2352" t="s">
        <v>9202</v>
      </c>
      <c r="B1520" s="2352" t="s">
        <v>9041</v>
      </c>
      <c r="C1520" s="2352" t="s">
        <v>9041</v>
      </c>
      <c r="D1520" s="2352" t="s">
        <v>9209</v>
      </c>
      <c r="E1520" s="355">
        <v>160</v>
      </c>
      <c r="F1520" s="1662">
        <v>100</v>
      </c>
      <c r="G1520" s="903"/>
    </row>
    <row r="1521" spans="1:7" ht="15" customHeight="1" x14ac:dyDescent="0.25">
      <c r="A1521" s="2352" t="s">
        <v>9202</v>
      </c>
      <c r="B1521" s="2352" t="s">
        <v>9041</v>
      </c>
      <c r="C1521" s="2352" t="s">
        <v>9041</v>
      </c>
      <c r="D1521" s="2352" t="s">
        <v>9210</v>
      </c>
      <c r="E1521" s="355">
        <v>250</v>
      </c>
      <c r="F1521" s="1662">
        <v>180</v>
      </c>
      <c r="G1521" s="903"/>
    </row>
    <row r="1522" spans="1:7" ht="15" customHeight="1" x14ac:dyDescent="0.25">
      <c r="A1522" s="2352" t="s">
        <v>9202</v>
      </c>
      <c r="B1522" s="2352" t="s">
        <v>9041</v>
      </c>
      <c r="C1522" s="2352" t="s">
        <v>9041</v>
      </c>
      <c r="D1522" s="2352" t="s">
        <v>9211</v>
      </c>
      <c r="E1522" s="355">
        <v>160</v>
      </c>
      <c r="F1522" s="1662">
        <v>130</v>
      </c>
      <c r="G1522" s="903"/>
    </row>
    <row r="1523" spans="1:7" ht="15" customHeight="1" x14ac:dyDescent="0.25">
      <c r="A1523" s="2352" t="s">
        <v>17110</v>
      </c>
      <c r="B1523" s="2352" t="s">
        <v>9041</v>
      </c>
      <c r="C1523" s="2352" t="s">
        <v>9041</v>
      </c>
      <c r="D1523" s="2352" t="s">
        <v>9212</v>
      </c>
      <c r="E1523" s="355">
        <v>63</v>
      </c>
      <c r="F1523" s="1662">
        <v>20</v>
      </c>
      <c r="G1523" s="903"/>
    </row>
    <row r="1524" spans="1:7" ht="15" customHeight="1" x14ac:dyDescent="0.25">
      <c r="A1524" s="2352" t="s">
        <v>9213</v>
      </c>
      <c r="B1524" s="2352" t="s">
        <v>9041</v>
      </c>
      <c r="C1524" s="2352" t="s">
        <v>9041</v>
      </c>
      <c r="D1524" s="2352" t="s">
        <v>9214</v>
      </c>
      <c r="E1524" s="355">
        <v>100</v>
      </c>
      <c r="F1524" s="1662">
        <v>20</v>
      </c>
      <c r="G1524" s="903"/>
    </row>
    <row r="1525" spans="1:7" ht="15" customHeight="1" x14ac:dyDescent="0.25">
      <c r="A1525" s="2352" t="s">
        <v>9213</v>
      </c>
      <c r="B1525" s="2352" t="s">
        <v>9041</v>
      </c>
      <c r="C1525" s="2352" t="s">
        <v>9041</v>
      </c>
      <c r="D1525" s="2352" t="s">
        <v>9215</v>
      </c>
      <c r="E1525" s="355">
        <v>100</v>
      </c>
      <c r="F1525" s="1662">
        <v>80</v>
      </c>
      <c r="G1525" s="903"/>
    </row>
    <row r="1526" spans="1:7" ht="15" customHeight="1" x14ac:dyDescent="0.25">
      <c r="A1526" s="2352" t="s">
        <v>15364</v>
      </c>
      <c r="B1526" s="2352" t="s">
        <v>15357</v>
      </c>
      <c r="C1526" s="2352" t="s">
        <v>15357</v>
      </c>
      <c r="D1526" s="2352" t="s">
        <v>15365</v>
      </c>
      <c r="E1526" s="355" t="s">
        <v>17097</v>
      </c>
      <c r="F1526" s="1662">
        <v>20</v>
      </c>
      <c r="G1526" s="903"/>
    </row>
    <row r="1527" spans="1:7" ht="15" customHeight="1" x14ac:dyDescent="0.25">
      <c r="A1527" s="2352" t="s">
        <v>15356</v>
      </c>
      <c r="B1527" s="2352" t="s">
        <v>15357</v>
      </c>
      <c r="C1527" s="2352" t="s">
        <v>15357</v>
      </c>
      <c r="D1527" s="2352" t="s">
        <v>15358</v>
      </c>
      <c r="E1527" s="355" t="s">
        <v>17097</v>
      </c>
      <c r="F1527" s="1662">
        <v>35</v>
      </c>
      <c r="G1527" s="903"/>
    </row>
    <row r="1528" spans="1:7" ht="15" customHeight="1" x14ac:dyDescent="0.25">
      <c r="A1528" s="2352" t="s">
        <v>7471</v>
      </c>
      <c r="B1528" s="2352" t="s">
        <v>15357</v>
      </c>
      <c r="C1528" s="2352" t="s">
        <v>15357</v>
      </c>
      <c r="D1528" s="2352" t="s">
        <v>15359</v>
      </c>
      <c r="E1528" s="355" t="s">
        <v>17104</v>
      </c>
      <c r="F1528" s="1662">
        <v>10</v>
      </c>
      <c r="G1528" s="903"/>
    </row>
    <row r="1529" spans="1:7" ht="15" customHeight="1" x14ac:dyDescent="0.25">
      <c r="A1529" s="2352" t="s">
        <v>15360</v>
      </c>
      <c r="B1529" s="2352" t="s">
        <v>15357</v>
      </c>
      <c r="C1529" s="2352" t="s">
        <v>15357</v>
      </c>
      <c r="D1529" s="2352" t="s">
        <v>15361</v>
      </c>
      <c r="E1529" s="355" t="s">
        <v>17099</v>
      </c>
      <c r="F1529" s="1662">
        <v>50</v>
      </c>
      <c r="G1529" s="903"/>
    </row>
    <row r="1530" spans="1:7" ht="15" customHeight="1" x14ac:dyDescent="0.25">
      <c r="A1530" s="2352" t="s">
        <v>15362</v>
      </c>
      <c r="B1530" s="2352" t="s">
        <v>15357</v>
      </c>
      <c r="C1530" s="2352" t="s">
        <v>15357</v>
      </c>
      <c r="D1530" s="2352" t="s">
        <v>15363</v>
      </c>
      <c r="E1530" s="355" t="s">
        <v>17104</v>
      </c>
      <c r="F1530" s="1662">
        <v>6</v>
      </c>
      <c r="G1530" s="903"/>
    </row>
    <row r="1531" spans="1:7" ht="15" customHeight="1" x14ac:dyDescent="0.25">
      <c r="A1531" s="2352" t="s">
        <v>10558</v>
      </c>
      <c r="B1531" s="2352" t="s">
        <v>15357</v>
      </c>
      <c r="C1531" s="2352" t="s">
        <v>15357</v>
      </c>
      <c r="D1531" s="2352" t="s">
        <v>15671</v>
      </c>
      <c r="E1531" s="355" t="s">
        <v>17100</v>
      </c>
      <c r="F1531" s="1662">
        <v>0</v>
      </c>
      <c r="G1531" s="903"/>
    </row>
    <row r="1532" spans="1:7" ht="15" customHeight="1" x14ac:dyDescent="0.25">
      <c r="A1532" s="2352" t="s">
        <v>15371</v>
      </c>
      <c r="B1532" s="2352" t="s">
        <v>15357</v>
      </c>
      <c r="C1532" s="2352" t="s">
        <v>15357</v>
      </c>
      <c r="D1532" s="2352" t="s">
        <v>15372</v>
      </c>
      <c r="E1532" s="355" t="s">
        <v>17104</v>
      </c>
      <c r="F1532" s="1662">
        <v>10</v>
      </c>
      <c r="G1532" s="903"/>
    </row>
    <row r="1533" spans="1:7" ht="15" customHeight="1" x14ac:dyDescent="0.25">
      <c r="A1533" s="2352" t="s">
        <v>15611</v>
      </c>
      <c r="B1533" s="2352" t="s">
        <v>15357</v>
      </c>
      <c r="C1533" s="2352" t="s">
        <v>15357</v>
      </c>
      <c r="D1533" s="2352" t="s">
        <v>15612</v>
      </c>
      <c r="E1533" s="355" t="s">
        <v>17102</v>
      </c>
      <c r="F1533" s="1662">
        <v>45</v>
      </c>
      <c r="G1533" s="903"/>
    </row>
    <row r="1534" spans="1:7" ht="15" customHeight="1" x14ac:dyDescent="0.25">
      <c r="A1534" s="2352" t="s">
        <v>15369</v>
      </c>
      <c r="B1534" s="2352" t="s">
        <v>15357</v>
      </c>
      <c r="C1534" s="2352" t="s">
        <v>15357</v>
      </c>
      <c r="D1534" s="2352" t="s">
        <v>15370</v>
      </c>
      <c r="E1534" s="355" t="s">
        <v>17111</v>
      </c>
      <c r="F1534" s="1662">
        <v>20</v>
      </c>
      <c r="G1534" s="903"/>
    </row>
    <row r="1535" spans="1:7" ht="15" customHeight="1" x14ac:dyDescent="0.25">
      <c r="A1535" s="2352" t="s">
        <v>4885</v>
      </c>
      <c r="B1535" s="2352" t="s">
        <v>15357</v>
      </c>
      <c r="C1535" s="2352" t="s">
        <v>15357</v>
      </c>
      <c r="D1535" s="2352" t="s">
        <v>15373</v>
      </c>
      <c r="E1535" s="355" t="s">
        <v>17099</v>
      </c>
      <c r="F1535" s="1662">
        <v>40</v>
      </c>
      <c r="G1535" s="903"/>
    </row>
    <row r="1536" spans="1:7" ht="15" customHeight="1" x14ac:dyDescent="0.25">
      <c r="A1536" s="2352" t="s">
        <v>14459</v>
      </c>
      <c r="B1536" s="2352" t="s">
        <v>15357</v>
      </c>
      <c r="C1536" s="2352" t="s">
        <v>15357</v>
      </c>
      <c r="D1536" s="2352" t="s">
        <v>15379</v>
      </c>
      <c r="E1536" s="355" t="s">
        <v>17111</v>
      </c>
      <c r="F1536" s="1662">
        <v>15</v>
      </c>
      <c r="G1536" s="903"/>
    </row>
    <row r="1537" spans="1:7" ht="15" customHeight="1" x14ac:dyDescent="0.25">
      <c r="A1537" s="2352" t="s">
        <v>9349</v>
      </c>
      <c r="B1537" s="2352" t="s">
        <v>15357</v>
      </c>
      <c r="C1537" s="2352" t="s">
        <v>15357</v>
      </c>
      <c r="D1537" s="2352" t="s">
        <v>15374</v>
      </c>
      <c r="E1537" s="355" t="s">
        <v>17100</v>
      </c>
      <c r="F1537" s="1662">
        <v>0</v>
      </c>
      <c r="G1537" s="903"/>
    </row>
    <row r="1538" spans="1:7" ht="15" customHeight="1" x14ac:dyDescent="0.25">
      <c r="A1538" s="2352" t="s">
        <v>3918</v>
      </c>
      <c r="B1538" s="2352" t="s">
        <v>15357</v>
      </c>
      <c r="C1538" s="2352" t="s">
        <v>15357</v>
      </c>
      <c r="D1538" s="2352" t="s">
        <v>15377</v>
      </c>
      <c r="E1538" s="355" t="s">
        <v>17095</v>
      </c>
      <c r="F1538" s="1662">
        <v>50</v>
      </c>
      <c r="G1538" s="903"/>
    </row>
    <row r="1539" spans="1:7" ht="15" customHeight="1" x14ac:dyDescent="0.25">
      <c r="A1539" s="2352" t="s">
        <v>3918</v>
      </c>
      <c r="B1539" s="2352" t="s">
        <v>15357</v>
      </c>
      <c r="C1539" s="2352" t="s">
        <v>15357</v>
      </c>
      <c r="D1539" s="2352" t="s">
        <v>15378</v>
      </c>
      <c r="E1539" s="355" t="s">
        <v>17102</v>
      </c>
      <c r="F1539" s="1662">
        <v>50</v>
      </c>
      <c r="G1539" s="903"/>
    </row>
    <row r="1540" spans="1:7" ht="15" customHeight="1" x14ac:dyDescent="0.25">
      <c r="A1540" s="2352" t="s">
        <v>4383</v>
      </c>
      <c r="B1540" s="2352" t="s">
        <v>15357</v>
      </c>
      <c r="C1540" s="2352" t="s">
        <v>15357</v>
      </c>
      <c r="D1540" s="2352" t="s">
        <v>15376</v>
      </c>
      <c r="E1540" s="355" t="s">
        <v>17099</v>
      </c>
      <c r="F1540" s="1662">
        <v>30</v>
      </c>
      <c r="G1540" s="903"/>
    </row>
    <row r="1541" spans="1:7" ht="15" customHeight="1" x14ac:dyDescent="0.25">
      <c r="A1541" s="2352" t="s">
        <v>15103</v>
      </c>
      <c r="B1541" s="2352" t="s">
        <v>15357</v>
      </c>
      <c r="C1541" s="2352" t="s">
        <v>15357</v>
      </c>
      <c r="D1541" s="2352" t="s">
        <v>15375</v>
      </c>
      <c r="E1541" s="355" t="s">
        <v>17097</v>
      </c>
      <c r="F1541" s="1662">
        <v>15</v>
      </c>
      <c r="G1541" s="903"/>
    </row>
    <row r="1542" spans="1:7" ht="15" customHeight="1" x14ac:dyDescent="0.25">
      <c r="A1542" s="2352" t="s">
        <v>15613</v>
      </c>
      <c r="B1542" s="2352" t="s">
        <v>15357</v>
      </c>
      <c r="C1542" s="2352" t="s">
        <v>15357</v>
      </c>
      <c r="D1542" s="2352" t="s">
        <v>15614</v>
      </c>
      <c r="E1542" s="355" t="s">
        <v>17099</v>
      </c>
      <c r="F1542" s="1662">
        <v>20</v>
      </c>
      <c r="G1542" s="903"/>
    </row>
    <row r="1543" spans="1:7" ht="15" customHeight="1" x14ac:dyDescent="0.25">
      <c r="A1543" s="2352" t="s">
        <v>15381</v>
      </c>
      <c r="B1543" s="2352" t="s">
        <v>15357</v>
      </c>
      <c r="C1543" s="2352" t="s">
        <v>15357</v>
      </c>
      <c r="D1543" s="2352" t="s">
        <v>15383</v>
      </c>
      <c r="E1543" s="355" t="s">
        <v>17099</v>
      </c>
      <c r="F1543" s="1662">
        <v>30</v>
      </c>
      <c r="G1543" s="903"/>
    </row>
    <row r="1544" spans="1:7" ht="15" customHeight="1" x14ac:dyDescent="0.25">
      <c r="A1544" s="2352" t="s">
        <v>15381</v>
      </c>
      <c r="B1544" s="2352" t="s">
        <v>15357</v>
      </c>
      <c r="C1544" s="2352" t="s">
        <v>15357</v>
      </c>
      <c r="D1544" s="2352" t="s">
        <v>15384</v>
      </c>
      <c r="E1544" s="355" t="s">
        <v>17097</v>
      </c>
      <c r="F1544" s="1662">
        <v>10</v>
      </c>
      <c r="G1544" s="903"/>
    </row>
    <row r="1545" spans="1:7" ht="15" customHeight="1" x14ac:dyDescent="0.25">
      <c r="A1545" s="2352" t="s">
        <v>15381</v>
      </c>
      <c r="B1545" s="2352" t="s">
        <v>15357</v>
      </c>
      <c r="C1545" s="2352" t="s">
        <v>15357</v>
      </c>
      <c r="D1545" s="2352" t="s">
        <v>15385</v>
      </c>
      <c r="E1545" s="355" t="s">
        <v>17102</v>
      </c>
      <c r="F1545" s="1662">
        <v>40</v>
      </c>
      <c r="G1545" s="903"/>
    </row>
    <row r="1546" spans="1:7" ht="15" customHeight="1" x14ac:dyDescent="0.25">
      <c r="A1546" s="2352" t="s">
        <v>15381</v>
      </c>
      <c r="B1546" s="2352" t="s">
        <v>15357</v>
      </c>
      <c r="C1546" s="2352" t="s">
        <v>15357</v>
      </c>
      <c r="D1546" s="2352" t="s">
        <v>15667</v>
      </c>
      <c r="E1546" s="355" t="s">
        <v>17096</v>
      </c>
      <c r="F1546" s="1662">
        <v>30</v>
      </c>
      <c r="G1546" s="903"/>
    </row>
    <row r="1547" spans="1:7" ht="15" customHeight="1" x14ac:dyDescent="0.25">
      <c r="A1547" s="2352" t="s">
        <v>15381</v>
      </c>
      <c r="B1547" s="2352" t="s">
        <v>15357</v>
      </c>
      <c r="C1547" s="2352" t="s">
        <v>15357</v>
      </c>
      <c r="D1547" s="2352" t="s">
        <v>15668</v>
      </c>
      <c r="E1547" s="355" t="s">
        <v>17102</v>
      </c>
      <c r="F1547" s="1662">
        <v>50</v>
      </c>
      <c r="G1547" s="903"/>
    </row>
    <row r="1548" spans="1:7" ht="15" customHeight="1" x14ac:dyDescent="0.25">
      <c r="A1548" s="2352" t="s">
        <v>15381</v>
      </c>
      <c r="B1548" s="2352" t="s">
        <v>15357</v>
      </c>
      <c r="C1548" s="2352" t="s">
        <v>15357</v>
      </c>
      <c r="D1548" s="2352" t="s">
        <v>15382</v>
      </c>
      <c r="E1548" s="355" t="s">
        <v>17095</v>
      </c>
      <c r="F1548" s="1662">
        <v>50</v>
      </c>
      <c r="G1548" s="903"/>
    </row>
    <row r="1549" spans="1:7" ht="15" customHeight="1" x14ac:dyDescent="0.25">
      <c r="A1549" s="2352" t="s">
        <v>14502</v>
      </c>
      <c r="B1549" s="2352" t="s">
        <v>15357</v>
      </c>
      <c r="C1549" s="2352" t="s">
        <v>15357</v>
      </c>
      <c r="D1549" s="2352" t="s">
        <v>15380</v>
      </c>
      <c r="E1549" s="355" t="s">
        <v>17100</v>
      </c>
      <c r="F1549" s="1662">
        <v>0</v>
      </c>
      <c r="G1549" s="903"/>
    </row>
    <row r="1550" spans="1:7" ht="15" customHeight="1" x14ac:dyDescent="0.25">
      <c r="A1550" s="2352" t="s">
        <v>15386</v>
      </c>
      <c r="B1550" s="2352" t="s">
        <v>15357</v>
      </c>
      <c r="C1550" s="2352" t="s">
        <v>15357</v>
      </c>
      <c r="D1550" s="2352" t="s">
        <v>15387</v>
      </c>
      <c r="E1550" s="355" t="s">
        <v>17102</v>
      </c>
      <c r="F1550" s="1662">
        <v>40</v>
      </c>
      <c r="G1550" s="903"/>
    </row>
    <row r="1551" spans="1:7" ht="15" customHeight="1" x14ac:dyDescent="0.25">
      <c r="A1551" s="2352" t="s">
        <v>15392</v>
      </c>
      <c r="B1551" s="2352" t="s">
        <v>15357</v>
      </c>
      <c r="C1551" s="2352" t="s">
        <v>15357</v>
      </c>
      <c r="D1551" s="2352" t="s">
        <v>15393</v>
      </c>
      <c r="E1551" s="355" t="s">
        <v>17097</v>
      </c>
      <c r="F1551" s="1662">
        <v>15</v>
      </c>
      <c r="G1551" s="903"/>
    </row>
    <row r="1552" spans="1:7" ht="15" customHeight="1" x14ac:dyDescent="0.25">
      <c r="A1552" s="2352" t="s">
        <v>15388</v>
      </c>
      <c r="B1552" s="2352" t="s">
        <v>15357</v>
      </c>
      <c r="C1552" s="2352" t="s">
        <v>15357</v>
      </c>
      <c r="D1552" s="2352" t="s">
        <v>15389</v>
      </c>
      <c r="E1552" s="355" t="s">
        <v>17098</v>
      </c>
      <c r="F1552" s="1662">
        <v>0</v>
      </c>
      <c r="G1552" s="903"/>
    </row>
    <row r="1553" spans="1:7" ht="15" customHeight="1" x14ac:dyDescent="0.25">
      <c r="A1553" s="2352" t="s">
        <v>15394</v>
      </c>
      <c r="B1553" s="2352" t="s">
        <v>15357</v>
      </c>
      <c r="C1553" s="2352" t="s">
        <v>15357</v>
      </c>
      <c r="D1553" s="2352" t="s">
        <v>15395</v>
      </c>
      <c r="E1553" s="355" t="s">
        <v>17097</v>
      </c>
      <c r="F1553" s="1662">
        <v>10</v>
      </c>
      <c r="G1553" s="903"/>
    </row>
    <row r="1554" spans="1:7" ht="15" customHeight="1" x14ac:dyDescent="0.25">
      <c r="A1554" s="2352" t="s">
        <v>15390</v>
      </c>
      <c r="B1554" s="2352" t="s">
        <v>15357</v>
      </c>
      <c r="C1554" s="2352" t="s">
        <v>15357</v>
      </c>
      <c r="D1554" s="2352" t="s">
        <v>15391</v>
      </c>
      <c r="E1554" s="355" t="s">
        <v>17111</v>
      </c>
      <c r="F1554" s="1662">
        <v>15</v>
      </c>
      <c r="G1554" s="903"/>
    </row>
    <row r="1555" spans="1:7" ht="15" customHeight="1" x14ac:dyDescent="0.25">
      <c r="A1555" s="2352" t="s">
        <v>15677</v>
      </c>
      <c r="B1555" s="2352" t="s">
        <v>15357</v>
      </c>
      <c r="C1555" s="2352" t="s">
        <v>15357</v>
      </c>
      <c r="D1555" s="2352" t="s">
        <v>15678</v>
      </c>
      <c r="E1555" s="355" t="s">
        <v>17097</v>
      </c>
      <c r="F1555" s="1662">
        <v>15</v>
      </c>
      <c r="G1555" s="903"/>
    </row>
    <row r="1556" spans="1:7" ht="15" customHeight="1" x14ac:dyDescent="0.25">
      <c r="A1556" s="2352" t="s">
        <v>15402</v>
      </c>
      <c r="B1556" s="2352" t="s">
        <v>15357</v>
      </c>
      <c r="C1556" s="2352" t="s">
        <v>15357</v>
      </c>
      <c r="D1556" s="2352" t="s">
        <v>15403</v>
      </c>
      <c r="E1556" s="355" t="s">
        <v>17111</v>
      </c>
      <c r="F1556" s="1662">
        <v>20</v>
      </c>
      <c r="G1556" s="903"/>
    </row>
    <row r="1557" spans="1:7" ht="15" customHeight="1" x14ac:dyDescent="0.25">
      <c r="A1557" s="2352" t="s">
        <v>15615</v>
      </c>
      <c r="B1557" s="2352" t="s">
        <v>15357</v>
      </c>
      <c r="C1557" s="2352" t="s">
        <v>15357</v>
      </c>
      <c r="D1557" s="2352" t="s">
        <v>15616</v>
      </c>
      <c r="E1557" s="355" t="s">
        <v>17099</v>
      </c>
      <c r="F1557" s="1662">
        <v>40</v>
      </c>
      <c r="G1557" s="903"/>
    </row>
    <row r="1558" spans="1:7" ht="15" customHeight="1" x14ac:dyDescent="0.25">
      <c r="A1558" s="2352" t="s">
        <v>15396</v>
      </c>
      <c r="B1558" s="2352" t="s">
        <v>15357</v>
      </c>
      <c r="C1558" s="2352" t="s">
        <v>15357</v>
      </c>
      <c r="D1558" s="2352" t="s">
        <v>15397</v>
      </c>
      <c r="E1558" s="355" t="s">
        <v>17100</v>
      </c>
      <c r="F1558" s="1662">
        <v>0</v>
      </c>
      <c r="G1558" s="903"/>
    </row>
    <row r="1559" spans="1:7" ht="15" customHeight="1" x14ac:dyDescent="0.25">
      <c r="A1559" s="2352" t="s">
        <v>15674</v>
      </c>
      <c r="B1559" s="2352" t="s">
        <v>15357</v>
      </c>
      <c r="C1559" s="2352" t="s">
        <v>15357</v>
      </c>
      <c r="D1559" s="2352" t="s">
        <v>15675</v>
      </c>
      <c r="E1559" s="355" t="s">
        <v>17097</v>
      </c>
      <c r="F1559" s="1662">
        <v>20</v>
      </c>
      <c r="G1559" s="903"/>
    </row>
    <row r="1560" spans="1:7" ht="15" customHeight="1" x14ac:dyDescent="0.25">
      <c r="A1560" s="2352" t="s">
        <v>15404</v>
      </c>
      <c r="B1560" s="2352" t="s">
        <v>15357</v>
      </c>
      <c r="C1560" s="2352" t="s">
        <v>15357</v>
      </c>
      <c r="D1560" s="2352" t="s">
        <v>15405</v>
      </c>
      <c r="E1560" s="355" t="s">
        <v>17097</v>
      </c>
      <c r="F1560" s="1662">
        <v>15</v>
      </c>
      <c r="G1560" s="903"/>
    </row>
    <row r="1561" spans="1:7" ht="15" customHeight="1" x14ac:dyDescent="0.25">
      <c r="A1561" s="2352" t="s">
        <v>14105</v>
      </c>
      <c r="B1561" s="2352" t="s">
        <v>15357</v>
      </c>
      <c r="C1561" s="2352" t="s">
        <v>15357</v>
      </c>
      <c r="D1561" s="2352" t="s">
        <v>15669</v>
      </c>
      <c r="E1561" s="355" t="s">
        <v>17099</v>
      </c>
      <c r="F1561" s="1662">
        <v>40</v>
      </c>
      <c r="G1561" s="903"/>
    </row>
    <row r="1562" spans="1:7" ht="15" customHeight="1" x14ac:dyDescent="0.25">
      <c r="A1562" s="2352" t="s">
        <v>15406</v>
      </c>
      <c r="B1562" s="2352" t="s">
        <v>15357</v>
      </c>
      <c r="C1562" s="2352" t="s">
        <v>15357</v>
      </c>
      <c r="D1562" s="2352" t="s">
        <v>15407</v>
      </c>
      <c r="E1562" s="355" t="s">
        <v>17104</v>
      </c>
      <c r="F1562" s="1662">
        <v>10</v>
      </c>
      <c r="G1562" s="903"/>
    </row>
    <row r="1563" spans="1:7" ht="15" customHeight="1" x14ac:dyDescent="0.25">
      <c r="A1563" s="2352" t="s">
        <v>8620</v>
      </c>
      <c r="B1563" s="2352" t="s">
        <v>15357</v>
      </c>
      <c r="C1563" s="2352" t="s">
        <v>15357</v>
      </c>
      <c r="D1563" s="2352" t="s">
        <v>15398</v>
      </c>
      <c r="E1563" s="355" t="s">
        <v>17099</v>
      </c>
      <c r="F1563" s="1662">
        <v>20</v>
      </c>
      <c r="G1563" s="903"/>
    </row>
    <row r="1564" spans="1:7" ht="15" customHeight="1" x14ac:dyDescent="0.25">
      <c r="A1564" s="2352" t="s">
        <v>15399</v>
      </c>
      <c r="B1564" s="2352" t="s">
        <v>15357</v>
      </c>
      <c r="C1564" s="2352" t="s">
        <v>15357</v>
      </c>
      <c r="D1564" s="2352" t="s">
        <v>15400</v>
      </c>
      <c r="E1564" s="355" t="s">
        <v>17100</v>
      </c>
      <c r="F1564" s="1662">
        <v>0</v>
      </c>
      <c r="G1564" s="903"/>
    </row>
    <row r="1565" spans="1:7" ht="15" customHeight="1" x14ac:dyDescent="0.25">
      <c r="A1565" s="2352" t="s">
        <v>6471</v>
      </c>
      <c r="B1565" s="2352" t="s">
        <v>15357</v>
      </c>
      <c r="C1565" s="2352" t="s">
        <v>15357</v>
      </c>
      <c r="D1565" s="2352" t="s">
        <v>15401</v>
      </c>
      <c r="E1565" s="355" t="s">
        <v>17111</v>
      </c>
      <c r="F1565" s="1662">
        <v>15</v>
      </c>
      <c r="G1565" s="903"/>
    </row>
    <row r="1566" spans="1:7" ht="15" customHeight="1" x14ac:dyDescent="0.25">
      <c r="A1566" s="2352" t="s">
        <v>4547</v>
      </c>
      <c r="B1566" s="2352" t="s">
        <v>15357</v>
      </c>
      <c r="C1566" s="2352" t="s">
        <v>15357</v>
      </c>
      <c r="D1566" s="2352" t="s">
        <v>15676</v>
      </c>
      <c r="E1566" s="355" t="s">
        <v>17100</v>
      </c>
      <c r="F1566" s="1662">
        <v>5</v>
      </c>
      <c r="G1566" s="903"/>
    </row>
    <row r="1567" spans="1:7" ht="15" customHeight="1" x14ac:dyDescent="0.25">
      <c r="A1567" s="2352" t="s">
        <v>15617</v>
      </c>
      <c r="B1567" s="2352" t="s">
        <v>15357</v>
      </c>
      <c r="C1567" s="2352" t="s">
        <v>15357</v>
      </c>
      <c r="D1567" s="2352" t="s">
        <v>15618</v>
      </c>
      <c r="E1567" s="355" t="s">
        <v>17099</v>
      </c>
      <c r="F1567" s="1662">
        <v>40</v>
      </c>
      <c r="G1567" s="903"/>
    </row>
    <row r="1568" spans="1:7" ht="15" customHeight="1" x14ac:dyDescent="0.25">
      <c r="A1568" s="2352" t="s">
        <v>15533</v>
      </c>
      <c r="B1568" s="2352" t="s">
        <v>15357</v>
      </c>
      <c r="C1568" s="2352" t="s">
        <v>15357</v>
      </c>
      <c r="D1568" s="2352" t="s">
        <v>15684</v>
      </c>
      <c r="E1568" s="355" t="s">
        <v>17099</v>
      </c>
      <c r="F1568" s="1662">
        <v>30</v>
      </c>
      <c r="G1568" s="903"/>
    </row>
    <row r="1569" spans="1:7" ht="15" customHeight="1" x14ac:dyDescent="0.25">
      <c r="A1569" s="2352" t="s">
        <v>15666</v>
      </c>
      <c r="B1569" s="2352" t="s">
        <v>15357</v>
      </c>
      <c r="C1569" s="2352" t="s">
        <v>15357</v>
      </c>
      <c r="D1569" s="2352" t="s">
        <v>15683</v>
      </c>
      <c r="E1569" s="355" t="s">
        <v>17102</v>
      </c>
      <c r="F1569" s="1662">
        <v>80</v>
      </c>
      <c r="G1569" s="903"/>
    </row>
    <row r="1570" spans="1:7" ht="15" customHeight="1" x14ac:dyDescent="0.25">
      <c r="A1570" s="2352" t="s">
        <v>15666</v>
      </c>
      <c r="B1570" s="2352" t="s">
        <v>15357</v>
      </c>
      <c r="C1570" s="2352" t="s">
        <v>15357</v>
      </c>
      <c r="D1570" s="2352" t="s">
        <v>15670</v>
      </c>
      <c r="E1570" s="355" t="s">
        <v>17099</v>
      </c>
      <c r="F1570" s="1662">
        <v>30</v>
      </c>
      <c r="G1570" s="903"/>
    </row>
    <row r="1571" spans="1:7" ht="15" customHeight="1" x14ac:dyDescent="0.25">
      <c r="A1571" s="2352" t="s">
        <v>15410</v>
      </c>
      <c r="B1571" s="2352" t="s">
        <v>15357</v>
      </c>
      <c r="C1571" s="2352" t="s">
        <v>15357</v>
      </c>
      <c r="D1571" s="2352" t="s">
        <v>15411</v>
      </c>
      <c r="E1571" s="355" t="s">
        <v>17098</v>
      </c>
      <c r="F1571" s="1662">
        <v>0</v>
      </c>
      <c r="G1571" s="903"/>
    </row>
    <row r="1572" spans="1:7" ht="15" customHeight="1" x14ac:dyDescent="0.25">
      <c r="A1572" s="2352" t="s">
        <v>15412</v>
      </c>
      <c r="B1572" s="2352" t="s">
        <v>15357</v>
      </c>
      <c r="C1572" s="2352" t="s">
        <v>15357</v>
      </c>
      <c r="D1572" s="2352" t="s">
        <v>15413</v>
      </c>
      <c r="E1572" s="355" t="s">
        <v>17102</v>
      </c>
      <c r="F1572" s="1662">
        <v>45</v>
      </c>
      <c r="G1572" s="903"/>
    </row>
    <row r="1573" spans="1:7" ht="15" customHeight="1" x14ac:dyDescent="0.25">
      <c r="A1573" s="2352" t="s">
        <v>15412</v>
      </c>
      <c r="B1573" s="2352" t="s">
        <v>15357</v>
      </c>
      <c r="C1573" s="2352" t="s">
        <v>15357</v>
      </c>
      <c r="D1573" s="2352" t="s">
        <v>15414</v>
      </c>
      <c r="E1573" s="355" t="s">
        <v>17095</v>
      </c>
      <c r="F1573" s="1662">
        <v>55</v>
      </c>
      <c r="G1573" s="903"/>
    </row>
    <row r="1574" spans="1:7" ht="15" customHeight="1" x14ac:dyDescent="0.25">
      <c r="A1574" s="2352" t="s">
        <v>10656</v>
      </c>
      <c r="B1574" s="2352" t="s">
        <v>15357</v>
      </c>
      <c r="C1574" s="2352" t="s">
        <v>15357</v>
      </c>
      <c r="D1574" s="2352" t="s">
        <v>15415</v>
      </c>
      <c r="E1574" s="355" t="s">
        <v>17098</v>
      </c>
      <c r="F1574" s="1662">
        <v>5</v>
      </c>
      <c r="G1574" s="903"/>
    </row>
    <row r="1575" spans="1:7" ht="15" customHeight="1" x14ac:dyDescent="0.25">
      <c r="A1575" s="2352" t="s">
        <v>15416</v>
      </c>
      <c r="B1575" s="2352" t="s">
        <v>15357</v>
      </c>
      <c r="C1575" s="2352" t="s">
        <v>15357</v>
      </c>
      <c r="D1575" s="2352" t="s">
        <v>15417</v>
      </c>
      <c r="E1575" s="355" t="s">
        <v>17099</v>
      </c>
      <c r="F1575" s="1662">
        <v>30</v>
      </c>
      <c r="G1575" s="903"/>
    </row>
    <row r="1576" spans="1:7" ht="15" customHeight="1" x14ac:dyDescent="0.25">
      <c r="A1576" s="2352" t="s">
        <v>15408</v>
      </c>
      <c r="B1576" s="2352" t="s">
        <v>15357</v>
      </c>
      <c r="C1576" s="2352" t="s">
        <v>15357</v>
      </c>
      <c r="D1576" s="2352" t="s">
        <v>15409</v>
      </c>
      <c r="E1576" s="355" t="s">
        <v>17099</v>
      </c>
      <c r="F1576" s="1662">
        <v>40</v>
      </c>
      <c r="G1576" s="903"/>
    </row>
    <row r="1577" spans="1:7" ht="15" customHeight="1" x14ac:dyDescent="0.25">
      <c r="A1577" s="2352" t="s">
        <v>15681</v>
      </c>
      <c r="B1577" s="2352" t="s">
        <v>15357</v>
      </c>
      <c r="C1577" s="2352" t="s">
        <v>15357</v>
      </c>
      <c r="D1577" s="2352" t="s">
        <v>15682</v>
      </c>
      <c r="E1577" s="355" t="s">
        <v>17105</v>
      </c>
      <c r="F1577" s="1662">
        <v>15</v>
      </c>
      <c r="G1577" s="903"/>
    </row>
    <row r="1578" spans="1:7" ht="15" customHeight="1" x14ac:dyDescent="0.25">
      <c r="A1578" s="2352" t="s">
        <v>6490</v>
      </c>
      <c r="B1578" s="2352" t="s">
        <v>15357</v>
      </c>
      <c r="C1578" s="2352" t="s">
        <v>15357</v>
      </c>
      <c r="D1578" s="2352" t="s">
        <v>15419</v>
      </c>
      <c r="E1578" s="355" t="s">
        <v>17099</v>
      </c>
      <c r="F1578" s="1662">
        <v>2</v>
      </c>
      <c r="G1578" s="903"/>
    </row>
    <row r="1579" spans="1:7" ht="15" customHeight="1" x14ac:dyDescent="0.25">
      <c r="A1579" s="2352" t="s">
        <v>6490</v>
      </c>
      <c r="B1579" s="2352" t="s">
        <v>15357</v>
      </c>
      <c r="C1579" s="2352" t="s">
        <v>15357</v>
      </c>
      <c r="D1579" s="2352" t="s">
        <v>15418</v>
      </c>
      <c r="E1579" s="355" t="s">
        <v>17099</v>
      </c>
      <c r="F1579" s="1662">
        <v>50</v>
      </c>
      <c r="G1579" s="903"/>
    </row>
    <row r="1580" spans="1:7" ht="15" customHeight="1" x14ac:dyDescent="0.25">
      <c r="A1580" s="2352" t="s">
        <v>6490</v>
      </c>
      <c r="B1580" s="2352" t="s">
        <v>15357</v>
      </c>
      <c r="C1580" s="2352" t="s">
        <v>15357</v>
      </c>
      <c r="D1580" s="2352" t="s">
        <v>15619</v>
      </c>
      <c r="E1580" s="355" t="s">
        <v>17095</v>
      </c>
      <c r="F1580" s="1662">
        <v>85</v>
      </c>
      <c r="G1580" s="903"/>
    </row>
    <row r="1581" spans="1:7" ht="15" customHeight="1" x14ac:dyDescent="0.25">
      <c r="A1581" s="2352" t="s">
        <v>6490</v>
      </c>
      <c r="B1581" s="2352" t="s">
        <v>15357</v>
      </c>
      <c r="C1581" s="2352" t="s">
        <v>15357</v>
      </c>
      <c r="D1581" s="2352" t="s">
        <v>15420</v>
      </c>
      <c r="E1581" s="355" t="s">
        <v>17095</v>
      </c>
      <c r="F1581" s="1662">
        <v>50</v>
      </c>
      <c r="G1581" s="903"/>
    </row>
    <row r="1582" spans="1:7" ht="15" customHeight="1" x14ac:dyDescent="0.25">
      <c r="A1582" s="2352" t="s">
        <v>15426</v>
      </c>
      <c r="B1582" s="2352" t="s">
        <v>15357</v>
      </c>
      <c r="C1582" s="2352" t="s">
        <v>15357</v>
      </c>
      <c r="D1582" s="2352" t="s">
        <v>15427</v>
      </c>
      <c r="E1582" s="355" t="s">
        <v>17099</v>
      </c>
      <c r="F1582" s="1662">
        <v>50</v>
      </c>
      <c r="G1582" s="903"/>
    </row>
    <row r="1583" spans="1:7" ht="15" customHeight="1" x14ac:dyDescent="0.25">
      <c r="A1583" s="2352" t="s">
        <v>15421</v>
      </c>
      <c r="B1583" s="2352" t="s">
        <v>15357</v>
      </c>
      <c r="C1583" s="2352" t="s">
        <v>15357</v>
      </c>
      <c r="D1583" s="2352" t="s">
        <v>15422</v>
      </c>
      <c r="E1583" s="355" t="s">
        <v>17104</v>
      </c>
      <c r="F1583" s="1662">
        <v>2</v>
      </c>
      <c r="G1583" s="903"/>
    </row>
    <row r="1584" spans="1:7" ht="15" customHeight="1" x14ac:dyDescent="0.25">
      <c r="A1584" s="2352" t="s">
        <v>7425</v>
      </c>
      <c r="B1584" s="2352" t="s">
        <v>15357</v>
      </c>
      <c r="C1584" s="2352" t="s">
        <v>15357</v>
      </c>
      <c r="D1584" s="2352" t="s">
        <v>15425</v>
      </c>
      <c r="E1584" s="355" t="s">
        <v>17097</v>
      </c>
      <c r="F1584" s="1662">
        <v>15</v>
      </c>
      <c r="G1584" s="903"/>
    </row>
    <row r="1585" spans="1:7" ht="15" customHeight="1" x14ac:dyDescent="0.25">
      <c r="A1585" s="2352" t="s">
        <v>15423</v>
      </c>
      <c r="B1585" s="2352" t="s">
        <v>15357</v>
      </c>
      <c r="C1585" s="2352" t="s">
        <v>15357</v>
      </c>
      <c r="D1585" s="2352" t="s">
        <v>15424</v>
      </c>
      <c r="E1585" s="355" t="s">
        <v>17105</v>
      </c>
      <c r="F1585" s="1662">
        <v>2</v>
      </c>
      <c r="G1585" s="903"/>
    </row>
    <row r="1586" spans="1:7" ht="15" customHeight="1" x14ac:dyDescent="0.25">
      <c r="A1586" s="2352" t="s">
        <v>15412</v>
      </c>
      <c r="B1586" s="2352" t="s">
        <v>15357</v>
      </c>
      <c r="C1586" s="2352" t="s">
        <v>15357</v>
      </c>
      <c r="D1586" s="2352" t="s">
        <v>15620</v>
      </c>
      <c r="E1586" s="355" t="s">
        <v>17095</v>
      </c>
      <c r="F1586" s="1662">
        <v>90</v>
      </c>
      <c r="G1586" s="903"/>
    </row>
    <row r="1587" spans="1:7" ht="15" customHeight="1" x14ac:dyDescent="0.25">
      <c r="A1587" s="2352" t="s">
        <v>15672</v>
      </c>
      <c r="B1587" s="2352" t="s">
        <v>15357</v>
      </c>
      <c r="C1587" s="2352" t="s">
        <v>15357</v>
      </c>
      <c r="D1587" s="2352" t="s">
        <v>15673</v>
      </c>
      <c r="E1587" s="355" t="s">
        <v>17100</v>
      </c>
      <c r="F1587" s="1662">
        <v>0</v>
      </c>
      <c r="G1587" s="903"/>
    </row>
    <row r="1588" spans="1:7" ht="15" customHeight="1" x14ac:dyDescent="0.25">
      <c r="A1588" s="2352" t="s">
        <v>15708</v>
      </c>
      <c r="B1588" s="2352" t="s">
        <v>15357</v>
      </c>
      <c r="C1588" s="2352" t="s">
        <v>15357</v>
      </c>
      <c r="D1588" s="2352" t="s">
        <v>15709</v>
      </c>
      <c r="E1588" s="355" t="s">
        <v>17111</v>
      </c>
      <c r="F1588" s="1662">
        <v>35</v>
      </c>
      <c r="G1588" s="903"/>
    </row>
    <row r="1589" spans="1:7" ht="15" customHeight="1" x14ac:dyDescent="0.25">
      <c r="A1589" s="2352" t="s">
        <v>6474</v>
      </c>
      <c r="B1589" s="2352" t="s">
        <v>15357</v>
      </c>
      <c r="C1589" s="2352" t="s">
        <v>15357</v>
      </c>
      <c r="D1589" s="2352" t="s">
        <v>15621</v>
      </c>
      <c r="E1589" s="355" t="s">
        <v>17097</v>
      </c>
      <c r="F1589" s="1662">
        <v>20</v>
      </c>
      <c r="G1589" s="903"/>
    </row>
    <row r="1590" spans="1:7" ht="15" customHeight="1" x14ac:dyDescent="0.25">
      <c r="A1590" s="2352" t="s">
        <v>15367</v>
      </c>
      <c r="B1590" s="2352" t="s">
        <v>15357</v>
      </c>
      <c r="C1590" s="2352" t="s">
        <v>15357</v>
      </c>
      <c r="D1590" s="2352" t="s">
        <v>15368</v>
      </c>
      <c r="E1590" s="355" t="s">
        <v>17105</v>
      </c>
      <c r="F1590" s="1662">
        <v>5</v>
      </c>
      <c r="G1590" s="903"/>
    </row>
    <row r="1591" spans="1:7" ht="15" customHeight="1" x14ac:dyDescent="0.25">
      <c r="A1591" s="2352" t="s">
        <v>3783</v>
      </c>
      <c r="B1591" s="2352" t="s">
        <v>15357</v>
      </c>
      <c r="C1591" s="2352" t="s">
        <v>15357</v>
      </c>
      <c r="D1591" s="2352" t="s">
        <v>15429</v>
      </c>
      <c r="E1591" s="355" t="s">
        <v>17102</v>
      </c>
      <c r="F1591" s="1662">
        <v>21</v>
      </c>
      <c r="G1591" s="903"/>
    </row>
    <row r="1592" spans="1:7" ht="15" customHeight="1" x14ac:dyDescent="0.25">
      <c r="A1592" s="2352" t="s">
        <v>10614</v>
      </c>
      <c r="B1592" s="2352" t="s">
        <v>15357</v>
      </c>
      <c r="C1592" s="2352" t="s">
        <v>15357</v>
      </c>
      <c r="D1592" s="2352" t="s">
        <v>15443</v>
      </c>
      <c r="E1592" s="355" t="s">
        <v>17104</v>
      </c>
      <c r="F1592" s="1662">
        <v>15</v>
      </c>
      <c r="G1592" s="903"/>
    </row>
    <row r="1593" spans="1:7" ht="15" customHeight="1" x14ac:dyDescent="0.25">
      <c r="A1593" s="2352" t="s">
        <v>15622</v>
      </c>
      <c r="B1593" s="2352" t="s">
        <v>15357</v>
      </c>
      <c r="C1593" s="2352" t="s">
        <v>15357</v>
      </c>
      <c r="D1593" s="2352" t="s">
        <v>15623</v>
      </c>
      <c r="E1593" s="355" t="s">
        <v>17111</v>
      </c>
      <c r="F1593" s="1662">
        <v>15</v>
      </c>
      <c r="G1593" s="903"/>
    </row>
    <row r="1594" spans="1:7" ht="15" customHeight="1" x14ac:dyDescent="0.25">
      <c r="A1594" s="2352" t="s">
        <v>15430</v>
      </c>
      <c r="B1594" s="2352" t="s">
        <v>15357</v>
      </c>
      <c r="C1594" s="2352" t="s">
        <v>15357</v>
      </c>
      <c r="D1594" s="2352" t="s">
        <v>15431</v>
      </c>
      <c r="E1594" s="355" t="s">
        <v>17095</v>
      </c>
      <c r="F1594" s="1662">
        <v>60</v>
      </c>
      <c r="G1594" s="903"/>
    </row>
    <row r="1595" spans="1:7" ht="15" customHeight="1" x14ac:dyDescent="0.25">
      <c r="A1595" s="2352" t="s">
        <v>15430</v>
      </c>
      <c r="B1595" s="2352" t="s">
        <v>15357</v>
      </c>
      <c r="C1595" s="2352" t="s">
        <v>15357</v>
      </c>
      <c r="D1595" s="2352" t="s">
        <v>15687</v>
      </c>
      <c r="E1595" s="355" t="s">
        <v>17099</v>
      </c>
      <c r="F1595" s="1662">
        <v>25</v>
      </c>
      <c r="G1595" s="903"/>
    </row>
    <row r="1596" spans="1:7" ht="15" customHeight="1" x14ac:dyDescent="0.25">
      <c r="A1596" s="2352" t="s">
        <v>15430</v>
      </c>
      <c r="B1596" s="2352" t="s">
        <v>15357</v>
      </c>
      <c r="C1596" s="2352" t="s">
        <v>15357</v>
      </c>
      <c r="D1596" s="2352" t="s">
        <v>15434</v>
      </c>
      <c r="E1596" s="355" t="s">
        <v>17097</v>
      </c>
      <c r="F1596" s="1662">
        <v>25</v>
      </c>
      <c r="G1596" s="903"/>
    </row>
    <row r="1597" spans="1:7" ht="15" customHeight="1" x14ac:dyDescent="0.25">
      <c r="A1597" s="2352" t="s">
        <v>10962</v>
      </c>
      <c r="B1597" s="2352" t="s">
        <v>15357</v>
      </c>
      <c r="C1597" s="2352" t="s">
        <v>15357</v>
      </c>
      <c r="D1597" s="2352" t="s">
        <v>15366</v>
      </c>
      <c r="E1597" s="355" t="s">
        <v>17111</v>
      </c>
      <c r="F1597" s="1662">
        <v>20</v>
      </c>
      <c r="G1597" s="903"/>
    </row>
    <row r="1598" spans="1:7" ht="15" customHeight="1" x14ac:dyDescent="0.25">
      <c r="A1598" s="2352" t="s">
        <v>4014</v>
      </c>
      <c r="B1598" s="2352" t="s">
        <v>15357</v>
      </c>
      <c r="C1598" s="2352" t="s">
        <v>15357</v>
      </c>
      <c r="D1598" s="2352" t="s">
        <v>15428</v>
      </c>
      <c r="E1598" s="355" t="s">
        <v>17105</v>
      </c>
      <c r="F1598" s="1662">
        <v>12</v>
      </c>
      <c r="G1598" s="903"/>
    </row>
    <row r="1599" spans="1:7" ht="15" customHeight="1" x14ac:dyDescent="0.25">
      <c r="A1599" s="2352" t="s">
        <v>15432</v>
      </c>
      <c r="B1599" s="2352" t="s">
        <v>15357</v>
      </c>
      <c r="C1599" s="2352" t="s">
        <v>15357</v>
      </c>
      <c r="D1599" s="2352" t="s">
        <v>15433</v>
      </c>
      <c r="E1599" s="355" t="s">
        <v>17105</v>
      </c>
      <c r="F1599" s="1662">
        <v>10</v>
      </c>
      <c r="G1599" s="903"/>
    </row>
    <row r="1600" spans="1:7" ht="15" customHeight="1" x14ac:dyDescent="0.25">
      <c r="A1600" s="2352" t="s">
        <v>15444</v>
      </c>
      <c r="B1600" s="2352" t="s">
        <v>15357</v>
      </c>
      <c r="C1600" s="2352" t="s">
        <v>15357</v>
      </c>
      <c r="D1600" s="2352" t="s">
        <v>15445</v>
      </c>
      <c r="E1600" s="355" t="s">
        <v>17098</v>
      </c>
      <c r="F1600" s="1662">
        <v>2</v>
      </c>
      <c r="G1600" s="903"/>
    </row>
    <row r="1601" spans="1:7" ht="15" customHeight="1" x14ac:dyDescent="0.25">
      <c r="A1601" s="2352" t="s">
        <v>15446</v>
      </c>
      <c r="B1601" s="2352" t="s">
        <v>15357</v>
      </c>
      <c r="C1601" s="2352" t="s">
        <v>15357</v>
      </c>
      <c r="D1601" s="2352" t="s">
        <v>15447</v>
      </c>
      <c r="E1601" s="355" t="s">
        <v>17102</v>
      </c>
      <c r="F1601" s="1662">
        <v>50</v>
      </c>
      <c r="G1601" s="903"/>
    </row>
    <row r="1602" spans="1:7" ht="15" customHeight="1" x14ac:dyDescent="0.25">
      <c r="A1602" s="2352" t="s">
        <v>6512</v>
      </c>
      <c r="B1602" s="2352" t="s">
        <v>15357</v>
      </c>
      <c r="C1602" s="2352" t="s">
        <v>15357</v>
      </c>
      <c r="D1602" s="2352" t="s">
        <v>15442</v>
      </c>
      <c r="E1602" s="355" t="s">
        <v>17099</v>
      </c>
      <c r="F1602" s="1662">
        <v>60</v>
      </c>
      <c r="G1602" s="903"/>
    </row>
    <row r="1603" spans="1:7" ht="15" customHeight="1" x14ac:dyDescent="0.25">
      <c r="A1603" s="2352" t="s">
        <v>15438</v>
      </c>
      <c r="B1603" s="2352" t="s">
        <v>15357</v>
      </c>
      <c r="C1603" s="2352" t="s">
        <v>15357</v>
      </c>
      <c r="D1603" s="2352" t="s">
        <v>15439</v>
      </c>
      <c r="E1603" s="355" t="s">
        <v>17104</v>
      </c>
      <c r="F1603" s="1662">
        <v>12</v>
      </c>
      <c r="G1603" s="903"/>
    </row>
    <row r="1604" spans="1:7" ht="15" customHeight="1" x14ac:dyDescent="0.25">
      <c r="A1604" s="2352" t="s">
        <v>15440</v>
      </c>
      <c r="B1604" s="2352" t="s">
        <v>15357</v>
      </c>
      <c r="C1604" s="2352" t="s">
        <v>15357</v>
      </c>
      <c r="D1604" s="2352" t="s">
        <v>15441</v>
      </c>
      <c r="E1604" s="355" t="s">
        <v>17111</v>
      </c>
      <c r="F1604" s="1662">
        <v>15</v>
      </c>
      <c r="G1604" s="903"/>
    </row>
    <row r="1605" spans="1:7" ht="15" customHeight="1" x14ac:dyDescent="0.25">
      <c r="A1605" s="2352" t="s">
        <v>15435</v>
      </c>
      <c r="B1605" s="2352" t="s">
        <v>15357</v>
      </c>
      <c r="C1605" s="2352" t="s">
        <v>15357</v>
      </c>
      <c r="D1605" s="2352" t="s">
        <v>15436</v>
      </c>
      <c r="E1605" s="355" t="s">
        <v>17098</v>
      </c>
      <c r="F1605" s="1662">
        <v>10</v>
      </c>
      <c r="G1605" s="903"/>
    </row>
    <row r="1606" spans="1:7" ht="15" customHeight="1" x14ac:dyDescent="0.25">
      <c r="A1606" s="2352" t="s">
        <v>14507</v>
      </c>
      <c r="B1606" s="2352" t="s">
        <v>15357</v>
      </c>
      <c r="C1606" s="2352" t="s">
        <v>15357</v>
      </c>
      <c r="D1606" s="2352" t="s">
        <v>15437</v>
      </c>
      <c r="E1606" s="355" t="s">
        <v>17100</v>
      </c>
      <c r="F1606" s="1662">
        <v>0</v>
      </c>
      <c r="G1606" s="903"/>
    </row>
    <row r="1607" spans="1:7" ht="15" customHeight="1" x14ac:dyDescent="0.25">
      <c r="A1607" s="2352" t="s">
        <v>15679</v>
      </c>
      <c r="B1607" s="2352" t="s">
        <v>15357</v>
      </c>
      <c r="C1607" s="2352" t="s">
        <v>15357</v>
      </c>
      <c r="D1607" s="2352" t="s">
        <v>15680</v>
      </c>
      <c r="E1607" s="355" t="s">
        <v>17103</v>
      </c>
      <c r="F1607" s="1662">
        <v>8</v>
      </c>
      <c r="G1607" s="903"/>
    </row>
    <row r="1608" spans="1:7" ht="15" customHeight="1" x14ac:dyDescent="0.25">
      <c r="A1608" s="2352" t="s">
        <v>9619</v>
      </c>
      <c r="B1608" s="2352" t="s">
        <v>15357</v>
      </c>
      <c r="C1608" s="2352" t="s">
        <v>15357</v>
      </c>
      <c r="D1608" s="2352" t="s">
        <v>15450</v>
      </c>
      <c r="E1608" s="355" t="s">
        <v>17095</v>
      </c>
      <c r="F1608" s="1662">
        <v>60</v>
      </c>
      <c r="G1608" s="903"/>
    </row>
    <row r="1609" spans="1:7" ht="15" customHeight="1" x14ac:dyDescent="0.25">
      <c r="A1609" s="2352" t="s">
        <v>9619</v>
      </c>
      <c r="B1609" s="2352" t="s">
        <v>15357</v>
      </c>
      <c r="C1609" s="2352" t="s">
        <v>15357</v>
      </c>
      <c r="D1609" s="2352" t="s">
        <v>15448</v>
      </c>
      <c r="E1609" s="355" t="s">
        <v>17095</v>
      </c>
      <c r="F1609" s="1662">
        <v>80</v>
      </c>
      <c r="G1609" s="903"/>
    </row>
    <row r="1610" spans="1:7" ht="15" customHeight="1" x14ac:dyDescent="0.25">
      <c r="A1610" s="2352" t="s">
        <v>9619</v>
      </c>
      <c r="B1610" s="2352" t="s">
        <v>15357</v>
      </c>
      <c r="C1610" s="2352" t="s">
        <v>15357</v>
      </c>
      <c r="D1610" s="2352" t="s">
        <v>15449</v>
      </c>
      <c r="E1610" s="355" t="s">
        <v>17102</v>
      </c>
      <c r="F1610" s="1662">
        <v>60</v>
      </c>
      <c r="G1610" s="903"/>
    </row>
    <row r="1611" spans="1:7" ht="15" customHeight="1" x14ac:dyDescent="0.25">
      <c r="A1611" s="2352" t="s">
        <v>15453</v>
      </c>
      <c r="B1611" s="2352" t="s">
        <v>15357</v>
      </c>
      <c r="C1611" s="2352" t="s">
        <v>15357</v>
      </c>
      <c r="D1611" s="2352" t="s">
        <v>15454</v>
      </c>
      <c r="E1611" s="355" t="s">
        <v>17097</v>
      </c>
      <c r="F1611" s="1662">
        <v>20</v>
      </c>
      <c r="G1611" s="903"/>
    </row>
    <row r="1612" spans="1:7" ht="15" customHeight="1" x14ac:dyDescent="0.25">
      <c r="A1612" s="2352" t="s">
        <v>15453</v>
      </c>
      <c r="B1612" s="2352" t="s">
        <v>15357</v>
      </c>
      <c r="C1612" s="2352" t="s">
        <v>15357</v>
      </c>
      <c r="D1612" s="2352" t="s">
        <v>15455</v>
      </c>
      <c r="E1612" s="355" t="s">
        <v>17099</v>
      </c>
      <c r="F1612" s="1662">
        <v>50</v>
      </c>
      <c r="G1612" s="903"/>
    </row>
    <row r="1613" spans="1:7" ht="15" customHeight="1" x14ac:dyDescent="0.25">
      <c r="A1613" s="2352" t="s">
        <v>15459</v>
      </c>
      <c r="B1613" s="2352" t="s">
        <v>15357</v>
      </c>
      <c r="C1613" s="2352" t="s">
        <v>15357</v>
      </c>
      <c r="D1613" s="2352" t="s">
        <v>15460</v>
      </c>
      <c r="E1613" s="355" t="s">
        <v>17099</v>
      </c>
      <c r="F1613" s="1662">
        <v>30</v>
      </c>
      <c r="G1613" s="903"/>
    </row>
    <row r="1614" spans="1:7" ht="15" customHeight="1" x14ac:dyDescent="0.25">
      <c r="A1614" s="2352" t="s">
        <v>15459</v>
      </c>
      <c r="B1614" s="2352" t="s">
        <v>15357</v>
      </c>
      <c r="C1614" s="2352" t="s">
        <v>15357</v>
      </c>
      <c r="D1614" s="2352" t="s">
        <v>15461</v>
      </c>
      <c r="E1614" s="355" t="s">
        <v>17099</v>
      </c>
      <c r="F1614" s="1662">
        <v>35</v>
      </c>
      <c r="G1614" s="903"/>
    </row>
    <row r="1615" spans="1:7" ht="15" customHeight="1" x14ac:dyDescent="0.25">
      <c r="A1615" s="2352" t="s">
        <v>15459</v>
      </c>
      <c r="B1615" s="2352" t="s">
        <v>15357</v>
      </c>
      <c r="C1615" s="2352" t="s">
        <v>15357</v>
      </c>
      <c r="D1615" s="2352" t="s">
        <v>15462</v>
      </c>
      <c r="E1615" s="355" t="s">
        <v>17102</v>
      </c>
      <c r="F1615" s="1662">
        <v>45</v>
      </c>
      <c r="G1615" s="903"/>
    </row>
    <row r="1616" spans="1:7" ht="15" customHeight="1" x14ac:dyDescent="0.25">
      <c r="A1616" s="2352" t="s">
        <v>15459</v>
      </c>
      <c r="B1616" s="2352" t="s">
        <v>15357</v>
      </c>
      <c r="C1616" s="2352" t="s">
        <v>15357</v>
      </c>
      <c r="D1616" s="2352" t="s">
        <v>15463</v>
      </c>
      <c r="E1616" s="355" t="s">
        <v>17095</v>
      </c>
      <c r="F1616" s="1662">
        <v>85</v>
      </c>
      <c r="G1616" s="903"/>
    </row>
    <row r="1617" spans="1:7" ht="15" customHeight="1" x14ac:dyDescent="0.25">
      <c r="A1617" s="2352" t="s">
        <v>15464</v>
      </c>
      <c r="B1617" s="2352" t="s">
        <v>15357</v>
      </c>
      <c r="C1617" s="2352" t="s">
        <v>15357</v>
      </c>
      <c r="D1617" s="2352" t="s">
        <v>15465</v>
      </c>
      <c r="E1617" s="355" t="s">
        <v>17102</v>
      </c>
      <c r="F1617" s="1662">
        <v>50</v>
      </c>
      <c r="G1617" s="903"/>
    </row>
    <row r="1618" spans="1:7" ht="15" customHeight="1" x14ac:dyDescent="0.25">
      <c r="A1618" s="2352" t="s">
        <v>9153</v>
      </c>
      <c r="B1618" s="2352" t="s">
        <v>15357</v>
      </c>
      <c r="C1618" s="2352" t="s">
        <v>15357</v>
      </c>
      <c r="D1618" s="2352" t="s">
        <v>15466</v>
      </c>
      <c r="E1618" s="355" t="s">
        <v>17097</v>
      </c>
      <c r="F1618" s="1662">
        <v>20</v>
      </c>
      <c r="G1618" s="903"/>
    </row>
    <row r="1619" spans="1:7" ht="15" customHeight="1" x14ac:dyDescent="0.25">
      <c r="A1619" s="2352" t="s">
        <v>15457</v>
      </c>
      <c r="B1619" s="2352" t="s">
        <v>15357</v>
      </c>
      <c r="C1619" s="2352" t="s">
        <v>15357</v>
      </c>
      <c r="D1619" s="2352" t="s">
        <v>15458</v>
      </c>
      <c r="E1619" s="355" t="s">
        <v>17104</v>
      </c>
      <c r="F1619" s="1662">
        <v>5</v>
      </c>
      <c r="G1619" s="903"/>
    </row>
    <row r="1620" spans="1:7" ht="15" customHeight="1" x14ac:dyDescent="0.25">
      <c r="A1620" s="2352" t="s">
        <v>6540</v>
      </c>
      <c r="B1620" s="2352" t="s">
        <v>15357</v>
      </c>
      <c r="C1620" s="2352" t="s">
        <v>15357</v>
      </c>
      <c r="D1620" s="2352" t="s">
        <v>15456</v>
      </c>
      <c r="E1620" s="355" t="s">
        <v>17104</v>
      </c>
      <c r="F1620" s="1662">
        <v>10</v>
      </c>
      <c r="G1620" s="903"/>
    </row>
    <row r="1621" spans="1:7" ht="15" customHeight="1" x14ac:dyDescent="0.25">
      <c r="A1621" s="2352" t="s">
        <v>15451</v>
      </c>
      <c r="B1621" s="2352" t="s">
        <v>15357</v>
      </c>
      <c r="C1621" s="2352" t="s">
        <v>15357</v>
      </c>
      <c r="D1621" s="2352" t="s">
        <v>15452</v>
      </c>
      <c r="E1621" s="355" t="s">
        <v>17097</v>
      </c>
      <c r="F1621" s="1662">
        <v>15</v>
      </c>
      <c r="G1621" s="903"/>
    </row>
    <row r="1622" spans="1:7" ht="15" customHeight="1" x14ac:dyDescent="0.25">
      <c r="A1622" s="2352" t="s">
        <v>15467</v>
      </c>
      <c r="B1622" s="2352" t="s">
        <v>15357</v>
      </c>
      <c r="C1622" s="2352" t="s">
        <v>15357</v>
      </c>
      <c r="D1622" s="2352" t="s">
        <v>15468</v>
      </c>
      <c r="E1622" s="355" t="s">
        <v>17097</v>
      </c>
      <c r="F1622" s="1662">
        <v>20</v>
      </c>
      <c r="G1622" s="903"/>
    </row>
    <row r="1623" spans="1:7" ht="15" customHeight="1" x14ac:dyDescent="0.25">
      <c r="A1623" s="2352" t="s">
        <v>15469</v>
      </c>
      <c r="B1623" s="2352" t="s">
        <v>15357</v>
      </c>
      <c r="C1623" s="2352" t="s">
        <v>15357</v>
      </c>
      <c r="D1623" s="2352" t="s">
        <v>15470</v>
      </c>
      <c r="E1623" s="355" t="s">
        <v>17102</v>
      </c>
      <c r="F1623" s="1662">
        <v>80</v>
      </c>
      <c r="G1623" s="903"/>
    </row>
    <row r="1624" spans="1:7" ht="15" customHeight="1" x14ac:dyDescent="0.25">
      <c r="A1624" s="2352" t="s">
        <v>15471</v>
      </c>
      <c r="B1624" s="2352" t="s">
        <v>15357</v>
      </c>
      <c r="C1624" s="2352" t="s">
        <v>15357</v>
      </c>
      <c r="D1624" s="2352" t="s">
        <v>15472</v>
      </c>
      <c r="E1624" s="355" t="s">
        <v>17099</v>
      </c>
      <c r="F1624" s="1662">
        <v>40</v>
      </c>
      <c r="G1624" s="903"/>
    </row>
    <row r="1625" spans="1:7" ht="15" customHeight="1" x14ac:dyDescent="0.25">
      <c r="A1625" s="2352" t="s">
        <v>15473</v>
      </c>
      <c r="B1625" s="2352" t="s">
        <v>15357</v>
      </c>
      <c r="C1625" s="2352" t="s">
        <v>15357</v>
      </c>
      <c r="D1625" s="2352" t="s">
        <v>15474</v>
      </c>
      <c r="E1625" s="355" t="s">
        <v>17099</v>
      </c>
      <c r="F1625" s="1662">
        <v>40</v>
      </c>
      <c r="G1625" s="903"/>
    </row>
    <row r="1626" spans="1:7" ht="15" customHeight="1" x14ac:dyDescent="0.25">
      <c r="A1626" s="2352" t="s">
        <v>15480</v>
      </c>
      <c r="B1626" s="2352" t="s">
        <v>15357</v>
      </c>
      <c r="C1626" s="2352" t="s">
        <v>15357</v>
      </c>
      <c r="D1626" s="2352" t="s">
        <v>15481</v>
      </c>
      <c r="E1626" s="355" t="s">
        <v>17097</v>
      </c>
      <c r="F1626" s="1662">
        <v>20</v>
      </c>
      <c r="G1626" s="903"/>
    </row>
    <row r="1627" spans="1:7" ht="15" customHeight="1" x14ac:dyDescent="0.25">
      <c r="A1627" s="2352" t="s">
        <v>15381</v>
      </c>
      <c r="B1627" s="2352" t="s">
        <v>15357</v>
      </c>
      <c r="C1627" s="2352" t="s">
        <v>15357</v>
      </c>
      <c r="D1627" s="2352" t="s">
        <v>15479</v>
      </c>
      <c r="E1627" s="355" t="s">
        <v>17097</v>
      </c>
      <c r="F1627" s="1662">
        <v>15</v>
      </c>
      <c r="G1627" s="903"/>
    </row>
    <row r="1628" spans="1:7" ht="15" customHeight="1" x14ac:dyDescent="0.25">
      <c r="A1628" s="2352" t="s">
        <v>15475</v>
      </c>
      <c r="B1628" s="2352" t="s">
        <v>15357</v>
      </c>
      <c r="C1628" s="2352" t="s">
        <v>15357</v>
      </c>
      <c r="D1628" s="2352" t="s">
        <v>15476</v>
      </c>
      <c r="E1628" s="355" t="s">
        <v>17104</v>
      </c>
      <c r="F1628" s="1662">
        <v>10</v>
      </c>
      <c r="G1628" s="903"/>
    </row>
    <row r="1629" spans="1:7" ht="15" customHeight="1" x14ac:dyDescent="0.25">
      <c r="A1629" s="2352" t="s">
        <v>15477</v>
      </c>
      <c r="B1629" s="2352" t="s">
        <v>15357</v>
      </c>
      <c r="C1629" s="2352" t="s">
        <v>15357</v>
      </c>
      <c r="D1629" s="2352" t="s">
        <v>15478</v>
      </c>
      <c r="E1629" s="355" t="s">
        <v>17105</v>
      </c>
      <c r="F1629" s="1662">
        <v>20</v>
      </c>
      <c r="G1629" s="903"/>
    </row>
    <row r="1630" spans="1:7" ht="15" customHeight="1" x14ac:dyDescent="0.25">
      <c r="A1630" s="2352" t="s">
        <v>15482</v>
      </c>
      <c r="B1630" s="2352" t="s">
        <v>15357</v>
      </c>
      <c r="C1630" s="2352" t="s">
        <v>15357</v>
      </c>
      <c r="D1630" s="2352" t="s">
        <v>15483</v>
      </c>
      <c r="E1630" s="355" t="s">
        <v>17097</v>
      </c>
      <c r="F1630" s="1662">
        <v>20</v>
      </c>
      <c r="G1630" s="903"/>
    </row>
    <row r="1631" spans="1:7" ht="15" customHeight="1" x14ac:dyDescent="0.25">
      <c r="A1631" s="2352" t="s">
        <v>15487</v>
      </c>
      <c r="B1631" s="2352" t="s">
        <v>15357</v>
      </c>
      <c r="C1631" s="2352" t="s">
        <v>15357</v>
      </c>
      <c r="D1631" s="2352" t="s">
        <v>15488</v>
      </c>
      <c r="E1631" s="355" t="s">
        <v>17097</v>
      </c>
      <c r="F1631" s="1662">
        <v>20</v>
      </c>
      <c r="G1631" s="903"/>
    </row>
    <row r="1632" spans="1:7" ht="15" customHeight="1" x14ac:dyDescent="0.25">
      <c r="A1632" s="2352" t="s">
        <v>3676</v>
      </c>
      <c r="B1632" s="2352" t="s">
        <v>15357</v>
      </c>
      <c r="C1632" s="2352" t="s">
        <v>15357</v>
      </c>
      <c r="D1632" s="2352" t="s">
        <v>15486</v>
      </c>
      <c r="E1632" s="355" t="s">
        <v>17104</v>
      </c>
      <c r="F1632" s="1662">
        <v>12</v>
      </c>
      <c r="G1632" s="903"/>
    </row>
    <row r="1633" spans="1:7" ht="15" customHeight="1" x14ac:dyDescent="0.25">
      <c r="A1633" s="2352" t="s">
        <v>3676</v>
      </c>
      <c r="B1633" s="2352" t="s">
        <v>15357</v>
      </c>
      <c r="C1633" s="2352" t="s">
        <v>15357</v>
      </c>
      <c r="D1633" s="2352" t="s">
        <v>15705</v>
      </c>
      <c r="E1633" s="355" t="s">
        <v>17097</v>
      </c>
      <c r="F1633" s="1662">
        <v>25</v>
      </c>
      <c r="G1633" s="903"/>
    </row>
    <row r="1634" spans="1:7" ht="15" customHeight="1" x14ac:dyDescent="0.25">
      <c r="A1634" s="2352" t="s">
        <v>15484</v>
      </c>
      <c r="B1634" s="2352" t="s">
        <v>15357</v>
      </c>
      <c r="C1634" s="2352" t="s">
        <v>15357</v>
      </c>
      <c r="D1634" s="2352" t="s">
        <v>15485</v>
      </c>
      <c r="E1634" s="355" t="s">
        <v>17100</v>
      </c>
      <c r="F1634" s="1662">
        <v>2</v>
      </c>
      <c r="G1634" s="903"/>
    </row>
    <row r="1635" spans="1:7" ht="15" customHeight="1" x14ac:dyDescent="0.25">
      <c r="A1635" s="2352" t="s">
        <v>15489</v>
      </c>
      <c r="B1635" s="2352" t="s">
        <v>15357</v>
      </c>
      <c r="C1635" s="2352" t="s">
        <v>15357</v>
      </c>
      <c r="D1635" s="2352" t="s">
        <v>15490</v>
      </c>
      <c r="E1635" s="355" t="s">
        <v>17100</v>
      </c>
      <c r="F1635" s="1662">
        <v>2</v>
      </c>
      <c r="G1635" s="903"/>
    </row>
    <row r="1636" spans="1:7" ht="15" customHeight="1" x14ac:dyDescent="0.25">
      <c r="A1636" s="2352" t="s">
        <v>15489</v>
      </c>
      <c r="B1636" s="2352" t="s">
        <v>15357</v>
      </c>
      <c r="C1636" s="2352" t="s">
        <v>15357</v>
      </c>
      <c r="D1636" s="2352" t="s">
        <v>15491</v>
      </c>
      <c r="E1636" s="355" t="s">
        <v>17099</v>
      </c>
      <c r="F1636" s="1662">
        <v>50</v>
      </c>
      <c r="G1636" s="903"/>
    </row>
    <row r="1637" spans="1:7" ht="15" customHeight="1" x14ac:dyDescent="0.25">
      <c r="A1637" s="2352" t="s">
        <v>15489</v>
      </c>
      <c r="B1637" s="2352" t="s">
        <v>15357</v>
      </c>
      <c r="C1637" s="2352" t="s">
        <v>15357</v>
      </c>
      <c r="D1637" s="2352" t="s">
        <v>15492</v>
      </c>
      <c r="E1637" s="355" t="s">
        <v>17095</v>
      </c>
      <c r="F1637" s="1662">
        <v>85</v>
      </c>
      <c r="G1637" s="903"/>
    </row>
    <row r="1638" spans="1:7" ht="15" customHeight="1" x14ac:dyDescent="0.25">
      <c r="A1638" s="2352" t="s">
        <v>15489</v>
      </c>
      <c r="B1638" s="2352" t="s">
        <v>15357</v>
      </c>
      <c r="C1638" s="2352" t="s">
        <v>15357</v>
      </c>
      <c r="D1638" s="2352" t="s">
        <v>15493</v>
      </c>
      <c r="E1638" s="355" t="s">
        <v>17099</v>
      </c>
      <c r="F1638" s="1662">
        <v>30</v>
      </c>
      <c r="G1638" s="903"/>
    </row>
    <row r="1639" spans="1:7" ht="15" customHeight="1" x14ac:dyDescent="0.25">
      <c r="A1639" s="2352" t="s">
        <v>15489</v>
      </c>
      <c r="B1639" s="2352" t="s">
        <v>15357</v>
      </c>
      <c r="C1639" s="2352" t="s">
        <v>15357</v>
      </c>
      <c r="D1639" s="2352" t="s">
        <v>15499</v>
      </c>
      <c r="E1639" s="355" t="s">
        <v>17096</v>
      </c>
      <c r="F1639" s="1662">
        <v>85</v>
      </c>
      <c r="G1639" s="903"/>
    </row>
    <row r="1640" spans="1:7" ht="15" customHeight="1" x14ac:dyDescent="0.25">
      <c r="A1640" s="2352" t="s">
        <v>15706</v>
      </c>
      <c r="B1640" s="2352" t="s">
        <v>15357</v>
      </c>
      <c r="C1640" s="2352" t="s">
        <v>15357</v>
      </c>
      <c r="D1640" s="2352" t="s">
        <v>15707</v>
      </c>
      <c r="E1640" s="355" t="s">
        <v>17100</v>
      </c>
      <c r="F1640" s="1662">
        <v>5</v>
      </c>
      <c r="G1640" s="903"/>
    </row>
    <row r="1641" spans="1:7" ht="15" customHeight="1" x14ac:dyDescent="0.25">
      <c r="A1641" s="2352" t="s">
        <v>15494</v>
      </c>
      <c r="B1641" s="2352" t="s">
        <v>15357</v>
      </c>
      <c r="C1641" s="2352" t="s">
        <v>15357</v>
      </c>
      <c r="D1641" s="2352" t="s">
        <v>15495</v>
      </c>
      <c r="E1641" s="355" t="s">
        <v>17105</v>
      </c>
      <c r="F1641" s="1662">
        <v>15</v>
      </c>
      <c r="G1641" s="903"/>
    </row>
    <row r="1642" spans="1:7" ht="15" customHeight="1" x14ac:dyDescent="0.25">
      <c r="A1642" s="2352" t="s">
        <v>15494</v>
      </c>
      <c r="B1642" s="2352" t="s">
        <v>15357</v>
      </c>
      <c r="C1642" s="2352" t="s">
        <v>15357</v>
      </c>
      <c r="D1642" s="2352" t="s">
        <v>15496</v>
      </c>
      <c r="E1642" s="355" t="s">
        <v>17099</v>
      </c>
      <c r="F1642" s="1662">
        <v>25</v>
      </c>
      <c r="G1642" s="903"/>
    </row>
    <row r="1643" spans="1:7" ht="15" customHeight="1" x14ac:dyDescent="0.25">
      <c r="A1643" s="2352" t="s">
        <v>15497</v>
      </c>
      <c r="B1643" s="2352" t="s">
        <v>15357</v>
      </c>
      <c r="C1643" s="2352" t="s">
        <v>15357</v>
      </c>
      <c r="D1643" s="2352" t="s">
        <v>15498</v>
      </c>
      <c r="E1643" s="355" t="s">
        <v>17097</v>
      </c>
      <c r="F1643" s="1662">
        <v>15</v>
      </c>
      <c r="G1643" s="903"/>
    </row>
    <row r="1644" spans="1:7" ht="15" customHeight="1" x14ac:dyDescent="0.25">
      <c r="A1644" s="2352" t="s">
        <v>15500</v>
      </c>
      <c r="B1644" s="2352" t="s">
        <v>15357</v>
      </c>
      <c r="C1644" s="2352" t="s">
        <v>15357</v>
      </c>
      <c r="D1644" s="2352" t="s">
        <v>15511</v>
      </c>
      <c r="E1644" s="355" t="s">
        <v>17104</v>
      </c>
      <c r="F1644" s="1662">
        <v>10</v>
      </c>
      <c r="G1644" s="903"/>
    </row>
    <row r="1645" spans="1:7" ht="15" customHeight="1" x14ac:dyDescent="0.25">
      <c r="A1645" s="2352" t="s">
        <v>15500</v>
      </c>
      <c r="B1645" s="2352" t="s">
        <v>15357</v>
      </c>
      <c r="C1645" s="2352" t="s">
        <v>15357</v>
      </c>
      <c r="D1645" s="2352" t="s">
        <v>15501</v>
      </c>
      <c r="E1645" s="355" t="s">
        <v>17102</v>
      </c>
      <c r="F1645" s="1662">
        <v>50</v>
      </c>
      <c r="G1645" s="903"/>
    </row>
    <row r="1646" spans="1:7" ht="15" customHeight="1" x14ac:dyDescent="0.25">
      <c r="A1646" s="2352" t="s">
        <v>15504</v>
      </c>
      <c r="B1646" s="2352" t="s">
        <v>15357</v>
      </c>
      <c r="C1646" s="2352" t="s">
        <v>15357</v>
      </c>
      <c r="D1646" s="2352" t="s">
        <v>15505</v>
      </c>
      <c r="E1646" s="355" t="s">
        <v>17099</v>
      </c>
      <c r="F1646" s="1662">
        <v>50</v>
      </c>
      <c r="G1646" s="903"/>
    </row>
    <row r="1647" spans="1:7" ht="15" customHeight="1" x14ac:dyDescent="0.25">
      <c r="A1647" s="2352" t="s">
        <v>15500</v>
      </c>
      <c r="B1647" s="2352" t="s">
        <v>15357</v>
      </c>
      <c r="C1647" s="2352" t="s">
        <v>15357</v>
      </c>
      <c r="D1647" s="2352" t="s">
        <v>15688</v>
      </c>
      <c r="E1647" s="355" t="s">
        <v>17097</v>
      </c>
      <c r="F1647" s="1662">
        <v>15</v>
      </c>
      <c r="G1647" s="903"/>
    </row>
    <row r="1648" spans="1:7" ht="15" customHeight="1" x14ac:dyDescent="0.25">
      <c r="A1648" s="2352" t="s">
        <v>15502</v>
      </c>
      <c r="B1648" s="2352" t="s">
        <v>15357</v>
      </c>
      <c r="C1648" s="2352" t="s">
        <v>15357</v>
      </c>
      <c r="D1648" s="2352" t="s">
        <v>15689</v>
      </c>
      <c r="E1648" s="355" t="s">
        <v>17096</v>
      </c>
      <c r="F1648" s="1662">
        <v>85</v>
      </c>
      <c r="G1648" s="903"/>
    </row>
    <row r="1649" spans="1:7" ht="15" customHeight="1" x14ac:dyDescent="0.25">
      <c r="A1649" s="2352" t="s">
        <v>15502</v>
      </c>
      <c r="B1649" s="2352" t="s">
        <v>15357</v>
      </c>
      <c r="C1649" s="2352" t="s">
        <v>15357</v>
      </c>
      <c r="D1649" s="2352" t="s">
        <v>15503</v>
      </c>
      <c r="E1649" s="355" t="s">
        <v>17099</v>
      </c>
      <c r="F1649" s="1662">
        <v>45</v>
      </c>
      <c r="G1649" s="903"/>
    </row>
    <row r="1650" spans="1:7" ht="15" customHeight="1" x14ac:dyDescent="0.25">
      <c r="A1650" s="2352" t="s">
        <v>15506</v>
      </c>
      <c r="B1650" s="2352" t="s">
        <v>15357</v>
      </c>
      <c r="C1650" s="2352" t="s">
        <v>15357</v>
      </c>
      <c r="D1650" s="2352" t="s">
        <v>15507</v>
      </c>
      <c r="E1650" s="355" t="s">
        <v>17099</v>
      </c>
      <c r="F1650" s="1662">
        <v>80</v>
      </c>
      <c r="G1650" s="903"/>
    </row>
    <row r="1651" spans="1:7" ht="15" customHeight="1" x14ac:dyDescent="0.25">
      <c r="A1651" s="2352" t="s">
        <v>15506</v>
      </c>
      <c r="B1651" s="2352" t="s">
        <v>15357</v>
      </c>
      <c r="C1651" s="2352" t="s">
        <v>15357</v>
      </c>
      <c r="D1651" s="2352" t="s">
        <v>15508</v>
      </c>
      <c r="E1651" s="355" t="s">
        <v>17099</v>
      </c>
      <c r="F1651" s="1662">
        <v>30</v>
      </c>
      <c r="G1651" s="903"/>
    </row>
    <row r="1652" spans="1:7" ht="15" customHeight="1" x14ac:dyDescent="0.25">
      <c r="A1652" s="2352" t="s">
        <v>15509</v>
      </c>
      <c r="B1652" s="2352" t="s">
        <v>15357</v>
      </c>
      <c r="C1652" s="2352" t="s">
        <v>15357</v>
      </c>
      <c r="D1652" s="2352" t="s">
        <v>15510</v>
      </c>
      <c r="E1652" s="355" t="s">
        <v>17097</v>
      </c>
      <c r="F1652" s="1662">
        <v>23</v>
      </c>
      <c r="G1652" s="903"/>
    </row>
    <row r="1653" spans="1:7" ht="15" customHeight="1" x14ac:dyDescent="0.25">
      <c r="A1653" s="2352" t="s">
        <v>15685</v>
      </c>
      <c r="B1653" s="2352" t="s">
        <v>15357</v>
      </c>
      <c r="C1653" s="2352" t="s">
        <v>15357</v>
      </c>
      <c r="D1653" s="2352" t="s">
        <v>15686</v>
      </c>
      <c r="E1653" s="355" t="s">
        <v>17104</v>
      </c>
      <c r="F1653" s="1662">
        <v>10</v>
      </c>
      <c r="G1653" s="903"/>
    </row>
    <row r="1654" spans="1:7" ht="15" customHeight="1" x14ac:dyDescent="0.25">
      <c r="A1654" s="2352" t="s">
        <v>15500</v>
      </c>
      <c r="B1654" s="2352" t="s">
        <v>15357</v>
      </c>
      <c r="C1654" s="2352" t="s">
        <v>15357</v>
      </c>
      <c r="D1654" s="2352" t="s">
        <v>15513</v>
      </c>
      <c r="E1654" s="355" t="s">
        <v>17095</v>
      </c>
      <c r="F1654" s="1662">
        <v>20</v>
      </c>
      <c r="G1654" s="903"/>
    </row>
    <row r="1655" spans="1:7" ht="15" customHeight="1" x14ac:dyDescent="0.25">
      <c r="A1655" s="2352" t="s">
        <v>15500</v>
      </c>
      <c r="B1655" s="2352" t="s">
        <v>15357</v>
      </c>
      <c r="C1655" s="2352" t="s">
        <v>15357</v>
      </c>
      <c r="D1655" s="2352" t="s">
        <v>15512</v>
      </c>
      <c r="E1655" s="355" t="s">
        <v>17095</v>
      </c>
      <c r="F1655" s="1662">
        <v>32</v>
      </c>
      <c r="G1655" s="903"/>
    </row>
    <row r="1656" spans="1:7" ht="15" customHeight="1" x14ac:dyDescent="0.25">
      <c r="A1656" s="2352" t="s">
        <v>15500</v>
      </c>
      <c r="B1656" s="2352" t="s">
        <v>15357</v>
      </c>
      <c r="C1656" s="2352" t="s">
        <v>15357</v>
      </c>
      <c r="D1656" s="2352" t="s">
        <v>15690</v>
      </c>
      <c r="E1656" s="355" t="s">
        <v>17095</v>
      </c>
      <c r="F1656" s="1662">
        <v>100</v>
      </c>
      <c r="G1656" s="903"/>
    </row>
    <row r="1657" spans="1:7" ht="15" customHeight="1" x14ac:dyDescent="0.25">
      <c r="A1657" s="2352" t="s">
        <v>10938</v>
      </c>
      <c r="B1657" s="2352" t="s">
        <v>15357</v>
      </c>
      <c r="C1657" s="2352" t="s">
        <v>15357</v>
      </c>
      <c r="D1657" s="2352" t="s">
        <v>15514</v>
      </c>
      <c r="E1657" s="355" t="s">
        <v>17097</v>
      </c>
      <c r="F1657" s="1662">
        <v>10</v>
      </c>
      <c r="G1657" s="903"/>
    </row>
    <row r="1658" spans="1:7" ht="15" customHeight="1" x14ac:dyDescent="0.25">
      <c r="A1658" s="2352" t="s">
        <v>5038</v>
      </c>
      <c r="B1658" s="2352" t="s">
        <v>15357</v>
      </c>
      <c r="C1658" s="2352" t="s">
        <v>15357</v>
      </c>
      <c r="D1658" s="2352" t="s">
        <v>15515</v>
      </c>
      <c r="E1658" s="355" t="s">
        <v>17111</v>
      </c>
      <c r="F1658" s="1662">
        <v>10</v>
      </c>
      <c r="G1658" s="903"/>
    </row>
    <row r="1659" spans="1:7" ht="15" customHeight="1" x14ac:dyDescent="0.25">
      <c r="A1659" s="2352" t="s">
        <v>4713</v>
      </c>
      <c r="B1659" s="2352" t="s">
        <v>15357</v>
      </c>
      <c r="C1659" s="2352" t="s">
        <v>15357</v>
      </c>
      <c r="D1659" s="2352" t="s">
        <v>15516</v>
      </c>
      <c r="E1659" s="355" t="s">
        <v>17099</v>
      </c>
      <c r="F1659" s="1662">
        <v>30</v>
      </c>
      <c r="G1659" s="903"/>
    </row>
    <row r="1660" spans="1:7" ht="15" customHeight="1" x14ac:dyDescent="0.25">
      <c r="A1660" s="2352" t="s">
        <v>15517</v>
      </c>
      <c r="B1660" s="2352" t="s">
        <v>15357</v>
      </c>
      <c r="C1660" s="2352" t="s">
        <v>15357</v>
      </c>
      <c r="D1660" s="2352" t="s">
        <v>15518</v>
      </c>
      <c r="E1660" s="355" t="s">
        <v>17111</v>
      </c>
      <c r="F1660" s="1662">
        <v>20</v>
      </c>
      <c r="G1660" s="903"/>
    </row>
    <row r="1661" spans="1:7" ht="15" customHeight="1" x14ac:dyDescent="0.25">
      <c r="A1661" s="2352" t="s">
        <v>15521</v>
      </c>
      <c r="B1661" s="2352" t="s">
        <v>15357</v>
      </c>
      <c r="C1661" s="2352" t="s">
        <v>15357</v>
      </c>
      <c r="D1661" s="2352" t="s">
        <v>15522</v>
      </c>
      <c r="E1661" s="355" t="s">
        <v>17097</v>
      </c>
      <c r="F1661" s="1662">
        <v>25</v>
      </c>
      <c r="G1661" s="903"/>
    </row>
    <row r="1662" spans="1:7" ht="15" customHeight="1" x14ac:dyDescent="0.25">
      <c r="A1662" s="2352" t="s">
        <v>15523</v>
      </c>
      <c r="B1662" s="2352" t="s">
        <v>15357</v>
      </c>
      <c r="C1662" s="2352" t="s">
        <v>15357</v>
      </c>
      <c r="D1662" s="2352" t="s">
        <v>15524</v>
      </c>
      <c r="E1662" s="355" t="s">
        <v>17105</v>
      </c>
      <c r="F1662" s="1662">
        <v>15</v>
      </c>
      <c r="G1662" s="903"/>
    </row>
    <row r="1663" spans="1:7" ht="15" customHeight="1" x14ac:dyDescent="0.25">
      <c r="A1663" s="2352" t="s">
        <v>15519</v>
      </c>
      <c r="B1663" s="2352" t="s">
        <v>15357</v>
      </c>
      <c r="C1663" s="2352" t="s">
        <v>15357</v>
      </c>
      <c r="D1663" s="2352" t="s">
        <v>15520</v>
      </c>
      <c r="E1663" s="355" t="s">
        <v>17097</v>
      </c>
      <c r="F1663" s="1662">
        <v>15</v>
      </c>
      <c r="G1663" s="903"/>
    </row>
    <row r="1664" spans="1:7" ht="15" customHeight="1" x14ac:dyDescent="0.25">
      <c r="A1664" s="2352" t="s">
        <v>15525</v>
      </c>
      <c r="B1664" s="2352" t="s">
        <v>15357</v>
      </c>
      <c r="C1664" s="2352" t="s">
        <v>15357</v>
      </c>
      <c r="D1664" s="2352" t="s">
        <v>15526</v>
      </c>
      <c r="E1664" s="355" t="s">
        <v>17105</v>
      </c>
      <c r="F1664" s="1662">
        <v>10</v>
      </c>
      <c r="G1664" s="903"/>
    </row>
    <row r="1665" spans="1:7" ht="15" customHeight="1" x14ac:dyDescent="0.25">
      <c r="A1665" s="2352" t="s">
        <v>8784</v>
      </c>
      <c r="B1665" s="2352" t="s">
        <v>15357</v>
      </c>
      <c r="C1665" s="2352" t="s">
        <v>15357</v>
      </c>
      <c r="D1665" s="2352" t="s">
        <v>15527</v>
      </c>
      <c r="E1665" s="355" t="s">
        <v>17099</v>
      </c>
      <c r="F1665" s="1662">
        <v>45</v>
      </c>
      <c r="G1665" s="903"/>
    </row>
    <row r="1666" spans="1:7" ht="15" customHeight="1" x14ac:dyDescent="0.25">
      <c r="A1666" s="2352" t="s">
        <v>8190</v>
      </c>
      <c r="B1666" s="2352" t="s">
        <v>15357</v>
      </c>
      <c r="C1666" s="2352" t="s">
        <v>15357</v>
      </c>
      <c r="D1666" s="2352" t="s">
        <v>15528</v>
      </c>
      <c r="E1666" s="355" t="s">
        <v>17105</v>
      </c>
      <c r="F1666" s="1662">
        <v>15</v>
      </c>
      <c r="G1666" s="903"/>
    </row>
    <row r="1667" spans="1:7" ht="15" customHeight="1" x14ac:dyDescent="0.25">
      <c r="A1667" s="2352" t="s">
        <v>9473</v>
      </c>
      <c r="B1667" s="2352" t="s">
        <v>15357</v>
      </c>
      <c r="C1667" s="2352" t="s">
        <v>15357</v>
      </c>
      <c r="D1667" s="2352" t="s">
        <v>15529</v>
      </c>
      <c r="E1667" s="355" t="s">
        <v>17103</v>
      </c>
      <c r="F1667" s="1662">
        <v>5</v>
      </c>
      <c r="G1667" s="903"/>
    </row>
    <row r="1668" spans="1:7" ht="15" customHeight="1" x14ac:dyDescent="0.25">
      <c r="A1668" s="2352" t="s">
        <v>15533</v>
      </c>
      <c r="B1668" s="2352" t="s">
        <v>15357</v>
      </c>
      <c r="C1668" s="2352" t="s">
        <v>15357</v>
      </c>
      <c r="D1668" s="2352" t="s">
        <v>15692</v>
      </c>
      <c r="E1668" s="355" t="s">
        <v>17102</v>
      </c>
      <c r="F1668" s="1662">
        <v>35</v>
      </c>
      <c r="G1668" s="903"/>
    </row>
    <row r="1669" spans="1:7" ht="15" customHeight="1" x14ac:dyDescent="0.25">
      <c r="A1669" s="2352" t="s">
        <v>15500</v>
      </c>
      <c r="B1669" s="2352" t="s">
        <v>15357</v>
      </c>
      <c r="C1669" s="2352" t="s">
        <v>15357</v>
      </c>
      <c r="D1669" s="2352" t="s">
        <v>15694</v>
      </c>
      <c r="E1669" s="355" t="s">
        <v>17095</v>
      </c>
      <c r="F1669" s="1662">
        <v>25</v>
      </c>
      <c r="G1669" s="903"/>
    </row>
    <row r="1670" spans="1:7" ht="15" customHeight="1" x14ac:dyDescent="0.25">
      <c r="A1670" s="2352" t="s">
        <v>15500</v>
      </c>
      <c r="B1670" s="2352" t="s">
        <v>15357</v>
      </c>
      <c r="C1670" s="2352" t="s">
        <v>15357</v>
      </c>
      <c r="D1670" s="2352" t="s">
        <v>15695</v>
      </c>
      <c r="E1670" s="355" t="s">
        <v>17095</v>
      </c>
      <c r="F1670" s="1662">
        <v>45</v>
      </c>
      <c r="G1670" s="903"/>
    </row>
    <row r="1671" spans="1:7" ht="15" customHeight="1" x14ac:dyDescent="0.25">
      <c r="A1671" s="2352" t="s">
        <v>15500</v>
      </c>
      <c r="B1671" s="2352" t="s">
        <v>15357</v>
      </c>
      <c r="C1671" s="2352" t="s">
        <v>15357</v>
      </c>
      <c r="D1671" s="2352" t="s">
        <v>15531</v>
      </c>
      <c r="E1671" s="355" t="s">
        <v>17099</v>
      </c>
      <c r="F1671" s="1662">
        <v>45</v>
      </c>
      <c r="G1671" s="903"/>
    </row>
    <row r="1672" spans="1:7" ht="15" customHeight="1" x14ac:dyDescent="0.25">
      <c r="A1672" s="2352" t="s">
        <v>15533</v>
      </c>
      <c r="B1672" s="2352" t="s">
        <v>15357</v>
      </c>
      <c r="C1672" s="2352" t="s">
        <v>15357</v>
      </c>
      <c r="D1672" s="2352" t="s">
        <v>15534</v>
      </c>
      <c r="E1672" s="355" t="s">
        <v>17102</v>
      </c>
      <c r="F1672" s="1662">
        <v>55</v>
      </c>
      <c r="G1672" s="903"/>
    </row>
    <row r="1673" spans="1:7" ht="15" customHeight="1" x14ac:dyDescent="0.25">
      <c r="A1673" s="2352" t="s">
        <v>15533</v>
      </c>
      <c r="B1673" s="2352" t="s">
        <v>15357</v>
      </c>
      <c r="C1673" s="2352" t="s">
        <v>15357</v>
      </c>
      <c r="D1673" s="2352" t="s">
        <v>15691</v>
      </c>
      <c r="E1673" s="355" t="s">
        <v>17112</v>
      </c>
      <c r="F1673" s="1662">
        <v>40</v>
      </c>
      <c r="G1673" s="903"/>
    </row>
    <row r="1674" spans="1:7" ht="15" customHeight="1" x14ac:dyDescent="0.25">
      <c r="A1674" s="2352" t="s">
        <v>15500</v>
      </c>
      <c r="B1674" s="2352" t="s">
        <v>15357</v>
      </c>
      <c r="C1674" s="2352" t="s">
        <v>15357</v>
      </c>
      <c r="D1674" s="2352" t="s">
        <v>15530</v>
      </c>
      <c r="E1674" s="355" t="s">
        <v>17099</v>
      </c>
      <c r="F1674" s="1662">
        <v>35</v>
      </c>
      <c r="G1674" s="903"/>
    </row>
    <row r="1675" spans="1:7" ht="15" customHeight="1" x14ac:dyDescent="0.25">
      <c r="A1675" s="2352" t="s">
        <v>4973</v>
      </c>
      <c r="B1675" s="2352" t="s">
        <v>15357</v>
      </c>
      <c r="C1675" s="2352" t="s">
        <v>15357</v>
      </c>
      <c r="D1675" s="2352" t="s">
        <v>15532</v>
      </c>
      <c r="E1675" s="355" t="s">
        <v>17097</v>
      </c>
      <c r="F1675" s="1662">
        <v>25</v>
      </c>
      <c r="G1675" s="903"/>
    </row>
    <row r="1676" spans="1:7" ht="15" customHeight="1" x14ac:dyDescent="0.25">
      <c r="A1676" s="2352" t="s">
        <v>4404</v>
      </c>
      <c r="B1676" s="2352" t="s">
        <v>15357</v>
      </c>
      <c r="C1676" s="2352" t="s">
        <v>15357</v>
      </c>
      <c r="D1676" s="2352" t="s">
        <v>15545</v>
      </c>
      <c r="E1676" s="355" t="s">
        <v>17097</v>
      </c>
      <c r="F1676" s="1662">
        <v>25</v>
      </c>
      <c r="G1676" s="903"/>
    </row>
    <row r="1677" spans="1:7" ht="15" customHeight="1" x14ac:dyDescent="0.25">
      <c r="A1677" s="2352" t="s">
        <v>15535</v>
      </c>
      <c r="B1677" s="2352" t="s">
        <v>15357</v>
      </c>
      <c r="C1677" s="2352" t="s">
        <v>15357</v>
      </c>
      <c r="D1677" s="2352" t="s">
        <v>15536</v>
      </c>
      <c r="E1677" s="355" t="s">
        <v>17097</v>
      </c>
      <c r="F1677" s="1662">
        <v>20</v>
      </c>
      <c r="G1677" s="903"/>
    </row>
    <row r="1678" spans="1:7" ht="15" customHeight="1" x14ac:dyDescent="0.25">
      <c r="A1678" s="2352" t="s">
        <v>15537</v>
      </c>
      <c r="B1678" s="2352" t="s">
        <v>15357</v>
      </c>
      <c r="C1678" s="2352" t="s">
        <v>15357</v>
      </c>
      <c r="D1678" s="2352" t="s">
        <v>15538</v>
      </c>
      <c r="E1678" s="355" t="s">
        <v>17099</v>
      </c>
      <c r="F1678" s="1662">
        <v>30</v>
      </c>
      <c r="G1678" s="903"/>
    </row>
    <row r="1679" spans="1:7" ht="15" customHeight="1" x14ac:dyDescent="0.25">
      <c r="A1679" s="2352" t="s">
        <v>15543</v>
      </c>
      <c r="B1679" s="2352" t="s">
        <v>15357</v>
      </c>
      <c r="C1679" s="2352" t="s">
        <v>15357</v>
      </c>
      <c r="D1679" s="2352" t="s">
        <v>15544</v>
      </c>
      <c r="E1679" s="355" t="s">
        <v>17095</v>
      </c>
      <c r="F1679" s="1662">
        <v>85</v>
      </c>
      <c r="G1679" s="903"/>
    </row>
    <row r="1680" spans="1:7" ht="15" customHeight="1" x14ac:dyDescent="0.25">
      <c r="A1680" s="2352" t="s">
        <v>15543</v>
      </c>
      <c r="B1680" s="2352" t="s">
        <v>15357</v>
      </c>
      <c r="C1680" s="2352" t="s">
        <v>15357</v>
      </c>
      <c r="D1680" s="2352" t="s">
        <v>15546</v>
      </c>
      <c r="E1680" s="355" t="s">
        <v>17099</v>
      </c>
      <c r="F1680" s="1662">
        <v>50</v>
      </c>
      <c r="G1680" s="903"/>
    </row>
    <row r="1681" spans="1:7" ht="15" customHeight="1" x14ac:dyDescent="0.25">
      <c r="A1681" s="2352" t="s">
        <v>15539</v>
      </c>
      <c r="B1681" s="2352" t="s">
        <v>15357</v>
      </c>
      <c r="C1681" s="2352" t="s">
        <v>15357</v>
      </c>
      <c r="D1681" s="2352" t="s">
        <v>15540</v>
      </c>
      <c r="E1681" s="355" t="s">
        <v>17104</v>
      </c>
      <c r="F1681" s="1662">
        <v>10</v>
      </c>
      <c r="G1681" s="903"/>
    </row>
    <row r="1682" spans="1:7" ht="15" customHeight="1" x14ac:dyDescent="0.25">
      <c r="A1682" s="2352" t="s">
        <v>15541</v>
      </c>
      <c r="B1682" s="2352" t="s">
        <v>15357</v>
      </c>
      <c r="C1682" s="2352" t="s">
        <v>15357</v>
      </c>
      <c r="D1682" s="2352" t="s">
        <v>15542</v>
      </c>
      <c r="E1682" s="355" t="s">
        <v>17099</v>
      </c>
      <c r="F1682" s="1662">
        <v>40</v>
      </c>
      <c r="G1682" s="903"/>
    </row>
    <row r="1683" spans="1:7" ht="15" customHeight="1" x14ac:dyDescent="0.25">
      <c r="A1683" s="2352" t="s">
        <v>15554</v>
      </c>
      <c r="B1683" s="2352" t="s">
        <v>15357</v>
      </c>
      <c r="C1683" s="2352" t="s">
        <v>15357</v>
      </c>
      <c r="D1683" s="2352" t="s">
        <v>15555</v>
      </c>
      <c r="E1683" s="355" t="s">
        <v>17103</v>
      </c>
      <c r="F1683" s="1662">
        <v>10</v>
      </c>
      <c r="G1683" s="903"/>
    </row>
    <row r="1684" spans="1:7" ht="15" customHeight="1" x14ac:dyDescent="0.25">
      <c r="A1684" s="2352" t="s">
        <v>15556</v>
      </c>
      <c r="B1684" s="2352" t="s">
        <v>15357</v>
      </c>
      <c r="C1684" s="2352" t="s">
        <v>15357</v>
      </c>
      <c r="D1684" s="2352" t="s">
        <v>15557</v>
      </c>
      <c r="E1684" s="355" t="s">
        <v>17105</v>
      </c>
      <c r="F1684" s="1662">
        <v>20</v>
      </c>
      <c r="G1684" s="903"/>
    </row>
    <row r="1685" spans="1:7" ht="15" customHeight="1" x14ac:dyDescent="0.25">
      <c r="A1685" s="2352" t="s">
        <v>15105</v>
      </c>
      <c r="B1685" s="2352" t="s">
        <v>15357</v>
      </c>
      <c r="C1685" s="2352" t="s">
        <v>15357</v>
      </c>
      <c r="D1685" s="2352" t="s">
        <v>15548</v>
      </c>
      <c r="E1685" s="355" t="s">
        <v>17100</v>
      </c>
      <c r="F1685" s="1662">
        <v>0</v>
      </c>
      <c r="G1685" s="903"/>
    </row>
    <row r="1686" spans="1:7" ht="15" customHeight="1" x14ac:dyDescent="0.25">
      <c r="A1686" s="2352" t="s">
        <v>15549</v>
      </c>
      <c r="B1686" s="2352" t="s">
        <v>15357</v>
      </c>
      <c r="C1686" s="2352" t="s">
        <v>15357</v>
      </c>
      <c r="D1686" s="2352" t="s">
        <v>15550</v>
      </c>
      <c r="E1686" s="355" t="s">
        <v>17113</v>
      </c>
      <c r="F1686" s="1662">
        <v>5</v>
      </c>
      <c r="G1686" s="903"/>
    </row>
    <row r="1687" spans="1:7" ht="15" customHeight="1" x14ac:dyDescent="0.25">
      <c r="A1687" s="2352" t="s">
        <v>15551</v>
      </c>
      <c r="B1687" s="2352" t="s">
        <v>15357</v>
      </c>
      <c r="C1687" s="2352" t="s">
        <v>15357</v>
      </c>
      <c r="D1687" s="2352" t="s">
        <v>15552</v>
      </c>
      <c r="E1687" s="355" t="s">
        <v>17113</v>
      </c>
      <c r="F1687" s="1662">
        <v>15</v>
      </c>
      <c r="G1687" s="903"/>
    </row>
    <row r="1688" spans="1:7" ht="15" customHeight="1" x14ac:dyDescent="0.25">
      <c r="A1688" s="2352" t="s">
        <v>15551</v>
      </c>
      <c r="B1688" s="2352" t="s">
        <v>15357</v>
      </c>
      <c r="C1688" s="2352" t="s">
        <v>15357</v>
      </c>
      <c r="D1688" s="2352" t="s">
        <v>15553</v>
      </c>
      <c r="E1688" s="355" t="s">
        <v>17113</v>
      </c>
      <c r="F1688" s="1662">
        <v>10</v>
      </c>
      <c r="G1688" s="903"/>
    </row>
    <row r="1689" spans="1:7" ht="15" customHeight="1" x14ac:dyDescent="0.25">
      <c r="A1689" s="2352" t="s">
        <v>4834</v>
      </c>
      <c r="B1689" s="2352" t="s">
        <v>15357</v>
      </c>
      <c r="C1689" s="2352" t="s">
        <v>15357</v>
      </c>
      <c r="D1689" s="2352" t="s">
        <v>15558</v>
      </c>
      <c r="E1689" s="355" t="s">
        <v>17097</v>
      </c>
      <c r="F1689" s="1662">
        <v>15</v>
      </c>
      <c r="G1689" s="903"/>
    </row>
    <row r="1690" spans="1:7" ht="15" customHeight="1" x14ac:dyDescent="0.25">
      <c r="A1690" s="2352" t="s">
        <v>15624</v>
      </c>
      <c r="B1690" s="2352" t="s">
        <v>15357</v>
      </c>
      <c r="C1690" s="2352" t="s">
        <v>15357</v>
      </c>
      <c r="D1690" s="2352" t="s">
        <v>15625</v>
      </c>
      <c r="E1690" s="355" t="s">
        <v>17113</v>
      </c>
      <c r="F1690" s="1662">
        <v>20</v>
      </c>
      <c r="G1690" s="903"/>
    </row>
    <row r="1691" spans="1:7" ht="15" customHeight="1" x14ac:dyDescent="0.25">
      <c r="A1691" s="2352" t="s">
        <v>15559</v>
      </c>
      <c r="B1691" s="2352" t="s">
        <v>15357</v>
      </c>
      <c r="C1691" s="2352" t="s">
        <v>15357</v>
      </c>
      <c r="D1691" s="2352" t="s">
        <v>15560</v>
      </c>
      <c r="E1691" s="355" t="s">
        <v>17100</v>
      </c>
      <c r="F1691" s="1662">
        <v>2</v>
      </c>
      <c r="G1691" s="903"/>
    </row>
    <row r="1692" spans="1:7" ht="15" customHeight="1" x14ac:dyDescent="0.25">
      <c r="A1692" s="2352" t="s">
        <v>15565</v>
      </c>
      <c r="B1692" s="2352" t="s">
        <v>15357</v>
      </c>
      <c r="C1692" s="2352" t="s">
        <v>15357</v>
      </c>
      <c r="D1692" s="2352" t="s">
        <v>15566</v>
      </c>
      <c r="E1692" s="355" t="s">
        <v>17102</v>
      </c>
      <c r="F1692" s="1662">
        <v>55</v>
      </c>
      <c r="G1692" s="903"/>
    </row>
    <row r="1693" spans="1:7" ht="15" customHeight="1" x14ac:dyDescent="0.25">
      <c r="A1693" s="2352" t="s">
        <v>15565</v>
      </c>
      <c r="B1693" s="2352" t="s">
        <v>15357</v>
      </c>
      <c r="C1693" s="2352" t="s">
        <v>15357</v>
      </c>
      <c r="D1693" s="2352" t="s">
        <v>15567</v>
      </c>
      <c r="E1693" s="355" t="s">
        <v>17099</v>
      </c>
      <c r="F1693" s="1662">
        <v>25</v>
      </c>
      <c r="G1693" s="903"/>
    </row>
    <row r="1694" spans="1:7" ht="15" customHeight="1" x14ac:dyDescent="0.25">
      <c r="A1694" s="2352" t="s">
        <v>15565</v>
      </c>
      <c r="B1694" s="2352" t="s">
        <v>15357</v>
      </c>
      <c r="C1694" s="2352" t="s">
        <v>15357</v>
      </c>
      <c r="D1694" s="2352" t="s">
        <v>15568</v>
      </c>
      <c r="E1694" s="355" t="s">
        <v>17099</v>
      </c>
      <c r="F1694" s="1662">
        <v>50</v>
      </c>
      <c r="G1694" s="903"/>
    </row>
    <row r="1695" spans="1:7" ht="15" customHeight="1" x14ac:dyDescent="0.25">
      <c r="A1695" s="2352" t="s">
        <v>9045</v>
      </c>
      <c r="B1695" s="2352" t="s">
        <v>15357</v>
      </c>
      <c r="C1695" s="2352" t="s">
        <v>15357</v>
      </c>
      <c r="D1695" s="2352" t="s">
        <v>15561</v>
      </c>
      <c r="E1695" s="355" t="s">
        <v>17097</v>
      </c>
      <c r="F1695" s="1662">
        <v>15</v>
      </c>
      <c r="G1695" s="903"/>
    </row>
    <row r="1696" spans="1:7" ht="15" customHeight="1" x14ac:dyDescent="0.25">
      <c r="A1696" s="2352" t="s">
        <v>15569</v>
      </c>
      <c r="B1696" s="2352" t="s">
        <v>15357</v>
      </c>
      <c r="C1696" s="2352" t="s">
        <v>15357</v>
      </c>
      <c r="D1696" s="2352" t="s">
        <v>15570</v>
      </c>
      <c r="E1696" s="355" t="s">
        <v>17104</v>
      </c>
      <c r="F1696" s="1662">
        <v>10</v>
      </c>
      <c r="G1696" s="903"/>
    </row>
    <row r="1697" spans="1:7" ht="15" customHeight="1" x14ac:dyDescent="0.25">
      <c r="A1697" s="2352" t="s">
        <v>15571</v>
      </c>
      <c r="B1697" s="2352" t="s">
        <v>15357</v>
      </c>
      <c r="C1697" s="2352" t="s">
        <v>15357</v>
      </c>
      <c r="D1697" s="2352" t="s">
        <v>15572</v>
      </c>
      <c r="E1697" s="355" t="s">
        <v>17104</v>
      </c>
      <c r="F1697" s="1662">
        <v>10</v>
      </c>
      <c r="G1697" s="903"/>
    </row>
    <row r="1698" spans="1:7" ht="15" customHeight="1" x14ac:dyDescent="0.25">
      <c r="A1698" s="2352" t="s">
        <v>15562</v>
      </c>
      <c r="B1698" s="2352" t="s">
        <v>15357</v>
      </c>
      <c r="C1698" s="2352" t="s">
        <v>15357</v>
      </c>
      <c r="D1698" s="2352" t="s">
        <v>15563</v>
      </c>
      <c r="E1698" s="355" t="s">
        <v>17104</v>
      </c>
      <c r="F1698" s="1662">
        <v>5</v>
      </c>
      <c r="G1698" s="903"/>
    </row>
    <row r="1699" spans="1:7" ht="15" customHeight="1" x14ac:dyDescent="0.25">
      <c r="A1699" s="2352" t="s">
        <v>15562</v>
      </c>
      <c r="B1699" s="2352" t="s">
        <v>15357</v>
      </c>
      <c r="C1699" s="2352" t="s">
        <v>15357</v>
      </c>
      <c r="D1699" s="2352" t="s">
        <v>15564</v>
      </c>
      <c r="E1699" s="355" t="s">
        <v>17099</v>
      </c>
      <c r="F1699" s="1662">
        <v>45</v>
      </c>
      <c r="G1699" s="903"/>
    </row>
    <row r="1700" spans="1:7" ht="15" customHeight="1" x14ac:dyDescent="0.25">
      <c r="A1700" s="2352" t="s">
        <v>15533</v>
      </c>
      <c r="B1700" s="2352" t="s">
        <v>15357</v>
      </c>
      <c r="C1700" s="2352" t="s">
        <v>15357</v>
      </c>
      <c r="D1700" s="2352" t="s">
        <v>15704</v>
      </c>
      <c r="E1700" s="355" t="s">
        <v>17095</v>
      </c>
      <c r="F1700" s="1662">
        <v>55</v>
      </c>
      <c r="G1700" s="903"/>
    </row>
    <row r="1701" spans="1:7" ht="15" customHeight="1" x14ac:dyDescent="0.25">
      <c r="A1701" s="2352" t="s">
        <v>15533</v>
      </c>
      <c r="B1701" s="2352" t="s">
        <v>15357</v>
      </c>
      <c r="C1701" s="2352" t="s">
        <v>15357</v>
      </c>
      <c r="D1701" s="2352" t="s">
        <v>15663</v>
      </c>
      <c r="E1701" s="355" t="s">
        <v>17095</v>
      </c>
      <c r="F1701" s="1662">
        <v>65</v>
      </c>
      <c r="G1701" s="903"/>
    </row>
    <row r="1702" spans="1:7" ht="15" customHeight="1" x14ac:dyDescent="0.25">
      <c r="A1702" s="2352" t="s">
        <v>15533</v>
      </c>
      <c r="B1702" s="2352" t="s">
        <v>15357</v>
      </c>
      <c r="C1702" s="2352" t="s">
        <v>15357</v>
      </c>
      <c r="D1702" s="2352" t="s">
        <v>15665</v>
      </c>
      <c r="E1702" s="355" t="s">
        <v>17102</v>
      </c>
      <c r="F1702" s="1662">
        <v>50</v>
      </c>
      <c r="G1702" s="903"/>
    </row>
    <row r="1703" spans="1:7" ht="15" customHeight="1" x14ac:dyDescent="0.25">
      <c r="A1703" s="2352" t="s">
        <v>15533</v>
      </c>
      <c r="B1703" s="2352" t="s">
        <v>15357</v>
      </c>
      <c r="C1703" s="2352" t="s">
        <v>15357</v>
      </c>
      <c r="D1703" s="2352" t="s">
        <v>15703</v>
      </c>
      <c r="E1703" s="355" t="s">
        <v>17096</v>
      </c>
      <c r="F1703" s="1662">
        <v>65</v>
      </c>
      <c r="G1703" s="903"/>
    </row>
    <row r="1704" spans="1:7" ht="15" customHeight="1" x14ac:dyDescent="0.25">
      <c r="A1704" s="2352" t="s">
        <v>15533</v>
      </c>
      <c r="B1704" s="2352" t="s">
        <v>15357</v>
      </c>
      <c r="C1704" s="2352" t="s">
        <v>15357</v>
      </c>
      <c r="D1704" s="2352" t="s">
        <v>15664</v>
      </c>
      <c r="E1704" s="355" t="s">
        <v>17096</v>
      </c>
      <c r="F1704" s="1662">
        <v>60</v>
      </c>
      <c r="G1704" s="903"/>
    </row>
    <row r="1705" spans="1:7" ht="15" customHeight="1" x14ac:dyDescent="0.25">
      <c r="A1705" s="2352" t="s">
        <v>15444</v>
      </c>
      <c r="B1705" s="2352" t="s">
        <v>15357</v>
      </c>
      <c r="C1705" s="2352" t="s">
        <v>15357</v>
      </c>
      <c r="D1705" s="2352" t="s">
        <v>15587</v>
      </c>
      <c r="E1705" s="355" t="s">
        <v>17111</v>
      </c>
      <c r="F1705" s="1662">
        <v>15</v>
      </c>
      <c r="G1705" s="903"/>
    </row>
    <row r="1706" spans="1:7" ht="15" customHeight="1" x14ac:dyDescent="0.25">
      <c r="A1706" s="2352" t="s">
        <v>15602</v>
      </c>
      <c r="B1706" s="2352" t="s">
        <v>15357</v>
      </c>
      <c r="C1706" s="2352" t="s">
        <v>15357</v>
      </c>
      <c r="D1706" s="2352" t="s">
        <v>15603</v>
      </c>
      <c r="E1706" s="355" t="s">
        <v>17105</v>
      </c>
      <c r="F1706" s="1662">
        <v>10</v>
      </c>
      <c r="G1706" s="903"/>
    </row>
    <row r="1707" spans="1:7" ht="15" customHeight="1" x14ac:dyDescent="0.25">
      <c r="A1707" s="2352" t="s">
        <v>15600</v>
      </c>
      <c r="B1707" s="2352" t="s">
        <v>15357</v>
      </c>
      <c r="C1707" s="2352" t="s">
        <v>15357</v>
      </c>
      <c r="D1707" s="2352" t="s">
        <v>15601</v>
      </c>
      <c r="E1707" s="355" t="s">
        <v>17100</v>
      </c>
      <c r="F1707" s="1662">
        <v>0</v>
      </c>
      <c r="G1707" s="903"/>
    </row>
    <row r="1708" spans="1:7" ht="15" customHeight="1" x14ac:dyDescent="0.25">
      <c r="A1708" s="2352" t="s">
        <v>14686</v>
      </c>
      <c r="B1708" s="2352" t="s">
        <v>15357</v>
      </c>
      <c r="C1708" s="2352" t="s">
        <v>15357</v>
      </c>
      <c r="D1708" s="2352" t="s">
        <v>15575</v>
      </c>
      <c r="E1708" s="355" t="s">
        <v>17095</v>
      </c>
      <c r="F1708" s="1662">
        <v>80</v>
      </c>
      <c r="G1708" s="903"/>
    </row>
    <row r="1709" spans="1:7" ht="15" customHeight="1" x14ac:dyDescent="0.25">
      <c r="A1709" s="2352" t="s">
        <v>14686</v>
      </c>
      <c r="B1709" s="2352" t="s">
        <v>15357</v>
      </c>
      <c r="C1709" s="2352" t="s">
        <v>15357</v>
      </c>
      <c r="D1709" s="2352" t="s">
        <v>15576</v>
      </c>
      <c r="E1709" s="355" t="s">
        <v>17097</v>
      </c>
      <c r="F1709" s="1662">
        <v>20</v>
      </c>
      <c r="G1709" s="903"/>
    </row>
    <row r="1710" spans="1:7" ht="15" customHeight="1" x14ac:dyDescent="0.25">
      <c r="A1710" s="2352" t="s">
        <v>14686</v>
      </c>
      <c r="B1710" s="2352" t="s">
        <v>15357</v>
      </c>
      <c r="C1710" s="2352" t="s">
        <v>15357</v>
      </c>
      <c r="D1710" s="2352" t="s">
        <v>15577</v>
      </c>
      <c r="E1710" s="355" t="s">
        <v>17095</v>
      </c>
      <c r="F1710" s="1662">
        <v>80</v>
      </c>
      <c r="G1710" s="903"/>
    </row>
    <row r="1711" spans="1:7" ht="15" customHeight="1" x14ac:dyDescent="0.25">
      <c r="A1711" s="2352" t="s">
        <v>6703</v>
      </c>
      <c r="B1711" s="2352" t="s">
        <v>15357</v>
      </c>
      <c r="C1711" s="2352" t="s">
        <v>15357</v>
      </c>
      <c r="D1711" s="2352" t="s">
        <v>15578</v>
      </c>
      <c r="E1711" s="355" t="s">
        <v>17102</v>
      </c>
      <c r="F1711" s="1662">
        <v>45</v>
      </c>
      <c r="G1711" s="903"/>
    </row>
    <row r="1712" spans="1:7" ht="15" customHeight="1" x14ac:dyDescent="0.25">
      <c r="A1712" s="2352" t="s">
        <v>15598</v>
      </c>
      <c r="B1712" s="2352" t="s">
        <v>15357</v>
      </c>
      <c r="C1712" s="2352" t="s">
        <v>15357</v>
      </c>
      <c r="D1712" s="2352" t="s">
        <v>15599</v>
      </c>
      <c r="E1712" s="355" t="s">
        <v>17104</v>
      </c>
      <c r="F1712" s="1662">
        <v>15</v>
      </c>
      <c r="G1712" s="903"/>
    </row>
    <row r="1713" spans="1:7" ht="15" customHeight="1" x14ac:dyDescent="0.25">
      <c r="A1713" s="2352" t="s">
        <v>15594</v>
      </c>
      <c r="B1713" s="2352" t="s">
        <v>15357</v>
      </c>
      <c r="C1713" s="2352" t="s">
        <v>15357</v>
      </c>
      <c r="D1713" s="2352" t="s">
        <v>15595</v>
      </c>
      <c r="E1713" s="355" t="s">
        <v>17099</v>
      </c>
      <c r="F1713" s="1662">
        <v>35</v>
      </c>
      <c r="G1713" s="903"/>
    </row>
    <row r="1714" spans="1:7" ht="15" customHeight="1" x14ac:dyDescent="0.25">
      <c r="A1714" s="2352" t="s">
        <v>15579</v>
      </c>
      <c r="B1714" s="2352" t="s">
        <v>15357</v>
      </c>
      <c r="C1714" s="2352" t="s">
        <v>15357</v>
      </c>
      <c r="D1714" s="2352" t="s">
        <v>15580</v>
      </c>
      <c r="E1714" s="355" t="s">
        <v>17099</v>
      </c>
      <c r="F1714" s="1662">
        <v>35</v>
      </c>
      <c r="G1714" s="903"/>
    </row>
    <row r="1715" spans="1:7" ht="15" customHeight="1" x14ac:dyDescent="0.25">
      <c r="A1715" s="2352" t="s">
        <v>10541</v>
      </c>
      <c r="B1715" s="2352" t="s">
        <v>15357</v>
      </c>
      <c r="C1715" s="2352" t="s">
        <v>15357</v>
      </c>
      <c r="D1715" s="2352" t="s">
        <v>15581</v>
      </c>
      <c r="E1715" s="355" t="s">
        <v>17098</v>
      </c>
      <c r="F1715" s="1662">
        <v>0</v>
      </c>
      <c r="G1715" s="903"/>
    </row>
    <row r="1716" spans="1:7" ht="15" customHeight="1" x14ac:dyDescent="0.25">
      <c r="A1716" s="2352" t="s">
        <v>15582</v>
      </c>
      <c r="B1716" s="2352" t="s">
        <v>15357</v>
      </c>
      <c r="C1716" s="2352" t="s">
        <v>15357</v>
      </c>
      <c r="D1716" s="2352" t="s">
        <v>15583</v>
      </c>
      <c r="E1716" s="355" t="s">
        <v>17099</v>
      </c>
      <c r="F1716" s="1662">
        <v>25</v>
      </c>
      <c r="G1716" s="903"/>
    </row>
    <row r="1717" spans="1:7" ht="15" customHeight="1" x14ac:dyDescent="0.25">
      <c r="A1717" s="2352" t="s">
        <v>15582</v>
      </c>
      <c r="B1717" s="2352" t="s">
        <v>15357</v>
      </c>
      <c r="C1717" s="2352" t="s">
        <v>15357</v>
      </c>
      <c r="D1717" s="2352" t="s">
        <v>15584</v>
      </c>
      <c r="E1717" s="355" t="s">
        <v>17095</v>
      </c>
      <c r="F1717" s="1662">
        <v>90</v>
      </c>
      <c r="G1717" s="903"/>
    </row>
    <row r="1718" spans="1:7" ht="15" customHeight="1" x14ac:dyDescent="0.25">
      <c r="A1718" s="2352" t="s">
        <v>15596</v>
      </c>
      <c r="B1718" s="2352" t="s">
        <v>15357</v>
      </c>
      <c r="C1718" s="2352" t="s">
        <v>15357</v>
      </c>
      <c r="D1718" s="2352" t="s">
        <v>15597</v>
      </c>
      <c r="E1718" s="355" t="s">
        <v>17104</v>
      </c>
      <c r="F1718" s="1662">
        <v>10</v>
      </c>
      <c r="G1718" s="903"/>
    </row>
    <row r="1719" spans="1:7" ht="15" customHeight="1" x14ac:dyDescent="0.25">
      <c r="A1719" s="2352" t="s">
        <v>15588</v>
      </c>
      <c r="B1719" s="2352" t="s">
        <v>15357</v>
      </c>
      <c r="C1719" s="2352" t="s">
        <v>15357</v>
      </c>
      <c r="D1719" s="2352" t="s">
        <v>15589</v>
      </c>
      <c r="E1719" s="355" t="s">
        <v>17104</v>
      </c>
      <c r="F1719" s="1662">
        <v>10</v>
      </c>
      <c r="G1719" s="903"/>
    </row>
    <row r="1720" spans="1:7" ht="15" customHeight="1" x14ac:dyDescent="0.25">
      <c r="A1720" s="2352" t="s">
        <v>15592</v>
      </c>
      <c r="B1720" s="2352" t="s">
        <v>15357</v>
      </c>
      <c r="C1720" s="2352" t="s">
        <v>15357</v>
      </c>
      <c r="D1720" s="2352" t="s">
        <v>15593</v>
      </c>
      <c r="E1720" s="355" t="s">
        <v>17105</v>
      </c>
      <c r="F1720" s="1662">
        <v>15</v>
      </c>
      <c r="G1720" s="903"/>
    </row>
    <row r="1721" spans="1:7" ht="15" customHeight="1" x14ac:dyDescent="0.25">
      <c r="A1721" s="2352" t="s">
        <v>15655</v>
      </c>
      <c r="B1721" s="2352" t="s">
        <v>15357</v>
      </c>
      <c r="C1721" s="2352" t="s">
        <v>15357</v>
      </c>
      <c r="D1721" s="2352" t="s">
        <v>15656</v>
      </c>
      <c r="E1721" s="355" t="s">
        <v>17099</v>
      </c>
      <c r="F1721" s="1662">
        <v>45</v>
      </c>
      <c r="G1721" s="903"/>
    </row>
    <row r="1722" spans="1:7" ht="15" customHeight="1" x14ac:dyDescent="0.25">
      <c r="A1722" s="2352" t="s">
        <v>15655</v>
      </c>
      <c r="B1722" s="2352" t="s">
        <v>15357</v>
      </c>
      <c r="C1722" s="2352" t="s">
        <v>15357</v>
      </c>
      <c r="D1722" s="2352" t="s">
        <v>15710</v>
      </c>
      <c r="E1722" s="355" t="s">
        <v>17105</v>
      </c>
      <c r="F1722" s="1662">
        <v>5</v>
      </c>
      <c r="G1722" s="903"/>
    </row>
    <row r="1723" spans="1:7" ht="15" customHeight="1" x14ac:dyDescent="0.25">
      <c r="A1723" s="2352" t="s">
        <v>15590</v>
      </c>
      <c r="B1723" s="2352" t="s">
        <v>15357</v>
      </c>
      <c r="C1723" s="2352" t="s">
        <v>15357</v>
      </c>
      <c r="D1723" s="2352" t="s">
        <v>15591</v>
      </c>
      <c r="E1723" s="355" t="s">
        <v>17097</v>
      </c>
      <c r="F1723" s="1662">
        <v>25</v>
      </c>
      <c r="G1723" s="903"/>
    </row>
    <row r="1724" spans="1:7" ht="15" customHeight="1" x14ac:dyDescent="0.25">
      <c r="A1724" s="2352" t="s">
        <v>15585</v>
      </c>
      <c r="B1724" s="2352" t="s">
        <v>15357</v>
      </c>
      <c r="C1724" s="2352" t="s">
        <v>15357</v>
      </c>
      <c r="D1724" s="2352" t="s">
        <v>15586</v>
      </c>
      <c r="E1724" s="355" t="s">
        <v>17104</v>
      </c>
      <c r="F1724" s="1662">
        <v>5</v>
      </c>
      <c r="G1724" s="903"/>
    </row>
    <row r="1725" spans="1:7" ht="15" customHeight="1" x14ac:dyDescent="0.25">
      <c r="A1725" s="2352" t="s">
        <v>15573</v>
      </c>
      <c r="B1725" s="2352" t="s">
        <v>15357</v>
      </c>
      <c r="C1725" s="2352" t="s">
        <v>15357</v>
      </c>
      <c r="D1725" s="2352" t="s">
        <v>15574</v>
      </c>
      <c r="E1725" s="355" t="s">
        <v>17104</v>
      </c>
      <c r="F1725" s="1662">
        <v>15</v>
      </c>
      <c r="G1725" s="903"/>
    </row>
    <row r="1726" spans="1:7" ht="15" customHeight="1" x14ac:dyDescent="0.25">
      <c r="A1726" s="2352" t="s">
        <v>15533</v>
      </c>
      <c r="B1726" s="2352" t="s">
        <v>15357</v>
      </c>
      <c r="C1726" s="2352" t="s">
        <v>15357</v>
      </c>
      <c r="D1726" s="2352" t="s">
        <v>15604</v>
      </c>
      <c r="E1726" s="355" t="s">
        <v>17099</v>
      </c>
      <c r="F1726" s="1662">
        <v>35</v>
      </c>
      <c r="G1726" s="903"/>
    </row>
    <row r="1727" spans="1:7" ht="15" customHeight="1" x14ac:dyDescent="0.25">
      <c r="A1727" s="2352" t="s">
        <v>15626</v>
      </c>
      <c r="B1727" s="2352" t="s">
        <v>15357</v>
      </c>
      <c r="C1727" s="2352" t="s">
        <v>15357</v>
      </c>
      <c r="D1727" s="2352" t="s">
        <v>15627</v>
      </c>
      <c r="E1727" s="355" t="s">
        <v>17095</v>
      </c>
      <c r="F1727" s="1662">
        <v>100</v>
      </c>
      <c r="G1727" s="903"/>
    </row>
    <row r="1728" spans="1:7" ht="15" customHeight="1" x14ac:dyDescent="0.25">
      <c r="A1728" s="2352" t="s">
        <v>15605</v>
      </c>
      <c r="B1728" s="2352" t="s">
        <v>15357</v>
      </c>
      <c r="C1728" s="2352" t="s">
        <v>15357</v>
      </c>
      <c r="D1728" s="2352" t="s">
        <v>15698</v>
      </c>
      <c r="E1728" s="355" t="s">
        <v>17102</v>
      </c>
      <c r="F1728" s="1662">
        <v>25</v>
      </c>
      <c r="G1728" s="903"/>
    </row>
    <row r="1729" spans="1:7" ht="15" customHeight="1" x14ac:dyDescent="0.25">
      <c r="A1729" s="2352" t="s">
        <v>15605</v>
      </c>
      <c r="B1729" s="2352" t="s">
        <v>15357</v>
      </c>
      <c r="C1729" s="2352" t="s">
        <v>15357</v>
      </c>
      <c r="D1729" s="2352" t="s">
        <v>15606</v>
      </c>
      <c r="E1729" s="355" t="s">
        <v>17099</v>
      </c>
      <c r="F1729" s="1662">
        <v>45</v>
      </c>
      <c r="G1729" s="903"/>
    </row>
    <row r="1730" spans="1:7" ht="15" customHeight="1" x14ac:dyDescent="0.25">
      <c r="A1730" s="2352" t="s">
        <v>15609</v>
      </c>
      <c r="B1730" s="2352" t="s">
        <v>15357</v>
      </c>
      <c r="C1730" s="2352" t="s">
        <v>15357</v>
      </c>
      <c r="D1730" s="2352" t="s">
        <v>15610</v>
      </c>
      <c r="E1730" s="355" t="s">
        <v>17102</v>
      </c>
      <c r="F1730" s="1662">
        <v>55</v>
      </c>
      <c r="G1730" s="903"/>
    </row>
    <row r="1731" spans="1:7" ht="15" customHeight="1" x14ac:dyDescent="0.25">
      <c r="A1731" s="2352" t="s">
        <v>15609</v>
      </c>
      <c r="B1731" s="2352" t="s">
        <v>15357</v>
      </c>
      <c r="C1731" s="2352" t="s">
        <v>15357</v>
      </c>
      <c r="D1731" s="2352" t="s">
        <v>15711</v>
      </c>
      <c r="E1731" s="355" t="s">
        <v>17102</v>
      </c>
      <c r="F1731" s="1662">
        <v>45</v>
      </c>
      <c r="G1731" s="903"/>
    </row>
    <row r="1732" spans="1:7" ht="15" customHeight="1" x14ac:dyDescent="0.25">
      <c r="A1732" s="2352" t="s">
        <v>15607</v>
      </c>
      <c r="B1732" s="2352" t="s">
        <v>15357</v>
      </c>
      <c r="C1732" s="2352" t="s">
        <v>15357</v>
      </c>
      <c r="D1732" s="2352" t="s">
        <v>15608</v>
      </c>
      <c r="E1732" s="355" t="s">
        <v>17105</v>
      </c>
      <c r="F1732" s="1662">
        <v>10</v>
      </c>
      <c r="G1732" s="903"/>
    </row>
    <row r="1733" spans="1:7" ht="15" customHeight="1" x14ac:dyDescent="0.25">
      <c r="A1733" s="2352" t="s">
        <v>15500</v>
      </c>
      <c r="B1733" s="2352" t="s">
        <v>15357</v>
      </c>
      <c r="C1733" s="2352" t="s">
        <v>15357</v>
      </c>
      <c r="D1733" s="2352" t="s">
        <v>15693</v>
      </c>
      <c r="E1733" s="355" t="s">
        <v>17097</v>
      </c>
      <c r="F1733" s="1662">
        <v>35</v>
      </c>
      <c r="G1733" s="903"/>
    </row>
    <row r="1734" spans="1:7" ht="15" customHeight="1" x14ac:dyDescent="0.25">
      <c r="A1734" s="2352" t="s">
        <v>8536</v>
      </c>
      <c r="B1734" s="2352" t="s">
        <v>15357</v>
      </c>
      <c r="C1734" s="2352" t="s">
        <v>15357</v>
      </c>
      <c r="D1734" s="2352" t="s">
        <v>15649</v>
      </c>
      <c r="E1734" s="355" t="s">
        <v>17098</v>
      </c>
      <c r="F1734" s="1662">
        <v>10</v>
      </c>
      <c r="G1734" s="903"/>
    </row>
    <row r="1735" spans="1:7" ht="15" customHeight="1" x14ac:dyDescent="0.25">
      <c r="A1735" s="2352" t="s">
        <v>7481</v>
      </c>
      <c r="B1735" s="2352" t="s">
        <v>15357</v>
      </c>
      <c r="C1735" s="2352" t="s">
        <v>15357</v>
      </c>
      <c r="D1735" s="2352" t="s">
        <v>15654</v>
      </c>
      <c r="E1735" s="355" t="s">
        <v>17104</v>
      </c>
      <c r="F1735" s="1662">
        <v>5</v>
      </c>
      <c r="G1735" s="903"/>
    </row>
    <row r="1736" spans="1:7" ht="15" customHeight="1" x14ac:dyDescent="0.25">
      <c r="A1736" s="2352" t="s">
        <v>15628</v>
      </c>
      <c r="B1736" s="2352" t="s">
        <v>15357</v>
      </c>
      <c r="C1736" s="2352" t="s">
        <v>15357</v>
      </c>
      <c r="D1736" s="2352" t="s">
        <v>15629</v>
      </c>
      <c r="E1736" s="355" t="s">
        <v>17102</v>
      </c>
      <c r="F1736" s="1662">
        <v>40</v>
      </c>
      <c r="G1736" s="903"/>
    </row>
    <row r="1737" spans="1:7" ht="15" customHeight="1" x14ac:dyDescent="0.25">
      <c r="A1737" s="2352" t="s">
        <v>15628</v>
      </c>
      <c r="B1737" s="2352" t="s">
        <v>15357</v>
      </c>
      <c r="C1737" s="2352" t="s">
        <v>15357</v>
      </c>
      <c r="D1737" s="2352" t="s">
        <v>15630</v>
      </c>
      <c r="E1737" s="355" t="s">
        <v>17096</v>
      </c>
      <c r="F1737" s="1662">
        <v>100</v>
      </c>
      <c r="G1737" s="903"/>
    </row>
    <row r="1738" spans="1:7" ht="15" customHeight="1" x14ac:dyDescent="0.25">
      <c r="A1738" s="2352" t="s">
        <v>15628</v>
      </c>
      <c r="B1738" s="2352" t="s">
        <v>15357</v>
      </c>
      <c r="C1738" s="2352" t="s">
        <v>15357</v>
      </c>
      <c r="D1738" s="2352" t="s">
        <v>15631</v>
      </c>
      <c r="E1738" s="355" t="s">
        <v>17102</v>
      </c>
      <c r="F1738" s="1662">
        <v>60</v>
      </c>
      <c r="G1738" s="903"/>
    </row>
    <row r="1739" spans="1:7" ht="15" customHeight="1" x14ac:dyDescent="0.25">
      <c r="A1739" s="2352" t="s">
        <v>10991</v>
      </c>
      <c r="B1739" s="2352" t="s">
        <v>15357</v>
      </c>
      <c r="C1739" s="2352" t="s">
        <v>15357</v>
      </c>
      <c r="D1739" s="2352" t="s">
        <v>15632</v>
      </c>
      <c r="E1739" s="355" t="s">
        <v>17104</v>
      </c>
      <c r="F1739" s="1662">
        <v>10</v>
      </c>
      <c r="G1739" s="903"/>
    </row>
    <row r="1740" spans="1:7" ht="15" customHeight="1" x14ac:dyDescent="0.25">
      <c r="A1740" s="2352" t="s">
        <v>14506</v>
      </c>
      <c r="B1740" s="2352" t="s">
        <v>15357</v>
      </c>
      <c r="C1740" s="2352" t="s">
        <v>15357</v>
      </c>
      <c r="D1740" s="2352" t="s">
        <v>15650</v>
      </c>
      <c r="E1740" s="355" t="s">
        <v>17098</v>
      </c>
      <c r="F1740" s="1662">
        <v>10</v>
      </c>
      <c r="G1740" s="903"/>
    </row>
    <row r="1741" spans="1:7" ht="15" customHeight="1" x14ac:dyDescent="0.25">
      <c r="A1741" s="2352" t="s">
        <v>15633</v>
      </c>
      <c r="B1741" s="2352" t="s">
        <v>15357</v>
      </c>
      <c r="C1741" s="2352" t="s">
        <v>15357</v>
      </c>
      <c r="D1741" s="2352" t="s">
        <v>15634</v>
      </c>
      <c r="E1741" s="355" t="s">
        <v>17111</v>
      </c>
      <c r="F1741" s="1662">
        <v>15</v>
      </c>
      <c r="G1741" s="903"/>
    </row>
    <row r="1742" spans="1:7" ht="15" customHeight="1" x14ac:dyDescent="0.25">
      <c r="A1742" s="2352" t="s">
        <v>4324</v>
      </c>
      <c r="B1742" s="2352" t="s">
        <v>15357</v>
      </c>
      <c r="C1742" s="2352" t="s">
        <v>15357</v>
      </c>
      <c r="D1742" s="2352" t="s">
        <v>15635</v>
      </c>
      <c r="E1742" s="355" t="s">
        <v>17100</v>
      </c>
      <c r="F1742" s="1662">
        <v>2</v>
      </c>
      <c r="G1742" s="903"/>
    </row>
    <row r="1743" spans="1:7" ht="15" customHeight="1" x14ac:dyDescent="0.25">
      <c r="A1743" s="2352" t="s">
        <v>15636</v>
      </c>
      <c r="B1743" s="2352" t="s">
        <v>15357</v>
      </c>
      <c r="C1743" s="2352" t="s">
        <v>15357</v>
      </c>
      <c r="D1743" s="2352" t="s">
        <v>15637</v>
      </c>
      <c r="E1743" s="355" t="s">
        <v>17097</v>
      </c>
      <c r="F1743" s="1662">
        <v>20</v>
      </c>
      <c r="G1743" s="903"/>
    </row>
    <row r="1744" spans="1:7" ht="15" customHeight="1" x14ac:dyDescent="0.25">
      <c r="A1744" s="2352" t="s">
        <v>15638</v>
      </c>
      <c r="B1744" s="2352" t="s">
        <v>15357</v>
      </c>
      <c r="C1744" s="2352" t="s">
        <v>15357</v>
      </c>
      <c r="D1744" s="2352" t="s">
        <v>15639</v>
      </c>
      <c r="E1744" s="355" t="s">
        <v>17099</v>
      </c>
      <c r="F1744" s="1662">
        <v>45</v>
      </c>
      <c r="G1744" s="903"/>
    </row>
    <row r="1745" spans="1:7" ht="15" customHeight="1" x14ac:dyDescent="0.25">
      <c r="A1745" s="2352" t="s">
        <v>15640</v>
      </c>
      <c r="B1745" s="2352" t="s">
        <v>15357</v>
      </c>
      <c r="C1745" s="2352" t="s">
        <v>15357</v>
      </c>
      <c r="D1745" s="2352" t="s">
        <v>15662</v>
      </c>
      <c r="E1745" s="355" t="s">
        <v>17097</v>
      </c>
      <c r="F1745" s="1662">
        <v>15</v>
      </c>
      <c r="G1745" s="903"/>
    </row>
    <row r="1746" spans="1:7" ht="15" customHeight="1" x14ac:dyDescent="0.25">
      <c r="A1746" s="2352" t="s">
        <v>15640</v>
      </c>
      <c r="B1746" s="2352" t="s">
        <v>15357</v>
      </c>
      <c r="C1746" s="2352" t="s">
        <v>15357</v>
      </c>
      <c r="D1746" s="2352" t="s">
        <v>15641</v>
      </c>
      <c r="E1746" s="355" t="s">
        <v>17096</v>
      </c>
      <c r="F1746" s="1662">
        <v>100</v>
      </c>
      <c r="G1746" s="903"/>
    </row>
    <row r="1747" spans="1:7" ht="15" customHeight="1" x14ac:dyDescent="0.25">
      <c r="A1747" s="2352" t="s">
        <v>15640</v>
      </c>
      <c r="B1747" s="2352" t="s">
        <v>15357</v>
      </c>
      <c r="C1747" s="2352" t="s">
        <v>15357</v>
      </c>
      <c r="D1747" s="2352" t="s">
        <v>15642</v>
      </c>
      <c r="E1747" s="355" t="s">
        <v>17095</v>
      </c>
      <c r="F1747" s="1662">
        <v>85</v>
      </c>
      <c r="G1747" s="903"/>
    </row>
    <row r="1748" spans="1:7" ht="15" customHeight="1" x14ac:dyDescent="0.25">
      <c r="A1748" s="2352" t="s">
        <v>15640</v>
      </c>
      <c r="B1748" s="2352" t="s">
        <v>15357</v>
      </c>
      <c r="C1748" s="2352" t="s">
        <v>15357</v>
      </c>
      <c r="D1748" s="2352" t="s">
        <v>15643</v>
      </c>
      <c r="E1748" s="355" t="s">
        <v>17102</v>
      </c>
      <c r="F1748" s="1662">
        <v>65</v>
      </c>
      <c r="G1748" s="903"/>
    </row>
    <row r="1749" spans="1:7" ht="15" customHeight="1" x14ac:dyDescent="0.25">
      <c r="A1749" s="2352" t="s">
        <v>15652</v>
      </c>
      <c r="B1749" s="2352" t="s">
        <v>15357</v>
      </c>
      <c r="C1749" s="2352" t="s">
        <v>15357</v>
      </c>
      <c r="D1749" s="2352" t="s">
        <v>15653</v>
      </c>
      <c r="E1749" s="355" t="s">
        <v>17105</v>
      </c>
      <c r="F1749" s="1662">
        <v>10</v>
      </c>
      <c r="G1749" s="903"/>
    </row>
    <row r="1750" spans="1:7" ht="15" customHeight="1" x14ac:dyDescent="0.25">
      <c r="A1750" s="2352" t="s">
        <v>15647</v>
      </c>
      <c r="B1750" s="2352" t="s">
        <v>15357</v>
      </c>
      <c r="C1750" s="2352" t="s">
        <v>15357</v>
      </c>
      <c r="D1750" s="2352" t="s">
        <v>15648</v>
      </c>
      <c r="E1750" s="355" t="s">
        <v>17097</v>
      </c>
      <c r="F1750" s="1662">
        <v>15</v>
      </c>
      <c r="G1750" s="903"/>
    </row>
    <row r="1751" spans="1:7" ht="15" customHeight="1" x14ac:dyDescent="0.25">
      <c r="A1751" s="2352" t="s">
        <v>7194</v>
      </c>
      <c r="B1751" s="2352" t="s">
        <v>15357</v>
      </c>
      <c r="C1751" s="2352" t="s">
        <v>15357</v>
      </c>
      <c r="D1751" s="2352" t="s">
        <v>15659</v>
      </c>
      <c r="E1751" s="355" t="s">
        <v>17102</v>
      </c>
      <c r="F1751" s="1662">
        <v>70</v>
      </c>
      <c r="G1751" s="903"/>
    </row>
    <row r="1752" spans="1:7" ht="15" customHeight="1" x14ac:dyDescent="0.25">
      <c r="A1752" s="2352" t="s">
        <v>15640</v>
      </c>
      <c r="B1752" s="2352" t="s">
        <v>15357</v>
      </c>
      <c r="C1752" s="2352" t="s">
        <v>15357</v>
      </c>
      <c r="D1752" s="2352" t="s">
        <v>15644</v>
      </c>
      <c r="E1752" s="355" t="s">
        <v>17095</v>
      </c>
      <c r="F1752" s="1662">
        <v>50</v>
      </c>
      <c r="G1752" s="903"/>
    </row>
    <row r="1753" spans="1:7" ht="15" customHeight="1" x14ac:dyDescent="0.25">
      <c r="A1753" s="2352" t="s">
        <v>9619</v>
      </c>
      <c r="B1753" s="2352" t="s">
        <v>15357</v>
      </c>
      <c r="C1753" s="2352" t="s">
        <v>15357</v>
      </c>
      <c r="D1753" s="2352" t="s">
        <v>15658</v>
      </c>
      <c r="E1753" s="355" t="s">
        <v>17104</v>
      </c>
      <c r="F1753" s="1662">
        <v>10</v>
      </c>
      <c r="G1753" s="903"/>
    </row>
    <row r="1754" spans="1:7" ht="15" customHeight="1" x14ac:dyDescent="0.25">
      <c r="A1754" s="2352" t="s">
        <v>4869</v>
      </c>
      <c r="B1754" s="2352" t="s">
        <v>15357</v>
      </c>
      <c r="C1754" s="2352" t="s">
        <v>15357</v>
      </c>
      <c r="D1754" s="2352" t="s">
        <v>15651</v>
      </c>
      <c r="E1754" s="355" t="s">
        <v>17104</v>
      </c>
      <c r="F1754" s="1662">
        <v>10</v>
      </c>
      <c r="G1754" s="903"/>
    </row>
    <row r="1755" spans="1:7" ht="15" customHeight="1" x14ac:dyDescent="0.25">
      <c r="A1755" s="2352" t="s">
        <v>5525</v>
      </c>
      <c r="B1755" s="2352" t="s">
        <v>15357</v>
      </c>
      <c r="C1755" s="2352" t="s">
        <v>15357</v>
      </c>
      <c r="D1755" s="2352" t="s">
        <v>15657</v>
      </c>
      <c r="E1755" s="355" t="s">
        <v>17102</v>
      </c>
      <c r="F1755" s="1662">
        <v>60</v>
      </c>
      <c r="G1755" s="903"/>
    </row>
    <row r="1756" spans="1:7" ht="15" customHeight="1" x14ac:dyDescent="0.25">
      <c r="A1756" s="2352" t="s">
        <v>15645</v>
      </c>
      <c r="B1756" s="2352" t="s">
        <v>15357</v>
      </c>
      <c r="C1756" s="2352" t="s">
        <v>15357</v>
      </c>
      <c r="D1756" s="2352" t="s">
        <v>15646</v>
      </c>
      <c r="E1756" s="355" t="s">
        <v>17100</v>
      </c>
      <c r="F1756" s="1662">
        <v>0</v>
      </c>
      <c r="G1756" s="903"/>
    </row>
    <row r="1757" spans="1:7" ht="15" customHeight="1" x14ac:dyDescent="0.25">
      <c r="A1757" s="2352" t="s">
        <v>15660</v>
      </c>
      <c r="B1757" s="2352" t="s">
        <v>15357</v>
      </c>
      <c r="C1757" s="2352" t="s">
        <v>15357</v>
      </c>
      <c r="D1757" s="2352" t="s">
        <v>15661</v>
      </c>
      <c r="E1757" s="355" t="s">
        <v>17111</v>
      </c>
      <c r="F1757" s="1662">
        <v>10</v>
      </c>
      <c r="G1757" s="903"/>
    </row>
    <row r="1758" spans="1:7" ht="15" customHeight="1" x14ac:dyDescent="0.25">
      <c r="A1758" s="2352" t="s">
        <v>7594</v>
      </c>
      <c r="B1758" s="2352" t="s">
        <v>15357</v>
      </c>
      <c r="C1758" s="2352" t="s">
        <v>15357</v>
      </c>
      <c r="D1758" s="2352" t="s">
        <v>15696</v>
      </c>
      <c r="E1758" s="355" t="s">
        <v>15697</v>
      </c>
      <c r="F1758" s="1662">
        <v>2</v>
      </c>
      <c r="G1758" s="903"/>
    </row>
    <row r="1759" spans="1:7" ht="15" customHeight="1" x14ac:dyDescent="0.25">
      <c r="A1759" s="2352" t="s">
        <v>15699</v>
      </c>
      <c r="B1759" s="2352" t="s">
        <v>15357</v>
      </c>
      <c r="C1759" s="2352" t="s">
        <v>15357</v>
      </c>
      <c r="D1759" s="2352" t="s">
        <v>15700</v>
      </c>
      <c r="E1759" s="355" t="s">
        <v>17100</v>
      </c>
      <c r="F1759" s="1662">
        <v>5</v>
      </c>
      <c r="G1759" s="903"/>
    </row>
    <row r="1760" spans="1:7" ht="15" customHeight="1" x14ac:dyDescent="0.25">
      <c r="A1760" s="2352" t="s">
        <v>15701</v>
      </c>
      <c r="B1760" s="2352" t="s">
        <v>15357</v>
      </c>
      <c r="C1760" s="2352" t="s">
        <v>15357</v>
      </c>
      <c r="D1760" s="2352" t="s">
        <v>15702</v>
      </c>
      <c r="E1760" s="355" t="s">
        <v>17100</v>
      </c>
      <c r="F1760" s="1662">
        <v>5</v>
      </c>
      <c r="G1760" s="903"/>
    </row>
    <row r="1761" spans="1:7" ht="15" customHeight="1" x14ac:dyDescent="0.25">
      <c r="A1761" s="2352" t="s">
        <v>15543</v>
      </c>
      <c r="B1761" s="2352" t="s">
        <v>15357</v>
      </c>
      <c r="C1761" s="2352" t="s">
        <v>15357</v>
      </c>
      <c r="D1761" s="2352" t="s">
        <v>15547</v>
      </c>
      <c r="E1761" s="355" t="s">
        <v>17096</v>
      </c>
      <c r="F1761" s="1662">
        <v>200</v>
      </c>
      <c r="G1761" s="903"/>
    </row>
    <row r="1762" spans="1:7" ht="15" customHeight="1" x14ac:dyDescent="0.25">
      <c r="A1762" s="2352" t="s">
        <v>12373</v>
      </c>
      <c r="B1762" s="2352" t="s">
        <v>12374</v>
      </c>
      <c r="C1762" s="2352" t="s">
        <v>12374</v>
      </c>
      <c r="D1762" s="2352" t="s">
        <v>12375</v>
      </c>
      <c r="E1762" s="355">
        <v>250</v>
      </c>
      <c r="F1762" s="1662">
        <v>160.49302109548771</v>
      </c>
      <c r="G1762" s="903"/>
    </row>
    <row r="1763" spans="1:7" ht="15" customHeight="1" x14ac:dyDescent="0.25">
      <c r="A1763" s="2352" t="s">
        <v>12376</v>
      </c>
      <c r="B1763" s="2352" t="s">
        <v>12374</v>
      </c>
      <c r="C1763" s="2352" t="s">
        <v>12374</v>
      </c>
      <c r="D1763" s="2352" t="s">
        <v>12377</v>
      </c>
      <c r="E1763" s="355">
        <v>400</v>
      </c>
      <c r="F1763" s="1662">
        <v>10.45</v>
      </c>
      <c r="G1763" s="903"/>
    </row>
    <row r="1764" spans="1:7" ht="15" customHeight="1" x14ac:dyDescent="0.25">
      <c r="A1764" s="2352" t="s">
        <v>17114</v>
      </c>
      <c r="B1764" s="2352" t="s">
        <v>12374</v>
      </c>
      <c r="C1764" s="2352" t="s">
        <v>12374</v>
      </c>
      <c r="D1764" s="2352" t="s">
        <v>17115</v>
      </c>
      <c r="E1764" s="355">
        <v>100</v>
      </c>
      <c r="F1764" s="1662">
        <v>66.5</v>
      </c>
      <c r="G1764" s="903"/>
    </row>
    <row r="1765" spans="1:7" ht="15" customHeight="1" x14ac:dyDescent="0.25">
      <c r="A1765" s="2352" t="s">
        <v>12388</v>
      </c>
      <c r="B1765" s="2352" t="s">
        <v>12374</v>
      </c>
      <c r="C1765" s="2352" t="s">
        <v>12374</v>
      </c>
      <c r="D1765" s="2352" t="s">
        <v>12378</v>
      </c>
      <c r="E1765" s="355">
        <v>63</v>
      </c>
      <c r="F1765" s="1662">
        <v>6.65</v>
      </c>
      <c r="G1765" s="903"/>
    </row>
    <row r="1766" spans="1:7" ht="15" customHeight="1" x14ac:dyDescent="0.25">
      <c r="A1766" s="2352" t="s">
        <v>15106</v>
      </c>
      <c r="B1766" s="2352" t="s">
        <v>12374</v>
      </c>
      <c r="C1766" s="2352" t="s">
        <v>12374</v>
      </c>
      <c r="D1766" s="2352" t="s">
        <v>12379</v>
      </c>
      <c r="E1766" s="355">
        <v>400</v>
      </c>
      <c r="F1766" s="1662">
        <v>19.95</v>
      </c>
      <c r="G1766" s="903"/>
    </row>
    <row r="1767" spans="1:7" ht="15" customHeight="1" x14ac:dyDescent="0.25">
      <c r="A1767" s="2352" t="s">
        <v>12380</v>
      </c>
      <c r="B1767" s="2352" t="s">
        <v>12374</v>
      </c>
      <c r="C1767" s="2352" t="s">
        <v>12374</v>
      </c>
      <c r="D1767" s="2352" t="s">
        <v>12381</v>
      </c>
      <c r="E1767" s="355">
        <v>250</v>
      </c>
      <c r="F1767" s="1662">
        <v>4.75</v>
      </c>
      <c r="G1767" s="903"/>
    </row>
    <row r="1768" spans="1:7" ht="15" customHeight="1" x14ac:dyDescent="0.25">
      <c r="A1768" s="2352" t="s">
        <v>12382</v>
      </c>
      <c r="B1768" s="2352" t="s">
        <v>12374</v>
      </c>
      <c r="C1768" s="2352" t="s">
        <v>12374</v>
      </c>
      <c r="D1768" s="2352" t="s">
        <v>12383</v>
      </c>
      <c r="E1768" s="355">
        <v>63</v>
      </c>
      <c r="F1768" s="1662">
        <v>19</v>
      </c>
      <c r="G1768" s="903"/>
    </row>
    <row r="1769" spans="1:7" ht="15" customHeight="1" x14ac:dyDescent="0.25">
      <c r="A1769" s="2352" t="s">
        <v>12384</v>
      </c>
      <c r="B1769" s="2352" t="s">
        <v>12374</v>
      </c>
      <c r="C1769" s="2352" t="s">
        <v>12374</v>
      </c>
      <c r="D1769" s="2352" t="s">
        <v>12385</v>
      </c>
      <c r="E1769" s="355">
        <v>160</v>
      </c>
      <c r="F1769" s="1662">
        <v>57.95</v>
      </c>
      <c r="G1769" s="903"/>
    </row>
    <row r="1770" spans="1:7" ht="15" customHeight="1" x14ac:dyDescent="0.25">
      <c r="A1770" s="2352" t="s">
        <v>12386</v>
      </c>
      <c r="B1770" s="2352" t="s">
        <v>12374</v>
      </c>
      <c r="C1770" s="2352" t="s">
        <v>12374</v>
      </c>
      <c r="D1770" s="2352" t="s">
        <v>12387</v>
      </c>
      <c r="E1770" s="355">
        <v>160</v>
      </c>
      <c r="F1770" s="1662">
        <v>5.7</v>
      </c>
      <c r="G1770" s="903"/>
    </row>
    <row r="1771" spans="1:7" ht="15" customHeight="1" x14ac:dyDescent="0.25">
      <c r="A1771" s="2352" t="s">
        <v>12388</v>
      </c>
      <c r="B1771" s="2352" t="s">
        <v>12374</v>
      </c>
      <c r="C1771" s="2352" t="s">
        <v>12374</v>
      </c>
      <c r="D1771" s="2352" t="s">
        <v>12389</v>
      </c>
      <c r="E1771" s="355">
        <v>160</v>
      </c>
      <c r="F1771" s="1662">
        <v>6.65</v>
      </c>
      <c r="G1771" s="903"/>
    </row>
    <row r="1772" spans="1:7" ht="15" customHeight="1" x14ac:dyDescent="0.25">
      <c r="A1772" s="2352" t="s">
        <v>12390</v>
      </c>
      <c r="B1772" s="2352" t="s">
        <v>12374</v>
      </c>
      <c r="C1772" s="2352" t="s">
        <v>12374</v>
      </c>
      <c r="D1772" s="2352" t="s">
        <v>12391</v>
      </c>
      <c r="E1772" s="355">
        <v>63</v>
      </c>
      <c r="F1772" s="1662">
        <v>19</v>
      </c>
      <c r="G1772" s="903"/>
    </row>
    <row r="1773" spans="1:7" ht="15" customHeight="1" x14ac:dyDescent="0.25">
      <c r="A1773" s="2352" t="s">
        <v>12392</v>
      </c>
      <c r="B1773" s="2352" t="s">
        <v>12374</v>
      </c>
      <c r="C1773" s="2352" t="s">
        <v>12374</v>
      </c>
      <c r="D1773" s="2352" t="s">
        <v>12393</v>
      </c>
      <c r="E1773" s="355">
        <v>400</v>
      </c>
      <c r="F1773" s="1662">
        <v>285</v>
      </c>
      <c r="G1773" s="903"/>
    </row>
    <row r="1774" spans="1:7" ht="15" customHeight="1" x14ac:dyDescent="0.25">
      <c r="A1774" s="2352" t="s">
        <v>12392</v>
      </c>
      <c r="B1774" s="2352" t="s">
        <v>12374</v>
      </c>
      <c r="C1774" s="2352" t="s">
        <v>12374</v>
      </c>
      <c r="D1774" s="2352" t="s">
        <v>12394</v>
      </c>
      <c r="E1774" s="355">
        <v>20</v>
      </c>
      <c r="F1774" s="1662">
        <v>0.95</v>
      </c>
      <c r="G1774" s="903"/>
    </row>
    <row r="1775" spans="1:7" ht="15" customHeight="1" x14ac:dyDescent="0.25">
      <c r="A1775" s="2352" t="s">
        <v>15107</v>
      </c>
      <c r="B1775" s="2352" t="s">
        <v>12374</v>
      </c>
      <c r="C1775" s="2352" t="s">
        <v>12374</v>
      </c>
      <c r="D1775" s="2352" t="s">
        <v>12395</v>
      </c>
      <c r="E1775" s="355">
        <v>160</v>
      </c>
      <c r="F1775" s="1662">
        <v>142.5</v>
      </c>
      <c r="G1775" s="903"/>
    </row>
    <row r="1776" spans="1:7" ht="15" customHeight="1" x14ac:dyDescent="0.25">
      <c r="A1776" s="2352" t="s">
        <v>12396</v>
      </c>
      <c r="B1776" s="2352" t="s">
        <v>12374</v>
      </c>
      <c r="C1776" s="2352" t="s">
        <v>12374</v>
      </c>
      <c r="D1776" s="2352" t="s">
        <v>12397</v>
      </c>
      <c r="E1776" s="355">
        <v>100</v>
      </c>
      <c r="F1776" s="1662">
        <v>28.5</v>
      </c>
      <c r="G1776" s="903"/>
    </row>
    <row r="1777" spans="1:7" ht="15" customHeight="1" x14ac:dyDescent="0.25">
      <c r="A1777" s="2352" t="s">
        <v>12398</v>
      </c>
      <c r="B1777" s="2352" t="s">
        <v>12374</v>
      </c>
      <c r="C1777" s="2352" t="s">
        <v>12374</v>
      </c>
      <c r="D1777" s="2352" t="s">
        <v>12399</v>
      </c>
      <c r="E1777" s="355">
        <v>160</v>
      </c>
      <c r="F1777" s="1662">
        <v>47.5</v>
      </c>
      <c r="G1777" s="903"/>
    </row>
    <row r="1778" spans="1:7" ht="15" customHeight="1" x14ac:dyDescent="0.25">
      <c r="A1778" s="2352" t="s">
        <v>15108</v>
      </c>
      <c r="B1778" s="2352" t="s">
        <v>12374</v>
      </c>
      <c r="C1778" s="2352" t="s">
        <v>12374</v>
      </c>
      <c r="D1778" s="2352" t="s">
        <v>12400</v>
      </c>
      <c r="E1778" s="355" t="s">
        <v>12401</v>
      </c>
      <c r="F1778" s="1662">
        <v>665</v>
      </c>
      <c r="G1778" s="903"/>
    </row>
    <row r="1779" spans="1:7" ht="15" customHeight="1" x14ac:dyDescent="0.25">
      <c r="A1779" s="2352" t="s">
        <v>15108</v>
      </c>
      <c r="B1779" s="2352" t="s">
        <v>12374</v>
      </c>
      <c r="C1779" s="2352" t="s">
        <v>12374</v>
      </c>
      <c r="D1779" s="2352" t="s">
        <v>12402</v>
      </c>
      <c r="E1779" s="355">
        <v>160</v>
      </c>
      <c r="F1779" s="1662">
        <v>8.5500000000000007</v>
      </c>
      <c r="G1779" s="903"/>
    </row>
    <row r="1780" spans="1:7" ht="15" customHeight="1" x14ac:dyDescent="0.25">
      <c r="A1780" s="2352" t="s">
        <v>15108</v>
      </c>
      <c r="B1780" s="2352" t="s">
        <v>12374</v>
      </c>
      <c r="C1780" s="2352" t="s">
        <v>12374</v>
      </c>
      <c r="D1780" s="2352" t="s">
        <v>12403</v>
      </c>
      <c r="E1780" s="355">
        <v>100</v>
      </c>
      <c r="F1780" s="1662">
        <v>49.4</v>
      </c>
      <c r="G1780" s="903"/>
    </row>
    <row r="1781" spans="1:7" ht="15" customHeight="1" x14ac:dyDescent="0.25">
      <c r="A1781" s="2352" t="s">
        <v>12404</v>
      </c>
      <c r="B1781" s="2352" t="s">
        <v>12374</v>
      </c>
      <c r="C1781" s="2352" t="s">
        <v>12374</v>
      </c>
      <c r="D1781" s="2352" t="s">
        <v>12405</v>
      </c>
      <c r="E1781" s="355">
        <v>30</v>
      </c>
      <c r="F1781" s="1662">
        <v>0</v>
      </c>
      <c r="G1781" s="903"/>
    </row>
    <row r="1782" spans="1:7" ht="15" customHeight="1" x14ac:dyDescent="0.25">
      <c r="A1782" s="2352" t="s">
        <v>15109</v>
      </c>
      <c r="B1782" s="2352" t="s">
        <v>12374</v>
      </c>
      <c r="C1782" s="2352" t="s">
        <v>12374</v>
      </c>
      <c r="D1782" s="2352" t="s">
        <v>12406</v>
      </c>
      <c r="E1782" s="355">
        <v>30</v>
      </c>
      <c r="F1782" s="1662">
        <v>0</v>
      </c>
      <c r="G1782" s="903"/>
    </row>
    <row r="1783" spans="1:7" ht="15" customHeight="1" x14ac:dyDescent="0.25">
      <c r="A1783" s="2352" t="s">
        <v>12407</v>
      </c>
      <c r="B1783" s="2352" t="s">
        <v>12374</v>
      </c>
      <c r="C1783" s="2352" t="s">
        <v>12374</v>
      </c>
      <c r="D1783" s="2352" t="s">
        <v>12408</v>
      </c>
      <c r="E1783" s="355">
        <v>100</v>
      </c>
      <c r="F1783" s="1662">
        <v>0.95</v>
      </c>
      <c r="G1783" s="903"/>
    </row>
    <row r="1784" spans="1:7" ht="15" customHeight="1" x14ac:dyDescent="0.25">
      <c r="A1784" s="2352" t="s">
        <v>6148</v>
      </c>
      <c r="B1784" s="2352" t="s">
        <v>12374</v>
      </c>
      <c r="C1784" s="2352" t="s">
        <v>12374</v>
      </c>
      <c r="D1784" s="2352" t="s">
        <v>12409</v>
      </c>
      <c r="E1784" s="355">
        <v>160</v>
      </c>
      <c r="F1784" s="1662">
        <v>76</v>
      </c>
      <c r="G1784" s="903"/>
    </row>
    <row r="1785" spans="1:7" ht="15" customHeight="1" x14ac:dyDescent="0.25">
      <c r="A1785" s="2352" t="s">
        <v>12410</v>
      </c>
      <c r="B1785" s="2352" t="s">
        <v>12374</v>
      </c>
      <c r="C1785" s="2352" t="s">
        <v>12374</v>
      </c>
      <c r="D1785" s="2352" t="s">
        <v>12411</v>
      </c>
      <c r="E1785" s="355">
        <v>63</v>
      </c>
      <c r="F1785" s="1662">
        <v>2.85</v>
      </c>
      <c r="G1785" s="903"/>
    </row>
    <row r="1786" spans="1:7" ht="15" customHeight="1" x14ac:dyDescent="0.25">
      <c r="A1786" s="2352" t="s">
        <v>6248</v>
      </c>
      <c r="B1786" s="2352" t="s">
        <v>12374</v>
      </c>
      <c r="C1786" s="2352" t="s">
        <v>12374</v>
      </c>
      <c r="D1786" s="2352" t="s">
        <v>12412</v>
      </c>
      <c r="E1786" s="355">
        <v>63</v>
      </c>
      <c r="F1786" s="1662">
        <v>4.75</v>
      </c>
      <c r="G1786" s="903"/>
    </row>
    <row r="1787" spans="1:7" ht="15" customHeight="1" x14ac:dyDescent="0.25">
      <c r="A1787" s="2352" t="s">
        <v>6248</v>
      </c>
      <c r="B1787" s="2352" t="s">
        <v>12374</v>
      </c>
      <c r="C1787" s="2352" t="s">
        <v>12374</v>
      </c>
      <c r="D1787" s="2352" t="s">
        <v>12413</v>
      </c>
      <c r="E1787" s="355">
        <v>30</v>
      </c>
      <c r="F1787" s="1662">
        <v>9.5</v>
      </c>
      <c r="G1787" s="903"/>
    </row>
    <row r="1788" spans="1:7" ht="15" customHeight="1" x14ac:dyDescent="0.25">
      <c r="A1788" s="2352" t="s">
        <v>12414</v>
      </c>
      <c r="B1788" s="2352" t="s">
        <v>12374</v>
      </c>
      <c r="C1788" s="2352" t="s">
        <v>12374</v>
      </c>
      <c r="D1788" s="2352" t="s">
        <v>12415</v>
      </c>
      <c r="E1788" s="355">
        <v>20</v>
      </c>
      <c r="F1788" s="1662">
        <v>0</v>
      </c>
      <c r="G1788" s="903"/>
    </row>
    <row r="1789" spans="1:7" ht="15" customHeight="1" x14ac:dyDescent="0.25">
      <c r="A1789" s="2352" t="s">
        <v>12416</v>
      </c>
      <c r="B1789" s="2352" t="s">
        <v>12374</v>
      </c>
      <c r="C1789" s="2352" t="s">
        <v>12374</v>
      </c>
      <c r="D1789" s="2352" t="s">
        <v>12417</v>
      </c>
      <c r="E1789" s="355">
        <v>20</v>
      </c>
      <c r="F1789" s="1662">
        <v>0.95</v>
      </c>
      <c r="G1789" s="903"/>
    </row>
    <row r="1790" spans="1:7" ht="15" customHeight="1" x14ac:dyDescent="0.25">
      <c r="A1790" s="2352" t="s">
        <v>12430</v>
      </c>
      <c r="B1790" s="2352" t="s">
        <v>12374</v>
      </c>
      <c r="C1790" s="2352" t="s">
        <v>12374</v>
      </c>
      <c r="D1790" s="2352" t="s">
        <v>12418</v>
      </c>
      <c r="E1790" s="355">
        <v>63</v>
      </c>
      <c r="F1790" s="1662">
        <v>3.8</v>
      </c>
      <c r="G1790" s="903"/>
    </row>
    <row r="1791" spans="1:7" ht="15" customHeight="1" x14ac:dyDescent="0.25">
      <c r="A1791" s="2352" t="s">
        <v>12419</v>
      </c>
      <c r="B1791" s="2352" t="s">
        <v>12374</v>
      </c>
      <c r="C1791" s="2352" t="s">
        <v>12374</v>
      </c>
      <c r="D1791" s="2352" t="s">
        <v>12420</v>
      </c>
      <c r="E1791" s="355">
        <v>250</v>
      </c>
      <c r="F1791" s="1662">
        <v>117.8</v>
      </c>
      <c r="G1791" s="903"/>
    </row>
    <row r="1792" spans="1:7" ht="15" customHeight="1" x14ac:dyDescent="0.25">
      <c r="A1792" s="2352" t="s">
        <v>6152</v>
      </c>
      <c r="B1792" s="2352" t="s">
        <v>12374</v>
      </c>
      <c r="C1792" s="2352" t="s">
        <v>12374</v>
      </c>
      <c r="D1792" s="2352" t="s">
        <v>12421</v>
      </c>
      <c r="E1792" s="355">
        <v>100</v>
      </c>
      <c r="F1792" s="1662">
        <v>39.9</v>
      </c>
      <c r="G1792" s="903"/>
    </row>
    <row r="1793" spans="1:7" ht="15" customHeight="1" x14ac:dyDescent="0.25">
      <c r="A1793" s="2352" t="s">
        <v>12422</v>
      </c>
      <c r="B1793" s="2352" t="s">
        <v>12374</v>
      </c>
      <c r="C1793" s="2352" t="s">
        <v>12374</v>
      </c>
      <c r="D1793" s="2352" t="s">
        <v>12423</v>
      </c>
      <c r="E1793" s="355">
        <v>250</v>
      </c>
      <c r="F1793" s="1662">
        <v>12.35</v>
      </c>
      <c r="G1793" s="903"/>
    </row>
    <row r="1794" spans="1:7" ht="15" customHeight="1" x14ac:dyDescent="0.25">
      <c r="A1794" s="2352" t="s">
        <v>12422</v>
      </c>
      <c r="B1794" s="2352" t="s">
        <v>12374</v>
      </c>
      <c r="C1794" s="2352" t="s">
        <v>12374</v>
      </c>
      <c r="D1794" s="2352" t="s">
        <v>12424</v>
      </c>
      <c r="E1794" s="355" t="s">
        <v>6278</v>
      </c>
      <c r="F1794" s="1662">
        <v>102.6</v>
      </c>
      <c r="G1794" s="903"/>
    </row>
    <row r="1795" spans="1:7" ht="15" customHeight="1" x14ac:dyDescent="0.25">
      <c r="A1795" s="2352" t="s">
        <v>12422</v>
      </c>
      <c r="B1795" s="2352" t="s">
        <v>12374</v>
      </c>
      <c r="C1795" s="2352" t="s">
        <v>12374</v>
      </c>
      <c r="D1795" s="2352" t="s">
        <v>12425</v>
      </c>
      <c r="E1795" s="355">
        <v>400</v>
      </c>
      <c r="F1795" s="1662">
        <v>205.2</v>
      </c>
      <c r="G1795" s="903"/>
    </row>
    <row r="1796" spans="1:7" ht="15" customHeight="1" x14ac:dyDescent="0.25">
      <c r="A1796" s="2352" t="s">
        <v>12426</v>
      </c>
      <c r="B1796" s="2352" t="s">
        <v>12374</v>
      </c>
      <c r="C1796" s="2352" t="s">
        <v>12374</v>
      </c>
      <c r="D1796" s="2352" t="s">
        <v>12427</v>
      </c>
      <c r="E1796" s="355">
        <v>63</v>
      </c>
      <c r="F1796" s="1662">
        <v>21.85</v>
      </c>
      <c r="G1796" s="903"/>
    </row>
    <row r="1797" spans="1:7" ht="15" customHeight="1" x14ac:dyDescent="0.25">
      <c r="A1797" s="2352" t="s">
        <v>12428</v>
      </c>
      <c r="B1797" s="2352" t="s">
        <v>12374</v>
      </c>
      <c r="C1797" s="2352" t="s">
        <v>12374</v>
      </c>
      <c r="D1797" s="2352" t="s">
        <v>12429</v>
      </c>
      <c r="E1797" s="355">
        <v>160</v>
      </c>
      <c r="F1797" s="1662">
        <v>57</v>
      </c>
      <c r="G1797" s="903"/>
    </row>
    <row r="1798" spans="1:7" ht="15" customHeight="1" x14ac:dyDescent="0.25">
      <c r="A1798" s="2352" t="s">
        <v>12430</v>
      </c>
      <c r="B1798" s="2352" t="s">
        <v>12374</v>
      </c>
      <c r="C1798" s="2352" t="s">
        <v>12374</v>
      </c>
      <c r="D1798" s="2352" t="s">
        <v>12431</v>
      </c>
      <c r="E1798" s="355">
        <v>100</v>
      </c>
      <c r="F1798" s="1662">
        <v>28.5</v>
      </c>
      <c r="G1798" s="903"/>
    </row>
    <row r="1799" spans="1:7" ht="15" customHeight="1" x14ac:dyDescent="0.25">
      <c r="A1799" s="2352" t="s">
        <v>15110</v>
      </c>
      <c r="B1799" s="2352" t="s">
        <v>12374</v>
      </c>
      <c r="C1799" s="2352" t="s">
        <v>12374</v>
      </c>
      <c r="D1799" s="2352" t="s">
        <v>12432</v>
      </c>
      <c r="E1799" s="355" t="s">
        <v>12433</v>
      </c>
      <c r="F1799" s="1662">
        <v>57</v>
      </c>
      <c r="G1799" s="903"/>
    </row>
    <row r="1800" spans="1:7" ht="15" customHeight="1" x14ac:dyDescent="0.25">
      <c r="A1800" s="2352" t="s">
        <v>15110</v>
      </c>
      <c r="B1800" s="2352" t="s">
        <v>12374</v>
      </c>
      <c r="C1800" s="2352" t="s">
        <v>12374</v>
      </c>
      <c r="D1800" s="2352" t="s">
        <v>12434</v>
      </c>
      <c r="E1800" s="355">
        <v>250</v>
      </c>
      <c r="F1800" s="1662">
        <v>141.55000000000001</v>
      </c>
      <c r="G1800" s="903"/>
    </row>
    <row r="1801" spans="1:7" ht="15" customHeight="1" x14ac:dyDescent="0.25">
      <c r="A1801" s="2352" t="s">
        <v>15111</v>
      </c>
      <c r="B1801" s="2352" t="s">
        <v>12374</v>
      </c>
      <c r="C1801" s="2352" t="s">
        <v>12374</v>
      </c>
      <c r="D1801" s="2352" t="s">
        <v>12435</v>
      </c>
      <c r="E1801" s="355">
        <v>160</v>
      </c>
      <c r="F1801" s="1662">
        <v>40.85</v>
      </c>
      <c r="G1801" s="903"/>
    </row>
    <row r="1802" spans="1:7" ht="15" customHeight="1" x14ac:dyDescent="0.25">
      <c r="A1802" s="2352" t="s">
        <v>15111</v>
      </c>
      <c r="B1802" s="2352" t="s">
        <v>12374</v>
      </c>
      <c r="C1802" s="2352" t="s">
        <v>12374</v>
      </c>
      <c r="D1802" s="2352" t="s">
        <v>12436</v>
      </c>
      <c r="E1802" s="355">
        <v>160</v>
      </c>
      <c r="F1802" s="1662">
        <v>22.8</v>
      </c>
      <c r="G1802" s="903"/>
    </row>
    <row r="1803" spans="1:7" ht="15" customHeight="1" x14ac:dyDescent="0.25">
      <c r="A1803" s="2352" t="s">
        <v>12437</v>
      </c>
      <c r="B1803" s="2352" t="s">
        <v>12374</v>
      </c>
      <c r="C1803" s="2352" t="s">
        <v>12374</v>
      </c>
      <c r="D1803" s="2352" t="s">
        <v>12438</v>
      </c>
      <c r="E1803" s="355">
        <v>100</v>
      </c>
      <c r="F1803" s="1662">
        <v>1.9</v>
      </c>
      <c r="G1803" s="903"/>
    </row>
    <row r="1804" spans="1:7" ht="15" customHeight="1" x14ac:dyDescent="0.25">
      <c r="A1804" s="2352" t="s">
        <v>12439</v>
      </c>
      <c r="B1804" s="2352" t="s">
        <v>12374</v>
      </c>
      <c r="C1804" s="2352" t="s">
        <v>12374</v>
      </c>
      <c r="D1804" s="2352" t="s">
        <v>12440</v>
      </c>
      <c r="E1804" s="355">
        <v>400</v>
      </c>
      <c r="F1804" s="1662">
        <v>13.3</v>
      </c>
      <c r="G1804" s="903"/>
    </row>
    <row r="1805" spans="1:7" ht="15" customHeight="1" x14ac:dyDescent="0.25">
      <c r="A1805" s="2352" t="s">
        <v>12439</v>
      </c>
      <c r="B1805" s="2352" t="s">
        <v>12374</v>
      </c>
      <c r="C1805" s="2352" t="s">
        <v>12374</v>
      </c>
      <c r="D1805" s="2352" t="s">
        <v>12441</v>
      </c>
      <c r="E1805" s="355">
        <v>400</v>
      </c>
      <c r="F1805" s="1662">
        <v>18.05</v>
      </c>
      <c r="G1805" s="903"/>
    </row>
    <row r="1806" spans="1:7" ht="15" customHeight="1" x14ac:dyDescent="0.25">
      <c r="A1806" s="2352" t="s">
        <v>12439</v>
      </c>
      <c r="B1806" s="2352" t="s">
        <v>12374</v>
      </c>
      <c r="C1806" s="2352" t="s">
        <v>12374</v>
      </c>
      <c r="D1806" s="2352" t="s">
        <v>12442</v>
      </c>
      <c r="E1806" s="355">
        <v>100</v>
      </c>
      <c r="F1806" s="1662">
        <v>28.5</v>
      </c>
      <c r="G1806" s="903"/>
    </row>
    <row r="1807" spans="1:7" ht="15" customHeight="1" x14ac:dyDescent="0.25">
      <c r="A1807" s="2352" t="s">
        <v>12439</v>
      </c>
      <c r="B1807" s="2352" t="s">
        <v>12374</v>
      </c>
      <c r="C1807" s="2352" t="s">
        <v>12374</v>
      </c>
      <c r="D1807" s="2352" t="s">
        <v>12443</v>
      </c>
      <c r="E1807" s="355">
        <v>63</v>
      </c>
      <c r="F1807" s="1662">
        <v>21.85</v>
      </c>
      <c r="G1807" s="903"/>
    </row>
    <row r="1808" spans="1:7" ht="15" customHeight="1" x14ac:dyDescent="0.25">
      <c r="A1808" s="2352" t="s">
        <v>12444</v>
      </c>
      <c r="B1808" s="2352" t="s">
        <v>12374</v>
      </c>
      <c r="C1808" s="2352" t="s">
        <v>12374</v>
      </c>
      <c r="D1808" s="2352" t="s">
        <v>12445</v>
      </c>
      <c r="E1808" s="355" t="s">
        <v>6278</v>
      </c>
      <c r="F1808" s="1662">
        <v>196.65</v>
      </c>
      <c r="G1808" s="903"/>
    </row>
    <row r="1809" spans="1:7" ht="15" customHeight="1" x14ac:dyDescent="0.25">
      <c r="A1809" s="2352" t="s">
        <v>12444</v>
      </c>
      <c r="B1809" s="2352" t="s">
        <v>12374</v>
      </c>
      <c r="C1809" s="2352" t="s">
        <v>12374</v>
      </c>
      <c r="D1809" s="2352" t="s">
        <v>12446</v>
      </c>
      <c r="E1809" s="355">
        <v>400</v>
      </c>
      <c r="F1809" s="1662">
        <v>91.2</v>
      </c>
      <c r="G1809" s="903"/>
    </row>
    <row r="1810" spans="1:7" ht="15" customHeight="1" x14ac:dyDescent="0.25">
      <c r="A1810" s="2352" t="s">
        <v>12447</v>
      </c>
      <c r="B1810" s="2352" t="s">
        <v>12374</v>
      </c>
      <c r="C1810" s="2352" t="s">
        <v>12374</v>
      </c>
      <c r="D1810" s="2352" t="s">
        <v>12448</v>
      </c>
      <c r="E1810" s="355">
        <v>160</v>
      </c>
      <c r="F1810" s="1662">
        <v>13.3</v>
      </c>
      <c r="G1810" s="903"/>
    </row>
    <row r="1811" spans="1:7" ht="15" customHeight="1" x14ac:dyDescent="0.25">
      <c r="A1811" s="2352" t="s">
        <v>12449</v>
      </c>
      <c r="B1811" s="2352" t="s">
        <v>12374</v>
      </c>
      <c r="C1811" s="2352" t="s">
        <v>12374</v>
      </c>
      <c r="D1811" s="2352" t="s">
        <v>12450</v>
      </c>
      <c r="E1811" s="355">
        <v>160</v>
      </c>
      <c r="F1811" s="1662">
        <v>51.3</v>
      </c>
      <c r="G1811" s="903"/>
    </row>
    <row r="1812" spans="1:7" ht="15" customHeight="1" x14ac:dyDescent="0.25">
      <c r="A1812" s="2352" t="s">
        <v>12451</v>
      </c>
      <c r="B1812" s="2352" t="s">
        <v>12374</v>
      </c>
      <c r="C1812" s="2352" t="s">
        <v>12374</v>
      </c>
      <c r="D1812" s="2352" t="s">
        <v>12452</v>
      </c>
      <c r="E1812" s="355">
        <v>100</v>
      </c>
      <c r="F1812" s="1662">
        <v>4.75</v>
      </c>
      <c r="G1812" s="903"/>
    </row>
    <row r="1813" spans="1:7" ht="15" customHeight="1" x14ac:dyDescent="0.25">
      <c r="A1813" s="2352" t="s">
        <v>12453</v>
      </c>
      <c r="B1813" s="2352" t="s">
        <v>12374</v>
      </c>
      <c r="C1813" s="2352" t="s">
        <v>12374</v>
      </c>
      <c r="D1813" s="2352" t="s">
        <v>12454</v>
      </c>
      <c r="E1813" s="355">
        <v>100</v>
      </c>
      <c r="F1813" s="1662">
        <v>1.9</v>
      </c>
      <c r="G1813" s="903"/>
    </row>
    <row r="1814" spans="1:7" ht="15" customHeight="1" x14ac:dyDescent="0.25">
      <c r="A1814" s="2352" t="s">
        <v>12455</v>
      </c>
      <c r="B1814" s="2352" t="s">
        <v>12374</v>
      </c>
      <c r="C1814" s="2352" t="s">
        <v>12374</v>
      </c>
      <c r="D1814" s="2352" t="s">
        <v>12456</v>
      </c>
      <c r="E1814" s="355">
        <v>100</v>
      </c>
      <c r="F1814" s="1662">
        <v>6.65</v>
      </c>
      <c r="G1814" s="903"/>
    </row>
    <row r="1815" spans="1:7" ht="15" customHeight="1" x14ac:dyDescent="0.25">
      <c r="A1815" s="2352" t="s">
        <v>12455</v>
      </c>
      <c r="B1815" s="2352" t="s">
        <v>12374</v>
      </c>
      <c r="C1815" s="2352" t="s">
        <v>12374</v>
      </c>
      <c r="D1815" s="2352" t="s">
        <v>12457</v>
      </c>
      <c r="E1815" s="355">
        <v>100</v>
      </c>
      <c r="F1815" s="1662">
        <v>2.85</v>
      </c>
      <c r="G1815" s="903"/>
    </row>
    <row r="1816" spans="1:7" ht="15" customHeight="1" x14ac:dyDescent="0.25">
      <c r="A1816" s="2352" t="s">
        <v>12455</v>
      </c>
      <c r="B1816" s="2352" t="s">
        <v>12374</v>
      </c>
      <c r="C1816" s="2352" t="s">
        <v>12374</v>
      </c>
      <c r="D1816" s="2352" t="s">
        <v>12458</v>
      </c>
      <c r="E1816" s="355">
        <v>400</v>
      </c>
      <c r="F1816" s="1662">
        <v>145.35</v>
      </c>
      <c r="G1816" s="903"/>
    </row>
    <row r="1817" spans="1:7" ht="15" customHeight="1" x14ac:dyDescent="0.25">
      <c r="A1817" s="2352" t="s">
        <v>12455</v>
      </c>
      <c r="B1817" s="2352" t="s">
        <v>12374</v>
      </c>
      <c r="C1817" s="2352" t="s">
        <v>12374</v>
      </c>
      <c r="D1817" s="2352" t="s">
        <v>12459</v>
      </c>
      <c r="E1817" s="355">
        <v>160</v>
      </c>
      <c r="F1817" s="1662">
        <v>30.4</v>
      </c>
      <c r="G1817" s="903"/>
    </row>
    <row r="1818" spans="1:7" ht="15" customHeight="1" x14ac:dyDescent="0.25">
      <c r="A1818" s="2352" t="s">
        <v>12455</v>
      </c>
      <c r="B1818" s="2352" t="s">
        <v>12374</v>
      </c>
      <c r="C1818" s="2352" t="s">
        <v>12374</v>
      </c>
      <c r="D1818" s="2352" t="s">
        <v>12460</v>
      </c>
      <c r="E1818" s="355">
        <v>50</v>
      </c>
      <c r="F1818" s="1662">
        <v>0.95</v>
      </c>
      <c r="G1818" s="903"/>
    </row>
    <row r="1819" spans="1:7" ht="15" customHeight="1" x14ac:dyDescent="0.25">
      <c r="A1819" s="2352" t="s">
        <v>12451</v>
      </c>
      <c r="B1819" s="2352" t="s">
        <v>12374</v>
      </c>
      <c r="C1819" s="2352" t="s">
        <v>12374</v>
      </c>
      <c r="D1819" s="2352" t="s">
        <v>12461</v>
      </c>
      <c r="E1819" s="355">
        <v>400</v>
      </c>
      <c r="F1819" s="1662">
        <v>98.8</v>
      </c>
      <c r="G1819" s="903"/>
    </row>
    <row r="1820" spans="1:7" ht="15" customHeight="1" x14ac:dyDescent="0.25">
      <c r="A1820" s="2352" t="s">
        <v>12447</v>
      </c>
      <c r="B1820" s="2352" t="s">
        <v>12374</v>
      </c>
      <c r="C1820" s="2352" t="s">
        <v>12374</v>
      </c>
      <c r="D1820" s="2352" t="s">
        <v>12462</v>
      </c>
      <c r="E1820" s="355">
        <v>63</v>
      </c>
      <c r="F1820" s="1662">
        <v>44.65</v>
      </c>
      <c r="G1820" s="903"/>
    </row>
    <row r="1821" spans="1:7" ht="15" customHeight="1" x14ac:dyDescent="0.25">
      <c r="A1821" s="2352" t="s">
        <v>12451</v>
      </c>
      <c r="B1821" s="2352" t="s">
        <v>12374</v>
      </c>
      <c r="C1821" s="2352" t="s">
        <v>12374</v>
      </c>
      <c r="D1821" s="2352" t="s">
        <v>12463</v>
      </c>
      <c r="E1821" s="355">
        <v>100</v>
      </c>
      <c r="F1821" s="1662">
        <v>28.5</v>
      </c>
      <c r="G1821" s="903"/>
    </row>
    <row r="1822" spans="1:7" ht="15" customHeight="1" x14ac:dyDescent="0.25">
      <c r="A1822" s="2352" t="s">
        <v>12464</v>
      </c>
      <c r="B1822" s="2352" t="s">
        <v>12374</v>
      </c>
      <c r="C1822" s="2352" t="s">
        <v>12374</v>
      </c>
      <c r="D1822" s="2352" t="s">
        <v>12465</v>
      </c>
      <c r="E1822" s="355">
        <v>60</v>
      </c>
      <c r="F1822" s="1662">
        <v>12.35</v>
      </c>
      <c r="G1822" s="903"/>
    </row>
    <row r="1823" spans="1:7" ht="15" customHeight="1" x14ac:dyDescent="0.25">
      <c r="A1823" s="2352" t="s">
        <v>15112</v>
      </c>
      <c r="B1823" s="2352" t="s">
        <v>12374</v>
      </c>
      <c r="C1823" s="2352" t="s">
        <v>12374</v>
      </c>
      <c r="D1823" s="2352" t="s">
        <v>12466</v>
      </c>
      <c r="E1823" s="355">
        <v>100</v>
      </c>
      <c r="F1823" s="1662">
        <v>22.8</v>
      </c>
      <c r="G1823" s="903"/>
    </row>
    <row r="1824" spans="1:7" ht="15" customHeight="1" x14ac:dyDescent="0.25">
      <c r="A1824" s="2352" t="s">
        <v>15112</v>
      </c>
      <c r="B1824" s="2352" t="s">
        <v>12374</v>
      </c>
      <c r="C1824" s="2352" t="s">
        <v>12374</v>
      </c>
      <c r="D1824" s="2352" t="s">
        <v>12467</v>
      </c>
      <c r="E1824" s="355">
        <v>100</v>
      </c>
      <c r="F1824" s="1662">
        <v>19.95</v>
      </c>
      <c r="G1824" s="903"/>
    </row>
    <row r="1825" spans="1:7" ht="15" customHeight="1" x14ac:dyDescent="0.25">
      <c r="A1825" s="2352" t="s">
        <v>12475</v>
      </c>
      <c r="B1825" s="2352" t="s">
        <v>12374</v>
      </c>
      <c r="C1825" s="2352" t="s">
        <v>12374</v>
      </c>
      <c r="D1825" s="2352" t="s">
        <v>12468</v>
      </c>
      <c r="E1825" s="355">
        <v>63</v>
      </c>
      <c r="F1825" s="1662">
        <v>19.95</v>
      </c>
      <c r="G1825" s="903"/>
    </row>
    <row r="1826" spans="1:7" ht="15" customHeight="1" x14ac:dyDescent="0.25">
      <c r="A1826" s="2352" t="s">
        <v>15113</v>
      </c>
      <c r="B1826" s="2352" t="s">
        <v>12374</v>
      </c>
      <c r="C1826" s="2352" t="s">
        <v>12374</v>
      </c>
      <c r="D1826" s="2352" t="s">
        <v>12469</v>
      </c>
      <c r="E1826" s="355">
        <v>250</v>
      </c>
      <c r="F1826" s="1662">
        <v>102.6</v>
      </c>
      <c r="G1826" s="903"/>
    </row>
    <row r="1827" spans="1:7" ht="15" customHeight="1" x14ac:dyDescent="0.25">
      <c r="A1827" s="2352" t="s">
        <v>12470</v>
      </c>
      <c r="B1827" s="2352" t="s">
        <v>12374</v>
      </c>
      <c r="C1827" s="2352" t="s">
        <v>12374</v>
      </c>
      <c r="D1827" s="2352" t="s">
        <v>12471</v>
      </c>
      <c r="E1827" s="355">
        <v>100</v>
      </c>
      <c r="F1827" s="1662">
        <v>26.6</v>
      </c>
      <c r="G1827" s="903"/>
    </row>
    <row r="1828" spans="1:7" ht="15" customHeight="1" x14ac:dyDescent="0.25">
      <c r="A1828" s="2352" t="s">
        <v>12472</v>
      </c>
      <c r="B1828" s="2352" t="s">
        <v>12374</v>
      </c>
      <c r="C1828" s="2352" t="s">
        <v>12374</v>
      </c>
      <c r="D1828" s="2352" t="s">
        <v>12473</v>
      </c>
      <c r="E1828" s="355">
        <v>100</v>
      </c>
      <c r="F1828" s="1662">
        <v>23.75</v>
      </c>
      <c r="G1828" s="903"/>
    </row>
    <row r="1829" spans="1:7" ht="15" customHeight="1" x14ac:dyDescent="0.25">
      <c r="A1829" s="2352" t="s">
        <v>15114</v>
      </c>
      <c r="B1829" s="2352" t="s">
        <v>12374</v>
      </c>
      <c r="C1829" s="2352" t="s">
        <v>12374</v>
      </c>
      <c r="D1829" s="2352" t="s">
        <v>12474</v>
      </c>
      <c r="E1829" s="355">
        <v>100</v>
      </c>
      <c r="F1829" s="1662">
        <v>31.156607233011179</v>
      </c>
      <c r="G1829" s="903"/>
    </row>
    <row r="1830" spans="1:7" ht="15" customHeight="1" x14ac:dyDescent="0.25">
      <c r="A1830" s="2352" t="s">
        <v>12475</v>
      </c>
      <c r="B1830" s="2352" t="s">
        <v>12374</v>
      </c>
      <c r="C1830" s="2352" t="s">
        <v>12374</v>
      </c>
      <c r="D1830" s="2352" t="s">
        <v>12476</v>
      </c>
      <c r="E1830" s="355">
        <v>100</v>
      </c>
      <c r="F1830" s="1662">
        <v>24.7</v>
      </c>
      <c r="G1830" s="903"/>
    </row>
    <row r="1831" spans="1:7" ht="15" customHeight="1" x14ac:dyDescent="0.25">
      <c r="A1831" s="2352" t="s">
        <v>12477</v>
      </c>
      <c r="B1831" s="2352" t="s">
        <v>12374</v>
      </c>
      <c r="C1831" s="2352" t="s">
        <v>12374</v>
      </c>
      <c r="D1831" s="2352" t="s">
        <v>12478</v>
      </c>
      <c r="E1831" s="355">
        <v>160</v>
      </c>
      <c r="F1831" s="1662">
        <v>45.6</v>
      </c>
      <c r="G1831" s="903"/>
    </row>
    <row r="1832" spans="1:7" ht="15" customHeight="1" x14ac:dyDescent="0.25">
      <c r="A1832" s="2352" t="s">
        <v>12477</v>
      </c>
      <c r="B1832" s="2352" t="s">
        <v>12374</v>
      </c>
      <c r="C1832" s="2352" t="s">
        <v>12374</v>
      </c>
      <c r="D1832" s="2352" t="s">
        <v>12479</v>
      </c>
      <c r="E1832" s="355">
        <v>400</v>
      </c>
      <c r="F1832" s="1662">
        <v>298.3</v>
      </c>
      <c r="G1832" s="903"/>
    </row>
    <row r="1833" spans="1:7" ht="15" customHeight="1" x14ac:dyDescent="0.25">
      <c r="A1833" s="2352" t="s">
        <v>12480</v>
      </c>
      <c r="B1833" s="2352" t="s">
        <v>12374</v>
      </c>
      <c r="C1833" s="2352" t="s">
        <v>12374</v>
      </c>
      <c r="D1833" s="2352" t="s">
        <v>12481</v>
      </c>
      <c r="E1833" s="355">
        <v>20</v>
      </c>
      <c r="F1833" s="1662">
        <v>0.95</v>
      </c>
      <c r="G1833" s="903"/>
    </row>
    <row r="1834" spans="1:7" ht="15" customHeight="1" x14ac:dyDescent="0.25">
      <c r="A1834" s="2352" t="s">
        <v>12482</v>
      </c>
      <c r="B1834" s="2352" t="s">
        <v>12374</v>
      </c>
      <c r="C1834" s="2352" t="s">
        <v>12374</v>
      </c>
      <c r="D1834" s="2352" t="s">
        <v>12483</v>
      </c>
      <c r="E1834" s="355">
        <v>250</v>
      </c>
      <c r="F1834" s="1662">
        <v>98.8</v>
      </c>
      <c r="G1834" s="903"/>
    </row>
    <row r="1835" spans="1:7" ht="15" customHeight="1" x14ac:dyDescent="0.25">
      <c r="A1835" s="2352" t="s">
        <v>12482</v>
      </c>
      <c r="B1835" s="2352" t="s">
        <v>12374</v>
      </c>
      <c r="C1835" s="2352" t="s">
        <v>12374</v>
      </c>
      <c r="D1835" s="2352" t="s">
        <v>12484</v>
      </c>
      <c r="E1835" s="355">
        <v>160</v>
      </c>
      <c r="F1835" s="1662">
        <v>38.950000000000003</v>
      </c>
      <c r="G1835" s="903"/>
    </row>
    <row r="1836" spans="1:7" ht="15" customHeight="1" x14ac:dyDescent="0.25">
      <c r="A1836" s="2352" t="s">
        <v>12482</v>
      </c>
      <c r="B1836" s="2352" t="s">
        <v>12374</v>
      </c>
      <c r="C1836" s="2352" t="s">
        <v>12374</v>
      </c>
      <c r="D1836" s="2352" t="s">
        <v>12485</v>
      </c>
      <c r="E1836" s="355">
        <v>63</v>
      </c>
      <c r="F1836" s="1662">
        <v>17.100000000000001</v>
      </c>
      <c r="G1836" s="903"/>
    </row>
    <row r="1837" spans="1:7" ht="15" customHeight="1" x14ac:dyDescent="0.25">
      <c r="A1837" s="2352" t="s">
        <v>15115</v>
      </c>
      <c r="B1837" s="2352" t="s">
        <v>12374</v>
      </c>
      <c r="C1837" s="2352" t="s">
        <v>12374</v>
      </c>
      <c r="D1837" s="2352" t="s">
        <v>12486</v>
      </c>
      <c r="E1837" s="355">
        <v>250</v>
      </c>
      <c r="F1837" s="1662">
        <v>74.099999999999994</v>
      </c>
      <c r="G1837" s="903"/>
    </row>
    <row r="1838" spans="1:7" ht="15" customHeight="1" x14ac:dyDescent="0.25">
      <c r="A1838" s="2352" t="s">
        <v>12477</v>
      </c>
      <c r="B1838" s="2352" t="s">
        <v>12374</v>
      </c>
      <c r="C1838" s="2352" t="s">
        <v>12374</v>
      </c>
      <c r="D1838" s="2352" t="s">
        <v>12487</v>
      </c>
      <c r="E1838" s="355">
        <v>630</v>
      </c>
      <c r="F1838" s="1662">
        <v>589</v>
      </c>
      <c r="G1838" s="903"/>
    </row>
    <row r="1839" spans="1:7" ht="15" customHeight="1" x14ac:dyDescent="0.25">
      <c r="A1839" s="2352" t="s">
        <v>12488</v>
      </c>
      <c r="B1839" s="2352" t="s">
        <v>12374</v>
      </c>
      <c r="C1839" s="2352" t="s">
        <v>12374</v>
      </c>
      <c r="D1839" s="2352" t="s">
        <v>12489</v>
      </c>
      <c r="E1839" s="355">
        <v>63</v>
      </c>
      <c r="F1839" s="1662">
        <v>2.85</v>
      </c>
      <c r="G1839" s="903"/>
    </row>
    <row r="1840" spans="1:7" ht="15" customHeight="1" x14ac:dyDescent="0.25">
      <c r="A1840" s="2352" t="s">
        <v>12482</v>
      </c>
      <c r="B1840" s="2352" t="s">
        <v>12374</v>
      </c>
      <c r="C1840" s="2352" t="s">
        <v>12374</v>
      </c>
      <c r="D1840" s="2352" t="s">
        <v>12490</v>
      </c>
      <c r="E1840" s="355">
        <v>100</v>
      </c>
      <c r="F1840" s="1662">
        <v>32.299999999999997</v>
      </c>
      <c r="G1840" s="903"/>
    </row>
    <row r="1841" spans="1:7" ht="15" customHeight="1" x14ac:dyDescent="0.25">
      <c r="A1841" s="2352" t="s">
        <v>12491</v>
      </c>
      <c r="B1841" s="2352" t="s">
        <v>12374</v>
      </c>
      <c r="C1841" s="2352" t="s">
        <v>12374</v>
      </c>
      <c r="D1841" s="2352" t="s">
        <v>12492</v>
      </c>
      <c r="E1841" s="355" t="s">
        <v>12493</v>
      </c>
      <c r="F1841" s="1662">
        <v>33.25</v>
      </c>
      <c r="G1841" s="903"/>
    </row>
    <row r="1842" spans="1:7" ht="15" customHeight="1" x14ac:dyDescent="0.25">
      <c r="A1842" s="2352" t="s">
        <v>12494</v>
      </c>
      <c r="B1842" s="2352" t="s">
        <v>12374</v>
      </c>
      <c r="C1842" s="2352" t="s">
        <v>12374</v>
      </c>
      <c r="D1842" s="2352" t="s">
        <v>12495</v>
      </c>
      <c r="E1842" s="355">
        <v>160</v>
      </c>
      <c r="F1842" s="1662">
        <v>89.3</v>
      </c>
      <c r="G1842" s="903"/>
    </row>
    <row r="1843" spans="1:7" ht="15" customHeight="1" x14ac:dyDescent="0.25">
      <c r="A1843" s="2352" t="s">
        <v>12496</v>
      </c>
      <c r="B1843" s="2352" t="s">
        <v>12374</v>
      </c>
      <c r="C1843" s="2352" t="s">
        <v>12374</v>
      </c>
      <c r="D1843" s="2352" t="s">
        <v>12497</v>
      </c>
      <c r="E1843" s="355">
        <v>50</v>
      </c>
      <c r="F1843" s="1662">
        <v>3.8</v>
      </c>
      <c r="G1843" s="903"/>
    </row>
    <row r="1844" spans="1:7" ht="15" customHeight="1" x14ac:dyDescent="0.25">
      <c r="A1844" s="2352" t="s">
        <v>6190</v>
      </c>
      <c r="B1844" s="2352" t="s">
        <v>12374</v>
      </c>
      <c r="C1844" s="2352" t="s">
        <v>12374</v>
      </c>
      <c r="D1844" s="2352" t="s">
        <v>12498</v>
      </c>
      <c r="E1844" s="355">
        <v>30</v>
      </c>
      <c r="F1844" s="1662">
        <v>1.9</v>
      </c>
      <c r="G1844" s="903"/>
    </row>
    <row r="1845" spans="1:7" ht="15" customHeight="1" x14ac:dyDescent="0.25">
      <c r="A1845" s="2352" t="s">
        <v>12499</v>
      </c>
      <c r="B1845" s="2352" t="s">
        <v>12374</v>
      </c>
      <c r="C1845" s="2352" t="s">
        <v>12374</v>
      </c>
      <c r="D1845" s="2352" t="s">
        <v>12500</v>
      </c>
      <c r="E1845" s="355">
        <v>100</v>
      </c>
      <c r="F1845" s="1662">
        <v>61.75</v>
      </c>
      <c r="G1845" s="903"/>
    </row>
    <row r="1846" spans="1:7" ht="15" customHeight="1" x14ac:dyDescent="0.25">
      <c r="A1846" s="2352" t="s">
        <v>12501</v>
      </c>
      <c r="B1846" s="2352" t="s">
        <v>12374</v>
      </c>
      <c r="C1846" s="2352" t="s">
        <v>12374</v>
      </c>
      <c r="D1846" s="2352" t="s">
        <v>12502</v>
      </c>
      <c r="E1846" s="355">
        <v>63</v>
      </c>
      <c r="F1846" s="1662">
        <v>32.299999999999997</v>
      </c>
      <c r="G1846" s="903"/>
    </row>
    <row r="1847" spans="1:7" ht="15" customHeight="1" x14ac:dyDescent="0.25">
      <c r="A1847" s="2352" t="s">
        <v>12503</v>
      </c>
      <c r="B1847" s="2352" t="s">
        <v>12374</v>
      </c>
      <c r="C1847" s="2352" t="s">
        <v>12374</v>
      </c>
      <c r="D1847" s="2352" t="s">
        <v>12504</v>
      </c>
      <c r="E1847" s="355">
        <v>160</v>
      </c>
      <c r="F1847" s="1662">
        <v>59.85</v>
      </c>
      <c r="G1847" s="903"/>
    </row>
    <row r="1848" spans="1:7" ht="15" customHeight="1" x14ac:dyDescent="0.25">
      <c r="A1848" s="2352" t="s">
        <v>12503</v>
      </c>
      <c r="B1848" s="2352" t="s">
        <v>12374</v>
      </c>
      <c r="C1848" s="2352" t="s">
        <v>12374</v>
      </c>
      <c r="D1848" s="2352" t="s">
        <v>12505</v>
      </c>
      <c r="E1848" s="355">
        <v>160</v>
      </c>
      <c r="F1848" s="1662">
        <v>95.95</v>
      </c>
      <c r="G1848" s="903"/>
    </row>
    <row r="1849" spans="1:7" ht="15" customHeight="1" x14ac:dyDescent="0.25">
      <c r="A1849" s="2352" t="s">
        <v>12506</v>
      </c>
      <c r="B1849" s="2352" t="s">
        <v>12374</v>
      </c>
      <c r="C1849" s="2352" t="s">
        <v>12374</v>
      </c>
      <c r="D1849" s="2352" t="s">
        <v>12507</v>
      </c>
      <c r="E1849" s="355">
        <v>30</v>
      </c>
      <c r="F1849" s="1662">
        <v>0.95</v>
      </c>
      <c r="G1849" s="903"/>
    </row>
    <row r="1850" spans="1:7" ht="15" customHeight="1" x14ac:dyDescent="0.25">
      <c r="A1850" s="2352" t="s">
        <v>12508</v>
      </c>
      <c r="B1850" s="2352" t="s">
        <v>12374</v>
      </c>
      <c r="C1850" s="2352" t="s">
        <v>12374</v>
      </c>
      <c r="D1850" s="2352" t="s">
        <v>12509</v>
      </c>
      <c r="E1850" s="355">
        <v>40</v>
      </c>
      <c r="F1850" s="1662">
        <v>2.85</v>
      </c>
      <c r="G1850" s="903"/>
    </row>
    <row r="1851" spans="1:7" ht="15" customHeight="1" x14ac:dyDescent="0.25">
      <c r="A1851" s="2352" t="s">
        <v>12510</v>
      </c>
      <c r="B1851" s="2352" t="s">
        <v>12374</v>
      </c>
      <c r="C1851" s="2352" t="s">
        <v>12374</v>
      </c>
      <c r="D1851" s="2352" t="s">
        <v>12511</v>
      </c>
      <c r="E1851" s="355">
        <v>30</v>
      </c>
      <c r="F1851" s="1662">
        <v>1.9</v>
      </c>
      <c r="G1851" s="903"/>
    </row>
    <row r="1852" spans="1:7" ht="15" customHeight="1" x14ac:dyDescent="0.25">
      <c r="A1852" s="2352" t="s">
        <v>12512</v>
      </c>
      <c r="B1852" s="2352" t="s">
        <v>12374</v>
      </c>
      <c r="C1852" s="2352" t="s">
        <v>12374</v>
      </c>
      <c r="D1852" s="2352" t="s">
        <v>12513</v>
      </c>
      <c r="E1852" s="355">
        <v>30</v>
      </c>
      <c r="F1852" s="1662">
        <v>3.8</v>
      </c>
      <c r="G1852" s="903"/>
    </row>
    <row r="1853" spans="1:7" ht="15" customHeight="1" x14ac:dyDescent="0.25">
      <c r="A1853" s="2352" t="s">
        <v>12503</v>
      </c>
      <c r="B1853" s="2352" t="s">
        <v>12374</v>
      </c>
      <c r="C1853" s="2352" t="s">
        <v>12374</v>
      </c>
      <c r="D1853" s="2352" t="s">
        <v>12514</v>
      </c>
      <c r="E1853" s="355">
        <v>250</v>
      </c>
      <c r="F1853" s="1662">
        <v>63.65</v>
      </c>
      <c r="G1853" s="903"/>
    </row>
    <row r="1854" spans="1:7" ht="15" customHeight="1" x14ac:dyDescent="0.25">
      <c r="A1854" s="2352" t="s">
        <v>12503</v>
      </c>
      <c r="B1854" s="2352" t="s">
        <v>12374</v>
      </c>
      <c r="C1854" s="2352" t="s">
        <v>12374</v>
      </c>
      <c r="D1854" s="2352" t="s">
        <v>12515</v>
      </c>
      <c r="E1854" s="355">
        <v>160</v>
      </c>
      <c r="F1854" s="1662">
        <v>61.75</v>
      </c>
      <c r="G1854" s="903"/>
    </row>
    <row r="1855" spans="1:7" ht="15" customHeight="1" x14ac:dyDescent="0.25">
      <c r="A1855" s="2352" t="s">
        <v>12503</v>
      </c>
      <c r="B1855" s="2352" t="s">
        <v>12374</v>
      </c>
      <c r="C1855" s="2352" t="s">
        <v>12374</v>
      </c>
      <c r="D1855" s="2352" t="s">
        <v>12516</v>
      </c>
      <c r="E1855" s="355">
        <v>250</v>
      </c>
      <c r="F1855" s="1662">
        <v>146.30000000000001</v>
      </c>
      <c r="G1855" s="903"/>
    </row>
    <row r="1856" spans="1:7" ht="15" customHeight="1" x14ac:dyDescent="0.25">
      <c r="A1856" s="2352" t="s">
        <v>12503</v>
      </c>
      <c r="B1856" s="2352" t="s">
        <v>12374</v>
      </c>
      <c r="C1856" s="2352" t="s">
        <v>12374</v>
      </c>
      <c r="D1856" s="2352" t="s">
        <v>12517</v>
      </c>
      <c r="E1856" s="355">
        <v>100</v>
      </c>
      <c r="F1856" s="1662">
        <v>21.85</v>
      </c>
      <c r="G1856" s="903"/>
    </row>
    <row r="1857" spans="1:7" ht="15" customHeight="1" x14ac:dyDescent="0.25">
      <c r="A1857" s="2352" t="s">
        <v>12503</v>
      </c>
      <c r="B1857" s="2352" t="s">
        <v>12374</v>
      </c>
      <c r="C1857" s="2352" t="s">
        <v>12374</v>
      </c>
      <c r="D1857" s="2352" t="s">
        <v>12518</v>
      </c>
      <c r="E1857" s="355">
        <v>250</v>
      </c>
      <c r="F1857" s="1662">
        <v>67.45</v>
      </c>
      <c r="G1857" s="903"/>
    </row>
    <row r="1858" spans="1:7" ht="15" customHeight="1" x14ac:dyDescent="0.25">
      <c r="A1858" s="2352" t="s">
        <v>12503</v>
      </c>
      <c r="B1858" s="2352" t="s">
        <v>12374</v>
      </c>
      <c r="C1858" s="2352" t="s">
        <v>12374</v>
      </c>
      <c r="D1858" s="2352" t="s">
        <v>12519</v>
      </c>
      <c r="E1858" s="355">
        <v>250</v>
      </c>
      <c r="F1858" s="1662">
        <v>225.15</v>
      </c>
      <c r="G1858" s="903"/>
    </row>
    <row r="1859" spans="1:7" ht="15" customHeight="1" x14ac:dyDescent="0.25">
      <c r="A1859" s="2352" t="s">
        <v>15116</v>
      </c>
      <c r="B1859" s="2352" t="s">
        <v>12374</v>
      </c>
      <c r="C1859" s="2352" t="s">
        <v>12374</v>
      </c>
      <c r="D1859" s="2352" t="s">
        <v>12520</v>
      </c>
      <c r="E1859" s="355">
        <v>25</v>
      </c>
      <c r="F1859" s="1662">
        <v>9.5</v>
      </c>
      <c r="G1859" s="903"/>
    </row>
    <row r="1860" spans="1:7" ht="15" customHeight="1" x14ac:dyDescent="0.25">
      <c r="A1860" s="2352" t="s">
        <v>12521</v>
      </c>
      <c r="B1860" s="2352" t="s">
        <v>12374</v>
      </c>
      <c r="C1860" s="2352" t="s">
        <v>12374</v>
      </c>
      <c r="D1860" s="2352" t="s">
        <v>12522</v>
      </c>
      <c r="E1860" s="355">
        <v>63</v>
      </c>
      <c r="F1860" s="1662">
        <v>36.1</v>
      </c>
      <c r="G1860" s="903"/>
    </row>
    <row r="1861" spans="1:7" ht="15" customHeight="1" x14ac:dyDescent="0.25">
      <c r="A1861" s="2352" t="s">
        <v>12523</v>
      </c>
      <c r="B1861" s="2352" t="s">
        <v>12374</v>
      </c>
      <c r="C1861" s="2352" t="s">
        <v>12374</v>
      </c>
      <c r="D1861" s="2352" t="s">
        <v>12524</v>
      </c>
      <c r="E1861" s="355">
        <v>40</v>
      </c>
      <c r="F1861" s="1662">
        <v>15.2</v>
      </c>
      <c r="G1861" s="903"/>
    </row>
    <row r="1862" spans="1:7" ht="15" customHeight="1" x14ac:dyDescent="0.25">
      <c r="A1862" s="2352" t="s">
        <v>12525</v>
      </c>
      <c r="B1862" s="2352" t="s">
        <v>12374</v>
      </c>
      <c r="C1862" s="2352" t="s">
        <v>12374</v>
      </c>
      <c r="D1862" s="2352" t="s">
        <v>12526</v>
      </c>
      <c r="E1862" s="355">
        <v>20</v>
      </c>
      <c r="F1862" s="1662">
        <v>2.85</v>
      </c>
      <c r="G1862" s="903"/>
    </row>
    <row r="1863" spans="1:7" ht="15" customHeight="1" x14ac:dyDescent="0.25">
      <c r="A1863" s="2352" t="s">
        <v>12527</v>
      </c>
      <c r="B1863" s="2352" t="s">
        <v>12374</v>
      </c>
      <c r="C1863" s="2352" t="s">
        <v>12374</v>
      </c>
      <c r="D1863" s="2352" t="s">
        <v>12528</v>
      </c>
      <c r="E1863" s="355">
        <v>30</v>
      </c>
      <c r="F1863" s="1662">
        <v>4.75</v>
      </c>
      <c r="G1863" s="903"/>
    </row>
    <row r="1864" spans="1:7" ht="15" customHeight="1" x14ac:dyDescent="0.25">
      <c r="A1864" s="2352" t="s">
        <v>12529</v>
      </c>
      <c r="B1864" s="2352" t="s">
        <v>12374</v>
      </c>
      <c r="C1864" s="2352" t="s">
        <v>12374</v>
      </c>
      <c r="D1864" s="2352" t="s">
        <v>12530</v>
      </c>
      <c r="E1864" s="355">
        <v>20</v>
      </c>
      <c r="F1864" s="1662">
        <v>3.8</v>
      </c>
      <c r="G1864" s="903"/>
    </row>
    <row r="1865" spans="1:7" ht="15" customHeight="1" x14ac:dyDescent="0.25">
      <c r="A1865" s="2352" t="s">
        <v>12531</v>
      </c>
      <c r="B1865" s="2352" t="s">
        <v>12374</v>
      </c>
      <c r="C1865" s="2352" t="s">
        <v>12374</v>
      </c>
      <c r="D1865" s="2352" t="s">
        <v>12532</v>
      </c>
      <c r="E1865" s="355">
        <v>100</v>
      </c>
      <c r="F1865" s="1662">
        <v>55.1</v>
      </c>
      <c r="G1865" s="903"/>
    </row>
    <row r="1866" spans="1:7" ht="15" customHeight="1" x14ac:dyDescent="0.25">
      <c r="A1866" s="2352" t="s">
        <v>12533</v>
      </c>
      <c r="B1866" s="2352" t="s">
        <v>12374</v>
      </c>
      <c r="C1866" s="2352" t="s">
        <v>12374</v>
      </c>
      <c r="D1866" s="2352" t="s">
        <v>12534</v>
      </c>
      <c r="E1866" s="355">
        <v>20</v>
      </c>
      <c r="F1866" s="1662">
        <v>7.6</v>
      </c>
      <c r="G1866" s="903"/>
    </row>
    <row r="1867" spans="1:7" ht="15" customHeight="1" x14ac:dyDescent="0.25">
      <c r="A1867" s="2352" t="s">
        <v>5983</v>
      </c>
      <c r="B1867" s="2352" t="s">
        <v>12374</v>
      </c>
      <c r="C1867" s="2352" t="s">
        <v>12374</v>
      </c>
      <c r="D1867" s="2352" t="s">
        <v>12535</v>
      </c>
      <c r="E1867" s="355">
        <v>250</v>
      </c>
      <c r="F1867" s="1662">
        <v>106.4</v>
      </c>
      <c r="G1867" s="903"/>
    </row>
    <row r="1868" spans="1:7" ht="15" customHeight="1" x14ac:dyDescent="0.25">
      <c r="A1868" s="2352" t="s">
        <v>12536</v>
      </c>
      <c r="B1868" s="2352" t="s">
        <v>12374</v>
      </c>
      <c r="C1868" s="2352" t="s">
        <v>12374</v>
      </c>
      <c r="D1868" s="2352" t="s">
        <v>12537</v>
      </c>
      <c r="E1868" s="355">
        <v>50</v>
      </c>
      <c r="F1868" s="1662">
        <v>26.6</v>
      </c>
      <c r="G1868" s="903"/>
    </row>
    <row r="1869" spans="1:7" ht="15" customHeight="1" x14ac:dyDescent="0.25">
      <c r="A1869" s="2352" t="s">
        <v>12538</v>
      </c>
      <c r="B1869" s="2352" t="s">
        <v>12374</v>
      </c>
      <c r="C1869" s="2352" t="s">
        <v>12374</v>
      </c>
      <c r="D1869" s="2352" t="s">
        <v>12539</v>
      </c>
      <c r="E1869" s="355">
        <v>30</v>
      </c>
      <c r="F1869" s="1662">
        <v>4.75</v>
      </c>
      <c r="G1869" s="903"/>
    </row>
    <row r="1870" spans="1:7" ht="15" customHeight="1" x14ac:dyDescent="0.25">
      <c r="A1870" s="2352" t="s">
        <v>12540</v>
      </c>
      <c r="B1870" s="2352" t="s">
        <v>12374</v>
      </c>
      <c r="C1870" s="2352" t="s">
        <v>12374</v>
      </c>
      <c r="D1870" s="2352" t="s">
        <v>12541</v>
      </c>
      <c r="E1870" s="355">
        <v>180</v>
      </c>
      <c r="F1870" s="1662">
        <v>61.75</v>
      </c>
      <c r="G1870" s="903"/>
    </row>
    <row r="1871" spans="1:7" ht="15" customHeight="1" x14ac:dyDescent="0.25">
      <c r="A1871" s="2352" t="s">
        <v>15117</v>
      </c>
      <c r="B1871" s="2352" t="s">
        <v>12374</v>
      </c>
      <c r="C1871" s="2352" t="s">
        <v>12374</v>
      </c>
      <c r="D1871" s="2352" t="s">
        <v>12542</v>
      </c>
      <c r="E1871" s="355">
        <v>250</v>
      </c>
      <c r="F1871" s="1662">
        <v>79.8</v>
      </c>
      <c r="G1871" s="903"/>
    </row>
    <row r="1872" spans="1:7" ht="15" customHeight="1" x14ac:dyDescent="0.25">
      <c r="A1872" s="2352" t="s">
        <v>12543</v>
      </c>
      <c r="B1872" s="2352" t="s">
        <v>12374</v>
      </c>
      <c r="C1872" s="2352" t="s">
        <v>12374</v>
      </c>
      <c r="D1872" s="2352" t="s">
        <v>12544</v>
      </c>
      <c r="E1872" s="355">
        <v>160</v>
      </c>
      <c r="F1872" s="1662">
        <v>81.7</v>
      </c>
      <c r="G1872" s="903"/>
    </row>
    <row r="1873" spans="1:7" ht="15" customHeight="1" x14ac:dyDescent="0.25">
      <c r="A1873" s="2352" t="s">
        <v>12545</v>
      </c>
      <c r="B1873" s="2352" t="s">
        <v>12374</v>
      </c>
      <c r="C1873" s="2352" t="s">
        <v>12374</v>
      </c>
      <c r="D1873" s="2352" t="s">
        <v>12546</v>
      </c>
      <c r="E1873" s="355">
        <v>30</v>
      </c>
      <c r="F1873" s="1662">
        <v>6.65</v>
      </c>
      <c r="G1873" s="903"/>
    </row>
    <row r="1874" spans="1:7" ht="15" customHeight="1" x14ac:dyDescent="0.25">
      <c r="A1874" s="2352" t="s">
        <v>12547</v>
      </c>
      <c r="B1874" s="2352" t="s">
        <v>12374</v>
      </c>
      <c r="C1874" s="2352" t="s">
        <v>12374</v>
      </c>
      <c r="D1874" s="2352" t="s">
        <v>12548</v>
      </c>
      <c r="E1874" s="355">
        <v>100</v>
      </c>
      <c r="F1874" s="1662">
        <v>30.4</v>
      </c>
      <c r="G1874" s="903"/>
    </row>
    <row r="1875" spans="1:7" ht="15" customHeight="1" x14ac:dyDescent="0.25">
      <c r="A1875" s="2352" t="s">
        <v>12549</v>
      </c>
      <c r="B1875" s="2352" t="s">
        <v>12374</v>
      </c>
      <c r="C1875" s="2352" t="s">
        <v>12374</v>
      </c>
      <c r="D1875" s="2352" t="s">
        <v>12550</v>
      </c>
      <c r="E1875" s="355">
        <v>60</v>
      </c>
      <c r="F1875" s="1662">
        <v>26.6</v>
      </c>
      <c r="G1875" s="903"/>
    </row>
    <row r="1876" spans="1:7" ht="15" customHeight="1" x14ac:dyDescent="0.25">
      <c r="A1876" s="2352" t="s">
        <v>12551</v>
      </c>
      <c r="B1876" s="2352" t="s">
        <v>12374</v>
      </c>
      <c r="C1876" s="2352" t="s">
        <v>12374</v>
      </c>
      <c r="D1876" s="2352" t="s">
        <v>12552</v>
      </c>
      <c r="E1876" s="355">
        <v>30</v>
      </c>
      <c r="F1876" s="1662">
        <v>10.45</v>
      </c>
      <c r="G1876" s="903"/>
    </row>
    <row r="1877" spans="1:7" ht="15" customHeight="1" x14ac:dyDescent="0.25">
      <c r="A1877" s="2352" t="s">
        <v>12553</v>
      </c>
      <c r="B1877" s="2352" t="s">
        <v>12374</v>
      </c>
      <c r="C1877" s="2352" t="s">
        <v>12374</v>
      </c>
      <c r="D1877" s="2352" t="s">
        <v>12554</v>
      </c>
      <c r="E1877" s="355">
        <v>50</v>
      </c>
      <c r="F1877" s="1662">
        <v>15.2</v>
      </c>
      <c r="G1877" s="903"/>
    </row>
    <row r="1878" spans="1:7" ht="15" customHeight="1" x14ac:dyDescent="0.25">
      <c r="A1878" s="2352" t="s">
        <v>12555</v>
      </c>
      <c r="B1878" s="2352" t="s">
        <v>12374</v>
      </c>
      <c r="C1878" s="2352" t="s">
        <v>12374</v>
      </c>
      <c r="D1878" s="2352" t="s">
        <v>12556</v>
      </c>
      <c r="E1878" s="355">
        <v>100</v>
      </c>
      <c r="F1878" s="1662">
        <v>32.299999999999997</v>
      </c>
      <c r="G1878" s="903"/>
    </row>
    <row r="1879" spans="1:7" ht="15" customHeight="1" x14ac:dyDescent="0.25">
      <c r="A1879" s="2352" t="s">
        <v>12557</v>
      </c>
      <c r="B1879" s="2352" t="s">
        <v>12374</v>
      </c>
      <c r="C1879" s="2352" t="s">
        <v>12374</v>
      </c>
      <c r="D1879" s="2352" t="s">
        <v>12558</v>
      </c>
      <c r="E1879" s="355">
        <v>100</v>
      </c>
      <c r="F1879" s="1662">
        <v>37.049999999999997</v>
      </c>
      <c r="G1879" s="903"/>
    </row>
    <row r="1880" spans="1:7" ht="15" customHeight="1" x14ac:dyDescent="0.25">
      <c r="A1880" s="2352" t="s">
        <v>12559</v>
      </c>
      <c r="B1880" s="2352" t="s">
        <v>12374</v>
      </c>
      <c r="C1880" s="2352" t="s">
        <v>12374</v>
      </c>
      <c r="D1880" s="2352" t="s">
        <v>12560</v>
      </c>
      <c r="E1880" s="355">
        <v>50</v>
      </c>
      <c r="F1880" s="1662">
        <v>18.05</v>
      </c>
      <c r="G1880" s="903"/>
    </row>
    <row r="1881" spans="1:7" ht="15" customHeight="1" x14ac:dyDescent="0.25">
      <c r="A1881" s="2352" t="s">
        <v>12561</v>
      </c>
      <c r="B1881" s="2352" t="s">
        <v>12374</v>
      </c>
      <c r="C1881" s="2352" t="s">
        <v>12374</v>
      </c>
      <c r="D1881" s="2352" t="s">
        <v>12562</v>
      </c>
      <c r="E1881" s="355">
        <v>30</v>
      </c>
      <c r="F1881" s="1662">
        <v>5.7</v>
      </c>
      <c r="G1881" s="903"/>
    </row>
    <row r="1882" spans="1:7" ht="15" customHeight="1" x14ac:dyDescent="0.25">
      <c r="A1882" s="2352" t="s">
        <v>12563</v>
      </c>
      <c r="B1882" s="2352" t="s">
        <v>12374</v>
      </c>
      <c r="C1882" s="2352" t="s">
        <v>12374</v>
      </c>
      <c r="D1882" s="2352" t="s">
        <v>12564</v>
      </c>
      <c r="E1882" s="355">
        <v>50</v>
      </c>
      <c r="F1882" s="1662">
        <v>16.149999999999999</v>
      </c>
      <c r="G1882" s="903"/>
    </row>
    <row r="1883" spans="1:7" ht="15" customHeight="1" x14ac:dyDescent="0.25">
      <c r="A1883" s="2352" t="s">
        <v>12565</v>
      </c>
      <c r="B1883" s="2352" t="s">
        <v>12374</v>
      </c>
      <c r="C1883" s="2352" t="s">
        <v>12374</v>
      </c>
      <c r="D1883" s="2352" t="s">
        <v>12566</v>
      </c>
      <c r="E1883" s="355">
        <v>60</v>
      </c>
      <c r="F1883" s="1662">
        <v>20.9</v>
      </c>
      <c r="G1883" s="903"/>
    </row>
    <row r="1884" spans="1:7" ht="15" customHeight="1" x14ac:dyDescent="0.25">
      <c r="A1884" s="2352" t="s">
        <v>15118</v>
      </c>
      <c r="B1884" s="2352" t="s">
        <v>12374</v>
      </c>
      <c r="C1884" s="2352" t="s">
        <v>12374</v>
      </c>
      <c r="D1884" s="2352" t="s">
        <v>12567</v>
      </c>
      <c r="E1884" s="355" t="s">
        <v>8004</v>
      </c>
      <c r="F1884" s="1662">
        <v>397.1</v>
      </c>
      <c r="G1884" s="903"/>
    </row>
    <row r="1885" spans="1:7" ht="15" customHeight="1" x14ac:dyDescent="0.25">
      <c r="A1885" s="2352" t="s">
        <v>12568</v>
      </c>
      <c r="B1885" s="2352" t="s">
        <v>12374</v>
      </c>
      <c r="C1885" s="2352" t="s">
        <v>12374</v>
      </c>
      <c r="D1885" s="2352" t="s">
        <v>12569</v>
      </c>
      <c r="E1885" s="355">
        <v>250</v>
      </c>
      <c r="F1885" s="1662">
        <v>11.4</v>
      </c>
      <c r="G1885" s="903"/>
    </row>
    <row r="1886" spans="1:7" ht="15" customHeight="1" x14ac:dyDescent="0.25">
      <c r="A1886" s="2352" t="s">
        <v>5926</v>
      </c>
      <c r="B1886" s="2352" t="s">
        <v>12374</v>
      </c>
      <c r="C1886" s="2352" t="s">
        <v>12374</v>
      </c>
      <c r="D1886" s="2352" t="s">
        <v>12570</v>
      </c>
      <c r="E1886" s="355">
        <v>160</v>
      </c>
      <c r="F1886" s="1662">
        <v>13.3</v>
      </c>
      <c r="G1886" s="903"/>
    </row>
    <row r="1887" spans="1:7" ht="15" customHeight="1" x14ac:dyDescent="0.25">
      <c r="A1887" s="2352" t="s">
        <v>5926</v>
      </c>
      <c r="B1887" s="2352" t="s">
        <v>12374</v>
      </c>
      <c r="C1887" s="2352" t="s">
        <v>12374</v>
      </c>
      <c r="D1887" s="2352" t="s">
        <v>12571</v>
      </c>
      <c r="E1887" s="355">
        <v>160</v>
      </c>
      <c r="F1887" s="1662">
        <v>39.9</v>
      </c>
      <c r="G1887" s="903"/>
    </row>
    <row r="1888" spans="1:7" ht="15" customHeight="1" x14ac:dyDescent="0.25">
      <c r="A1888" s="2352" t="s">
        <v>5926</v>
      </c>
      <c r="B1888" s="2352" t="s">
        <v>12374</v>
      </c>
      <c r="C1888" s="2352" t="s">
        <v>12374</v>
      </c>
      <c r="D1888" s="2352" t="s">
        <v>12572</v>
      </c>
      <c r="E1888" s="355">
        <v>160</v>
      </c>
      <c r="F1888" s="1662">
        <v>60.8</v>
      </c>
      <c r="G1888" s="903"/>
    </row>
    <row r="1889" spans="1:7" ht="15" customHeight="1" x14ac:dyDescent="0.25">
      <c r="A1889" s="2352" t="s">
        <v>12573</v>
      </c>
      <c r="B1889" s="2352" t="s">
        <v>12374</v>
      </c>
      <c r="C1889" s="2352" t="s">
        <v>12374</v>
      </c>
      <c r="D1889" s="2352" t="s">
        <v>12574</v>
      </c>
      <c r="E1889" s="355">
        <v>100</v>
      </c>
      <c r="F1889" s="1662">
        <v>91.709103465619137</v>
      </c>
      <c r="G1889" s="903"/>
    </row>
    <row r="1890" spans="1:7" ht="15" customHeight="1" x14ac:dyDescent="0.25">
      <c r="A1890" s="2352" t="s">
        <v>12575</v>
      </c>
      <c r="B1890" s="2352" t="s">
        <v>12374</v>
      </c>
      <c r="C1890" s="2352" t="s">
        <v>12374</v>
      </c>
      <c r="D1890" s="2352" t="s">
        <v>12576</v>
      </c>
      <c r="E1890" s="355">
        <v>100</v>
      </c>
      <c r="F1890" s="1662">
        <v>15.2</v>
      </c>
      <c r="G1890" s="903"/>
    </row>
    <row r="1891" spans="1:7" ht="15" customHeight="1" x14ac:dyDescent="0.25">
      <c r="A1891" s="2352" t="s">
        <v>12575</v>
      </c>
      <c r="B1891" s="2352" t="s">
        <v>12374</v>
      </c>
      <c r="C1891" s="2352" t="s">
        <v>12374</v>
      </c>
      <c r="D1891" s="2352" t="s">
        <v>12577</v>
      </c>
      <c r="E1891" s="355">
        <v>160</v>
      </c>
      <c r="F1891" s="1662">
        <v>134.9</v>
      </c>
      <c r="G1891" s="903"/>
    </row>
    <row r="1892" spans="1:7" ht="15" customHeight="1" x14ac:dyDescent="0.25">
      <c r="A1892" s="2352" t="s">
        <v>12575</v>
      </c>
      <c r="B1892" s="2352" t="s">
        <v>12374</v>
      </c>
      <c r="C1892" s="2352" t="s">
        <v>12374</v>
      </c>
      <c r="D1892" s="2352" t="s">
        <v>12578</v>
      </c>
      <c r="E1892" s="355">
        <v>250</v>
      </c>
      <c r="F1892" s="1662">
        <v>71.25</v>
      </c>
      <c r="G1892" s="903"/>
    </row>
    <row r="1893" spans="1:7" ht="15" customHeight="1" x14ac:dyDescent="0.25">
      <c r="A1893" s="2352" t="s">
        <v>12579</v>
      </c>
      <c r="B1893" s="2352" t="s">
        <v>12374</v>
      </c>
      <c r="C1893" s="2352" t="s">
        <v>12374</v>
      </c>
      <c r="D1893" s="2352" t="s">
        <v>12580</v>
      </c>
      <c r="E1893" s="355">
        <v>100</v>
      </c>
      <c r="F1893" s="1662">
        <v>15.2</v>
      </c>
      <c r="G1893" s="903"/>
    </row>
    <row r="1894" spans="1:7" ht="15" customHeight="1" x14ac:dyDescent="0.25">
      <c r="A1894" s="2352" t="s">
        <v>6871</v>
      </c>
      <c r="B1894" s="2352" t="s">
        <v>12374</v>
      </c>
      <c r="C1894" s="2352" t="s">
        <v>12374</v>
      </c>
      <c r="D1894" s="2352" t="s">
        <v>12581</v>
      </c>
      <c r="E1894" s="355">
        <v>160</v>
      </c>
      <c r="F1894" s="1662">
        <v>25.65</v>
      </c>
      <c r="G1894" s="903"/>
    </row>
    <row r="1895" spans="1:7" ht="15" customHeight="1" x14ac:dyDescent="0.25">
      <c r="A1895" s="2352" t="s">
        <v>12582</v>
      </c>
      <c r="B1895" s="2352" t="s">
        <v>12374</v>
      </c>
      <c r="C1895" s="2352" t="s">
        <v>12374</v>
      </c>
      <c r="D1895" s="2352" t="s">
        <v>12583</v>
      </c>
      <c r="E1895" s="355">
        <v>400</v>
      </c>
      <c r="F1895" s="1662">
        <v>118.75</v>
      </c>
      <c r="G1895" s="903"/>
    </row>
    <row r="1896" spans="1:7" ht="15" customHeight="1" x14ac:dyDescent="0.25">
      <c r="A1896" s="2352" t="s">
        <v>12584</v>
      </c>
      <c r="B1896" s="2352" t="s">
        <v>12374</v>
      </c>
      <c r="C1896" s="2352" t="s">
        <v>12374</v>
      </c>
      <c r="D1896" s="2352" t="s">
        <v>12585</v>
      </c>
      <c r="E1896" s="355">
        <v>100</v>
      </c>
      <c r="F1896" s="1662">
        <v>2.85</v>
      </c>
      <c r="G1896" s="903"/>
    </row>
    <row r="1897" spans="1:7" ht="15" customHeight="1" x14ac:dyDescent="0.25">
      <c r="A1897" s="2352" t="s">
        <v>12586</v>
      </c>
      <c r="B1897" s="2352" t="s">
        <v>12374</v>
      </c>
      <c r="C1897" s="2352" t="s">
        <v>12374</v>
      </c>
      <c r="D1897" s="2352" t="s">
        <v>12587</v>
      </c>
      <c r="E1897" s="355">
        <v>63</v>
      </c>
      <c r="F1897" s="1662">
        <v>12.35</v>
      </c>
      <c r="G1897" s="903"/>
    </row>
    <row r="1898" spans="1:7" ht="15" customHeight="1" x14ac:dyDescent="0.25">
      <c r="A1898" s="2352" t="s">
        <v>12588</v>
      </c>
      <c r="B1898" s="2352" t="s">
        <v>12374</v>
      </c>
      <c r="C1898" s="2352" t="s">
        <v>12374</v>
      </c>
      <c r="D1898" s="2352" t="s">
        <v>12589</v>
      </c>
      <c r="E1898" s="355">
        <v>250</v>
      </c>
      <c r="F1898" s="1662">
        <v>93.1</v>
      </c>
      <c r="G1898" s="903"/>
    </row>
    <row r="1899" spans="1:7" ht="15" customHeight="1" x14ac:dyDescent="0.25">
      <c r="A1899" s="2352" t="s">
        <v>12590</v>
      </c>
      <c r="B1899" s="2352" t="s">
        <v>12374</v>
      </c>
      <c r="C1899" s="2352" t="s">
        <v>12374</v>
      </c>
      <c r="D1899" s="2352" t="s">
        <v>12591</v>
      </c>
      <c r="E1899" s="355">
        <v>250</v>
      </c>
      <c r="F1899" s="1662">
        <v>226.96913108998123</v>
      </c>
      <c r="G1899" s="903"/>
    </row>
    <row r="1900" spans="1:7" ht="15" customHeight="1" x14ac:dyDescent="0.25">
      <c r="A1900" s="2352" t="s">
        <v>12592</v>
      </c>
      <c r="B1900" s="2352" t="s">
        <v>12374</v>
      </c>
      <c r="C1900" s="2352" t="s">
        <v>12374</v>
      </c>
      <c r="D1900" s="2352" t="s">
        <v>12593</v>
      </c>
      <c r="E1900" s="355">
        <v>160</v>
      </c>
      <c r="F1900" s="1662">
        <v>132.05000000000001</v>
      </c>
      <c r="G1900" s="903"/>
    </row>
    <row r="1901" spans="1:7" ht="15" customHeight="1" x14ac:dyDescent="0.25">
      <c r="A1901" s="2352" t="s">
        <v>12594</v>
      </c>
      <c r="B1901" s="2352" t="s">
        <v>12374</v>
      </c>
      <c r="C1901" s="2352" t="s">
        <v>12374</v>
      </c>
      <c r="D1901" s="2352" t="s">
        <v>12595</v>
      </c>
      <c r="E1901" s="355">
        <v>100</v>
      </c>
      <c r="F1901" s="1662">
        <v>84.469131089981232</v>
      </c>
      <c r="G1901" s="903"/>
    </row>
    <row r="1902" spans="1:7" ht="15" customHeight="1" x14ac:dyDescent="0.25">
      <c r="A1902" s="2352" t="s">
        <v>12594</v>
      </c>
      <c r="B1902" s="2352" t="s">
        <v>12374</v>
      </c>
      <c r="C1902" s="2352" t="s">
        <v>12374</v>
      </c>
      <c r="D1902" s="2352" t="s">
        <v>12596</v>
      </c>
      <c r="E1902" s="355">
        <v>63</v>
      </c>
      <c r="F1902" s="1662">
        <v>43.395517328095664</v>
      </c>
      <c r="G1902" s="903"/>
    </row>
    <row r="1903" spans="1:7" ht="15" customHeight="1" x14ac:dyDescent="0.25">
      <c r="A1903" s="2352" t="s">
        <v>12597</v>
      </c>
      <c r="B1903" s="2352" t="s">
        <v>12374</v>
      </c>
      <c r="C1903" s="2352" t="s">
        <v>12374</v>
      </c>
      <c r="D1903" s="2352" t="s">
        <v>12598</v>
      </c>
      <c r="E1903" s="355">
        <v>160</v>
      </c>
      <c r="F1903" s="1662">
        <v>135.54551732809568</v>
      </c>
      <c r="G1903" s="903"/>
    </row>
    <row r="1904" spans="1:7" ht="15" customHeight="1" x14ac:dyDescent="0.25">
      <c r="A1904" s="2352" t="s">
        <v>12597</v>
      </c>
      <c r="B1904" s="2352" t="s">
        <v>12374</v>
      </c>
      <c r="C1904" s="2352" t="s">
        <v>12374</v>
      </c>
      <c r="D1904" s="2352" t="s">
        <v>12599</v>
      </c>
      <c r="E1904" s="2353">
        <v>160</v>
      </c>
      <c r="F1904" s="1662">
        <v>135.54551732809568</v>
      </c>
      <c r="G1904" s="903"/>
    </row>
    <row r="1905" spans="1:7" ht="15" customHeight="1" x14ac:dyDescent="0.25">
      <c r="A1905" s="2352" t="s">
        <v>12600</v>
      </c>
      <c r="B1905" s="2352" t="s">
        <v>12374</v>
      </c>
      <c r="C1905" s="2352" t="s">
        <v>12374</v>
      </c>
      <c r="D1905" s="2352" t="s">
        <v>12601</v>
      </c>
      <c r="E1905" s="355">
        <v>20</v>
      </c>
      <c r="F1905" s="1662">
        <v>0.95</v>
      </c>
      <c r="G1905" s="903"/>
    </row>
    <row r="1906" spans="1:7" ht="15" customHeight="1" x14ac:dyDescent="0.25">
      <c r="A1906" s="2352" t="s">
        <v>12600</v>
      </c>
      <c r="B1906" s="2352" t="s">
        <v>12374</v>
      </c>
      <c r="C1906" s="2352" t="s">
        <v>12374</v>
      </c>
      <c r="D1906" s="2352" t="s">
        <v>12602</v>
      </c>
      <c r="E1906" s="355">
        <v>100</v>
      </c>
      <c r="F1906" s="1662">
        <v>38.950000000000003</v>
      </c>
      <c r="G1906" s="903"/>
    </row>
    <row r="1907" spans="1:7" ht="15" customHeight="1" x14ac:dyDescent="0.25">
      <c r="A1907" s="2352" t="s">
        <v>12588</v>
      </c>
      <c r="B1907" s="2352" t="s">
        <v>12374</v>
      </c>
      <c r="C1907" s="2352" t="s">
        <v>12374</v>
      </c>
      <c r="D1907" s="2352" t="s">
        <v>12603</v>
      </c>
      <c r="E1907" s="355">
        <v>160</v>
      </c>
      <c r="F1907" s="1662">
        <v>64.599999999999994</v>
      </c>
      <c r="G1907" s="903"/>
    </row>
    <row r="1908" spans="1:7" ht="15" customHeight="1" x14ac:dyDescent="0.25">
      <c r="A1908" s="2352" t="s">
        <v>5926</v>
      </c>
      <c r="B1908" s="2352" t="s">
        <v>12374</v>
      </c>
      <c r="C1908" s="2352" t="s">
        <v>12374</v>
      </c>
      <c r="D1908" s="2352" t="s">
        <v>12604</v>
      </c>
      <c r="E1908" s="355">
        <v>160</v>
      </c>
      <c r="F1908" s="1662">
        <v>53.2</v>
      </c>
      <c r="G1908" s="903"/>
    </row>
    <row r="1909" spans="1:7" ht="15" customHeight="1" x14ac:dyDescent="0.25">
      <c r="A1909" s="2352" t="s">
        <v>5926</v>
      </c>
      <c r="B1909" s="2352" t="s">
        <v>12374</v>
      </c>
      <c r="C1909" s="2352" t="s">
        <v>12374</v>
      </c>
      <c r="D1909" s="2352" t="s">
        <v>12605</v>
      </c>
      <c r="E1909" s="2353">
        <v>400</v>
      </c>
      <c r="F1909" s="1662">
        <v>139.65</v>
      </c>
      <c r="G1909" s="903"/>
    </row>
    <row r="1910" spans="1:7" ht="15" customHeight="1" x14ac:dyDescent="0.25">
      <c r="A1910" s="2352" t="s">
        <v>5926</v>
      </c>
      <c r="B1910" s="2352" t="s">
        <v>12374</v>
      </c>
      <c r="C1910" s="2352" t="s">
        <v>12374</v>
      </c>
      <c r="D1910" s="2352" t="s">
        <v>12606</v>
      </c>
      <c r="E1910" s="355">
        <v>100</v>
      </c>
      <c r="F1910" s="1662">
        <v>32.299999999999997</v>
      </c>
      <c r="G1910" s="903"/>
    </row>
    <row r="1911" spans="1:7" ht="15" customHeight="1" x14ac:dyDescent="0.25">
      <c r="A1911" s="2352" t="s">
        <v>5926</v>
      </c>
      <c r="B1911" s="2352" t="s">
        <v>12374</v>
      </c>
      <c r="C1911" s="2352" t="s">
        <v>12374</v>
      </c>
      <c r="D1911" s="2352" t="s">
        <v>12607</v>
      </c>
      <c r="E1911" s="355">
        <v>250</v>
      </c>
      <c r="F1911" s="1662">
        <v>207.1</v>
      </c>
      <c r="G1911" s="903"/>
    </row>
    <row r="1912" spans="1:7" ht="15" customHeight="1" x14ac:dyDescent="0.25">
      <c r="A1912" s="2352" t="s">
        <v>12608</v>
      </c>
      <c r="B1912" s="2352" t="s">
        <v>12374</v>
      </c>
      <c r="C1912" s="2352" t="s">
        <v>12374</v>
      </c>
      <c r="D1912" s="2352" t="s">
        <v>12609</v>
      </c>
      <c r="E1912" s="2353">
        <v>40</v>
      </c>
      <c r="F1912" s="1662">
        <v>8.5500000000000007</v>
      </c>
      <c r="G1912" s="903"/>
    </row>
    <row r="1913" spans="1:7" ht="15" customHeight="1" x14ac:dyDescent="0.25">
      <c r="A1913" s="2352" t="s">
        <v>12610</v>
      </c>
      <c r="B1913" s="2352" t="s">
        <v>12374</v>
      </c>
      <c r="C1913" s="2352" t="s">
        <v>12374</v>
      </c>
      <c r="D1913" s="2352" t="s">
        <v>12611</v>
      </c>
      <c r="E1913" s="355">
        <v>63</v>
      </c>
      <c r="F1913" s="1662">
        <v>12.35</v>
      </c>
      <c r="G1913" s="903"/>
    </row>
    <row r="1914" spans="1:7" ht="15" customHeight="1" x14ac:dyDescent="0.25">
      <c r="A1914" s="2352" t="s">
        <v>12612</v>
      </c>
      <c r="B1914" s="2352" t="s">
        <v>12374</v>
      </c>
      <c r="C1914" s="2352" t="s">
        <v>12374</v>
      </c>
      <c r="D1914" s="2352" t="s">
        <v>12613</v>
      </c>
      <c r="E1914" s="355">
        <v>160</v>
      </c>
      <c r="F1914" s="1662">
        <v>49.4</v>
      </c>
      <c r="G1914" s="903"/>
    </row>
    <row r="1915" spans="1:7" ht="15" customHeight="1" x14ac:dyDescent="0.25">
      <c r="A1915" s="2352" t="s">
        <v>12614</v>
      </c>
      <c r="B1915" s="2352" t="s">
        <v>12374</v>
      </c>
      <c r="C1915" s="2352" t="s">
        <v>12374</v>
      </c>
      <c r="D1915" s="2352" t="s">
        <v>12615</v>
      </c>
      <c r="E1915" s="355">
        <v>100</v>
      </c>
      <c r="F1915" s="1662">
        <v>2.85</v>
      </c>
      <c r="G1915" s="903"/>
    </row>
    <row r="1916" spans="1:7" ht="15" customHeight="1" x14ac:dyDescent="0.25">
      <c r="A1916" s="2352" t="s">
        <v>12617</v>
      </c>
      <c r="B1916" s="2352" t="s">
        <v>12374</v>
      </c>
      <c r="C1916" s="2352" t="s">
        <v>12374</v>
      </c>
      <c r="D1916" s="2352" t="s">
        <v>12616</v>
      </c>
      <c r="E1916" s="355">
        <v>250</v>
      </c>
      <c r="F1916" s="1662">
        <v>30.4</v>
      </c>
      <c r="G1916" s="903"/>
    </row>
    <row r="1917" spans="1:7" ht="15" customHeight="1" x14ac:dyDescent="0.25">
      <c r="A1917" s="2352" t="s">
        <v>12617</v>
      </c>
      <c r="B1917" s="2352" t="s">
        <v>12374</v>
      </c>
      <c r="C1917" s="2352" t="s">
        <v>12374</v>
      </c>
      <c r="D1917" s="2352" t="s">
        <v>12618</v>
      </c>
      <c r="E1917" s="355">
        <v>100</v>
      </c>
      <c r="F1917" s="1662">
        <v>11.4</v>
      </c>
      <c r="G1917" s="903"/>
    </row>
    <row r="1918" spans="1:7" ht="15" customHeight="1" x14ac:dyDescent="0.25">
      <c r="A1918" s="2352" t="s">
        <v>5926</v>
      </c>
      <c r="B1918" s="2352" t="s">
        <v>12374</v>
      </c>
      <c r="C1918" s="2352" t="s">
        <v>12374</v>
      </c>
      <c r="D1918" s="2352" t="s">
        <v>12619</v>
      </c>
      <c r="E1918" s="355">
        <v>400</v>
      </c>
      <c r="F1918" s="1662">
        <v>137.75</v>
      </c>
      <c r="G1918" s="903"/>
    </row>
    <row r="1919" spans="1:7" ht="15" customHeight="1" x14ac:dyDescent="0.25">
      <c r="A1919" s="2352" t="s">
        <v>5926</v>
      </c>
      <c r="B1919" s="2352" t="s">
        <v>12374</v>
      </c>
      <c r="C1919" s="2352" t="s">
        <v>12374</v>
      </c>
      <c r="D1919" s="2352" t="s">
        <v>12620</v>
      </c>
      <c r="E1919" s="355">
        <v>63</v>
      </c>
      <c r="F1919" s="1662">
        <v>19</v>
      </c>
      <c r="G1919" s="903"/>
    </row>
    <row r="1920" spans="1:7" ht="15" customHeight="1" x14ac:dyDescent="0.25">
      <c r="A1920" s="2352" t="s">
        <v>12612</v>
      </c>
      <c r="B1920" s="2352" t="s">
        <v>12374</v>
      </c>
      <c r="C1920" s="2352" t="s">
        <v>12374</v>
      </c>
      <c r="D1920" s="2352" t="s">
        <v>12621</v>
      </c>
      <c r="E1920" s="355">
        <v>100</v>
      </c>
      <c r="F1920" s="1662">
        <v>36.1</v>
      </c>
      <c r="G1920" s="903"/>
    </row>
    <row r="1921" spans="1:7" ht="15" customHeight="1" x14ac:dyDescent="0.25">
      <c r="A1921" s="2352" t="s">
        <v>12622</v>
      </c>
      <c r="B1921" s="2352" t="s">
        <v>12374</v>
      </c>
      <c r="C1921" s="2352" t="s">
        <v>12374</v>
      </c>
      <c r="D1921" s="2352" t="s">
        <v>12623</v>
      </c>
      <c r="E1921" s="355">
        <v>160</v>
      </c>
      <c r="F1921" s="1662">
        <v>39.9</v>
      </c>
      <c r="G1921" s="903"/>
    </row>
    <row r="1922" spans="1:7" ht="15" customHeight="1" x14ac:dyDescent="0.25">
      <c r="A1922" s="2352" t="s">
        <v>6095</v>
      </c>
      <c r="B1922" s="2352" t="s">
        <v>12374</v>
      </c>
      <c r="C1922" s="2352" t="s">
        <v>12374</v>
      </c>
      <c r="D1922" s="2352" t="s">
        <v>12624</v>
      </c>
      <c r="E1922" s="355">
        <v>63</v>
      </c>
      <c r="F1922" s="1662">
        <v>16.149999999999999</v>
      </c>
      <c r="G1922" s="903"/>
    </row>
    <row r="1923" spans="1:7" ht="15" customHeight="1" x14ac:dyDescent="0.25">
      <c r="A1923" s="2352" t="s">
        <v>12625</v>
      </c>
      <c r="B1923" s="2352" t="s">
        <v>12374</v>
      </c>
      <c r="C1923" s="2352" t="s">
        <v>12374</v>
      </c>
      <c r="D1923" s="2352" t="s">
        <v>12626</v>
      </c>
      <c r="E1923" s="355">
        <v>160</v>
      </c>
      <c r="F1923" s="1662">
        <v>78.849999999999994</v>
      </c>
      <c r="G1923" s="903"/>
    </row>
    <row r="1924" spans="1:7" ht="15" customHeight="1" x14ac:dyDescent="0.25">
      <c r="A1924" s="2352" t="s">
        <v>12627</v>
      </c>
      <c r="B1924" s="2352" t="s">
        <v>12374</v>
      </c>
      <c r="C1924" s="2352" t="s">
        <v>12374</v>
      </c>
      <c r="D1924" s="2352" t="s">
        <v>12628</v>
      </c>
      <c r="E1924" s="355">
        <v>400</v>
      </c>
      <c r="F1924" s="1662">
        <v>99.75</v>
      </c>
      <c r="G1924" s="903"/>
    </row>
    <row r="1925" spans="1:7" ht="15" customHeight="1" x14ac:dyDescent="0.25">
      <c r="A1925" s="2352" t="s">
        <v>12627</v>
      </c>
      <c r="B1925" s="2352" t="s">
        <v>12374</v>
      </c>
      <c r="C1925" s="2352" t="s">
        <v>12374</v>
      </c>
      <c r="D1925" s="2352" t="s">
        <v>12629</v>
      </c>
      <c r="E1925" s="2353">
        <v>100</v>
      </c>
      <c r="F1925" s="1662">
        <v>7.6</v>
      </c>
      <c r="G1925" s="903"/>
    </row>
    <row r="1926" spans="1:7" ht="15" customHeight="1" x14ac:dyDescent="0.25">
      <c r="A1926" s="2352" t="s">
        <v>15119</v>
      </c>
      <c r="B1926" s="2352" t="s">
        <v>12374</v>
      </c>
      <c r="C1926" s="2352" t="s">
        <v>12374</v>
      </c>
      <c r="D1926" s="2352" t="s">
        <v>12630</v>
      </c>
      <c r="E1926" s="355">
        <v>400</v>
      </c>
      <c r="F1926" s="1662">
        <v>152</v>
      </c>
      <c r="G1926" s="903"/>
    </row>
    <row r="1927" spans="1:7" ht="15" customHeight="1" x14ac:dyDescent="0.25">
      <c r="A1927" s="2352" t="s">
        <v>15119</v>
      </c>
      <c r="B1927" s="2352" t="s">
        <v>12374</v>
      </c>
      <c r="C1927" s="2352" t="s">
        <v>12374</v>
      </c>
      <c r="D1927" s="2352" t="s">
        <v>12631</v>
      </c>
      <c r="E1927" s="355">
        <v>100</v>
      </c>
      <c r="F1927" s="1662">
        <v>39.9</v>
      </c>
      <c r="G1927" s="903"/>
    </row>
    <row r="1928" spans="1:7" ht="15" customHeight="1" x14ac:dyDescent="0.25">
      <c r="A1928" s="2352" t="s">
        <v>12632</v>
      </c>
      <c r="B1928" s="2352" t="s">
        <v>12374</v>
      </c>
      <c r="C1928" s="2352" t="s">
        <v>12374</v>
      </c>
      <c r="D1928" s="2352" t="s">
        <v>12633</v>
      </c>
      <c r="E1928" s="355">
        <v>63</v>
      </c>
      <c r="F1928" s="1662">
        <v>12.35</v>
      </c>
      <c r="G1928" s="903"/>
    </row>
    <row r="1929" spans="1:7" ht="15" customHeight="1" x14ac:dyDescent="0.25">
      <c r="A1929" s="2352" t="s">
        <v>12634</v>
      </c>
      <c r="B1929" s="2352" t="s">
        <v>12374</v>
      </c>
      <c r="C1929" s="2352" t="s">
        <v>12374</v>
      </c>
      <c r="D1929" s="2352" t="s">
        <v>12635</v>
      </c>
      <c r="E1929" s="355">
        <v>63</v>
      </c>
      <c r="F1929" s="1662">
        <v>14.25</v>
      </c>
      <c r="G1929" s="903"/>
    </row>
    <row r="1930" spans="1:7" ht="15" customHeight="1" x14ac:dyDescent="0.25">
      <c r="A1930" s="2352" t="s">
        <v>12634</v>
      </c>
      <c r="B1930" s="2352" t="s">
        <v>12374</v>
      </c>
      <c r="C1930" s="2352" t="s">
        <v>12374</v>
      </c>
      <c r="D1930" s="2352" t="s">
        <v>12636</v>
      </c>
      <c r="E1930" s="355">
        <v>250</v>
      </c>
      <c r="F1930" s="1662">
        <v>223.25</v>
      </c>
      <c r="G1930" s="903"/>
    </row>
    <row r="1931" spans="1:7" ht="15" customHeight="1" x14ac:dyDescent="0.25">
      <c r="A1931" s="2352" t="s">
        <v>12634</v>
      </c>
      <c r="B1931" s="2352" t="s">
        <v>12374</v>
      </c>
      <c r="C1931" s="2352" t="s">
        <v>12374</v>
      </c>
      <c r="D1931" s="2352" t="s">
        <v>12637</v>
      </c>
      <c r="E1931" s="355">
        <v>160</v>
      </c>
      <c r="F1931" s="1662">
        <v>36.1</v>
      </c>
      <c r="G1931" s="903"/>
    </row>
    <row r="1932" spans="1:7" ht="15" customHeight="1" x14ac:dyDescent="0.25">
      <c r="A1932" s="2352" t="s">
        <v>12638</v>
      </c>
      <c r="B1932" s="2352" t="s">
        <v>12374</v>
      </c>
      <c r="C1932" s="2352" t="s">
        <v>12374</v>
      </c>
      <c r="D1932" s="2352" t="s">
        <v>12639</v>
      </c>
      <c r="E1932" s="355">
        <v>160</v>
      </c>
      <c r="F1932" s="1662">
        <v>68.400000000000006</v>
      </c>
      <c r="G1932" s="903"/>
    </row>
    <row r="1933" spans="1:7" ht="15" customHeight="1" x14ac:dyDescent="0.25">
      <c r="A1933" s="2352" t="s">
        <v>12638</v>
      </c>
      <c r="B1933" s="2352" t="s">
        <v>12374</v>
      </c>
      <c r="C1933" s="2352" t="s">
        <v>12374</v>
      </c>
      <c r="D1933" s="2352" t="s">
        <v>12640</v>
      </c>
      <c r="E1933" s="355">
        <v>30</v>
      </c>
      <c r="F1933" s="1662">
        <v>2.85</v>
      </c>
      <c r="G1933" s="903"/>
    </row>
    <row r="1934" spans="1:7" ht="15" customHeight="1" x14ac:dyDescent="0.25">
      <c r="A1934" s="2352" t="s">
        <v>15120</v>
      </c>
      <c r="B1934" s="2352" t="s">
        <v>12374</v>
      </c>
      <c r="C1934" s="2352" t="s">
        <v>12374</v>
      </c>
      <c r="D1934" s="2352" t="s">
        <v>12641</v>
      </c>
      <c r="E1934" s="355">
        <v>250</v>
      </c>
      <c r="F1934" s="1662">
        <v>58.9</v>
      </c>
      <c r="G1934" s="903"/>
    </row>
    <row r="1935" spans="1:7" ht="15" customHeight="1" x14ac:dyDescent="0.25">
      <c r="A1935" s="2352" t="s">
        <v>12642</v>
      </c>
      <c r="B1935" s="2352" t="s">
        <v>12374</v>
      </c>
      <c r="C1935" s="2352" t="s">
        <v>12374</v>
      </c>
      <c r="D1935" s="2352" t="s">
        <v>12643</v>
      </c>
      <c r="E1935" s="355">
        <v>250</v>
      </c>
      <c r="F1935" s="1662">
        <v>81.7</v>
      </c>
      <c r="G1935" s="903"/>
    </row>
    <row r="1936" spans="1:7" ht="15" customHeight="1" x14ac:dyDescent="0.25">
      <c r="A1936" s="2352" t="s">
        <v>12579</v>
      </c>
      <c r="B1936" s="2352" t="s">
        <v>12374</v>
      </c>
      <c r="C1936" s="2352" t="s">
        <v>12374</v>
      </c>
      <c r="D1936" s="2352" t="s">
        <v>12644</v>
      </c>
      <c r="E1936" s="355">
        <v>160</v>
      </c>
      <c r="F1936" s="1662">
        <v>70.3</v>
      </c>
      <c r="G1936" s="903"/>
    </row>
    <row r="1937" spans="1:7" ht="15" customHeight="1" x14ac:dyDescent="0.25">
      <c r="A1937" s="2352" t="s">
        <v>12579</v>
      </c>
      <c r="B1937" s="2352" t="s">
        <v>12374</v>
      </c>
      <c r="C1937" s="2352" t="s">
        <v>12374</v>
      </c>
      <c r="D1937" s="2352" t="s">
        <v>12645</v>
      </c>
      <c r="E1937" s="355">
        <v>250</v>
      </c>
      <c r="F1937" s="1662">
        <v>57.95</v>
      </c>
      <c r="G1937" s="903"/>
    </row>
    <row r="1938" spans="1:7" ht="15" customHeight="1" x14ac:dyDescent="0.25">
      <c r="A1938" s="2352" t="s">
        <v>15121</v>
      </c>
      <c r="B1938" s="2352" t="s">
        <v>12374</v>
      </c>
      <c r="C1938" s="2352" t="s">
        <v>12374</v>
      </c>
      <c r="D1938" s="2352" t="s">
        <v>12646</v>
      </c>
      <c r="E1938" s="355">
        <v>400</v>
      </c>
      <c r="F1938" s="1662">
        <v>289.75</v>
      </c>
      <c r="G1938" s="903"/>
    </row>
    <row r="1939" spans="1:7" ht="15" customHeight="1" x14ac:dyDescent="0.25">
      <c r="A1939" s="2352" t="s">
        <v>12647</v>
      </c>
      <c r="B1939" s="2352" t="s">
        <v>12374</v>
      </c>
      <c r="C1939" s="2352" t="s">
        <v>12374</v>
      </c>
      <c r="D1939" s="2352" t="s">
        <v>12648</v>
      </c>
      <c r="E1939" s="355">
        <v>30</v>
      </c>
      <c r="F1939" s="1662">
        <v>1.9</v>
      </c>
      <c r="G1939" s="903"/>
    </row>
    <row r="1940" spans="1:7" ht="15" customHeight="1" x14ac:dyDescent="0.25">
      <c r="A1940" s="2352" t="s">
        <v>12649</v>
      </c>
      <c r="B1940" s="2352" t="s">
        <v>12374</v>
      </c>
      <c r="C1940" s="2352" t="s">
        <v>12374</v>
      </c>
      <c r="D1940" s="2352" t="s">
        <v>12650</v>
      </c>
      <c r="E1940" s="355">
        <v>160</v>
      </c>
      <c r="F1940" s="1662">
        <v>74.099999999999994</v>
      </c>
      <c r="G1940" s="903"/>
    </row>
    <row r="1941" spans="1:7" ht="15" customHeight="1" x14ac:dyDescent="0.25">
      <c r="A1941" s="2352" t="s">
        <v>12579</v>
      </c>
      <c r="B1941" s="2352" t="s">
        <v>12374</v>
      </c>
      <c r="C1941" s="2352" t="s">
        <v>12374</v>
      </c>
      <c r="D1941" s="2352" t="s">
        <v>12651</v>
      </c>
      <c r="E1941" s="355">
        <v>400</v>
      </c>
      <c r="F1941" s="1662">
        <v>246.05</v>
      </c>
      <c r="G1941" s="903"/>
    </row>
    <row r="1942" spans="1:7" ht="15" customHeight="1" x14ac:dyDescent="0.25">
      <c r="A1942" s="2352" t="s">
        <v>12579</v>
      </c>
      <c r="B1942" s="2352" t="s">
        <v>12374</v>
      </c>
      <c r="C1942" s="2352" t="s">
        <v>12374</v>
      </c>
      <c r="D1942" s="2352" t="s">
        <v>12652</v>
      </c>
      <c r="E1942" s="355" t="s">
        <v>12433</v>
      </c>
      <c r="F1942" s="1662">
        <v>166.25</v>
      </c>
      <c r="G1942" s="903"/>
    </row>
    <row r="1943" spans="1:7" ht="15" customHeight="1" x14ac:dyDescent="0.25">
      <c r="A1943" s="2352" t="s">
        <v>12653</v>
      </c>
      <c r="B1943" s="2352" t="s">
        <v>12374</v>
      </c>
      <c r="C1943" s="2352" t="s">
        <v>12374</v>
      </c>
      <c r="D1943" s="2352" t="s">
        <v>12654</v>
      </c>
      <c r="E1943" s="355">
        <v>160</v>
      </c>
      <c r="F1943" s="1662">
        <v>38.950000000000003</v>
      </c>
      <c r="G1943" s="903"/>
    </row>
    <row r="1944" spans="1:7" ht="15" customHeight="1" x14ac:dyDescent="0.25">
      <c r="A1944" s="2352" t="s">
        <v>12622</v>
      </c>
      <c r="B1944" s="2352" t="s">
        <v>12374</v>
      </c>
      <c r="C1944" s="2352" t="s">
        <v>12374</v>
      </c>
      <c r="D1944" s="2352" t="s">
        <v>12655</v>
      </c>
      <c r="E1944" s="355">
        <v>160</v>
      </c>
      <c r="F1944" s="1662">
        <v>34.200000000000003</v>
      </c>
      <c r="G1944" s="903"/>
    </row>
    <row r="1945" spans="1:7" ht="15" customHeight="1" x14ac:dyDescent="0.25">
      <c r="A1945" s="2352" t="s">
        <v>12622</v>
      </c>
      <c r="B1945" s="2352" t="s">
        <v>12374</v>
      </c>
      <c r="C1945" s="2352" t="s">
        <v>12374</v>
      </c>
      <c r="D1945" s="2352" t="s">
        <v>12656</v>
      </c>
      <c r="E1945" s="355">
        <v>250</v>
      </c>
      <c r="F1945" s="1662">
        <v>58.9</v>
      </c>
      <c r="G1945" s="903"/>
    </row>
    <row r="1946" spans="1:7" ht="15" customHeight="1" x14ac:dyDescent="0.25">
      <c r="A1946" s="2352" t="s">
        <v>12622</v>
      </c>
      <c r="B1946" s="2352" t="s">
        <v>12374</v>
      </c>
      <c r="C1946" s="2352" t="s">
        <v>12374</v>
      </c>
      <c r="D1946" s="2352" t="s">
        <v>12657</v>
      </c>
      <c r="E1946" s="355">
        <v>250</v>
      </c>
      <c r="F1946" s="1662">
        <v>65.55</v>
      </c>
      <c r="G1946" s="903"/>
    </row>
    <row r="1947" spans="1:7" ht="15" customHeight="1" x14ac:dyDescent="0.25">
      <c r="A1947" s="2352" t="s">
        <v>12622</v>
      </c>
      <c r="B1947" s="2352" t="s">
        <v>12374</v>
      </c>
      <c r="C1947" s="2352" t="s">
        <v>12374</v>
      </c>
      <c r="D1947" s="2352" t="s">
        <v>12658</v>
      </c>
      <c r="E1947" s="355">
        <v>250</v>
      </c>
      <c r="F1947" s="1662">
        <v>53.2</v>
      </c>
      <c r="G1947" s="903"/>
    </row>
    <row r="1948" spans="1:7" ht="15" customHeight="1" x14ac:dyDescent="0.25">
      <c r="A1948" s="2352" t="s">
        <v>12659</v>
      </c>
      <c r="B1948" s="2352" t="s">
        <v>12374</v>
      </c>
      <c r="C1948" s="2352" t="s">
        <v>12374</v>
      </c>
      <c r="D1948" s="2352" t="s">
        <v>12660</v>
      </c>
      <c r="E1948" s="355">
        <v>160</v>
      </c>
      <c r="F1948" s="1662">
        <v>30.4</v>
      </c>
      <c r="G1948" s="903"/>
    </row>
    <row r="1949" spans="1:7" ht="15" customHeight="1" x14ac:dyDescent="0.25">
      <c r="A1949" s="2352" t="s">
        <v>12661</v>
      </c>
      <c r="B1949" s="2352" t="s">
        <v>12374</v>
      </c>
      <c r="C1949" s="2352" t="s">
        <v>12374</v>
      </c>
      <c r="D1949" s="2352" t="s">
        <v>12662</v>
      </c>
      <c r="E1949" s="355">
        <v>160</v>
      </c>
      <c r="F1949" s="1662">
        <v>79.8</v>
      </c>
      <c r="G1949" s="903"/>
    </row>
    <row r="1950" spans="1:7" ht="15" customHeight="1" x14ac:dyDescent="0.25">
      <c r="A1950" s="2352" t="s">
        <v>12663</v>
      </c>
      <c r="B1950" s="2352" t="s">
        <v>12374</v>
      </c>
      <c r="C1950" s="2352" t="s">
        <v>12374</v>
      </c>
      <c r="D1950" s="2352" t="s">
        <v>12664</v>
      </c>
      <c r="E1950" s="355">
        <v>160</v>
      </c>
      <c r="F1950" s="1662">
        <v>69.349999999999994</v>
      </c>
      <c r="G1950" s="903"/>
    </row>
    <row r="1951" spans="1:7" ht="15" customHeight="1" x14ac:dyDescent="0.25">
      <c r="A1951" s="2352" t="s">
        <v>12663</v>
      </c>
      <c r="B1951" s="2352" t="s">
        <v>12374</v>
      </c>
      <c r="C1951" s="2352" t="s">
        <v>12374</v>
      </c>
      <c r="D1951" s="2352" t="s">
        <v>12665</v>
      </c>
      <c r="E1951" s="355">
        <v>400</v>
      </c>
      <c r="F1951" s="1662">
        <v>106.4</v>
      </c>
      <c r="G1951" s="903"/>
    </row>
    <row r="1952" spans="1:7" ht="15" customHeight="1" x14ac:dyDescent="0.25">
      <c r="A1952" s="2352" t="s">
        <v>15122</v>
      </c>
      <c r="B1952" s="2352" t="s">
        <v>12374</v>
      </c>
      <c r="C1952" s="2352" t="s">
        <v>12374</v>
      </c>
      <c r="D1952" s="2352" t="s">
        <v>12666</v>
      </c>
      <c r="E1952" s="355">
        <v>250</v>
      </c>
      <c r="F1952" s="1662">
        <v>63.65</v>
      </c>
      <c r="G1952" s="903"/>
    </row>
    <row r="1953" spans="1:7" ht="15" customHeight="1" x14ac:dyDescent="0.25">
      <c r="A1953" s="2352" t="s">
        <v>15122</v>
      </c>
      <c r="B1953" s="2352" t="s">
        <v>12374</v>
      </c>
      <c r="C1953" s="2352" t="s">
        <v>12374</v>
      </c>
      <c r="D1953" s="2352" t="s">
        <v>12667</v>
      </c>
      <c r="E1953" s="355">
        <v>250</v>
      </c>
      <c r="F1953" s="1662">
        <v>65.55</v>
      </c>
      <c r="G1953" s="903"/>
    </row>
    <row r="1954" spans="1:7" ht="15" customHeight="1" x14ac:dyDescent="0.25">
      <c r="A1954" s="2352" t="s">
        <v>15122</v>
      </c>
      <c r="B1954" s="2352" t="s">
        <v>12374</v>
      </c>
      <c r="C1954" s="2352" t="s">
        <v>12374</v>
      </c>
      <c r="D1954" s="2352" t="s">
        <v>12668</v>
      </c>
      <c r="E1954" s="355">
        <v>100</v>
      </c>
      <c r="F1954" s="1662">
        <v>30.4</v>
      </c>
      <c r="G1954" s="903"/>
    </row>
    <row r="1955" spans="1:7" ht="15" customHeight="1" x14ac:dyDescent="0.25">
      <c r="A1955" s="2352" t="s">
        <v>15122</v>
      </c>
      <c r="B1955" s="2352" t="s">
        <v>12374</v>
      </c>
      <c r="C1955" s="2352" t="s">
        <v>12374</v>
      </c>
      <c r="D1955" s="2352" t="s">
        <v>12669</v>
      </c>
      <c r="E1955" s="355">
        <v>250</v>
      </c>
      <c r="F1955" s="1662">
        <v>203.3</v>
      </c>
      <c r="G1955" s="903"/>
    </row>
    <row r="1956" spans="1:7" ht="15" customHeight="1" x14ac:dyDescent="0.25">
      <c r="A1956" s="2352" t="s">
        <v>12670</v>
      </c>
      <c r="B1956" s="2352" t="s">
        <v>12374</v>
      </c>
      <c r="C1956" s="2352" t="s">
        <v>12374</v>
      </c>
      <c r="D1956" s="2352" t="s">
        <v>12671</v>
      </c>
      <c r="E1956" s="355">
        <v>160</v>
      </c>
      <c r="F1956" s="1662">
        <v>32.299999999999997</v>
      </c>
      <c r="G1956" s="903"/>
    </row>
    <row r="1957" spans="1:7" ht="15" customHeight="1" x14ac:dyDescent="0.25">
      <c r="A1957" s="2352" t="s">
        <v>12672</v>
      </c>
      <c r="B1957" s="2352" t="s">
        <v>12374</v>
      </c>
      <c r="C1957" s="2352" t="s">
        <v>12374</v>
      </c>
      <c r="D1957" s="2352" t="s">
        <v>12673</v>
      </c>
      <c r="E1957" s="355">
        <v>40</v>
      </c>
      <c r="F1957" s="1662">
        <v>2.85</v>
      </c>
      <c r="G1957" s="903"/>
    </row>
    <row r="1958" spans="1:7" ht="15" customHeight="1" x14ac:dyDescent="0.25">
      <c r="A1958" s="2352" t="s">
        <v>15123</v>
      </c>
      <c r="B1958" s="2352" t="s">
        <v>12374</v>
      </c>
      <c r="C1958" s="2352" t="s">
        <v>12374</v>
      </c>
      <c r="D1958" s="2352" t="s">
        <v>12674</v>
      </c>
      <c r="E1958" s="355">
        <v>100</v>
      </c>
      <c r="F1958" s="1662">
        <v>29.45</v>
      </c>
      <c r="G1958" s="903"/>
    </row>
    <row r="1959" spans="1:7" ht="15" customHeight="1" x14ac:dyDescent="0.25">
      <c r="A1959" s="2352" t="s">
        <v>12663</v>
      </c>
      <c r="B1959" s="2352" t="s">
        <v>12374</v>
      </c>
      <c r="C1959" s="2352" t="s">
        <v>12374</v>
      </c>
      <c r="D1959" s="2352" t="s">
        <v>12675</v>
      </c>
      <c r="E1959" s="355">
        <v>100</v>
      </c>
      <c r="F1959" s="1662">
        <v>33.25</v>
      </c>
      <c r="G1959" s="903"/>
    </row>
    <row r="1960" spans="1:7" ht="15" customHeight="1" x14ac:dyDescent="0.25">
      <c r="A1960" s="2352" t="s">
        <v>12622</v>
      </c>
      <c r="B1960" s="2352" t="s">
        <v>12374</v>
      </c>
      <c r="C1960" s="2352" t="s">
        <v>12374</v>
      </c>
      <c r="D1960" s="2352" t="s">
        <v>12676</v>
      </c>
      <c r="E1960" s="355">
        <v>160</v>
      </c>
      <c r="F1960" s="1662">
        <v>38.950000000000003</v>
      </c>
      <c r="G1960" s="903"/>
    </row>
    <row r="1961" spans="1:7" ht="15" customHeight="1" x14ac:dyDescent="0.25">
      <c r="A1961" s="2352" t="s">
        <v>12677</v>
      </c>
      <c r="B1961" s="2352" t="s">
        <v>12374</v>
      </c>
      <c r="C1961" s="2352" t="s">
        <v>12374</v>
      </c>
      <c r="D1961" s="2352" t="s">
        <v>12678</v>
      </c>
      <c r="E1961" s="355">
        <v>50</v>
      </c>
      <c r="F1961" s="1662">
        <v>4.75</v>
      </c>
      <c r="G1961" s="903"/>
    </row>
    <row r="1962" spans="1:7" ht="15" customHeight="1" x14ac:dyDescent="0.25">
      <c r="A1962" s="2352" t="s">
        <v>15119</v>
      </c>
      <c r="B1962" s="2352" t="s">
        <v>12374</v>
      </c>
      <c r="C1962" s="2352" t="s">
        <v>12374</v>
      </c>
      <c r="D1962" s="2352" t="s">
        <v>12679</v>
      </c>
      <c r="E1962" s="355">
        <v>20</v>
      </c>
      <c r="F1962" s="1662">
        <v>0.95</v>
      </c>
      <c r="G1962" s="903"/>
    </row>
    <row r="1963" spans="1:7" ht="15" customHeight="1" x14ac:dyDescent="0.25">
      <c r="A1963" s="2352" t="s">
        <v>15119</v>
      </c>
      <c r="B1963" s="2352" t="s">
        <v>12374</v>
      </c>
      <c r="C1963" s="2352" t="s">
        <v>12374</v>
      </c>
      <c r="D1963" s="2352" t="s">
        <v>12680</v>
      </c>
      <c r="E1963" s="355">
        <v>100</v>
      </c>
      <c r="F1963" s="1662">
        <v>10.45</v>
      </c>
      <c r="G1963" s="903"/>
    </row>
    <row r="1964" spans="1:7" ht="15" customHeight="1" x14ac:dyDescent="0.25">
      <c r="A1964" s="2352" t="s">
        <v>12681</v>
      </c>
      <c r="B1964" s="2352" t="s">
        <v>12374</v>
      </c>
      <c r="C1964" s="2352" t="s">
        <v>12374</v>
      </c>
      <c r="D1964" s="2352" t="s">
        <v>12682</v>
      </c>
      <c r="E1964" s="355">
        <v>63</v>
      </c>
      <c r="F1964" s="1662">
        <v>15.2</v>
      </c>
      <c r="G1964" s="903"/>
    </row>
    <row r="1965" spans="1:7" ht="15" customHeight="1" x14ac:dyDescent="0.25">
      <c r="A1965" s="2352" t="s">
        <v>12683</v>
      </c>
      <c r="B1965" s="2352" t="s">
        <v>12374</v>
      </c>
      <c r="C1965" s="2352" t="s">
        <v>12374</v>
      </c>
      <c r="D1965" s="2352" t="s">
        <v>12684</v>
      </c>
      <c r="E1965" s="355">
        <v>63</v>
      </c>
      <c r="F1965" s="1662">
        <v>17.100000000000001</v>
      </c>
      <c r="G1965" s="903"/>
    </row>
    <row r="1966" spans="1:7" ht="15" customHeight="1" x14ac:dyDescent="0.25">
      <c r="A1966" s="2352" t="s">
        <v>6912</v>
      </c>
      <c r="B1966" s="2352" t="s">
        <v>12374</v>
      </c>
      <c r="C1966" s="2352" t="s">
        <v>12374</v>
      </c>
      <c r="D1966" s="2352" t="s">
        <v>12685</v>
      </c>
      <c r="E1966" s="355">
        <v>100</v>
      </c>
      <c r="F1966" s="1662">
        <v>15.2</v>
      </c>
      <c r="G1966" s="903"/>
    </row>
    <row r="1967" spans="1:7" ht="15" customHeight="1" x14ac:dyDescent="0.25">
      <c r="A1967" s="2352" t="s">
        <v>12686</v>
      </c>
      <c r="B1967" s="2352" t="s">
        <v>12374</v>
      </c>
      <c r="C1967" s="2352" t="s">
        <v>12374</v>
      </c>
      <c r="D1967" s="2352" t="s">
        <v>12687</v>
      </c>
      <c r="E1967" s="355">
        <v>63</v>
      </c>
      <c r="F1967" s="1662">
        <v>29.45</v>
      </c>
      <c r="G1967" s="903"/>
    </row>
    <row r="1968" spans="1:7" ht="15" customHeight="1" x14ac:dyDescent="0.25">
      <c r="A1968" s="2352" t="s">
        <v>12688</v>
      </c>
      <c r="B1968" s="2352" t="s">
        <v>12374</v>
      </c>
      <c r="C1968" s="2352" t="s">
        <v>12374</v>
      </c>
      <c r="D1968" s="2352" t="s">
        <v>12689</v>
      </c>
      <c r="E1968" s="355">
        <v>100</v>
      </c>
      <c r="F1968" s="1662">
        <v>16.149999999999999</v>
      </c>
      <c r="G1968" s="903"/>
    </row>
    <row r="1969" spans="1:7" ht="15" customHeight="1" x14ac:dyDescent="0.25">
      <c r="A1969" s="2352" t="s">
        <v>12688</v>
      </c>
      <c r="B1969" s="2352" t="s">
        <v>12374</v>
      </c>
      <c r="C1969" s="2352" t="s">
        <v>12374</v>
      </c>
      <c r="D1969" s="2352" t="s">
        <v>12690</v>
      </c>
      <c r="E1969" s="355">
        <v>100</v>
      </c>
      <c r="F1969" s="1662">
        <v>39.9</v>
      </c>
      <c r="G1969" s="903"/>
    </row>
    <row r="1970" spans="1:7" ht="15" customHeight="1" x14ac:dyDescent="0.25">
      <c r="A1970" s="2352" t="s">
        <v>12691</v>
      </c>
      <c r="B1970" s="2352" t="s">
        <v>12374</v>
      </c>
      <c r="C1970" s="2352" t="s">
        <v>12374</v>
      </c>
      <c r="D1970" s="2352" t="s">
        <v>12692</v>
      </c>
      <c r="E1970" s="355">
        <v>20</v>
      </c>
      <c r="F1970" s="1662">
        <v>2.85</v>
      </c>
      <c r="G1970" s="903"/>
    </row>
    <row r="1971" spans="1:7" ht="15" customHeight="1" x14ac:dyDescent="0.25">
      <c r="A1971" s="2352" t="s">
        <v>12693</v>
      </c>
      <c r="B1971" s="2352" t="s">
        <v>12374</v>
      </c>
      <c r="C1971" s="2352" t="s">
        <v>12374</v>
      </c>
      <c r="D1971" s="2352" t="s">
        <v>12694</v>
      </c>
      <c r="E1971" s="355">
        <v>63</v>
      </c>
      <c r="F1971" s="1662">
        <v>14.25</v>
      </c>
      <c r="G1971" s="903"/>
    </row>
    <row r="1972" spans="1:7" ht="15" customHeight="1" x14ac:dyDescent="0.25">
      <c r="A1972" s="2352" t="s">
        <v>12695</v>
      </c>
      <c r="B1972" s="2352" t="s">
        <v>12374</v>
      </c>
      <c r="C1972" s="2352" t="s">
        <v>12374</v>
      </c>
      <c r="D1972" s="2352" t="s">
        <v>12696</v>
      </c>
      <c r="E1972" s="355">
        <v>100</v>
      </c>
      <c r="F1972" s="1662">
        <v>21.85</v>
      </c>
      <c r="G1972" s="903"/>
    </row>
    <row r="1973" spans="1:7" ht="15" customHeight="1" x14ac:dyDescent="0.25">
      <c r="A1973" s="2352" t="s">
        <v>12697</v>
      </c>
      <c r="B1973" s="2352" t="s">
        <v>12698</v>
      </c>
      <c r="C1973" s="2352" t="s">
        <v>12374</v>
      </c>
      <c r="D1973" s="2352" t="s">
        <v>12699</v>
      </c>
      <c r="E1973" s="355">
        <v>100</v>
      </c>
      <c r="F1973" s="1662">
        <v>24.7</v>
      </c>
      <c r="G1973" s="903"/>
    </row>
    <row r="1974" spans="1:7" ht="15" customHeight="1" x14ac:dyDescent="0.25">
      <c r="A1974" s="2352" t="s">
        <v>15124</v>
      </c>
      <c r="B1974" s="2352" t="s">
        <v>12698</v>
      </c>
      <c r="C1974" s="2352" t="s">
        <v>12374</v>
      </c>
      <c r="D1974" s="2352" t="s">
        <v>12700</v>
      </c>
      <c r="E1974" s="355">
        <v>40</v>
      </c>
      <c r="F1974" s="1662">
        <v>2.85</v>
      </c>
      <c r="G1974" s="903"/>
    </row>
    <row r="1975" spans="1:7" ht="15" customHeight="1" x14ac:dyDescent="0.25">
      <c r="A1975" s="2352" t="s">
        <v>15125</v>
      </c>
      <c r="B1975" s="2352" t="s">
        <v>12698</v>
      </c>
      <c r="C1975" s="2352" t="s">
        <v>12374</v>
      </c>
      <c r="D1975" s="2352" t="s">
        <v>12701</v>
      </c>
      <c r="E1975" s="355">
        <v>250</v>
      </c>
      <c r="F1975" s="1662">
        <v>100.7</v>
      </c>
      <c r="G1975" s="903"/>
    </row>
    <row r="1976" spans="1:7" ht="15" customHeight="1" x14ac:dyDescent="0.25">
      <c r="A1976" s="2352" t="s">
        <v>12702</v>
      </c>
      <c r="B1976" s="2352" t="s">
        <v>12698</v>
      </c>
      <c r="C1976" s="2352" t="s">
        <v>12374</v>
      </c>
      <c r="D1976" s="2352" t="s">
        <v>12703</v>
      </c>
      <c r="E1976" s="355">
        <v>100</v>
      </c>
      <c r="F1976" s="1662">
        <v>22.8</v>
      </c>
      <c r="G1976" s="903"/>
    </row>
    <row r="1977" spans="1:7" ht="15" customHeight="1" x14ac:dyDescent="0.25">
      <c r="A1977" s="2352" t="s">
        <v>12704</v>
      </c>
      <c r="B1977" s="2352" t="s">
        <v>12698</v>
      </c>
      <c r="C1977" s="2352" t="s">
        <v>12374</v>
      </c>
      <c r="D1977" s="2352" t="s">
        <v>12705</v>
      </c>
      <c r="E1977" s="355">
        <v>100</v>
      </c>
      <c r="F1977" s="1662">
        <v>13.3</v>
      </c>
      <c r="G1977" s="903"/>
    </row>
    <row r="1978" spans="1:7" ht="15" customHeight="1" x14ac:dyDescent="0.25">
      <c r="A1978" s="2352" t="s">
        <v>12706</v>
      </c>
      <c r="B1978" s="2352" t="s">
        <v>12698</v>
      </c>
      <c r="C1978" s="2352" t="s">
        <v>12374</v>
      </c>
      <c r="D1978" s="2352" t="s">
        <v>12707</v>
      </c>
      <c r="E1978" s="355">
        <v>400</v>
      </c>
      <c r="F1978" s="1662">
        <v>207.1</v>
      </c>
      <c r="G1978" s="903"/>
    </row>
    <row r="1979" spans="1:7" ht="15" customHeight="1" x14ac:dyDescent="0.25">
      <c r="A1979" s="2352" t="s">
        <v>12706</v>
      </c>
      <c r="B1979" s="2352" t="s">
        <v>12698</v>
      </c>
      <c r="C1979" s="2352" t="s">
        <v>12374</v>
      </c>
      <c r="D1979" s="2352" t="s">
        <v>12708</v>
      </c>
      <c r="E1979" s="355">
        <v>160</v>
      </c>
      <c r="F1979" s="1662">
        <v>69.349999999999994</v>
      </c>
      <c r="G1979" s="903"/>
    </row>
    <row r="1980" spans="1:7" ht="15" customHeight="1" x14ac:dyDescent="0.25">
      <c r="A1980" s="2352" t="s">
        <v>6148</v>
      </c>
      <c r="B1980" s="2352" t="s">
        <v>12698</v>
      </c>
      <c r="C1980" s="2352" t="s">
        <v>12374</v>
      </c>
      <c r="D1980" s="2352" t="s">
        <v>12709</v>
      </c>
      <c r="E1980" s="355">
        <v>63</v>
      </c>
      <c r="F1980" s="1662">
        <v>2.85</v>
      </c>
      <c r="G1980" s="903"/>
    </row>
    <row r="1981" spans="1:7" ht="15" customHeight="1" x14ac:dyDescent="0.25">
      <c r="A1981" s="2352" t="s">
        <v>6152</v>
      </c>
      <c r="B1981" s="2352" t="s">
        <v>12698</v>
      </c>
      <c r="C1981" s="2352" t="s">
        <v>12374</v>
      </c>
      <c r="D1981" s="2352" t="s">
        <v>12710</v>
      </c>
      <c r="E1981" s="355">
        <v>160</v>
      </c>
      <c r="F1981" s="1662">
        <v>79.8</v>
      </c>
      <c r="G1981" s="903"/>
    </row>
    <row r="1982" spans="1:7" ht="15" customHeight="1" x14ac:dyDescent="0.25">
      <c r="A1982" s="2352" t="s">
        <v>12711</v>
      </c>
      <c r="B1982" s="2352" t="s">
        <v>12698</v>
      </c>
      <c r="C1982" s="2352" t="s">
        <v>12374</v>
      </c>
      <c r="D1982" s="2352" t="s">
        <v>12712</v>
      </c>
      <c r="E1982" s="355">
        <v>100</v>
      </c>
      <c r="F1982" s="1662">
        <v>32.299999999999997</v>
      </c>
      <c r="G1982" s="903"/>
    </row>
    <row r="1983" spans="1:7" ht="15" customHeight="1" x14ac:dyDescent="0.25">
      <c r="A1983" s="2352" t="s">
        <v>12713</v>
      </c>
      <c r="B1983" s="2352" t="s">
        <v>12374</v>
      </c>
      <c r="C1983" s="2352" t="s">
        <v>12374</v>
      </c>
      <c r="D1983" s="2352" t="s">
        <v>12714</v>
      </c>
      <c r="E1983" s="355">
        <v>63</v>
      </c>
      <c r="F1983" s="1662">
        <v>17.100000000000001</v>
      </c>
      <c r="G1983" s="903"/>
    </row>
    <row r="1984" spans="1:7" ht="15" customHeight="1" x14ac:dyDescent="0.25">
      <c r="A1984" s="2352" t="s">
        <v>12715</v>
      </c>
      <c r="B1984" s="2352" t="s">
        <v>12374</v>
      </c>
      <c r="C1984" s="2352" t="s">
        <v>12374</v>
      </c>
      <c r="D1984" s="2352" t="s">
        <v>12716</v>
      </c>
      <c r="E1984" s="355">
        <v>60</v>
      </c>
      <c r="F1984" s="1662">
        <v>13.3</v>
      </c>
      <c r="G1984" s="903"/>
    </row>
    <row r="1985" spans="1:7" ht="15" customHeight="1" x14ac:dyDescent="0.25">
      <c r="A1985" s="2352" t="s">
        <v>12717</v>
      </c>
      <c r="B1985" s="2352" t="s">
        <v>12374</v>
      </c>
      <c r="C1985" s="2352" t="s">
        <v>12374</v>
      </c>
      <c r="D1985" s="2352" t="s">
        <v>12718</v>
      </c>
      <c r="E1985" s="355">
        <v>160</v>
      </c>
      <c r="F1985" s="1662">
        <v>36.1</v>
      </c>
      <c r="G1985" s="903"/>
    </row>
    <row r="1986" spans="1:7" ht="15" customHeight="1" x14ac:dyDescent="0.25">
      <c r="A1986" s="2352" t="s">
        <v>12717</v>
      </c>
      <c r="B1986" s="2352" t="s">
        <v>12374</v>
      </c>
      <c r="C1986" s="2352" t="s">
        <v>12374</v>
      </c>
      <c r="D1986" s="2352" t="s">
        <v>12719</v>
      </c>
      <c r="E1986" s="355">
        <v>160</v>
      </c>
      <c r="F1986" s="1662">
        <v>33.25</v>
      </c>
      <c r="G1986" s="903"/>
    </row>
    <row r="1987" spans="1:7" ht="15" customHeight="1" x14ac:dyDescent="0.25">
      <c r="A1987" s="2352" t="s">
        <v>12717</v>
      </c>
      <c r="B1987" s="2352" t="s">
        <v>12374</v>
      </c>
      <c r="C1987" s="2352" t="s">
        <v>12374</v>
      </c>
      <c r="D1987" s="2352" t="s">
        <v>12720</v>
      </c>
      <c r="E1987" s="355">
        <v>100</v>
      </c>
      <c r="F1987" s="1662">
        <v>24.7</v>
      </c>
      <c r="G1987" s="903"/>
    </row>
    <row r="1988" spans="1:7" ht="15" customHeight="1" x14ac:dyDescent="0.25">
      <c r="A1988" s="2352" t="s">
        <v>12721</v>
      </c>
      <c r="B1988" s="2352" t="s">
        <v>12374</v>
      </c>
      <c r="C1988" s="2352" t="s">
        <v>12374</v>
      </c>
      <c r="D1988" s="2352" t="s">
        <v>12722</v>
      </c>
      <c r="E1988" s="355">
        <v>400</v>
      </c>
      <c r="F1988" s="1662">
        <v>212.8</v>
      </c>
      <c r="G1988" s="903"/>
    </row>
    <row r="1989" spans="1:7" ht="15" customHeight="1" x14ac:dyDescent="0.25">
      <c r="A1989" s="2352" t="s">
        <v>12721</v>
      </c>
      <c r="B1989" s="2352" t="s">
        <v>12374</v>
      </c>
      <c r="C1989" s="2352" t="s">
        <v>12374</v>
      </c>
      <c r="D1989" s="2352" t="s">
        <v>12723</v>
      </c>
      <c r="E1989" s="355">
        <v>250</v>
      </c>
      <c r="F1989" s="1662">
        <v>77.900000000000006</v>
      </c>
      <c r="G1989" s="903"/>
    </row>
    <row r="1990" spans="1:7" ht="15" customHeight="1" x14ac:dyDescent="0.25">
      <c r="A1990" s="2352" t="s">
        <v>12724</v>
      </c>
      <c r="B1990" s="2352" t="s">
        <v>12374</v>
      </c>
      <c r="C1990" s="2352" t="s">
        <v>12374</v>
      </c>
      <c r="D1990" s="2352" t="s">
        <v>12725</v>
      </c>
      <c r="E1990" s="355">
        <v>160</v>
      </c>
      <c r="F1990" s="1662">
        <v>50.35</v>
      </c>
      <c r="G1990" s="903"/>
    </row>
    <row r="1991" spans="1:7" ht="15" customHeight="1" x14ac:dyDescent="0.25">
      <c r="A1991" s="2352" t="s">
        <v>12726</v>
      </c>
      <c r="B1991" s="2352" t="s">
        <v>12374</v>
      </c>
      <c r="C1991" s="2352" t="s">
        <v>12374</v>
      </c>
      <c r="D1991" s="2352" t="s">
        <v>12727</v>
      </c>
      <c r="E1991" s="355">
        <v>40</v>
      </c>
      <c r="F1991" s="1662">
        <v>5.7</v>
      </c>
      <c r="G1991" s="903"/>
    </row>
    <row r="1992" spans="1:7" ht="15" customHeight="1" x14ac:dyDescent="0.25">
      <c r="A1992" s="2352" t="s">
        <v>15126</v>
      </c>
      <c r="B1992" s="2352" t="s">
        <v>12374</v>
      </c>
      <c r="C1992" s="2352" t="s">
        <v>12374</v>
      </c>
      <c r="D1992" s="2352" t="s">
        <v>12728</v>
      </c>
      <c r="E1992" s="355">
        <v>25</v>
      </c>
      <c r="F1992" s="1662">
        <v>0</v>
      </c>
      <c r="G1992" s="903"/>
    </row>
    <row r="1993" spans="1:7" ht="15" customHeight="1" x14ac:dyDescent="0.25">
      <c r="A1993" s="2352" t="s">
        <v>15127</v>
      </c>
      <c r="B1993" s="2352" t="s">
        <v>12374</v>
      </c>
      <c r="C1993" s="2352" t="s">
        <v>12374</v>
      </c>
      <c r="D1993" s="2352" t="s">
        <v>12729</v>
      </c>
      <c r="E1993" s="355">
        <v>400</v>
      </c>
      <c r="F1993" s="1662">
        <v>109.25</v>
      </c>
      <c r="G1993" s="903"/>
    </row>
    <row r="1994" spans="1:7" ht="15" customHeight="1" x14ac:dyDescent="0.25">
      <c r="A1994" s="2352" t="s">
        <v>12730</v>
      </c>
      <c r="B1994" s="2352" t="s">
        <v>12374</v>
      </c>
      <c r="C1994" s="2352" t="s">
        <v>12374</v>
      </c>
      <c r="D1994" s="2352" t="s">
        <v>12731</v>
      </c>
      <c r="E1994" s="355">
        <v>250</v>
      </c>
      <c r="F1994" s="1662">
        <v>146.30000000000001</v>
      </c>
      <c r="G1994" s="903"/>
    </row>
    <row r="1995" spans="1:7" ht="15" customHeight="1" x14ac:dyDescent="0.25">
      <c r="A1995" s="2352" t="s">
        <v>12732</v>
      </c>
      <c r="B1995" s="2352" t="s">
        <v>12374</v>
      </c>
      <c r="C1995" s="2352" t="s">
        <v>12374</v>
      </c>
      <c r="D1995" s="2352" t="s">
        <v>12733</v>
      </c>
      <c r="E1995" s="355">
        <v>160</v>
      </c>
      <c r="F1995" s="1662">
        <v>72.2</v>
      </c>
      <c r="G1995" s="903"/>
    </row>
    <row r="1996" spans="1:7" ht="15" customHeight="1" x14ac:dyDescent="0.25">
      <c r="A1996" s="2352" t="s">
        <v>12734</v>
      </c>
      <c r="B1996" s="2352" t="s">
        <v>12374</v>
      </c>
      <c r="C1996" s="2352" t="s">
        <v>12374</v>
      </c>
      <c r="D1996" s="2352" t="s">
        <v>12735</v>
      </c>
      <c r="E1996" s="355">
        <v>63</v>
      </c>
      <c r="F1996" s="1662">
        <v>13.3</v>
      </c>
      <c r="G1996" s="903"/>
    </row>
    <row r="1997" spans="1:7" ht="15" customHeight="1" x14ac:dyDescent="0.25">
      <c r="A1997" s="2352" t="s">
        <v>12736</v>
      </c>
      <c r="B1997" s="2352" t="s">
        <v>12374</v>
      </c>
      <c r="C1997" s="2352" t="s">
        <v>12374</v>
      </c>
      <c r="D1997" s="2352" t="s">
        <v>12737</v>
      </c>
      <c r="E1997" s="355">
        <v>63</v>
      </c>
      <c r="F1997" s="1662">
        <v>6.65</v>
      </c>
      <c r="G1997" s="903"/>
    </row>
    <row r="1998" spans="1:7" ht="15" customHeight="1" x14ac:dyDescent="0.25">
      <c r="A1998" s="2352" t="s">
        <v>12736</v>
      </c>
      <c r="B1998" s="2352" t="s">
        <v>12374</v>
      </c>
      <c r="C1998" s="2352" t="s">
        <v>12374</v>
      </c>
      <c r="D1998" s="2352" t="s">
        <v>12738</v>
      </c>
      <c r="E1998" s="355">
        <v>160</v>
      </c>
      <c r="F1998" s="1662">
        <v>9.175090407870373</v>
      </c>
      <c r="G1998" s="903"/>
    </row>
    <row r="1999" spans="1:7" ht="15" customHeight="1" x14ac:dyDescent="0.25">
      <c r="A1999" s="2352" t="s">
        <v>12739</v>
      </c>
      <c r="B1999" s="2352" t="s">
        <v>12374</v>
      </c>
      <c r="C1999" s="2352" t="s">
        <v>12374</v>
      </c>
      <c r="D1999" s="2352" t="s">
        <v>12740</v>
      </c>
      <c r="E1999" s="355">
        <v>60</v>
      </c>
      <c r="F1999" s="1662">
        <v>3.8</v>
      </c>
      <c r="G1999" s="903"/>
    </row>
    <row r="2000" spans="1:7" ht="15" customHeight="1" x14ac:dyDescent="0.25">
      <c r="A2000" s="2352" t="s">
        <v>12741</v>
      </c>
      <c r="B2000" s="2352" t="s">
        <v>12374</v>
      </c>
      <c r="C2000" s="2352" t="s">
        <v>12374</v>
      </c>
      <c r="D2000" s="2352" t="s">
        <v>12742</v>
      </c>
      <c r="E2000" s="355">
        <v>160</v>
      </c>
      <c r="F2000" s="1662">
        <v>57.95</v>
      </c>
      <c r="G2000" s="903"/>
    </row>
    <row r="2001" spans="1:7" ht="15" customHeight="1" x14ac:dyDescent="0.25">
      <c r="A2001" s="2352" t="s">
        <v>15128</v>
      </c>
      <c r="B2001" s="2352" t="s">
        <v>12374</v>
      </c>
      <c r="C2001" s="2352" t="s">
        <v>12374</v>
      </c>
      <c r="D2001" s="2352" t="s">
        <v>12743</v>
      </c>
      <c r="E2001" s="355">
        <v>180</v>
      </c>
      <c r="F2001" s="1662">
        <v>0</v>
      </c>
      <c r="G2001" s="903"/>
    </row>
    <row r="2002" spans="1:7" ht="15" customHeight="1" x14ac:dyDescent="0.25">
      <c r="A2002" s="2352" t="s">
        <v>15129</v>
      </c>
      <c r="B2002" s="2352" t="s">
        <v>12374</v>
      </c>
      <c r="C2002" s="2352" t="s">
        <v>12374</v>
      </c>
      <c r="D2002" s="2352" t="s">
        <v>12744</v>
      </c>
      <c r="E2002" s="355">
        <v>100</v>
      </c>
      <c r="F2002" s="1662">
        <v>0</v>
      </c>
      <c r="G2002" s="903"/>
    </row>
    <row r="2003" spans="1:7" ht="15" customHeight="1" x14ac:dyDescent="0.25">
      <c r="A2003" s="2352" t="s">
        <v>15130</v>
      </c>
      <c r="B2003" s="2352" t="s">
        <v>12374</v>
      </c>
      <c r="C2003" s="2352" t="s">
        <v>12374</v>
      </c>
      <c r="D2003" s="2352" t="s">
        <v>12745</v>
      </c>
      <c r="E2003" s="355">
        <v>160</v>
      </c>
      <c r="F2003" s="1662">
        <v>39.9</v>
      </c>
      <c r="G2003" s="903"/>
    </row>
    <row r="2004" spans="1:7" ht="15" customHeight="1" x14ac:dyDescent="0.25">
      <c r="A2004" s="2352" t="s">
        <v>15128</v>
      </c>
      <c r="B2004" s="2352" t="s">
        <v>12374</v>
      </c>
      <c r="C2004" s="2352" t="s">
        <v>12374</v>
      </c>
      <c r="D2004" s="2352" t="s">
        <v>12746</v>
      </c>
      <c r="E2004" s="355">
        <v>63</v>
      </c>
      <c r="F2004" s="1662">
        <v>1.9</v>
      </c>
      <c r="G2004" s="903"/>
    </row>
    <row r="2005" spans="1:7" ht="15" customHeight="1" x14ac:dyDescent="0.25">
      <c r="A2005" s="2352" t="s">
        <v>15131</v>
      </c>
      <c r="B2005" s="2352" t="s">
        <v>12374</v>
      </c>
      <c r="C2005" s="2352" t="s">
        <v>12374</v>
      </c>
      <c r="D2005" s="2352" t="s">
        <v>12747</v>
      </c>
      <c r="E2005" s="355">
        <v>160</v>
      </c>
      <c r="F2005" s="1662">
        <v>30.4</v>
      </c>
      <c r="G2005" s="903"/>
    </row>
    <row r="2006" spans="1:7" ht="15" customHeight="1" x14ac:dyDescent="0.25">
      <c r="A2006" s="2352" t="s">
        <v>15131</v>
      </c>
      <c r="B2006" s="2352" t="s">
        <v>12374</v>
      </c>
      <c r="C2006" s="2352" t="s">
        <v>12374</v>
      </c>
      <c r="D2006" s="2352" t="s">
        <v>12748</v>
      </c>
      <c r="E2006" s="355">
        <v>250</v>
      </c>
      <c r="F2006" s="1662">
        <v>109.25</v>
      </c>
      <c r="G2006" s="903"/>
    </row>
    <row r="2007" spans="1:7" ht="15" customHeight="1" x14ac:dyDescent="0.25">
      <c r="A2007" s="2352" t="s">
        <v>15131</v>
      </c>
      <c r="B2007" s="2352" t="s">
        <v>12374</v>
      </c>
      <c r="C2007" s="2352" t="s">
        <v>12374</v>
      </c>
      <c r="D2007" s="2352" t="s">
        <v>12749</v>
      </c>
      <c r="E2007" s="355">
        <v>100</v>
      </c>
      <c r="F2007" s="1662">
        <v>8.5500000000000007</v>
      </c>
      <c r="G2007" s="903"/>
    </row>
    <row r="2008" spans="1:7" ht="15" customHeight="1" x14ac:dyDescent="0.25">
      <c r="A2008" s="2352" t="s">
        <v>6192</v>
      </c>
      <c r="B2008" s="2352" t="s">
        <v>12374</v>
      </c>
      <c r="C2008" s="2352" t="s">
        <v>12374</v>
      </c>
      <c r="D2008" s="2352" t="s">
        <v>12750</v>
      </c>
      <c r="E2008" s="355">
        <v>60</v>
      </c>
      <c r="F2008" s="1662">
        <v>3.8</v>
      </c>
      <c r="G2008" s="903"/>
    </row>
    <row r="2009" spans="1:7" ht="15" customHeight="1" x14ac:dyDescent="0.25">
      <c r="A2009" s="2352" t="s">
        <v>6908</v>
      </c>
      <c r="B2009" s="2352" t="s">
        <v>12374</v>
      </c>
      <c r="C2009" s="2352" t="s">
        <v>12374</v>
      </c>
      <c r="D2009" s="2352" t="s">
        <v>12751</v>
      </c>
      <c r="E2009" s="355">
        <v>160</v>
      </c>
      <c r="F2009" s="1662">
        <v>42.75</v>
      </c>
      <c r="G2009" s="903"/>
    </row>
    <row r="2010" spans="1:7" ht="15" customHeight="1" x14ac:dyDescent="0.25">
      <c r="A2010" s="2352" t="s">
        <v>12752</v>
      </c>
      <c r="B2010" s="2352" t="s">
        <v>12374</v>
      </c>
      <c r="C2010" s="2352" t="s">
        <v>12374</v>
      </c>
      <c r="D2010" s="2352" t="s">
        <v>12753</v>
      </c>
      <c r="E2010" s="355">
        <v>160</v>
      </c>
      <c r="F2010" s="1662">
        <v>96.9</v>
      </c>
      <c r="G2010" s="903"/>
    </row>
    <row r="2011" spans="1:7" ht="15" customHeight="1" x14ac:dyDescent="0.25">
      <c r="A2011" s="2352" t="s">
        <v>12752</v>
      </c>
      <c r="B2011" s="2352" t="s">
        <v>12374</v>
      </c>
      <c r="C2011" s="2352" t="s">
        <v>12374</v>
      </c>
      <c r="D2011" s="2352" t="s">
        <v>12754</v>
      </c>
      <c r="E2011" s="355">
        <v>63</v>
      </c>
      <c r="F2011" s="1662">
        <v>11.4</v>
      </c>
      <c r="G2011" s="903"/>
    </row>
    <row r="2012" spans="1:7" ht="15" customHeight="1" x14ac:dyDescent="0.25">
      <c r="A2012" s="2352" t="s">
        <v>12755</v>
      </c>
      <c r="B2012" s="2352" t="s">
        <v>12374</v>
      </c>
      <c r="C2012" s="2352" t="s">
        <v>12374</v>
      </c>
      <c r="D2012" s="2352" t="s">
        <v>12756</v>
      </c>
      <c r="E2012" s="355">
        <v>160</v>
      </c>
      <c r="F2012" s="1662">
        <v>75.05</v>
      </c>
      <c r="G2012" s="903"/>
    </row>
    <row r="2013" spans="1:7" ht="15" customHeight="1" x14ac:dyDescent="0.25">
      <c r="A2013" s="2352" t="s">
        <v>12757</v>
      </c>
      <c r="B2013" s="2352" t="s">
        <v>12374</v>
      </c>
      <c r="C2013" s="2352" t="s">
        <v>12374</v>
      </c>
      <c r="D2013" s="2352" t="s">
        <v>12758</v>
      </c>
      <c r="E2013" s="355">
        <v>160</v>
      </c>
      <c r="F2013" s="1662">
        <v>81.7</v>
      </c>
      <c r="G2013" s="903"/>
    </row>
    <row r="2014" spans="1:7" ht="15" customHeight="1" x14ac:dyDescent="0.25">
      <c r="A2014" s="2352" t="s">
        <v>12759</v>
      </c>
      <c r="B2014" s="2352" t="s">
        <v>12374</v>
      </c>
      <c r="C2014" s="2352" t="s">
        <v>12374</v>
      </c>
      <c r="D2014" s="2352" t="s">
        <v>12760</v>
      </c>
      <c r="E2014" s="355">
        <v>63</v>
      </c>
      <c r="F2014" s="1662">
        <v>21.85</v>
      </c>
      <c r="G2014" s="903"/>
    </row>
    <row r="2015" spans="1:7" ht="15" customHeight="1" x14ac:dyDescent="0.25">
      <c r="A2015" s="2352" t="s">
        <v>12761</v>
      </c>
      <c r="B2015" s="2352" t="s">
        <v>12374</v>
      </c>
      <c r="C2015" s="2352" t="s">
        <v>12374</v>
      </c>
      <c r="D2015" s="2352" t="s">
        <v>12762</v>
      </c>
      <c r="E2015" s="355">
        <v>100</v>
      </c>
      <c r="F2015" s="1662">
        <v>18.05</v>
      </c>
      <c r="G2015" s="903"/>
    </row>
    <row r="2016" spans="1:7" ht="15" customHeight="1" x14ac:dyDescent="0.25">
      <c r="A2016" s="2352" t="s">
        <v>15132</v>
      </c>
      <c r="B2016" s="2352" t="s">
        <v>12374</v>
      </c>
      <c r="C2016" s="2352" t="s">
        <v>12374</v>
      </c>
      <c r="D2016" s="2352" t="s">
        <v>12763</v>
      </c>
      <c r="E2016" s="355">
        <v>30</v>
      </c>
      <c r="F2016" s="1662">
        <v>1.9</v>
      </c>
      <c r="G2016" s="903"/>
    </row>
    <row r="2017" spans="1:7" ht="15" customHeight="1" x14ac:dyDescent="0.25">
      <c r="A2017" s="2352" t="s">
        <v>12764</v>
      </c>
      <c r="B2017" s="2352" t="s">
        <v>12374</v>
      </c>
      <c r="C2017" s="2352" t="s">
        <v>12374</v>
      </c>
      <c r="D2017" s="2352" t="s">
        <v>12765</v>
      </c>
      <c r="E2017" s="355">
        <v>160</v>
      </c>
      <c r="F2017" s="1662">
        <v>67.45</v>
      </c>
      <c r="G2017" s="903"/>
    </row>
    <row r="2018" spans="1:7" ht="15" customHeight="1" x14ac:dyDescent="0.25">
      <c r="A2018" s="2352" t="s">
        <v>15133</v>
      </c>
      <c r="B2018" s="2352" t="s">
        <v>12374</v>
      </c>
      <c r="C2018" s="2352" t="s">
        <v>12374</v>
      </c>
      <c r="D2018" s="2352" t="s">
        <v>12766</v>
      </c>
      <c r="E2018" s="355">
        <v>30</v>
      </c>
      <c r="F2018" s="1662">
        <v>0.95</v>
      </c>
      <c r="G2018" s="903"/>
    </row>
    <row r="2019" spans="1:7" ht="15" customHeight="1" x14ac:dyDescent="0.25">
      <c r="A2019" s="2352" t="s">
        <v>12767</v>
      </c>
      <c r="B2019" s="2352" t="s">
        <v>12374</v>
      </c>
      <c r="C2019" s="2352" t="s">
        <v>12374</v>
      </c>
      <c r="D2019" s="2352" t="s">
        <v>12768</v>
      </c>
      <c r="E2019" s="355">
        <v>30</v>
      </c>
      <c r="F2019" s="1662">
        <v>1.9</v>
      </c>
      <c r="G2019" s="903"/>
    </row>
    <row r="2020" spans="1:7" ht="15" customHeight="1" x14ac:dyDescent="0.25">
      <c r="A2020" s="2352" t="s">
        <v>12769</v>
      </c>
      <c r="B2020" s="2352" t="s">
        <v>12374</v>
      </c>
      <c r="C2020" s="2352" t="s">
        <v>12374</v>
      </c>
      <c r="D2020" s="2352" t="s">
        <v>12770</v>
      </c>
      <c r="E2020" s="355">
        <v>63</v>
      </c>
      <c r="F2020" s="1662">
        <v>30.4</v>
      </c>
      <c r="G2020" s="903"/>
    </row>
    <row r="2021" spans="1:7" ht="15" customHeight="1" x14ac:dyDescent="0.25">
      <c r="A2021" s="2352" t="s">
        <v>12771</v>
      </c>
      <c r="B2021" s="2352" t="s">
        <v>12374</v>
      </c>
      <c r="C2021" s="2352" t="s">
        <v>12374</v>
      </c>
      <c r="D2021" s="2352" t="s">
        <v>12772</v>
      </c>
      <c r="E2021" s="355">
        <v>30</v>
      </c>
      <c r="F2021" s="1662">
        <v>4.75</v>
      </c>
      <c r="G2021" s="903"/>
    </row>
    <row r="2022" spans="1:7" ht="15" customHeight="1" x14ac:dyDescent="0.25">
      <c r="A2022" s="2352" t="s">
        <v>6874</v>
      </c>
      <c r="B2022" s="2352" t="s">
        <v>12374</v>
      </c>
      <c r="C2022" s="2352" t="s">
        <v>12374</v>
      </c>
      <c r="D2022" s="2352" t="s">
        <v>12773</v>
      </c>
      <c r="E2022" s="355">
        <v>160</v>
      </c>
      <c r="F2022" s="1662">
        <v>91.2</v>
      </c>
      <c r="G2022" s="903"/>
    </row>
    <row r="2023" spans="1:7" ht="15" customHeight="1" x14ac:dyDescent="0.25">
      <c r="A2023" s="2352" t="s">
        <v>6874</v>
      </c>
      <c r="B2023" s="2352" t="s">
        <v>12374</v>
      </c>
      <c r="C2023" s="2352" t="s">
        <v>12374</v>
      </c>
      <c r="D2023" s="2352" t="s">
        <v>12774</v>
      </c>
      <c r="E2023" s="355">
        <v>400</v>
      </c>
      <c r="F2023" s="1662">
        <v>103.55</v>
      </c>
      <c r="G2023" s="903"/>
    </row>
    <row r="2024" spans="1:7" ht="15" customHeight="1" x14ac:dyDescent="0.25">
      <c r="A2024" s="2352" t="s">
        <v>15131</v>
      </c>
      <c r="B2024" s="2352" t="s">
        <v>12374</v>
      </c>
      <c r="C2024" s="2352" t="s">
        <v>12374</v>
      </c>
      <c r="D2024" s="2352" t="s">
        <v>12775</v>
      </c>
      <c r="E2024" s="355">
        <v>100</v>
      </c>
      <c r="F2024" s="1662">
        <v>22.8</v>
      </c>
      <c r="G2024" s="903"/>
    </row>
    <row r="2025" spans="1:7" ht="15" customHeight="1" x14ac:dyDescent="0.25">
      <c r="A2025" s="2352" t="s">
        <v>15134</v>
      </c>
      <c r="B2025" s="2352" t="s">
        <v>12374</v>
      </c>
      <c r="C2025" s="2352" t="s">
        <v>12374</v>
      </c>
      <c r="D2025" s="2352" t="s">
        <v>12776</v>
      </c>
      <c r="E2025" s="355">
        <v>100</v>
      </c>
      <c r="F2025" s="1662">
        <v>33.25</v>
      </c>
      <c r="G2025" s="903"/>
    </row>
    <row r="2026" spans="1:7" ht="15" customHeight="1" x14ac:dyDescent="0.25">
      <c r="A2026" s="2352" t="s">
        <v>12777</v>
      </c>
      <c r="B2026" s="2352" t="s">
        <v>12374</v>
      </c>
      <c r="C2026" s="2352" t="s">
        <v>12374</v>
      </c>
      <c r="D2026" s="2352" t="s">
        <v>12778</v>
      </c>
      <c r="E2026" s="355">
        <v>100</v>
      </c>
      <c r="F2026" s="1662">
        <v>90.25</v>
      </c>
      <c r="G2026" s="903"/>
    </row>
    <row r="2027" spans="1:7" ht="15" customHeight="1" x14ac:dyDescent="0.25">
      <c r="A2027" s="2352" t="s">
        <v>12777</v>
      </c>
      <c r="B2027" s="2352" t="s">
        <v>12374</v>
      </c>
      <c r="C2027" s="2352" t="s">
        <v>12374</v>
      </c>
      <c r="D2027" s="2352" t="s">
        <v>12779</v>
      </c>
      <c r="E2027" s="355">
        <v>100</v>
      </c>
      <c r="F2027" s="1662">
        <v>23.75</v>
      </c>
      <c r="G2027" s="903"/>
    </row>
    <row r="2028" spans="1:7" ht="15" customHeight="1" x14ac:dyDescent="0.25">
      <c r="A2028" s="2352" t="s">
        <v>15135</v>
      </c>
      <c r="B2028" s="2352" t="s">
        <v>12374</v>
      </c>
      <c r="C2028" s="2352" t="s">
        <v>12374</v>
      </c>
      <c r="D2028" s="2352" t="s">
        <v>12780</v>
      </c>
      <c r="E2028" s="355">
        <v>20</v>
      </c>
      <c r="F2028" s="1662">
        <v>0</v>
      </c>
      <c r="G2028" s="903"/>
    </row>
    <row r="2029" spans="1:7" ht="15" customHeight="1" x14ac:dyDescent="0.25">
      <c r="A2029" s="2352" t="s">
        <v>15136</v>
      </c>
      <c r="B2029" s="2352" t="s">
        <v>12374</v>
      </c>
      <c r="C2029" s="2352" t="s">
        <v>12374</v>
      </c>
      <c r="D2029" s="2352" t="s">
        <v>12781</v>
      </c>
      <c r="E2029" s="355">
        <v>100</v>
      </c>
      <c r="F2029" s="1662">
        <v>17.100000000000001</v>
      </c>
      <c r="G2029" s="903"/>
    </row>
    <row r="2030" spans="1:7" ht="15" customHeight="1" x14ac:dyDescent="0.25">
      <c r="A2030" s="2352" t="s">
        <v>12782</v>
      </c>
      <c r="B2030" s="2352" t="s">
        <v>12374</v>
      </c>
      <c r="C2030" s="2352" t="s">
        <v>12374</v>
      </c>
      <c r="D2030" s="2352" t="s">
        <v>12783</v>
      </c>
      <c r="E2030" s="355">
        <v>250</v>
      </c>
      <c r="F2030" s="1662">
        <v>14.25</v>
      </c>
      <c r="G2030" s="903"/>
    </row>
    <row r="2031" spans="1:7" ht="15" customHeight="1" x14ac:dyDescent="0.25">
      <c r="A2031" s="2352" t="s">
        <v>15136</v>
      </c>
      <c r="B2031" s="2352" t="s">
        <v>12374</v>
      </c>
      <c r="C2031" s="2352" t="s">
        <v>12374</v>
      </c>
      <c r="D2031" s="2352" t="s">
        <v>12784</v>
      </c>
      <c r="E2031" s="355">
        <v>160</v>
      </c>
      <c r="F2031" s="1662">
        <v>133</v>
      </c>
      <c r="G2031" s="903"/>
    </row>
    <row r="2032" spans="1:7" ht="15" customHeight="1" x14ac:dyDescent="0.25">
      <c r="A2032" s="2352" t="s">
        <v>12785</v>
      </c>
      <c r="B2032" s="2352" t="s">
        <v>12374</v>
      </c>
      <c r="C2032" s="2352" t="s">
        <v>12374</v>
      </c>
      <c r="D2032" s="2352" t="s">
        <v>12786</v>
      </c>
      <c r="E2032" s="355">
        <v>63</v>
      </c>
      <c r="F2032" s="1662">
        <v>23.75</v>
      </c>
      <c r="G2032" s="903"/>
    </row>
    <row r="2033" spans="1:7" ht="15" customHeight="1" x14ac:dyDescent="0.25">
      <c r="A2033" s="2352" t="s">
        <v>12787</v>
      </c>
      <c r="B2033" s="2352" t="s">
        <v>12374</v>
      </c>
      <c r="C2033" s="2352" t="s">
        <v>12374</v>
      </c>
      <c r="D2033" s="2352" t="s">
        <v>12788</v>
      </c>
      <c r="E2033" s="355">
        <v>400</v>
      </c>
      <c r="F2033" s="1662">
        <v>90.25</v>
      </c>
      <c r="G2033" s="903"/>
    </row>
    <row r="2034" spans="1:7" ht="15" customHeight="1" x14ac:dyDescent="0.25">
      <c r="A2034" s="2352" t="s">
        <v>12787</v>
      </c>
      <c r="B2034" s="2352" t="s">
        <v>12374</v>
      </c>
      <c r="C2034" s="2352" t="s">
        <v>12374</v>
      </c>
      <c r="D2034" s="2352" t="s">
        <v>12789</v>
      </c>
      <c r="E2034" s="355">
        <v>160</v>
      </c>
      <c r="F2034" s="1662">
        <v>25.65</v>
      </c>
      <c r="G2034" s="903"/>
    </row>
    <row r="2035" spans="1:7" ht="15" customHeight="1" x14ac:dyDescent="0.25">
      <c r="A2035" s="2352" t="s">
        <v>12787</v>
      </c>
      <c r="B2035" s="2352" t="s">
        <v>12374</v>
      </c>
      <c r="C2035" s="2352" t="s">
        <v>12374</v>
      </c>
      <c r="D2035" s="2352" t="s">
        <v>12790</v>
      </c>
      <c r="E2035" s="355">
        <v>180</v>
      </c>
      <c r="F2035" s="1662">
        <v>62.400414365431388</v>
      </c>
      <c r="G2035" s="903"/>
    </row>
    <row r="2036" spans="1:7" ht="15" customHeight="1" x14ac:dyDescent="0.25">
      <c r="A2036" s="2352" t="s">
        <v>12791</v>
      </c>
      <c r="B2036" s="2352" t="s">
        <v>12374</v>
      </c>
      <c r="C2036" s="2352" t="s">
        <v>12374</v>
      </c>
      <c r="D2036" s="2352" t="s">
        <v>12792</v>
      </c>
      <c r="E2036" s="355">
        <v>63</v>
      </c>
      <c r="F2036" s="1662">
        <v>15.2</v>
      </c>
      <c r="G2036" s="903"/>
    </row>
    <row r="2037" spans="1:7" ht="15" customHeight="1" x14ac:dyDescent="0.25">
      <c r="A2037" s="2352" t="s">
        <v>12793</v>
      </c>
      <c r="B2037" s="2352" t="s">
        <v>12374</v>
      </c>
      <c r="C2037" s="2352" t="s">
        <v>12374</v>
      </c>
      <c r="D2037" s="2352" t="s">
        <v>12794</v>
      </c>
      <c r="E2037" s="355">
        <v>63</v>
      </c>
      <c r="F2037" s="1662">
        <v>13.3</v>
      </c>
      <c r="G2037" s="903"/>
    </row>
    <row r="2038" spans="1:7" ht="15" customHeight="1" x14ac:dyDescent="0.25">
      <c r="A2038" s="2352" t="s">
        <v>12795</v>
      </c>
      <c r="B2038" s="2352" t="s">
        <v>12374</v>
      </c>
      <c r="C2038" s="2352" t="s">
        <v>12374</v>
      </c>
      <c r="D2038" s="2352" t="s">
        <v>12796</v>
      </c>
      <c r="E2038" s="355">
        <v>30</v>
      </c>
      <c r="F2038" s="1662">
        <v>3.8</v>
      </c>
      <c r="G2038" s="903"/>
    </row>
    <row r="2039" spans="1:7" ht="15" customHeight="1" x14ac:dyDescent="0.25">
      <c r="A2039" s="2352" t="s">
        <v>12787</v>
      </c>
      <c r="B2039" s="2352" t="s">
        <v>12374</v>
      </c>
      <c r="C2039" s="2352" t="s">
        <v>12374</v>
      </c>
      <c r="D2039" s="2352" t="s">
        <v>12797</v>
      </c>
      <c r="E2039" s="355">
        <v>250</v>
      </c>
      <c r="F2039" s="1662">
        <v>208.05</v>
      </c>
      <c r="G2039" s="903"/>
    </row>
    <row r="2040" spans="1:7" ht="15" customHeight="1" x14ac:dyDescent="0.25">
      <c r="A2040" s="2352" t="s">
        <v>12787</v>
      </c>
      <c r="B2040" s="2352" t="s">
        <v>12374</v>
      </c>
      <c r="C2040" s="2352" t="s">
        <v>12374</v>
      </c>
      <c r="D2040" s="2352" t="s">
        <v>12798</v>
      </c>
      <c r="E2040" s="355">
        <v>250</v>
      </c>
      <c r="F2040" s="1662">
        <v>139.65</v>
      </c>
      <c r="G2040" s="903"/>
    </row>
    <row r="2041" spans="1:7" ht="15" customHeight="1" x14ac:dyDescent="0.25">
      <c r="A2041" s="2352" t="s">
        <v>12799</v>
      </c>
      <c r="B2041" s="2352" t="s">
        <v>12374</v>
      </c>
      <c r="C2041" s="2352" t="s">
        <v>12374</v>
      </c>
      <c r="D2041" s="2352" t="s">
        <v>12800</v>
      </c>
      <c r="E2041" s="355">
        <v>30</v>
      </c>
      <c r="F2041" s="1662">
        <v>9.5</v>
      </c>
      <c r="G2041" s="903"/>
    </row>
    <row r="2042" spans="1:7" ht="15" customHeight="1" x14ac:dyDescent="0.25">
      <c r="A2042" s="2352" t="s">
        <v>15137</v>
      </c>
      <c r="B2042" s="2352" t="s">
        <v>12374</v>
      </c>
      <c r="C2042" s="2352" t="s">
        <v>12374</v>
      </c>
      <c r="D2042" s="2352" t="s">
        <v>12801</v>
      </c>
      <c r="E2042" s="355">
        <v>160</v>
      </c>
      <c r="F2042" s="1662">
        <v>58.9</v>
      </c>
      <c r="G2042" s="903"/>
    </row>
    <row r="2043" spans="1:7" ht="15" customHeight="1" x14ac:dyDescent="0.25">
      <c r="A2043" s="2352" t="s">
        <v>15137</v>
      </c>
      <c r="B2043" s="2352" t="s">
        <v>12374</v>
      </c>
      <c r="C2043" s="2352" t="s">
        <v>12374</v>
      </c>
      <c r="D2043" s="2352" t="s">
        <v>12802</v>
      </c>
      <c r="E2043" s="355">
        <v>160</v>
      </c>
      <c r="F2043" s="1662">
        <v>21.85</v>
      </c>
      <c r="G2043" s="903"/>
    </row>
    <row r="2044" spans="1:7" ht="15" customHeight="1" x14ac:dyDescent="0.25">
      <c r="A2044" s="2352" t="s">
        <v>15137</v>
      </c>
      <c r="B2044" s="2352" t="s">
        <v>12374</v>
      </c>
      <c r="C2044" s="2352" t="s">
        <v>12374</v>
      </c>
      <c r="D2044" s="2352" t="s">
        <v>12803</v>
      </c>
      <c r="E2044" s="355">
        <v>160</v>
      </c>
      <c r="F2044" s="1662">
        <v>37.049999999999997</v>
      </c>
      <c r="G2044" s="903"/>
    </row>
    <row r="2045" spans="1:7" ht="15" customHeight="1" x14ac:dyDescent="0.25">
      <c r="A2045" s="2352" t="s">
        <v>12804</v>
      </c>
      <c r="B2045" s="2352" t="s">
        <v>12374</v>
      </c>
      <c r="C2045" s="2352" t="s">
        <v>12374</v>
      </c>
      <c r="D2045" s="2352" t="s">
        <v>12805</v>
      </c>
      <c r="E2045" s="355">
        <v>30</v>
      </c>
      <c r="F2045" s="1662">
        <v>1.9</v>
      </c>
      <c r="G2045" s="903"/>
    </row>
    <row r="2046" spans="1:7" ht="15" customHeight="1" x14ac:dyDescent="0.25">
      <c r="A2046" s="2352" t="s">
        <v>12806</v>
      </c>
      <c r="B2046" s="2352" t="s">
        <v>12374</v>
      </c>
      <c r="C2046" s="2352" t="s">
        <v>12374</v>
      </c>
      <c r="D2046" s="2352" t="s">
        <v>12807</v>
      </c>
      <c r="E2046" s="355">
        <v>100</v>
      </c>
      <c r="F2046" s="1662">
        <v>32.299999999999997</v>
      </c>
      <c r="G2046" s="903"/>
    </row>
    <row r="2047" spans="1:7" ht="15" customHeight="1" x14ac:dyDescent="0.25">
      <c r="A2047" s="2352" t="s">
        <v>12808</v>
      </c>
      <c r="B2047" s="2352" t="s">
        <v>12374</v>
      </c>
      <c r="C2047" s="2352" t="s">
        <v>12374</v>
      </c>
      <c r="D2047" s="2352" t="s">
        <v>12809</v>
      </c>
      <c r="E2047" s="355">
        <v>100</v>
      </c>
      <c r="F2047" s="1662">
        <v>37.049999999999997</v>
      </c>
      <c r="G2047" s="903"/>
    </row>
    <row r="2048" spans="1:7" ht="15" customHeight="1" x14ac:dyDescent="0.25">
      <c r="A2048" s="2352" t="s">
        <v>12810</v>
      </c>
      <c r="B2048" s="2352" t="s">
        <v>12374</v>
      </c>
      <c r="C2048" s="2352" t="s">
        <v>12374</v>
      </c>
      <c r="D2048" s="2352" t="s">
        <v>12811</v>
      </c>
      <c r="E2048" s="355">
        <v>63</v>
      </c>
      <c r="F2048" s="1662">
        <v>1.9</v>
      </c>
      <c r="G2048" s="903"/>
    </row>
    <row r="2049" spans="1:7" ht="15" customHeight="1" x14ac:dyDescent="0.25">
      <c r="A2049" s="2352" t="s">
        <v>12812</v>
      </c>
      <c r="B2049" s="2352" t="s">
        <v>12374</v>
      </c>
      <c r="C2049" s="2352" t="s">
        <v>12374</v>
      </c>
      <c r="D2049" s="2352" t="s">
        <v>12813</v>
      </c>
      <c r="E2049" s="355">
        <v>50</v>
      </c>
      <c r="F2049" s="1662">
        <v>0.95</v>
      </c>
      <c r="G2049" s="903"/>
    </row>
    <row r="2050" spans="1:7" ht="15" customHeight="1" x14ac:dyDescent="0.25">
      <c r="A2050" s="2352" t="s">
        <v>12814</v>
      </c>
      <c r="B2050" s="2352" t="s">
        <v>12374</v>
      </c>
      <c r="C2050" s="2352" t="s">
        <v>12374</v>
      </c>
      <c r="D2050" s="2352" t="s">
        <v>12815</v>
      </c>
      <c r="E2050" s="355">
        <v>100</v>
      </c>
      <c r="F2050" s="1662">
        <v>30.4</v>
      </c>
      <c r="G2050" s="903"/>
    </row>
    <row r="2051" spans="1:7" ht="15" customHeight="1" x14ac:dyDescent="0.25">
      <c r="A2051" s="2352" t="s">
        <v>12814</v>
      </c>
      <c r="B2051" s="2352" t="s">
        <v>12374</v>
      </c>
      <c r="C2051" s="2352" t="s">
        <v>12374</v>
      </c>
      <c r="D2051" s="2352" t="s">
        <v>12816</v>
      </c>
      <c r="E2051" s="355">
        <v>400</v>
      </c>
      <c r="F2051" s="1662">
        <v>283.10000000000002</v>
      </c>
      <c r="G2051" s="903"/>
    </row>
    <row r="2052" spans="1:7" ht="15" customHeight="1" x14ac:dyDescent="0.25">
      <c r="A2052" s="2352" t="s">
        <v>12817</v>
      </c>
      <c r="B2052" s="2352" t="s">
        <v>12374</v>
      </c>
      <c r="C2052" s="2352" t="s">
        <v>12374</v>
      </c>
      <c r="D2052" s="2352" t="s">
        <v>12818</v>
      </c>
      <c r="E2052" s="355">
        <v>100</v>
      </c>
      <c r="F2052" s="1662">
        <v>39.9</v>
      </c>
      <c r="G2052" s="903"/>
    </row>
    <row r="2053" spans="1:7" ht="15" customHeight="1" x14ac:dyDescent="0.25">
      <c r="A2053" s="2352" t="s">
        <v>12819</v>
      </c>
      <c r="B2053" s="2352" t="s">
        <v>12374</v>
      </c>
      <c r="C2053" s="2352" t="s">
        <v>12374</v>
      </c>
      <c r="D2053" s="2352" t="s">
        <v>12820</v>
      </c>
      <c r="E2053" s="355">
        <v>63</v>
      </c>
      <c r="F2053" s="1662">
        <v>16.149999999999999</v>
      </c>
      <c r="G2053" s="903"/>
    </row>
    <row r="2054" spans="1:7" ht="15" customHeight="1" x14ac:dyDescent="0.25">
      <c r="A2054" s="2352" t="s">
        <v>12821</v>
      </c>
      <c r="B2054" s="2352" t="s">
        <v>12374</v>
      </c>
      <c r="C2054" s="2352" t="s">
        <v>12374</v>
      </c>
      <c r="D2054" s="2352" t="s">
        <v>12822</v>
      </c>
      <c r="E2054" s="355">
        <v>160</v>
      </c>
      <c r="F2054" s="1662">
        <v>61.75</v>
      </c>
      <c r="G2054" s="903"/>
    </row>
    <row r="2055" spans="1:7" ht="15" customHeight="1" x14ac:dyDescent="0.25">
      <c r="A2055" s="2352" t="s">
        <v>12821</v>
      </c>
      <c r="B2055" s="2352" t="s">
        <v>12374</v>
      </c>
      <c r="C2055" s="2352" t="s">
        <v>12374</v>
      </c>
      <c r="D2055" s="2352" t="s">
        <v>12823</v>
      </c>
      <c r="E2055" s="355">
        <v>250</v>
      </c>
      <c r="F2055" s="1662">
        <v>223.25</v>
      </c>
      <c r="G2055" s="903"/>
    </row>
    <row r="2056" spans="1:7" ht="15" customHeight="1" x14ac:dyDescent="0.25">
      <c r="A2056" s="2352" t="s">
        <v>12824</v>
      </c>
      <c r="B2056" s="2352" t="s">
        <v>12374</v>
      </c>
      <c r="C2056" s="2352" t="s">
        <v>12374</v>
      </c>
      <c r="D2056" s="2352" t="s">
        <v>12825</v>
      </c>
      <c r="E2056" s="355">
        <v>30</v>
      </c>
      <c r="F2056" s="1662">
        <v>0.95</v>
      </c>
      <c r="G2056" s="903"/>
    </row>
    <row r="2057" spans="1:7" ht="15" customHeight="1" x14ac:dyDescent="0.25">
      <c r="A2057" s="2352" t="s">
        <v>6486</v>
      </c>
      <c r="B2057" s="2352" t="s">
        <v>12374</v>
      </c>
      <c r="C2057" s="2352" t="s">
        <v>12374</v>
      </c>
      <c r="D2057" s="2352" t="s">
        <v>12826</v>
      </c>
      <c r="E2057" s="355">
        <v>100</v>
      </c>
      <c r="F2057" s="1662">
        <v>0</v>
      </c>
      <c r="G2057" s="903"/>
    </row>
    <row r="2058" spans="1:7" ht="15" customHeight="1" x14ac:dyDescent="0.25">
      <c r="A2058" s="2352" t="s">
        <v>12827</v>
      </c>
      <c r="B2058" s="2352" t="s">
        <v>12374</v>
      </c>
      <c r="C2058" s="2352" t="s">
        <v>12374</v>
      </c>
      <c r="D2058" s="2352" t="s">
        <v>12828</v>
      </c>
      <c r="E2058" s="355">
        <v>100</v>
      </c>
      <c r="F2058" s="1662">
        <v>4.75</v>
      </c>
      <c r="G2058" s="903"/>
    </row>
    <row r="2059" spans="1:7" ht="15" customHeight="1" x14ac:dyDescent="0.25">
      <c r="A2059" s="2352" t="s">
        <v>12819</v>
      </c>
      <c r="B2059" s="2352" t="s">
        <v>12374</v>
      </c>
      <c r="C2059" s="2352" t="s">
        <v>12374</v>
      </c>
      <c r="D2059" s="2352" t="s">
        <v>12829</v>
      </c>
      <c r="E2059" s="355">
        <v>160</v>
      </c>
      <c r="F2059" s="1662">
        <v>30.4</v>
      </c>
      <c r="G2059" s="903"/>
    </row>
    <row r="2060" spans="1:7" ht="15" customHeight="1" x14ac:dyDescent="0.25">
      <c r="A2060" s="2352" t="s">
        <v>12830</v>
      </c>
      <c r="B2060" s="2352" t="s">
        <v>12374</v>
      </c>
      <c r="C2060" s="2352" t="s">
        <v>12374</v>
      </c>
      <c r="D2060" s="2352" t="s">
        <v>12831</v>
      </c>
      <c r="E2060" s="355">
        <v>250</v>
      </c>
      <c r="F2060" s="1662">
        <v>197.6</v>
      </c>
      <c r="G2060" s="903"/>
    </row>
    <row r="2061" spans="1:7" ht="15" customHeight="1" x14ac:dyDescent="0.25">
      <c r="A2061" s="2352" t="s">
        <v>12832</v>
      </c>
      <c r="B2061" s="2352" t="s">
        <v>12374</v>
      </c>
      <c r="C2061" s="2352" t="s">
        <v>12374</v>
      </c>
      <c r="D2061" s="2352" t="s">
        <v>12833</v>
      </c>
      <c r="E2061" s="355">
        <v>160</v>
      </c>
      <c r="F2061" s="1662">
        <v>70.3</v>
      </c>
      <c r="G2061" s="903"/>
    </row>
    <row r="2062" spans="1:7" ht="15" customHeight="1" x14ac:dyDescent="0.25">
      <c r="A2062" s="2352" t="s">
        <v>12834</v>
      </c>
      <c r="B2062" s="2352" t="s">
        <v>12374</v>
      </c>
      <c r="C2062" s="2352" t="s">
        <v>12374</v>
      </c>
      <c r="D2062" s="2352" t="s">
        <v>12835</v>
      </c>
      <c r="E2062" s="355">
        <v>100</v>
      </c>
      <c r="F2062" s="1662">
        <v>18.05</v>
      </c>
      <c r="G2062" s="903"/>
    </row>
    <row r="2063" spans="1:7" ht="15" customHeight="1" x14ac:dyDescent="0.25">
      <c r="A2063" s="2352" t="s">
        <v>12830</v>
      </c>
      <c r="B2063" s="2352" t="s">
        <v>12374</v>
      </c>
      <c r="C2063" s="2352" t="s">
        <v>12374</v>
      </c>
      <c r="D2063" s="2352" t="s">
        <v>12836</v>
      </c>
      <c r="E2063" s="355">
        <v>180</v>
      </c>
      <c r="F2063" s="1662">
        <v>40.85</v>
      </c>
      <c r="G2063" s="903"/>
    </row>
    <row r="2064" spans="1:7" ht="15" customHeight="1" x14ac:dyDescent="0.25">
      <c r="A2064" s="2352" t="s">
        <v>12830</v>
      </c>
      <c r="B2064" s="2352" t="s">
        <v>12374</v>
      </c>
      <c r="C2064" s="2352" t="s">
        <v>12374</v>
      </c>
      <c r="D2064" s="2352" t="s">
        <v>12837</v>
      </c>
      <c r="E2064" s="355">
        <v>100</v>
      </c>
      <c r="F2064" s="1662">
        <v>30.4</v>
      </c>
      <c r="G2064" s="903"/>
    </row>
    <row r="2065" spans="1:7" ht="15" customHeight="1" x14ac:dyDescent="0.25">
      <c r="A2065" s="2352" t="s">
        <v>12834</v>
      </c>
      <c r="B2065" s="2352" t="s">
        <v>12374</v>
      </c>
      <c r="C2065" s="2352" t="s">
        <v>12374</v>
      </c>
      <c r="D2065" s="2352" t="s">
        <v>12838</v>
      </c>
      <c r="E2065" s="355">
        <v>100</v>
      </c>
      <c r="F2065" s="1662">
        <v>88.35</v>
      </c>
      <c r="G2065" s="903"/>
    </row>
    <row r="2066" spans="1:7" ht="15" customHeight="1" x14ac:dyDescent="0.25">
      <c r="A2066" s="2352" t="s">
        <v>12839</v>
      </c>
      <c r="B2066" s="2352" t="s">
        <v>12374</v>
      </c>
      <c r="C2066" s="2352" t="s">
        <v>12374</v>
      </c>
      <c r="D2066" s="2352" t="s">
        <v>12840</v>
      </c>
      <c r="E2066" s="355">
        <v>250</v>
      </c>
      <c r="F2066" s="1662">
        <v>100.7</v>
      </c>
      <c r="G2066" s="903"/>
    </row>
    <row r="2067" spans="1:7" ht="15" customHeight="1" x14ac:dyDescent="0.25">
      <c r="A2067" s="2352" t="s">
        <v>12841</v>
      </c>
      <c r="B2067" s="2352" t="s">
        <v>12374</v>
      </c>
      <c r="C2067" s="2352" t="s">
        <v>12374</v>
      </c>
      <c r="D2067" s="2352" t="s">
        <v>12842</v>
      </c>
      <c r="E2067" s="355">
        <v>160</v>
      </c>
      <c r="F2067" s="1662">
        <v>13.3</v>
      </c>
      <c r="G2067" s="903"/>
    </row>
    <row r="2068" spans="1:7" ht="15" customHeight="1" x14ac:dyDescent="0.25">
      <c r="A2068" s="2352" t="s">
        <v>12843</v>
      </c>
      <c r="B2068" s="2352" t="s">
        <v>12374</v>
      </c>
      <c r="C2068" s="2352" t="s">
        <v>12374</v>
      </c>
      <c r="D2068" s="2352" t="s">
        <v>12844</v>
      </c>
      <c r="E2068" s="355">
        <v>160</v>
      </c>
      <c r="F2068" s="1662">
        <v>56.05</v>
      </c>
      <c r="G2068" s="903"/>
    </row>
    <row r="2069" spans="1:7" ht="15" customHeight="1" x14ac:dyDescent="0.25">
      <c r="A2069" s="2352" t="s">
        <v>12843</v>
      </c>
      <c r="B2069" s="2352" t="s">
        <v>12374</v>
      </c>
      <c r="C2069" s="2352" t="s">
        <v>12374</v>
      </c>
      <c r="D2069" s="2352" t="s">
        <v>12845</v>
      </c>
      <c r="E2069" s="355">
        <v>160</v>
      </c>
      <c r="F2069" s="1662">
        <v>64.599999999999994</v>
      </c>
      <c r="G2069" s="903"/>
    </row>
    <row r="2070" spans="1:7" ht="15" customHeight="1" x14ac:dyDescent="0.25">
      <c r="A2070" s="2352" t="s">
        <v>12843</v>
      </c>
      <c r="B2070" s="2352" t="s">
        <v>12374</v>
      </c>
      <c r="C2070" s="2352" t="s">
        <v>12374</v>
      </c>
      <c r="D2070" s="2352" t="s">
        <v>12846</v>
      </c>
      <c r="E2070" s="355">
        <v>250</v>
      </c>
      <c r="F2070" s="1662">
        <v>81.7</v>
      </c>
      <c r="G2070" s="903"/>
    </row>
    <row r="2071" spans="1:7" ht="15" customHeight="1" x14ac:dyDescent="0.25">
      <c r="A2071" s="2352" t="s">
        <v>12847</v>
      </c>
      <c r="B2071" s="2352" t="s">
        <v>12374</v>
      </c>
      <c r="C2071" s="2352" t="s">
        <v>12374</v>
      </c>
      <c r="D2071" s="2352" t="s">
        <v>12848</v>
      </c>
      <c r="E2071" s="355">
        <v>100</v>
      </c>
      <c r="F2071" s="1662">
        <v>14.25</v>
      </c>
      <c r="G2071" s="903"/>
    </row>
    <row r="2072" spans="1:7" ht="15" customHeight="1" x14ac:dyDescent="0.25">
      <c r="A2072" s="2352" t="s">
        <v>12849</v>
      </c>
      <c r="B2072" s="2352" t="s">
        <v>12374</v>
      </c>
      <c r="C2072" s="2352" t="s">
        <v>12374</v>
      </c>
      <c r="D2072" s="2352" t="s">
        <v>12850</v>
      </c>
      <c r="E2072" s="355">
        <v>30</v>
      </c>
      <c r="F2072" s="1662">
        <v>9.5</v>
      </c>
      <c r="G2072" s="903"/>
    </row>
    <row r="2073" spans="1:7" ht="15" customHeight="1" x14ac:dyDescent="0.25">
      <c r="A2073" s="2352" t="s">
        <v>12851</v>
      </c>
      <c r="B2073" s="2352" t="s">
        <v>12374</v>
      </c>
      <c r="C2073" s="2352" t="s">
        <v>12374</v>
      </c>
      <c r="D2073" s="2352" t="s">
        <v>12852</v>
      </c>
      <c r="E2073" s="355">
        <v>63</v>
      </c>
      <c r="F2073" s="1662">
        <v>17.100000000000001</v>
      </c>
      <c r="G2073" s="903"/>
    </row>
    <row r="2074" spans="1:7" ht="15" customHeight="1" x14ac:dyDescent="0.25">
      <c r="A2074" s="2352" t="s">
        <v>6126</v>
      </c>
      <c r="B2074" s="2352" t="s">
        <v>12374</v>
      </c>
      <c r="C2074" s="2352" t="s">
        <v>12374</v>
      </c>
      <c r="D2074" s="2352" t="s">
        <v>12853</v>
      </c>
      <c r="E2074" s="355">
        <v>40</v>
      </c>
      <c r="F2074" s="1662">
        <v>4.75</v>
      </c>
      <c r="G2074" s="903"/>
    </row>
    <row r="2075" spans="1:7" ht="15" customHeight="1" x14ac:dyDescent="0.25">
      <c r="A2075" s="2352" t="s">
        <v>15138</v>
      </c>
      <c r="B2075" s="2352" t="s">
        <v>12374</v>
      </c>
      <c r="C2075" s="2352" t="s">
        <v>12374</v>
      </c>
      <c r="D2075" s="2352" t="s">
        <v>12854</v>
      </c>
      <c r="E2075" s="355">
        <v>100</v>
      </c>
      <c r="F2075" s="1662">
        <v>0.95</v>
      </c>
      <c r="G2075" s="903"/>
    </row>
    <row r="2076" spans="1:7" ht="15" customHeight="1" x14ac:dyDescent="0.25">
      <c r="A2076" s="2352" t="s">
        <v>12830</v>
      </c>
      <c r="B2076" s="2352" t="s">
        <v>12374</v>
      </c>
      <c r="C2076" s="2352" t="s">
        <v>12374</v>
      </c>
      <c r="D2076" s="2352" t="s">
        <v>12855</v>
      </c>
      <c r="E2076" s="355">
        <v>100</v>
      </c>
      <c r="F2076" s="1662">
        <v>76.95</v>
      </c>
      <c r="G2076" s="903"/>
    </row>
    <row r="2077" spans="1:7" ht="15" customHeight="1" x14ac:dyDescent="0.25">
      <c r="A2077" s="2352" t="s">
        <v>15139</v>
      </c>
      <c r="B2077" s="2352" t="s">
        <v>12374</v>
      </c>
      <c r="C2077" s="2352" t="s">
        <v>12374</v>
      </c>
      <c r="D2077" s="2352" t="s">
        <v>12856</v>
      </c>
      <c r="E2077" s="355">
        <v>100</v>
      </c>
      <c r="F2077" s="1662">
        <v>32.299999999999997</v>
      </c>
      <c r="G2077" s="903"/>
    </row>
    <row r="2078" spans="1:7" ht="15" customHeight="1" x14ac:dyDescent="0.25">
      <c r="A2078" s="2352" t="s">
        <v>12857</v>
      </c>
      <c r="B2078" s="2352" t="s">
        <v>12374</v>
      </c>
      <c r="C2078" s="2352" t="s">
        <v>12374</v>
      </c>
      <c r="D2078" s="2352" t="s">
        <v>12858</v>
      </c>
      <c r="E2078" s="355">
        <v>160</v>
      </c>
      <c r="F2078" s="1662">
        <v>39.9</v>
      </c>
      <c r="G2078" s="903"/>
    </row>
    <row r="2079" spans="1:7" ht="15" customHeight="1" x14ac:dyDescent="0.25">
      <c r="A2079" s="2352" t="s">
        <v>6874</v>
      </c>
      <c r="B2079" s="2352" t="s">
        <v>12374</v>
      </c>
      <c r="C2079" s="2352" t="s">
        <v>12374</v>
      </c>
      <c r="D2079" s="2352" t="s">
        <v>12859</v>
      </c>
      <c r="E2079" s="355">
        <v>100</v>
      </c>
      <c r="F2079" s="1662">
        <v>26.6</v>
      </c>
      <c r="G2079" s="903"/>
    </row>
    <row r="2080" spans="1:7" ht="15" customHeight="1" x14ac:dyDescent="0.25">
      <c r="A2080" s="2352" t="s">
        <v>12860</v>
      </c>
      <c r="B2080" s="2352" t="s">
        <v>12374</v>
      </c>
      <c r="C2080" s="2352" t="s">
        <v>12374</v>
      </c>
      <c r="D2080" s="2352" t="s">
        <v>12861</v>
      </c>
      <c r="E2080" s="355">
        <v>160</v>
      </c>
      <c r="F2080" s="1662">
        <v>72.2</v>
      </c>
      <c r="G2080" s="903"/>
    </row>
    <row r="2081" spans="1:7" ht="15" customHeight="1" x14ac:dyDescent="0.25">
      <c r="A2081" s="2352" t="s">
        <v>12862</v>
      </c>
      <c r="B2081" s="2352" t="s">
        <v>12374</v>
      </c>
      <c r="C2081" s="2352" t="s">
        <v>12374</v>
      </c>
      <c r="D2081" s="2352" t="s">
        <v>12863</v>
      </c>
      <c r="E2081" s="355">
        <v>160</v>
      </c>
      <c r="F2081" s="1662">
        <v>45.6</v>
      </c>
      <c r="G2081" s="903"/>
    </row>
    <row r="2082" spans="1:7" ht="15" customHeight="1" x14ac:dyDescent="0.25">
      <c r="A2082" s="2352" t="s">
        <v>12864</v>
      </c>
      <c r="B2082" s="2352" t="s">
        <v>12374</v>
      </c>
      <c r="C2082" s="2352" t="s">
        <v>12374</v>
      </c>
      <c r="D2082" s="2352" t="s">
        <v>12865</v>
      </c>
      <c r="E2082" s="355">
        <v>100</v>
      </c>
      <c r="F2082" s="1662">
        <v>11.4</v>
      </c>
      <c r="G2082" s="903"/>
    </row>
    <row r="2083" spans="1:7" ht="15" customHeight="1" x14ac:dyDescent="0.25">
      <c r="A2083" s="2352" t="s">
        <v>15139</v>
      </c>
      <c r="B2083" s="2352" t="s">
        <v>12374</v>
      </c>
      <c r="C2083" s="2352" t="s">
        <v>12374</v>
      </c>
      <c r="D2083" s="2352" t="s">
        <v>12866</v>
      </c>
      <c r="E2083" s="355">
        <v>100</v>
      </c>
      <c r="F2083" s="1662">
        <v>4.75</v>
      </c>
      <c r="G2083" s="903"/>
    </row>
    <row r="2084" spans="1:7" ht="15" customHeight="1" x14ac:dyDescent="0.25">
      <c r="A2084" s="2352" t="s">
        <v>6874</v>
      </c>
      <c r="B2084" s="2352" t="s">
        <v>12374</v>
      </c>
      <c r="C2084" s="2352" t="s">
        <v>12374</v>
      </c>
      <c r="D2084" s="2352" t="s">
        <v>12867</v>
      </c>
      <c r="E2084" s="355">
        <v>250</v>
      </c>
      <c r="F2084" s="1662">
        <v>102.6</v>
      </c>
      <c r="G2084" s="903"/>
    </row>
    <row r="2085" spans="1:7" ht="15" customHeight="1" x14ac:dyDescent="0.25">
      <c r="A2085" s="2352" t="s">
        <v>12868</v>
      </c>
      <c r="B2085" s="2352" t="s">
        <v>12374</v>
      </c>
      <c r="C2085" s="2352" t="s">
        <v>12374</v>
      </c>
      <c r="D2085" s="2352" t="s">
        <v>12869</v>
      </c>
      <c r="E2085" s="355">
        <v>30</v>
      </c>
      <c r="F2085" s="1662">
        <v>0.95</v>
      </c>
      <c r="G2085" s="903"/>
    </row>
    <row r="2086" spans="1:7" ht="15" customHeight="1" x14ac:dyDescent="0.25">
      <c r="A2086" s="2352" t="s">
        <v>12870</v>
      </c>
      <c r="B2086" s="2352" t="s">
        <v>12374</v>
      </c>
      <c r="C2086" s="2352" t="s">
        <v>12374</v>
      </c>
      <c r="D2086" s="2352" t="s">
        <v>12871</v>
      </c>
      <c r="E2086" s="355">
        <v>250</v>
      </c>
      <c r="F2086" s="1662">
        <v>86.45</v>
      </c>
      <c r="G2086" s="903"/>
    </row>
    <row r="2087" spans="1:7" ht="15" customHeight="1" x14ac:dyDescent="0.25">
      <c r="A2087" s="2352" t="s">
        <v>12872</v>
      </c>
      <c r="B2087" s="2352" t="s">
        <v>12374</v>
      </c>
      <c r="C2087" s="2352" t="s">
        <v>12374</v>
      </c>
      <c r="D2087" s="2352" t="s">
        <v>12873</v>
      </c>
      <c r="E2087" s="355">
        <v>63</v>
      </c>
      <c r="F2087" s="1662">
        <v>29.45</v>
      </c>
      <c r="G2087" s="903"/>
    </row>
    <row r="2088" spans="1:7" ht="15" customHeight="1" x14ac:dyDescent="0.25">
      <c r="A2088" s="2352" t="s">
        <v>12874</v>
      </c>
      <c r="B2088" s="2352" t="s">
        <v>12374</v>
      </c>
      <c r="C2088" s="2352" t="s">
        <v>12374</v>
      </c>
      <c r="D2088" s="2352" t="s">
        <v>12875</v>
      </c>
      <c r="E2088" s="355">
        <v>100</v>
      </c>
      <c r="F2088" s="1662">
        <v>45.6</v>
      </c>
      <c r="G2088" s="903"/>
    </row>
    <row r="2089" spans="1:7" ht="15" customHeight="1" x14ac:dyDescent="0.25">
      <c r="A2089" s="2352" t="s">
        <v>12876</v>
      </c>
      <c r="B2089" s="2352" t="s">
        <v>12374</v>
      </c>
      <c r="C2089" s="2352" t="s">
        <v>12374</v>
      </c>
      <c r="D2089" s="2352" t="s">
        <v>12877</v>
      </c>
      <c r="E2089" s="355">
        <v>63</v>
      </c>
      <c r="F2089" s="1662">
        <v>26.6</v>
      </c>
      <c r="G2089" s="903"/>
    </row>
    <row r="2090" spans="1:7" ht="15" customHeight="1" x14ac:dyDescent="0.25">
      <c r="A2090" s="2352" t="s">
        <v>12878</v>
      </c>
      <c r="B2090" s="2352" t="s">
        <v>12374</v>
      </c>
      <c r="C2090" s="2352" t="s">
        <v>12374</v>
      </c>
      <c r="D2090" s="2352" t="s">
        <v>12879</v>
      </c>
      <c r="E2090" s="355">
        <v>100</v>
      </c>
      <c r="F2090" s="1662">
        <v>1.9</v>
      </c>
      <c r="G2090" s="903"/>
    </row>
    <row r="2091" spans="1:7" ht="15" customHeight="1" x14ac:dyDescent="0.25">
      <c r="A2091" s="2352" t="s">
        <v>15140</v>
      </c>
      <c r="B2091" s="2352" t="s">
        <v>12374</v>
      </c>
      <c r="C2091" s="2352" t="s">
        <v>12374</v>
      </c>
      <c r="D2091" s="2352" t="s">
        <v>12880</v>
      </c>
      <c r="E2091" s="355">
        <v>30</v>
      </c>
      <c r="F2091" s="1662">
        <v>0</v>
      </c>
      <c r="G2091" s="903"/>
    </row>
    <row r="2092" spans="1:7" ht="15" customHeight="1" x14ac:dyDescent="0.25">
      <c r="A2092" s="2352" t="s">
        <v>15140</v>
      </c>
      <c r="B2092" s="2352" t="s">
        <v>12374</v>
      </c>
      <c r="C2092" s="2352" t="s">
        <v>12374</v>
      </c>
      <c r="D2092" s="2352" t="s">
        <v>12881</v>
      </c>
      <c r="E2092" s="355">
        <v>60</v>
      </c>
      <c r="F2092" s="1662">
        <v>2.85</v>
      </c>
      <c r="G2092" s="903"/>
    </row>
    <row r="2093" spans="1:7" ht="15" customHeight="1" x14ac:dyDescent="0.25">
      <c r="A2093" s="2352" t="s">
        <v>15140</v>
      </c>
      <c r="B2093" s="2352" t="s">
        <v>12374</v>
      </c>
      <c r="C2093" s="2352" t="s">
        <v>12374</v>
      </c>
      <c r="D2093" s="2352" t="s">
        <v>12882</v>
      </c>
      <c r="E2093" s="355">
        <v>400</v>
      </c>
      <c r="F2093" s="1662">
        <v>182.4</v>
      </c>
      <c r="G2093" s="903"/>
    </row>
    <row r="2094" spans="1:7" ht="15" customHeight="1" x14ac:dyDescent="0.25">
      <c r="A2094" s="2352" t="s">
        <v>15141</v>
      </c>
      <c r="B2094" s="2352" t="s">
        <v>12374</v>
      </c>
      <c r="C2094" s="2352" t="s">
        <v>12374</v>
      </c>
      <c r="D2094" s="2352" t="s">
        <v>12883</v>
      </c>
      <c r="E2094" s="355">
        <v>160</v>
      </c>
      <c r="F2094" s="1662">
        <v>43.7</v>
      </c>
      <c r="G2094" s="903"/>
    </row>
    <row r="2095" spans="1:7" ht="15" customHeight="1" x14ac:dyDescent="0.25">
      <c r="A2095" s="2352" t="s">
        <v>12884</v>
      </c>
      <c r="B2095" s="2352" t="s">
        <v>12374</v>
      </c>
      <c r="C2095" s="2352" t="s">
        <v>12374</v>
      </c>
      <c r="D2095" s="2352" t="s">
        <v>12885</v>
      </c>
      <c r="E2095" s="355">
        <v>63</v>
      </c>
      <c r="F2095" s="1662">
        <v>22.8</v>
      </c>
      <c r="G2095" s="903"/>
    </row>
    <row r="2096" spans="1:7" ht="15" customHeight="1" x14ac:dyDescent="0.25">
      <c r="A2096" s="2352" t="s">
        <v>12878</v>
      </c>
      <c r="B2096" s="2352" t="s">
        <v>12374</v>
      </c>
      <c r="C2096" s="2352" t="s">
        <v>12374</v>
      </c>
      <c r="D2096" s="2352" t="s">
        <v>12886</v>
      </c>
      <c r="E2096" s="355">
        <v>160</v>
      </c>
      <c r="F2096" s="1662">
        <v>32.299999999999997</v>
      </c>
      <c r="G2096" s="903"/>
    </row>
    <row r="2097" spans="1:7" ht="15" customHeight="1" x14ac:dyDescent="0.25">
      <c r="A2097" s="2352" t="s">
        <v>12878</v>
      </c>
      <c r="B2097" s="2352" t="s">
        <v>12374</v>
      </c>
      <c r="C2097" s="2352" t="s">
        <v>12374</v>
      </c>
      <c r="D2097" s="2352" t="s">
        <v>12887</v>
      </c>
      <c r="E2097" s="355">
        <v>100</v>
      </c>
      <c r="F2097" s="1662">
        <v>9.5</v>
      </c>
      <c r="G2097" s="903"/>
    </row>
    <row r="2098" spans="1:7" ht="15" customHeight="1" x14ac:dyDescent="0.25">
      <c r="A2098" s="2352" t="s">
        <v>15139</v>
      </c>
      <c r="B2098" s="2352" t="s">
        <v>12374</v>
      </c>
      <c r="C2098" s="2352" t="s">
        <v>12374</v>
      </c>
      <c r="D2098" s="2352" t="s">
        <v>12888</v>
      </c>
      <c r="E2098" s="355">
        <v>63</v>
      </c>
      <c r="F2098" s="1662">
        <v>17.100000000000001</v>
      </c>
      <c r="G2098" s="903"/>
    </row>
    <row r="2099" spans="1:7" ht="15" customHeight="1" x14ac:dyDescent="0.25">
      <c r="A2099" s="2352" t="s">
        <v>15139</v>
      </c>
      <c r="B2099" s="2352" t="s">
        <v>12374</v>
      </c>
      <c r="C2099" s="2352" t="s">
        <v>12374</v>
      </c>
      <c r="D2099" s="2352" t="s">
        <v>12889</v>
      </c>
      <c r="E2099" s="355">
        <v>250</v>
      </c>
      <c r="F2099" s="1662">
        <v>127.3</v>
      </c>
      <c r="G2099" s="903"/>
    </row>
    <row r="2100" spans="1:7" ht="15" customHeight="1" x14ac:dyDescent="0.25">
      <c r="A2100" s="2352" t="s">
        <v>15139</v>
      </c>
      <c r="B2100" s="2352" t="s">
        <v>12374</v>
      </c>
      <c r="C2100" s="2352" t="s">
        <v>12374</v>
      </c>
      <c r="D2100" s="2352" t="s">
        <v>12890</v>
      </c>
      <c r="E2100" s="355">
        <v>250</v>
      </c>
      <c r="F2100" s="1662">
        <v>99.75</v>
      </c>
      <c r="G2100" s="903"/>
    </row>
    <row r="2101" spans="1:7" ht="15" customHeight="1" x14ac:dyDescent="0.25">
      <c r="A2101" s="2352" t="s">
        <v>15139</v>
      </c>
      <c r="B2101" s="2352" t="s">
        <v>12374</v>
      </c>
      <c r="C2101" s="2352" t="s">
        <v>12374</v>
      </c>
      <c r="D2101" s="2352" t="s">
        <v>12891</v>
      </c>
      <c r="E2101" s="355">
        <v>100</v>
      </c>
      <c r="F2101" s="1662">
        <v>0</v>
      </c>
      <c r="G2101" s="903"/>
    </row>
    <row r="2102" spans="1:7" ht="15" customHeight="1" x14ac:dyDescent="0.25">
      <c r="A2102" s="2352" t="s">
        <v>15139</v>
      </c>
      <c r="B2102" s="2352" t="s">
        <v>12374</v>
      </c>
      <c r="C2102" s="2352" t="s">
        <v>12374</v>
      </c>
      <c r="D2102" s="2352" t="s">
        <v>12892</v>
      </c>
      <c r="E2102" s="355">
        <v>250</v>
      </c>
      <c r="F2102" s="1662">
        <v>88.35</v>
      </c>
      <c r="G2102" s="903"/>
    </row>
    <row r="2103" spans="1:7" ht="15" customHeight="1" x14ac:dyDescent="0.25">
      <c r="A2103" s="2352" t="s">
        <v>15139</v>
      </c>
      <c r="B2103" s="2352" t="s">
        <v>12374</v>
      </c>
      <c r="C2103" s="2352" t="s">
        <v>12374</v>
      </c>
      <c r="D2103" s="2352" t="s">
        <v>12893</v>
      </c>
      <c r="E2103" s="355">
        <v>160</v>
      </c>
      <c r="F2103" s="1662">
        <v>43.7</v>
      </c>
      <c r="G2103" s="903"/>
    </row>
    <row r="2104" spans="1:7" ht="15" customHeight="1" x14ac:dyDescent="0.25">
      <c r="A2104" s="2352" t="s">
        <v>15139</v>
      </c>
      <c r="B2104" s="2352" t="s">
        <v>12374</v>
      </c>
      <c r="C2104" s="2352" t="s">
        <v>12374</v>
      </c>
      <c r="D2104" s="2352" t="s">
        <v>12894</v>
      </c>
      <c r="E2104" s="355">
        <v>100</v>
      </c>
      <c r="F2104" s="1662">
        <v>0</v>
      </c>
      <c r="G2104" s="903"/>
    </row>
    <row r="2105" spans="1:7" ht="15" customHeight="1" x14ac:dyDescent="0.25">
      <c r="A2105" s="2352" t="s">
        <v>12895</v>
      </c>
      <c r="B2105" s="2352" t="s">
        <v>12374</v>
      </c>
      <c r="C2105" s="2352" t="s">
        <v>12374</v>
      </c>
      <c r="D2105" s="2352" t="s">
        <v>12896</v>
      </c>
      <c r="E2105" s="355">
        <v>160</v>
      </c>
      <c r="F2105" s="1662">
        <v>63.65</v>
      </c>
      <c r="G2105" s="903"/>
    </row>
    <row r="2106" spans="1:7" ht="15" customHeight="1" x14ac:dyDescent="0.25">
      <c r="A2106" s="2352" t="s">
        <v>15139</v>
      </c>
      <c r="B2106" s="2352" t="s">
        <v>12374</v>
      </c>
      <c r="C2106" s="2352" t="s">
        <v>12374</v>
      </c>
      <c r="D2106" s="2352" t="s">
        <v>12897</v>
      </c>
      <c r="E2106" s="355">
        <v>400</v>
      </c>
      <c r="F2106" s="1662">
        <v>193.8</v>
      </c>
      <c r="G2106" s="903"/>
    </row>
    <row r="2107" spans="1:7" ht="15" customHeight="1" x14ac:dyDescent="0.25">
      <c r="A2107" s="2352" t="s">
        <v>12898</v>
      </c>
      <c r="B2107" s="2352" t="s">
        <v>12374</v>
      </c>
      <c r="C2107" s="2352" t="s">
        <v>12374</v>
      </c>
      <c r="D2107" s="2352" t="s">
        <v>12899</v>
      </c>
      <c r="E2107" s="355">
        <v>100</v>
      </c>
      <c r="F2107" s="1662">
        <v>17.100000000000001</v>
      </c>
      <c r="G2107" s="903"/>
    </row>
    <row r="2108" spans="1:7" ht="15" customHeight="1" x14ac:dyDescent="0.25">
      <c r="A2108" s="2352" t="s">
        <v>15139</v>
      </c>
      <c r="B2108" s="2352" t="s">
        <v>12374</v>
      </c>
      <c r="C2108" s="2352" t="s">
        <v>12374</v>
      </c>
      <c r="D2108" s="2352" t="s">
        <v>12900</v>
      </c>
      <c r="E2108" s="355">
        <v>160</v>
      </c>
      <c r="F2108" s="1662">
        <v>45.6</v>
      </c>
      <c r="G2108" s="903"/>
    </row>
    <row r="2109" spans="1:7" ht="15" customHeight="1" x14ac:dyDescent="0.25">
      <c r="A2109" s="2352" t="s">
        <v>12901</v>
      </c>
      <c r="B2109" s="2352" t="s">
        <v>12374</v>
      </c>
      <c r="C2109" s="2352" t="s">
        <v>12374</v>
      </c>
      <c r="D2109" s="2352" t="s">
        <v>12902</v>
      </c>
      <c r="E2109" s="355">
        <v>20</v>
      </c>
      <c r="F2109" s="1662">
        <v>0.95</v>
      </c>
      <c r="G2109" s="903"/>
    </row>
    <row r="2110" spans="1:7" ht="15" customHeight="1" x14ac:dyDescent="0.25">
      <c r="A2110" s="2352" t="s">
        <v>12903</v>
      </c>
      <c r="B2110" s="2352" t="s">
        <v>12374</v>
      </c>
      <c r="C2110" s="2352" t="s">
        <v>12374</v>
      </c>
      <c r="D2110" s="2352" t="s">
        <v>12904</v>
      </c>
      <c r="E2110" s="355">
        <v>100</v>
      </c>
      <c r="F2110" s="1662">
        <v>0</v>
      </c>
      <c r="G2110" s="903"/>
    </row>
    <row r="2111" spans="1:7" ht="15" customHeight="1" x14ac:dyDescent="0.25">
      <c r="A2111" s="2352" t="s">
        <v>12905</v>
      </c>
      <c r="B2111" s="2352" t="s">
        <v>12374</v>
      </c>
      <c r="C2111" s="2352" t="s">
        <v>12374</v>
      </c>
      <c r="D2111" s="2352" t="s">
        <v>12906</v>
      </c>
      <c r="E2111" s="355">
        <v>160</v>
      </c>
      <c r="F2111" s="1662">
        <v>21.85</v>
      </c>
      <c r="G2111" s="903"/>
    </row>
    <row r="2112" spans="1:7" ht="15" customHeight="1" x14ac:dyDescent="0.25">
      <c r="A2112" s="2352" t="s">
        <v>12907</v>
      </c>
      <c r="B2112" s="2352" t="s">
        <v>12374</v>
      </c>
      <c r="C2112" s="2352" t="s">
        <v>12374</v>
      </c>
      <c r="D2112" s="2352" t="s">
        <v>12908</v>
      </c>
      <c r="E2112" s="355">
        <v>160</v>
      </c>
      <c r="F2112" s="1662">
        <v>37.049999999999997</v>
      </c>
      <c r="G2112" s="903"/>
    </row>
    <row r="2113" spans="1:7" ht="15" customHeight="1" x14ac:dyDescent="0.25">
      <c r="A2113" s="2352" t="s">
        <v>12909</v>
      </c>
      <c r="B2113" s="2352" t="s">
        <v>12374</v>
      </c>
      <c r="C2113" s="2352" t="s">
        <v>12374</v>
      </c>
      <c r="D2113" s="2352" t="s">
        <v>12910</v>
      </c>
      <c r="E2113" s="355">
        <v>60</v>
      </c>
      <c r="F2113" s="1662">
        <v>0.95</v>
      </c>
      <c r="G2113" s="903"/>
    </row>
    <row r="2114" spans="1:7" ht="15" customHeight="1" x14ac:dyDescent="0.25">
      <c r="A2114" s="2352" t="s">
        <v>12847</v>
      </c>
      <c r="B2114" s="2352" t="s">
        <v>12374</v>
      </c>
      <c r="C2114" s="2352" t="s">
        <v>12374</v>
      </c>
      <c r="D2114" s="2352" t="s">
        <v>12911</v>
      </c>
      <c r="E2114" s="355">
        <v>160</v>
      </c>
      <c r="F2114" s="1662">
        <v>23.75</v>
      </c>
      <c r="G2114" s="903"/>
    </row>
    <row r="2115" spans="1:7" ht="15" customHeight="1" x14ac:dyDescent="0.25">
      <c r="A2115" s="2352" t="s">
        <v>12907</v>
      </c>
      <c r="B2115" s="2352" t="s">
        <v>12374</v>
      </c>
      <c r="C2115" s="2352" t="s">
        <v>12374</v>
      </c>
      <c r="D2115" s="2352" t="s">
        <v>12912</v>
      </c>
      <c r="E2115" s="355">
        <v>100</v>
      </c>
      <c r="F2115" s="1662">
        <v>34.200000000000003</v>
      </c>
      <c r="G2115" s="903"/>
    </row>
    <row r="2116" spans="1:7" ht="15" customHeight="1" x14ac:dyDescent="0.25">
      <c r="A2116" s="2352" t="s">
        <v>12847</v>
      </c>
      <c r="B2116" s="2352" t="s">
        <v>12374</v>
      </c>
      <c r="C2116" s="2352" t="s">
        <v>12374</v>
      </c>
      <c r="D2116" s="2352" t="s">
        <v>12913</v>
      </c>
      <c r="E2116" s="355">
        <v>250</v>
      </c>
      <c r="F2116" s="1662">
        <v>179.55</v>
      </c>
      <c r="G2116" s="903"/>
    </row>
    <row r="2117" spans="1:7" ht="15" customHeight="1" x14ac:dyDescent="0.25">
      <c r="A2117" s="2352" t="s">
        <v>12909</v>
      </c>
      <c r="B2117" s="2352" t="s">
        <v>12374</v>
      </c>
      <c r="C2117" s="2352" t="s">
        <v>12374</v>
      </c>
      <c r="D2117" s="2352" t="s">
        <v>12914</v>
      </c>
      <c r="E2117" s="355">
        <v>63</v>
      </c>
      <c r="F2117" s="1662">
        <v>6.65</v>
      </c>
      <c r="G2117" s="903"/>
    </row>
    <row r="2118" spans="1:7" ht="15" customHeight="1" x14ac:dyDescent="0.25">
      <c r="A2118" s="2352" t="s">
        <v>12903</v>
      </c>
      <c r="B2118" s="2352" t="s">
        <v>12374</v>
      </c>
      <c r="C2118" s="2352" t="s">
        <v>12374</v>
      </c>
      <c r="D2118" s="2352" t="s">
        <v>12915</v>
      </c>
      <c r="E2118" s="355">
        <v>63</v>
      </c>
      <c r="F2118" s="1662">
        <v>3.8</v>
      </c>
      <c r="G2118" s="903"/>
    </row>
    <row r="2119" spans="1:7" ht="15" customHeight="1" x14ac:dyDescent="0.25">
      <c r="A2119" s="2352" t="s">
        <v>12903</v>
      </c>
      <c r="B2119" s="2352" t="s">
        <v>12374</v>
      </c>
      <c r="C2119" s="2352" t="s">
        <v>12374</v>
      </c>
      <c r="D2119" s="2352" t="s">
        <v>12916</v>
      </c>
      <c r="E2119" s="355">
        <v>250</v>
      </c>
      <c r="F2119" s="1662">
        <v>72.2</v>
      </c>
      <c r="G2119" s="903"/>
    </row>
    <row r="2120" spans="1:7" ht="15" customHeight="1" x14ac:dyDescent="0.25">
      <c r="A2120" s="2352" t="s">
        <v>12903</v>
      </c>
      <c r="B2120" s="2352" t="s">
        <v>12374</v>
      </c>
      <c r="C2120" s="2352" t="s">
        <v>12374</v>
      </c>
      <c r="D2120" s="2352" t="s">
        <v>12917</v>
      </c>
      <c r="E2120" s="355">
        <v>250</v>
      </c>
      <c r="F2120" s="1662">
        <v>158.65</v>
      </c>
      <c r="G2120" s="903"/>
    </row>
    <row r="2121" spans="1:7" ht="15" customHeight="1" x14ac:dyDescent="0.25">
      <c r="A2121" s="2352" t="s">
        <v>12903</v>
      </c>
      <c r="B2121" s="2352" t="s">
        <v>12374</v>
      </c>
      <c r="C2121" s="2352" t="s">
        <v>12374</v>
      </c>
      <c r="D2121" s="2352" t="s">
        <v>12918</v>
      </c>
      <c r="E2121" s="355">
        <v>250</v>
      </c>
      <c r="F2121" s="1662">
        <v>153.9</v>
      </c>
      <c r="G2121" s="903"/>
    </row>
    <row r="2122" spans="1:7" ht="15" customHeight="1" x14ac:dyDescent="0.25">
      <c r="A2122" s="2352" t="s">
        <v>12531</v>
      </c>
      <c r="B2122" s="2352" t="s">
        <v>12374</v>
      </c>
      <c r="C2122" s="2352" t="s">
        <v>12374</v>
      </c>
      <c r="D2122" s="2352" t="s">
        <v>12919</v>
      </c>
      <c r="E2122" s="355">
        <v>100</v>
      </c>
      <c r="F2122" s="1662">
        <v>31.35</v>
      </c>
      <c r="G2122" s="903"/>
    </row>
    <row r="2123" spans="1:7" ht="15" customHeight="1" x14ac:dyDescent="0.25">
      <c r="A2123" s="2352" t="s">
        <v>12920</v>
      </c>
      <c r="B2123" s="2352" t="s">
        <v>12374</v>
      </c>
      <c r="C2123" s="2352" t="s">
        <v>12374</v>
      </c>
      <c r="D2123" s="2352" t="s">
        <v>12921</v>
      </c>
      <c r="E2123" s="355">
        <v>400</v>
      </c>
      <c r="F2123" s="1662">
        <v>351.5</v>
      </c>
      <c r="G2123" s="903"/>
    </row>
    <row r="2124" spans="1:7" ht="15" customHeight="1" x14ac:dyDescent="0.25">
      <c r="A2124" s="2352" t="s">
        <v>12920</v>
      </c>
      <c r="B2124" s="2352" t="s">
        <v>12374</v>
      </c>
      <c r="C2124" s="2352" t="s">
        <v>12374</v>
      </c>
      <c r="D2124" s="2352" t="s">
        <v>12922</v>
      </c>
      <c r="E2124" s="355">
        <v>630</v>
      </c>
      <c r="F2124" s="1662">
        <v>197.6</v>
      </c>
      <c r="G2124" s="903"/>
    </row>
    <row r="2125" spans="1:7" ht="15" customHeight="1" x14ac:dyDescent="0.25">
      <c r="A2125" s="2352" t="s">
        <v>12923</v>
      </c>
      <c r="B2125" s="2352" t="s">
        <v>12374</v>
      </c>
      <c r="C2125" s="2352" t="s">
        <v>12374</v>
      </c>
      <c r="D2125" s="2352" t="s">
        <v>12924</v>
      </c>
      <c r="E2125" s="355">
        <v>180</v>
      </c>
      <c r="F2125" s="1662">
        <v>26.6</v>
      </c>
      <c r="G2125" s="903"/>
    </row>
    <row r="2126" spans="1:7" ht="15" customHeight="1" x14ac:dyDescent="0.25">
      <c r="A2126" s="2352" t="s">
        <v>12925</v>
      </c>
      <c r="B2126" s="2352" t="s">
        <v>12374</v>
      </c>
      <c r="C2126" s="2352" t="s">
        <v>12374</v>
      </c>
      <c r="D2126" s="2352" t="s">
        <v>12926</v>
      </c>
      <c r="E2126" s="355">
        <v>160</v>
      </c>
      <c r="F2126" s="1662">
        <v>59.85</v>
      </c>
      <c r="G2126" s="903"/>
    </row>
    <row r="2127" spans="1:7" ht="15" customHeight="1" x14ac:dyDescent="0.25">
      <c r="A2127" s="2352" t="s">
        <v>6860</v>
      </c>
      <c r="B2127" s="2352" t="s">
        <v>12374</v>
      </c>
      <c r="C2127" s="2352" t="s">
        <v>12374</v>
      </c>
      <c r="D2127" s="2352" t="s">
        <v>12927</v>
      </c>
      <c r="E2127" s="355">
        <v>160</v>
      </c>
      <c r="F2127" s="1662">
        <v>33.25</v>
      </c>
      <c r="G2127" s="903"/>
    </row>
    <row r="2128" spans="1:7" ht="15" customHeight="1" x14ac:dyDescent="0.25">
      <c r="A2128" s="2352" t="s">
        <v>12928</v>
      </c>
      <c r="B2128" s="2352" t="s">
        <v>12374</v>
      </c>
      <c r="C2128" s="2352" t="s">
        <v>12374</v>
      </c>
      <c r="D2128" s="2352" t="s">
        <v>12929</v>
      </c>
      <c r="E2128" s="355">
        <v>100</v>
      </c>
      <c r="F2128" s="1662">
        <v>36.1</v>
      </c>
      <c r="G2128" s="903"/>
    </row>
    <row r="2129" spans="1:7" ht="15" customHeight="1" x14ac:dyDescent="0.25">
      <c r="A2129" s="2352" t="s">
        <v>12925</v>
      </c>
      <c r="B2129" s="2352" t="s">
        <v>12374</v>
      </c>
      <c r="C2129" s="2352" t="s">
        <v>12374</v>
      </c>
      <c r="D2129" s="2352" t="s">
        <v>12930</v>
      </c>
      <c r="E2129" s="355">
        <v>160</v>
      </c>
      <c r="F2129" s="1662">
        <v>63.65</v>
      </c>
      <c r="G2129" s="903"/>
    </row>
    <row r="2130" spans="1:7" ht="15" customHeight="1" x14ac:dyDescent="0.25">
      <c r="A2130" s="2352" t="s">
        <v>15142</v>
      </c>
      <c r="B2130" s="2352" t="s">
        <v>12374</v>
      </c>
      <c r="C2130" s="2352" t="s">
        <v>12374</v>
      </c>
      <c r="D2130" s="2352" t="s">
        <v>12931</v>
      </c>
      <c r="E2130" s="355">
        <v>250</v>
      </c>
      <c r="F2130" s="1662">
        <v>68.400000000000006</v>
      </c>
      <c r="G2130" s="903"/>
    </row>
    <row r="2131" spans="1:7" ht="15" customHeight="1" x14ac:dyDescent="0.25">
      <c r="A2131" s="2352" t="s">
        <v>15143</v>
      </c>
      <c r="B2131" s="2352" t="s">
        <v>12374</v>
      </c>
      <c r="C2131" s="2352" t="s">
        <v>12374</v>
      </c>
      <c r="D2131" s="2352" t="s">
        <v>12932</v>
      </c>
      <c r="E2131" s="355" t="s">
        <v>6280</v>
      </c>
      <c r="F2131" s="1662">
        <v>401.85</v>
      </c>
      <c r="G2131" s="903"/>
    </row>
    <row r="2132" spans="1:7" ht="15" customHeight="1" x14ac:dyDescent="0.25">
      <c r="A2132" s="2352" t="s">
        <v>12933</v>
      </c>
      <c r="B2132" s="2352" t="s">
        <v>12374</v>
      </c>
      <c r="C2132" s="2352" t="s">
        <v>12374</v>
      </c>
      <c r="D2132" s="2352" t="s">
        <v>12934</v>
      </c>
      <c r="E2132" s="355">
        <v>100</v>
      </c>
      <c r="F2132" s="1662">
        <v>11.4</v>
      </c>
      <c r="G2132" s="903"/>
    </row>
    <row r="2133" spans="1:7" ht="15" customHeight="1" x14ac:dyDescent="0.25">
      <c r="A2133" s="2352" t="s">
        <v>12935</v>
      </c>
      <c r="B2133" s="2352" t="s">
        <v>12374</v>
      </c>
      <c r="C2133" s="2352" t="s">
        <v>12374</v>
      </c>
      <c r="D2133" s="2352" t="s">
        <v>12936</v>
      </c>
      <c r="E2133" s="355">
        <v>250</v>
      </c>
      <c r="F2133" s="1662">
        <v>69.349999999999994</v>
      </c>
      <c r="G2133" s="903"/>
    </row>
    <row r="2134" spans="1:7" ht="15" customHeight="1" x14ac:dyDescent="0.25">
      <c r="A2134" s="2352" t="s">
        <v>12937</v>
      </c>
      <c r="B2134" s="2352" t="s">
        <v>12374</v>
      </c>
      <c r="C2134" s="2352" t="s">
        <v>12374</v>
      </c>
      <c r="D2134" s="2352" t="s">
        <v>12938</v>
      </c>
      <c r="E2134" s="355">
        <v>100</v>
      </c>
      <c r="F2134" s="1662">
        <v>12.35</v>
      </c>
      <c r="G2134" s="903"/>
    </row>
    <row r="2135" spans="1:7" ht="15" customHeight="1" x14ac:dyDescent="0.25">
      <c r="A2135" s="2352" t="s">
        <v>12939</v>
      </c>
      <c r="B2135" s="2352" t="s">
        <v>12374</v>
      </c>
      <c r="C2135" s="2352" t="s">
        <v>12374</v>
      </c>
      <c r="D2135" s="2352" t="s">
        <v>12940</v>
      </c>
      <c r="E2135" s="355">
        <v>100</v>
      </c>
      <c r="F2135" s="1662">
        <v>0</v>
      </c>
      <c r="G2135" s="903"/>
    </row>
    <row r="2136" spans="1:7" ht="15" customHeight="1" x14ac:dyDescent="0.25">
      <c r="A2136" s="2352" t="s">
        <v>12941</v>
      </c>
      <c r="B2136" s="2352" t="s">
        <v>12374</v>
      </c>
      <c r="C2136" s="2352" t="s">
        <v>12374</v>
      </c>
      <c r="D2136" s="2352" t="s">
        <v>12942</v>
      </c>
      <c r="E2136" s="355">
        <v>160</v>
      </c>
      <c r="F2136" s="1662">
        <v>19.95</v>
      </c>
      <c r="G2136" s="903"/>
    </row>
    <row r="2137" spans="1:7" ht="15" customHeight="1" x14ac:dyDescent="0.25">
      <c r="A2137" s="2352" t="s">
        <v>12422</v>
      </c>
      <c r="B2137" s="2352" t="s">
        <v>12374</v>
      </c>
      <c r="C2137" s="2352" t="s">
        <v>12374</v>
      </c>
      <c r="D2137" s="2352" t="s">
        <v>12943</v>
      </c>
      <c r="E2137" s="355">
        <v>63</v>
      </c>
      <c r="F2137" s="1662">
        <v>13.3</v>
      </c>
      <c r="G2137" s="903"/>
    </row>
    <row r="2138" spans="1:7" ht="15" customHeight="1" x14ac:dyDescent="0.25">
      <c r="A2138" s="2352" t="s">
        <v>12422</v>
      </c>
      <c r="B2138" s="2352" t="s">
        <v>12374</v>
      </c>
      <c r="C2138" s="2352" t="s">
        <v>12374</v>
      </c>
      <c r="D2138" s="2352" t="s">
        <v>12944</v>
      </c>
      <c r="E2138" s="355">
        <v>315</v>
      </c>
      <c r="F2138" s="1662">
        <v>109.25</v>
      </c>
      <c r="G2138" s="903"/>
    </row>
    <row r="2139" spans="1:7" ht="15" customHeight="1" x14ac:dyDescent="0.25">
      <c r="A2139" s="2352" t="s">
        <v>12945</v>
      </c>
      <c r="B2139" s="2352" t="s">
        <v>12374</v>
      </c>
      <c r="C2139" s="2352" t="s">
        <v>12374</v>
      </c>
      <c r="D2139" s="2352" t="s">
        <v>12946</v>
      </c>
      <c r="E2139" s="355">
        <v>100</v>
      </c>
      <c r="F2139" s="1662">
        <v>14.25</v>
      </c>
      <c r="G2139" s="903"/>
    </row>
    <row r="2140" spans="1:7" ht="15" customHeight="1" x14ac:dyDescent="0.25">
      <c r="A2140" s="2352" t="s">
        <v>12945</v>
      </c>
      <c r="B2140" s="2352" t="s">
        <v>12374</v>
      </c>
      <c r="C2140" s="2352" t="s">
        <v>12374</v>
      </c>
      <c r="D2140" s="2352" t="s">
        <v>12947</v>
      </c>
      <c r="E2140" s="355">
        <v>100</v>
      </c>
      <c r="F2140" s="1662">
        <v>25.65</v>
      </c>
      <c r="G2140" s="903"/>
    </row>
    <row r="2141" spans="1:7" ht="15" customHeight="1" x14ac:dyDescent="0.25">
      <c r="A2141" s="2352" t="s">
        <v>12948</v>
      </c>
      <c r="B2141" s="2352" t="s">
        <v>12374</v>
      </c>
      <c r="C2141" s="2352" t="s">
        <v>12374</v>
      </c>
      <c r="D2141" s="2352" t="s">
        <v>12949</v>
      </c>
      <c r="E2141" s="355">
        <v>100</v>
      </c>
      <c r="F2141" s="1662">
        <v>29.45</v>
      </c>
      <c r="G2141" s="903"/>
    </row>
    <row r="2142" spans="1:7" ht="15" customHeight="1" x14ac:dyDescent="0.25">
      <c r="A2142" s="2352" t="s">
        <v>12971</v>
      </c>
      <c r="B2142" s="2352" t="s">
        <v>12374</v>
      </c>
      <c r="C2142" s="2352" t="s">
        <v>12374</v>
      </c>
      <c r="D2142" s="2352" t="s">
        <v>12950</v>
      </c>
      <c r="E2142" s="355" t="s">
        <v>6278</v>
      </c>
      <c r="F2142" s="1662">
        <v>299.25</v>
      </c>
      <c r="G2142" s="903"/>
    </row>
    <row r="2143" spans="1:7" ht="15" customHeight="1" x14ac:dyDescent="0.25">
      <c r="A2143" s="2352" t="s">
        <v>15144</v>
      </c>
      <c r="B2143" s="2352" t="s">
        <v>12374</v>
      </c>
      <c r="C2143" s="2352" t="s">
        <v>12374</v>
      </c>
      <c r="D2143" s="2352" t="s">
        <v>12951</v>
      </c>
      <c r="E2143" s="355">
        <v>160</v>
      </c>
      <c r="F2143" s="1662">
        <v>135.54551732809568</v>
      </c>
      <c r="G2143" s="903"/>
    </row>
    <row r="2144" spans="1:7" ht="15" customHeight="1" x14ac:dyDescent="0.25">
      <c r="A2144" s="2352" t="s">
        <v>12952</v>
      </c>
      <c r="B2144" s="2352" t="s">
        <v>12374</v>
      </c>
      <c r="C2144" s="2352" t="s">
        <v>12374</v>
      </c>
      <c r="D2144" s="2352" t="s">
        <v>12953</v>
      </c>
      <c r="E2144" s="355">
        <v>250</v>
      </c>
      <c r="F2144" s="1662">
        <v>120.34408337604114</v>
      </c>
      <c r="G2144" s="903"/>
    </row>
    <row r="2145" spans="1:7" ht="15" customHeight="1" x14ac:dyDescent="0.25">
      <c r="A2145" s="2352" t="s">
        <v>12952</v>
      </c>
      <c r="B2145" s="2352" t="s">
        <v>12374</v>
      </c>
      <c r="C2145" s="2352" t="s">
        <v>12374</v>
      </c>
      <c r="D2145" s="2352" t="s">
        <v>12954</v>
      </c>
      <c r="E2145" s="355">
        <v>160</v>
      </c>
      <c r="F2145" s="1662">
        <v>41.425876444802867</v>
      </c>
      <c r="G2145" s="903"/>
    </row>
    <row r="2146" spans="1:7" ht="15" customHeight="1" x14ac:dyDescent="0.25">
      <c r="A2146" s="2352" t="s">
        <v>12952</v>
      </c>
      <c r="B2146" s="2352" t="s">
        <v>12374</v>
      </c>
      <c r="C2146" s="2352" t="s">
        <v>12374</v>
      </c>
      <c r="D2146" s="2352" t="s">
        <v>12955</v>
      </c>
      <c r="E2146" s="355">
        <v>250</v>
      </c>
      <c r="F2146" s="1662">
        <v>0</v>
      </c>
      <c r="G2146" s="903"/>
    </row>
    <row r="2147" spans="1:7" ht="15" customHeight="1" x14ac:dyDescent="0.25">
      <c r="A2147" s="2352" t="s">
        <v>12952</v>
      </c>
      <c r="B2147" s="2352" t="s">
        <v>12374</v>
      </c>
      <c r="C2147" s="2352" t="s">
        <v>12374</v>
      </c>
      <c r="D2147" s="2352" t="s">
        <v>12956</v>
      </c>
      <c r="E2147" s="355">
        <v>160</v>
      </c>
      <c r="F2147" s="1662">
        <v>1.9</v>
      </c>
      <c r="G2147" s="903"/>
    </row>
    <row r="2148" spans="1:7" ht="15" customHeight="1" x14ac:dyDescent="0.25">
      <c r="A2148" s="2352" t="s">
        <v>12952</v>
      </c>
      <c r="B2148" s="2352" t="s">
        <v>12374</v>
      </c>
      <c r="C2148" s="2352" t="s">
        <v>12374</v>
      </c>
      <c r="D2148" s="2352" t="s">
        <v>12957</v>
      </c>
      <c r="E2148" s="355">
        <v>160</v>
      </c>
      <c r="F2148" s="1662">
        <v>71.25</v>
      </c>
      <c r="G2148" s="903"/>
    </row>
    <row r="2149" spans="1:7" ht="15" customHeight="1" x14ac:dyDescent="0.25">
      <c r="A2149" s="2352" t="s">
        <v>12952</v>
      </c>
      <c r="B2149" s="2352" t="s">
        <v>12374</v>
      </c>
      <c r="C2149" s="2352" t="s">
        <v>12374</v>
      </c>
      <c r="D2149" s="2352" t="s">
        <v>12958</v>
      </c>
      <c r="E2149" s="355">
        <v>160</v>
      </c>
      <c r="F2149" s="1662">
        <v>86.182069312382652</v>
      </c>
      <c r="G2149" s="903"/>
    </row>
    <row r="2150" spans="1:7" ht="15" customHeight="1" x14ac:dyDescent="0.25">
      <c r="A2150" s="2352" t="s">
        <v>12952</v>
      </c>
      <c r="B2150" s="2352" t="s">
        <v>12374</v>
      </c>
      <c r="C2150" s="2352" t="s">
        <v>12374</v>
      </c>
      <c r="D2150" s="2352" t="s">
        <v>12959</v>
      </c>
      <c r="E2150" s="355">
        <v>160</v>
      </c>
      <c r="F2150" s="1662">
        <v>56.05</v>
      </c>
      <c r="G2150" s="903"/>
    </row>
    <row r="2151" spans="1:7" ht="15" customHeight="1" x14ac:dyDescent="0.25">
      <c r="A2151" s="2352" t="s">
        <v>12960</v>
      </c>
      <c r="B2151" s="2352" t="s">
        <v>12374</v>
      </c>
      <c r="C2151" s="2352" t="s">
        <v>12374</v>
      </c>
      <c r="D2151" s="2352" t="s">
        <v>12961</v>
      </c>
      <c r="E2151" s="355">
        <v>250</v>
      </c>
      <c r="F2151" s="1662">
        <v>113.05</v>
      </c>
      <c r="G2151" s="903"/>
    </row>
    <row r="2152" spans="1:7" ht="15" customHeight="1" x14ac:dyDescent="0.25">
      <c r="A2152" s="2352" t="s">
        <v>12960</v>
      </c>
      <c r="B2152" s="2352" t="s">
        <v>12374</v>
      </c>
      <c r="C2152" s="2352" t="s">
        <v>12374</v>
      </c>
      <c r="D2152" s="2352" t="s">
        <v>12962</v>
      </c>
      <c r="E2152" s="355">
        <v>100</v>
      </c>
      <c r="F2152" s="1662">
        <v>30.4</v>
      </c>
      <c r="G2152" s="903"/>
    </row>
    <row r="2153" spans="1:7" ht="15" customHeight="1" x14ac:dyDescent="0.25">
      <c r="A2153" s="2352" t="s">
        <v>7076</v>
      </c>
      <c r="B2153" s="2352" t="s">
        <v>12374</v>
      </c>
      <c r="C2153" s="2352" t="s">
        <v>12374</v>
      </c>
      <c r="D2153" s="2352" t="s">
        <v>12963</v>
      </c>
      <c r="E2153" s="355">
        <v>250</v>
      </c>
      <c r="F2153" s="1662">
        <v>163.4</v>
      </c>
      <c r="G2153" s="903"/>
    </row>
    <row r="2154" spans="1:7" ht="15" customHeight="1" x14ac:dyDescent="0.25">
      <c r="A2154" s="2352" t="s">
        <v>12952</v>
      </c>
      <c r="B2154" s="2352" t="s">
        <v>12374</v>
      </c>
      <c r="C2154" s="2352" t="s">
        <v>12374</v>
      </c>
      <c r="D2154" s="2352" t="s">
        <v>12964</v>
      </c>
      <c r="E2154" s="355">
        <v>400</v>
      </c>
      <c r="F2154" s="1662">
        <v>212.8</v>
      </c>
      <c r="G2154" s="903"/>
    </row>
    <row r="2155" spans="1:7" ht="15" customHeight="1" x14ac:dyDescent="0.25">
      <c r="A2155" s="2352" t="s">
        <v>12952</v>
      </c>
      <c r="B2155" s="2352" t="s">
        <v>12374</v>
      </c>
      <c r="C2155" s="2352" t="s">
        <v>12374</v>
      </c>
      <c r="D2155" s="2352" t="s">
        <v>12965</v>
      </c>
      <c r="E2155" s="355">
        <v>400</v>
      </c>
      <c r="F2155" s="1662">
        <v>215.65</v>
      </c>
      <c r="G2155" s="903"/>
    </row>
    <row r="2156" spans="1:7" ht="15" customHeight="1" x14ac:dyDescent="0.25">
      <c r="A2156" s="2352" t="s">
        <v>12952</v>
      </c>
      <c r="B2156" s="2352" t="s">
        <v>12374</v>
      </c>
      <c r="C2156" s="2352" t="s">
        <v>12374</v>
      </c>
      <c r="D2156" s="2352" t="s">
        <v>12966</v>
      </c>
      <c r="E2156" s="355" t="s">
        <v>6278</v>
      </c>
      <c r="F2156" s="1662">
        <v>413.25</v>
      </c>
      <c r="G2156" s="903"/>
    </row>
    <row r="2157" spans="1:7" ht="15" customHeight="1" x14ac:dyDescent="0.25">
      <c r="A2157" s="2352" t="s">
        <v>12952</v>
      </c>
      <c r="B2157" s="2352" t="s">
        <v>12374</v>
      </c>
      <c r="C2157" s="2352" t="s">
        <v>12374</v>
      </c>
      <c r="D2157" s="2352" t="s">
        <v>12967</v>
      </c>
      <c r="E2157" s="355">
        <v>400</v>
      </c>
      <c r="F2157" s="1662">
        <v>237.5</v>
      </c>
      <c r="G2157" s="903"/>
    </row>
    <row r="2158" spans="1:7" ht="15" customHeight="1" x14ac:dyDescent="0.25">
      <c r="A2158" s="2352" t="s">
        <v>12960</v>
      </c>
      <c r="B2158" s="2352" t="s">
        <v>12374</v>
      </c>
      <c r="C2158" s="2352" t="s">
        <v>12374</v>
      </c>
      <c r="D2158" s="2352" t="s">
        <v>12968</v>
      </c>
      <c r="E2158" s="355">
        <v>160</v>
      </c>
      <c r="F2158" s="1662">
        <v>110.2</v>
      </c>
      <c r="G2158" s="903"/>
    </row>
    <row r="2159" spans="1:7" ht="15" customHeight="1" x14ac:dyDescent="0.25">
      <c r="A2159" s="2352" t="s">
        <v>12969</v>
      </c>
      <c r="B2159" s="2352" t="s">
        <v>12374</v>
      </c>
      <c r="C2159" s="2352" t="s">
        <v>12374</v>
      </c>
      <c r="D2159" s="2352" t="s">
        <v>12970</v>
      </c>
      <c r="E2159" s="355">
        <v>63</v>
      </c>
      <c r="F2159" s="1662">
        <v>35.15</v>
      </c>
      <c r="G2159" s="903"/>
    </row>
    <row r="2160" spans="1:7" ht="15" customHeight="1" x14ac:dyDescent="0.25">
      <c r="A2160" s="2352" t="s">
        <v>12971</v>
      </c>
      <c r="B2160" s="2352" t="s">
        <v>12374</v>
      </c>
      <c r="C2160" s="2352" t="s">
        <v>12374</v>
      </c>
      <c r="D2160" s="2352" t="s">
        <v>12972</v>
      </c>
      <c r="E2160" s="355">
        <v>160</v>
      </c>
      <c r="F2160" s="1662">
        <v>71.25</v>
      </c>
      <c r="G2160" s="903"/>
    </row>
    <row r="2161" spans="1:7" ht="15" customHeight="1" x14ac:dyDescent="0.25">
      <c r="A2161" s="2352" t="s">
        <v>12659</v>
      </c>
      <c r="B2161" s="2352" t="s">
        <v>12374</v>
      </c>
      <c r="C2161" s="2352" t="s">
        <v>12374</v>
      </c>
      <c r="D2161" s="2352" t="s">
        <v>12973</v>
      </c>
      <c r="E2161" s="355">
        <v>63</v>
      </c>
      <c r="F2161" s="1662">
        <v>25.65</v>
      </c>
      <c r="G2161" s="903"/>
    </row>
    <row r="2162" spans="1:7" ht="15" customHeight="1" x14ac:dyDescent="0.25">
      <c r="A2162" s="2352" t="s">
        <v>12974</v>
      </c>
      <c r="B2162" s="2352" t="s">
        <v>12374</v>
      </c>
      <c r="C2162" s="2352" t="s">
        <v>12374</v>
      </c>
      <c r="D2162" s="2352" t="s">
        <v>12975</v>
      </c>
      <c r="E2162" s="355" t="s">
        <v>6278</v>
      </c>
      <c r="F2162" s="1662">
        <v>357.2</v>
      </c>
      <c r="G2162" s="903"/>
    </row>
    <row r="2163" spans="1:7" ht="15" customHeight="1" x14ac:dyDescent="0.25">
      <c r="A2163" s="2352" t="s">
        <v>12579</v>
      </c>
      <c r="B2163" s="2352" t="s">
        <v>12374</v>
      </c>
      <c r="C2163" s="2352" t="s">
        <v>12374</v>
      </c>
      <c r="D2163" s="2352" t="s">
        <v>12976</v>
      </c>
      <c r="E2163" s="355">
        <v>400</v>
      </c>
      <c r="F2163" s="1662">
        <v>203.3</v>
      </c>
      <c r="G2163" s="903"/>
    </row>
    <row r="2164" spans="1:7" ht="15" customHeight="1" x14ac:dyDescent="0.25">
      <c r="A2164" s="2352" t="s">
        <v>12977</v>
      </c>
      <c r="B2164" s="2352" t="s">
        <v>12374</v>
      </c>
      <c r="C2164" s="2352" t="s">
        <v>12374</v>
      </c>
      <c r="D2164" s="2352" t="s">
        <v>12978</v>
      </c>
      <c r="E2164" s="355">
        <v>160</v>
      </c>
      <c r="F2164" s="1662">
        <v>0</v>
      </c>
      <c r="G2164" s="903"/>
    </row>
    <row r="2165" spans="1:7" ht="15" customHeight="1" x14ac:dyDescent="0.25">
      <c r="A2165" s="2352" t="s">
        <v>12979</v>
      </c>
      <c r="B2165" s="2352" t="s">
        <v>12374</v>
      </c>
      <c r="C2165" s="2352" t="s">
        <v>12374</v>
      </c>
      <c r="D2165" s="2352" t="s">
        <v>12980</v>
      </c>
      <c r="E2165" s="355">
        <v>25</v>
      </c>
      <c r="F2165" s="1662">
        <v>0</v>
      </c>
      <c r="G2165" s="903"/>
    </row>
    <row r="2166" spans="1:7" ht="15" customHeight="1" x14ac:dyDescent="0.25">
      <c r="A2166" s="2352" t="s">
        <v>12981</v>
      </c>
      <c r="B2166" s="2352" t="s">
        <v>12374</v>
      </c>
      <c r="C2166" s="2352" t="s">
        <v>12374</v>
      </c>
      <c r="D2166" s="2352" t="s">
        <v>12982</v>
      </c>
      <c r="E2166" s="355">
        <v>20</v>
      </c>
      <c r="F2166" s="1662">
        <v>0</v>
      </c>
      <c r="G2166" s="903"/>
    </row>
    <row r="2167" spans="1:7" ht="15" customHeight="1" x14ac:dyDescent="0.25">
      <c r="A2167" s="2352" t="s">
        <v>6982</v>
      </c>
      <c r="B2167" s="2352" t="s">
        <v>12374</v>
      </c>
      <c r="C2167" s="2352" t="s">
        <v>12374</v>
      </c>
      <c r="D2167" s="2352" t="s">
        <v>12983</v>
      </c>
      <c r="E2167" s="355">
        <v>63</v>
      </c>
      <c r="F2167" s="1662">
        <v>0</v>
      </c>
      <c r="G2167" s="903"/>
    </row>
    <row r="2168" spans="1:7" ht="15" customHeight="1" x14ac:dyDescent="0.25">
      <c r="A2168" s="2352" t="s">
        <v>12984</v>
      </c>
      <c r="B2168" s="2352" t="s">
        <v>12698</v>
      </c>
      <c r="C2168" s="2352" t="s">
        <v>12374</v>
      </c>
      <c r="D2168" s="2352" t="s">
        <v>12985</v>
      </c>
      <c r="E2168" s="355">
        <v>40</v>
      </c>
      <c r="F2168" s="1662">
        <v>2.85</v>
      </c>
      <c r="G2168" s="903"/>
    </row>
    <row r="2169" spans="1:7" ht="15" customHeight="1" x14ac:dyDescent="0.25">
      <c r="A2169" s="2352" t="s">
        <v>12986</v>
      </c>
      <c r="B2169" s="2352" t="s">
        <v>12698</v>
      </c>
      <c r="C2169" s="2352" t="s">
        <v>12374</v>
      </c>
      <c r="D2169" s="2352" t="s">
        <v>12987</v>
      </c>
      <c r="E2169" s="355">
        <v>60</v>
      </c>
      <c r="F2169" s="1662">
        <v>0</v>
      </c>
      <c r="G2169" s="903"/>
    </row>
    <row r="2170" spans="1:7" ht="15" customHeight="1" x14ac:dyDescent="0.25">
      <c r="A2170" s="2352" t="s">
        <v>12988</v>
      </c>
      <c r="B2170" s="2352" t="s">
        <v>12698</v>
      </c>
      <c r="C2170" s="2352" t="s">
        <v>12374</v>
      </c>
      <c r="D2170" s="2352" t="s">
        <v>12989</v>
      </c>
      <c r="E2170" s="355">
        <v>100</v>
      </c>
      <c r="F2170" s="1662">
        <v>22.8</v>
      </c>
      <c r="G2170" s="903"/>
    </row>
    <row r="2171" spans="1:7" ht="15" customHeight="1" x14ac:dyDescent="0.25">
      <c r="A2171" s="2352" t="s">
        <v>12990</v>
      </c>
      <c r="B2171" s="2352" t="s">
        <v>12374</v>
      </c>
      <c r="C2171" s="2352" t="s">
        <v>12374</v>
      </c>
      <c r="D2171" s="2352" t="s">
        <v>12991</v>
      </c>
      <c r="E2171" s="355">
        <v>63</v>
      </c>
      <c r="F2171" s="1662">
        <v>17.100000000000001</v>
      </c>
      <c r="G2171" s="903"/>
    </row>
    <row r="2172" spans="1:7" ht="15" customHeight="1" x14ac:dyDescent="0.25">
      <c r="A2172" s="2352" t="s">
        <v>12992</v>
      </c>
      <c r="B2172" s="2352" t="s">
        <v>12698</v>
      </c>
      <c r="C2172" s="2352" t="s">
        <v>12374</v>
      </c>
      <c r="D2172" s="2352" t="s">
        <v>12993</v>
      </c>
      <c r="E2172" s="355">
        <v>320</v>
      </c>
      <c r="F2172" s="1662">
        <v>131.1</v>
      </c>
      <c r="G2172" s="903"/>
    </row>
    <row r="2173" spans="1:7" ht="15" customHeight="1" x14ac:dyDescent="0.25">
      <c r="A2173" s="2352" t="s">
        <v>12994</v>
      </c>
      <c r="B2173" s="2352" t="s">
        <v>12698</v>
      </c>
      <c r="C2173" s="2352" t="s">
        <v>12374</v>
      </c>
      <c r="D2173" s="2352" t="s">
        <v>12995</v>
      </c>
      <c r="E2173" s="355">
        <v>63</v>
      </c>
      <c r="F2173" s="1662">
        <v>18.05</v>
      </c>
      <c r="G2173" s="903"/>
    </row>
    <row r="2174" spans="1:7" ht="15" customHeight="1" x14ac:dyDescent="0.25">
      <c r="A2174" s="2352" t="s">
        <v>15145</v>
      </c>
      <c r="B2174" s="2352" t="s">
        <v>12698</v>
      </c>
      <c r="C2174" s="2352" t="s">
        <v>12374</v>
      </c>
      <c r="D2174" s="2352" t="s">
        <v>12996</v>
      </c>
      <c r="E2174" s="355">
        <v>250</v>
      </c>
      <c r="F2174" s="1662">
        <v>70.3</v>
      </c>
      <c r="G2174" s="903"/>
    </row>
    <row r="2175" spans="1:7" ht="15" customHeight="1" x14ac:dyDescent="0.25">
      <c r="A2175" s="2352" t="s">
        <v>12997</v>
      </c>
      <c r="B2175" s="2352" t="s">
        <v>12698</v>
      </c>
      <c r="C2175" s="2352" t="s">
        <v>12374</v>
      </c>
      <c r="D2175" s="2352" t="s">
        <v>12998</v>
      </c>
      <c r="E2175" s="355">
        <v>250</v>
      </c>
      <c r="F2175" s="1662">
        <v>72.2</v>
      </c>
      <c r="G2175" s="903"/>
    </row>
    <row r="2176" spans="1:7" ht="15" customHeight="1" x14ac:dyDescent="0.25">
      <c r="A2176" s="2352" t="s">
        <v>12997</v>
      </c>
      <c r="B2176" s="2352" t="s">
        <v>12698</v>
      </c>
      <c r="C2176" s="2352" t="s">
        <v>12374</v>
      </c>
      <c r="D2176" s="2352" t="s">
        <v>12999</v>
      </c>
      <c r="E2176" s="355">
        <v>100</v>
      </c>
      <c r="F2176" s="1662">
        <v>22.8</v>
      </c>
      <c r="G2176" s="903"/>
    </row>
    <row r="2177" spans="1:7" ht="15" customHeight="1" x14ac:dyDescent="0.25">
      <c r="A2177" s="2352" t="s">
        <v>12992</v>
      </c>
      <c r="B2177" s="2352" t="s">
        <v>12698</v>
      </c>
      <c r="C2177" s="2352" t="s">
        <v>12374</v>
      </c>
      <c r="D2177" s="2352" t="s">
        <v>13000</v>
      </c>
      <c r="E2177" s="355">
        <v>400</v>
      </c>
      <c r="F2177" s="1662">
        <v>100.7</v>
      </c>
      <c r="G2177" s="903"/>
    </row>
    <row r="2178" spans="1:7" ht="15" customHeight="1" x14ac:dyDescent="0.25">
      <c r="A2178" s="2352" t="s">
        <v>12992</v>
      </c>
      <c r="B2178" s="2352" t="s">
        <v>12698</v>
      </c>
      <c r="C2178" s="2352" t="s">
        <v>12374</v>
      </c>
      <c r="D2178" s="2352" t="s">
        <v>13001</v>
      </c>
      <c r="E2178" s="355" t="s">
        <v>6280</v>
      </c>
      <c r="F2178" s="1662">
        <v>399.95</v>
      </c>
      <c r="G2178" s="903"/>
    </row>
    <row r="2179" spans="1:7" ht="15" customHeight="1" x14ac:dyDescent="0.25">
      <c r="A2179" s="2352" t="s">
        <v>12992</v>
      </c>
      <c r="B2179" s="2352" t="s">
        <v>12698</v>
      </c>
      <c r="C2179" s="2352" t="s">
        <v>12374</v>
      </c>
      <c r="D2179" s="2352" t="s">
        <v>13002</v>
      </c>
      <c r="E2179" s="355" t="s">
        <v>6280</v>
      </c>
      <c r="F2179" s="1662">
        <v>452.2</v>
      </c>
      <c r="G2179" s="903"/>
    </row>
    <row r="2180" spans="1:7" ht="15" customHeight="1" x14ac:dyDescent="0.25">
      <c r="A2180" s="2352" t="s">
        <v>12992</v>
      </c>
      <c r="B2180" s="2352" t="s">
        <v>12698</v>
      </c>
      <c r="C2180" s="2352" t="s">
        <v>12374</v>
      </c>
      <c r="D2180" s="2352" t="s">
        <v>13003</v>
      </c>
      <c r="E2180" s="355">
        <v>100</v>
      </c>
      <c r="F2180" s="1662">
        <v>24.7</v>
      </c>
      <c r="G2180" s="903"/>
    </row>
    <row r="2181" spans="1:7" ht="15" customHeight="1" x14ac:dyDescent="0.25">
      <c r="A2181" s="2352" t="s">
        <v>12992</v>
      </c>
      <c r="B2181" s="2352" t="s">
        <v>12698</v>
      </c>
      <c r="C2181" s="2352" t="s">
        <v>12374</v>
      </c>
      <c r="D2181" s="2352" t="s">
        <v>13004</v>
      </c>
      <c r="E2181" s="355">
        <v>160</v>
      </c>
      <c r="F2181" s="1662">
        <v>39.9</v>
      </c>
      <c r="G2181" s="903"/>
    </row>
    <row r="2182" spans="1:7" ht="15" customHeight="1" x14ac:dyDescent="0.25">
      <c r="A2182" s="2352" t="s">
        <v>12992</v>
      </c>
      <c r="B2182" s="2352" t="s">
        <v>12698</v>
      </c>
      <c r="C2182" s="2352" t="s">
        <v>12374</v>
      </c>
      <c r="D2182" s="2352" t="s">
        <v>13005</v>
      </c>
      <c r="E2182" s="355">
        <v>160</v>
      </c>
      <c r="F2182" s="1662">
        <v>40.85</v>
      </c>
      <c r="G2182" s="903"/>
    </row>
    <row r="2183" spans="1:7" ht="15" customHeight="1" x14ac:dyDescent="0.25">
      <c r="A2183" s="2352" t="s">
        <v>12843</v>
      </c>
      <c r="B2183" s="2352" t="s">
        <v>12698</v>
      </c>
      <c r="C2183" s="2352" t="s">
        <v>12374</v>
      </c>
      <c r="D2183" s="2352" t="s">
        <v>13006</v>
      </c>
      <c r="E2183" s="355">
        <v>160</v>
      </c>
      <c r="F2183" s="1662">
        <v>44.65</v>
      </c>
      <c r="G2183" s="903"/>
    </row>
    <row r="2184" spans="1:7" ht="15" customHeight="1" x14ac:dyDescent="0.25">
      <c r="A2184" s="2352" t="s">
        <v>12843</v>
      </c>
      <c r="B2184" s="2352" t="s">
        <v>12698</v>
      </c>
      <c r="C2184" s="2352" t="s">
        <v>12374</v>
      </c>
      <c r="D2184" s="2352" t="s">
        <v>13007</v>
      </c>
      <c r="E2184" s="355">
        <v>400</v>
      </c>
      <c r="F2184" s="1662">
        <v>205.2</v>
      </c>
      <c r="G2184" s="903"/>
    </row>
    <row r="2185" spans="1:7" ht="15" customHeight="1" x14ac:dyDescent="0.25">
      <c r="A2185" s="2352" t="s">
        <v>13008</v>
      </c>
      <c r="B2185" s="2352" t="s">
        <v>12698</v>
      </c>
      <c r="C2185" s="2352" t="s">
        <v>12374</v>
      </c>
      <c r="D2185" s="2352" t="s">
        <v>13009</v>
      </c>
      <c r="E2185" s="355">
        <v>160</v>
      </c>
      <c r="F2185" s="1662">
        <v>30.236828227907914</v>
      </c>
      <c r="G2185" s="903"/>
    </row>
    <row r="2186" spans="1:7" ht="15" customHeight="1" x14ac:dyDescent="0.25">
      <c r="A2186" s="2352" t="s">
        <v>15146</v>
      </c>
      <c r="B2186" s="2352" t="s">
        <v>12698</v>
      </c>
      <c r="C2186" s="2352" t="s">
        <v>12374</v>
      </c>
      <c r="D2186" s="2352" t="s">
        <v>13010</v>
      </c>
      <c r="E2186" s="355">
        <v>160</v>
      </c>
      <c r="F2186" s="1662">
        <v>0</v>
      </c>
      <c r="G2186" s="903"/>
    </row>
    <row r="2187" spans="1:7" ht="15" customHeight="1" x14ac:dyDescent="0.25">
      <c r="A2187" s="2352" t="s">
        <v>13011</v>
      </c>
      <c r="B2187" s="2352" t="s">
        <v>12698</v>
      </c>
      <c r="C2187" s="2352" t="s">
        <v>12374</v>
      </c>
      <c r="D2187" s="2352" t="s">
        <v>13012</v>
      </c>
      <c r="E2187" s="355">
        <v>100</v>
      </c>
      <c r="F2187" s="1662">
        <v>15.2</v>
      </c>
      <c r="G2187" s="903"/>
    </row>
    <row r="2188" spans="1:7" ht="15" customHeight="1" x14ac:dyDescent="0.25">
      <c r="A2188" s="2352" t="s">
        <v>12380</v>
      </c>
      <c r="B2188" s="2352" t="s">
        <v>12698</v>
      </c>
      <c r="C2188" s="2352" t="s">
        <v>12374</v>
      </c>
      <c r="D2188" s="2352" t="s">
        <v>13013</v>
      </c>
      <c r="E2188" s="355">
        <v>160</v>
      </c>
      <c r="F2188" s="1662">
        <v>58.9</v>
      </c>
      <c r="G2188" s="903"/>
    </row>
    <row r="2189" spans="1:7" ht="15" customHeight="1" x14ac:dyDescent="0.25">
      <c r="A2189" s="2352" t="s">
        <v>13014</v>
      </c>
      <c r="B2189" s="2352" t="s">
        <v>12698</v>
      </c>
      <c r="C2189" s="2352" t="s">
        <v>12374</v>
      </c>
      <c r="D2189" s="2352" t="s">
        <v>13015</v>
      </c>
      <c r="E2189" s="355">
        <v>100</v>
      </c>
      <c r="F2189" s="1662">
        <v>22.8</v>
      </c>
      <c r="G2189" s="903"/>
    </row>
    <row r="2190" spans="1:7" ht="15" customHeight="1" x14ac:dyDescent="0.25">
      <c r="A2190" s="2352" t="s">
        <v>6233</v>
      </c>
      <c r="B2190" s="2352" t="s">
        <v>12698</v>
      </c>
      <c r="C2190" s="2352" t="s">
        <v>12374</v>
      </c>
      <c r="D2190" s="2352" t="s">
        <v>13016</v>
      </c>
      <c r="E2190" s="355">
        <v>63</v>
      </c>
      <c r="F2190" s="1662">
        <v>19.95</v>
      </c>
      <c r="G2190" s="903"/>
    </row>
    <row r="2191" spans="1:7" ht="15" customHeight="1" x14ac:dyDescent="0.25">
      <c r="A2191" s="2352" t="s">
        <v>13017</v>
      </c>
      <c r="B2191" s="2352" t="s">
        <v>12698</v>
      </c>
      <c r="C2191" s="2352" t="s">
        <v>12374</v>
      </c>
      <c r="D2191" s="2352" t="s">
        <v>13018</v>
      </c>
      <c r="E2191" s="355">
        <v>250</v>
      </c>
      <c r="F2191" s="1662">
        <v>0.95</v>
      </c>
      <c r="G2191" s="903"/>
    </row>
    <row r="2192" spans="1:7" ht="15" customHeight="1" x14ac:dyDescent="0.25">
      <c r="A2192" s="2352" t="s">
        <v>13019</v>
      </c>
      <c r="B2192" s="2352" t="s">
        <v>12698</v>
      </c>
      <c r="C2192" s="2352" t="s">
        <v>12374</v>
      </c>
      <c r="D2192" s="2352" t="s">
        <v>13020</v>
      </c>
      <c r="E2192" s="355">
        <v>630</v>
      </c>
      <c r="F2192" s="1662">
        <v>406.6</v>
      </c>
      <c r="G2192" s="903"/>
    </row>
    <row r="2193" spans="1:7" ht="15" customHeight="1" x14ac:dyDescent="0.25">
      <c r="A2193" s="2352" t="s">
        <v>13019</v>
      </c>
      <c r="B2193" s="2352" t="s">
        <v>12698</v>
      </c>
      <c r="C2193" s="2352" t="s">
        <v>12374</v>
      </c>
      <c r="D2193" s="2352" t="s">
        <v>13021</v>
      </c>
      <c r="E2193" s="355">
        <v>100</v>
      </c>
      <c r="F2193" s="1662">
        <v>17.100000000000001</v>
      </c>
      <c r="G2193" s="903"/>
    </row>
    <row r="2194" spans="1:7" ht="15" customHeight="1" x14ac:dyDescent="0.25">
      <c r="A2194" s="2352" t="s">
        <v>7049</v>
      </c>
      <c r="B2194" s="2352" t="s">
        <v>12698</v>
      </c>
      <c r="C2194" s="2352" t="s">
        <v>12374</v>
      </c>
      <c r="D2194" s="2352" t="s">
        <v>13022</v>
      </c>
      <c r="E2194" s="355">
        <v>40</v>
      </c>
      <c r="F2194" s="1662">
        <v>2.85</v>
      </c>
      <c r="G2194" s="903"/>
    </row>
    <row r="2195" spans="1:7" ht="15" customHeight="1" x14ac:dyDescent="0.25">
      <c r="A2195" s="2352" t="s">
        <v>13023</v>
      </c>
      <c r="B2195" s="2352" t="s">
        <v>12698</v>
      </c>
      <c r="C2195" s="2352" t="s">
        <v>12374</v>
      </c>
      <c r="D2195" s="2352" t="s">
        <v>13024</v>
      </c>
      <c r="E2195" s="355">
        <v>10</v>
      </c>
      <c r="F2195" s="1662">
        <v>0</v>
      </c>
      <c r="G2195" s="903"/>
    </row>
    <row r="2196" spans="1:7" ht="15" customHeight="1" x14ac:dyDescent="0.25">
      <c r="A2196" s="2352" t="s">
        <v>13025</v>
      </c>
      <c r="B2196" s="2352" t="s">
        <v>12374</v>
      </c>
      <c r="C2196" s="2352" t="s">
        <v>12374</v>
      </c>
      <c r="D2196" s="2352" t="s">
        <v>13026</v>
      </c>
      <c r="E2196" s="355">
        <v>160</v>
      </c>
      <c r="F2196" s="1662">
        <v>22.8</v>
      </c>
      <c r="G2196" s="903"/>
    </row>
    <row r="2197" spans="1:7" ht="15" customHeight="1" x14ac:dyDescent="0.25">
      <c r="A2197" s="2352" t="s">
        <v>13025</v>
      </c>
      <c r="B2197" s="2352" t="s">
        <v>12374</v>
      </c>
      <c r="C2197" s="2352" t="s">
        <v>12374</v>
      </c>
      <c r="D2197" s="2352" t="s">
        <v>13027</v>
      </c>
      <c r="E2197" s="355">
        <v>160</v>
      </c>
      <c r="F2197" s="1662">
        <v>83.549352084877981</v>
      </c>
      <c r="G2197" s="903"/>
    </row>
    <row r="2198" spans="1:7" ht="15" customHeight="1" x14ac:dyDescent="0.25">
      <c r="A2198" s="2352" t="s">
        <v>13025</v>
      </c>
      <c r="B2198" s="2352" t="s">
        <v>12374</v>
      </c>
      <c r="C2198" s="2352" t="s">
        <v>12374</v>
      </c>
      <c r="D2198" s="2352" t="s">
        <v>13028</v>
      </c>
      <c r="E2198" s="355">
        <v>250</v>
      </c>
      <c r="F2198" s="1662">
        <v>117.8</v>
      </c>
      <c r="G2198" s="903"/>
    </row>
    <row r="2199" spans="1:7" ht="15" customHeight="1" x14ac:dyDescent="0.25">
      <c r="A2199" s="2352" t="s">
        <v>13025</v>
      </c>
      <c r="B2199" s="2352" t="s">
        <v>12374</v>
      </c>
      <c r="C2199" s="2352" t="s">
        <v>12374</v>
      </c>
      <c r="D2199" s="2352" t="s">
        <v>13029</v>
      </c>
      <c r="E2199" s="355">
        <v>160</v>
      </c>
      <c r="F2199" s="1662">
        <v>107.35</v>
      </c>
      <c r="G2199" s="903"/>
    </row>
    <row r="2200" spans="1:7" ht="15" customHeight="1" x14ac:dyDescent="0.25">
      <c r="A2200" s="2352" t="s">
        <v>13025</v>
      </c>
      <c r="B2200" s="2352" t="s">
        <v>12374</v>
      </c>
      <c r="C2200" s="2352" t="s">
        <v>12374</v>
      </c>
      <c r="D2200" s="2352" t="s">
        <v>13030</v>
      </c>
      <c r="E2200" s="355">
        <v>400</v>
      </c>
      <c r="F2200" s="1662">
        <v>174.6480562546339</v>
      </c>
      <c r="G2200" s="903"/>
    </row>
    <row r="2201" spans="1:7" ht="15" customHeight="1" x14ac:dyDescent="0.25">
      <c r="A2201" s="2352" t="s">
        <v>13025</v>
      </c>
      <c r="B2201" s="2352" t="s">
        <v>12374</v>
      </c>
      <c r="C2201" s="2352" t="s">
        <v>12374</v>
      </c>
      <c r="D2201" s="2352" t="s">
        <v>13031</v>
      </c>
      <c r="E2201" s="355">
        <v>180</v>
      </c>
      <c r="F2201" s="1662">
        <v>63.65</v>
      </c>
      <c r="G2201" s="903"/>
    </row>
    <row r="2202" spans="1:7" ht="15" customHeight="1" x14ac:dyDescent="0.25">
      <c r="A2202" s="2352" t="s">
        <v>13025</v>
      </c>
      <c r="B2202" s="2352" t="s">
        <v>12374</v>
      </c>
      <c r="C2202" s="2352" t="s">
        <v>12374</v>
      </c>
      <c r="D2202" s="2352" t="s">
        <v>13032</v>
      </c>
      <c r="E2202" s="355">
        <v>250</v>
      </c>
      <c r="F2202" s="1662">
        <v>176.7</v>
      </c>
      <c r="G2202" s="903"/>
    </row>
    <row r="2203" spans="1:7" ht="15" customHeight="1" x14ac:dyDescent="0.25">
      <c r="A2203" s="2352" t="s">
        <v>12614</v>
      </c>
      <c r="B2203" s="2352" t="s">
        <v>12374</v>
      </c>
      <c r="C2203" s="2352" t="s">
        <v>12374</v>
      </c>
      <c r="D2203" s="2352" t="s">
        <v>13033</v>
      </c>
      <c r="E2203" s="355">
        <v>100</v>
      </c>
      <c r="F2203" s="1662">
        <v>34.200000000000003</v>
      </c>
      <c r="G2203" s="903"/>
    </row>
    <row r="2204" spans="1:7" ht="15" customHeight="1" x14ac:dyDescent="0.25">
      <c r="A2204" s="2352" t="s">
        <v>15147</v>
      </c>
      <c r="B2204" s="2352" t="s">
        <v>12374</v>
      </c>
      <c r="C2204" s="2352" t="s">
        <v>12374</v>
      </c>
      <c r="D2204" s="2352" t="s">
        <v>13034</v>
      </c>
      <c r="E2204" s="355">
        <v>160</v>
      </c>
      <c r="F2204" s="1662">
        <v>90.25</v>
      </c>
      <c r="G2204" s="903"/>
    </row>
    <row r="2205" spans="1:7" ht="15" customHeight="1" x14ac:dyDescent="0.25">
      <c r="A2205" s="2352" t="s">
        <v>13035</v>
      </c>
      <c r="B2205" s="2352" t="s">
        <v>12374</v>
      </c>
      <c r="C2205" s="2352" t="s">
        <v>12374</v>
      </c>
      <c r="D2205" s="2352" t="s">
        <v>13036</v>
      </c>
      <c r="E2205" s="355">
        <v>63</v>
      </c>
      <c r="F2205" s="1662">
        <v>0</v>
      </c>
      <c r="G2205" s="903"/>
    </row>
    <row r="2206" spans="1:7" ht="15" customHeight="1" x14ac:dyDescent="0.25">
      <c r="A2206" s="2352" t="s">
        <v>15148</v>
      </c>
      <c r="B2206" s="2352" t="s">
        <v>12374</v>
      </c>
      <c r="C2206" s="2352" t="s">
        <v>12374</v>
      </c>
      <c r="D2206" s="2352" t="s">
        <v>13037</v>
      </c>
      <c r="E2206" s="355">
        <v>63</v>
      </c>
      <c r="F2206" s="1662">
        <v>12.35</v>
      </c>
      <c r="G2206" s="903"/>
    </row>
    <row r="2207" spans="1:7" ht="15" customHeight="1" x14ac:dyDescent="0.25">
      <c r="A2207" s="2352" t="s">
        <v>6871</v>
      </c>
      <c r="B2207" s="2352" t="s">
        <v>12698</v>
      </c>
      <c r="C2207" s="2352" t="s">
        <v>12374</v>
      </c>
      <c r="D2207" s="2352" t="s">
        <v>13038</v>
      </c>
      <c r="E2207" s="355">
        <v>250</v>
      </c>
      <c r="F2207" s="1662">
        <v>135.85</v>
      </c>
      <c r="G2207" s="903"/>
    </row>
    <row r="2208" spans="1:7" ht="15" customHeight="1" x14ac:dyDescent="0.25">
      <c r="A2208" s="2352" t="s">
        <v>6871</v>
      </c>
      <c r="B2208" s="2352" t="s">
        <v>12698</v>
      </c>
      <c r="C2208" s="2352" t="s">
        <v>12374</v>
      </c>
      <c r="D2208" s="2352" t="s">
        <v>13039</v>
      </c>
      <c r="E2208" s="355">
        <v>60</v>
      </c>
      <c r="F2208" s="1662">
        <v>9.5</v>
      </c>
      <c r="G2208" s="903"/>
    </row>
    <row r="2209" spans="1:7" ht="15" customHeight="1" x14ac:dyDescent="0.25">
      <c r="A2209" s="2352" t="s">
        <v>6871</v>
      </c>
      <c r="B2209" s="2352" t="s">
        <v>12698</v>
      </c>
      <c r="C2209" s="2352" t="s">
        <v>12374</v>
      </c>
      <c r="D2209" s="2352" t="s">
        <v>13040</v>
      </c>
      <c r="E2209" s="355">
        <v>30</v>
      </c>
      <c r="F2209" s="1662">
        <v>1.9</v>
      </c>
      <c r="G2209" s="903"/>
    </row>
    <row r="2210" spans="1:7" ht="15" customHeight="1" x14ac:dyDescent="0.25">
      <c r="A2210" s="2352" t="s">
        <v>13041</v>
      </c>
      <c r="B2210" s="2352" t="s">
        <v>12698</v>
      </c>
      <c r="C2210" s="2352" t="s">
        <v>12374</v>
      </c>
      <c r="D2210" s="2352" t="s">
        <v>13042</v>
      </c>
      <c r="E2210" s="355">
        <v>100</v>
      </c>
      <c r="F2210" s="1662">
        <v>30.4</v>
      </c>
      <c r="G2210" s="903"/>
    </row>
    <row r="2211" spans="1:7" ht="15" customHeight="1" x14ac:dyDescent="0.25">
      <c r="A2211" s="2352" t="s">
        <v>13043</v>
      </c>
      <c r="B2211" s="2352" t="s">
        <v>12698</v>
      </c>
      <c r="C2211" s="2352" t="s">
        <v>12374</v>
      </c>
      <c r="D2211" s="2352" t="s">
        <v>13044</v>
      </c>
      <c r="E2211" s="355">
        <v>100</v>
      </c>
      <c r="F2211" s="1662">
        <v>27.55</v>
      </c>
      <c r="G2211" s="903"/>
    </row>
    <row r="2212" spans="1:7" ht="15" customHeight="1" x14ac:dyDescent="0.25">
      <c r="A2212" s="2352" t="s">
        <v>13043</v>
      </c>
      <c r="B2212" s="2352" t="s">
        <v>12698</v>
      </c>
      <c r="C2212" s="2352" t="s">
        <v>12374</v>
      </c>
      <c r="D2212" s="2352" t="s">
        <v>13045</v>
      </c>
      <c r="E2212" s="355">
        <v>63</v>
      </c>
      <c r="F2212" s="1662">
        <v>13.3</v>
      </c>
      <c r="G2212" s="903"/>
    </row>
    <row r="2213" spans="1:7" ht="15" customHeight="1" x14ac:dyDescent="0.25">
      <c r="A2213" s="2352" t="s">
        <v>6009</v>
      </c>
      <c r="B2213" s="2352" t="s">
        <v>12698</v>
      </c>
      <c r="C2213" s="2352" t="s">
        <v>12374</v>
      </c>
      <c r="D2213" s="2352" t="s">
        <v>13046</v>
      </c>
      <c r="E2213" s="355">
        <v>100</v>
      </c>
      <c r="F2213" s="1662">
        <v>33.25</v>
      </c>
      <c r="G2213" s="903"/>
    </row>
    <row r="2214" spans="1:7" ht="15" customHeight="1" x14ac:dyDescent="0.25">
      <c r="A2214" s="2352" t="s">
        <v>13047</v>
      </c>
      <c r="B2214" s="2352" t="s">
        <v>12698</v>
      </c>
      <c r="C2214" s="2352" t="s">
        <v>12374</v>
      </c>
      <c r="D2214" s="2352" t="s">
        <v>13048</v>
      </c>
      <c r="E2214" s="355">
        <v>100</v>
      </c>
      <c r="F2214" s="1662">
        <v>44.65</v>
      </c>
      <c r="G2214" s="903"/>
    </row>
    <row r="2215" spans="1:7" ht="15" customHeight="1" x14ac:dyDescent="0.25">
      <c r="A2215" s="2352" t="s">
        <v>13049</v>
      </c>
      <c r="B2215" s="2352" t="s">
        <v>12698</v>
      </c>
      <c r="C2215" s="2352" t="s">
        <v>12374</v>
      </c>
      <c r="D2215" s="2352" t="s">
        <v>13050</v>
      </c>
      <c r="E2215" s="355">
        <v>100</v>
      </c>
      <c r="F2215" s="1662">
        <v>42.75</v>
      </c>
      <c r="G2215" s="903"/>
    </row>
    <row r="2216" spans="1:7" ht="15" customHeight="1" x14ac:dyDescent="0.25">
      <c r="A2216" s="2352" t="s">
        <v>13051</v>
      </c>
      <c r="B2216" s="2352" t="s">
        <v>12374</v>
      </c>
      <c r="C2216" s="2352" t="s">
        <v>12374</v>
      </c>
      <c r="D2216" s="2352" t="s">
        <v>13052</v>
      </c>
      <c r="E2216" s="355">
        <v>160</v>
      </c>
      <c r="F2216" s="1662">
        <v>64.599999999999994</v>
      </c>
      <c r="G2216" s="903"/>
    </row>
    <row r="2217" spans="1:7" ht="15" customHeight="1" x14ac:dyDescent="0.25">
      <c r="A2217" s="2352" t="s">
        <v>13053</v>
      </c>
      <c r="B2217" s="2352" t="s">
        <v>12374</v>
      </c>
      <c r="C2217" s="2352" t="s">
        <v>12374</v>
      </c>
      <c r="D2217" s="2352" t="s">
        <v>13054</v>
      </c>
      <c r="E2217" s="355">
        <v>160</v>
      </c>
      <c r="F2217" s="1662">
        <v>144.4</v>
      </c>
      <c r="G2217" s="903"/>
    </row>
    <row r="2218" spans="1:7" ht="15" customHeight="1" x14ac:dyDescent="0.25">
      <c r="A2218" s="2352" t="s">
        <v>13051</v>
      </c>
      <c r="B2218" s="2352" t="s">
        <v>12374</v>
      </c>
      <c r="C2218" s="2352" t="s">
        <v>12374</v>
      </c>
      <c r="D2218" s="2352" t="s">
        <v>13055</v>
      </c>
      <c r="E2218" s="355" t="s">
        <v>6278</v>
      </c>
      <c r="F2218" s="1662">
        <v>288.8</v>
      </c>
      <c r="G2218" s="903"/>
    </row>
    <row r="2219" spans="1:7" ht="15" customHeight="1" x14ac:dyDescent="0.25">
      <c r="A2219" s="2352" t="s">
        <v>13056</v>
      </c>
      <c r="B2219" s="2352" t="s">
        <v>12374</v>
      </c>
      <c r="C2219" s="2352" t="s">
        <v>12374</v>
      </c>
      <c r="D2219" s="2352" t="s">
        <v>13057</v>
      </c>
      <c r="E2219" s="355">
        <v>160</v>
      </c>
      <c r="F2219" s="1662">
        <v>90.25</v>
      </c>
      <c r="G2219" s="903"/>
    </row>
    <row r="2220" spans="1:7" ht="15" customHeight="1" x14ac:dyDescent="0.25">
      <c r="A2220" s="2352" t="s">
        <v>13058</v>
      </c>
      <c r="B2220" s="2352" t="s">
        <v>12374</v>
      </c>
      <c r="C2220" s="2352" t="s">
        <v>12374</v>
      </c>
      <c r="D2220" s="2352" t="s">
        <v>13059</v>
      </c>
      <c r="E2220" s="355" t="s">
        <v>6278</v>
      </c>
      <c r="F2220" s="1662">
        <v>330.6</v>
      </c>
      <c r="G2220" s="903"/>
    </row>
    <row r="2221" spans="1:7" ht="15" customHeight="1" x14ac:dyDescent="0.25">
      <c r="A2221" s="2352" t="s">
        <v>13060</v>
      </c>
      <c r="B2221" s="2352" t="s">
        <v>12374</v>
      </c>
      <c r="C2221" s="2352" t="s">
        <v>12374</v>
      </c>
      <c r="D2221" s="2352" t="s">
        <v>13061</v>
      </c>
      <c r="E2221" s="355">
        <v>160</v>
      </c>
      <c r="F2221" s="1662">
        <v>106.4</v>
      </c>
      <c r="G2221" s="903"/>
    </row>
    <row r="2222" spans="1:7" ht="15" customHeight="1" x14ac:dyDescent="0.25">
      <c r="A2222" s="2352" t="s">
        <v>13062</v>
      </c>
      <c r="B2222" s="2352" t="s">
        <v>12374</v>
      </c>
      <c r="C2222" s="2352" t="s">
        <v>12374</v>
      </c>
      <c r="D2222" s="2352" t="s">
        <v>13063</v>
      </c>
      <c r="E2222" s="355">
        <v>100</v>
      </c>
      <c r="F2222" s="1662">
        <v>26.6</v>
      </c>
      <c r="G2222" s="903"/>
    </row>
    <row r="2223" spans="1:7" ht="15" customHeight="1" x14ac:dyDescent="0.25">
      <c r="A2223" s="2352" t="s">
        <v>13064</v>
      </c>
      <c r="B2223" s="2352" t="s">
        <v>12374</v>
      </c>
      <c r="C2223" s="2352" t="s">
        <v>12374</v>
      </c>
      <c r="D2223" s="2352" t="s">
        <v>13065</v>
      </c>
      <c r="E2223" s="355">
        <v>20</v>
      </c>
      <c r="F2223" s="1662">
        <v>2.5455173280956642</v>
      </c>
      <c r="G2223" s="903"/>
    </row>
    <row r="2224" spans="1:7" ht="15" customHeight="1" x14ac:dyDescent="0.25">
      <c r="A2224" s="2352" t="s">
        <v>13066</v>
      </c>
      <c r="B2224" s="2352" t="s">
        <v>12374</v>
      </c>
      <c r="C2224" s="2352" t="s">
        <v>12374</v>
      </c>
      <c r="D2224" s="2352" t="s">
        <v>13067</v>
      </c>
      <c r="E2224" s="355">
        <v>20</v>
      </c>
      <c r="F2224" s="1662">
        <v>0</v>
      </c>
      <c r="G2224" s="903"/>
    </row>
    <row r="2225" spans="1:7" ht="15" customHeight="1" x14ac:dyDescent="0.25">
      <c r="A2225" s="2352" t="s">
        <v>6248</v>
      </c>
      <c r="B2225" s="2352" t="s">
        <v>12374</v>
      </c>
      <c r="C2225" s="2352" t="s">
        <v>12374</v>
      </c>
      <c r="D2225" s="2352" t="s">
        <v>13068</v>
      </c>
      <c r="E2225" s="355">
        <v>63</v>
      </c>
      <c r="F2225" s="1662">
        <v>22.8</v>
      </c>
      <c r="G2225" s="903"/>
    </row>
    <row r="2226" spans="1:7" ht="15" customHeight="1" x14ac:dyDescent="0.25">
      <c r="A2226" s="2352" t="s">
        <v>12480</v>
      </c>
      <c r="B2226" s="2352" t="s">
        <v>12374</v>
      </c>
      <c r="C2226" s="2352" t="s">
        <v>12374</v>
      </c>
      <c r="D2226" s="2352" t="s">
        <v>13069</v>
      </c>
      <c r="E2226" s="355">
        <v>180</v>
      </c>
      <c r="F2226" s="1662">
        <v>92.15</v>
      </c>
      <c r="G2226" s="903"/>
    </row>
    <row r="2227" spans="1:7" ht="15" customHeight="1" x14ac:dyDescent="0.25">
      <c r="A2227" s="2352" t="s">
        <v>12480</v>
      </c>
      <c r="B2227" s="2352" t="s">
        <v>12374</v>
      </c>
      <c r="C2227" s="2352" t="s">
        <v>12374</v>
      </c>
      <c r="D2227" s="2352" t="s">
        <v>13070</v>
      </c>
      <c r="E2227" s="355">
        <v>180</v>
      </c>
      <c r="F2227" s="1662">
        <v>134.9</v>
      </c>
      <c r="G2227" s="903"/>
    </row>
    <row r="2228" spans="1:7" ht="15" customHeight="1" x14ac:dyDescent="0.25">
      <c r="A2228" s="2352" t="s">
        <v>13071</v>
      </c>
      <c r="B2228" s="2352" t="s">
        <v>12374</v>
      </c>
      <c r="C2228" s="2352" t="s">
        <v>12374</v>
      </c>
      <c r="D2228" s="2352" t="s">
        <v>13072</v>
      </c>
      <c r="E2228" s="355">
        <v>250</v>
      </c>
      <c r="F2228" s="1662">
        <v>122.55</v>
      </c>
      <c r="G2228" s="903"/>
    </row>
    <row r="2229" spans="1:7" ht="15" customHeight="1" x14ac:dyDescent="0.25">
      <c r="A2229" s="2352" t="s">
        <v>13073</v>
      </c>
      <c r="B2229" s="2352" t="s">
        <v>12374</v>
      </c>
      <c r="C2229" s="2352" t="s">
        <v>12374</v>
      </c>
      <c r="D2229" s="2352" t="s">
        <v>13074</v>
      </c>
      <c r="E2229" s="355">
        <v>100</v>
      </c>
      <c r="F2229" s="1662">
        <v>49.4</v>
      </c>
      <c r="G2229" s="903"/>
    </row>
    <row r="2230" spans="1:7" ht="15" customHeight="1" x14ac:dyDescent="0.25">
      <c r="A2230" s="2352" t="s">
        <v>12638</v>
      </c>
      <c r="B2230" s="2352" t="s">
        <v>12374</v>
      </c>
      <c r="C2230" s="2352" t="s">
        <v>12374</v>
      </c>
      <c r="D2230" s="2352" t="s">
        <v>13075</v>
      </c>
      <c r="E2230" s="355">
        <v>100</v>
      </c>
      <c r="F2230" s="1662">
        <v>39.9</v>
      </c>
      <c r="G2230" s="903"/>
    </row>
    <row r="2231" spans="1:7" ht="15" customHeight="1" x14ac:dyDescent="0.25">
      <c r="A2231" s="2352" t="s">
        <v>13076</v>
      </c>
      <c r="B2231" s="2352" t="s">
        <v>12374</v>
      </c>
      <c r="C2231" s="2352" t="s">
        <v>12374</v>
      </c>
      <c r="D2231" s="2352" t="s">
        <v>13077</v>
      </c>
      <c r="E2231" s="355">
        <v>250</v>
      </c>
      <c r="F2231" s="1662">
        <v>176.7</v>
      </c>
      <c r="G2231" s="903"/>
    </row>
    <row r="2232" spans="1:7" ht="15" customHeight="1" x14ac:dyDescent="0.25">
      <c r="A2232" s="2352" t="s">
        <v>13078</v>
      </c>
      <c r="B2232" s="2352" t="s">
        <v>12374</v>
      </c>
      <c r="C2232" s="2352" t="s">
        <v>12374</v>
      </c>
      <c r="D2232" s="2352" t="s">
        <v>13079</v>
      </c>
      <c r="E2232" s="355">
        <v>160</v>
      </c>
      <c r="F2232" s="1662">
        <v>110.2</v>
      </c>
      <c r="G2232" s="903"/>
    </row>
    <row r="2233" spans="1:7" ht="15" customHeight="1" x14ac:dyDescent="0.25">
      <c r="A2233" s="2352" t="s">
        <v>13080</v>
      </c>
      <c r="B2233" s="2352" t="s">
        <v>12374</v>
      </c>
      <c r="C2233" s="2352" t="s">
        <v>12374</v>
      </c>
      <c r="D2233" s="2352" t="s">
        <v>13081</v>
      </c>
      <c r="E2233" s="355">
        <v>30</v>
      </c>
      <c r="F2233" s="1662">
        <v>3.8</v>
      </c>
      <c r="G2233" s="903"/>
    </row>
    <row r="2234" spans="1:7" ht="15" customHeight="1" x14ac:dyDescent="0.25">
      <c r="A2234" s="2352" t="s">
        <v>13082</v>
      </c>
      <c r="B2234" s="2352" t="s">
        <v>12374</v>
      </c>
      <c r="C2234" s="2352" t="s">
        <v>12374</v>
      </c>
      <c r="D2234" s="2352" t="s">
        <v>13083</v>
      </c>
      <c r="E2234" s="355">
        <v>160</v>
      </c>
      <c r="F2234" s="1662">
        <v>61.75</v>
      </c>
      <c r="G2234" s="903"/>
    </row>
    <row r="2235" spans="1:7" ht="15" customHeight="1" x14ac:dyDescent="0.25">
      <c r="A2235" s="2352" t="s">
        <v>15149</v>
      </c>
      <c r="B2235" s="2352" t="s">
        <v>12374</v>
      </c>
      <c r="C2235" s="2352" t="s">
        <v>12374</v>
      </c>
      <c r="D2235" s="2352" t="s">
        <v>13084</v>
      </c>
      <c r="E2235" s="355">
        <v>100</v>
      </c>
      <c r="F2235" s="1662">
        <v>7.6</v>
      </c>
      <c r="G2235" s="903"/>
    </row>
    <row r="2236" spans="1:7" ht="15" customHeight="1" x14ac:dyDescent="0.25">
      <c r="A2236" s="2352" t="s">
        <v>15149</v>
      </c>
      <c r="B2236" s="2352" t="s">
        <v>12374</v>
      </c>
      <c r="C2236" s="2352" t="s">
        <v>12374</v>
      </c>
      <c r="D2236" s="2352" t="s">
        <v>13085</v>
      </c>
      <c r="E2236" s="355">
        <v>60</v>
      </c>
      <c r="F2236" s="1662">
        <v>17.100000000000001</v>
      </c>
      <c r="G2236" s="903"/>
    </row>
    <row r="2237" spans="1:7" ht="15" customHeight="1" x14ac:dyDescent="0.25">
      <c r="A2237" s="2352" t="s">
        <v>13086</v>
      </c>
      <c r="B2237" s="2352" t="s">
        <v>12374</v>
      </c>
      <c r="C2237" s="2352" t="s">
        <v>12374</v>
      </c>
      <c r="D2237" s="2352" t="s">
        <v>13087</v>
      </c>
      <c r="E2237" s="355">
        <v>30</v>
      </c>
      <c r="F2237" s="1662">
        <v>0</v>
      </c>
      <c r="G2237" s="903"/>
    </row>
    <row r="2238" spans="1:7" ht="15" customHeight="1" x14ac:dyDescent="0.25">
      <c r="A2238" s="2352" t="s">
        <v>12730</v>
      </c>
      <c r="B2238" s="2352" t="s">
        <v>12374</v>
      </c>
      <c r="C2238" s="2352" t="s">
        <v>12374</v>
      </c>
      <c r="D2238" s="2352" t="s">
        <v>13088</v>
      </c>
      <c r="E2238" s="355">
        <v>100</v>
      </c>
      <c r="F2238" s="1662">
        <v>42.75</v>
      </c>
      <c r="G2238" s="903"/>
    </row>
    <row r="2239" spans="1:7" ht="15" customHeight="1" x14ac:dyDescent="0.25">
      <c r="A2239" s="2352" t="s">
        <v>13089</v>
      </c>
      <c r="B2239" s="2352" t="s">
        <v>12374</v>
      </c>
      <c r="C2239" s="2352" t="s">
        <v>12374</v>
      </c>
      <c r="D2239" s="2352" t="s">
        <v>13090</v>
      </c>
      <c r="E2239" s="355">
        <v>63</v>
      </c>
      <c r="F2239" s="1662">
        <v>30.4</v>
      </c>
      <c r="G2239" s="903"/>
    </row>
    <row r="2240" spans="1:7" ht="15" customHeight="1" x14ac:dyDescent="0.25">
      <c r="A2240" s="2352" t="s">
        <v>13091</v>
      </c>
      <c r="B2240" s="2352" t="s">
        <v>12374</v>
      </c>
      <c r="C2240" s="2352" t="s">
        <v>12374</v>
      </c>
      <c r="D2240" s="2352" t="s">
        <v>13092</v>
      </c>
      <c r="E2240" s="355">
        <v>60</v>
      </c>
      <c r="F2240" s="1662">
        <v>0</v>
      </c>
      <c r="G2240" s="903"/>
    </row>
    <row r="2241" spans="1:7" ht="15" customHeight="1" x14ac:dyDescent="0.25">
      <c r="A2241" s="2352" t="s">
        <v>13093</v>
      </c>
      <c r="B2241" s="2352" t="s">
        <v>12374</v>
      </c>
      <c r="C2241" s="2352" t="s">
        <v>12374</v>
      </c>
      <c r="D2241" s="2352" t="s">
        <v>13094</v>
      </c>
      <c r="E2241" s="355">
        <v>100</v>
      </c>
      <c r="F2241" s="1662">
        <v>58.9</v>
      </c>
      <c r="G2241" s="903"/>
    </row>
    <row r="2242" spans="1:7" ht="15" customHeight="1" x14ac:dyDescent="0.25">
      <c r="A2242" s="2352" t="s">
        <v>13093</v>
      </c>
      <c r="B2242" s="2352" t="s">
        <v>12374</v>
      </c>
      <c r="C2242" s="2352" t="s">
        <v>12374</v>
      </c>
      <c r="D2242" s="2352" t="s">
        <v>13095</v>
      </c>
      <c r="E2242" s="355">
        <v>100</v>
      </c>
      <c r="F2242" s="1662">
        <v>64.599999999999994</v>
      </c>
      <c r="G2242" s="903"/>
    </row>
    <row r="2243" spans="1:7" ht="15" customHeight="1" x14ac:dyDescent="0.25">
      <c r="A2243" s="2352" t="s">
        <v>13096</v>
      </c>
      <c r="B2243" s="2352" t="s">
        <v>12374</v>
      </c>
      <c r="C2243" s="2352" t="s">
        <v>12374</v>
      </c>
      <c r="D2243" s="2352" t="s">
        <v>13097</v>
      </c>
      <c r="E2243" s="355">
        <v>100</v>
      </c>
      <c r="F2243" s="1662">
        <v>46.55</v>
      </c>
      <c r="G2243" s="903"/>
    </row>
    <row r="2244" spans="1:7" ht="15" customHeight="1" x14ac:dyDescent="0.25">
      <c r="A2244" s="2352" t="s">
        <v>13096</v>
      </c>
      <c r="B2244" s="2352" t="s">
        <v>12374</v>
      </c>
      <c r="C2244" s="2352" t="s">
        <v>12374</v>
      </c>
      <c r="D2244" s="2352" t="s">
        <v>13098</v>
      </c>
      <c r="E2244" s="355">
        <v>100</v>
      </c>
      <c r="F2244" s="1662">
        <v>50.35</v>
      </c>
      <c r="G2244" s="903"/>
    </row>
    <row r="2245" spans="1:7" ht="15" customHeight="1" x14ac:dyDescent="0.25">
      <c r="A2245" s="2352" t="s">
        <v>13099</v>
      </c>
      <c r="B2245" s="2352" t="s">
        <v>12374</v>
      </c>
      <c r="C2245" s="2352" t="s">
        <v>12374</v>
      </c>
      <c r="D2245" s="2352" t="s">
        <v>13100</v>
      </c>
      <c r="E2245" s="355">
        <v>100</v>
      </c>
      <c r="F2245" s="1662">
        <v>64.599999999999994</v>
      </c>
      <c r="G2245" s="903"/>
    </row>
    <row r="2246" spans="1:7" ht="15" customHeight="1" x14ac:dyDescent="0.25">
      <c r="A2246" s="2352" t="s">
        <v>15150</v>
      </c>
      <c r="B2246" s="2352" t="s">
        <v>12698</v>
      </c>
      <c r="C2246" s="2352" t="s">
        <v>12374</v>
      </c>
      <c r="D2246" s="2352" t="s">
        <v>13101</v>
      </c>
      <c r="E2246" s="355">
        <v>160</v>
      </c>
      <c r="F2246" s="1662">
        <v>88.35</v>
      </c>
      <c r="G2246" s="903"/>
    </row>
    <row r="2247" spans="1:7" ht="15" customHeight="1" x14ac:dyDescent="0.25">
      <c r="A2247" s="2352" t="s">
        <v>13102</v>
      </c>
      <c r="B2247" s="2352" t="s">
        <v>12698</v>
      </c>
      <c r="C2247" s="2352" t="s">
        <v>12374</v>
      </c>
      <c r="D2247" s="2352" t="s">
        <v>13103</v>
      </c>
      <c r="E2247" s="355">
        <v>100</v>
      </c>
      <c r="F2247" s="1662">
        <v>49.4</v>
      </c>
      <c r="G2247" s="903"/>
    </row>
    <row r="2248" spans="1:7" ht="15" customHeight="1" x14ac:dyDescent="0.25">
      <c r="A2248" s="2352" t="s">
        <v>12622</v>
      </c>
      <c r="B2248" s="2352" t="s">
        <v>12698</v>
      </c>
      <c r="C2248" s="2352" t="s">
        <v>12374</v>
      </c>
      <c r="D2248" s="2352" t="s">
        <v>13104</v>
      </c>
      <c r="E2248" s="355">
        <v>50</v>
      </c>
      <c r="F2248" s="1662">
        <v>18.05</v>
      </c>
      <c r="G2248" s="903"/>
    </row>
    <row r="2249" spans="1:7" ht="15" customHeight="1" x14ac:dyDescent="0.25">
      <c r="A2249" s="2352" t="s">
        <v>13105</v>
      </c>
      <c r="B2249" s="2352" t="s">
        <v>12698</v>
      </c>
      <c r="C2249" s="2352" t="s">
        <v>12374</v>
      </c>
      <c r="D2249" s="2352" t="s">
        <v>13106</v>
      </c>
      <c r="E2249" s="355">
        <v>100</v>
      </c>
      <c r="F2249" s="1662">
        <v>36.1</v>
      </c>
      <c r="G2249" s="903"/>
    </row>
    <row r="2250" spans="1:7" ht="15" customHeight="1" x14ac:dyDescent="0.25">
      <c r="A2250" s="2352" t="s">
        <v>13107</v>
      </c>
      <c r="B2250" s="2352" t="s">
        <v>12698</v>
      </c>
      <c r="C2250" s="2352" t="s">
        <v>12374</v>
      </c>
      <c r="D2250" s="2352" t="s">
        <v>13108</v>
      </c>
      <c r="E2250" s="355">
        <v>160</v>
      </c>
      <c r="F2250" s="1662">
        <v>87.4</v>
      </c>
      <c r="G2250" s="903"/>
    </row>
    <row r="2251" spans="1:7" ht="15" customHeight="1" x14ac:dyDescent="0.25">
      <c r="A2251" s="2352" t="s">
        <v>13109</v>
      </c>
      <c r="B2251" s="2352" t="s">
        <v>12374</v>
      </c>
      <c r="C2251" s="2352" t="s">
        <v>12374</v>
      </c>
      <c r="D2251" s="2352" t="s">
        <v>13110</v>
      </c>
      <c r="E2251" s="355">
        <v>400</v>
      </c>
      <c r="F2251" s="1662">
        <v>212.8</v>
      </c>
      <c r="G2251" s="903"/>
    </row>
    <row r="2252" spans="1:7" ht="15" customHeight="1" x14ac:dyDescent="0.25">
      <c r="A2252" s="2352" t="s">
        <v>13111</v>
      </c>
      <c r="B2252" s="2352" t="s">
        <v>12374</v>
      </c>
      <c r="C2252" s="2352" t="s">
        <v>12374</v>
      </c>
      <c r="D2252" s="2352" t="s">
        <v>13112</v>
      </c>
      <c r="E2252" s="355">
        <v>160</v>
      </c>
      <c r="F2252" s="1662">
        <v>84.55</v>
      </c>
      <c r="G2252" s="903"/>
    </row>
    <row r="2253" spans="1:7" ht="15" customHeight="1" x14ac:dyDescent="0.25">
      <c r="A2253" s="2352" t="s">
        <v>12536</v>
      </c>
      <c r="B2253" s="2352" t="s">
        <v>12374</v>
      </c>
      <c r="C2253" s="2352" t="s">
        <v>12374</v>
      </c>
      <c r="D2253" s="2352" t="s">
        <v>13113</v>
      </c>
      <c r="E2253" s="355">
        <v>63</v>
      </c>
      <c r="F2253" s="1662">
        <v>29.45</v>
      </c>
      <c r="G2253" s="903"/>
    </row>
    <row r="2254" spans="1:7" ht="15" customHeight="1" x14ac:dyDescent="0.25">
      <c r="A2254" s="2352" t="s">
        <v>13114</v>
      </c>
      <c r="B2254" s="2352" t="s">
        <v>12374</v>
      </c>
      <c r="C2254" s="2352" t="s">
        <v>12374</v>
      </c>
      <c r="D2254" s="2352" t="s">
        <v>13115</v>
      </c>
      <c r="E2254" s="355">
        <v>30</v>
      </c>
      <c r="F2254" s="1662">
        <v>3.8</v>
      </c>
      <c r="G2254" s="903"/>
    </row>
    <row r="2255" spans="1:7" ht="15" customHeight="1" x14ac:dyDescent="0.25">
      <c r="A2255" s="2352" t="s">
        <v>13116</v>
      </c>
      <c r="B2255" s="2352" t="s">
        <v>12374</v>
      </c>
      <c r="C2255" s="2352" t="s">
        <v>12374</v>
      </c>
      <c r="D2255" s="2352" t="s">
        <v>13117</v>
      </c>
      <c r="E2255" s="355">
        <v>30</v>
      </c>
      <c r="F2255" s="1662">
        <v>1.9</v>
      </c>
      <c r="G2255" s="903"/>
    </row>
    <row r="2256" spans="1:7" ht="15" customHeight="1" x14ac:dyDescent="0.25">
      <c r="A2256" s="2352" t="s">
        <v>12480</v>
      </c>
      <c r="B2256" s="2352" t="s">
        <v>12374</v>
      </c>
      <c r="C2256" s="2352" t="s">
        <v>12374</v>
      </c>
      <c r="D2256" s="2352" t="s">
        <v>13118</v>
      </c>
      <c r="E2256" s="355">
        <v>100</v>
      </c>
      <c r="F2256" s="1662">
        <v>40.85</v>
      </c>
      <c r="G2256" s="903"/>
    </row>
    <row r="2257" spans="1:7" ht="15" customHeight="1" x14ac:dyDescent="0.25">
      <c r="A2257" s="2352" t="s">
        <v>13119</v>
      </c>
      <c r="B2257" s="2352" t="s">
        <v>12374</v>
      </c>
      <c r="C2257" s="2352" t="s">
        <v>12374</v>
      </c>
      <c r="D2257" s="2352" t="s">
        <v>13120</v>
      </c>
      <c r="E2257" s="355">
        <v>30</v>
      </c>
      <c r="F2257" s="1662">
        <v>5.7</v>
      </c>
      <c r="G2257" s="903"/>
    </row>
    <row r="2258" spans="1:7" ht="15" customHeight="1" x14ac:dyDescent="0.25">
      <c r="A2258" s="2352" t="s">
        <v>12380</v>
      </c>
      <c r="B2258" s="2352" t="s">
        <v>12374</v>
      </c>
      <c r="C2258" s="2352" t="s">
        <v>12374</v>
      </c>
      <c r="D2258" s="2352" t="s">
        <v>13121</v>
      </c>
      <c r="E2258" s="355">
        <v>25</v>
      </c>
      <c r="F2258" s="1662">
        <v>0.95</v>
      </c>
      <c r="G2258" s="903"/>
    </row>
    <row r="2259" spans="1:7" ht="15" customHeight="1" x14ac:dyDescent="0.25">
      <c r="A2259" s="2352" t="s">
        <v>13122</v>
      </c>
      <c r="B2259" s="2352" t="s">
        <v>12374</v>
      </c>
      <c r="C2259" s="2352" t="s">
        <v>12374</v>
      </c>
      <c r="D2259" s="2352" t="s">
        <v>13123</v>
      </c>
      <c r="E2259" s="355">
        <v>100</v>
      </c>
      <c r="F2259" s="1662">
        <v>34.200000000000003</v>
      </c>
      <c r="G2259" s="903"/>
    </row>
    <row r="2260" spans="1:7" ht="15" customHeight="1" x14ac:dyDescent="0.25">
      <c r="A2260" s="2352" t="s">
        <v>13124</v>
      </c>
      <c r="B2260" s="2352" t="s">
        <v>12374</v>
      </c>
      <c r="C2260" s="2352" t="s">
        <v>12374</v>
      </c>
      <c r="D2260" s="2352" t="s">
        <v>13125</v>
      </c>
      <c r="E2260" s="355">
        <v>20</v>
      </c>
      <c r="F2260" s="1662">
        <v>4.75</v>
      </c>
      <c r="G2260" s="903"/>
    </row>
    <row r="2261" spans="1:7" ht="15" customHeight="1" x14ac:dyDescent="0.25">
      <c r="A2261" s="2352" t="s">
        <v>13126</v>
      </c>
      <c r="B2261" s="2352" t="s">
        <v>12374</v>
      </c>
      <c r="C2261" s="2352" t="s">
        <v>12374</v>
      </c>
      <c r="D2261" s="2352" t="s">
        <v>13127</v>
      </c>
      <c r="E2261" s="355">
        <v>25</v>
      </c>
      <c r="F2261" s="1662">
        <v>8.5500000000000007</v>
      </c>
      <c r="G2261" s="903"/>
    </row>
    <row r="2262" spans="1:7" ht="15" customHeight="1" x14ac:dyDescent="0.25">
      <c r="A2262" s="2352" t="s">
        <v>13128</v>
      </c>
      <c r="B2262" s="2352" t="s">
        <v>12374</v>
      </c>
      <c r="C2262" s="2352" t="s">
        <v>12374</v>
      </c>
      <c r="D2262" s="2352" t="s">
        <v>13129</v>
      </c>
      <c r="E2262" s="355">
        <v>100</v>
      </c>
      <c r="F2262" s="1662">
        <v>58.9</v>
      </c>
      <c r="G2262" s="903"/>
    </row>
    <row r="2263" spans="1:7" ht="15" customHeight="1" x14ac:dyDescent="0.25">
      <c r="A2263" s="2352" t="s">
        <v>15151</v>
      </c>
      <c r="B2263" s="2352" t="s">
        <v>12374</v>
      </c>
      <c r="C2263" s="2352" t="s">
        <v>12374</v>
      </c>
      <c r="D2263" s="2352" t="s">
        <v>13130</v>
      </c>
      <c r="E2263" s="355">
        <v>25</v>
      </c>
      <c r="F2263" s="1662">
        <v>7.6</v>
      </c>
      <c r="G2263" s="903"/>
    </row>
    <row r="2264" spans="1:7" ht="15" customHeight="1" x14ac:dyDescent="0.25">
      <c r="A2264" s="2352" t="s">
        <v>15152</v>
      </c>
      <c r="B2264" s="2352" t="s">
        <v>12374</v>
      </c>
      <c r="C2264" s="2352" t="s">
        <v>12374</v>
      </c>
      <c r="D2264" s="2352" t="s">
        <v>13131</v>
      </c>
      <c r="E2264" s="355">
        <v>100</v>
      </c>
      <c r="F2264" s="1662">
        <v>61.75</v>
      </c>
      <c r="G2264" s="903"/>
    </row>
    <row r="2265" spans="1:7" ht="15" customHeight="1" x14ac:dyDescent="0.25">
      <c r="A2265" s="2352" t="s">
        <v>13132</v>
      </c>
      <c r="B2265" s="2352" t="s">
        <v>12374</v>
      </c>
      <c r="C2265" s="2352" t="s">
        <v>12374</v>
      </c>
      <c r="D2265" s="2352" t="s">
        <v>13133</v>
      </c>
      <c r="E2265" s="355">
        <v>30</v>
      </c>
      <c r="F2265" s="1662">
        <v>8.5500000000000007</v>
      </c>
      <c r="G2265" s="903"/>
    </row>
    <row r="2266" spans="1:7" ht="15" customHeight="1" x14ac:dyDescent="0.25">
      <c r="A2266" s="2352" t="s">
        <v>13134</v>
      </c>
      <c r="B2266" s="2352" t="s">
        <v>12374</v>
      </c>
      <c r="C2266" s="2352" t="s">
        <v>12374</v>
      </c>
      <c r="D2266" s="2352" t="s">
        <v>13135</v>
      </c>
      <c r="E2266" s="355">
        <v>100</v>
      </c>
      <c r="F2266" s="1662">
        <v>35.15</v>
      </c>
      <c r="G2266" s="903"/>
    </row>
    <row r="2267" spans="1:7" ht="15" customHeight="1" x14ac:dyDescent="0.25">
      <c r="A2267" s="2352" t="s">
        <v>13136</v>
      </c>
      <c r="B2267" s="2352" t="s">
        <v>12374</v>
      </c>
      <c r="C2267" s="2352" t="s">
        <v>12374</v>
      </c>
      <c r="D2267" s="2352" t="s">
        <v>13137</v>
      </c>
      <c r="E2267" s="355">
        <v>100</v>
      </c>
      <c r="F2267" s="1662">
        <v>42.75</v>
      </c>
      <c r="G2267" s="903"/>
    </row>
    <row r="2268" spans="1:7" ht="15" customHeight="1" x14ac:dyDescent="0.25">
      <c r="A2268" s="2352" t="s">
        <v>15153</v>
      </c>
      <c r="B2268" s="2352" t="s">
        <v>12374</v>
      </c>
      <c r="C2268" s="2352" t="s">
        <v>12374</v>
      </c>
      <c r="D2268" s="2352" t="s">
        <v>13138</v>
      </c>
      <c r="E2268" s="355">
        <v>30</v>
      </c>
      <c r="F2268" s="1662">
        <v>11.4</v>
      </c>
      <c r="G2268" s="903"/>
    </row>
    <row r="2269" spans="1:7" ht="15" customHeight="1" x14ac:dyDescent="0.25">
      <c r="A2269" s="2352" t="s">
        <v>13139</v>
      </c>
      <c r="B2269" s="2352" t="s">
        <v>12374</v>
      </c>
      <c r="C2269" s="2352" t="s">
        <v>12374</v>
      </c>
      <c r="D2269" s="2352" t="s">
        <v>13140</v>
      </c>
      <c r="E2269" s="355">
        <v>30</v>
      </c>
      <c r="F2269" s="1662">
        <v>6.65</v>
      </c>
      <c r="G2269" s="903"/>
    </row>
    <row r="2270" spans="1:7" ht="15" customHeight="1" x14ac:dyDescent="0.25">
      <c r="A2270" s="2352" t="s">
        <v>13141</v>
      </c>
      <c r="B2270" s="2352" t="s">
        <v>12374</v>
      </c>
      <c r="C2270" s="2352" t="s">
        <v>12374</v>
      </c>
      <c r="D2270" s="2352" t="s">
        <v>13142</v>
      </c>
      <c r="E2270" s="355">
        <v>30</v>
      </c>
      <c r="F2270" s="1662">
        <v>5.7</v>
      </c>
      <c r="G2270" s="903"/>
    </row>
    <row r="2271" spans="1:7" ht="15" customHeight="1" x14ac:dyDescent="0.25">
      <c r="A2271" s="2352" t="s">
        <v>13143</v>
      </c>
      <c r="B2271" s="2352" t="s">
        <v>12374</v>
      </c>
      <c r="C2271" s="2352" t="s">
        <v>12374</v>
      </c>
      <c r="D2271" s="2352" t="s">
        <v>13144</v>
      </c>
      <c r="E2271" s="355">
        <v>63</v>
      </c>
      <c r="F2271" s="1662">
        <v>30.4</v>
      </c>
      <c r="G2271" s="903"/>
    </row>
    <row r="2272" spans="1:7" ht="15" customHeight="1" x14ac:dyDescent="0.25">
      <c r="A2272" s="2352" t="s">
        <v>13143</v>
      </c>
      <c r="B2272" s="2352" t="s">
        <v>12374</v>
      </c>
      <c r="C2272" s="2352" t="s">
        <v>12374</v>
      </c>
      <c r="D2272" s="2352" t="s">
        <v>13145</v>
      </c>
      <c r="E2272" s="355">
        <v>20</v>
      </c>
      <c r="F2272" s="1662">
        <v>0</v>
      </c>
      <c r="G2272" s="903"/>
    </row>
    <row r="2273" spans="1:7" ht="15" customHeight="1" x14ac:dyDescent="0.25">
      <c r="A2273" s="2352" t="s">
        <v>12480</v>
      </c>
      <c r="B2273" s="2352" t="s">
        <v>12374</v>
      </c>
      <c r="C2273" s="2352" t="s">
        <v>12374</v>
      </c>
      <c r="D2273" s="2352" t="s">
        <v>13146</v>
      </c>
      <c r="E2273" s="355">
        <v>100</v>
      </c>
      <c r="F2273" s="1662">
        <v>49.4</v>
      </c>
      <c r="G2273" s="903"/>
    </row>
    <row r="2274" spans="1:7" ht="15" customHeight="1" x14ac:dyDescent="0.25">
      <c r="A2274" s="2352" t="s">
        <v>6192</v>
      </c>
      <c r="B2274" s="2352" t="s">
        <v>12374</v>
      </c>
      <c r="C2274" s="2352" t="s">
        <v>12374</v>
      </c>
      <c r="D2274" s="2352" t="s">
        <v>13147</v>
      </c>
      <c r="E2274" s="355">
        <v>100</v>
      </c>
      <c r="F2274" s="1662">
        <v>46.55</v>
      </c>
      <c r="G2274" s="903"/>
    </row>
    <row r="2275" spans="1:7" ht="15" customHeight="1" x14ac:dyDescent="0.25">
      <c r="A2275" s="2352" t="s">
        <v>13148</v>
      </c>
      <c r="B2275" s="2352" t="s">
        <v>12374</v>
      </c>
      <c r="C2275" s="2352" t="s">
        <v>12374</v>
      </c>
      <c r="D2275" s="2352" t="s">
        <v>13149</v>
      </c>
      <c r="E2275" s="355">
        <v>63</v>
      </c>
      <c r="F2275" s="1662">
        <v>24.7</v>
      </c>
      <c r="G2275" s="903"/>
    </row>
    <row r="2276" spans="1:7" ht="15" customHeight="1" x14ac:dyDescent="0.25">
      <c r="A2276" s="2352" t="s">
        <v>13150</v>
      </c>
      <c r="B2276" s="2352" t="s">
        <v>12374</v>
      </c>
      <c r="C2276" s="2352" t="s">
        <v>12374</v>
      </c>
      <c r="D2276" s="2352" t="s">
        <v>13151</v>
      </c>
      <c r="E2276" s="355">
        <v>63</v>
      </c>
      <c r="F2276" s="1662">
        <v>35.15</v>
      </c>
      <c r="G2276" s="903"/>
    </row>
    <row r="2277" spans="1:7" ht="15" customHeight="1" x14ac:dyDescent="0.25">
      <c r="A2277" s="2352" t="s">
        <v>12622</v>
      </c>
      <c r="B2277" s="2352" t="s">
        <v>12374</v>
      </c>
      <c r="C2277" s="2352" t="s">
        <v>12374</v>
      </c>
      <c r="D2277" s="2352" t="s">
        <v>13152</v>
      </c>
      <c r="E2277" s="355">
        <v>60</v>
      </c>
      <c r="F2277" s="1662">
        <v>27.55</v>
      </c>
      <c r="G2277" s="903"/>
    </row>
    <row r="2278" spans="1:7" ht="15" customHeight="1" x14ac:dyDescent="0.25">
      <c r="A2278" s="2352" t="s">
        <v>13153</v>
      </c>
      <c r="B2278" s="2352" t="s">
        <v>12374</v>
      </c>
      <c r="C2278" s="2352" t="s">
        <v>12374</v>
      </c>
      <c r="D2278" s="2352" t="s">
        <v>13154</v>
      </c>
      <c r="E2278" s="355">
        <v>250</v>
      </c>
      <c r="F2278" s="1662">
        <v>176.7</v>
      </c>
      <c r="G2278" s="903"/>
    </row>
    <row r="2279" spans="1:7" ht="15" customHeight="1" x14ac:dyDescent="0.25">
      <c r="A2279" s="2352" t="s">
        <v>13153</v>
      </c>
      <c r="B2279" s="2352" t="s">
        <v>12374</v>
      </c>
      <c r="C2279" s="2352" t="s">
        <v>12374</v>
      </c>
      <c r="D2279" s="2352" t="s">
        <v>13155</v>
      </c>
      <c r="E2279" s="355">
        <v>160</v>
      </c>
      <c r="F2279" s="1662">
        <v>84.55</v>
      </c>
      <c r="G2279" s="903"/>
    </row>
    <row r="2280" spans="1:7" ht="15" customHeight="1" x14ac:dyDescent="0.25">
      <c r="A2280" s="2352" t="s">
        <v>13153</v>
      </c>
      <c r="B2280" s="2352" t="s">
        <v>12374</v>
      </c>
      <c r="C2280" s="2352" t="s">
        <v>12374</v>
      </c>
      <c r="D2280" s="2352" t="s">
        <v>13156</v>
      </c>
      <c r="E2280" s="355">
        <v>160</v>
      </c>
      <c r="F2280" s="1662">
        <v>87.4</v>
      </c>
      <c r="G2280" s="903"/>
    </row>
    <row r="2281" spans="1:7" ht="15" customHeight="1" x14ac:dyDescent="0.25">
      <c r="A2281" s="2352" t="s">
        <v>13153</v>
      </c>
      <c r="B2281" s="2352" t="s">
        <v>12374</v>
      </c>
      <c r="C2281" s="2352" t="s">
        <v>12374</v>
      </c>
      <c r="D2281" s="2352" t="s">
        <v>13157</v>
      </c>
      <c r="E2281" s="355">
        <v>400</v>
      </c>
      <c r="F2281" s="1662">
        <v>204.25</v>
      </c>
      <c r="G2281" s="903"/>
    </row>
    <row r="2282" spans="1:7" ht="15" customHeight="1" x14ac:dyDescent="0.25">
      <c r="A2282" s="2352" t="s">
        <v>15154</v>
      </c>
      <c r="B2282" s="2352" t="s">
        <v>12374</v>
      </c>
      <c r="C2282" s="2352" t="s">
        <v>12374</v>
      </c>
      <c r="D2282" s="2352" t="s">
        <v>13158</v>
      </c>
      <c r="E2282" s="355">
        <v>63</v>
      </c>
      <c r="F2282" s="1662">
        <v>49.977310396857398</v>
      </c>
      <c r="G2282" s="903"/>
    </row>
    <row r="2283" spans="1:7" ht="15" customHeight="1" x14ac:dyDescent="0.25">
      <c r="A2283" s="2352" t="s">
        <v>15155</v>
      </c>
      <c r="B2283" s="2352" t="s">
        <v>12374</v>
      </c>
      <c r="C2283" s="2352" t="s">
        <v>12374</v>
      </c>
      <c r="D2283" s="2352" t="s">
        <v>13159</v>
      </c>
      <c r="E2283" s="355">
        <v>250</v>
      </c>
      <c r="F2283" s="1662">
        <v>220.38733802121951</v>
      </c>
      <c r="G2283" s="903"/>
    </row>
    <row r="2284" spans="1:7" ht="15" customHeight="1" x14ac:dyDescent="0.25">
      <c r="A2284" s="2352" t="s">
        <v>6966</v>
      </c>
      <c r="B2284" s="2352" t="s">
        <v>12374</v>
      </c>
      <c r="C2284" s="2352" t="s">
        <v>12374</v>
      </c>
      <c r="D2284" s="2352" t="s">
        <v>13160</v>
      </c>
      <c r="E2284" s="355">
        <v>160</v>
      </c>
      <c r="F2284" s="1662">
        <v>101.32019337053465</v>
      </c>
      <c r="G2284" s="903"/>
    </row>
    <row r="2285" spans="1:7" ht="15" customHeight="1" x14ac:dyDescent="0.25">
      <c r="A2285" s="2352" t="s">
        <v>13109</v>
      </c>
      <c r="B2285" s="2352" t="s">
        <v>12374</v>
      </c>
      <c r="C2285" s="2352" t="s">
        <v>12374</v>
      </c>
      <c r="D2285" s="2352" t="s">
        <v>13161</v>
      </c>
      <c r="E2285" s="355">
        <v>400</v>
      </c>
      <c r="F2285" s="1662">
        <v>299.25</v>
      </c>
      <c r="G2285" s="903"/>
    </row>
    <row r="2286" spans="1:7" ht="15" customHeight="1" x14ac:dyDescent="0.25">
      <c r="A2286" s="2352" t="s">
        <v>13109</v>
      </c>
      <c r="B2286" s="2352" t="s">
        <v>12374</v>
      </c>
      <c r="C2286" s="2352" t="s">
        <v>12374</v>
      </c>
      <c r="D2286" s="2352" t="s">
        <v>13162</v>
      </c>
      <c r="E2286" s="355">
        <v>400</v>
      </c>
      <c r="F2286" s="1662">
        <v>214.7</v>
      </c>
      <c r="G2286" s="903"/>
    </row>
    <row r="2287" spans="1:7" ht="15" customHeight="1" x14ac:dyDescent="0.25">
      <c r="A2287" s="2352" t="s">
        <v>13109</v>
      </c>
      <c r="B2287" s="2352" t="s">
        <v>12374</v>
      </c>
      <c r="C2287" s="2352" t="s">
        <v>12374</v>
      </c>
      <c r="D2287" s="2352" t="s">
        <v>13163</v>
      </c>
      <c r="E2287" s="355">
        <v>630</v>
      </c>
      <c r="F2287" s="1662">
        <v>404.7</v>
      </c>
      <c r="G2287" s="903"/>
    </row>
    <row r="2288" spans="1:7" ht="15" customHeight="1" x14ac:dyDescent="0.25">
      <c r="A2288" s="2352" t="s">
        <v>13109</v>
      </c>
      <c r="B2288" s="2352" t="s">
        <v>12374</v>
      </c>
      <c r="C2288" s="2352" t="s">
        <v>12374</v>
      </c>
      <c r="D2288" s="2352" t="s">
        <v>13164</v>
      </c>
      <c r="E2288" s="355">
        <v>100</v>
      </c>
      <c r="F2288" s="1662">
        <v>32.299999999999997</v>
      </c>
      <c r="G2288" s="903"/>
    </row>
    <row r="2289" spans="1:7" ht="15" customHeight="1" x14ac:dyDescent="0.25">
      <c r="A2289" s="2352" t="s">
        <v>13109</v>
      </c>
      <c r="B2289" s="2352" t="s">
        <v>12374</v>
      </c>
      <c r="C2289" s="2352" t="s">
        <v>12374</v>
      </c>
      <c r="D2289" s="2352" t="s">
        <v>13165</v>
      </c>
      <c r="E2289" s="355">
        <v>400</v>
      </c>
      <c r="F2289" s="1662">
        <v>298.3</v>
      </c>
      <c r="G2289" s="903"/>
    </row>
    <row r="2290" spans="1:7" ht="15" customHeight="1" x14ac:dyDescent="0.25">
      <c r="A2290" s="2352" t="s">
        <v>13166</v>
      </c>
      <c r="B2290" s="2352" t="s">
        <v>12374</v>
      </c>
      <c r="C2290" s="2352" t="s">
        <v>12374</v>
      </c>
      <c r="D2290" s="2352" t="s">
        <v>13167</v>
      </c>
      <c r="E2290" s="355">
        <v>20</v>
      </c>
      <c r="F2290" s="1662">
        <v>1.9</v>
      </c>
      <c r="G2290" s="903"/>
    </row>
    <row r="2291" spans="1:7" ht="15" customHeight="1" x14ac:dyDescent="0.25">
      <c r="A2291" s="2352" t="s">
        <v>13168</v>
      </c>
      <c r="B2291" s="2352" t="s">
        <v>12374</v>
      </c>
      <c r="C2291" s="2352" t="s">
        <v>12374</v>
      </c>
      <c r="D2291" s="2352" t="s">
        <v>13169</v>
      </c>
      <c r="E2291" s="355">
        <v>50</v>
      </c>
      <c r="F2291" s="1662">
        <v>17.100000000000001</v>
      </c>
      <c r="G2291" s="903"/>
    </row>
    <row r="2292" spans="1:7" ht="15" customHeight="1" x14ac:dyDescent="0.25">
      <c r="A2292" s="2352" t="s">
        <v>15156</v>
      </c>
      <c r="B2292" s="2352" t="s">
        <v>12374</v>
      </c>
      <c r="C2292" s="2352" t="s">
        <v>12374</v>
      </c>
      <c r="D2292" s="2352" t="s">
        <v>13170</v>
      </c>
      <c r="E2292" s="355">
        <v>60</v>
      </c>
      <c r="F2292" s="1662">
        <v>22.8</v>
      </c>
      <c r="G2292" s="903"/>
    </row>
    <row r="2293" spans="1:7" ht="15" customHeight="1" x14ac:dyDescent="0.25">
      <c r="A2293" s="2352" t="s">
        <v>13171</v>
      </c>
      <c r="B2293" s="2352" t="s">
        <v>12374</v>
      </c>
      <c r="C2293" s="2352" t="s">
        <v>12374</v>
      </c>
      <c r="D2293" s="2352" t="s">
        <v>13172</v>
      </c>
      <c r="E2293" s="355">
        <v>60</v>
      </c>
      <c r="F2293" s="1662">
        <v>19.95</v>
      </c>
      <c r="G2293" s="903"/>
    </row>
    <row r="2294" spans="1:7" ht="15" customHeight="1" x14ac:dyDescent="0.25">
      <c r="A2294" s="2352" t="s">
        <v>13173</v>
      </c>
      <c r="B2294" s="2352" t="s">
        <v>12374</v>
      </c>
      <c r="C2294" s="2352" t="s">
        <v>12374</v>
      </c>
      <c r="D2294" s="2352" t="s">
        <v>13174</v>
      </c>
      <c r="E2294" s="355">
        <v>30</v>
      </c>
      <c r="F2294" s="1662">
        <v>5.7</v>
      </c>
      <c r="G2294" s="903"/>
    </row>
    <row r="2295" spans="1:7" ht="15" customHeight="1" x14ac:dyDescent="0.25">
      <c r="A2295" s="2352" t="s">
        <v>15157</v>
      </c>
      <c r="B2295" s="2352" t="s">
        <v>12374</v>
      </c>
      <c r="C2295" s="2352" t="s">
        <v>12374</v>
      </c>
      <c r="D2295" s="2352" t="s">
        <v>13175</v>
      </c>
      <c r="E2295" s="355">
        <v>63</v>
      </c>
      <c r="F2295" s="1662">
        <v>27.55</v>
      </c>
      <c r="G2295" s="903"/>
    </row>
    <row r="2296" spans="1:7" ht="15" customHeight="1" x14ac:dyDescent="0.25">
      <c r="A2296" s="2352" t="s">
        <v>13176</v>
      </c>
      <c r="B2296" s="2352" t="s">
        <v>12374</v>
      </c>
      <c r="C2296" s="2352" t="s">
        <v>12374</v>
      </c>
      <c r="D2296" s="2352" t="s">
        <v>13177</v>
      </c>
      <c r="E2296" s="355">
        <v>50</v>
      </c>
      <c r="F2296" s="1662">
        <v>25.65</v>
      </c>
      <c r="G2296" s="903"/>
    </row>
    <row r="2297" spans="1:7" ht="15" customHeight="1" x14ac:dyDescent="0.25">
      <c r="A2297" s="2352" t="s">
        <v>13178</v>
      </c>
      <c r="B2297" s="2352" t="s">
        <v>12374</v>
      </c>
      <c r="C2297" s="2352" t="s">
        <v>12374</v>
      </c>
      <c r="D2297" s="2352" t="s">
        <v>13179</v>
      </c>
      <c r="E2297" s="355">
        <v>100</v>
      </c>
      <c r="F2297" s="1662">
        <v>73.938262179962464</v>
      </c>
      <c r="G2297" s="903"/>
    </row>
    <row r="2298" spans="1:7" ht="15" customHeight="1" x14ac:dyDescent="0.25">
      <c r="A2298" s="2352" t="s">
        <v>13180</v>
      </c>
      <c r="B2298" s="2352" t="s">
        <v>12374</v>
      </c>
      <c r="C2298" s="2352" t="s">
        <v>12374</v>
      </c>
      <c r="D2298" s="2352" t="s">
        <v>13181</v>
      </c>
      <c r="E2298" s="355">
        <v>30</v>
      </c>
      <c r="F2298" s="1662">
        <v>10.45</v>
      </c>
      <c r="G2298" s="903"/>
    </row>
    <row r="2299" spans="1:7" ht="15" customHeight="1" x14ac:dyDescent="0.25">
      <c r="A2299" s="2352" t="s">
        <v>13182</v>
      </c>
      <c r="B2299" s="2352" t="s">
        <v>12374</v>
      </c>
      <c r="C2299" s="2352" t="s">
        <v>12374</v>
      </c>
      <c r="D2299" s="2352" t="s">
        <v>13183</v>
      </c>
      <c r="E2299" s="355">
        <v>63</v>
      </c>
      <c r="F2299" s="1662">
        <v>22.8</v>
      </c>
      <c r="G2299" s="903"/>
    </row>
    <row r="2300" spans="1:7" ht="15" customHeight="1" x14ac:dyDescent="0.25">
      <c r="A2300" s="2352" t="s">
        <v>12480</v>
      </c>
      <c r="B2300" s="2352" t="s">
        <v>12374</v>
      </c>
      <c r="C2300" s="2352" t="s">
        <v>12374</v>
      </c>
      <c r="D2300" s="2352" t="s">
        <v>13184</v>
      </c>
      <c r="E2300" s="355">
        <v>160</v>
      </c>
      <c r="F2300" s="1662">
        <v>96.9</v>
      </c>
      <c r="G2300" s="903"/>
    </row>
    <row r="2301" spans="1:7" ht="15" customHeight="1" x14ac:dyDescent="0.25">
      <c r="A2301" s="2352" t="s">
        <v>12480</v>
      </c>
      <c r="B2301" s="2352" t="s">
        <v>12374</v>
      </c>
      <c r="C2301" s="2352" t="s">
        <v>12374</v>
      </c>
      <c r="D2301" s="2352" t="s">
        <v>13185</v>
      </c>
      <c r="E2301" s="355">
        <v>100</v>
      </c>
      <c r="F2301" s="1662">
        <v>48.45</v>
      </c>
      <c r="G2301" s="903"/>
    </row>
    <row r="2302" spans="1:7" ht="15" customHeight="1" x14ac:dyDescent="0.25">
      <c r="A2302" s="2352" t="s">
        <v>12480</v>
      </c>
      <c r="B2302" s="2352" t="s">
        <v>12374</v>
      </c>
      <c r="C2302" s="2352" t="s">
        <v>12374</v>
      </c>
      <c r="D2302" s="2352" t="s">
        <v>13186</v>
      </c>
      <c r="E2302" s="355">
        <v>50</v>
      </c>
      <c r="F2302" s="1662">
        <v>15.2</v>
      </c>
      <c r="G2302" s="903"/>
    </row>
    <row r="2303" spans="1:7" ht="15" customHeight="1" x14ac:dyDescent="0.25">
      <c r="A2303" s="2352" t="s">
        <v>12480</v>
      </c>
      <c r="B2303" s="2352" t="s">
        <v>12374</v>
      </c>
      <c r="C2303" s="2352" t="s">
        <v>12374</v>
      </c>
      <c r="D2303" s="2352" t="s">
        <v>13187</v>
      </c>
      <c r="E2303" s="355">
        <v>50</v>
      </c>
      <c r="F2303" s="1662">
        <v>27.55</v>
      </c>
      <c r="G2303" s="903"/>
    </row>
    <row r="2304" spans="1:7" ht="15" customHeight="1" x14ac:dyDescent="0.25">
      <c r="A2304" s="2352" t="s">
        <v>12480</v>
      </c>
      <c r="B2304" s="2352" t="s">
        <v>12374</v>
      </c>
      <c r="C2304" s="2352" t="s">
        <v>12374</v>
      </c>
      <c r="D2304" s="2352" t="s">
        <v>13188</v>
      </c>
      <c r="E2304" s="355">
        <v>250</v>
      </c>
      <c r="F2304" s="1662">
        <v>106.4</v>
      </c>
      <c r="G2304" s="903"/>
    </row>
    <row r="2305" spans="1:7" ht="15" customHeight="1" x14ac:dyDescent="0.25">
      <c r="A2305" s="2352" t="s">
        <v>12480</v>
      </c>
      <c r="B2305" s="2352" t="s">
        <v>12374</v>
      </c>
      <c r="C2305" s="2352" t="s">
        <v>12374</v>
      </c>
      <c r="D2305" s="2352" t="s">
        <v>13189</v>
      </c>
      <c r="E2305" s="355">
        <v>100</v>
      </c>
      <c r="F2305" s="1662">
        <v>38.950000000000003</v>
      </c>
      <c r="G2305" s="903"/>
    </row>
    <row r="2306" spans="1:7" ht="15" customHeight="1" x14ac:dyDescent="0.25">
      <c r="A2306" s="2352" t="s">
        <v>12480</v>
      </c>
      <c r="B2306" s="2352" t="s">
        <v>12374</v>
      </c>
      <c r="C2306" s="2352" t="s">
        <v>12374</v>
      </c>
      <c r="D2306" s="2352" t="s">
        <v>13190</v>
      </c>
      <c r="E2306" s="355">
        <v>160</v>
      </c>
      <c r="F2306" s="1662">
        <v>16.149999999999999</v>
      </c>
      <c r="G2306" s="903"/>
    </row>
    <row r="2307" spans="1:7" ht="15" customHeight="1" x14ac:dyDescent="0.25">
      <c r="A2307" s="2352" t="s">
        <v>12480</v>
      </c>
      <c r="B2307" s="2352" t="s">
        <v>12374</v>
      </c>
      <c r="C2307" s="2352" t="s">
        <v>12374</v>
      </c>
      <c r="D2307" s="2352" t="s">
        <v>13191</v>
      </c>
      <c r="E2307" s="355">
        <v>250</v>
      </c>
      <c r="F2307" s="1662">
        <v>155.80000000000001</v>
      </c>
      <c r="G2307" s="903"/>
    </row>
    <row r="2308" spans="1:7" ht="15" customHeight="1" x14ac:dyDescent="0.25">
      <c r="A2308" s="2352" t="s">
        <v>7141</v>
      </c>
      <c r="B2308" s="2352" t="s">
        <v>12374</v>
      </c>
      <c r="C2308" s="2352" t="s">
        <v>12374</v>
      </c>
      <c r="D2308" s="2352" t="s">
        <v>13192</v>
      </c>
      <c r="E2308" s="355">
        <v>100</v>
      </c>
      <c r="F2308" s="1662">
        <v>44.65</v>
      </c>
      <c r="G2308" s="903"/>
    </row>
    <row r="2309" spans="1:7" ht="15" customHeight="1" x14ac:dyDescent="0.25">
      <c r="A2309" s="2352" t="s">
        <v>12480</v>
      </c>
      <c r="B2309" s="2352" t="s">
        <v>12374</v>
      </c>
      <c r="C2309" s="2352" t="s">
        <v>12374</v>
      </c>
      <c r="D2309" s="2352" t="s">
        <v>13193</v>
      </c>
      <c r="E2309" s="355">
        <v>250</v>
      </c>
      <c r="F2309" s="1662">
        <v>172.9</v>
      </c>
      <c r="G2309" s="903"/>
    </row>
    <row r="2310" spans="1:7" ht="15" customHeight="1" x14ac:dyDescent="0.25">
      <c r="A2310" s="2352" t="s">
        <v>13071</v>
      </c>
      <c r="B2310" s="2352" t="s">
        <v>12374</v>
      </c>
      <c r="C2310" s="2352" t="s">
        <v>12374</v>
      </c>
      <c r="D2310" s="2352" t="s">
        <v>13194</v>
      </c>
      <c r="E2310" s="355">
        <v>250</v>
      </c>
      <c r="F2310" s="1662">
        <v>155.80000000000001</v>
      </c>
      <c r="G2310" s="903"/>
    </row>
    <row r="2311" spans="1:7" ht="15" customHeight="1" x14ac:dyDescent="0.25">
      <c r="A2311" s="2352" t="s">
        <v>13056</v>
      </c>
      <c r="B2311" s="2352" t="s">
        <v>12698</v>
      </c>
      <c r="C2311" s="2352" t="s">
        <v>12374</v>
      </c>
      <c r="D2311" s="2352" t="s">
        <v>13195</v>
      </c>
      <c r="E2311" s="355">
        <v>50</v>
      </c>
      <c r="F2311" s="1662">
        <v>13.3</v>
      </c>
      <c r="G2311" s="903"/>
    </row>
    <row r="2312" spans="1:7" ht="15" customHeight="1" x14ac:dyDescent="0.25">
      <c r="A2312" s="2352" t="s">
        <v>12677</v>
      </c>
      <c r="B2312" s="2352" t="s">
        <v>12698</v>
      </c>
      <c r="C2312" s="2352" t="s">
        <v>12374</v>
      </c>
      <c r="D2312" s="2352" t="s">
        <v>13196</v>
      </c>
      <c r="E2312" s="355">
        <v>100</v>
      </c>
      <c r="F2312" s="1662">
        <v>26.549352084877977</v>
      </c>
      <c r="G2312" s="903"/>
    </row>
    <row r="2313" spans="1:7" ht="15" customHeight="1" x14ac:dyDescent="0.25">
      <c r="A2313" s="2352" t="s">
        <v>15158</v>
      </c>
      <c r="B2313" s="2352" t="s">
        <v>12698</v>
      </c>
      <c r="C2313" s="2352" t="s">
        <v>12374</v>
      </c>
      <c r="D2313" s="2352" t="s">
        <v>13197</v>
      </c>
      <c r="E2313" s="355">
        <v>100</v>
      </c>
      <c r="F2313" s="1662">
        <v>57.95</v>
      </c>
      <c r="G2313" s="903"/>
    </row>
    <row r="2314" spans="1:7" ht="15" customHeight="1" x14ac:dyDescent="0.25">
      <c r="A2314" s="2352" t="s">
        <v>13198</v>
      </c>
      <c r="B2314" s="2352" t="s">
        <v>12698</v>
      </c>
      <c r="C2314" s="2352" t="s">
        <v>12374</v>
      </c>
      <c r="D2314" s="2352" t="s">
        <v>13199</v>
      </c>
      <c r="E2314" s="355">
        <v>50</v>
      </c>
      <c r="F2314" s="1662">
        <v>21.85</v>
      </c>
      <c r="G2314" s="903"/>
    </row>
    <row r="2315" spans="1:7" ht="15" customHeight="1" x14ac:dyDescent="0.25">
      <c r="A2315" s="2352" t="s">
        <v>13071</v>
      </c>
      <c r="B2315" s="2352" t="s">
        <v>12374</v>
      </c>
      <c r="C2315" s="2352" t="s">
        <v>12374</v>
      </c>
      <c r="D2315" s="2352" t="s">
        <v>13200</v>
      </c>
      <c r="E2315" s="355">
        <v>160</v>
      </c>
      <c r="F2315" s="1662">
        <v>93.1</v>
      </c>
      <c r="G2315" s="903"/>
    </row>
    <row r="2316" spans="1:7" ht="15" customHeight="1" x14ac:dyDescent="0.25">
      <c r="A2316" s="2352" t="s">
        <v>13201</v>
      </c>
      <c r="B2316" s="2352" t="s">
        <v>12374</v>
      </c>
      <c r="C2316" s="2352" t="s">
        <v>12374</v>
      </c>
      <c r="D2316" s="2352" t="s">
        <v>13202</v>
      </c>
      <c r="E2316" s="355">
        <v>160</v>
      </c>
      <c r="F2316" s="1662">
        <v>79.8</v>
      </c>
      <c r="G2316" s="903"/>
    </row>
    <row r="2317" spans="1:7" ht="15" customHeight="1" x14ac:dyDescent="0.25">
      <c r="A2317" s="2352" t="s">
        <v>13203</v>
      </c>
      <c r="B2317" s="2352" t="s">
        <v>12374</v>
      </c>
      <c r="C2317" s="2352" t="s">
        <v>12374</v>
      </c>
      <c r="D2317" s="2352" t="s">
        <v>13204</v>
      </c>
      <c r="E2317" s="355">
        <v>60</v>
      </c>
      <c r="F2317" s="1662">
        <v>24.7</v>
      </c>
      <c r="G2317" s="903"/>
    </row>
    <row r="2318" spans="1:7" ht="15" customHeight="1" x14ac:dyDescent="0.25">
      <c r="A2318" s="2352" t="s">
        <v>13205</v>
      </c>
      <c r="B2318" s="2352" t="s">
        <v>12698</v>
      </c>
      <c r="C2318" s="2352" t="s">
        <v>12374</v>
      </c>
      <c r="D2318" s="2352" t="s">
        <v>13206</v>
      </c>
      <c r="E2318" s="355">
        <v>250</v>
      </c>
      <c r="F2318" s="1662">
        <v>135.85</v>
      </c>
      <c r="G2318" s="903"/>
    </row>
    <row r="2319" spans="1:7" ht="15" customHeight="1" x14ac:dyDescent="0.25">
      <c r="A2319" s="2352" t="s">
        <v>13207</v>
      </c>
      <c r="B2319" s="2352" t="s">
        <v>12374</v>
      </c>
      <c r="C2319" s="2352" t="s">
        <v>12374</v>
      </c>
      <c r="D2319" s="2352" t="s">
        <v>13208</v>
      </c>
      <c r="E2319" s="355">
        <v>63</v>
      </c>
      <c r="F2319" s="1662">
        <v>22.8</v>
      </c>
      <c r="G2319" s="903"/>
    </row>
    <row r="2320" spans="1:7" ht="15" customHeight="1" x14ac:dyDescent="0.25">
      <c r="A2320" s="2352" t="s">
        <v>13209</v>
      </c>
      <c r="B2320" s="2352" t="s">
        <v>12698</v>
      </c>
      <c r="C2320" s="2352" t="s">
        <v>12374</v>
      </c>
      <c r="D2320" s="2352" t="s">
        <v>13210</v>
      </c>
      <c r="E2320" s="355">
        <v>100</v>
      </c>
      <c r="F2320" s="1662">
        <v>39.9</v>
      </c>
      <c r="G2320" s="903"/>
    </row>
    <row r="2321" spans="1:7" ht="15" customHeight="1" x14ac:dyDescent="0.25">
      <c r="A2321" s="2352" t="s">
        <v>12878</v>
      </c>
      <c r="B2321" s="2352" t="s">
        <v>12374</v>
      </c>
      <c r="C2321" s="2352" t="s">
        <v>12374</v>
      </c>
      <c r="D2321" s="2352" t="s">
        <v>13211</v>
      </c>
      <c r="E2321" s="355">
        <v>63</v>
      </c>
      <c r="F2321" s="1662">
        <v>12.35</v>
      </c>
      <c r="G2321" s="903"/>
    </row>
    <row r="2322" spans="1:7" ht="15" customHeight="1" x14ac:dyDescent="0.25">
      <c r="A2322" s="2352" t="s">
        <v>12878</v>
      </c>
      <c r="B2322" s="2352" t="s">
        <v>12374</v>
      </c>
      <c r="C2322" s="2352" t="s">
        <v>12374</v>
      </c>
      <c r="D2322" s="2352" t="s">
        <v>13212</v>
      </c>
      <c r="E2322" s="355">
        <v>100</v>
      </c>
      <c r="F2322" s="1662">
        <v>50.35</v>
      </c>
      <c r="G2322" s="903"/>
    </row>
    <row r="2323" spans="1:7" ht="15" customHeight="1" x14ac:dyDescent="0.25">
      <c r="A2323" s="2352" t="s">
        <v>15159</v>
      </c>
      <c r="B2323" s="2352" t="s">
        <v>12374</v>
      </c>
      <c r="C2323" s="2352" t="s">
        <v>12374</v>
      </c>
      <c r="D2323" s="2352" t="s">
        <v>13213</v>
      </c>
      <c r="E2323" s="355">
        <v>100</v>
      </c>
      <c r="F2323" s="1662">
        <v>16.149999999999999</v>
      </c>
      <c r="G2323" s="903"/>
    </row>
    <row r="2324" spans="1:7" ht="15" customHeight="1" x14ac:dyDescent="0.25">
      <c r="A2324" s="2352" t="s">
        <v>13201</v>
      </c>
      <c r="B2324" s="2352" t="s">
        <v>12374</v>
      </c>
      <c r="C2324" s="2352" t="s">
        <v>12374</v>
      </c>
      <c r="D2324" s="2352" t="s">
        <v>13214</v>
      </c>
      <c r="E2324" s="355">
        <v>160</v>
      </c>
      <c r="F2324" s="1662">
        <v>117.77467604243898</v>
      </c>
      <c r="G2324" s="903"/>
    </row>
    <row r="2325" spans="1:7" ht="15" customHeight="1" x14ac:dyDescent="0.25">
      <c r="A2325" s="2352" t="s">
        <v>15160</v>
      </c>
      <c r="B2325" s="2352" t="s">
        <v>12374</v>
      </c>
      <c r="C2325" s="2352" t="s">
        <v>12374</v>
      </c>
      <c r="D2325" s="2352" t="s">
        <v>13215</v>
      </c>
      <c r="E2325" s="355">
        <v>63</v>
      </c>
      <c r="F2325" s="1662">
        <v>36.1</v>
      </c>
      <c r="G2325" s="903"/>
    </row>
    <row r="2326" spans="1:7" ht="15" customHeight="1" x14ac:dyDescent="0.25">
      <c r="A2326" s="2352" t="s">
        <v>12614</v>
      </c>
      <c r="B2326" s="2352" t="s">
        <v>12374</v>
      </c>
      <c r="C2326" s="2352" t="s">
        <v>12374</v>
      </c>
      <c r="D2326" s="2352" t="s">
        <v>13216</v>
      </c>
      <c r="E2326" s="355">
        <v>63</v>
      </c>
      <c r="F2326" s="1662">
        <v>23.75</v>
      </c>
      <c r="G2326" s="903"/>
    </row>
    <row r="2327" spans="1:7" ht="15" customHeight="1" x14ac:dyDescent="0.25">
      <c r="A2327" s="2352" t="s">
        <v>7132</v>
      </c>
      <c r="B2327" s="2352" t="s">
        <v>12374</v>
      </c>
      <c r="C2327" s="2352" t="s">
        <v>12374</v>
      </c>
      <c r="D2327" s="2352" t="s">
        <v>13217</v>
      </c>
      <c r="E2327" s="355">
        <v>315</v>
      </c>
      <c r="F2327" s="1662">
        <v>207.1</v>
      </c>
      <c r="G2327" s="903"/>
    </row>
    <row r="2328" spans="1:7" ht="15" customHeight="1" x14ac:dyDescent="0.25">
      <c r="A2328" s="2352" t="s">
        <v>7132</v>
      </c>
      <c r="B2328" s="2352" t="s">
        <v>12374</v>
      </c>
      <c r="C2328" s="2352" t="s">
        <v>12374</v>
      </c>
      <c r="D2328" s="2352" t="s">
        <v>13218</v>
      </c>
      <c r="E2328" s="355">
        <v>160</v>
      </c>
      <c r="F2328" s="1662">
        <v>111.85106228055342</v>
      </c>
      <c r="G2328" s="903"/>
    </row>
    <row r="2329" spans="1:7" ht="15" customHeight="1" x14ac:dyDescent="0.25">
      <c r="A2329" s="2352" t="s">
        <v>7132</v>
      </c>
      <c r="B2329" s="2352" t="s">
        <v>12374</v>
      </c>
      <c r="C2329" s="2352" t="s">
        <v>12374</v>
      </c>
      <c r="D2329" s="2352" t="s">
        <v>13219</v>
      </c>
      <c r="E2329" s="355">
        <v>100</v>
      </c>
      <c r="F2329" s="1662">
        <v>21.85</v>
      </c>
      <c r="G2329" s="903"/>
    </row>
    <row r="2330" spans="1:7" ht="15" customHeight="1" x14ac:dyDescent="0.25">
      <c r="A2330" s="2352" t="s">
        <v>7132</v>
      </c>
      <c r="B2330" s="2352" t="s">
        <v>12374</v>
      </c>
      <c r="C2330" s="2352" t="s">
        <v>12374</v>
      </c>
      <c r="D2330" s="2352" t="s">
        <v>13220</v>
      </c>
      <c r="E2330" s="355">
        <v>250</v>
      </c>
      <c r="F2330" s="1662">
        <v>106.4</v>
      </c>
      <c r="G2330" s="903"/>
    </row>
    <row r="2331" spans="1:7" ht="15" customHeight="1" x14ac:dyDescent="0.25">
      <c r="A2331" s="2352" t="s">
        <v>13221</v>
      </c>
      <c r="B2331" s="2352" t="s">
        <v>12374</v>
      </c>
      <c r="C2331" s="2352" t="s">
        <v>12374</v>
      </c>
      <c r="D2331" s="2352" t="s">
        <v>13222</v>
      </c>
      <c r="E2331" s="355">
        <v>63</v>
      </c>
      <c r="F2331" s="1662">
        <v>25.65</v>
      </c>
      <c r="G2331" s="903"/>
    </row>
    <row r="2332" spans="1:7" ht="15" customHeight="1" x14ac:dyDescent="0.25">
      <c r="A2332" s="2352" t="s">
        <v>13223</v>
      </c>
      <c r="B2332" s="2352" t="s">
        <v>12374</v>
      </c>
      <c r="C2332" s="2352" t="s">
        <v>12374</v>
      </c>
      <c r="D2332" s="2352" t="s">
        <v>13224</v>
      </c>
      <c r="E2332" s="355">
        <v>60</v>
      </c>
      <c r="F2332" s="1662">
        <v>32.299999999999997</v>
      </c>
      <c r="G2332" s="903"/>
    </row>
    <row r="2333" spans="1:7" ht="15" customHeight="1" x14ac:dyDescent="0.25">
      <c r="A2333" s="2352" t="s">
        <v>15118</v>
      </c>
      <c r="B2333" s="2352" t="s">
        <v>12374</v>
      </c>
      <c r="C2333" s="2352" t="s">
        <v>12374</v>
      </c>
      <c r="D2333" s="2352" t="s">
        <v>13225</v>
      </c>
      <c r="E2333" s="355" t="s">
        <v>5551</v>
      </c>
      <c r="F2333" s="1662">
        <v>750.5</v>
      </c>
      <c r="G2333" s="903"/>
    </row>
    <row r="2334" spans="1:7" ht="15" customHeight="1" x14ac:dyDescent="0.25">
      <c r="A2334" s="2352" t="s">
        <v>15118</v>
      </c>
      <c r="B2334" s="2352" t="s">
        <v>12374</v>
      </c>
      <c r="C2334" s="2352" t="s">
        <v>12374</v>
      </c>
      <c r="D2334" s="2352" t="s">
        <v>13226</v>
      </c>
      <c r="E2334" s="355" t="s">
        <v>5551</v>
      </c>
      <c r="F2334" s="1662">
        <v>718.2</v>
      </c>
      <c r="G2334" s="903"/>
    </row>
    <row r="2335" spans="1:7" ht="15" customHeight="1" x14ac:dyDescent="0.25">
      <c r="A2335" s="2352" t="s">
        <v>15118</v>
      </c>
      <c r="B2335" s="2352" t="s">
        <v>12374</v>
      </c>
      <c r="C2335" s="2352" t="s">
        <v>12374</v>
      </c>
      <c r="D2335" s="2352" t="s">
        <v>13227</v>
      </c>
      <c r="E2335" s="355" t="s">
        <v>5551</v>
      </c>
      <c r="F2335" s="1662">
        <v>692.55</v>
      </c>
      <c r="G2335" s="903"/>
    </row>
    <row r="2336" spans="1:7" ht="15" customHeight="1" x14ac:dyDescent="0.25">
      <c r="A2336" s="2352" t="s">
        <v>13228</v>
      </c>
      <c r="B2336" s="2352" t="s">
        <v>12374</v>
      </c>
      <c r="C2336" s="2352" t="s">
        <v>12374</v>
      </c>
      <c r="D2336" s="2352" t="s">
        <v>13229</v>
      </c>
      <c r="E2336" s="355">
        <v>100</v>
      </c>
      <c r="F2336" s="1662">
        <v>51.3</v>
      </c>
      <c r="G2336" s="903"/>
    </row>
    <row r="2337" spans="1:7" ht="15" customHeight="1" x14ac:dyDescent="0.25">
      <c r="A2337" s="2352" t="s">
        <v>13230</v>
      </c>
      <c r="B2337" s="2352" t="s">
        <v>12374</v>
      </c>
      <c r="C2337" s="2352" t="s">
        <v>12374</v>
      </c>
      <c r="D2337" s="2352" t="s">
        <v>13231</v>
      </c>
      <c r="E2337" s="355">
        <v>160</v>
      </c>
      <c r="F2337" s="1662">
        <v>71.25</v>
      </c>
      <c r="G2337" s="903"/>
    </row>
    <row r="2338" spans="1:7" ht="15" customHeight="1" x14ac:dyDescent="0.25">
      <c r="A2338" s="2352" t="s">
        <v>13232</v>
      </c>
      <c r="B2338" s="2352" t="s">
        <v>12374</v>
      </c>
      <c r="C2338" s="2352" t="s">
        <v>12374</v>
      </c>
      <c r="D2338" s="2352" t="s">
        <v>13233</v>
      </c>
      <c r="E2338" s="355">
        <v>50</v>
      </c>
      <c r="F2338" s="1662">
        <v>1.4274485186678649</v>
      </c>
      <c r="G2338" s="903"/>
    </row>
    <row r="2339" spans="1:7" ht="15" customHeight="1" x14ac:dyDescent="0.25">
      <c r="A2339" s="2352" t="s">
        <v>13234</v>
      </c>
      <c r="B2339" s="2352" t="s">
        <v>12374</v>
      </c>
      <c r="C2339" s="2352" t="s">
        <v>12374</v>
      </c>
      <c r="D2339" s="2352" t="s">
        <v>13235</v>
      </c>
      <c r="E2339" s="355">
        <v>30</v>
      </c>
      <c r="F2339" s="1662">
        <v>0.95</v>
      </c>
      <c r="G2339" s="903"/>
    </row>
    <row r="2340" spans="1:7" ht="15" customHeight="1" x14ac:dyDescent="0.25">
      <c r="A2340" s="2352" t="s">
        <v>13236</v>
      </c>
      <c r="B2340" s="2352" t="s">
        <v>12374</v>
      </c>
      <c r="C2340" s="2352" t="s">
        <v>12374</v>
      </c>
      <c r="D2340" s="2352" t="s">
        <v>13237</v>
      </c>
      <c r="E2340" s="355">
        <v>63</v>
      </c>
      <c r="F2340" s="1662">
        <v>11.4</v>
      </c>
      <c r="G2340" s="903"/>
    </row>
    <row r="2341" spans="1:7" ht="15" customHeight="1" x14ac:dyDescent="0.25">
      <c r="A2341" s="2352" t="s">
        <v>12437</v>
      </c>
      <c r="B2341" s="2352" t="s">
        <v>12374</v>
      </c>
      <c r="C2341" s="2352" t="s">
        <v>12374</v>
      </c>
      <c r="D2341" s="2352" t="s">
        <v>13238</v>
      </c>
      <c r="E2341" s="355">
        <v>63</v>
      </c>
      <c r="F2341" s="1662">
        <v>11.4</v>
      </c>
      <c r="G2341" s="903"/>
    </row>
    <row r="2342" spans="1:7" ht="15" customHeight="1" x14ac:dyDescent="0.25">
      <c r="A2342" s="2352" t="s">
        <v>13239</v>
      </c>
      <c r="B2342" s="2352" t="s">
        <v>12374</v>
      </c>
      <c r="C2342" s="2352" t="s">
        <v>12374</v>
      </c>
      <c r="D2342" s="2352" t="s">
        <v>13240</v>
      </c>
      <c r="E2342" s="355">
        <v>63</v>
      </c>
      <c r="F2342" s="1662">
        <v>38.788262179962452</v>
      </c>
      <c r="G2342" s="903"/>
    </row>
    <row r="2343" spans="1:7" ht="15" customHeight="1" x14ac:dyDescent="0.25">
      <c r="A2343" s="2352" t="s">
        <v>12843</v>
      </c>
      <c r="B2343" s="2352" t="s">
        <v>12374</v>
      </c>
      <c r="C2343" s="2352" t="s">
        <v>12374</v>
      </c>
      <c r="D2343" s="2352" t="s">
        <v>13241</v>
      </c>
      <c r="E2343" s="355">
        <v>63</v>
      </c>
      <c r="F2343" s="1662">
        <v>10.45</v>
      </c>
      <c r="G2343" s="903"/>
    </row>
    <row r="2344" spans="1:7" ht="15" customHeight="1" x14ac:dyDescent="0.25">
      <c r="A2344" s="2352" t="s">
        <v>13242</v>
      </c>
      <c r="B2344" s="2352" t="s">
        <v>12374</v>
      </c>
      <c r="C2344" s="2352" t="s">
        <v>12374</v>
      </c>
      <c r="D2344" s="2352" t="s">
        <v>13243</v>
      </c>
      <c r="E2344" s="355">
        <v>25</v>
      </c>
      <c r="F2344" s="1662">
        <v>1.9</v>
      </c>
      <c r="G2344" s="903"/>
    </row>
    <row r="2345" spans="1:7" ht="15" customHeight="1" x14ac:dyDescent="0.25">
      <c r="A2345" s="2352" t="s">
        <v>13244</v>
      </c>
      <c r="B2345" s="2352" t="s">
        <v>12374</v>
      </c>
      <c r="C2345" s="2352" t="s">
        <v>12374</v>
      </c>
      <c r="D2345" s="2352" t="s">
        <v>13245</v>
      </c>
      <c r="E2345" s="355">
        <v>30</v>
      </c>
      <c r="F2345" s="1662">
        <v>0.95</v>
      </c>
      <c r="G2345" s="903"/>
    </row>
    <row r="2346" spans="1:7" ht="15" customHeight="1" x14ac:dyDescent="0.25">
      <c r="A2346" s="2352" t="s">
        <v>13246</v>
      </c>
      <c r="B2346" s="2352" t="s">
        <v>12374</v>
      </c>
      <c r="C2346" s="2352" t="s">
        <v>12374</v>
      </c>
      <c r="D2346" s="2352" t="s">
        <v>13247</v>
      </c>
      <c r="E2346" s="355">
        <v>30</v>
      </c>
      <c r="F2346" s="1662">
        <v>3.8</v>
      </c>
      <c r="G2346" s="903"/>
    </row>
    <row r="2347" spans="1:7" ht="15" customHeight="1" x14ac:dyDescent="0.25">
      <c r="A2347" s="2352" t="s">
        <v>13248</v>
      </c>
      <c r="B2347" s="2352" t="s">
        <v>12374</v>
      </c>
      <c r="C2347" s="2352" t="s">
        <v>12374</v>
      </c>
      <c r="D2347" s="2352" t="s">
        <v>13249</v>
      </c>
      <c r="E2347" s="355">
        <v>250</v>
      </c>
      <c r="F2347" s="1662">
        <v>121.6</v>
      </c>
      <c r="G2347" s="903"/>
    </row>
    <row r="2348" spans="1:7" ht="15" customHeight="1" x14ac:dyDescent="0.25">
      <c r="A2348" s="2352" t="s">
        <v>12933</v>
      </c>
      <c r="B2348" s="2352" t="s">
        <v>12374</v>
      </c>
      <c r="C2348" s="2352" t="s">
        <v>12374</v>
      </c>
      <c r="D2348" s="2352" t="s">
        <v>13250</v>
      </c>
      <c r="E2348" s="355">
        <v>100</v>
      </c>
      <c r="F2348" s="1662">
        <v>21.85</v>
      </c>
      <c r="G2348" s="903"/>
    </row>
    <row r="2349" spans="1:7" ht="15" customHeight="1" x14ac:dyDescent="0.25">
      <c r="A2349" s="2352" t="s">
        <v>12933</v>
      </c>
      <c r="B2349" s="2352" t="s">
        <v>12374</v>
      </c>
      <c r="C2349" s="2352" t="s">
        <v>12374</v>
      </c>
      <c r="D2349" s="2352" t="s">
        <v>13251</v>
      </c>
      <c r="E2349" s="355">
        <v>100</v>
      </c>
      <c r="F2349" s="1662">
        <v>19.95</v>
      </c>
      <c r="G2349" s="903"/>
    </row>
    <row r="2350" spans="1:7" ht="15" customHeight="1" x14ac:dyDescent="0.25">
      <c r="A2350" s="2352" t="s">
        <v>13252</v>
      </c>
      <c r="B2350" s="2352" t="s">
        <v>12374</v>
      </c>
      <c r="C2350" s="2352" t="s">
        <v>12374</v>
      </c>
      <c r="D2350" s="2352" t="s">
        <v>13253</v>
      </c>
      <c r="E2350" s="355">
        <v>160</v>
      </c>
      <c r="F2350" s="1662">
        <v>60.8</v>
      </c>
      <c r="G2350" s="903"/>
    </row>
    <row r="2351" spans="1:7" ht="15" customHeight="1" x14ac:dyDescent="0.25">
      <c r="A2351" s="2352" t="s">
        <v>13254</v>
      </c>
      <c r="B2351" s="2352" t="s">
        <v>12374</v>
      </c>
      <c r="C2351" s="2352" t="s">
        <v>12374</v>
      </c>
      <c r="D2351" s="2352" t="s">
        <v>13255</v>
      </c>
      <c r="E2351" s="355">
        <v>160</v>
      </c>
      <c r="F2351" s="1662">
        <v>63.65</v>
      </c>
      <c r="G2351" s="903"/>
    </row>
    <row r="2352" spans="1:7" ht="15" customHeight="1" x14ac:dyDescent="0.25">
      <c r="A2352" s="2352" t="s">
        <v>12884</v>
      </c>
      <c r="B2352" s="2352" t="s">
        <v>12374</v>
      </c>
      <c r="C2352" s="2352" t="s">
        <v>12374</v>
      </c>
      <c r="D2352" s="2352" t="s">
        <v>13256</v>
      </c>
      <c r="E2352" s="355">
        <v>250</v>
      </c>
      <c r="F2352" s="1662">
        <v>145.35</v>
      </c>
      <c r="G2352" s="903"/>
    </row>
    <row r="2353" spans="1:7" ht="15" customHeight="1" x14ac:dyDescent="0.25">
      <c r="A2353" s="2352" t="s">
        <v>12884</v>
      </c>
      <c r="B2353" s="2352" t="s">
        <v>12374</v>
      </c>
      <c r="C2353" s="2352" t="s">
        <v>12374</v>
      </c>
      <c r="D2353" s="2352" t="s">
        <v>13257</v>
      </c>
      <c r="E2353" s="355" t="s">
        <v>4199</v>
      </c>
      <c r="F2353" s="1662">
        <v>619.4</v>
      </c>
      <c r="G2353" s="903"/>
    </row>
    <row r="2354" spans="1:7" ht="15" customHeight="1" x14ac:dyDescent="0.25">
      <c r="A2354" s="2352" t="s">
        <v>13258</v>
      </c>
      <c r="B2354" s="2352" t="s">
        <v>12374</v>
      </c>
      <c r="C2354" s="2352" t="s">
        <v>12374</v>
      </c>
      <c r="D2354" s="2352" t="s">
        <v>13259</v>
      </c>
      <c r="E2354" s="355">
        <v>100</v>
      </c>
      <c r="F2354" s="1662">
        <v>1.9</v>
      </c>
      <c r="G2354" s="903"/>
    </row>
    <row r="2355" spans="1:7" ht="15" customHeight="1" x14ac:dyDescent="0.25">
      <c r="A2355" s="2352" t="s">
        <v>12732</v>
      </c>
      <c r="B2355" s="2352" t="s">
        <v>12374</v>
      </c>
      <c r="C2355" s="2352" t="s">
        <v>12374</v>
      </c>
      <c r="D2355" s="2352" t="s">
        <v>13260</v>
      </c>
      <c r="E2355" s="355">
        <v>160</v>
      </c>
      <c r="F2355" s="1662">
        <v>68.400000000000006</v>
      </c>
      <c r="G2355" s="903"/>
    </row>
    <row r="2356" spans="1:7" ht="15" customHeight="1" x14ac:dyDescent="0.25">
      <c r="A2356" s="2352" t="s">
        <v>13261</v>
      </c>
      <c r="B2356" s="2352" t="s">
        <v>12374</v>
      </c>
      <c r="C2356" s="2352" t="s">
        <v>12374</v>
      </c>
      <c r="D2356" s="2352" t="s">
        <v>13262</v>
      </c>
      <c r="E2356" s="355">
        <v>63</v>
      </c>
      <c r="F2356" s="1662">
        <v>26.28285534931516</v>
      </c>
      <c r="G2356" s="903"/>
    </row>
    <row r="2357" spans="1:7" ht="15" customHeight="1" x14ac:dyDescent="0.25">
      <c r="A2357" s="2352" t="s">
        <v>13263</v>
      </c>
      <c r="B2357" s="2352" t="s">
        <v>12374</v>
      </c>
      <c r="C2357" s="2352" t="s">
        <v>12374</v>
      </c>
      <c r="D2357" s="2352" t="s">
        <v>13264</v>
      </c>
      <c r="E2357" s="355">
        <v>63</v>
      </c>
      <c r="F2357" s="1662">
        <v>7.6</v>
      </c>
      <c r="G2357" s="903"/>
    </row>
    <row r="2358" spans="1:7" ht="15" customHeight="1" x14ac:dyDescent="0.25">
      <c r="A2358" s="2352" t="s">
        <v>13265</v>
      </c>
      <c r="B2358" s="2352" t="s">
        <v>12374</v>
      </c>
      <c r="C2358" s="2352" t="s">
        <v>12374</v>
      </c>
      <c r="D2358" s="2352" t="s">
        <v>13266</v>
      </c>
      <c r="E2358" s="355">
        <v>250</v>
      </c>
      <c r="F2358" s="1662">
        <v>156.75</v>
      </c>
      <c r="G2358" s="903"/>
    </row>
    <row r="2359" spans="1:7" ht="15" customHeight="1" x14ac:dyDescent="0.25">
      <c r="A2359" s="2352" t="s">
        <v>13265</v>
      </c>
      <c r="B2359" s="2352" t="s">
        <v>12374</v>
      </c>
      <c r="C2359" s="2352" t="s">
        <v>12374</v>
      </c>
      <c r="D2359" s="2352" t="s">
        <v>13267</v>
      </c>
      <c r="E2359" s="355">
        <v>250</v>
      </c>
      <c r="F2359" s="1662">
        <v>92.15</v>
      </c>
      <c r="G2359" s="903"/>
    </row>
    <row r="2360" spans="1:7" ht="15" customHeight="1" x14ac:dyDescent="0.25">
      <c r="A2360" s="2352" t="s">
        <v>13268</v>
      </c>
      <c r="B2360" s="2352" t="s">
        <v>12374</v>
      </c>
      <c r="C2360" s="2352" t="s">
        <v>12374</v>
      </c>
      <c r="D2360" s="2352" t="s">
        <v>13269</v>
      </c>
      <c r="E2360" s="355">
        <v>20</v>
      </c>
      <c r="F2360" s="1662">
        <v>0</v>
      </c>
      <c r="G2360" s="903"/>
    </row>
    <row r="2361" spans="1:7" ht="15" customHeight="1" x14ac:dyDescent="0.25">
      <c r="A2361" s="2352" t="s">
        <v>13270</v>
      </c>
      <c r="B2361" s="2352" t="s">
        <v>12374</v>
      </c>
      <c r="C2361" s="2352" t="s">
        <v>12374</v>
      </c>
      <c r="D2361" s="2352" t="s">
        <v>13271</v>
      </c>
      <c r="E2361" s="355">
        <v>25</v>
      </c>
      <c r="F2361" s="1662">
        <v>0</v>
      </c>
      <c r="G2361" s="903"/>
    </row>
    <row r="2362" spans="1:7" ht="15" customHeight="1" x14ac:dyDescent="0.25">
      <c r="A2362" s="2352" t="s">
        <v>13272</v>
      </c>
      <c r="B2362" s="2352" t="s">
        <v>12374</v>
      </c>
      <c r="C2362" s="2352" t="s">
        <v>12374</v>
      </c>
      <c r="D2362" s="2352" t="s">
        <v>13273</v>
      </c>
      <c r="E2362" s="355">
        <v>63</v>
      </c>
      <c r="F2362" s="1662">
        <v>5.7</v>
      </c>
      <c r="G2362" s="903"/>
    </row>
    <row r="2363" spans="1:7" ht="15" customHeight="1" x14ac:dyDescent="0.25">
      <c r="A2363" s="2352" t="s">
        <v>13274</v>
      </c>
      <c r="B2363" s="2352" t="s">
        <v>12374</v>
      </c>
      <c r="C2363" s="2352" t="s">
        <v>12374</v>
      </c>
      <c r="D2363" s="2352" t="s">
        <v>13275</v>
      </c>
      <c r="E2363" s="355">
        <v>50</v>
      </c>
      <c r="F2363" s="1662">
        <v>17.100000000000001</v>
      </c>
      <c r="G2363" s="903"/>
    </row>
    <row r="2364" spans="1:7" ht="15" customHeight="1" x14ac:dyDescent="0.25">
      <c r="A2364" s="2352" t="s">
        <v>13276</v>
      </c>
      <c r="B2364" s="2352" t="s">
        <v>12374</v>
      </c>
      <c r="C2364" s="2352" t="s">
        <v>12374</v>
      </c>
      <c r="D2364" s="2352" t="s">
        <v>13277</v>
      </c>
      <c r="E2364" s="355">
        <v>60</v>
      </c>
      <c r="F2364" s="1662">
        <v>23.75</v>
      </c>
      <c r="G2364" s="903"/>
    </row>
    <row r="2365" spans="1:7" ht="15" customHeight="1" x14ac:dyDescent="0.25">
      <c r="A2365" s="2352" t="s">
        <v>12721</v>
      </c>
      <c r="B2365" s="2352" t="s">
        <v>12374</v>
      </c>
      <c r="C2365" s="2352" t="s">
        <v>12374</v>
      </c>
      <c r="D2365" s="2352" t="s">
        <v>13278</v>
      </c>
      <c r="E2365" s="355">
        <v>160</v>
      </c>
      <c r="F2365" s="1662">
        <v>51.3</v>
      </c>
      <c r="G2365" s="903"/>
    </row>
    <row r="2366" spans="1:7" ht="15" customHeight="1" x14ac:dyDescent="0.25">
      <c r="A2366" s="2352" t="s">
        <v>13279</v>
      </c>
      <c r="B2366" s="2352" t="s">
        <v>12374</v>
      </c>
      <c r="C2366" s="2352" t="s">
        <v>12374</v>
      </c>
      <c r="D2366" s="2352" t="s">
        <v>13280</v>
      </c>
      <c r="E2366" s="355">
        <v>20</v>
      </c>
      <c r="F2366" s="1662">
        <v>1.9</v>
      </c>
      <c r="G2366" s="903"/>
    </row>
    <row r="2367" spans="1:7" ht="15" customHeight="1" x14ac:dyDescent="0.25">
      <c r="A2367" s="2352" t="s">
        <v>13281</v>
      </c>
      <c r="B2367" s="2352" t="s">
        <v>12374</v>
      </c>
      <c r="C2367" s="2352" t="s">
        <v>12374</v>
      </c>
      <c r="D2367" s="2352" t="s">
        <v>13282</v>
      </c>
      <c r="E2367" s="355">
        <v>160</v>
      </c>
      <c r="F2367" s="1662">
        <v>69.349999999999994</v>
      </c>
      <c r="G2367" s="903"/>
    </row>
    <row r="2368" spans="1:7" ht="15" customHeight="1" x14ac:dyDescent="0.25">
      <c r="A2368" s="2352" t="s">
        <v>13283</v>
      </c>
      <c r="B2368" s="2352" t="s">
        <v>12374</v>
      </c>
      <c r="C2368" s="2352" t="s">
        <v>12374</v>
      </c>
      <c r="D2368" s="2352" t="s">
        <v>13284</v>
      </c>
      <c r="E2368" s="355">
        <v>10</v>
      </c>
      <c r="F2368" s="1662">
        <v>0</v>
      </c>
      <c r="G2368" s="903"/>
    </row>
    <row r="2369" spans="1:7" ht="15" customHeight="1" x14ac:dyDescent="0.25">
      <c r="A2369" s="2352" t="s">
        <v>13285</v>
      </c>
      <c r="B2369" s="2352" t="s">
        <v>12374</v>
      </c>
      <c r="C2369" s="2352" t="s">
        <v>12374</v>
      </c>
      <c r="D2369" s="2352" t="s">
        <v>13286</v>
      </c>
      <c r="E2369" s="355">
        <v>60</v>
      </c>
      <c r="F2369" s="1662">
        <v>34.200000000000003</v>
      </c>
      <c r="G2369" s="903"/>
    </row>
    <row r="2370" spans="1:7" ht="15" customHeight="1" x14ac:dyDescent="0.25">
      <c r="A2370" s="2352" t="s">
        <v>13287</v>
      </c>
      <c r="B2370" s="2352" t="s">
        <v>12374</v>
      </c>
      <c r="C2370" s="2352" t="s">
        <v>12374</v>
      </c>
      <c r="D2370" s="2352" t="s">
        <v>13288</v>
      </c>
      <c r="E2370" s="355">
        <v>10</v>
      </c>
      <c r="F2370" s="1662">
        <v>0</v>
      </c>
      <c r="G2370" s="903"/>
    </row>
    <row r="2371" spans="1:7" ht="15" customHeight="1" x14ac:dyDescent="0.25">
      <c r="A2371" s="2352" t="s">
        <v>12974</v>
      </c>
      <c r="B2371" s="2352" t="s">
        <v>12374</v>
      </c>
      <c r="C2371" s="2352" t="s">
        <v>12374</v>
      </c>
      <c r="D2371" s="2352" t="s">
        <v>13289</v>
      </c>
      <c r="E2371" s="355">
        <v>60</v>
      </c>
      <c r="F2371" s="1662">
        <v>2.85</v>
      </c>
      <c r="G2371" s="903"/>
    </row>
    <row r="2372" spans="1:7" ht="15" customHeight="1" x14ac:dyDescent="0.25">
      <c r="A2372" s="2352" t="s">
        <v>13290</v>
      </c>
      <c r="B2372" s="2352" t="s">
        <v>12374</v>
      </c>
      <c r="C2372" s="2352" t="s">
        <v>12374</v>
      </c>
      <c r="D2372" s="2352" t="s">
        <v>13291</v>
      </c>
      <c r="E2372" s="355">
        <v>63</v>
      </c>
      <c r="F2372" s="1662">
        <v>26.6</v>
      </c>
      <c r="G2372" s="903"/>
    </row>
    <row r="2373" spans="1:7" ht="15" customHeight="1" x14ac:dyDescent="0.25">
      <c r="A2373" s="2352" t="s">
        <v>13292</v>
      </c>
      <c r="B2373" s="2352" t="s">
        <v>12374</v>
      </c>
      <c r="C2373" s="2352" t="s">
        <v>12374</v>
      </c>
      <c r="D2373" s="2352" t="s">
        <v>13293</v>
      </c>
      <c r="E2373" s="355">
        <v>40</v>
      </c>
      <c r="F2373" s="1662">
        <v>2.85</v>
      </c>
      <c r="G2373" s="903"/>
    </row>
    <row r="2374" spans="1:7" ht="15" customHeight="1" x14ac:dyDescent="0.25">
      <c r="A2374" s="2352" t="s">
        <v>13294</v>
      </c>
      <c r="B2374" s="2352" t="s">
        <v>12374</v>
      </c>
      <c r="C2374" s="2352" t="s">
        <v>12374</v>
      </c>
      <c r="D2374" s="2352" t="s">
        <v>13295</v>
      </c>
      <c r="E2374" s="355">
        <v>30</v>
      </c>
      <c r="F2374" s="1662">
        <v>9.5</v>
      </c>
      <c r="G2374" s="903"/>
    </row>
    <row r="2375" spans="1:7" ht="15" customHeight="1" x14ac:dyDescent="0.25">
      <c r="A2375" s="2352" t="s">
        <v>13296</v>
      </c>
      <c r="B2375" s="2352" t="s">
        <v>12374</v>
      </c>
      <c r="C2375" s="2352" t="s">
        <v>12374</v>
      </c>
      <c r="D2375" s="2352" t="s">
        <v>13297</v>
      </c>
      <c r="E2375" s="355">
        <v>63</v>
      </c>
      <c r="F2375" s="1662">
        <v>2.85</v>
      </c>
      <c r="G2375" s="903"/>
    </row>
    <row r="2376" spans="1:7" ht="15" customHeight="1" x14ac:dyDescent="0.25">
      <c r="A2376" s="2352" t="s">
        <v>13298</v>
      </c>
      <c r="B2376" s="2352" t="s">
        <v>12374</v>
      </c>
      <c r="C2376" s="2352" t="s">
        <v>12374</v>
      </c>
      <c r="D2376" s="2352" t="s">
        <v>13299</v>
      </c>
      <c r="E2376" s="355">
        <v>63</v>
      </c>
      <c r="F2376" s="1662">
        <v>0.95</v>
      </c>
      <c r="G2376" s="903"/>
    </row>
    <row r="2377" spans="1:7" ht="15" customHeight="1" x14ac:dyDescent="0.25">
      <c r="A2377" s="2352" t="s">
        <v>13300</v>
      </c>
      <c r="B2377" s="2352" t="s">
        <v>12374</v>
      </c>
      <c r="C2377" s="2352" t="s">
        <v>12374</v>
      </c>
      <c r="D2377" s="2352" t="s">
        <v>13301</v>
      </c>
      <c r="E2377" s="355">
        <v>160</v>
      </c>
      <c r="F2377" s="1662">
        <v>83.6</v>
      </c>
      <c r="G2377" s="903"/>
    </row>
    <row r="2378" spans="1:7" ht="15" customHeight="1" x14ac:dyDescent="0.25">
      <c r="A2378" s="2352" t="s">
        <v>13302</v>
      </c>
      <c r="B2378" s="2352" t="s">
        <v>12374</v>
      </c>
      <c r="C2378" s="2352" t="s">
        <v>12374</v>
      </c>
      <c r="D2378" s="2352" t="s">
        <v>13303</v>
      </c>
      <c r="E2378" s="355">
        <v>10</v>
      </c>
      <c r="F2378" s="1662">
        <v>0.95</v>
      </c>
      <c r="G2378" s="903"/>
    </row>
    <row r="2379" spans="1:7" ht="15" customHeight="1" x14ac:dyDescent="0.25">
      <c r="A2379" s="2352" t="s">
        <v>7032</v>
      </c>
      <c r="B2379" s="2352" t="s">
        <v>12374</v>
      </c>
      <c r="C2379" s="2352" t="s">
        <v>12374</v>
      </c>
      <c r="D2379" s="2352" t="s">
        <v>13304</v>
      </c>
      <c r="E2379" s="355">
        <v>63</v>
      </c>
      <c r="F2379" s="1662">
        <v>17.100000000000001</v>
      </c>
      <c r="G2379" s="903"/>
    </row>
    <row r="2380" spans="1:7" ht="15" customHeight="1" x14ac:dyDescent="0.25">
      <c r="A2380" s="2352" t="s">
        <v>13305</v>
      </c>
      <c r="B2380" s="2352" t="s">
        <v>12374</v>
      </c>
      <c r="C2380" s="2352" t="s">
        <v>12374</v>
      </c>
      <c r="D2380" s="2352" t="s">
        <v>13306</v>
      </c>
      <c r="E2380" s="355">
        <v>100</v>
      </c>
      <c r="F2380" s="1662">
        <v>22.8</v>
      </c>
      <c r="G2380" s="903"/>
    </row>
    <row r="2381" spans="1:7" ht="15" customHeight="1" x14ac:dyDescent="0.25">
      <c r="A2381" s="2352" t="s">
        <v>13305</v>
      </c>
      <c r="B2381" s="2352" t="s">
        <v>12374</v>
      </c>
      <c r="C2381" s="2352" t="s">
        <v>12374</v>
      </c>
      <c r="D2381" s="2352" t="s">
        <v>13307</v>
      </c>
      <c r="E2381" s="355">
        <v>400</v>
      </c>
      <c r="F2381" s="1662">
        <v>266</v>
      </c>
      <c r="G2381" s="903"/>
    </row>
    <row r="2382" spans="1:7" ht="15" customHeight="1" x14ac:dyDescent="0.25">
      <c r="A2382" s="2352" t="s">
        <v>13305</v>
      </c>
      <c r="B2382" s="2352" t="s">
        <v>12374</v>
      </c>
      <c r="C2382" s="2352" t="s">
        <v>12374</v>
      </c>
      <c r="D2382" s="2352" t="s">
        <v>13308</v>
      </c>
      <c r="E2382" s="355">
        <v>160</v>
      </c>
      <c r="F2382" s="1662">
        <v>42.75</v>
      </c>
      <c r="G2382" s="903"/>
    </row>
    <row r="2383" spans="1:7" ht="15" customHeight="1" x14ac:dyDescent="0.25">
      <c r="A2383" s="2352" t="s">
        <v>13305</v>
      </c>
      <c r="B2383" s="2352" t="s">
        <v>12374</v>
      </c>
      <c r="C2383" s="2352" t="s">
        <v>12374</v>
      </c>
      <c r="D2383" s="2352" t="s">
        <v>13309</v>
      </c>
      <c r="E2383" s="355">
        <v>160</v>
      </c>
      <c r="F2383" s="1662">
        <v>48.45</v>
      </c>
      <c r="G2383" s="903"/>
    </row>
    <row r="2384" spans="1:7" ht="15" customHeight="1" x14ac:dyDescent="0.25">
      <c r="A2384" s="2352" t="s">
        <v>13066</v>
      </c>
      <c r="B2384" s="2352" t="s">
        <v>12374</v>
      </c>
      <c r="C2384" s="2352" t="s">
        <v>12374</v>
      </c>
      <c r="D2384" s="2352" t="s">
        <v>13310</v>
      </c>
      <c r="E2384" s="355">
        <v>63</v>
      </c>
      <c r="F2384" s="1662">
        <v>21.85</v>
      </c>
      <c r="G2384" s="903"/>
    </row>
    <row r="2385" spans="1:7" ht="15" customHeight="1" x14ac:dyDescent="0.25">
      <c r="A2385" s="2352" t="s">
        <v>13311</v>
      </c>
      <c r="B2385" s="2352" t="s">
        <v>12374</v>
      </c>
      <c r="C2385" s="2352" t="s">
        <v>12374</v>
      </c>
      <c r="D2385" s="2352" t="s">
        <v>13312</v>
      </c>
      <c r="E2385" s="355">
        <v>100</v>
      </c>
      <c r="F2385" s="1662">
        <v>29.45</v>
      </c>
      <c r="G2385" s="903"/>
    </row>
    <row r="2386" spans="1:7" ht="15" customHeight="1" x14ac:dyDescent="0.25">
      <c r="A2386" s="2352" t="s">
        <v>13313</v>
      </c>
      <c r="B2386" s="2352" t="s">
        <v>12374</v>
      </c>
      <c r="C2386" s="2352" t="s">
        <v>12374</v>
      </c>
      <c r="D2386" s="2352" t="s">
        <v>13314</v>
      </c>
      <c r="E2386" s="355">
        <v>100</v>
      </c>
      <c r="F2386" s="1662">
        <v>38.950000000000003</v>
      </c>
      <c r="G2386" s="903"/>
    </row>
    <row r="2387" spans="1:7" ht="15" customHeight="1" x14ac:dyDescent="0.25">
      <c r="A2387" s="2352" t="s">
        <v>6248</v>
      </c>
      <c r="B2387" s="2352" t="s">
        <v>12374</v>
      </c>
      <c r="C2387" s="2352" t="s">
        <v>12374</v>
      </c>
      <c r="D2387" s="2352" t="s">
        <v>13315</v>
      </c>
      <c r="E2387" s="355">
        <v>160</v>
      </c>
      <c r="F2387" s="1662">
        <v>70.3</v>
      </c>
      <c r="G2387" s="903"/>
    </row>
    <row r="2388" spans="1:7" ht="15" customHeight="1" x14ac:dyDescent="0.25">
      <c r="A2388" s="2352" t="s">
        <v>6248</v>
      </c>
      <c r="B2388" s="2352" t="s">
        <v>12374</v>
      </c>
      <c r="C2388" s="2352" t="s">
        <v>12374</v>
      </c>
      <c r="D2388" s="2352" t="s">
        <v>13316</v>
      </c>
      <c r="E2388" s="355">
        <v>160</v>
      </c>
      <c r="F2388" s="1662">
        <v>81.7</v>
      </c>
      <c r="G2388" s="903"/>
    </row>
    <row r="2389" spans="1:7" ht="15" customHeight="1" x14ac:dyDescent="0.25">
      <c r="A2389" s="2352" t="s">
        <v>13317</v>
      </c>
      <c r="B2389" s="2352" t="s">
        <v>12374</v>
      </c>
      <c r="C2389" s="2352" t="s">
        <v>12374</v>
      </c>
      <c r="D2389" s="2352" t="s">
        <v>13318</v>
      </c>
      <c r="E2389" s="355">
        <v>10</v>
      </c>
      <c r="F2389" s="1662">
        <v>0</v>
      </c>
      <c r="G2389" s="903"/>
    </row>
    <row r="2390" spans="1:7" ht="15" customHeight="1" x14ac:dyDescent="0.25">
      <c r="A2390" s="2352" t="s">
        <v>13319</v>
      </c>
      <c r="B2390" s="2352" t="s">
        <v>12374</v>
      </c>
      <c r="C2390" s="2352" t="s">
        <v>12374</v>
      </c>
      <c r="D2390" s="2352" t="s">
        <v>13320</v>
      </c>
      <c r="E2390" s="355">
        <v>100</v>
      </c>
      <c r="F2390" s="1662">
        <v>24.7</v>
      </c>
      <c r="G2390" s="903"/>
    </row>
    <row r="2391" spans="1:7" ht="15" customHeight="1" x14ac:dyDescent="0.25">
      <c r="A2391" s="2352" t="s">
        <v>13321</v>
      </c>
      <c r="B2391" s="2352" t="s">
        <v>12374</v>
      </c>
      <c r="C2391" s="2352" t="s">
        <v>12374</v>
      </c>
      <c r="D2391" s="2352" t="s">
        <v>13322</v>
      </c>
      <c r="E2391" s="355">
        <v>400</v>
      </c>
      <c r="F2391" s="1662">
        <v>245.1</v>
      </c>
      <c r="G2391" s="903"/>
    </row>
    <row r="2392" spans="1:7" ht="15" customHeight="1" x14ac:dyDescent="0.25">
      <c r="A2392" s="2352" t="s">
        <v>13323</v>
      </c>
      <c r="B2392" s="2352" t="s">
        <v>12374</v>
      </c>
      <c r="C2392" s="2352" t="s">
        <v>12374</v>
      </c>
      <c r="D2392" s="2352" t="s">
        <v>13324</v>
      </c>
      <c r="E2392" s="355">
        <v>63</v>
      </c>
      <c r="F2392" s="1662">
        <v>27.55</v>
      </c>
      <c r="G2392" s="903"/>
    </row>
    <row r="2393" spans="1:7" ht="15" customHeight="1" x14ac:dyDescent="0.25">
      <c r="A2393" s="2352" t="s">
        <v>13321</v>
      </c>
      <c r="B2393" s="2352" t="s">
        <v>12374</v>
      </c>
      <c r="C2393" s="2352" t="s">
        <v>12374</v>
      </c>
      <c r="D2393" s="2352" t="s">
        <v>13325</v>
      </c>
      <c r="E2393" s="355">
        <v>100</v>
      </c>
      <c r="F2393" s="1662">
        <v>38.950000000000003</v>
      </c>
      <c r="G2393" s="903"/>
    </row>
    <row r="2394" spans="1:7" ht="15" customHeight="1" x14ac:dyDescent="0.25">
      <c r="A2394" s="2352" t="s">
        <v>13321</v>
      </c>
      <c r="B2394" s="2352" t="s">
        <v>12374</v>
      </c>
      <c r="C2394" s="2352" t="s">
        <v>12374</v>
      </c>
      <c r="D2394" s="2352" t="s">
        <v>13326</v>
      </c>
      <c r="E2394" s="355" t="s">
        <v>4200</v>
      </c>
      <c r="F2394" s="1662">
        <v>203.3</v>
      </c>
      <c r="G2394" s="903"/>
    </row>
    <row r="2395" spans="1:7" ht="15" customHeight="1" x14ac:dyDescent="0.25">
      <c r="A2395" s="2352" t="s">
        <v>13321</v>
      </c>
      <c r="B2395" s="2352" t="s">
        <v>12374</v>
      </c>
      <c r="C2395" s="2352" t="s">
        <v>12374</v>
      </c>
      <c r="D2395" s="2352" t="s">
        <v>13327</v>
      </c>
      <c r="E2395" s="355" t="s">
        <v>13328</v>
      </c>
      <c r="F2395" s="1662">
        <v>138.69999999999999</v>
      </c>
      <c r="G2395" s="903"/>
    </row>
    <row r="2396" spans="1:7" ht="15" customHeight="1" x14ac:dyDescent="0.25">
      <c r="A2396" s="2352" t="s">
        <v>13321</v>
      </c>
      <c r="B2396" s="2352" t="s">
        <v>12374</v>
      </c>
      <c r="C2396" s="2352" t="s">
        <v>12374</v>
      </c>
      <c r="D2396" s="2352" t="s">
        <v>13329</v>
      </c>
      <c r="E2396" s="355">
        <v>63</v>
      </c>
      <c r="F2396" s="1662">
        <v>19.95</v>
      </c>
      <c r="G2396" s="903"/>
    </row>
    <row r="2397" spans="1:7" ht="15" customHeight="1" x14ac:dyDescent="0.25">
      <c r="A2397" s="2352" t="s">
        <v>13321</v>
      </c>
      <c r="B2397" s="2352" t="s">
        <v>12374</v>
      </c>
      <c r="C2397" s="2352" t="s">
        <v>12374</v>
      </c>
      <c r="D2397" s="2352" t="s">
        <v>13330</v>
      </c>
      <c r="E2397" s="355">
        <v>100</v>
      </c>
      <c r="F2397" s="1662">
        <v>36.1</v>
      </c>
      <c r="G2397" s="903"/>
    </row>
    <row r="2398" spans="1:7" ht="15" customHeight="1" x14ac:dyDescent="0.25">
      <c r="A2398" s="2352" t="s">
        <v>13331</v>
      </c>
      <c r="B2398" s="2352" t="s">
        <v>12374</v>
      </c>
      <c r="C2398" s="2352" t="s">
        <v>12374</v>
      </c>
      <c r="D2398" s="2352" t="s">
        <v>13332</v>
      </c>
      <c r="E2398" s="355">
        <v>100</v>
      </c>
      <c r="F2398" s="1662">
        <v>39.9</v>
      </c>
      <c r="G2398" s="903"/>
    </row>
    <row r="2399" spans="1:7" ht="15" customHeight="1" x14ac:dyDescent="0.25">
      <c r="A2399" s="2352" t="s">
        <v>13333</v>
      </c>
      <c r="B2399" s="2352" t="s">
        <v>12374</v>
      </c>
      <c r="C2399" s="2352" t="s">
        <v>12374</v>
      </c>
      <c r="D2399" s="2352" t="s">
        <v>13334</v>
      </c>
      <c r="E2399" s="355">
        <v>400</v>
      </c>
      <c r="F2399" s="1662">
        <v>269.8</v>
      </c>
      <c r="G2399" s="903"/>
    </row>
    <row r="2400" spans="1:7" ht="15" customHeight="1" x14ac:dyDescent="0.25">
      <c r="A2400" s="2352" t="s">
        <v>13333</v>
      </c>
      <c r="B2400" s="2352" t="s">
        <v>12374</v>
      </c>
      <c r="C2400" s="2352" t="s">
        <v>12374</v>
      </c>
      <c r="D2400" s="2352" t="s">
        <v>13335</v>
      </c>
      <c r="E2400" s="355">
        <v>160</v>
      </c>
      <c r="F2400" s="1662">
        <v>89.3</v>
      </c>
      <c r="G2400" s="903"/>
    </row>
    <row r="2401" spans="1:7" ht="15" customHeight="1" x14ac:dyDescent="0.25">
      <c r="A2401" s="2352" t="s">
        <v>13336</v>
      </c>
      <c r="B2401" s="2352" t="s">
        <v>12374</v>
      </c>
      <c r="C2401" s="2352" t="s">
        <v>12374</v>
      </c>
      <c r="D2401" s="2352" t="s">
        <v>13337</v>
      </c>
      <c r="E2401" s="355">
        <v>30</v>
      </c>
      <c r="F2401" s="1662">
        <v>7.6</v>
      </c>
      <c r="G2401" s="903"/>
    </row>
    <row r="2402" spans="1:7" ht="15" customHeight="1" x14ac:dyDescent="0.25">
      <c r="A2402" s="2352" t="s">
        <v>15161</v>
      </c>
      <c r="B2402" s="2352" t="s">
        <v>12374</v>
      </c>
      <c r="C2402" s="2352" t="s">
        <v>12374</v>
      </c>
      <c r="D2402" s="2352" t="s">
        <v>13338</v>
      </c>
      <c r="E2402" s="355">
        <v>30</v>
      </c>
      <c r="F2402" s="1662">
        <v>15.2</v>
      </c>
      <c r="G2402" s="903"/>
    </row>
    <row r="2403" spans="1:7" ht="15" customHeight="1" x14ac:dyDescent="0.25">
      <c r="A2403" s="2352" t="s">
        <v>13339</v>
      </c>
      <c r="B2403" s="2352" t="s">
        <v>12374</v>
      </c>
      <c r="C2403" s="2352" t="s">
        <v>12374</v>
      </c>
      <c r="D2403" s="2352" t="s">
        <v>13340</v>
      </c>
      <c r="E2403" s="355">
        <v>100</v>
      </c>
      <c r="F2403" s="1662">
        <v>48.45</v>
      </c>
      <c r="G2403" s="903"/>
    </row>
    <row r="2404" spans="1:7" ht="15" customHeight="1" x14ac:dyDescent="0.25">
      <c r="A2404" s="2352" t="s">
        <v>12470</v>
      </c>
      <c r="B2404" s="2352" t="s">
        <v>12374</v>
      </c>
      <c r="C2404" s="2352" t="s">
        <v>12374</v>
      </c>
      <c r="D2404" s="2352" t="s">
        <v>13341</v>
      </c>
      <c r="E2404" s="355">
        <v>30</v>
      </c>
      <c r="F2404" s="1662">
        <v>11.4</v>
      </c>
      <c r="G2404" s="903"/>
    </row>
    <row r="2405" spans="1:7" ht="15" customHeight="1" x14ac:dyDescent="0.25">
      <c r="A2405" s="2352" t="s">
        <v>13342</v>
      </c>
      <c r="B2405" s="2352" t="s">
        <v>12374</v>
      </c>
      <c r="C2405" s="2352" t="s">
        <v>12374</v>
      </c>
      <c r="D2405" s="2352" t="s">
        <v>13343</v>
      </c>
      <c r="E2405" s="355">
        <v>63</v>
      </c>
      <c r="F2405" s="1662">
        <v>22.8</v>
      </c>
      <c r="G2405" s="903"/>
    </row>
    <row r="2406" spans="1:7" ht="15" customHeight="1" x14ac:dyDescent="0.25">
      <c r="A2406" s="2352" t="s">
        <v>13342</v>
      </c>
      <c r="B2406" s="2352" t="s">
        <v>12374</v>
      </c>
      <c r="C2406" s="2352" t="s">
        <v>12374</v>
      </c>
      <c r="D2406" s="2352" t="s">
        <v>13344</v>
      </c>
      <c r="E2406" s="355">
        <v>63</v>
      </c>
      <c r="F2406" s="1662">
        <v>34.200000000000003</v>
      </c>
      <c r="G2406" s="903"/>
    </row>
    <row r="2407" spans="1:7" ht="15" customHeight="1" x14ac:dyDescent="0.25">
      <c r="A2407" s="2352" t="s">
        <v>12627</v>
      </c>
      <c r="B2407" s="2352" t="s">
        <v>12374</v>
      </c>
      <c r="C2407" s="2352" t="s">
        <v>12374</v>
      </c>
      <c r="D2407" s="2352" t="s">
        <v>13345</v>
      </c>
      <c r="E2407" s="355">
        <v>50</v>
      </c>
      <c r="F2407" s="1662">
        <v>17.100000000000001</v>
      </c>
      <c r="G2407" s="903"/>
    </row>
    <row r="2408" spans="1:7" ht="15" customHeight="1" x14ac:dyDescent="0.25">
      <c r="A2408" s="2352" t="s">
        <v>15162</v>
      </c>
      <c r="B2408" s="2352" t="s">
        <v>12374</v>
      </c>
      <c r="C2408" s="2352" t="s">
        <v>12374</v>
      </c>
      <c r="D2408" s="2352" t="s">
        <v>13346</v>
      </c>
      <c r="E2408" s="355">
        <v>63</v>
      </c>
      <c r="F2408" s="1662">
        <v>17.100000000000001</v>
      </c>
      <c r="G2408" s="903"/>
    </row>
    <row r="2409" spans="1:7" ht="15" customHeight="1" x14ac:dyDescent="0.25">
      <c r="A2409" s="2352" t="s">
        <v>13333</v>
      </c>
      <c r="B2409" s="2352" t="s">
        <v>12374</v>
      </c>
      <c r="C2409" s="2352" t="s">
        <v>12374</v>
      </c>
      <c r="D2409" s="2352" t="s">
        <v>13347</v>
      </c>
      <c r="E2409" s="355">
        <v>160</v>
      </c>
      <c r="F2409" s="1662">
        <v>89.3</v>
      </c>
      <c r="G2409" s="903"/>
    </row>
    <row r="2410" spans="1:7" ht="15" customHeight="1" x14ac:dyDescent="0.25">
      <c r="A2410" s="2352" t="s">
        <v>13348</v>
      </c>
      <c r="B2410" s="2352" t="s">
        <v>12374</v>
      </c>
      <c r="C2410" s="2352" t="s">
        <v>12374</v>
      </c>
      <c r="D2410" s="2352" t="s">
        <v>13349</v>
      </c>
      <c r="E2410" s="355">
        <v>250</v>
      </c>
      <c r="F2410" s="1662">
        <v>113.05</v>
      </c>
      <c r="G2410" s="903"/>
    </row>
    <row r="2411" spans="1:7" ht="15" customHeight="1" x14ac:dyDescent="0.25">
      <c r="A2411" s="2352" t="s">
        <v>13348</v>
      </c>
      <c r="B2411" s="2352" t="s">
        <v>12374</v>
      </c>
      <c r="C2411" s="2352" t="s">
        <v>12374</v>
      </c>
      <c r="D2411" s="2352" t="s">
        <v>13350</v>
      </c>
      <c r="E2411" s="355" t="s">
        <v>4202</v>
      </c>
      <c r="F2411" s="1662">
        <v>348.65</v>
      </c>
      <c r="G2411" s="903"/>
    </row>
    <row r="2412" spans="1:7" ht="15" customHeight="1" x14ac:dyDescent="0.25">
      <c r="A2412" s="2352" t="s">
        <v>13348</v>
      </c>
      <c r="B2412" s="2352" t="s">
        <v>12374</v>
      </c>
      <c r="C2412" s="2352" t="s">
        <v>12374</v>
      </c>
      <c r="D2412" s="2352" t="s">
        <v>13351</v>
      </c>
      <c r="E2412" s="355">
        <v>30</v>
      </c>
      <c r="F2412" s="1662">
        <v>1.9</v>
      </c>
      <c r="G2412" s="903"/>
    </row>
    <row r="2413" spans="1:7" ht="15" customHeight="1" x14ac:dyDescent="0.25">
      <c r="A2413" s="2352" t="s">
        <v>13352</v>
      </c>
      <c r="B2413" s="2352" t="s">
        <v>12374</v>
      </c>
      <c r="C2413" s="2352" t="s">
        <v>12374</v>
      </c>
      <c r="D2413" s="2352" t="s">
        <v>13353</v>
      </c>
      <c r="E2413" s="355">
        <v>50</v>
      </c>
      <c r="F2413" s="1662">
        <v>13.3</v>
      </c>
      <c r="G2413" s="903"/>
    </row>
    <row r="2414" spans="1:7" ht="15" customHeight="1" x14ac:dyDescent="0.25">
      <c r="A2414" s="2352" t="s">
        <v>13354</v>
      </c>
      <c r="B2414" s="2352" t="s">
        <v>12374</v>
      </c>
      <c r="C2414" s="2352" t="s">
        <v>12374</v>
      </c>
      <c r="D2414" s="2352" t="s">
        <v>13355</v>
      </c>
      <c r="E2414" s="355">
        <v>160</v>
      </c>
      <c r="F2414" s="1662">
        <v>82.65</v>
      </c>
      <c r="G2414" s="903"/>
    </row>
    <row r="2415" spans="1:7" ht="15" customHeight="1" x14ac:dyDescent="0.25">
      <c r="A2415" s="2352" t="s">
        <v>13356</v>
      </c>
      <c r="B2415" s="2352" t="s">
        <v>12374</v>
      </c>
      <c r="C2415" s="2352" t="s">
        <v>12374</v>
      </c>
      <c r="D2415" s="2352" t="s">
        <v>13357</v>
      </c>
      <c r="E2415" s="355">
        <v>100</v>
      </c>
      <c r="F2415" s="1662">
        <v>33.25</v>
      </c>
      <c r="G2415" s="903"/>
    </row>
    <row r="2416" spans="1:7" ht="15" customHeight="1" x14ac:dyDescent="0.25">
      <c r="A2416" s="2352" t="s">
        <v>13358</v>
      </c>
      <c r="B2416" s="2352" t="s">
        <v>12374</v>
      </c>
      <c r="C2416" s="2352" t="s">
        <v>12374</v>
      </c>
      <c r="D2416" s="2352" t="s">
        <v>13359</v>
      </c>
      <c r="E2416" s="355">
        <v>160</v>
      </c>
      <c r="F2416" s="1662">
        <v>77.900000000000006</v>
      </c>
      <c r="G2416" s="903"/>
    </row>
    <row r="2417" spans="1:7" ht="15" customHeight="1" x14ac:dyDescent="0.25">
      <c r="A2417" s="2352" t="s">
        <v>13360</v>
      </c>
      <c r="B2417" s="2352" t="s">
        <v>12374</v>
      </c>
      <c r="C2417" s="2352" t="s">
        <v>12374</v>
      </c>
      <c r="D2417" s="2352" t="s">
        <v>13361</v>
      </c>
      <c r="E2417" s="355">
        <v>20</v>
      </c>
      <c r="F2417" s="1662">
        <v>1.9</v>
      </c>
      <c r="G2417" s="903"/>
    </row>
    <row r="2418" spans="1:7" ht="15" customHeight="1" x14ac:dyDescent="0.25">
      <c r="A2418" s="2352" t="s">
        <v>15163</v>
      </c>
      <c r="B2418" s="2352" t="s">
        <v>12374</v>
      </c>
      <c r="C2418" s="2352" t="s">
        <v>12374</v>
      </c>
      <c r="D2418" s="2352" t="s">
        <v>13362</v>
      </c>
      <c r="E2418" s="355">
        <v>60</v>
      </c>
      <c r="F2418" s="1662">
        <v>35.15</v>
      </c>
      <c r="G2418" s="903"/>
    </row>
    <row r="2419" spans="1:7" ht="15" customHeight="1" x14ac:dyDescent="0.25">
      <c r="A2419" s="2352" t="s">
        <v>13363</v>
      </c>
      <c r="B2419" s="2352" t="s">
        <v>12374</v>
      </c>
      <c r="C2419" s="2352" t="s">
        <v>12374</v>
      </c>
      <c r="D2419" s="2352" t="s">
        <v>13364</v>
      </c>
      <c r="E2419" s="355">
        <v>30</v>
      </c>
      <c r="F2419" s="1662">
        <v>5.7</v>
      </c>
      <c r="G2419" s="903"/>
    </row>
    <row r="2420" spans="1:7" ht="15" customHeight="1" x14ac:dyDescent="0.25">
      <c r="A2420" s="2352" t="s">
        <v>13365</v>
      </c>
      <c r="B2420" s="2352" t="s">
        <v>12374</v>
      </c>
      <c r="C2420" s="2352" t="s">
        <v>12374</v>
      </c>
      <c r="D2420" s="2352" t="s">
        <v>13366</v>
      </c>
      <c r="E2420" s="355">
        <v>100</v>
      </c>
      <c r="F2420" s="1662">
        <v>49.4</v>
      </c>
      <c r="G2420" s="903"/>
    </row>
    <row r="2421" spans="1:7" ht="15" customHeight="1" x14ac:dyDescent="0.25">
      <c r="A2421" s="2352" t="s">
        <v>13367</v>
      </c>
      <c r="B2421" s="2352" t="s">
        <v>12374</v>
      </c>
      <c r="C2421" s="2352" t="s">
        <v>12374</v>
      </c>
      <c r="D2421" s="2352" t="s">
        <v>13368</v>
      </c>
      <c r="E2421" s="355">
        <v>40</v>
      </c>
      <c r="F2421" s="1662">
        <v>18.05</v>
      </c>
      <c r="G2421" s="903"/>
    </row>
    <row r="2422" spans="1:7" ht="15" customHeight="1" x14ac:dyDescent="0.25">
      <c r="A2422" s="2352" t="s">
        <v>13369</v>
      </c>
      <c r="B2422" s="2352" t="s">
        <v>12374</v>
      </c>
      <c r="C2422" s="2352" t="s">
        <v>12374</v>
      </c>
      <c r="D2422" s="2352" t="s">
        <v>13370</v>
      </c>
      <c r="E2422" s="355">
        <v>50</v>
      </c>
      <c r="F2422" s="1662">
        <v>19.95</v>
      </c>
      <c r="G2422" s="903"/>
    </row>
    <row r="2423" spans="1:7" ht="15" customHeight="1" x14ac:dyDescent="0.25">
      <c r="A2423" s="2352" t="s">
        <v>13371</v>
      </c>
      <c r="B2423" s="2352" t="s">
        <v>12374</v>
      </c>
      <c r="C2423" s="2352" t="s">
        <v>12374</v>
      </c>
      <c r="D2423" s="2352" t="s">
        <v>13372</v>
      </c>
      <c r="E2423" s="355">
        <v>20</v>
      </c>
      <c r="F2423" s="1662">
        <v>2.85</v>
      </c>
      <c r="G2423" s="903"/>
    </row>
    <row r="2424" spans="1:7" ht="15" customHeight="1" x14ac:dyDescent="0.25">
      <c r="A2424" s="2352" t="s">
        <v>12715</v>
      </c>
      <c r="B2424" s="2352" t="s">
        <v>12374</v>
      </c>
      <c r="C2424" s="2352" t="s">
        <v>12374</v>
      </c>
      <c r="D2424" s="2352" t="s">
        <v>13373</v>
      </c>
      <c r="E2424" s="355">
        <v>250</v>
      </c>
      <c r="F2424" s="1662">
        <v>173.85</v>
      </c>
      <c r="G2424" s="903"/>
    </row>
    <row r="2425" spans="1:7" ht="15" customHeight="1" x14ac:dyDescent="0.25">
      <c r="A2425" s="2352" t="s">
        <v>12715</v>
      </c>
      <c r="B2425" s="2352" t="s">
        <v>12374</v>
      </c>
      <c r="C2425" s="2352" t="s">
        <v>12374</v>
      </c>
      <c r="D2425" s="2352" t="s">
        <v>13374</v>
      </c>
      <c r="E2425" s="355">
        <v>250</v>
      </c>
      <c r="F2425" s="1662">
        <v>151.05000000000001</v>
      </c>
      <c r="G2425" s="903"/>
    </row>
    <row r="2426" spans="1:7" ht="15" customHeight="1" x14ac:dyDescent="0.25">
      <c r="A2426" s="2352" t="s">
        <v>12715</v>
      </c>
      <c r="B2426" s="2352" t="s">
        <v>12374</v>
      </c>
      <c r="C2426" s="2352" t="s">
        <v>12374</v>
      </c>
      <c r="D2426" s="2352" t="s">
        <v>13375</v>
      </c>
      <c r="E2426" s="355">
        <v>250</v>
      </c>
      <c r="F2426" s="1662">
        <v>190.95</v>
      </c>
      <c r="G2426" s="903"/>
    </row>
    <row r="2427" spans="1:7" ht="15" customHeight="1" x14ac:dyDescent="0.25">
      <c r="A2427" s="2352" t="s">
        <v>13376</v>
      </c>
      <c r="B2427" s="2352" t="s">
        <v>12374</v>
      </c>
      <c r="C2427" s="2352" t="s">
        <v>12374</v>
      </c>
      <c r="D2427" s="2352" t="s">
        <v>13377</v>
      </c>
      <c r="E2427" s="355">
        <v>100</v>
      </c>
      <c r="F2427" s="1662">
        <v>55.1</v>
      </c>
      <c r="G2427" s="903"/>
    </row>
    <row r="2428" spans="1:7" ht="15" customHeight="1" x14ac:dyDescent="0.25">
      <c r="A2428" s="2352" t="s">
        <v>13378</v>
      </c>
      <c r="B2428" s="2352" t="s">
        <v>12374</v>
      </c>
      <c r="C2428" s="2352" t="s">
        <v>12374</v>
      </c>
      <c r="D2428" s="2352" t="s">
        <v>13379</v>
      </c>
      <c r="E2428" s="355">
        <v>60</v>
      </c>
      <c r="F2428" s="1662">
        <v>24.7</v>
      </c>
      <c r="G2428" s="903"/>
    </row>
    <row r="2429" spans="1:7" ht="15" customHeight="1" x14ac:dyDescent="0.25">
      <c r="A2429" s="2352" t="s">
        <v>13378</v>
      </c>
      <c r="B2429" s="2352" t="s">
        <v>12374</v>
      </c>
      <c r="C2429" s="2352" t="s">
        <v>12374</v>
      </c>
      <c r="D2429" s="2352" t="s">
        <v>13380</v>
      </c>
      <c r="E2429" s="355">
        <v>160</v>
      </c>
      <c r="F2429" s="1662">
        <v>64.599999999999994</v>
      </c>
      <c r="G2429" s="903"/>
    </row>
    <row r="2430" spans="1:7" ht="15" customHeight="1" x14ac:dyDescent="0.25">
      <c r="A2430" s="2352" t="s">
        <v>12715</v>
      </c>
      <c r="B2430" s="2352" t="s">
        <v>12374</v>
      </c>
      <c r="C2430" s="2352" t="s">
        <v>12374</v>
      </c>
      <c r="D2430" s="2352" t="s">
        <v>13381</v>
      </c>
      <c r="E2430" s="355">
        <v>250</v>
      </c>
      <c r="F2430" s="1662">
        <v>167.2</v>
      </c>
      <c r="G2430" s="903"/>
    </row>
    <row r="2431" spans="1:7" ht="15" customHeight="1" x14ac:dyDescent="0.25">
      <c r="A2431" s="2352" t="s">
        <v>13382</v>
      </c>
      <c r="B2431" s="2352" t="s">
        <v>12374</v>
      </c>
      <c r="C2431" s="2352" t="s">
        <v>12374</v>
      </c>
      <c r="D2431" s="2352" t="s">
        <v>13383</v>
      </c>
      <c r="E2431" s="355">
        <v>30</v>
      </c>
      <c r="F2431" s="1662">
        <v>4.75</v>
      </c>
      <c r="G2431" s="903"/>
    </row>
    <row r="2432" spans="1:7" ht="15" customHeight="1" x14ac:dyDescent="0.25">
      <c r="A2432" s="2352" t="s">
        <v>15164</v>
      </c>
      <c r="B2432" s="2352" t="s">
        <v>12374</v>
      </c>
      <c r="C2432" s="2352" t="s">
        <v>12374</v>
      </c>
      <c r="D2432" s="2352" t="s">
        <v>13384</v>
      </c>
      <c r="E2432" s="355">
        <v>50</v>
      </c>
      <c r="F2432" s="1662">
        <v>3.8</v>
      </c>
      <c r="G2432" s="903"/>
    </row>
    <row r="2433" spans="1:7" ht="15" customHeight="1" x14ac:dyDescent="0.25">
      <c r="A2433" s="2352" t="s">
        <v>15165</v>
      </c>
      <c r="B2433" s="2352" t="s">
        <v>12374</v>
      </c>
      <c r="C2433" s="2352" t="s">
        <v>12374</v>
      </c>
      <c r="D2433" s="2352" t="s">
        <v>13385</v>
      </c>
      <c r="E2433" s="355">
        <v>100</v>
      </c>
      <c r="F2433" s="1662">
        <v>39.9</v>
      </c>
      <c r="G2433" s="903"/>
    </row>
    <row r="2434" spans="1:7" ht="15" customHeight="1" x14ac:dyDescent="0.25">
      <c r="A2434" s="2352" t="s">
        <v>7497</v>
      </c>
      <c r="B2434" s="2352" t="s">
        <v>7498</v>
      </c>
      <c r="C2434" s="2352" t="s">
        <v>7498</v>
      </c>
      <c r="D2434" s="2352" t="s">
        <v>7499</v>
      </c>
      <c r="E2434" s="355">
        <v>160</v>
      </c>
      <c r="F2434" s="1662">
        <v>12</v>
      </c>
      <c r="G2434" s="903"/>
    </row>
    <row r="2435" spans="1:7" ht="15" customHeight="1" x14ac:dyDescent="0.25">
      <c r="A2435" s="2352" t="s">
        <v>7331</v>
      </c>
      <c r="B2435" s="2352" t="s">
        <v>7498</v>
      </c>
      <c r="C2435" s="2352" t="s">
        <v>7498</v>
      </c>
      <c r="D2435" s="2352" t="s">
        <v>7500</v>
      </c>
      <c r="E2435" s="355">
        <v>250</v>
      </c>
      <c r="F2435" s="1662">
        <v>93</v>
      </c>
      <c r="G2435" s="903"/>
    </row>
    <row r="2436" spans="1:7" ht="15" customHeight="1" x14ac:dyDescent="0.25">
      <c r="A2436" s="2352" t="s">
        <v>7331</v>
      </c>
      <c r="B2436" s="2352" t="s">
        <v>7498</v>
      </c>
      <c r="C2436" s="2352" t="s">
        <v>7498</v>
      </c>
      <c r="D2436" s="2352" t="s">
        <v>7501</v>
      </c>
      <c r="E2436" s="355">
        <v>63</v>
      </c>
      <c r="F2436" s="1662">
        <v>24</v>
      </c>
      <c r="G2436" s="903"/>
    </row>
    <row r="2437" spans="1:7" ht="15" customHeight="1" x14ac:dyDescent="0.25">
      <c r="A2437" s="2352" t="s">
        <v>7331</v>
      </c>
      <c r="B2437" s="2352" t="s">
        <v>7498</v>
      </c>
      <c r="C2437" s="2352" t="s">
        <v>7498</v>
      </c>
      <c r="D2437" s="2352" t="s">
        <v>7502</v>
      </c>
      <c r="E2437" s="355">
        <v>160</v>
      </c>
      <c r="F2437" s="1662">
        <v>135</v>
      </c>
      <c r="G2437" s="903"/>
    </row>
    <row r="2438" spans="1:7" ht="15" customHeight="1" x14ac:dyDescent="0.25">
      <c r="A2438" s="2352" t="s">
        <v>4349</v>
      </c>
      <c r="B2438" s="2352" t="s">
        <v>7498</v>
      </c>
      <c r="C2438" s="2352" t="s">
        <v>7498</v>
      </c>
      <c r="D2438" s="2352" t="s">
        <v>7503</v>
      </c>
      <c r="E2438" s="355">
        <v>63</v>
      </c>
      <c r="F2438" s="1662">
        <v>13</v>
      </c>
      <c r="G2438" s="903"/>
    </row>
    <row r="2439" spans="1:7" ht="15" customHeight="1" x14ac:dyDescent="0.25">
      <c r="A2439" s="2352" t="s">
        <v>7504</v>
      </c>
      <c r="B2439" s="2352" t="s">
        <v>7498</v>
      </c>
      <c r="C2439" s="2352" t="s">
        <v>7498</v>
      </c>
      <c r="D2439" s="2352" t="s">
        <v>7505</v>
      </c>
      <c r="E2439" s="355">
        <v>100</v>
      </c>
      <c r="F2439" s="1662">
        <v>26</v>
      </c>
      <c r="G2439" s="903"/>
    </row>
    <row r="2440" spans="1:7" ht="15" customHeight="1" x14ac:dyDescent="0.25">
      <c r="A2440" s="2352" t="s">
        <v>7506</v>
      </c>
      <c r="B2440" s="2352" t="s">
        <v>7498</v>
      </c>
      <c r="C2440" s="2352" t="s">
        <v>7498</v>
      </c>
      <c r="D2440" s="2352" t="s">
        <v>7507</v>
      </c>
      <c r="E2440" s="355">
        <v>63</v>
      </c>
      <c r="F2440" s="1662">
        <v>0</v>
      </c>
      <c r="G2440" s="903"/>
    </row>
    <row r="2441" spans="1:7" ht="15" customHeight="1" x14ac:dyDescent="0.25">
      <c r="A2441" s="2352" t="s">
        <v>7508</v>
      </c>
      <c r="B2441" s="2352" t="s">
        <v>7498</v>
      </c>
      <c r="C2441" s="2352" t="s">
        <v>7498</v>
      </c>
      <c r="D2441" s="2352" t="s">
        <v>7509</v>
      </c>
      <c r="E2441" s="355">
        <v>63</v>
      </c>
      <c r="F2441" s="1662">
        <v>29</v>
      </c>
      <c r="G2441" s="903"/>
    </row>
    <row r="2442" spans="1:7" ht="15" customHeight="1" x14ac:dyDescent="0.25">
      <c r="A2442" s="2352" t="s">
        <v>7510</v>
      </c>
      <c r="B2442" s="2352" t="s">
        <v>7498</v>
      </c>
      <c r="C2442" s="2352" t="s">
        <v>7498</v>
      </c>
      <c r="D2442" s="2352" t="s">
        <v>7511</v>
      </c>
      <c r="E2442" s="355">
        <v>100</v>
      </c>
      <c r="F2442" s="1662">
        <v>78</v>
      </c>
      <c r="G2442" s="903"/>
    </row>
    <row r="2443" spans="1:7" ht="15" customHeight="1" x14ac:dyDescent="0.25">
      <c r="A2443" s="2352" t="s">
        <v>14348</v>
      </c>
      <c r="B2443" s="2352" t="s">
        <v>7498</v>
      </c>
      <c r="C2443" s="2352" t="s">
        <v>7498</v>
      </c>
      <c r="D2443" s="2352" t="s">
        <v>7512</v>
      </c>
      <c r="E2443" s="355">
        <v>100</v>
      </c>
      <c r="F2443" s="1662">
        <v>0</v>
      </c>
      <c r="G2443" s="903"/>
    </row>
    <row r="2444" spans="1:7" ht="15" customHeight="1" x14ac:dyDescent="0.25">
      <c r="A2444" s="2352" t="s">
        <v>7513</v>
      </c>
      <c r="B2444" s="2352" t="s">
        <v>7498</v>
      </c>
      <c r="C2444" s="2352" t="s">
        <v>7498</v>
      </c>
      <c r="D2444" s="2352" t="s">
        <v>7514</v>
      </c>
      <c r="E2444" s="355">
        <v>160</v>
      </c>
      <c r="F2444" s="1662">
        <v>0</v>
      </c>
      <c r="G2444" s="903"/>
    </row>
    <row r="2445" spans="1:7" ht="15" customHeight="1" x14ac:dyDescent="0.25">
      <c r="A2445" s="2352" t="s">
        <v>3783</v>
      </c>
      <c r="B2445" s="2352" t="s">
        <v>7498</v>
      </c>
      <c r="C2445" s="2352" t="s">
        <v>7498</v>
      </c>
      <c r="D2445" s="2352" t="s">
        <v>7515</v>
      </c>
      <c r="E2445" s="355">
        <v>250</v>
      </c>
      <c r="F2445" s="1662">
        <v>88</v>
      </c>
      <c r="G2445" s="903"/>
    </row>
    <row r="2446" spans="1:7" ht="15" customHeight="1" x14ac:dyDescent="0.25">
      <c r="A2446" s="2352" t="s">
        <v>14349</v>
      </c>
      <c r="B2446" s="2352" t="s">
        <v>7498</v>
      </c>
      <c r="C2446" s="2352" t="s">
        <v>7498</v>
      </c>
      <c r="D2446" s="2352" t="s">
        <v>7516</v>
      </c>
      <c r="E2446" s="355">
        <v>160</v>
      </c>
      <c r="F2446" s="1662">
        <v>1</v>
      </c>
      <c r="G2446" s="903"/>
    </row>
    <row r="2447" spans="1:7" ht="15" customHeight="1" x14ac:dyDescent="0.25">
      <c r="A2447" s="2352" t="s">
        <v>7517</v>
      </c>
      <c r="B2447" s="2352" t="s">
        <v>7498</v>
      </c>
      <c r="C2447" s="2352" t="s">
        <v>7498</v>
      </c>
      <c r="D2447" s="2352" t="s">
        <v>7518</v>
      </c>
      <c r="E2447" s="355">
        <v>160</v>
      </c>
      <c r="F2447" s="1662">
        <v>6</v>
      </c>
      <c r="G2447" s="903"/>
    </row>
    <row r="2448" spans="1:7" ht="15" customHeight="1" x14ac:dyDescent="0.25">
      <c r="A2448" s="2352" t="s">
        <v>14350</v>
      </c>
      <c r="B2448" s="2352" t="s">
        <v>7498</v>
      </c>
      <c r="C2448" s="2352" t="s">
        <v>7498</v>
      </c>
      <c r="D2448" s="2352" t="s">
        <v>7519</v>
      </c>
      <c r="E2448" s="355">
        <v>100</v>
      </c>
      <c r="F2448" s="1662">
        <v>0</v>
      </c>
      <c r="G2448" s="903"/>
    </row>
    <row r="2449" spans="1:7" ht="15" customHeight="1" x14ac:dyDescent="0.25">
      <c r="A2449" s="2352" t="s">
        <v>7513</v>
      </c>
      <c r="B2449" s="2352" t="s">
        <v>7498</v>
      </c>
      <c r="C2449" s="2352" t="s">
        <v>7498</v>
      </c>
      <c r="D2449" s="2352" t="s">
        <v>7520</v>
      </c>
      <c r="E2449" s="355">
        <v>100</v>
      </c>
      <c r="F2449" s="1662">
        <v>3</v>
      </c>
      <c r="G2449" s="903"/>
    </row>
    <row r="2450" spans="1:7" ht="15" customHeight="1" x14ac:dyDescent="0.25">
      <c r="A2450" s="2352" t="s">
        <v>7331</v>
      </c>
      <c r="B2450" s="2352" t="s">
        <v>7498</v>
      </c>
      <c r="C2450" s="2352" t="s">
        <v>7498</v>
      </c>
      <c r="D2450" s="2352" t="s">
        <v>7521</v>
      </c>
      <c r="E2450" s="355">
        <v>400</v>
      </c>
      <c r="F2450" s="1662">
        <v>252</v>
      </c>
      <c r="G2450" s="903"/>
    </row>
    <row r="2451" spans="1:7" ht="15" customHeight="1" x14ac:dyDescent="0.25">
      <c r="A2451" s="2352" t="s">
        <v>7522</v>
      </c>
      <c r="B2451" s="2352" t="s">
        <v>7498</v>
      </c>
      <c r="C2451" s="2352" t="s">
        <v>7498</v>
      </c>
      <c r="D2451" s="2352" t="s">
        <v>7523</v>
      </c>
      <c r="E2451" s="355">
        <v>400</v>
      </c>
      <c r="F2451" s="1662">
        <v>199</v>
      </c>
      <c r="G2451" s="903"/>
    </row>
    <row r="2452" spans="1:7" ht="15" customHeight="1" x14ac:dyDescent="0.25">
      <c r="A2452" s="2352" t="s">
        <v>7522</v>
      </c>
      <c r="B2452" s="2352" t="s">
        <v>7498</v>
      </c>
      <c r="C2452" s="2352" t="s">
        <v>7498</v>
      </c>
      <c r="D2452" s="2352" t="s">
        <v>7524</v>
      </c>
      <c r="E2452" s="355">
        <v>400</v>
      </c>
      <c r="F2452" s="1662">
        <v>231</v>
      </c>
      <c r="G2452" s="903"/>
    </row>
    <row r="2453" spans="1:7" ht="15" customHeight="1" x14ac:dyDescent="0.25">
      <c r="A2453" s="2352" t="s">
        <v>3801</v>
      </c>
      <c r="B2453" s="2352" t="s">
        <v>7498</v>
      </c>
      <c r="C2453" s="2352" t="s">
        <v>7498</v>
      </c>
      <c r="D2453" s="2352" t="s">
        <v>7525</v>
      </c>
      <c r="E2453" s="355">
        <v>30</v>
      </c>
      <c r="F2453" s="1662">
        <v>1</v>
      </c>
      <c r="G2453" s="903"/>
    </row>
    <row r="2454" spans="1:7" ht="15" customHeight="1" x14ac:dyDescent="0.25">
      <c r="A2454" s="2352" t="s">
        <v>7526</v>
      </c>
      <c r="B2454" s="2352" t="s">
        <v>7498</v>
      </c>
      <c r="C2454" s="2352" t="s">
        <v>7498</v>
      </c>
      <c r="D2454" s="2352" t="s">
        <v>7527</v>
      </c>
      <c r="E2454" s="355">
        <v>250</v>
      </c>
      <c r="F2454" s="1662">
        <v>180</v>
      </c>
      <c r="G2454" s="903"/>
    </row>
    <row r="2455" spans="1:7" ht="15" customHeight="1" x14ac:dyDescent="0.25">
      <c r="A2455" s="2352" t="s">
        <v>14351</v>
      </c>
      <c r="B2455" s="2352" t="s">
        <v>7498</v>
      </c>
      <c r="C2455" s="2352" t="s">
        <v>7498</v>
      </c>
      <c r="D2455" s="2352" t="s">
        <v>7528</v>
      </c>
      <c r="E2455" s="355">
        <v>250</v>
      </c>
      <c r="F2455" s="1662">
        <v>75</v>
      </c>
      <c r="G2455" s="903"/>
    </row>
    <row r="2456" spans="1:7" ht="15" customHeight="1" x14ac:dyDescent="0.25">
      <c r="A2456" s="2352" t="s">
        <v>7529</v>
      </c>
      <c r="B2456" s="2352" t="s">
        <v>7498</v>
      </c>
      <c r="C2456" s="2352" t="s">
        <v>7498</v>
      </c>
      <c r="D2456" s="2352" t="s">
        <v>7530</v>
      </c>
      <c r="E2456" s="355">
        <v>100</v>
      </c>
      <c r="F2456" s="1662">
        <v>7</v>
      </c>
      <c r="G2456" s="903"/>
    </row>
    <row r="2457" spans="1:7" ht="15" customHeight="1" x14ac:dyDescent="0.25">
      <c r="A2457" s="2352" t="s">
        <v>14352</v>
      </c>
      <c r="B2457" s="2352" t="s">
        <v>7498</v>
      </c>
      <c r="C2457" s="2352" t="s">
        <v>7498</v>
      </c>
      <c r="D2457" s="2352" t="s">
        <v>7531</v>
      </c>
      <c r="E2457" s="355">
        <v>100</v>
      </c>
      <c r="F2457" s="1662">
        <v>0</v>
      </c>
      <c r="G2457" s="903"/>
    </row>
    <row r="2458" spans="1:7" ht="15" customHeight="1" x14ac:dyDescent="0.25">
      <c r="A2458" s="2352" t="s">
        <v>7532</v>
      </c>
      <c r="B2458" s="2352" t="s">
        <v>7498</v>
      </c>
      <c r="C2458" s="2352" t="s">
        <v>7498</v>
      </c>
      <c r="D2458" s="2352" t="s">
        <v>7533</v>
      </c>
      <c r="E2458" s="355">
        <v>30</v>
      </c>
      <c r="F2458" s="1662">
        <v>0</v>
      </c>
      <c r="G2458" s="903"/>
    </row>
    <row r="2459" spans="1:7" ht="15" customHeight="1" x14ac:dyDescent="0.25">
      <c r="A2459" s="2352" t="s">
        <v>4263</v>
      </c>
      <c r="B2459" s="2352" t="s">
        <v>7498</v>
      </c>
      <c r="C2459" s="2352" t="s">
        <v>7498</v>
      </c>
      <c r="D2459" s="2352" t="s">
        <v>7534</v>
      </c>
      <c r="E2459" s="355">
        <v>30</v>
      </c>
      <c r="F2459" s="1662">
        <v>0</v>
      </c>
      <c r="G2459" s="903"/>
    </row>
    <row r="2460" spans="1:7" ht="15" customHeight="1" x14ac:dyDescent="0.25">
      <c r="A2460" s="2352" t="s">
        <v>14353</v>
      </c>
      <c r="B2460" s="2352" t="s">
        <v>7498</v>
      </c>
      <c r="C2460" s="2352" t="s">
        <v>7498</v>
      </c>
      <c r="D2460" s="2352" t="s">
        <v>7535</v>
      </c>
      <c r="E2460" s="355">
        <v>160</v>
      </c>
      <c r="F2460" s="1662">
        <v>0</v>
      </c>
      <c r="G2460" s="903"/>
    </row>
    <row r="2461" spans="1:7" ht="15" customHeight="1" x14ac:dyDescent="0.25">
      <c r="A2461" s="2352" t="s">
        <v>7536</v>
      </c>
      <c r="B2461" s="2352" t="s">
        <v>7498</v>
      </c>
      <c r="C2461" s="2352" t="s">
        <v>7498</v>
      </c>
      <c r="D2461" s="2352" t="s">
        <v>7537</v>
      </c>
      <c r="E2461" s="355">
        <v>100</v>
      </c>
      <c r="F2461" s="1662">
        <v>3</v>
      </c>
      <c r="G2461" s="903"/>
    </row>
    <row r="2462" spans="1:7" ht="15" customHeight="1" x14ac:dyDescent="0.25">
      <c r="A2462" s="2352" t="s">
        <v>7538</v>
      </c>
      <c r="B2462" s="2352" t="s">
        <v>7498</v>
      </c>
      <c r="C2462" s="2352" t="s">
        <v>7498</v>
      </c>
      <c r="D2462" s="2352" t="s">
        <v>7539</v>
      </c>
      <c r="E2462" s="355">
        <v>40</v>
      </c>
      <c r="F2462" s="1662">
        <v>2</v>
      </c>
      <c r="G2462" s="903"/>
    </row>
    <row r="2463" spans="1:7" ht="15" customHeight="1" x14ac:dyDescent="0.25">
      <c r="A2463" s="2352" t="s">
        <v>7538</v>
      </c>
      <c r="B2463" s="2352" t="s">
        <v>7498</v>
      </c>
      <c r="C2463" s="2352" t="s">
        <v>7498</v>
      </c>
      <c r="D2463" s="2352" t="s">
        <v>7540</v>
      </c>
      <c r="E2463" s="355">
        <v>63</v>
      </c>
      <c r="F2463" s="1662">
        <v>1</v>
      </c>
      <c r="G2463" s="903"/>
    </row>
    <row r="2464" spans="1:7" ht="15" customHeight="1" x14ac:dyDescent="0.25">
      <c r="A2464" s="2352" t="s">
        <v>14353</v>
      </c>
      <c r="B2464" s="2352" t="s">
        <v>7498</v>
      </c>
      <c r="C2464" s="2352" t="s">
        <v>7498</v>
      </c>
      <c r="D2464" s="2352" t="s">
        <v>7541</v>
      </c>
      <c r="E2464" s="355">
        <v>63</v>
      </c>
      <c r="F2464" s="1662">
        <v>2</v>
      </c>
      <c r="G2464" s="903"/>
    </row>
    <row r="2465" spans="1:7" ht="15" customHeight="1" x14ac:dyDescent="0.25">
      <c r="A2465" s="2352" t="s">
        <v>14354</v>
      </c>
      <c r="B2465" s="2352" t="s">
        <v>7498</v>
      </c>
      <c r="C2465" s="2352" t="s">
        <v>7498</v>
      </c>
      <c r="D2465" s="2352" t="s">
        <v>7542</v>
      </c>
      <c r="E2465" s="355">
        <v>250</v>
      </c>
      <c r="F2465" s="1662">
        <v>24</v>
      </c>
      <c r="G2465" s="903"/>
    </row>
    <row r="2466" spans="1:7" ht="15" customHeight="1" x14ac:dyDescent="0.25">
      <c r="A2466" s="2352" t="s">
        <v>7538</v>
      </c>
      <c r="B2466" s="2352" t="s">
        <v>7498</v>
      </c>
      <c r="C2466" s="2352" t="s">
        <v>7498</v>
      </c>
      <c r="D2466" s="2352" t="s">
        <v>7543</v>
      </c>
      <c r="E2466" s="355">
        <v>40</v>
      </c>
      <c r="F2466" s="1662">
        <v>1</v>
      </c>
      <c r="G2466" s="903"/>
    </row>
    <row r="2467" spans="1:7" ht="15" customHeight="1" x14ac:dyDescent="0.25">
      <c r="A2467" s="2352" t="s">
        <v>7544</v>
      </c>
      <c r="B2467" s="2352" t="s">
        <v>7498</v>
      </c>
      <c r="C2467" s="2352" t="s">
        <v>7498</v>
      </c>
      <c r="D2467" s="2352" t="s">
        <v>7545</v>
      </c>
      <c r="E2467" s="355">
        <v>100</v>
      </c>
      <c r="F2467" s="1662">
        <v>2</v>
      </c>
      <c r="G2467" s="903"/>
    </row>
    <row r="2468" spans="1:7" ht="15" customHeight="1" x14ac:dyDescent="0.25">
      <c r="A2468" s="2352" t="s">
        <v>7522</v>
      </c>
      <c r="B2468" s="2352" t="s">
        <v>7498</v>
      </c>
      <c r="C2468" s="2352" t="s">
        <v>7498</v>
      </c>
      <c r="D2468" s="2352" t="s">
        <v>7546</v>
      </c>
      <c r="E2468" s="355">
        <v>100</v>
      </c>
      <c r="F2468" s="1662">
        <v>11</v>
      </c>
      <c r="G2468" s="903"/>
    </row>
    <row r="2469" spans="1:7" ht="15" customHeight="1" x14ac:dyDescent="0.25">
      <c r="A2469" s="2352" t="s">
        <v>7522</v>
      </c>
      <c r="B2469" s="2352" t="s">
        <v>7498</v>
      </c>
      <c r="C2469" s="2352" t="s">
        <v>7498</v>
      </c>
      <c r="D2469" s="2352" t="s">
        <v>7547</v>
      </c>
      <c r="E2469" s="355">
        <v>250</v>
      </c>
      <c r="F2469" s="1662">
        <v>117</v>
      </c>
      <c r="G2469" s="903"/>
    </row>
    <row r="2470" spans="1:7" ht="15" customHeight="1" x14ac:dyDescent="0.25">
      <c r="A2470" s="2352" t="s">
        <v>7522</v>
      </c>
      <c r="B2470" s="2352" t="s">
        <v>7498</v>
      </c>
      <c r="C2470" s="2352" t="s">
        <v>7498</v>
      </c>
      <c r="D2470" s="2352" t="s">
        <v>7548</v>
      </c>
      <c r="E2470" s="355">
        <v>160</v>
      </c>
      <c r="F2470" s="1662">
        <v>69</v>
      </c>
      <c r="G2470" s="903"/>
    </row>
    <row r="2471" spans="1:7" ht="15" customHeight="1" x14ac:dyDescent="0.25">
      <c r="A2471" s="2352" t="s">
        <v>7522</v>
      </c>
      <c r="B2471" s="2352" t="s">
        <v>7498</v>
      </c>
      <c r="C2471" s="2352" t="s">
        <v>7498</v>
      </c>
      <c r="D2471" s="2352" t="s">
        <v>7549</v>
      </c>
      <c r="E2471" s="355">
        <v>250</v>
      </c>
      <c r="F2471" s="1662">
        <v>131</v>
      </c>
      <c r="G2471" s="903"/>
    </row>
    <row r="2472" spans="1:7" ht="15" customHeight="1" x14ac:dyDescent="0.25">
      <c r="A2472" s="2352" t="s">
        <v>7550</v>
      </c>
      <c r="B2472" s="2352" t="s">
        <v>7498</v>
      </c>
      <c r="C2472" s="2352" t="s">
        <v>7498</v>
      </c>
      <c r="D2472" s="2352" t="s">
        <v>7551</v>
      </c>
      <c r="E2472" s="355">
        <v>250</v>
      </c>
      <c r="F2472" s="1662">
        <v>53</v>
      </c>
      <c r="G2472" s="903"/>
    </row>
    <row r="2473" spans="1:7" ht="15" customHeight="1" x14ac:dyDescent="0.25">
      <c r="A2473" s="2352" t="s">
        <v>7550</v>
      </c>
      <c r="B2473" s="2352" t="s">
        <v>7498</v>
      </c>
      <c r="C2473" s="2352" t="s">
        <v>7498</v>
      </c>
      <c r="D2473" s="2352" t="s">
        <v>20101</v>
      </c>
      <c r="E2473" s="355">
        <v>160</v>
      </c>
      <c r="F2473" s="1662">
        <v>87</v>
      </c>
      <c r="G2473" s="903"/>
    </row>
    <row r="2474" spans="1:7" ht="15" customHeight="1" x14ac:dyDescent="0.25">
      <c r="A2474" s="2352" t="s">
        <v>7552</v>
      </c>
      <c r="B2474" s="2352" t="s">
        <v>7498</v>
      </c>
      <c r="C2474" s="2352" t="s">
        <v>7498</v>
      </c>
      <c r="D2474" s="2352" t="s">
        <v>7553</v>
      </c>
      <c r="E2474" s="355">
        <v>160</v>
      </c>
      <c r="F2474" s="1662">
        <v>13</v>
      </c>
      <c r="G2474" s="903"/>
    </row>
    <row r="2475" spans="1:7" ht="15" customHeight="1" x14ac:dyDescent="0.25">
      <c r="A2475" s="2352" t="s">
        <v>7554</v>
      </c>
      <c r="B2475" s="2352" t="s">
        <v>7498</v>
      </c>
      <c r="C2475" s="2352" t="s">
        <v>7498</v>
      </c>
      <c r="D2475" s="2352" t="s">
        <v>7555</v>
      </c>
      <c r="E2475" s="355">
        <v>40</v>
      </c>
      <c r="F2475" s="1662">
        <v>0</v>
      </c>
      <c r="G2475" s="903"/>
    </row>
    <row r="2476" spans="1:7" ht="15" customHeight="1" x14ac:dyDescent="0.25">
      <c r="A2476" s="2352" t="s">
        <v>7522</v>
      </c>
      <c r="B2476" s="2352" t="s">
        <v>7498</v>
      </c>
      <c r="C2476" s="2352" t="s">
        <v>7498</v>
      </c>
      <c r="D2476" s="2352" t="s">
        <v>7556</v>
      </c>
      <c r="E2476" s="355" t="s">
        <v>6278</v>
      </c>
      <c r="F2476" s="1662">
        <v>249</v>
      </c>
      <c r="G2476" s="903"/>
    </row>
    <row r="2477" spans="1:7" ht="15" customHeight="1" x14ac:dyDescent="0.25">
      <c r="A2477" s="2352" t="s">
        <v>7522</v>
      </c>
      <c r="B2477" s="2352" t="s">
        <v>7498</v>
      </c>
      <c r="C2477" s="2352" t="s">
        <v>7498</v>
      </c>
      <c r="D2477" s="2352" t="s">
        <v>7557</v>
      </c>
      <c r="E2477" s="355">
        <v>20</v>
      </c>
      <c r="F2477" s="1662">
        <v>12</v>
      </c>
      <c r="G2477" s="903"/>
    </row>
    <row r="2478" spans="1:7" ht="15" customHeight="1" x14ac:dyDescent="0.25">
      <c r="A2478" s="2352" t="s">
        <v>3968</v>
      </c>
      <c r="B2478" s="2352" t="s">
        <v>7498</v>
      </c>
      <c r="C2478" s="2352" t="s">
        <v>7498</v>
      </c>
      <c r="D2478" s="2352" t="s">
        <v>7558</v>
      </c>
      <c r="E2478" s="355">
        <v>63</v>
      </c>
      <c r="F2478" s="1662">
        <v>0</v>
      </c>
      <c r="G2478" s="903"/>
    </row>
    <row r="2479" spans="1:7" ht="15" customHeight="1" x14ac:dyDescent="0.25">
      <c r="A2479" s="2352" t="s">
        <v>7559</v>
      </c>
      <c r="B2479" s="2352" t="s">
        <v>7498</v>
      </c>
      <c r="C2479" s="2352" t="s">
        <v>7498</v>
      </c>
      <c r="D2479" s="2352" t="s">
        <v>7560</v>
      </c>
      <c r="E2479" s="355">
        <v>160</v>
      </c>
      <c r="F2479" s="1662">
        <v>132</v>
      </c>
      <c r="G2479" s="903"/>
    </row>
    <row r="2480" spans="1:7" ht="15" customHeight="1" x14ac:dyDescent="0.25">
      <c r="A2480" s="2352" t="s">
        <v>7561</v>
      </c>
      <c r="B2480" s="2352" t="s">
        <v>7498</v>
      </c>
      <c r="C2480" s="2352" t="s">
        <v>7498</v>
      </c>
      <c r="D2480" s="2352" t="s">
        <v>7562</v>
      </c>
      <c r="E2480" s="355">
        <v>100</v>
      </c>
      <c r="F2480" s="1662">
        <v>10</v>
      </c>
      <c r="G2480" s="903"/>
    </row>
    <row r="2481" spans="1:7" ht="15" customHeight="1" x14ac:dyDescent="0.25">
      <c r="A2481" s="2352" t="s">
        <v>14355</v>
      </c>
      <c r="B2481" s="2352" t="s">
        <v>7498</v>
      </c>
      <c r="C2481" s="2352" t="s">
        <v>7498</v>
      </c>
      <c r="D2481" s="2352" t="s">
        <v>7563</v>
      </c>
      <c r="E2481" s="355">
        <v>40</v>
      </c>
      <c r="F2481" s="1662">
        <v>0</v>
      </c>
      <c r="G2481" s="903"/>
    </row>
    <row r="2482" spans="1:7" ht="15" customHeight="1" x14ac:dyDescent="0.25">
      <c r="A2482" s="2352" t="s">
        <v>7564</v>
      </c>
      <c r="B2482" s="2352" t="s">
        <v>7498</v>
      </c>
      <c r="C2482" s="2352" t="s">
        <v>7498</v>
      </c>
      <c r="D2482" s="2352" t="s">
        <v>7565</v>
      </c>
      <c r="E2482" s="355">
        <v>160</v>
      </c>
      <c r="F2482" s="1662">
        <v>42</v>
      </c>
      <c r="G2482" s="903"/>
    </row>
    <row r="2483" spans="1:7" ht="15" customHeight="1" x14ac:dyDescent="0.25">
      <c r="A2483" s="2352" t="s">
        <v>7566</v>
      </c>
      <c r="B2483" s="2352" t="s">
        <v>7498</v>
      </c>
      <c r="C2483" s="2352" t="s">
        <v>7498</v>
      </c>
      <c r="D2483" s="2352" t="s">
        <v>7567</v>
      </c>
      <c r="E2483" s="355">
        <v>60</v>
      </c>
      <c r="F2483" s="1662">
        <v>9</v>
      </c>
      <c r="G2483" s="903"/>
    </row>
    <row r="2484" spans="1:7" ht="15" customHeight="1" x14ac:dyDescent="0.25">
      <c r="A2484" s="2352" t="s">
        <v>7566</v>
      </c>
      <c r="B2484" s="2352" t="s">
        <v>7498</v>
      </c>
      <c r="C2484" s="2352" t="s">
        <v>7498</v>
      </c>
      <c r="D2484" s="2352" t="s">
        <v>7568</v>
      </c>
      <c r="E2484" s="355">
        <v>160</v>
      </c>
      <c r="F2484" s="1662">
        <v>12</v>
      </c>
      <c r="G2484" s="903"/>
    </row>
    <row r="2485" spans="1:7" ht="15" customHeight="1" x14ac:dyDescent="0.25">
      <c r="A2485" s="2352" t="s">
        <v>7569</v>
      </c>
      <c r="B2485" s="2352" t="s">
        <v>7498</v>
      </c>
      <c r="C2485" s="2352" t="s">
        <v>7498</v>
      </c>
      <c r="D2485" s="2352" t="s">
        <v>7570</v>
      </c>
      <c r="E2485" s="355">
        <v>160</v>
      </c>
      <c r="F2485" s="1662">
        <v>18</v>
      </c>
      <c r="G2485" s="903"/>
    </row>
    <row r="2486" spans="1:7" ht="15" customHeight="1" x14ac:dyDescent="0.25">
      <c r="A2486" s="2352" t="s">
        <v>7559</v>
      </c>
      <c r="B2486" s="2352" t="s">
        <v>7498</v>
      </c>
      <c r="C2486" s="2352" t="s">
        <v>7498</v>
      </c>
      <c r="D2486" s="2352" t="s">
        <v>7571</v>
      </c>
      <c r="E2486" s="355">
        <v>250</v>
      </c>
      <c r="F2486" s="1662">
        <v>102</v>
      </c>
      <c r="G2486" s="903"/>
    </row>
    <row r="2487" spans="1:7" ht="15" customHeight="1" x14ac:dyDescent="0.25">
      <c r="A2487" s="2352" t="s">
        <v>7559</v>
      </c>
      <c r="B2487" s="2352" t="s">
        <v>7498</v>
      </c>
      <c r="C2487" s="2352" t="s">
        <v>7498</v>
      </c>
      <c r="D2487" s="2352" t="s">
        <v>7572</v>
      </c>
      <c r="E2487" s="355">
        <v>60</v>
      </c>
      <c r="F2487" s="1662">
        <v>0</v>
      </c>
      <c r="G2487" s="903"/>
    </row>
    <row r="2488" spans="1:7" ht="15" customHeight="1" x14ac:dyDescent="0.25">
      <c r="A2488" s="2352" t="s">
        <v>4764</v>
      </c>
      <c r="B2488" s="2352" t="s">
        <v>7498</v>
      </c>
      <c r="C2488" s="2352" t="s">
        <v>7498</v>
      </c>
      <c r="D2488" s="2352" t="s">
        <v>7573</v>
      </c>
      <c r="E2488" s="355">
        <v>63</v>
      </c>
      <c r="F2488" s="1662">
        <v>9</v>
      </c>
      <c r="G2488" s="903"/>
    </row>
    <row r="2489" spans="1:7" ht="15" customHeight="1" x14ac:dyDescent="0.25">
      <c r="A2489" s="2352" t="s">
        <v>7574</v>
      </c>
      <c r="B2489" s="2352" t="s">
        <v>7498</v>
      </c>
      <c r="C2489" s="2352" t="s">
        <v>7498</v>
      </c>
      <c r="D2489" s="2352" t="s">
        <v>7575</v>
      </c>
      <c r="E2489" s="355">
        <v>100</v>
      </c>
      <c r="F2489" s="1662">
        <v>0</v>
      </c>
      <c r="G2489" s="903"/>
    </row>
    <row r="2490" spans="1:7" ht="15" customHeight="1" x14ac:dyDescent="0.25">
      <c r="A2490" s="2352" t="s">
        <v>7559</v>
      </c>
      <c r="B2490" s="2352" t="s">
        <v>7498</v>
      </c>
      <c r="C2490" s="2352" t="s">
        <v>7498</v>
      </c>
      <c r="D2490" s="2352" t="s">
        <v>7576</v>
      </c>
      <c r="E2490" s="355">
        <v>250</v>
      </c>
      <c r="F2490" s="1662">
        <v>194</v>
      </c>
      <c r="G2490" s="903"/>
    </row>
    <row r="2491" spans="1:7" ht="15" customHeight="1" x14ac:dyDescent="0.25">
      <c r="A2491" s="2352" t="s">
        <v>7559</v>
      </c>
      <c r="B2491" s="2352" t="s">
        <v>7498</v>
      </c>
      <c r="C2491" s="2352" t="s">
        <v>7498</v>
      </c>
      <c r="D2491" s="2352" t="s">
        <v>7577</v>
      </c>
      <c r="E2491" s="355">
        <v>630</v>
      </c>
      <c r="F2491" s="1662">
        <v>578</v>
      </c>
      <c r="G2491" s="903"/>
    </row>
    <row r="2492" spans="1:7" ht="15" customHeight="1" x14ac:dyDescent="0.25">
      <c r="A2492" s="2352" t="s">
        <v>7578</v>
      </c>
      <c r="B2492" s="2352" t="s">
        <v>7498</v>
      </c>
      <c r="C2492" s="2352" t="s">
        <v>7498</v>
      </c>
      <c r="D2492" s="2352" t="s">
        <v>7579</v>
      </c>
      <c r="E2492" s="355">
        <v>100</v>
      </c>
      <c r="F2492" s="1662">
        <v>12</v>
      </c>
      <c r="G2492" s="903"/>
    </row>
    <row r="2493" spans="1:7" ht="15" customHeight="1" x14ac:dyDescent="0.25">
      <c r="A2493" s="2352" t="s">
        <v>7580</v>
      </c>
      <c r="B2493" s="2352" t="s">
        <v>7498</v>
      </c>
      <c r="C2493" s="2352" t="s">
        <v>7498</v>
      </c>
      <c r="D2493" s="2352" t="s">
        <v>7581</v>
      </c>
      <c r="E2493" s="355">
        <v>100</v>
      </c>
      <c r="F2493" s="1662">
        <v>11</v>
      </c>
      <c r="G2493" s="903"/>
    </row>
    <row r="2494" spans="1:7" ht="15" customHeight="1" x14ac:dyDescent="0.25">
      <c r="A2494" s="2352" t="s">
        <v>7578</v>
      </c>
      <c r="B2494" s="2352" t="s">
        <v>7498</v>
      </c>
      <c r="C2494" s="2352" t="s">
        <v>7498</v>
      </c>
      <c r="D2494" s="2352" t="s">
        <v>7582</v>
      </c>
      <c r="E2494" s="355">
        <v>250</v>
      </c>
      <c r="F2494" s="1662">
        <v>132</v>
      </c>
      <c r="G2494" s="903"/>
    </row>
    <row r="2495" spans="1:7" ht="15" customHeight="1" x14ac:dyDescent="0.25">
      <c r="A2495" s="2352" t="s">
        <v>7583</v>
      </c>
      <c r="B2495" s="2352" t="s">
        <v>7498</v>
      </c>
      <c r="C2495" s="2352" t="s">
        <v>7498</v>
      </c>
      <c r="D2495" s="2352" t="s">
        <v>7584</v>
      </c>
      <c r="E2495" s="355">
        <v>20</v>
      </c>
      <c r="F2495" s="1662">
        <v>0</v>
      </c>
      <c r="G2495" s="903"/>
    </row>
    <row r="2496" spans="1:7" ht="15" customHeight="1" x14ac:dyDescent="0.25">
      <c r="A2496" s="2352" t="s">
        <v>7566</v>
      </c>
      <c r="B2496" s="2352" t="s">
        <v>7498</v>
      </c>
      <c r="C2496" s="2352" t="s">
        <v>7498</v>
      </c>
      <c r="D2496" s="2352" t="s">
        <v>7585</v>
      </c>
      <c r="E2496" s="355">
        <v>250</v>
      </c>
      <c r="F2496" s="1662">
        <v>0</v>
      </c>
      <c r="G2496" s="903"/>
    </row>
    <row r="2497" spans="1:7" ht="15" customHeight="1" x14ac:dyDescent="0.25">
      <c r="A2497" s="2352" t="s">
        <v>7586</v>
      </c>
      <c r="B2497" s="2352" t="s">
        <v>7498</v>
      </c>
      <c r="C2497" s="2352" t="s">
        <v>7498</v>
      </c>
      <c r="D2497" s="2352" t="s">
        <v>7587</v>
      </c>
      <c r="E2497" s="355">
        <v>30</v>
      </c>
      <c r="F2497" s="1662">
        <v>3</v>
      </c>
      <c r="G2497" s="903"/>
    </row>
    <row r="2498" spans="1:7" ht="15" customHeight="1" x14ac:dyDescent="0.25">
      <c r="A2498" s="2352" t="s">
        <v>7586</v>
      </c>
      <c r="B2498" s="2352" t="s">
        <v>7498</v>
      </c>
      <c r="C2498" s="2352" t="s">
        <v>7498</v>
      </c>
      <c r="D2498" s="2352" t="s">
        <v>7588</v>
      </c>
      <c r="E2498" s="355">
        <v>63</v>
      </c>
      <c r="F2498" s="1662">
        <v>5</v>
      </c>
      <c r="G2498" s="903"/>
    </row>
    <row r="2499" spans="1:7" ht="15" customHeight="1" x14ac:dyDescent="0.25">
      <c r="A2499" s="2352" t="s">
        <v>7566</v>
      </c>
      <c r="B2499" s="2352" t="s">
        <v>7498</v>
      </c>
      <c r="C2499" s="2352" t="s">
        <v>7498</v>
      </c>
      <c r="D2499" s="2352" t="s">
        <v>7589</v>
      </c>
      <c r="E2499" s="355">
        <v>250</v>
      </c>
      <c r="F2499" s="1662">
        <v>2</v>
      </c>
      <c r="G2499" s="903"/>
    </row>
    <row r="2500" spans="1:7" ht="15" customHeight="1" x14ac:dyDescent="0.25">
      <c r="A2500" s="2352" t="s">
        <v>7590</v>
      </c>
      <c r="B2500" s="2352" t="s">
        <v>7498</v>
      </c>
      <c r="C2500" s="2352" t="s">
        <v>7498</v>
      </c>
      <c r="D2500" s="2352" t="s">
        <v>7591</v>
      </c>
      <c r="E2500" s="355">
        <v>40</v>
      </c>
      <c r="F2500" s="1662">
        <v>0</v>
      </c>
      <c r="G2500" s="903"/>
    </row>
    <row r="2501" spans="1:7" ht="15" customHeight="1" x14ac:dyDescent="0.25">
      <c r="A2501" s="2352" t="s">
        <v>7372</v>
      </c>
      <c r="B2501" s="2352" t="s">
        <v>7498</v>
      </c>
      <c r="C2501" s="2352" t="s">
        <v>7498</v>
      </c>
      <c r="D2501" s="2352" t="s">
        <v>7592</v>
      </c>
      <c r="E2501" s="355">
        <v>100</v>
      </c>
      <c r="F2501" s="1662">
        <v>10</v>
      </c>
      <c r="G2501" s="903"/>
    </row>
    <row r="2502" spans="1:7" ht="15" customHeight="1" x14ac:dyDescent="0.25">
      <c r="A2502" s="2352" t="s">
        <v>7566</v>
      </c>
      <c r="B2502" s="2352" t="s">
        <v>7498</v>
      </c>
      <c r="C2502" s="2352" t="s">
        <v>7498</v>
      </c>
      <c r="D2502" s="2352" t="s">
        <v>7593</v>
      </c>
      <c r="E2502" s="355">
        <v>100</v>
      </c>
      <c r="F2502" s="1662">
        <v>3</v>
      </c>
      <c r="G2502" s="903"/>
    </row>
    <row r="2503" spans="1:7" ht="15" customHeight="1" x14ac:dyDescent="0.25">
      <c r="A2503" s="2352" t="s">
        <v>7594</v>
      </c>
      <c r="B2503" s="2352" t="s">
        <v>7498</v>
      </c>
      <c r="C2503" s="2352" t="s">
        <v>7498</v>
      </c>
      <c r="D2503" s="2352" t="s">
        <v>7595</v>
      </c>
      <c r="E2503" s="355">
        <v>100</v>
      </c>
      <c r="F2503" s="1662">
        <v>0</v>
      </c>
      <c r="G2503" s="903"/>
    </row>
    <row r="2504" spans="1:7" ht="15" customHeight="1" x14ac:dyDescent="0.25">
      <c r="A2504" s="2352" t="s">
        <v>7594</v>
      </c>
      <c r="B2504" s="2352" t="s">
        <v>7498</v>
      </c>
      <c r="C2504" s="2352" t="s">
        <v>7498</v>
      </c>
      <c r="D2504" s="2352" t="s">
        <v>7596</v>
      </c>
      <c r="E2504" s="355">
        <v>160</v>
      </c>
      <c r="F2504" s="1662">
        <v>19</v>
      </c>
      <c r="G2504" s="903"/>
    </row>
    <row r="2505" spans="1:7" ht="15" customHeight="1" x14ac:dyDescent="0.25">
      <c r="A2505" s="2352" t="s">
        <v>7566</v>
      </c>
      <c r="B2505" s="2352" t="s">
        <v>7498</v>
      </c>
      <c r="C2505" s="2352" t="s">
        <v>7498</v>
      </c>
      <c r="D2505" s="2352" t="s">
        <v>7597</v>
      </c>
      <c r="E2505" s="355">
        <v>160</v>
      </c>
      <c r="F2505" s="1662">
        <v>10</v>
      </c>
      <c r="G2505" s="903"/>
    </row>
    <row r="2506" spans="1:7" ht="15" customHeight="1" x14ac:dyDescent="0.25">
      <c r="A2506" s="2352" t="s">
        <v>7566</v>
      </c>
      <c r="B2506" s="2352" t="s">
        <v>7498</v>
      </c>
      <c r="C2506" s="2352" t="s">
        <v>7498</v>
      </c>
      <c r="D2506" s="2352" t="s">
        <v>7598</v>
      </c>
      <c r="E2506" s="355">
        <v>250</v>
      </c>
      <c r="F2506" s="1662">
        <v>173</v>
      </c>
      <c r="G2506" s="903"/>
    </row>
    <row r="2507" spans="1:7" ht="15" customHeight="1" x14ac:dyDescent="0.25">
      <c r="A2507" s="2352" t="s">
        <v>14356</v>
      </c>
      <c r="B2507" s="2352" t="s">
        <v>7498</v>
      </c>
      <c r="C2507" s="2352" t="s">
        <v>7498</v>
      </c>
      <c r="D2507" s="2352" t="s">
        <v>7599</v>
      </c>
      <c r="E2507" s="355">
        <v>100</v>
      </c>
      <c r="F2507" s="1662">
        <v>0</v>
      </c>
      <c r="G2507" s="903"/>
    </row>
    <row r="2508" spans="1:7" ht="15" customHeight="1" x14ac:dyDescent="0.25">
      <c r="A2508" s="2352" t="s">
        <v>5530</v>
      </c>
      <c r="B2508" s="2352" t="s">
        <v>7498</v>
      </c>
      <c r="C2508" s="2352" t="s">
        <v>7498</v>
      </c>
      <c r="D2508" s="2352" t="s">
        <v>7600</v>
      </c>
      <c r="E2508" s="355">
        <v>250</v>
      </c>
      <c r="F2508" s="1662">
        <v>98</v>
      </c>
      <c r="G2508" s="903"/>
    </row>
    <row r="2509" spans="1:7" ht="15" customHeight="1" x14ac:dyDescent="0.25">
      <c r="A2509" s="2352" t="s">
        <v>6460</v>
      </c>
      <c r="B2509" s="2352" t="s">
        <v>7498</v>
      </c>
      <c r="C2509" s="2352" t="s">
        <v>7498</v>
      </c>
      <c r="D2509" s="2352" t="s">
        <v>7601</v>
      </c>
      <c r="E2509" s="355">
        <v>250</v>
      </c>
      <c r="F2509" s="1662">
        <v>222</v>
      </c>
      <c r="G2509" s="903"/>
    </row>
    <row r="2510" spans="1:7" ht="15" customHeight="1" x14ac:dyDescent="0.25">
      <c r="A2510" s="2352" t="s">
        <v>6460</v>
      </c>
      <c r="B2510" s="2352" t="s">
        <v>7498</v>
      </c>
      <c r="C2510" s="2352" t="s">
        <v>7498</v>
      </c>
      <c r="D2510" s="2352" t="s">
        <v>7602</v>
      </c>
      <c r="E2510" s="355">
        <v>100</v>
      </c>
      <c r="F2510" s="1662">
        <v>32</v>
      </c>
      <c r="G2510" s="903"/>
    </row>
    <row r="2511" spans="1:7" ht="15" customHeight="1" x14ac:dyDescent="0.25">
      <c r="A2511" s="2352" t="s">
        <v>5466</v>
      </c>
      <c r="B2511" s="2352" t="s">
        <v>7498</v>
      </c>
      <c r="C2511" s="2352" t="s">
        <v>7498</v>
      </c>
      <c r="D2511" s="2352" t="s">
        <v>7603</v>
      </c>
      <c r="E2511" s="355">
        <v>250</v>
      </c>
      <c r="F2511" s="1662">
        <v>203</v>
      </c>
      <c r="G2511" s="903"/>
    </row>
    <row r="2512" spans="1:7" ht="15" customHeight="1" x14ac:dyDescent="0.25">
      <c r="A2512" s="2352" t="s">
        <v>7604</v>
      </c>
      <c r="B2512" s="2352" t="s">
        <v>7498</v>
      </c>
      <c r="C2512" s="2352" t="s">
        <v>7498</v>
      </c>
      <c r="D2512" s="2352" t="s">
        <v>7605</v>
      </c>
      <c r="E2512" s="355">
        <v>100</v>
      </c>
      <c r="F2512" s="1662">
        <v>0</v>
      </c>
      <c r="G2512" s="903"/>
    </row>
    <row r="2513" spans="1:7" ht="15" customHeight="1" x14ac:dyDescent="0.25">
      <c r="A2513" s="2352" t="s">
        <v>14357</v>
      </c>
      <c r="B2513" s="2352" t="s">
        <v>7498</v>
      </c>
      <c r="C2513" s="2352" t="s">
        <v>7498</v>
      </c>
      <c r="D2513" s="2352" t="s">
        <v>7606</v>
      </c>
      <c r="E2513" s="355">
        <v>63</v>
      </c>
      <c r="F2513" s="1662">
        <v>12</v>
      </c>
      <c r="G2513" s="903"/>
    </row>
    <row r="2514" spans="1:7" ht="15" customHeight="1" x14ac:dyDescent="0.25">
      <c r="A2514" s="2352" t="s">
        <v>4335</v>
      </c>
      <c r="B2514" s="2352" t="s">
        <v>7498</v>
      </c>
      <c r="C2514" s="2352" t="s">
        <v>7498</v>
      </c>
      <c r="D2514" s="2352" t="s">
        <v>7607</v>
      </c>
      <c r="E2514" s="355">
        <v>160</v>
      </c>
      <c r="F2514" s="1662">
        <v>94</v>
      </c>
      <c r="G2514" s="903"/>
    </row>
    <row r="2515" spans="1:7" ht="15" customHeight="1" x14ac:dyDescent="0.25">
      <c r="A2515" s="2352" t="s">
        <v>4335</v>
      </c>
      <c r="B2515" s="2352" t="s">
        <v>7498</v>
      </c>
      <c r="C2515" s="2352" t="s">
        <v>7498</v>
      </c>
      <c r="D2515" s="2352" t="s">
        <v>7608</v>
      </c>
      <c r="E2515" s="355">
        <v>250</v>
      </c>
      <c r="F2515" s="1662">
        <v>103</v>
      </c>
      <c r="G2515" s="903"/>
    </row>
    <row r="2516" spans="1:7" ht="15" customHeight="1" x14ac:dyDescent="0.25">
      <c r="A2516" s="2352" t="s">
        <v>4335</v>
      </c>
      <c r="B2516" s="2352" t="s">
        <v>7498</v>
      </c>
      <c r="C2516" s="2352" t="s">
        <v>7498</v>
      </c>
      <c r="D2516" s="2352" t="s">
        <v>7609</v>
      </c>
      <c r="E2516" s="355">
        <v>250</v>
      </c>
      <c r="F2516" s="1662">
        <v>129</v>
      </c>
      <c r="G2516" s="903"/>
    </row>
    <row r="2517" spans="1:7" ht="15" customHeight="1" x14ac:dyDescent="0.25">
      <c r="A2517" s="2352" t="s">
        <v>7610</v>
      </c>
      <c r="B2517" s="2352" t="s">
        <v>7498</v>
      </c>
      <c r="C2517" s="2352" t="s">
        <v>7498</v>
      </c>
      <c r="D2517" s="2352" t="s">
        <v>7611</v>
      </c>
      <c r="E2517" s="355">
        <v>30</v>
      </c>
      <c r="F2517" s="1662">
        <v>4</v>
      </c>
      <c r="G2517" s="903"/>
    </row>
    <row r="2518" spans="1:7" ht="15" customHeight="1" x14ac:dyDescent="0.25">
      <c r="A2518" s="2352" t="s">
        <v>4335</v>
      </c>
      <c r="B2518" s="2352" t="s">
        <v>7498</v>
      </c>
      <c r="C2518" s="2352" t="s">
        <v>7498</v>
      </c>
      <c r="D2518" s="2352" t="s">
        <v>7612</v>
      </c>
      <c r="E2518" s="355">
        <v>63</v>
      </c>
      <c r="F2518" s="1662">
        <v>23</v>
      </c>
      <c r="G2518" s="903"/>
    </row>
    <row r="2519" spans="1:7" ht="15" customHeight="1" x14ac:dyDescent="0.25">
      <c r="A2519" s="2352" t="s">
        <v>14358</v>
      </c>
      <c r="B2519" s="2352" t="s">
        <v>7498</v>
      </c>
      <c r="C2519" s="2352" t="s">
        <v>7498</v>
      </c>
      <c r="D2519" s="2352" t="s">
        <v>7613</v>
      </c>
      <c r="E2519" s="355">
        <v>160</v>
      </c>
      <c r="F2519" s="1662">
        <v>79</v>
      </c>
      <c r="G2519" s="903"/>
    </row>
    <row r="2520" spans="1:7" ht="15" customHeight="1" x14ac:dyDescent="0.25">
      <c r="A2520" s="2352" t="s">
        <v>7614</v>
      </c>
      <c r="B2520" s="2352" t="s">
        <v>7498</v>
      </c>
      <c r="C2520" s="2352" t="s">
        <v>7498</v>
      </c>
      <c r="D2520" s="2352" t="s">
        <v>7615</v>
      </c>
      <c r="E2520" s="355">
        <v>400</v>
      </c>
      <c r="F2520" s="1662">
        <v>197</v>
      </c>
      <c r="G2520" s="903"/>
    </row>
    <row r="2521" spans="1:7" ht="15" customHeight="1" x14ac:dyDescent="0.25">
      <c r="A2521" s="2352" t="s">
        <v>14359</v>
      </c>
      <c r="B2521" s="2352" t="s">
        <v>7498</v>
      </c>
      <c r="C2521" s="2352" t="s">
        <v>7498</v>
      </c>
      <c r="D2521" s="2352" t="s">
        <v>7616</v>
      </c>
      <c r="E2521" s="355">
        <v>60</v>
      </c>
      <c r="F2521" s="1662">
        <v>0</v>
      </c>
      <c r="G2521" s="903"/>
    </row>
    <row r="2522" spans="1:7" ht="15" customHeight="1" x14ac:dyDescent="0.25">
      <c r="A2522" s="2352" t="s">
        <v>4335</v>
      </c>
      <c r="B2522" s="2352" t="s">
        <v>7498</v>
      </c>
      <c r="C2522" s="2352" t="s">
        <v>7498</v>
      </c>
      <c r="D2522" s="2352" t="s">
        <v>7617</v>
      </c>
      <c r="E2522" s="355">
        <v>160</v>
      </c>
      <c r="F2522" s="1662">
        <v>54</v>
      </c>
      <c r="G2522" s="903"/>
    </row>
    <row r="2523" spans="1:7" ht="15" customHeight="1" x14ac:dyDescent="0.25">
      <c r="A2523" s="2352" t="s">
        <v>6575</v>
      </c>
      <c r="B2523" s="2352" t="s">
        <v>7498</v>
      </c>
      <c r="C2523" s="2352" t="s">
        <v>7498</v>
      </c>
      <c r="D2523" s="2352" t="s">
        <v>7618</v>
      </c>
      <c r="E2523" s="355">
        <v>100</v>
      </c>
      <c r="F2523" s="1662">
        <v>22</v>
      </c>
      <c r="G2523" s="903"/>
    </row>
    <row r="2524" spans="1:7" ht="15" customHeight="1" x14ac:dyDescent="0.25">
      <c r="A2524" s="2352" t="s">
        <v>7619</v>
      </c>
      <c r="B2524" s="2352" t="s">
        <v>7498</v>
      </c>
      <c r="C2524" s="2352" t="s">
        <v>7498</v>
      </c>
      <c r="D2524" s="2352" t="s">
        <v>7620</v>
      </c>
      <c r="E2524" s="355">
        <v>100</v>
      </c>
      <c r="F2524" s="1662">
        <v>0</v>
      </c>
      <c r="G2524" s="903"/>
    </row>
    <row r="2525" spans="1:7" ht="15" customHeight="1" x14ac:dyDescent="0.25">
      <c r="A2525" s="2352" t="s">
        <v>7621</v>
      </c>
      <c r="B2525" s="2352" t="s">
        <v>7498</v>
      </c>
      <c r="C2525" s="2352" t="s">
        <v>7498</v>
      </c>
      <c r="D2525" s="2352" t="s">
        <v>7622</v>
      </c>
      <c r="E2525" s="355">
        <v>100</v>
      </c>
      <c r="F2525" s="1662">
        <v>11</v>
      </c>
      <c r="G2525" s="903"/>
    </row>
    <row r="2526" spans="1:7" ht="15" customHeight="1" x14ac:dyDescent="0.25">
      <c r="A2526" s="2352" t="s">
        <v>7623</v>
      </c>
      <c r="B2526" s="2352" t="s">
        <v>7498</v>
      </c>
      <c r="C2526" s="2352" t="s">
        <v>7498</v>
      </c>
      <c r="D2526" s="2352" t="s">
        <v>7624</v>
      </c>
      <c r="E2526" s="355">
        <v>60</v>
      </c>
      <c r="F2526" s="1662">
        <v>2</v>
      </c>
      <c r="G2526" s="903"/>
    </row>
    <row r="2527" spans="1:7" ht="15" customHeight="1" x14ac:dyDescent="0.25">
      <c r="A2527" s="2352" t="s">
        <v>4391</v>
      </c>
      <c r="B2527" s="2352" t="s">
        <v>7498</v>
      </c>
      <c r="C2527" s="2352" t="s">
        <v>7498</v>
      </c>
      <c r="D2527" s="2352" t="s">
        <v>7625</v>
      </c>
      <c r="E2527" s="355">
        <v>63</v>
      </c>
      <c r="F2527" s="1662">
        <v>1</v>
      </c>
      <c r="G2527" s="903"/>
    </row>
    <row r="2528" spans="1:7" ht="15" customHeight="1" x14ac:dyDescent="0.25">
      <c r="A2528" s="2352" t="s">
        <v>4335</v>
      </c>
      <c r="B2528" s="2352" t="s">
        <v>7498</v>
      </c>
      <c r="C2528" s="2352" t="s">
        <v>7498</v>
      </c>
      <c r="D2528" s="2352" t="s">
        <v>7626</v>
      </c>
      <c r="E2528" s="355">
        <v>63</v>
      </c>
      <c r="F2528" s="1662">
        <v>4</v>
      </c>
      <c r="G2528" s="903"/>
    </row>
    <row r="2529" spans="1:7" ht="15" customHeight="1" x14ac:dyDescent="0.25">
      <c r="A2529" s="2352" t="s">
        <v>7627</v>
      </c>
      <c r="B2529" s="2352" t="s">
        <v>7498</v>
      </c>
      <c r="C2529" s="2352" t="s">
        <v>7498</v>
      </c>
      <c r="D2529" s="2352" t="s">
        <v>7628</v>
      </c>
      <c r="E2529" s="355">
        <v>100</v>
      </c>
      <c r="F2529" s="1662">
        <v>44</v>
      </c>
      <c r="G2529" s="903"/>
    </row>
    <row r="2530" spans="1:7" ht="15" customHeight="1" x14ac:dyDescent="0.25">
      <c r="A2530" s="2352" t="s">
        <v>7629</v>
      </c>
      <c r="B2530" s="2352" t="s">
        <v>7498</v>
      </c>
      <c r="C2530" s="2352" t="s">
        <v>7498</v>
      </c>
      <c r="D2530" s="2352" t="s">
        <v>7630</v>
      </c>
      <c r="E2530" s="355">
        <v>60</v>
      </c>
      <c r="F2530" s="1662">
        <v>0</v>
      </c>
      <c r="G2530" s="903"/>
    </row>
    <row r="2531" spans="1:7" ht="15" customHeight="1" x14ac:dyDescent="0.25">
      <c r="A2531" s="2352" t="s">
        <v>7491</v>
      </c>
      <c r="B2531" s="2352" t="s">
        <v>7498</v>
      </c>
      <c r="C2531" s="2352" t="s">
        <v>7498</v>
      </c>
      <c r="D2531" s="2352" t="s">
        <v>7631</v>
      </c>
      <c r="E2531" s="355">
        <v>60</v>
      </c>
      <c r="F2531" s="1662">
        <v>8</v>
      </c>
      <c r="G2531" s="903"/>
    </row>
    <row r="2532" spans="1:7" ht="15" customHeight="1" x14ac:dyDescent="0.25">
      <c r="A2532" s="2352" t="s">
        <v>7632</v>
      </c>
      <c r="B2532" s="2352" t="s">
        <v>7498</v>
      </c>
      <c r="C2532" s="2352" t="s">
        <v>7498</v>
      </c>
      <c r="D2532" s="2352" t="s">
        <v>7633</v>
      </c>
      <c r="E2532" s="355">
        <v>100</v>
      </c>
      <c r="F2532" s="1662">
        <v>31</v>
      </c>
      <c r="G2532" s="903"/>
    </row>
    <row r="2533" spans="1:7" ht="15" customHeight="1" x14ac:dyDescent="0.25">
      <c r="A2533" s="2352" t="s">
        <v>7566</v>
      </c>
      <c r="B2533" s="2352" t="s">
        <v>7498</v>
      </c>
      <c r="C2533" s="2352" t="s">
        <v>7498</v>
      </c>
      <c r="D2533" s="2352" t="s">
        <v>7634</v>
      </c>
      <c r="E2533" s="355">
        <v>250</v>
      </c>
      <c r="F2533" s="1662">
        <v>198</v>
      </c>
      <c r="G2533" s="903"/>
    </row>
    <row r="2534" spans="1:7" ht="15" customHeight="1" x14ac:dyDescent="0.25">
      <c r="A2534" s="2352" t="s">
        <v>7566</v>
      </c>
      <c r="B2534" s="2352" t="s">
        <v>7498</v>
      </c>
      <c r="C2534" s="2352" t="s">
        <v>7498</v>
      </c>
      <c r="D2534" s="2352" t="s">
        <v>7635</v>
      </c>
      <c r="E2534" s="355">
        <v>400</v>
      </c>
      <c r="F2534" s="1662">
        <v>207</v>
      </c>
      <c r="G2534" s="903"/>
    </row>
    <row r="2535" spans="1:7" ht="15" customHeight="1" x14ac:dyDescent="0.25">
      <c r="A2535" s="2352" t="s">
        <v>4622</v>
      </c>
      <c r="B2535" s="2352" t="s">
        <v>7498</v>
      </c>
      <c r="C2535" s="2352" t="s">
        <v>7498</v>
      </c>
      <c r="D2535" s="2352" t="s">
        <v>7636</v>
      </c>
      <c r="E2535" s="355">
        <v>100</v>
      </c>
      <c r="F2535" s="1662">
        <v>7</v>
      </c>
      <c r="G2535" s="903"/>
    </row>
    <row r="2536" spans="1:7" ht="15" customHeight="1" x14ac:dyDescent="0.25">
      <c r="A2536" s="2352" t="s">
        <v>7637</v>
      </c>
      <c r="B2536" s="2352" t="s">
        <v>7498</v>
      </c>
      <c r="C2536" s="2352" t="s">
        <v>7498</v>
      </c>
      <c r="D2536" s="2352" t="s">
        <v>7638</v>
      </c>
      <c r="E2536" s="355">
        <v>30</v>
      </c>
      <c r="F2536" s="1662">
        <v>1</v>
      </c>
      <c r="G2536" s="903"/>
    </row>
    <row r="2537" spans="1:7" ht="15" customHeight="1" x14ac:dyDescent="0.25">
      <c r="A2537" s="2352" t="s">
        <v>14360</v>
      </c>
      <c r="B2537" s="2352" t="s">
        <v>7498</v>
      </c>
      <c r="C2537" s="2352" t="s">
        <v>7498</v>
      </c>
      <c r="D2537" s="2352" t="s">
        <v>7639</v>
      </c>
      <c r="E2537" s="355">
        <v>63</v>
      </c>
      <c r="F2537" s="1662">
        <v>0</v>
      </c>
      <c r="G2537" s="903"/>
    </row>
    <row r="2538" spans="1:7" ht="15" customHeight="1" x14ac:dyDescent="0.25">
      <c r="A2538" s="2352" t="s">
        <v>7640</v>
      </c>
      <c r="B2538" s="2352" t="s">
        <v>7498</v>
      </c>
      <c r="C2538" s="2352" t="s">
        <v>7498</v>
      </c>
      <c r="D2538" s="2352" t="s">
        <v>7641</v>
      </c>
      <c r="E2538" s="355">
        <v>40</v>
      </c>
      <c r="F2538" s="1662">
        <v>1</v>
      </c>
      <c r="G2538" s="903"/>
    </row>
    <row r="2539" spans="1:7" ht="15" customHeight="1" x14ac:dyDescent="0.25">
      <c r="A2539" s="2352" t="s">
        <v>7566</v>
      </c>
      <c r="B2539" s="2352" t="s">
        <v>7498</v>
      </c>
      <c r="C2539" s="2352" t="s">
        <v>7498</v>
      </c>
      <c r="D2539" s="2352" t="s">
        <v>7642</v>
      </c>
      <c r="E2539" s="355">
        <v>160</v>
      </c>
      <c r="F2539" s="1662">
        <v>98</v>
      </c>
      <c r="G2539" s="903"/>
    </row>
    <row r="2540" spans="1:7" ht="15" customHeight="1" x14ac:dyDescent="0.25">
      <c r="A2540" s="2352" t="s">
        <v>7566</v>
      </c>
      <c r="B2540" s="2352" t="s">
        <v>7498</v>
      </c>
      <c r="C2540" s="2352" t="s">
        <v>7498</v>
      </c>
      <c r="D2540" s="2352" t="s">
        <v>7643</v>
      </c>
      <c r="E2540" s="355">
        <v>250</v>
      </c>
      <c r="F2540" s="1662">
        <v>219</v>
      </c>
      <c r="G2540" s="903"/>
    </row>
    <row r="2541" spans="1:7" ht="15" customHeight="1" x14ac:dyDescent="0.25">
      <c r="A2541" s="2352" t="s">
        <v>7644</v>
      </c>
      <c r="B2541" s="2352" t="s">
        <v>7498</v>
      </c>
      <c r="C2541" s="2352" t="s">
        <v>7498</v>
      </c>
      <c r="D2541" s="2352" t="s">
        <v>7645</v>
      </c>
      <c r="E2541" s="355">
        <v>40</v>
      </c>
      <c r="F2541" s="1662">
        <v>4</v>
      </c>
      <c r="G2541" s="903"/>
    </row>
    <row r="2542" spans="1:7" ht="15" customHeight="1" x14ac:dyDescent="0.25">
      <c r="A2542" s="2352" t="s">
        <v>14361</v>
      </c>
      <c r="B2542" s="2352" t="s">
        <v>7498</v>
      </c>
      <c r="C2542" s="2352" t="s">
        <v>7498</v>
      </c>
      <c r="D2542" s="2352" t="s">
        <v>7646</v>
      </c>
      <c r="E2542" s="355">
        <v>100</v>
      </c>
      <c r="F2542" s="1662">
        <v>45</v>
      </c>
      <c r="G2542" s="903"/>
    </row>
    <row r="2543" spans="1:7" ht="15" customHeight="1" x14ac:dyDescent="0.25">
      <c r="A2543" s="2352" t="s">
        <v>14362</v>
      </c>
      <c r="B2543" s="2352" t="s">
        <v>7498</v>
      </c>
      <c r="C2543" s="2352" t="s">
        <v>7498</v>
      </c>
      <c r="D2543" s="2352" t="s">
        <v>7647</v>
      </c>
      <c r="E2543" s="355">
        <v>100</v>
      </c>
      <c r="F2543" s="1662">
        <v>6</v>
      </c>
      <c r="G2543" s="903"/>
    </row>
    <row r="2544" spans="1:7" ht="15" customHeight="1" x14ac:dyDescent="0.25">
      <c r="A2544" s="2352" t="s">
        <v>14363</v>
      </c>
      <c r="B2544" s="2352" t="s">
        <v>7498</v>
      </c>
      <c r="C2544" s="2352" t="s">
        <v>7498</v>
      </c>
      <c r="D2544" s="2352" t="s">
        <v>7648</v>
      </c>
      <c r="E2544" s="355">
        <v>40</v>
      </c>
      <c r="F2544" s="1662">
        <v>0</v>
      </c>
      <c r="G2544" s="903"/>
    </row>
    <row r="2545" spans="1:7" ht="15" customHeight="1" x14ac:dyDescent="0.25">
      <c r="A2545" s="2352" t="s">
        <v>4413</v>
      </c>
      <c r="B2545" s="2352" t="s">
        <v>7498</v>
      </c>
      <c r="C2545" s="2352" t="s">
        <v>7498</v>
      </c>
      <c r="D2545" s="2352" t="s">
        <v>7649</v>
      </c>
      <c r="E2545" s="355">
        <v>100</v>
      </c>
      <c r="F2545" s="1662">
        <v>17</v>
      </c>
      <c r="G2545" s="903"/>
    </row>
    <row r="2546" spans="1:7" ht="15" customHeight="1" x14ac:dyDescent="0.25">
      <c r="A2546" s="2352" t="s">
        <v>4516</v>
      </c>
      <c r="B2546" s="2352" t="s">
        <v>7498</v>
      </c>
      <c r="C2546" s="2352" t="s">
        <v>7498</v>
      </c>
      <c r="D2546" s="2352" t="s">
        <v>7650</v>
      </c>
      <c r="E2546" s="355">
        <v>100</v>
      </c>
      <c r="F2546" s="1662">
        <v>7</v>
      </c>
      <c r="G2546" s="903"/>
    </row>
    <row r="2547" spans="1:7" ht="15" customHeight="1" x14ac:dyDescent="0.25">
      <c r="A2547" s="2352" t="s">
        <v>7651</v>
      </c>
      <c r="B2547" s="2352" t="s">
        <v>7498</v>
      </c>
      <c r="C2547" s="2352" t="s">
        <v>7498</v>
      </c>
      <c r="D2547" s="2352" t="s">
        <v>7652</v>
      </c>
      <c r="E2547" s="355">
        <v>40</v>
      </c>
      <c r="F2547" s="1662">
        <v>8</v>
      </c>
      <c r="G2547" s="903"/>
    </row>
    <row r="2548" spans="1:7" ht="15" customHeight="1" x14ac:dyDescent="0.25">
      <c r="A2548" s="2352" t="s">
        <v>7653</v>
      </c>
      <c r="B2548" s="2352" t="s">
        <v>7498</v>
      </c>
      <c r="C2548" s="2352" t="s">
        <v>7498</v>
      </c>
      <c r="D2548" s="2352" t="s">
        <v>7654</v>
      </c>
      <c r="E2548" s="355">
        <v>30</v>
      </c>
      <c r="F2548" s="1662">
        <v>2</v>
      </c>
      <c r="G2548" s="903"/>
    </row>
    <row r="2549" spans="1:7" ht="15" customHeight="1" x14ac:dyDescent="0.25">
      <c r="A2549" s="2352" t="s">
        <v>7655</v>
      </c>
      <c r="B2549" s="2352" t="s">
        <v>7498</v>
      </c>
      <c r="C2549" s="2352" t="s">
        <v>7498</v>
      </c>
      <c r="D2549" s="2352" t="s">
        <v>7656</v>
      </c>
      <c r="E2549" s="355">
        <v>100</v>
      </c>
      <c r="F2549" s="1662">
        <v>26</v>
      </c>
      <c r="G2549" s="903"/>
    </row>
    <row r="2550" spans="1:7" ht="15" customHeight="1" x14ac:dyDescent="0.25">
      <c r="A2550" s="2352" t="s">
        <v>7657</v>
      </c>
      <c r="B2550" s="2352" t="s">
        <v>7498</v>
      </c>
      <c r="C2550" s="2352" t="s">
        <v>7498</v>
      </c>
      <c r="D2550" s="2352" t="s">
        <v>7658</v>
      </c>
      <c r="E2550" s="355">
        <v>100</v>
      </c>
      <c r="F2550" s="1662">
        <v>3</v>
      </c>
      <c r="G2550" s="903"/>
    </row>
    <row r="2551" spans="1:7" ht="15" customHeight="1" x14ac:dyDescent="0.25">
      <c r="A2551" s="2352" t="s">
        <v>14364</v>
      </c>
      <c r="B2551" s="2352" t="s">
        <v>7498</v>
      </c>
      <c r="C2551" s="2352" t="s">
        <v>7498</v>
      </c>
      <c r="D2551" s="2352" t="s">
        <v>7659</v>
      </c>
      <c r="E2551" s="355">
        <v>100</v>
      </c>
      <c r="F2551" s="1662">
        <v>0</v>
      </c>
      <c r="G2551" s="903"/>
    </row>
    <row r="2552" spans="1:7" ht="15" customHeight="1" x14ac:dyDescent="0.25">
      <c r="A2552" s="2352" t="s">
        <v>7660</v>
      </c>
      <c r="B2552" s="2352" t="s">
        <v>7498</v>
      </c>
      <c r="C2552" s="2352" t="s">
        <v>7498</v>
      </c>
      <c r="D2552" s="2352" t="s">
        <v>7661</v>
      </c>
      <c r="E2552" s="355">
        <v>160</v>
      </c>
      <c r="F2552" s="1662">
        <v>102</v>
      </c>
      <c r="G2552" s="903"/>
    </row>
    <row r="2553" spans="1:7" ht="15" customHeight="1" x14ac:dyDescent="0.25">
      <c r="A2553" s="2352" t="s">
        <v>7660</v>
      </c>
      <c r="B2553" s="2352" t="s">
        <v>7498</v>
      </c>
      <c r="C2553" s="2352" t="s">
        <v>7498</v>
      </c>
      <c r="D2553" s="2352" t="s">
        <v>7662</v>
      </c>
      <c r="E2553" s="355">
        <v>400</v>
      </c>
      <c r="F2553" s="1662">
        <v>205</v>
      </c>
      <c r="G2553" s="903"/>
    </row>
    <row r="2554" spans="1:7" ht="15" customHeight="1" x14ac:dyDescent="0.25">
      <c r="A2554" s="2352" t="s">
        <v>7663</v>
      </c>
      <c r="B2554" s="2352" t="s">
        <v>7498</v>
      </c>
      <c r="C2554" s="2352" t="s">
        <v>7498</v>
      </c>
      <c r="D2554" s="2352" t="s">
        <v>7664</v>
      </c>
      <c r="E2554" s="355">
        <v>100</v>
      </c>
      <c r="F2554" s="1662">
        <v>0</v>
      </c>
      <c r="G2554" s="903"/>
    </row>
    <row r="2555" spans="1:7" ht="15" customHeight="1" x14ac:dyDescent="0.25">
      <c r="A2555" s="2352" t="s">
        <v>7665</v>
      </c>
      <c r="B2555" s="2352" t="s">
        <v>7498</v>
      </c>
      <c r="C2555" s="2352" t="s">
        <v>7498</v>
      </c>
      <c r="D2555" s="2352" t="s">
        <v>7666</v>
      </c>
      <c r="E2555" s="355">
        <v>60</v>
      </c>
      <c r="F2555" s="1662">
        <v>2</v>
      </c>
      <c r="G2555" s="903"/>
    </row>
    <row r="2556" spans="1:7" ht="15" customHeight="1" x14ac:dyDescent="0.25">
      <c r="A2556" s="2352" t="s">
        <v>7667</v>
      </c>
      <c r="B2556" s="2352" t="s">
        <v>7498</v>
      </c>
      <c r="C2556" s="2352" t="s">
        <v>7498</v>
      </c>
      <c r="D2556" s="2352" t="s">
        <v>7668</v>
      </c>
      <c r="E2556" s="355">
        <v>30</v>
      </c>
      <c r="F2556" s="1662">
        <v>9</v>
      </c>
      <c r="G2556" s="903"/>
    </row>
    <row r="2557" spans="1:7" ht="15" customHeight="1" x14ac:dyDescent="0.25">
      <c r="A2557" s="2352" t="s">
        <v>7669</v>
      </c>
      <c r="B2557" s="2352" t="s">
        <v>7498</v>
      </c>
      <c r="C2557" s="2352" t="s">
        <v>7498</v>
      </c>
      <c r="D2557" s="2352" t="s">
        <v>7670</v>
      </c>
      <c r="E2557" s="355">
        <v>250</v>
      </c>
      <c r="F2557" s="1662">
        <v>121</v>
      </c>
      <c r="G2557" s="903"/>
    </row>
    <row r="2558" spans="1:7" ht="15" customHeight="1" x14ac:dyDescent="0.25">
      <c r="A2558" s="2352" t="s">
        <v>7669</v>
      </c>
      <c r="B2558" s="2352" t="s">
        <v>7498</v>
      </c>
      <c r="C2558" s="2352" t="s">
        <v>7498</v>
      </c>
      <c r="D2558" s="2352" t="s">
        <v>7671</v>
      </c>
      <c r="E2558" s="355">
        <v>250</v>
      </c>
      <c r="F2558" s="1662">
        <v>221</v>
      </c>
      <c r="G2558" s="903"/>
    </row>
    <row r="2559" spans="1:7" ht="15" customHeight="1" x14ac:dyDescent="0.25">
      <c r="A2559" s="2352" t="s">
        <v>7672</v>
      </c>
      <c r="B2559" s="2352" t="s">
        <v>7498</v>
      </c>
      <c r="C2559" s="2352" t="s">
        <v>7498</v>
      </c>
      <c r="D2559" s="2352" t="s">
        <v>7673</v>
      </c>
      <c r="E2559" s="355">
        <v>40</v>
      </c>
      <c r="F2559" s="1662">
        <v>7</v>
      </c>
      <c r="G2559" s="903"/>
    </row>
    <row r="2560" spans="1:7" ht="15" customHeight="1" x14ac:dyDescent="0.25">
      <c r="A2560" s="2352" t="s">
        <v>7660</v>
      </c>
      <c r="B2560" s="2352" t="s">
        <v>7498</v>
      </c>
      <c r="C2560" s="2352" t="s">
        <v>7498</v>
      </c>
      <c r="D2560" s="2352" t="s">
        <v>7674</v>
      </c>
      <c r="E2560" s="355">
        <v>800</v>
      </c>
      <c r="F2560" s="1662">
        <v>532</v>
      </c>
      <c r="G2560" s="903"/>
    </row>
    <row r="2561" spans="1:7" ht="15" customHeight="1" x14ac:dyDescent="0.25">
      <c r="A2561" s="2352" t="s">
        <v>7657</v>
      </c>
      <c r="B2561" s="2352" t="s">
        <v>7498</v>
      </c>
      <c r="C2561" s="2352" t="s">
        <v>7498</v>
      </c>
      <c r="D2561" s="2352" t="s">
        <v>7675</v>
      </c>
      <c r="E2561" s="355">
        <v>100</v>
      </c>
      <c r="F2561" s="1662">
        <v>45</v>
      </c>
      <c r="G2561" s="903"/>
    </row>
    <row r="2562" spans="1:7" ht="15" customHeight="1" x14ac:dyDescent="0.25">
      <c r="A2562" s="2352" t="s">
        <v>7660</v>
      </c>
      <c r="B2562" s="2352" t="s">
        <v>7498</v>
      </c>
      <c r="C2562" s="2352" t="s">
        <v>7498</v>
      </c>
      <c r="D2562" s="2352" t="s">
        <v>7676</v>
      </c>
      <c r="E2562" s="355">
        <v>250</v>
      </c>
      <c r="F2562" s="1662">
        <v>232</v>
      </c>
      <c r="G2562" s="903"/>
    </row>
    <row r="2563" spans="1:7" ht="15" customHeight="1" x14ac:dyDescent="0.25">
      <c r="A2563" s="2352" t="s">
        <v>14365</v>
      </c>
      <c r="B2563" s="2352" t="s">
        <v>7498</v>
      </c>
      <c r="C2563" s="2352" t="s">
        <v>7498</v>
      </c>
      <c r="D2563" s="2352" t="s">
        <v>7677</v>
      </c>
      <c r="E2563" s="355">
        <v>100</v>
      </c>
      <c r="F2563" s="1662">
        <v>3</v>
      </c>
      <c r="G2563" s="903"/>
    </row>
    <row r="2564" spans="1:7" ht="15" customHeight="1" x14ac:dyDescent="0.25">
      <c r="A2564" s="2352" t="s">
        <v>7566</v>
      </c>
      <c r="B2564" s="2352" t="s">
        <v>7498</v>
      </c>
      <c r="C2564" s="2352" t="s">
        <v>7498</v>
      </c>
      <c r="D2564" s="2352" t="s">
        <v>7678</v>
      </c>
      <c r="E2564" s="355">
        <v>400</v>
      </c>
      <c r="F2564" s="1662">
        <v>233</v>
      </c>
      <c r="G2564" s="903"/>
    </row>
    <row r="2565" spans="1:7" ht="15" customHeight="1" x14ac:dyDescent="0.25">
      <c r="A2565" s="2352" t="s">
        <v>7679</v>
      </c>
      <c r="B2565" s="2352" t="s">
        <v>7498</v>
      </c>
      <c r="C2565" s="2352" t="s">
        <v>7498</v>
      </c>
      <c r="D2565" s="2352" t="s">
        <v>7680</v>
      </c>
      <c r="E2565" s="355">
        <v>63</v>
      </c>
      <c r="F2565" s="1662">
        <v>2</v>
      </c>
      <c r="G2565" s="903"/>
    </row>
    <row r="2566" spans="1:7" ht="15" customHeight="1" x14ac:dyDescent="0.25">
      <c r="A2566" s="2352" t="s">
        <v>7681</v>
      </c>
      <c r="B2566" s="2352" t="s">
        <v>7498</v>
      </c>
      <c r="C2566" s="2352" t="s">
        <v>7498</v>
      </c>
      <c r="D2566" s="2352" t="s">
        <v>7682</v>
      </c>
      <c r="E2566" s="355">
        <v>63</v>
      </c>
      <c r="F2566" s="1662">
        <v>9</v>
      </c>
      <c r="G2566" s="903"/>
    </row>
    <row r="2567" spans="1:7" ht="15" customHeight="1" x14ac:dyDescent="0.25">
      <c r="A2567" s="2352" t="s">
        <v>4059</v>
      </c>
      <c r="B2567" s="2352" t="s">
        <v>7498</v>
      </c>
      <c r="C2567" s="2352" t="s">
        <v>7498</v>
      </c>
      <c r="D2567" s="2352" t="s">
        <v>7683</v>
      </c>
      <c r="E2567" s="355">
        <v>63</v>
      </c>
      <c r="F2567" s="1662">
        <v>23</v>
      </c>
      <c r="G2567" s="903"/>
    </row>
    <row r="2568" spans="1:7" ht="15" customHeight="1" x14ac:dyDescent="0.25">
      <c r="A2568" s="2352" t="s">
        <v>7684</v>
      </c>
      <c r="B2568" s="2352" t="s">
        <v>7498</v>
      </c>
      <c r="C2568" s="2352" t="s">
        <v>7498</v>
      </c>
      <c r="D2568" s="2352" t="s">
        <v>7685</v>
      </c>
      <c r="E2568" s="355">
        <v>63</v>
      </c>
      <c r="F2568" s="1662">
        <v>2</v>
      </c>
      <c r="G2568" s="903"/>
    </row>
    <row r="2569" spans="1:7" ht="15" customHeight="1" x14ac:dyDescent="0.25">
      <c r="A2569" s="2352" t="s">
        <v>7686</v>
      </c>
      <c r="B2569" s="2352" t="s">
        <v>7498</v>
      </c>
      <c r="C2569" s="2352" t="s">
        <v>7498</v>
      </c>
      <c r="D2569" s="2352" t="s">
        <v>7687</v>
      </c>
      <c r="E2569" s="355">
        <v>63</v>
      </c>
      <c r="F2569" s="1662">
        <v>8</v>
      </c>
      <c r="G2569" s="903"/>
    </row>
    <row r="2570" spans="1:7" ht="15" customHeight="1" x14ac:dyDescent="0.25">
      <c r="A2570" s="2352" t="s">
        <v>7688</v>
      </c>
      <c r="B2570" s="2352" t="s">
        <v>7498</v>
      </c>
      <c r="C2570" s="2352" t="s">
        <v>7498</v>
      </c>
      <c r="D2570" s="2352" t="s">
        <v>7689</v>
      </c>
      <c r="E2570" s="355">
        <v>40</v>
      </c>
      <c r="F2570" s="1662">
        <v>12</v>
      </c>
      <c r="G2570" s="903"/>
    </row>
    <row r="2571" spans="1:7" ht="15" customHeight="1" x14ac:dyDescent="0.25">
      <c r="A2571" s="2352" t="s">
        <v>7690</v>
      </c>
      <c r="B2571" s="2352" t="s">
        <v>7498</v>
      </c>
      <c r="C2571" s="2352" t="s">
        <v>7498</v>
      </c>
      <c r="D2571" s="2352" t="s">
        <v>7691</v>
      </c>
      <c r="E2571" s="355">
        <v>100</v>
      </c>
      <c r="F2571" s="1662">
        <v>43</v>
      </c>
      <c r="G2571" s="903"/>
    </row>
    <row r="2572" spans="1:7" ht="15" customHeight="1" x14ac:dyDescent="0.25">
      <c r="A2572" s="2352" t="s">
        <v>7692</v>
      </c>
      <c r="B2572" s="2352" t="s">
        <v>7498</v>
      </c>
      <c r="C2572" s="2352" t="s">
        <v>7498</v>
      </c>
      <c r="D2572" s="2352" t="s">
        <v>7693</v>
      </c>
      <c r="E2572" s="355">
        <v>160</v>
      </c>
      <c r="F2572" s="1662">
        <v>88</v>
      </c>
      <c r="G2572" s="903"/>
    </row>
    <row r="2573" spans="1:7" ht="15" customHeight="1" x14ac:dyDescent="0.25">
      <c r="A2573" s="2352" t="s">
        <v>7660</v>
      </c>
      <c r="B2573" s="2352" t="s">
        <v>7498</v>
      </c>
      <c r="C2573" s="2352" t="s">
        <v>7498</v>
      </c>
      <c r="D2573" s="2352" t="s">
        <v>7694</v>
      </c>
      <c r="E2573" s="355">
        <v>250</v>
      </c>
      <c r="F2573" s="1662">
        <v>55</v>
      </c>
      <c r="G2573" s="903"/>
    </row>
    <row r="2574" spans="1:7" ht="15" customHeight="1" x14ac:dyDescent="0.25">
      <c r="A2574" s="2352" t="s">
        <v>7660</v>
      </c>
      <c r="B2574" s="2352" t="s">
        <v>7498</v>
      </c>
      <c r="C2574" s="2352" t="s">
        <v>7498</v>
      </c>
      <c r="D2574" s="2352" t="s">
        <v>7695</v>
      </c>
      <c r="E2574" s="355">
        <v>100</v>
      </c>
      <c r="F2574" s="1662">
        <v>78</v>
      </c>
      <c r="G2574" s="903"/>
    </row>
    <row r="2575" spans="1:7" ht="15" customHeight="1" x14ac:dyDescent="0.25">
      <c r="A2575" s="2352" t="s">
        <v>7566</v>
      </c>
      <c r="B2575" s="2352" t="s">
        <v>7498</v>
      </c>
      <c r="C2575" s="2352" t="s">
        <v>7498</v>
      </c>
      <c r="D2575" s="2352" t="s">
        <v>7696</v>
      </c>
      <c r="E2575" s="355">
        <v>250</v>
      </c>
      <c r="F2575" s="1662">
        <v>8</v>
      </c>
      <c r="G2575" s="903"/>
    </row>
    <row r="2576" spans="1:7" ht="15" customHeight="1" x14ac:dyDescent="0.25">
      <c r="A2576" s="2352" t="s">
        <v>14366</v>
      </c>
      <c r="B2576" s="2352" t="s">
        <v>7498</v>
      </c>
      <c r="C2576" s="2352" t="s">
        <v>7498</v>
      </c>
      <c r="D2576" s="2352" t="s">
        <v>7697</v>
      </c>
      <c r="E2576" s="355">
        <v>63</v>
      </c>
      <c r="F2576" s="1662">
        <v>5</v>
      </c>
      <c r="G2576" s="903"/>
    </row>
    <row r="2577" spans="1:7" ht="15" customHeight="1" x14ac:dyDescent="0.25">
      <c r="A2577" s="2352" t="s">
        <v>14367</v>
      </c>
      <c r="B2577" s="2352" t="s">
        <v>7498</v>
      </c>
      <c r="C2577" s="2352" t="s">
        <v>7498</v>
      </c>
      <c r="D2577" s="2352" t="s">
        <v>7698</v>
      </c>
      <c r="E2577" s="355">
        <v>160</v>
      </c>
      <c r="F2577" s="1662">
        <v>0</v>
      </c>
      <c r="G2577" s="903"/>
    </row>
    <row r="2578" spans="1:7" ht="15" customHeight="1" x14ac:dyDescent="0.25">
      <c r="A2578" s="2352" t="s">
        <v>7699</v>
      </c>
      <c r="B2578" s="2352" t="s">
        <v>7498</v>
      </c>
      <c r="C2578" s="2352" t="s">
        <v>7498</v>
      </c>
      <c r="D2578" s="2352" t="s">
        <v>7700</v>
      </c>
      <c r="E2578" s="355">
        <v>60</v>
      </c>
      <c r="F2578" s="1662">
        <v>0</v>
      </c>
      <c r="G2578" s="903"/>
    </row>
    <row r="2579" spans="1:7" ht="15" customHeight="1" x14ac:dyDescent="0.25">
      <c r="A2579" s="2352" t="s">
        <v>7699</v>
      </c>
      <c r="B2579" s="2352" t="s">
        <v>7498</v>
      </c>
      <c r="C2579" s="2352" t="s">
        <v>7498</v>
      </c>
      <c r="D2579" s="2352" t="s">
        <v>7701</v>
      </c>
      <c r="E2579" s="355">
        <v>250</v>
      </c>
      <c r="F2579" s="1662">
        <v>122</v>
      </c>
      <c r="G2579" s="903"/>
    </row>
    <row r="2580" spans="1:7" ht="15" customHeight="1" x14ac:dyDescent="0.25">
      <c r="A2580" s="2352" t="s">
        <v>7702</v>
      </c>
      <c r="B2580" s="2352" t="s">
        <v>7498</v>
      </c>
      <c r="C2580" s="2352" t="s">
        <v>7498</v>
      </c>
      <c r="D2580" s="2352" t="s">
        <v>7703</v>
      </c>
      <c r="E2580" s="355">
        <v>100</v>
      </c>
      <c r="F2580" s="1662">
        <v>0</v>
      </c>
      <c r="G2580" s="903"/>
    </row>
    <row r="2581" spans="1:7" ht="15" customHeight="1" x14ac:dyDescent="0.25">
      <c r="A2581" s="2352" t="s">
        <v>7704</v>
      </c>
      <c r="B2581" s="2352" t="s">
        <v>7498</v>
      </c>
      <c r="C2581" s="2352" t="s">
        <v>7498</v>
      </c>
      <c r="D2581" s="2352" t="s">
        <v>7705</v>
      </c>
      <c r="E2581" s="355">
        <v>100</v>
      </c>
      <c r="F2581" s="1662">
        <v>1</v>
      </c>
      <c r="G2581" s="903"/>
    </row>
    <row r="2582" spans="1:7" ht="15" customHeight="1" x14ac:dyDescent="0.25">
      <c r="A2582" s="2352" t="s">
        <v>7566</v>
      </c>
      <c r="B2582" s="2352" t="s">
        <v>7498</v>
      </c>
      <c r="C2582" s="2352" t="s">
        <v>7498</v>
      </c>
      <c r="D2582" s="2352" t="s">
        <v>7706</v>
      </c>
      <c r="E2582" s="355">
        <v>100</v>
      </c>
      <c r="F2582" s="1662">
        <v>36</v>
      </c>
      <c r="G2582" s="903"/>
    </row>
    <row r="2583" spans="1:7" ht="15" customHeight="1" x14ac:dyDescent="0.25">
      <c r="A2583" s="2352" t="s">
        <v>7707</v>
      </c>
      <c r="B2583" s="2352" t="s">
        <v>7498</v>
      </c>
      <c r="C2583" s="2352" t="s">
        <v>7498</v>
      </c>
      <c r="D2583" s="2352" t="s">
        <v>7708</v>
      </c>
      <c r="E2583" s="355">
        <v>100</v>
      </c>
      <c r="F2583" s="1662">
        <v>21</v>
      </c>
      <c r="G2583" s="903"/>
    </row>
    <row r="2584" spans="1:7" ht="15" customHeight="1" x14ac:dyDescent="0.25">
      <c r="A2584" s="2352" t="s">
        <v>7707</v>
      </c>
      <c r="B2584" s="2352" t="s">
        <v>7498</v>
      </c>
      <c r="C2584" s="2352" t="s">
        <v>7498</v>
      </c>
      <c r="D2584" s="2352" t="s">
        <v>7709</v>
      </c>
      <c r="E2584" s="355">
        <v>63</v>
      </c>
      <c r="F2584" s="1662">
        <v>12</v>
      </c>
      <c r="G2584" s="903"/>
    </row>
    <row r="2585" spans="1:7" ht="15" customHeight="1" x14ac:dyDescent="0.25">
      <c r="A2585" s="2352" t="s">
        <v>7707</v>
      </c>
      <c r="B2585" s="2352" t="s">
        <v>7498</v>
      </c>
      <c r="C2585" s="2352" t="s">
        <v>7498</v>
      </c>
      <c r="D2585" s="2352" t="s">
        <v>7710</v>
      </c>
      <c r="E2585" s="355">
        <v>160</v>
      </c>
      <c r="F2585" s="1662">
        <v>35</v>
      </c>
      <c r="G2585" s="903"/>
    </row>
    <row r="2586" spans="1:7" ht="15" customHeight="1" x14ac:dyDescent="0.25">
      <c r="A2586" s="2352" t="s">
        <v>7707</v>
      </c>
      <c r="B2586" s="2352" t="s">
        <v>7498</v>
      </c>
      <c r="C2586" s="2352" t="s">
        <v>7498</v>
      </c>
      <c r="D2586" s="2352" t="s">
        <v>7711</v>
      </c>
      <c r="E2586" s="355">
        <v>100</v>
      </c>
      <c r="F2586" s="1662">
        <v>25</v>
      </c>
      <c r="G2586" s="903"/>
    </row>
    <row r="2587" spans="1:7" ht="15" customHeight="1" x14ac:dyDescent="0.25">
      <c r="A2587" s="2352" t="s">
        <v>7707</v>
      </c>
      <c r="B2587" s="2352" t="s">
        <v>7498</v>
      </c>
      <c r="C2587" s="2352" t="s">
        <v>7498</v>
      </c>
      <c r="D2587" s="2352" t="s">
        <v>7712</v>
      </c>
      <c r="E2587" s="355" t="s">
        <v>8004</v>
      </c>
      <c r="F2587" s="1662">
        <v>593</v>
      </c>
      <c r="G2587" s="903"/>
    </row>
    <row r="2588" spans="1:7" ht="15" customHeight="1" x14ac:dyDescent="0.25">
      <c r="A2588" s="2352" t="s">
        <v>7707</v>
      </c>
      <c r="B2588" s="2352" t="s">
        <v>7498</v>
      </c>
      <c r="C2588" s="2352" t="s">
        <v>7498</v>
      </c>
      <c r="D2588" s="2352" t="s">
        <v>7713</v>
      </c>
      <c r="E2588" s="355" t="s">
        <v>6280</v>
      </c>
      <c r="F2588" s="1662">
        <v>599</v>
      </c>
      <c r="G2588" s="903"/>
    </row>
    <row r="2589" spans="1:7" ht="15" customHeight="1" x14ac:dyDescent="0.25">
      <c r="A2589" s="2352" t="s">
        <v>7707</v>
      </c>
      <c r="B2589" s="2352" t="s">
        <v>7498</v>
      </c>
      <c r="C2589" s="2352" t="s">
        <v>7498</v>
      </c>
      <c r="D2589" s="2352" t="s">
        <v>7714</v>
      </c>
      <c r="E2589" s="355">
        <v>400</v>
      </c>
      <c r="F2589" s="1662">
        <v>298</v>
      </c>
      <c r="G2589" s="903"/>
    </row>
    <row r="2590" spans="1:7" ht="15" customHeight="1" x14ac:dyDescent="0.25">
      <c r="A2590" s="2352" t="s">
        <v>7715</v>
      </c>
      <c r="B2590" s="2352" t="s">
        <v>7498</v>
      </c>
      <c r="C2590" s="2352" t="s">
        <v>7498</v>
      </c>
      <c r="D2590" s="2352" t="s">
        <v>7716</v>
      </c>
      <c r="E2590" s="355">
        <v>250</v>
      </c>
      <c r="F2590" s="1662">
        <v>240</v>
      </c>
      <c r="G2590" s="903"/>
    </row>
    <row r="2591" spans="1:7" ht="15" customHeight="1" x14ac:dyDescent="0.25">
      <c r="A2591" s="2352" t="s">
        <v>7717</v>
      </c>
      <c r="B2591" s="2352" t="s">
        <v>7498</v>
      </c>
      <c r="C2591" s="2352" t="s">
        <v>7498</v>
      </c>
      <c r="D2591" s="2352" t="s">
        <v>7718</v>
      </c>
      <c r="E2591" s="355">
        <v>250</v>
      </c>
      <c r="F2591" s="1662">
        <v>216</v>
      </c>
      <c r="G2591" s="903"/>
    </row>
    <row r="2592" spans="1:7" ht="15" customHeight="1" x14ac:dyDescent="0.25">
      <c r="A2592" s="2352" t="s">
        <v>7717</v>
      </c>
      <c r="B2592" s="2352" t="s">
        <v>7498</v>
      </c>
      <c r="C2592" s="2352" t="s">
        <v>7498</v>
      </c>
      <c r="D2592" s="2352" t="s">
        <v>7719</v>
      </c>
      <c r="E2592" s="355">
        <v>100</v>
      </c>
      <c r="F2592" s="1662">
        <v>0</v>
      </c>
      <c r="G2592" s="903"/>
    </row>
    <row r="2593" spans="1:7" ht="15" customHeight="1" x14ac:dyDescent="0.25">
      <c r="A2593" s="2352" t="s">
        <v>7720</v>
      </c>
      <c r="B2593" s="2352" t="s">
        <v>7498</v>
      </c>
      <c r="C2593" s="2352" t="s">
        <v>7498</v>
      </c>
      <c r="D2593" s="2352" t="s">
        <v>7721</v>
      </c>
      <c r="E2593" s="355">
        <v>30</v>
      </c>
      <c r="F2593" s="1662">
        <v>0</v>
      </c>
      <c r="G2593" s="903"/>
    </row>
    <row r="2594" spans="1:7" ht="15" customHeight="1" x14ac:dyDescent="0.25">
      <c r="A2594" s="2352" t="s">
        <v>14368</v>
      </c>
      <c r="B2594" s="2352" t="s">
        <v>7498</v>
      </c>
      <c r="C2594" s="2352" t="s">
        <v>7498</v>
      </c>
      <c r="D2594" s="2352" t="s">
        <v>7722</v>
      </c>
      <c r="E2594" s="355">
        <v>100</v>
      </c>
      <c r="F2594" s="1662">
        <v>0</v>
      </c>
      <c r="G2594" s="903"/>
    </row>
    <row r="2595" spans="1:7" ht="15" customHeight="1" x14ac:dyDescent="0.25">
      <c r="A2595" s="2352" t="s">
        <v>4810</v>
      </c>
      <c r="B2595" s="2352" t="s">
        <v>7498</v>
      </c>
      <c r="C2595" s="2352" t="s">
        <v>7498</v>
      </c>
      <c r="D2595" s="2352" t="s">
        <v>7723</v>
      </c>
      <c r="E2595" s="355">
        <v>100</v>
      </c>
      <c r="F2595" s="1662">
        <v>0</v>
      </c>
      <c r="G2595" s="903"/>
    </row>
    <row r="2596" spans="1:7" ht="15" customHeight="1" x14ac:dyDescent="0.25">
      <c r="A2596" s="2352" t="s">
        <v>7724</v>
      </c>
      <c r="B2596" s="2352" t="s">
        <v>7498</v>
      </c>
      <c r="C2596" s="2352" t="s">
        <v>7498</v>
      </c>
      <c r="D2596" s="2352" t="s">
        <v>7725</v>
      </c>
      <c r="E2596" s="355">
        <v>40</v>
      </c>
      <c r="F2596" s="1662">
        <v>2</v>
      </c>
      <c r="G2596" s="903"/>
    </row>
    <row r="2597" spans="1:7" ht="15" customHeight="1" x14ac:dyDescent="0.25">
      <c r="A2597" s="2352" t="s">
        <v>7726</v>
      </c>
      <c r="B2597" s="2352" t="s">
        <v>7498</v>
      </c>
      <c r="C2597" s="2352" t="s">
        <v>7498</v>
      </c>
      <c r="D2597" s="2352" t="s">
        <v>7727</v>
      </c>
      <c r="E2597" s="355">
        <v>63</v>
      </c>
      <c r="F2597" s="1662">
        <v>0</v>
      </c>
      <c r="G2597" s="903"/>
    </row>
    <row r="2598" spans="1:7" ht="15" customHeight="1" x14ac:dyDescent="0.25">
      <c r="A2598" s="2352" t="s">
        <v>14369</v>
      </c>
      <c r="B2598" s="2352" t="s">
        <v>7498</v>
      </c>
      <c r="C2598" s="2352" t="s">
        <v>7498</v>
      </c>
      <c r="D2598" s="2352" t="s">
        <v>7728</v>
      </c>
      <c r="E2598" s="355">
        <v>30</v>
      </c>
      <c r="F2598" s="1662">
        <v>2</v>
      </c>
      <c r="G2598" s="903"/>
    </row>
    <row r="2599" spans="1:7" ht="15" customHeight="1" x14ac:dyDescent="0.25">
      <c r="A2599" s="2352" t="s">
        <v>7692</v>
      </c>
      <c r="B2599" s="2352" t="s">
        <v>7498</v>
      </c>
      <c r="C2599" s="2352" t="s">
        <v>7498</v>
      </c>
      <c r="D2599" s="2352" t="s">
        <v>7729</v>
      </c>
      <c r="E2599" s="355">
        <v>100</v>
      </c>
      <c r="F2599" s="1662">
        <v>45</v>
      </c>
      <c r="G2599" s="903"/>
    </row>
    <row r="2600" spans="1:7" ht="15" customHeight="1" x14ac:dyDescent="0.25">
      <c r="A2600" s="2352" t="s">
        <v>7730</v>
      </c>
      <c r="B2600" s="2352" t="s">
        <v>7498</v>
      </c>
      <c r="C2600" s="2352" t="s">
        <v>7498</v>
      </c>
      <c r="D2600" s="2352" t="s">
        <v>7731</v>
      </c>
      <c r="E2600" s="355">
        <v>40</v>
      </c>
      <c r="F2600" s="1662">
        <v>10</v>
      </c>
      <c r="G2600" s="903"/>
    </row>
    <row r="2601" spans="1:7" ht="15" customHeight="1" x14ac:dyDescent="0.25">
      <c r="A2601" s="2352" t="s">
        <v>4810</v>
      </c>
      <c r="B2601" s="2352" t="s">
        <v>7498</v>
      </c>
      <c r="C2601" s="2352" t="s">
        <v>7498</v>
      </c>
      <c r="D2601" s="2352" t="s">
        <v>7732</v>
      </c>
      <c r="E2601" s="355">
        <v>160</v>
      </c>
      <c r="F2601" s="1662">
        <v>0</v>
      </c>
      <c r="G2601" s="903"/>
    </row>
    <row r="2602" spans="1:7" ht="15" customHeight="1" x14ac:dyDescent="0.25">
      <c r="A2602" s="2352" t="s">
        <v>7733</v>
      </c>
      <c r="B2602" s="2352" t="s">
        <v>7498</v>
      </c>
      <c r="C2602" s="2352" t="s">
        <v>7498</v>
      </c>
      <c r="D2602" s="2352" t="s">
        <v>7734</v>
      </c>
      <c r="E2602" s="355">
        <v>40</v>
      </c>
      <c r="F2602" s="1662">
        <v>24</v>
      </c>
      <c r="G2602" s="903"/>
    </row>
    <row r="2603" spans="1:7" ht="15" customHeight="1" x14ac:dyDescent="0.25">
      <c r="A2603" s="2352" t="s">
        <v>14370</v>
      </c>
      <c r="B2603" s="2352" t="s">
        <v>7498</v>
      </c>
      <c r="C2603" s="2352" t="s">
        <v>7498</v>
      </c>
      <c r="D2603" s="2352" t="s">
        <v>7735</v>
      </c>
      <c r="E2603" s="355">
        <v>100</v>
      </c>
      <c r="F2603" s="1662">
        <v>49</v>
      </c>
      <c r="G2603" s="903"/>
    </row>
    <row r="2604" spans="1:7" ht="15" customHeight="1" x14ac:dyDescent="0.25">
      <c r="A2604" s="2352" t="s">
        <v>3783</v>
      </c>
      <c r="B2604" s="2352" t="s">
        <v>7498</v>
      </c>
      <c r="C2604" s="2352" t="s">
        <v>7498</v>
      </c>
      <c r="D2604" s="2352" t="s">
        <v>7736</v>
      </c>
      <c r="E2604" s="355">
        <v>400</v>
      </c>
      <c r="F2604" s="1662">
        <v>251</v>
      </c>
      <c r="G2604" s="903"/>
    </row>
    <row r="2605" spans="1:7" ht="15" customHeight="1" x14ac:dyDescent="0.25">
      <c r="A2605" s="2352" t="s">
        <v>3783</v>
      </c>
      <c r="B2605" s="2352" t="s">
        <v>7498</v>
      </c>
      <c r="C2605" s="2352" t="s">
        <v>7498</v>
      </c>
      <c r="D2605" s="2352" t="s">
        <v>7737</v>
      </c>
      <c r="E2605" s="355">
        <v>250</v>
      </c>
      <c r="F2605" s="1662">
        <v>76</v>
      </c>
      <c r="G2605" s="903"/>
    </row>
    <row r="2606" spans="1:7" ht="15" customHeight="1" x14ac:dyDescent="0.25">
      <c r="A2606" s="2352" t="s">
        <v>3783</v>
      </c>
      <c r="B2606" s="2352" t="s">
        <v>7498</v>
      </c>
      <c r="C2606" s="2352" t="s">
        <v>7498</v>
      </c>
      <c r="D2606" s="2352" t="s">
        <v>7738</v>
      </c>
      <c r="E2606" s="355">
        <v>250</v>
      </c>
      <c r="F2606" s="1662">
        <v>93</v>
      </c>
      <c r="G2606" s="903"/>
    </row>
    <row r="2607" spans="1:7" ht="15" customHeight="1" x14ac:dyDescent="0.25">
      <c r="A2607" s="2352" t="s">
        <v>3783</v>
      </c>
      <c r="B2607" s="2352" t="s">
        <v>7498</v>
      </c>
      <c r="C2607" s="2352" t="s">
        <v>7498</v>
      </c>
      <c r="D2607" s="2352" t="s">
        <v>7739</v>
      </c>
      <c r="E2607" s="355" t="s">
        <v>6278</v>
      </c>
      <c r="F2607" s="1662">
        <v>248</v>
      </c>
      <c r="G2607" s="903"/>
    </row>
    <row r="2608" spans="1:7" ht="15" customHeight="1" x14ac:dyDescent="0.25">
      <c r="A2608" s="2352" t="s">
        <v>3783</v>
      </c>
      <c r="B2608" s="2352" t="s">
        <v>7498</v>
      </c>
      <c r="C2608" s="2352" t="s">
        <v>7498</v>
      </c>
      <c r="D2608" s="2352" t="s">
        <v>7740</v>
      </c>
      <c r="E2608" s="355">
        <v>250</v>
      </c>
      <c r="F2608" s="1662">
        <v>97</v>
      </c>
      <c r="G2608" s="903"/>
    </row>
    <row r="2609" spans="1:7" ht="15" customHeight="1" x14ac:dyDescent="0.25">
      <c r="A2609" s="2352" t="s">
        <v>7741</v>
      </c>
      <c r="B2609" s="2352" t="s">
        <v>7498</v>
      </c>
      <c r="C2609" s="2352" t="s">
        <v>7498</v>
      </c>
      <c r="D2609" s="2352" t="s">
        <v>7742</v>
      </c>
      <c r="E2609" s="355">
        <v>160</v>
      </c>
      <c r="F2609" s="1662">
        <v>95</v>
      </c>
      <c r="G2609" s="903"/>
    </row>
    <row r="2610" spans="1:7" ht="15" customHeight="1" x14ac:dyDescent="0.25">
      <c r="A2610" s="2352" t="s">
        <v>7743</v>
      </c>
      <c r="B2610" s="2352" t="s">
        <v>7498</v>
      </c>
      <c r="C2610" s="2352" t="s">
        <v>7498</v>
      </c>
      <c r="D2610" s="2352" t="s">
        <v>7744</v>
      </c>
      <c r="E2610" s="355">
        <v>160</v>
      </c>
      <c r="F2610" s="1662">
        <v>56</v>
      </c>
      <c r="G2610" s="903"/>
    </row>
    <row r="2611" spans="1:7" ht="15" customHeight="1" x14ac:dyDescent="0.25">
      <c r="A2611" s="2352" t="s">
        <v>4632</v>
      </c>
      <c r="B2611" s="2352" t="s">
        <v>7498</v>
      </c>
      <c r="C2611" s="2352" t="s">
        <v>7498</v>
      </c>
      <c r="D2611" s="2352" t="s">
        <v>7745</v>
      </c>
      <c r="E2611" s="355">
        <v>100</v>
      </c>
      <c r="F2611" s="1662">
        <v>0</v>
      </c>
      <c r="G2611" s="903"/>
    </row>
    <row r="2612" spans="1:7" ht="15" customHeight="1" x14ac:dyDescent="0.25">
      <c r="A2612" s="2352" t="s">
        <v>7746</v>
      </c>
      <c r="B2612" s="2352" t="s">
        <v>7498</v>
      </c>
      <c r="C2612" s="2352" t="s">
        <v>7498</v>
      </c>
      <c r="D2612" s="2352" t="s">
        <v>7747</v>
      </c>
      <c r="E2612" s="355">
        <v>250</v>
      </c>
      <c r="F2612" s="1662">
        <v>131</v>
      </c>
      <c r="G2612" s="903"/>
    </row>
    <row r="2613" spans="1:7" ht="15" customHeight="1" x14ac:dyDescent="0.25">
      <c r="A2613" s="2352" t="s">
        <v>7746</v>
      </c>
      <c r="B2613" s="2352" t="s">
        <v>7498</v>
      </c>
      <c r="C2613" s="2352" t="s">
        <v>7498</v>
      </c>
      <c r="D2613" s="2352" t="s">
        <v>7748</v>
      </c>
      <c r="E2613" s="355">
        <v>160</v>
      </c>
      <c r="F2613" s="1662">
        <v>27</v>
      </c>
      <c r="G2613" s="903"/>
    </row>
    <row r="2614" spans="1:7" ht="15" customHeight="1" x14ac:dyDescent="0.25">
      <c r="A2614" s="2352" t="s">
        <v>7746</v>
      </c>
      <c r="B2614" s="2352" t="s">
        <v>7498</v>
      </c>
      <c r="C2614" s="2352" t="s">
        <v>7498</v>
      </c>
      <c r="D2614" s="2352" t="s">
        <v>7749</v>
      </c>
      <c r="E2614" s="355">
        <v>400</v>
      </c>
      <c r="F2614" s="1662">
        <v>299</v>
      </c>
      <c r="G2614" s="903"/>
    </row>
    <row r="2615" spans="1:7" ht="15" customHeight="1" x14ac:dyDescent="0.25">
      <c r="A2615" s="2352" t="s">
        <v>7750</v>
      </c>
      <c r="B2615" s="2352" t="s">
        <v>7498</v>
      </c>
      <c r="C2615" s="2352" t="s">
        <v>7498</v>
      </c>
      <c r="D2615" s="2352" t="s">
        <v>7751</v>
      </c>
      <c r="E2615" s="355">
        <v>100</v>
      </c>
      <c r="F2615" s="1662">
        <v>9</v>
      </c>
      <c r="G2615" s="903"/>
    </row>
    <row r="2616" spans="1:7" ht="15" customHeight="1" x14ac:dyDescent="0.25">
      <c r="A2616" s="2352" t="s">
        <v>7752</v>
      </c>
      <c r="B2616" s="2352" t="s">
        <v>7498</v>
      </c>
      <c r="C2616" s="2352" t="s">
        <v>7498</v>
      </c>
      <c r="D2616" s="2352" t="s">
        <v>7753</v>
      </c>
      <c r="E2616" s="355">
        <v>100</v>
      </c>
      <c r="F2616" s="1662">
        <v>74</v>
      </c>
      <c r="G2616" s="903"/>
    </row>
    <row r="2617" spans="1:7" ht="15" customHeight="1" x14ac:dyDescent="0.25">
      <c r="A2617" s="2352" t="s">
        <v>7754</v>
      </c>
      <c r="B2617" s="2352" t="s">
        <v>7498</v>
      </c>
      <c r="C2617" s="2352" t="s">
        <v>7498</v>
      </c>
      <c r="D2617" s="2352" t="s">
        <v>7755</v>
      </c>
      <c r="E2617" s="355">
        <v>100</v>
      </c>
      <c r="F2617" s="1662">
        <v>17</v>
      </c>
      <c r="G2617" s="903"/>
    </row>
    <row r="2618" spans="1:7" ht="15" customHeight="1" x14ac:dyDescent="0.25">
      <c r="A2618" s="2352" t="s">
        <v>7756</v>
      </c>
      <c r="B2618" s="2352" t="s">
        <v>7498</v>
      </c>
      <c r="C2618" s="2352" t="s">
        <v>7498</v>
      </c>
      <c r="D2618" s="2352" t="s">
        <v>7757</v>
      </c>
      <c r="E2618" s="355">
        <v>100</v>
      </c>
      <c r="F2618" s="1662">
        <v>60</v>
      </c>
      <c r="G2618" s="903"/>
    </row>
    <row r="2619" spans="1:7" ht="15" customHeight="1" x14ac:dyDescent="0.25">
      <c r="A2619" s="2352" t="s">
        <v>7756</v>
      </c>
      <c r="B2619" s="2352" t="s">
        <v>7498</v>
      </c>
      <c r="C2619" s="2352" t="s">
        <v>7498</v>
      </c>
      <c r="D2619" s="2352" t="s">
        <v>7758</v>
      </c>
      <c r="E2619" s="355">
        <v>63</v>
      </c>
      <c r="F2619" s="1662">
        <v>49</v>
      </c>
      <c r="G2619" s="903"/>
    </row>
    <row r="2620" spans="1:7" ht="15" customHeight="1" x14ac:dyDescent="0.25">
      <c r="A2620" s="2352" t="s">
        <v>7759</v>
      </c>
      <c r="B2620" s="2352" t="s">
        <v>7498</v>
      </c>
      <c r="C2620" s="2352" t="s">
        <v>7498</v>
      </c>
      <c r="D2620" s="2352" t="s">
        <v>7760</v>
      </c>
      <c r="E2620" s="355">
        <v>100</v>
      </c>
      <c r="F2620" s="1662">
        <v>63</v>
      </c>
      <c r="G2620" s="903"/>
    </row>
    <row r="2621" spans="1:7" ht="15" customHeight="1" x14ac:dyDescent="0.25">
      <c r="A2621" s="2352" t="s">
        <v>7759</v>
      </c>
      <c r="B2621" s="2352" t="s">
        <v>7498</v>
      </c>
      <c r="C2621" s="2352" t="s">
        <v>7498</v>
      </c>
      <c r="D2621" s="2352" t="s">
        <v>7761</v>
      </c>
      <c r="E2621" s="355" t="s">
        <v>6278</v>
      </c>
      <c r="F2621" s="1662">
        <v>219</v>
      </c>
      <c r="G2621" s="903"/>
    </row>
    <row r="2622" spans="1:7" ht="15" customHeight="1" x14ac:dyDescent="0.25">
      <c r="A2622" s="2352" t="s">
        <v>7759</v>
      </c>
      <c r="B2622" s="2352" t="s">
        <v>7498</v>
      </c>
      <c r="C2622" s="2352" t="s">
        <v>7498</v>
      </c>
      <c r="D2622" s="2352" t="s">
        <v>7762</v>
      </c>
      <c r="E2622" s="355">
        <v>100</v>
      </c>
      <c r="F2622" s="1662">
        <v>80</v>
      </c>
      <c r="G2622" s="903"/>
    </row>
    <row r="2623" spans="1:7" ht="15" customHeight="1" x14ac:dyDescent="0.25">
      <c r="A2623" s="2352" t="s">
        <v>7759</v>
      </c>
      <c r="B2623" s="2352" t="s">
        <v>7498</v>
      </c>
      <c r="C2623" s="2352" t="s">
        <v>7498</v>
      </c>
      <c r="D2623" s="2352" t="s">
        <v>7763</v>
      </c>
      <c r="E2623" s="355">
        <v>250</v>
      </c>
      <c r="F2623" s="1662">
        <v>134</v>
      </c>
      <c r="G2623" s="903"/>
    </row>
    <row r="2624" spans="1:7" ht="15" customHeight="1" x14ac:dyDescent="0.25">
      <c r="A2624" s="2352" t="s">
        <v>7741</v>
      </c>
      <c r="B2624" s="2352" t="s">
        <v>7498</v>
      </c>
      <c r="C2624" s="2352" t="s">
        <v>7498</v>
      </c>
      <c r="D2624" s="2352" t="s">
        <v>7764</v>
      </c>
      <c r="E2624" s="355">
        <v>160</v>
      </c>
      <c r="F2624" s="1662">
        <v>95</v>
      </c>
      <c r="G2624" s="903"/>
    </row>
    <row r="2625" spans="1:7" ht="15" customHeight="1" x14ac:dyDescent="0.25">
      <c r="A2625" s="2352" t="s">
        <v>14371</v>
      </c>
      <c r="B2625" s="2352" t="s">
        <v>7498</v>
      </c>
      <c r="C2625" s="2352" t="s">
        <v>7498</v>
      </c>
      <c r="D2625" s="2352" t="s">
        <v>7765</v>
      </c>
      <c r="E2625" s="355">
        <v>250</v>
      </c>
      <c r="F2625" s="1662">
        <v>21</v>
      </c>
      <c r="G2625" s="903"/>
    </row>
    <row r="2626" spans="1:7" ht="15" customHeight="1" x14ac:dyDescent="0.25">
      <c r="A2626" s="2352" t="s">
        <v>14371</v>
      </c>
      <c r="B2626" s="2352" t="s">
        <v>7498</v>
      </c>
      <c r="C2626" s="2352" t="s">
        <v>7498</v>
      </c>
      <c r="D2626" s="2352" t="s">
        <v>7766</v>
      </c>
      <c r="E2626" s="355">
        <v>250</v>
      </c>
      <c r="F2626" s="1662">
        <v>11</v>
      </c>
      <c r="G2626" s="903"/>
    </row>
    <row r="2627" spans="1:7" ht="15" customHeight="1" x14ac:dyDescent="0.25">
      <c r="A2627" s="2352" t="s">
        <v>14371</v>
      </c>
      <c r="B2627" s="2352" t="s">
        <v>7498</v>
      </c>
      <c r="C2627" s="2352" t="s">
        <v>7498</v>
      </c>
      <c r="D2627" s="2352" t="s">
        <v>7767</v>
      </c>
      <c r="E2627" s="355">
        <v>160</v>
      </c>
      <c r="F2627" s="1662">
        <v>84</v>
      </c>
      <c r="G2627" s="903"/>
    </row>
    <row r="2628" spans="1:7" ht="15" customHeight="1" x14ac:dyDescent="0.25">
      <c r="A2628" s="2352" t="s">
        <v>7759</v>
      </c>
      <c r="B2628" s="2352" t="s">
        <v>7498</v>
      </c>
      <c r="C2628" s="2352" t="s">
        <v>7498</v>
      </c>
      <c r="D2628" s="2352" t="s">
        <v>7768</v>
      </c>
      <c r="E2628" s="355">
        <v>250</v>
      </c>
      <c r="F2628" s="1662">
        <v>49</v>
      </c>
      <c r="G2628" s="903"/>
    </row>
    <row r="2629" spans="1:7" ht="15" customHeight="1" x14ac:dyDescent="0.25">
      <c r="A2629" s="2352" t="s">
        <v>7759</v>
      </c>
      <c r="B2629" s="2352" t="s">
        <v>7498</v>
      </c>
      <c r="C2629" s="2352" t="s">
        <v>7498</v>
      </c>
      <c r="D2629" s="2352" t="s">
        <v>7769</v>
      </c>
      <c r="E2629" s="355">
        <v>250</v>
      </c>
      <c r="F2629" s="1662">
        <v>177</v>
      </c>
      <c r="G2629" s="903"/>
    </row>
    <row r="2630" spans="1:7" ht="15" customHeight="1" x14ac:dyDescent="0.25">
      <c r="A2630" s="2352" t="s">
        <v>7741</v>
      </c>
      <c r="B2630" s="2352" t="s">
        <v>7498</v>
      </c>
      <c r="C2630" s="2352" t="s">
        <v>7498</v>
      </c>
      <c r="D2630" s="2352" t="s">
        <v>7770</v>
      </c>
      <c r="E2630" s="355" t="s">
        <v>6278</v>
      </c>
      <c r="F2630" s="1662">
        <v>301</v>
      </c>
      <c r="G2630" s="903"/>
    </row>
    <row r="2631" spans="1:7" ht="15" customHeight="1" x14ac:dyDescent="0.25">
      <c r="A2631" s="2352" t="s">
        <v>7741</v>
      </c>
      <c r="B2631" s="2352" t="s">
        <v>7498</v>
      </c>
      <c r="C2631" s="2352" t="s">
        <v>7498</v>
      </c>
      <c r="D2631" s="2352" t="s">
        <v>7771</v>
      </c>
      <c r="E2631" s="355">
        <v>250</v>
      </c>
      <c r="F2631" s="1662">
        <v>98</v>
      </c>
      <c r="G2631" s="903"/>
    </row>
    <row r="2632" spans="1:7" ht="15" customHeight="1" x14ac:dyDescent="0.25">
      <c r="A2632" s="2352" t="s">
        <v>7746</v>
      </c>
      <c r="B2632" s="2352" t="s">
        <v>7498</v>
      </c>
      <c r="C2632" s="2352" t="s">
        <v>7498</v>
      </c>
      <c r="D2632" s="2352" t="s">
        <v>7772</v>
      </c>
      <c r="E2632" s="355">
        <v>160</v>
      </c>
      <c r="F2632" s="1662">
        <v>11</v>
      </c>
      <c r="G2632" s="903"/>
    </row>
    <row r="2633" spans="1:7" ht="15" customHeight="1" x14ac:dyDescent="0.25">
      <c r="A2633" s="2352" t="s">
        <v>7773</v>
      </c>
      <c r="B2633" s="2352" t="s">
        <v>7498</v>
      </c>
      <c r="C2633" s="2352" t="s">
        <v>7498</v>
      </c>
      <c r="D2633" s="2352" t="s">
        <v>7774</v>
      </c>
      <c r="E2633" s="355">
        <v>30</v>
      </c>
      <c r="F2633" s="1662">
        <v>0</v>
      </c>
      <c r="G2633" s="903"/>
    </row>
    <row r="2634" spans="1:7" ht="15" customHeight="1" x14ac:dyDescent="0.25">
      <c r="A2634" s="2352" t="s">
        <v>7775</v>
      </c>
      <c r="B2634" s="2352" t="s">
        <v>7498</v>
      </c>
      <c r="C2634" s="2352" t="s">
        <v>7498</v>
      </c>
      <c r="D2634" s="2352" t="s">
        <v>7776</v>
      </c>
      <c r="E2634" s="355">
        <v>60</v>
      </c>
      <c r="F2634" s="1662">
        <v>21</v>
      </c>
      <c r="G2634" s="903"/>
    </row>
    <row r="2635" spans="1:7" ht="15" customHeight="1" x14ac:dyDescent="0.25">
      <c r="A2635" s="2352" t="s">
        <v>7777</v>
      </c>
      <c r="B2635" s="2352" t="s">
        <v>7498</v>
      </c>
      <c r="C2635" s="2352" t="s">
        <v>7498</v>
      </c>
      <c r="D2635" s="2352" t="s">
        <v>7778</v>
      </c>
      <c r="E2635" s="355">
        <v>100</v>
      </c>
      <c r="F2635" s="1662">
        <v>12</v>
      </c>
      <c r="G2635" s="903"/>
    </row>
    <row r="2636" spans="1:7" ht="15" customHeight="1" x14ac:dyDescent="0.25">
      <c r="A2636" s="2352" t="s">
        <v>7779</v>
      </c>
      <c r="B2636" s="2352" t="s">
        <v>7498</v>
      </c>
      <c r="C2636" s="2352" t="s">
        <v>7498</v>
      </c>
      <c r="D2636" s="2352" t="s">
        <v>7780</v>
      </c>
      <c r="E2636" s="355">
        <v>100</v>
      </c>
      <c r="F2636" s="1662">
        <v>49</v>
      </c>
      <c r="G2636" s="903"/>
    </row>
    <row r="2637" spans="1:7" ht="15" customHeight="1" x14ac:dyDescent="0.25">
      <c r="A2637" s="2352" t="s">
        <v>7781</v>
      </c>
      <c r="B2637" s="2352" t="s">
        <v>7498</v>
      </c>
      <c r="C2637" s="2352" t="s">
        <v>7498</v>
      </c>
      <c r="D2637" s="2352" t="s">
        <v>7782</v>
      </c>
      <c r="E2637" s="355">
        <v>100</v>
      </c>
      <c r="F2637" s="1662">
        <v>34</v>
      </c>
      <c r="G2637" s="903"/>
    </row>
    <row r="2638" spans="1:7" ht="15" customHeight="1" x14ac:dyDescent="0.25">
      <c r="A2638" s="2352" t="s">
        <v>7746</v>
      </c>
      <c r="B2638" s="2352" t="s">
        <v>7498</v>
      </c>
      <c r="C2638" s="2352" t="s">
        <v>7498</v>
      </c>
      <c r="D2638" s="2352" t="s">
        <v>7783</v>
      </c>
      <c r="E2638" s="355">
        <v>400</v>
      </c>
      <c r="F2638" s="1662">
        <v>262</v>
      </c>
      <c r="G2638" s="903"/>
    </row>
    <row r="2639" spans="1:7" ht="15" customHeight="1" x14ac:dyDescent="0.25">
      <c r="A2639" s="2352" t="s">
        <v>7784</v>
      </c>
      <c r="B2639" s="2352" t="s">
        <v>7498</v>
      </c>
      <c r="C2639" s="2352" t="s">
        <v>7498</v>
      </c>
      <c r="D2639" s="2352" t="s">
        <v>7785</v>
      </c>
      <c r="E2639" s="355">
        <v>100</v>
      </c>
      <c r="F2639" s="1662">
        <v>2</v>
      </c>
      <c r="G2639" s="903"/>
    </row>
    <row r="2640" spans="1:7" ht="15" customHeight="1" x14ac:dyDescent="0.25">
      <c r="A2640" s="2352" t="s">
        <v>7741</v>
      </c>
      <c r="B2640" s="2352" t="s">
        <v>7498</v>
      </c>
      <c r="C2640" s="2352" t="s">
        <v>7498</v>
      </c>
      <c r="D2640" s="2352" t="s">
        <v>7786</v>
      </c>
      <c r="E2640" s="355">
        <v>100</v>
      </c>
      <c r="F2640" s="1662">
        <v>23</v>
      </c>
      <c r="G2640" s="903"/>
    </row>
    <row r="2641" spans="1:7" ht="15" customHeight="1" x14ac:dyDescent="0.25">
      <c r="A2641" s="2352" t="s">
        <v>14372</v>
      </c>
      <c r="B2641" s="2352" t="s">
        <v>7498</v>
      </c>
      <c r="C2641" s="2352" t="s">
        <v>7498</v>
      </c>
      <c r="D2641" s="2352" t="s">
        <v>7787</v>
      </c>
      <c r="E2641" s="355">
        <v>100</v>
      </c>
      <c r="F2641" s="1662">
        <v>34</v>
      </c>
      <c r="G2641" s="903"/>
    </row>
    <row r="2642" spans="1:7" ht="15" customHeight="1" x14ac:dyDescent="0.25">
      <c r="A2642" s="2352" t="s">
        <v>7788</v>
      </c>
      <c r="B2642" s="2352" t="s">
        <v>7498</v>
      </c>
      <c r="C2642" s="2352" t="s">
        <v>7498</v>
      </c>
      <c r="D2642" s="2352" t="s">
        <v>7789</v>
      </c>
      <c r="E2642" s="355">
        <v>100</v>
      </c>
      <c r="F2642" s="1662">
        <v>39</v>
      </c>
      <c r="G2642" s="903"/>
    </row>
    <row r="2643" spans="1:7" ht="15" customHeight="1" x14ac:dyDescent="0.25">
      <c r="A2643" s="2352" t="s">
        <v>7790</v>
      </c>
      <c r="B2643" s="2352" t="s">
        <v>7498</v>
      </c>
      <c r="C2643" s="2352" t="s">
        <v>7498</v>
      </c>
      <c r="D2643" s="2352" t="s">
        <v>7791</v>
      </c>
      <c r="E2643" s="355">
        <v>100</v>
      </c>
      <c r="F2643" s="1662">
        <v>41</v>
      </c>
      <c r="G2643" s="903"/>
    </row>
    <row r="2644" spans="1:7" ht="15" customHeight="1" x14ac:dyDescent="0.25">
      <c r="A2644" s="2352" t="s">
        <v>7792</v>
      </c>
      <c r="B2644" s="2352" t="s">
        <v>7498</v>
      </c>
      <c r="C2644" s="2352" t="s">
        <v>7498</v>
      </c>
      <c r="D2644" s="2352" t="s">
        <v>7793</v>
      </c>
      <c r="E2644" s="355">
        <v>160</v>
      </c>
      <c r="F2644" s="1662">
        <v>87</v>
      </c>
      <c r="G2644" s="903"/>
    </row>
    <row r="2645" spans="1:7" ht="15" customHeight="1" x14ac:dyDescent="0.25">
      <c r="A2645" s="2352" t="s">
        <v>7715</v>
      </c>
      <c r="B2645" s="2352" t="s">
        <v>7498</v>
      </c>
      <c r="C2645" s="2352" t="s">
        <v>7498</v>
      </c>
      <c r="D2645" s="2352" t="s">
        <v>7794</v>
      </c>
      <c r="E2645" s="355">
        <v>250</v>
      </c>
      <c r="F2645" s="1662">
        <v>142</v>
      </c>
      <c r="G2645" s="903"/>
    </row>
    <row r="2646" spans="1:7" ht="15" customHeight="1" x14ac:dyDescent="0.25">
      <c r="A2646" s="2352" t="s">
        <v>7715</v>
      </c>
      <c r="B2646" s="2352" t="s">
        <v>7498</v>
      </c>
      <c r="C2646" s="2352" t="s">
        <v>7498</v>
      </c>
      <c r="D2646" s="2352" t="s">
        <v>7795</v>
      </c>
      <c r="E2646" s="355">
        <v>160</v>
      </c>
      <c r="F2646" s="1662">
        <v>89</v>
      </c>
      <c r="G2646" s="903"/>
    </row>
    <row r="2647" spans="1:7" ht="15" customHeight="1" x14ac:dyDescent="0.25">
      <c r="A2647" s="2352" t="s">
        <v>14373</v>
      </c>
      <c r="B2647" s="2352" t="s">
        <v>7498</v>
      </c>
      <c r="C2647" s="2352" t="s">
        <v>7498</v>
      </c>
      <c r="D2647" s="2352" t="s">
        <v>7796</v>
      </c>
      <c r="E2647" s="355">
        <v>160</v>
      </c>
      <c r="F2647" s="1662">
        <v>5</v>
      </c>
      <c r="G2647" s="903"/>
    </row>
    <row r="2648" spans="1:7" ht="15" customHeight="1" x14ac:dyDescent="0.25">
      <c r="A2648" s="2352" t="s">
        <v>7797</v>
      </c>
      <c r="B2648" s="2352" t="s">
        <v>7498</v>
      </c>
      <c r="C2648" s="2352" t="s">
        <v>7498</v>
      </c>
      <c r="D2648" s="2352" t="s">
        <v>7798</v>
      </c>
      <c r="E2648" s="355">
        <v>63</v>
      </c>
      <c r="F2648" s="1662">
        <v>3</v>
      </c>
      <c r="G2648" s="903"/>
    </row>
    <row r="2649" spans="1:7" ht="15" customHeight="1" x14ac:dyDescent="0.25">
      <c r="A2649" s="2352" t="s">
        <v>7799</v>
      </c>
      <c r="B2649" s="2352" t="s">
        <v>7498</v>
      </c>
      <c r="C2649" s="2352" t="s">
        <v>7498</v>
      </c>
      <c r="D2649" s="2352" t="s">
        <v>7800</v>
      </c>
      <c r="E2649" s="355">
        <v>250</v>
      </c>
      <c r="F2649" s="1662">
        <v>30</v>
      </c>
      <c r="G2649" s="903"/>
    </row>
    <row r="2650" spans="1:7" ht="15" customHeight="1" x14ac:dyDescent="0.25">
      <c r="A2650" s="2352" t="s">
        <v>7801</v>
      </c>
      <c r="B2650" s="2352" t="s">
        <v>7498</v>
      </c>
      <c r="C2650" s="2352" t="s">
        <v>7498</v>
      </c>
      <c r="D2650" s="2352" t="s">
        <v>7802</v>
      </c>
      <c r="E2650" s="355">
        <v>160</v>
      </c>
      <c r="F2650" s="1662">
        <v>3</v>
      </c>
      <c r="G2650" s="903"/>
    </row>
    <row r="2651" spans="1:7" ht="15" customHeight="1" x14ac:dyDescent="0.25">
      <c r="A2651" s="2352" t="s">
        <v>7715</v>
      </c>
      <c r="B2651" s="2352" t="s">
        <v>7498</v>
      </c>
      <c r="C2651" s="2352" t="s">
        <v>7498</v>
      </c>
      <c r="D2651" s="2352" t="s">
        <v>7803</v>
      </c>
      <c r="E2651" s="355">
        <v>250</v>
      </c>
      <c r="F2651" s="1662">
        <v>4</v>
      </c>
      <c r="G2651" s="903"/>
    </row>
    <row r="2652" spans="1:7" ht="15" customHeight="1" x14ac:dyDescent="0.25">
      <c r="A2652" s="2352" t="s">
        <v>7715</v>
      </c>
      <c r="B2652" s="2352" t="s">
        <v>7498</v>
      </c>
      <c r="C2652" s="2352" t="s">
        <v>7498</v>
      </c>
      <c r="D2652" s="2352" t="s">
        <v>7804</v>
      </c>
      <c r="E2652" s="355">
        <v>160</v>
      </c>
      <c r="F2652" s="1662">
        <v>56</v>
      </c>
      <c r="G2652" s="903"/>
    </row>
    <row r="2653" spans="1:7" ht="15" customHeight="1" x14ac:dyDescent="0.25">
      <c r="A2653" s="2352" t="s">
        <v>7715</v>
      </c>
      <c r="B2653" s="2352" t="s">
        <v>7498</v>
      </c>
      <c r="C2653" s="2352" t="s">
        <v>7498</v>
      </c>
      <c r="D2653" s="2352" t="s">
        <v>7805</v>
      </c>
      <c r="E2653" s="355">
        <v>400</v>
      </c>
      <c r="F2653" s="1662">
        <v>221</v>
      </c>
      <c r="G2653" s="903"/>
    </row>
    <row r="2654" spans="1:7" ht="15" customHeight="1" x14ac:dyDescent="0.25">
      <c r="A2654" s="2352" t="s">
        <v>7806</v>
      </c>
      <c r="B2654" s="2352" t="s">
        <v>7498</v>
      </c>
      <c r="C2654" s="2352" t="s">
        <v>7498</v>
      </c>
      <c r="D2654" s="2352" t="s">
        <v>7807</v>
      </c>
      <c r="E2654" s="355">
        <v>30</v>
      </c>
      <c r="F2654" s="1662">
        <v>0</v>
      </c>
      <c r="G2654" s="903"/>
    </row>
    <row r="2655" spans="1:7" ht="15" customHeight="1" x14ac:dyDescent="0.25">
      <c r="A2655" s="2352" t="s">
        <v>14374</v>
      </c>
      <c r="B2655" s="2352" t="s">
        <v>7498</v>
      </c>
      <c r="C2655" s="2352" t="s">
        <v>7498</v>
      </c>
      <c r="D2655" s="2352" t="s">
        <v>7808</v>
      </c>
      <c r="E2655" s="355">
        <v>100</v>
      </c>
      <c r="F2655" s="1662">
        <v>0</v>
      </c>
      <c r="G2655" s="903"/>
    </row>
    <row r="2656" spans="1:7" ht="15" customHeight="1" x14ac:dyDescent="0.25">
      <c r="A2656" s="2352" t="s">
        <v>4391</v>
      </c>
      <c r="B2656" s="2352" t="s">
        <v>7498</v>
      </c>
      <c r="C2656" s="2352" t="s">
        <v>7498</v>
      </c>
      <c r="D2656" s="2352" t="s">
        <v>7809</v>
      </c>
      <c r="E2656" s="355">
        <v>60</v>
      </c>
      <c r="F2656" s="1662">
        <v>1</v>
      </c>
      <c r="G2656" s="903"/>
    </row>
    <row r="2657" spans="1:7" ht="15" customHeight="1" x14ac:dyDescent="0.25">
      <c r="A2657" s="2352" t="s">
        <v>7810</v>
      </c>
      <c r="B2657" s="2352" t="s">
        <v>7498</v>
      </c>
      <c r="C2657" s="2352" t="s">
        <v>7498</v>
      </c>
      <c r="D2657" s="2352" t="s">
        <v>7811</v>
      </c>
      <c r="E2657" s="355">
        <v>100</v>
      </c>
      <c r="F2657" s="1662">
        <v>0</v>
      </c>
      <c r="G2657" s="903"/>
    </row>
    <row r="2658" spans="1:7" ht="15" customHeight="1" x14ac:dyDescent="0.25">
      <c r="A2658" s="2352" t="s">
        <v>7812</v>
      </c>
      <c r="B2658" s="2352" t="s">
        <v>7498</v>
      </c>
      <c r="C2658" s="2352" t="s">
        <v>7498</v>
      </c>
      <c r="D2658" s="2352" t="s">
        <v>7813</v>
      </c>
      <c r="E2658" s="355">
        <v>100</v>
      </c>
      <c r="F2658" s="1662">
        <v>32</v>
      </c>
      <c r="G2658" s="903"/>
    </row>
    <row r="2659" spans="1:7" ht="15" customHeight="1" x14ac:dyDescent="0.25">
      <c r="A2659" s="2352" t="s">
        <v>7814</v>
      </c>
      <c r="B2659" s="2352" t="s">
        <v>7498</v>
      </c>
      <c r="C2659" s="2352" t="s">
        <v>7498</v>
      </c>
      <c r="D2659" s="2352" t="s">
        <v>7815</v>
      </c>
      <c r="E2659" s="355">
        <v>100</v>
      </c>
      <c r="F2659" s="1662">
        <v>19</v>
      </c>
      <c r="G2659" s="903"/>
    </row>
    <row r="2660" spans="1:7" ht="15" customHeight="1" x14ac:dyDescent="0.25">
      <c r="A2660" s="2352" t="s">
        <v>7816</v>
      </c>
      <c r="B2660" s="2352" t="s">
        <v>7498</v>
      </c>
      <c r="C2660" s="2352" t="s">
        <v>7498</v>
      </c>
      <c r="D2660" s="2352" t="s">
        <v>7817</v>
      </c>
      <c r="E2660" s="355">
        <v>100</v>
      </c>
      <c r="F2660" s="1662">
        <v>19</v>
      </c>
      <c r="G2660" s="903"/>
    </row>
    <row r="2661" spans="1:7" ht="15" customHeight="1" x14ac:dyDescent="0.25">
      <c r="A2661" s="2352" t="s">
        <v>7816</v>
      </c>
      <c r="B2661" s="2352" t="s">
        <v>7498</v>
      </c>
      <c r="C2661" s="2352" t="s">
        <v>7498</v>
      </c>
      <c r="D2661" s="2352" t="s">
        <v>7818</v>
      </c>
      <c r="E2661" s="355">
        <v>160</v>
      </c>
      <c r="F2661" s="1662">
        <v>30</v>
      </c>
      <c r="G2661" s="903"/>
    </row>
    <row r="2662" spans="1:7" ht="15" customHeight="1" x14ac:dyDescent="0.25">
      <c r="A2662" s="2352" t="s">
        <v>7819</v>
      </c>
      <c r="B2662" s="2352" t="s">
        <v>7498</v>
      </c>
      <c r="C2662" s="2352" t="s">
        <v>7498</v>
      </c>
      <c r="D2662" s="2352" t="s">
        <v>7820</v>
      </c>
      <c r="E2662" s="355">
        <v>100</v>
      </c>
      <c r="F2662" s="1662">
        <v>41</v>
      </c>
      <c r="G2662" s="903"/>
    </row>
    <row r="2663" spans="1:7" ht="15" customHeight="1" x14ac:dyDescent="0.25">
      <c r="A2663" s="2352" t="s">
        <v>7819</v>
      </c>
      <c r="B2663" s="2352" t="s">
        <v>7498</v>
      </c>
      <c r="C2663" s="2352" t="s">
        <v>7498</v>
      </c>
      <c r="D2663" s="2352" t="s">
        <v>7821</v>
      </c>
      <c r="E2663" s="355">
        <v>250</v>
      </c>
      <c r="F2663" s="1662">
        <v>172</v>
      </c>
      <c r="G2663" s="903"/>
    </row>
    <row r="2664" spans="1:7" ht="15" customHeight="1" x14ac:dyDescent="0.25">
      <c r="A2664" s="2352" t="s">
        <v>7819</v>
      </c>
      <c r="B2664" s="2352" t="s">
        <v>7498</v>
      </c>
      <c r="C2664" s="2352" t="s">
        <v>7498</v>
      </c>
      <c r="D2664" s="2352" t="s">
        <v>7822</v>
      </c>
      <c r="E2664" s="355">
        <v>400</v>
      </c>
      <c r="F2664" s="1662">
        <v>289</v>
      </c>
      <c r="G2664" s="903"/>
    </row>
    <row r="2665" spans="1:7" ht="15" customHeight="1" x14ac:dyDescent="0.25">
      <c r="A2665" s="2352" t="s">
        <v>14375</v>
      </c>
      <c r="B2665" s="2352" t="s">
        <v>7498</v>
      </c>
      <c r="C2665" s="2352" t="s">
        <v>7498</v>
      </c>
      <c r="D2665" s="2352" t="s">
        <v>7823</v>
      </c>
      <c r="E2665" s="355">
        <v>250</v>
      </c>
      <c r="F2665" s="1662">
        <v>141</v>
      </c>
      <c r="G2665" s="903"/>
    </row>
    <row r="2666" spans="1:7" ht="15" customHeight="1" x14ac:dyDescent="0.25">
      <c r="A2666" s="2352" t="s">
        <v>7824</v>
      </c>
      <c r="B2666" s="2352" t="s">
        <v>7498</v>
      </c>
      <c r="C2666" s="2352" t="s">
        <v>7498</v>
      </c>
      <c r="D2666" s="2352" t="s">
        <v>7825</v>
      </c>
      <c r="E2666" s="355">
        <v>100</v>
      </c>
      <c r="F2666" s="1662">
        <v>39</v>
      </c>
      <c r="G2666" s="903"/>
    </row>
    <row r="2667" spans="1:7" ht="15" customHeight="1" x14ac:dyDescent="0.25">
      <c r="A2667" s="2352" t="s">
        <v>7826</v>
      </c>
      <c r="B2667" s="2352" t="s">
        <v>7498</v>
      </c>
      <c r="C2667" s="2352" t="s">
        <v>7498</v>
      </c>
      <c r="D2667" s="2352" t="s">
        <v>7827</v>
      </c>
      <c r="E2667" s="355">
        <v>160</v>
      </c>
      <c r="F2667" s="1662">
        <v>72</v>
      </c>
      <c r="G2667" s="903"/>
    </row>
    <row r="2668" spans="1:7" ht="15" customHeight="1" x14ac:dyDescent="0.25">
      <c r="A2668" s="2352" t="s">
        <v>7828</v>
      </c>
      <c r="B2668" s="2352" t="s">
        <v>7498</v>
      </c>
      <c r="C2668" s="2352" t="s">
        <v>7498</v>
      </c>
      <c r="D2668" s="2352" t="s">
        <v>7829</v>
      </c>
      <c r="E2668" s="355">
        <v>30</v>
      </c>
      <c r="F2668" s="1662">
        <v>2</v>
      </c>
      <c r="G2668" s="903"/>
    </row>
    <row r="2669" spans="1:7" ht="15" customHeight="1" x14ac:dyDescent="0.25">
      <c r="A2669" s="2352" t="s">
        <v>4433</v>
      </c>
      <c r="B2669" s="2352" t="s">
        <v>7498</v>
      </c>
      <c r="C2669" s="2352" t="s">
        <v>7498</v>
      </c>
      <c r="D2669" s="2352" t="s">
        <v>7830</v>
      </c>
      <c r="E2669" s="355">
        <v>250</v>
      </c>
      <c r="F2669" s="1662">
        <v>123</v>
      </c>
      <c r="G2669" s="903"/>
    </row>
    <row r="2670" spans="1:7" ht="15" customHeight="1" x14ac:dyDescent="0.25">
      <c r="A2670" s="2352" t="s">
        <v>14376</v>
      </c>
      <c r="B2670" s="2352" t="s">
        <v>7498</v>
      </c>
      <c r="C2670" s="2352" t="s">
        <v>7498</v>
      </c>
      <c r="D2670" s="2352" t="s">
        <v>7831</v>
      </c>
      <c r="E2670" s="355">
        <v>100</v>
      </c>
      <c r="F2670" s="1662">
        <v>39</v>
      </c>
      <c r="G2670" s="903"/>
    </row>
    <row r="2671" spans="1:7" ht="15" customHeight="1" x14ac:dyDescent="0.25">
      <c r="A2671" s="2352" t="s">
        <v>14377</v>
      </c>
      <c r="B2671" s="2352" t="s">
        <v>7498</v>
      </c>
      <c r="C2671" s="2352" t="s">
        <v>7498</v>
      </c>
      <c r="D2671" s="2352" t="s">
        <v>7832</v>
      </c>
      <c r="E2671" s="355">
        <v>63</v>
      </c>
      <c r="F2671" s="1662">
        <v>55</v>
      </c>
      <c r="G2671" s="903"/>
    </row>
    <row r="2672" spans="1:7" ht="15" customHeight="1" x14ac:dyDescent="0.25">
      <c r="A2672" s="2352" t="s">
        <v>14378</v>
      </c>
      <c r="B2672" s="2352" t="s">
        <v>7498</v>
      </c>
      <c r="C2672" s="2352" t="s">
        <v>7498</v>
      </c>
      <c r="D2672" s="2352" t="s">
        <v>7833</v>
      </c>
      <c r="E2672" s="355">
        <v>30</v>
      </c>
      <c r="F2672" s="1662">
        <v>1</v>
      </c>
      <c r="G2672" s="903"/>
    </row>
    <row r="2673" spans="1:7" ht="15" customHeight="1" x14ac:dyDescent="0.25">
      <c r="A2673" s="2352" t="s">
        <v>7834</v>
      </c>
      <c r="B2673" s="2352" t="s">
        <v>7498</v>
      </c>
      <c r="C2673" s="2352" t="s">
        <v>7498</v>
      </c>
      <c r="D2673" s="2352" t="s">
        <v>7835</v>
      </c>
      <c r="E2673" s="355">
        <v>40</v>
      </c>
      <c r="F2673" s="1662">
        <v>16</v>
      </c>
      <c r="G2673" s="903"/>
    </row>
    <row r="2674" spans="1:7" ht="15" customHeight="1" x14ac:dyDescent="0.25">
      <c r="A2674" s="2352" t="s">
        <v>5052</v>
      </c>
      <c r="B2674" s="2352" t="s">
        <v>7498</v>
      </c>
      <c r="C2674" s="2352" t="s">
        <v>7498</v>
      </c>
      <c r="D2674" s="2352" t="s">
        <v>7836</v>
      </c>
      <c r="E2674" s="355">
        <v>63</v>
      </c>
      <c r="F2674" s="1662">
        <v>0</v>
      </c>
      <c r="G2674" s="903"/>
    </row>
    <row r="2675" spans="1:7" ht="15" customHeight="1" x14ac:dyDescent="0.25">
      <c r="A2675" s="2352" t="s">
        <v>7837</v>
      </c>
      <c r="B2675" s="2352" t="s">
        <v>7498</v>
      </c>
      <c r="C2675" s="2352" t="s">
        <v>7498</v>
      </c>
      <c r="D2675" s="2352" t="s">
        <v>7838</v>
      </c>
      <c r="E2675" s="355">
        <v>250</v>
      </c>
      <c r="F2675" s="1662">
        <v>2</v>
      </c>
      <c r="G2675" s="903"/>
    </row>
    <row r="2676" spans="1:7" ht="15" customHeight="1" x14ac:dyDescent="0.25">
      <c r="A2676" s="2352" t="s">
        <v>4516</v>
      </c>
      <c r="B2676" s="2352" t="s">
        <v>7498</v>
      </c>
      <c r="C2676" s="2352" t="s">
        <v>7498</v>
      </c>
      <c r="D2676" s="2352" t="s">
        <v>7839</v>
      </c>
      <c r="E2676" s="355">
        <v>100</v>
      </c>
      <c r="F2676" s="1662">
        <v>12</v>
      </c>
      <c r="G2676" s="903"/>
    </row>
    <row r="2677" spans="1:7" ht="15" customHeight="1" x14ac:dyDescent="0.25">
      <c r="A2677" s="2352" t="s">
        <v>4497</v>
      </c>
      <c r="B2677" s="2352" t="s">
        <v>7498</v>
      </c>
      <c r="C2677" s="2352" t="s">
        <v>7498</v>
      </c>
      <c r="D2677" s="2352" t="s">
        <v>7840</v>
      </c>
      <c r="E2677" s="355">
        <v>60</v>
      </c>
      <c r="F2677" s="1662">
        <v>0</v>
      </c>
      <c r="G2677" s="903"/>
    </row>
    <row r="2678" spans="1:7" ht="15" customHeight="1" x14ac:dyDescent="0.25">
      <c r="A2678" s="2352" t="s">
        <v>4516</v>
      </c>
      <c r="B2678" s="2352" t="s">
        <v>7498</v>
      </c>
      <c r="C2678" s="2352" t="s">
        <v>7498</v>
      </c>
      <c r="D2678" s="2352" t="s">
        <v>7841</v>
      </c>
      <c r="E2678" s="355">
        <v>60</v>
      </c>
      <c r="F2678" s="1662">
        <v>0</v>
      </c>
      <c r="G2678" s="903"/>
    </row>
    <row r="2679" spans="1:7" ht="15" customHeight="1" x14ac:dyDescent="0.25">
      <c r="A2679" s="2352" t="s">
        <v>7842</v>
      </c>
      <c r="B2679" s="2352" t="s">
        <v>7498</v>
      </c>
      <c r="C2679" s="2352" t="s">
        <v>7498</v>
      </c>
      <c r="D2679" s="2352" t="s">
        <v>7843</v>
      </c>
      <c r="E2679" s="355">
        <v>160</v>
      </c>
      <c r="F2679" s="1662">
        <v>79</v>
      </c>
      <c r="G2679" s="903"/>
    </row>
    <row r="2680" spans="1:7" ht="15" customHeight="1" x14ac:dyDescent="0.25">
      <c r="A2680" s="2352" t="s">
        <v>7844</v>
      </c>
      <c r="B2680" s="2352" t="s">
        <v>7498</v>
      </c>
      <c r="C2680" s="2352" t="s">
        <v>7498</v>
      </c>
      <c r="D2680" s="2352" t="s">
        <v>7845</v>
      </c>
      <c r="E2680" s="355">
        <v>250</v>
      </c>
      <c r="F2680" s="1662">
        <v>142</v>
      </c>
      <c r="G2680" s="903"/>
    </row>
    <row r="2681" spans="1:7" ht="15" customHeight="1" x14ac:dyDescent="0.25">
      <c r="A2681" s="2352" t="s">
        <v>4516</v>
      </c>
      <c r="B2681" s="2352" t="s">
        <v>7498</v>
      </c>
      <c r="C2681" s="2352" t="s">
        <v>7498</v>
      </c>
      <c r="D2681" s="2352" t="s">
        <v>7846</v>
      </c>
      <c r="E2681" s="355">
        <v>100</v>
      </c>
      <c r="F2681" s="1662">
        <v>0</v>
      </c>
      <c r="G2681" s="903"/>
    </row>
    <row r="2682" spans="1:7" ht="15" customHeight="1" x14ac:dyDescent="0.25">
      <c r="A2682" s="2352" t="s">
        <v>4497</v>
      </c>
      <c r="B2682" s="2352" t="s">
        <v>7498</v>
      </c>
      <c r="C2682" s="2352" t="s">
        <v>7498</v>
      </c>
      <c r="D2682" s="2352" t="s">
        <v>7847</v>
      </c>
      <c r="E2682" s="355">
        <v>250</v>
      </c>
      <c r="F2682" s="1662">
        <v>109</v>
      </c>
      <c r="G2682" s="903"/>
    </row>
    <row r="2683" spans="1:7" ht="15" customHeight="1" x14ac:dyDescent="0.25">
      <c r="A2683" s="2352" t="s">
        <v>7844</v>
      </c>
      <c r="B2683" s="2352" t="s">
        <v>7498</v>
      </c>
      <c r="C2683" s="2352" t="s">
        <v>7498</v>
      </c>
      <c r="D2683" s="2352" t="s">
        <v>7848</v>
      </c>
      <c r="E2683" s="355">
        <v>100</v>
      </c>
      <c r="F2683" s="1662">
        <v>3</v>
      </c>
      <c r="G2683" s="903"/>
    </row>
    <row r="2684" spans="1:7" ht="15" customHeight="1" x14ac:dyDescent="0.25">
      <c r="A2684" s="2352" t="s">
        <v>14379</v>
      </c>
      <c r="B2684" s="2352" t="s">
        <v>7498</v>
      </c>
      <c r="C2684" s="2352" t="s">
        <v>7498</v>
      </c>
      <c r="D2684" s="2352" t="s">
        <v>7849</v>
      </c>
      <c r="E2684" s="355">
        <v>100</v>
      </c>
      <c r="F2684" s="1662">
        <v>40</v>
      </c>
      <c r="G2684" s="903"/>
    </row>
    <row r="2685" spans="1:7" ht="15" customHeight="1" x14ac:dyDescent="0.25">
      <c r="A2685" s="2352" t="s">
        <v>7326</v>
      </c>
      <c r="B2685" s="2352" t="s">
        <v>7498</v>
      </c>
      <c r="C2685" s="2352" t="s">
        <v>7498</v>
      </c>
      <c r="D2685" s="2352" t="s">
        <v>7850</v>
      </c>
      <c r="E2685" s="355">
        <v>20</v>
      </c>
      <c r="F2685" s="1662">
        <v>2</v>
      </c>
      <c r="G2685" s="903"/>
    </row>
    <row r="2686" spans="1:7" ht="15" customHeight="1" x14ac:dyDescent="0.25">
      <c r="A2686" s="2352" t="s">
        <v>4632</v>
      </c>
      <c r="B2686" s="2352" t="s">
        <v>7498</v>
      </c>
      <c r="C2686" s="2352" t="s">
        <v>7498</v>
      </c>
      <c r="D2686" s="2352" t="s">
        <v>7851</v>
      </c>
      <c r="E2686" s="355">
        <v>100</v>
      </c>
      <c r="F2686" s="1662">
        <v>0</v>
      </c>
      <c r="G2686" s="903"/>
    </row>
    <row r="2687" spans="1:7" ht="15" customHeight="1" x14ac:dyDescent="0.25">
      <c r="A2687" s="2352" t="s">
        <v>14380</v>
      </c>
      <c r="B2687" s="2352" t="s">
        <v>7498</v>
      </c>
      <c r="C2687" s="2352" t="s">
        <v>7498</v>
      </c>
      <c r="D2687" s="2352" t="s">
        <v>7852</v>
      </c>
      <c r="E2687" s="355">
        <v>160</v>
      </c>
      <c r="F2687" s="1662">
        <v>65</v>
      </c>
      <c r="G2687" s="903"/>
    </row>
    <row r="2688" spans="1:7" ht="15" customHeight="1" x14ac:dyDescent="0.25">
      <c r="A2688" s="2352" t="s">
        <v>7475</v>
      </c>
      <c r="B2688" s="2352" t="s">
        <v>7498</v>
      </c>
      <c r="C2688" s="2352" t="s">
        <v>7498</v>
      </c>
      <c r="D2688" s="2352" t="s">
        <v>7853</v>
      </c>
      <c r="E2688" s="355">
        <v>100</v>
      </c>
      <c r="F2688" s="1662">
        <v>20</v>
      </c>
      <c r="G2688" s="903"/>
    </row>
    <row r="2689" spans="1:7" ht="15" customHeight="1" x14ac:dyDescent="0.25">
      <c r="A2689" s="2352" t="s">
        <v>14381</v>
      </c>
      <c r="B2689" s="2352" t="s">
        <v>7498</v>
      </c>
      <c r="C2689" s="2352" t="s">
        <v>7498</v>
      </c>
      <c r="D2689" s="2352" t="s">
        <v>7854</v>
      </c>
      <c r="E2689" s="355">
        <v>100</v>
      </c>
      <c r="F2689" s="1662">
        <v>35</v>
      </c>
      <c r="G2689" s="903"/>
    </row>
    <row r="2690" spans="1:7" ht="15" customHeight="1" x14ac:dyDescent="0.25">
      <c r="A2690" s="2352" t="s">
        <v>7855</v>
      </c>
      <c r="B2690" s="2352" t="s">
        <v>7498</v>
      </c>
      <c r="C2690" s="2352" t="s">
        <v>7498</v>
      </c>
      <c r="D2690" s="2352" t="s">
        <v>7856</v>
      </c>
      <c r="E2690" s="355">
        <v>100</v>
      </c>
      <c r="F2690" s="1662">
        <v>21</v>
      </c>
      <c r="G2690" s="903"/>
    </row>
    <row r="2691" spans="1:7" ht="15" customHeight="1" x14ac:dyDescent="0.25">
      <c r="A2691" s="2352" t="s">
        <v>7855</v>
      </c>
      <c r="B2691" s="2352" t="s">
        <v>7498</v>
      </c>
      <c r="C2691" s="2352" t="s">
        <v>7498</v>
      </c>
      <c r="D2691" s="2352" t="s">
        <v>7857</v>
      </c>
      <c r="E2691" s="355">
        <v>100</v>
      </c>
      <c r="F2691" s="1662">
        <v>4</v>
      </c>
      <c r="G2691" s="903"/>
    </row>
    <row r="2692" spans="1:7" ht="15" customHeight="1" x14ac:dyDescent="0.25">
      <c r="A2692" s="2352" t="s">
        <v>7855</v>
      </c>
      <c r="B2692" s="2352" t="s">
        <v>7498</v>
      </c>
      <c r="C2692" s="2352" t="s">
        <v>7498</v>
      </c>
      <c r="D2692" s="2352" t="s">
        <v>7858</v>
      </c>
      <c r="E2692" s="355">
        <v>160</v>
      </c>
      <c r="F2692" s="1662">
        <v>81</v>
      </c>
      <c r="G2692" s="903"/>
    </row>
    <row r="2693" spans="1:7" ht="15" customHeight="1" x14ac:dyDescent="0.25">
      <c r="A2693" s="2352" t="s">
        <v>7855</v>
      </c>
      <c r="B2693" s="2352" t="s">
        <v>7498</v>
      </c>
      <c r="C2693" s="2352" t="s">
        <v>7498</v>
      </c>
      <c r="D2693" s="2352" t="s">
        <v>7859</v>
      </c>
      <c r="E2693" s="355" t="s">
        <v>6278</v>
      </c>
      <c r="F2693" s="1662">
        <v>203</v>
      </c>
      <c r="G2693" s="903"/>
    </row>
    <row r="2694" spans="1:7" ht="15" customHeight="1" x14ac:dyDescent="0.25">
      <c r="A2694" s="2352" t="s">
        <v>7860</v>
      </c>
      <c r="B2694" s="2352" t="s">
        <v>7498</v>
      </c>
      <c r="C2694" s="2352" t="s">
        <v>7498</v>
      </c>
      <c r="D2694" s="2352" t="s">
        <v>7861</v>
      </c>
      <c r="E2694" s="355">
        <v>20</v>
      </c>
      <c r="F2694" s="1662">
        <v>0</v>
      </c>
      <c r="G2694" s="903"/>
    </row>
    <row r="2695" spans="1:7" ht="15" customHeight="1" x14ac:dyDescent="0.25">
      <c r="A2695" s="2352" t="s">
        <v>7855</v>
      </c>
      <c r="B2695" s="2352" t="s">
        <v>7498</v>
      </c>
      <c r="C2695" s="2352" t="s">
        <v>7498</v>
      </c>
      <c r="D2695" s="2352" t="s">
        <v>7862</v>
      </c>
      <c r="E2695" s="355">
        <v>250</v>
      </c>
      <c r="F2695" s="1662">
        <v>142</v>
      </c>
      <c r="G2695" s="903"/>
    </row>
    <row r="2696" spans="1:7" ht="15" customHeight="1" x14ac:dyDescent="0.25">
      <c r="A2696" s="2352" t="s">
        <v>7863</v>
      </c>
      <c r="B2696" s="2352" t="s">
        <v>7498</v>
      </c>
      <c r="C2696" s="2352" t="s">
        <v>7498</v>
      </c>
      <c r="D2696" s="2352" t="s">
        <v>7864</v>
      </c>
      <c r="E2696" s="355">
        <v>250</v>
      </c>
      <c r="F2696" s="1662">
        <v>129</v>
      </c>
      <c r="G2696" s="903"/>
    </row>
    <row r="2697" spans="1:7" ht="15" customHeight="1" x14ac:dyDescent="0.25">
      <c r="A2697" s="2352" t="s">
        <v>7863</v>
      </c>
      <c r="B2697" s="2352" t="s">
        <v>7498</v>
      </c>
      <c r="C2697" s="2352" t="s">
        <v>7498</v>
      </c>
      <c r="D2697" s="2352" t="s">
        <v>7865</v>
      </c>
      <c r="E2697" s="355">
        <v>160</v>
      </c>
      <c r="F2697" s="1662">
        <v>129</v>
      </c>
      <c r="G2697" s="903"/>
    </row>
    <row r="2698" spans="1:7" ht="15" customHeight="1" x14ac:dyDescent="0.25">
      <c r="A2698" s="2352" t="s">
        <v>7863</v>
      </c>
      <c r="B2698" s="2352" t="s">
        <v>7498</v>
      </c>
      <c r="C2698" s="2352" t="s">
        <v>7498</v>
      </c>
      <c r="D2698" s="2352" t="s">
        <v>7866</v>
      </c>
      <c r="E2698" s="355">
        <v>250</v>
      </c>
      <c r="F2698" s="1662">
        <v>240</v>
      </c>
      <c r="G2698" s="903"/>
    </row>
    <row r="2699" spans="1:7" ht="15" customHeight="1" x14ac:dyDescent="0.25">
      <c r="A2699" s="2352" t="s">
        <v>7863</v>
      </c>
      <c r="B2699" s="2352" t="s">
        <v>7498</v>
      </c>
      <c r="C2699" s="2352" t="s">
        <v>7498</v>
      </c>
      <c r="D2699" s="2352" t="s">
        <v>7867</v>
      </c>
      <c r="E2699" s="355">
        <v>250</v>
      </c>
      <c r="F2699" s="1662">
        <v>201</v>
      </c>
      <c r="G2699" s="903"/>
    </row>
    <row r="2700" spans="1:7" ht="15" customHeight="1" x14ac:dyDescent="0.25">
      <c r="A2700" s="2352" t="s">
        <v>7868</v>
      </c>
      <c r="B2700" s="2352" t="s">
        <v>7498</v>
      </c>
      <c r="C2700" s="2352" t="s">
        <v>7498</v>
      </c>
      <c r="D2700" s="2352" t="s">
        <v>7869</v>
      </c>
      <c r="E2700" s="355">
        <v>30</v>
      </c>
      <c r="F2700" s="1662">
        <v>10</v>
      </c>
      <c r="G2700" s="903"/>
    </row>
    <row r="2701" spans="1:7" ht="15" customHeight="1" x14ac:dyDescent="0.25">
      <c r="A2701" s="2352" t="s">
        <v>7870</v>
      </c>
      <c r="B2701" s="2352" t="s">
        <v>7498</v>
      </c>
      <c r="C2701" s="2352" t="s">
        <v>7498</v>
      </c>
      <c r="D2701" s="2352" t="s">
        <v>7871</v>
      </c>
      <c r="E2701" s="355">
        <v>20</v>
      </c>
      <c r="F2701" s="1662">
        <v>2</v>
      </c>
      <c r="G2701" s="903"/>
    </row>
    <row r="2702" spans="1:7" ht="15" customHeight="1" x14ac:dyDescent="0.25">
      <c r="A2702" s="2352" t="s">
        <v>14382</v>
      </c>
      <c r="B2702" s="2352" t="s">
        <v>7498</v>
      </c>
      <c r="C2702" s="2352" t="s">
        <v>7498</v>
      </c>
      <c r="D2702" s="2352" t="s">
        <v>7872</v>
      </c>
      <c r="E2702" s="355">
        <v>60</v>
      </c>
      <c r="F2702" s="1662">
        <v>4</v>
      </c>
      <c r="G2702" s="903"/>
    </row>
    <row r="2703" spans="1:7" ht="15" customHeight="1" x14ac:dyDescent="0.25">
      <c r="A2703" s="2352" t="s">
        <v>7873</v>
      </c>
      <c r="B2703" s="2352" t="s">
        <v>7498</v>
      </c>
      <c r="C2703" s="2352" t="s">
        <v>7498</v>
      </c>
      <c r="D2703" s="2352" t="s">
        <v>7874</v>
      </c>
      <c r="E2703" s="355">
        <v>60</v>
      </c>
      <c r="F2703" s="1662">
        <v>29</v>
      </c>
      <c r="G2703" s="903"/>
    </row>
    <row r="2704" spans="1:7" ht="15" customHeight="1" x14ac:dyDescent="0.25">
      <c r="A2704" s="2352" t="s">
        <v>7875</v>
      </c>
      <c r="B2704" s="2352" t="s">
        <v>7498</v>
      </c>
      <c r="C2704" s="2352" t="s">
        <v>7498</v>
      </c>
      <c r="D2704" s="2352" t="s">
        <v>7876</v>
      </c>
      <c r="E2704" s="355">
        <v>160</v>
      </c>
      <c r="F2704" s="1662">
        <v>29</v>
      </c>
      <c r="G2704" s="903"/>
    </row>
    <row r="2705" spans="1:7" ht="15" customHeight="1" x14ac:dyDescent="0.25">
      <c r="A2705" s="2352" t="s">
        <v>7877</v>
      </c>
      <c r="B2705" s="2352" t="s">
        <v>7498</v>
      </c>
      <c r="C2705" s="2352" t="s">
        <v>7498</v>
      </c>
      <c r="D2705" s="2352" t="s">
        <v>7878</v>
      </c>
      <c r="E2705" s="355">
        <v>20</v>
      </c>
      <c r="F2705" s="1662">
        <v>3</v>
      </c>
      <c r="G2705" s="903"/>
    </row>
    <row r="2706" spans="1:7" ht="15" customHeight="1" x14ac:dyDescent="0.25">
      <c r="A2706" s="2352" t="s">
        <v>7879</v>
      </c>
      <c r="B2706" s="2352" t="s">
        <v>7498</v>
      </c>
      <c r="C2706" s="2352" t="s">
        <v>7498</v>
      </c>
      <c r="D2706" s="2352" t="s">
        <v>7880</v>
      </c>
      <c r="E2706" s="355">
        <v>30</v>
      </c>
      <c r="F2706" s="1662">
        <v>2</v>
      </c>
      <c r="G2706" s="903"/>
    </row>
    <row r="2707" spans="1:7" ht="15" customHeight="1" x14ac:dyDescent="0.25">
      <c r="A2707" s="2352" t="s">
        <v>7226</v>
      </c>
      <c r="B2707" s="2352" t="s">
        <v>7498</v>
      </c>
      <c r="C2707" s="2352" t="s">
        <v>7498</v>
      </c>
      <c r="D2707" s="2352" t="s">
        <v>7881</v>
      </c>
      <c r="E2707" s="355">
        <v>30</v>
      </c>
      <c r="F2707" s="1662">
        <v>0</v>
      </c>
      <c r="G2707" s="903"/>
    </row>
    <row r="2708" spans="1:7" ht="15" customHeight="1" x14ac:dyDescent="0.25">
      <c r="A2708" s="2352" t="s">
        <v>7882</v>
      </c>
      <c r="B2708" s="2352" t="s">
        <v>7498</v>
      </c>
      <c r="C2708" s="2352" t="s">
        <v>7498</v>
      </c>
      <c r="D2708" s="2352" t="s">
        <v>7883</v>
      </c>
      <c r="E2708" s="355">
        <v>160</v>
      </c>
      <c r="F2708" s="1662">
        <v>125</v>
      </c>
      <c r="G2708" s="903"/>
    </row>
    <row r="2709" spans="1:7" ht="15" customHeight="1" x14ac:dyDescent="0.25">
      <c r="A2709" s="2352" t="s">
        <v>7884</v>
      </c>
      <c r="B2709" s="2352" t="s">
        <v>7498</v>
      </c>
      <c r="C2709" s="2352" t="s">
        <v>7498</v>
      </c>
      <c r="D2709" s="2352" t="s">
        <v>7885</v>
      </c>
      <c r="E2709" s="355">
        <v>100</v>
      </c>
      <c r="F2709" s="1662">
        <v>84</v>
      </c>
      <c r="G2709" s="903"/>
    </row>
    <row r="2710" spans="1:7" ht="15" customHeight="1" x14ac:dyDescent="0.25">
      <c r="A2710" s="2352" t="s">
        <v>7884</v>
      </c>
      <c r="B2710" s="2352" t="s">
        <v>7498</v>
      </c>
      <c r="C2710" s="2352" t="s">
        <v>7498</v>
      </c>
      <c r="D2710" s="2352" t="s">
        <v>7886</v>
      </c>
      <c r="E2710" s="355">
        <v>400</v>
      </c>
      <c r="F2710" s="1662">
        <v>376</v>
      </c>
      <c r="G2710" s="903"/>
    </row>
    <row r="2711" spans="1:7" ht="15" customHeight="1" x14ac:dyDescent="0.25">
      <c r="A2711" s="2352" t="s">
        <v>7887</v>
      </c>
      <c r="B2711" s="2352" t="s">
        <v>7498</v>
      </c>
      <c r="C2711" s="2352" t="s">
        <v>7498</v>
      </c>
      <c r="D2711" s="2352" t="s">
        <v>7888</v>
      </c>
      <c r="E2711" s="355">
        <v>63</v>
      </c>
      <c r="F2711" s="1662">
        <v>39</v>
      </c>
      <c r="G2711" s="903"/>
    </row>
    <row r="2712" spans="1:7" ht="15" customHeight="1" x14ac:dyDescent="0.25">
      <c r="A2712" s="2352" t="s">
        <v>7889</v>
      </c>
      <c r="B2712" s="2352" t="s">
        <v>7498</v>
      </c>
      <c r="C2712" s="2352" t="s">
        <v>7498</v>
      </c>
      <c r="D2712" s="2352" t="s">
        <v>7890</v>
      </c>
      <c r="E2712" s="355">
        <v>40</v>
      </c>
      <c r="F2712" s="1662">
        <v>0</v>
      </c>
      <c r="G2712" s="903"/>
    </row>
    <row r="2713" spans="1:7" ht="15" customHeight="1" x14ac:dyDescent="0.25">
      <c r="A2713" s="2352" t="s">
        <v>7855</v>
      </c>
      <c r="B2713" s="2352" t="s">
        <v>7498</v>
      </c>
      <c r="C2713" s="2352" t="s">
        <v>7498</v>
      </c>
      <c r="D2713" s="2352" t="s">
        <v>7891</v>
      </c>
      <c r="E2713" s="355">
        <v>160</v>
      </c>
      <c r="F2713" s="1662">
        <v>34</v>
      </c>
      <c r="G2713" s="903"/>
    </row>
    <row r="2714" spans="1:7" ht="15" customHeight="1" x14ac:dyDescent="0.25">
      <c r="A2714" s="2352" t="s">
        <v>7855</v>
      </c>
      <c r="B2714" s="2352" t="s">
        <v>7498</v>
      </c>
      <c r="C2714" s="2352" t="s">
        <v>7498</v>
      </c>
      <c r="D2714" s="2352" t="s">
        <v>7892</v>
      </c>
      <c r="E2714" s="355">
        <v>400</v>
      </c>
      <c r="F2714" s="1662">
        <v>303</v>
      </c>
      <c r="G2714" s="903"/>
    </row>
    <row r="2715" spans="1:7" ht="15" customHeight="1" x14ac:dyDescent="0.25">
      <c r="A2715" s="2352" t="s">
        <v>14383</v>
      </c>
      <c r="B2715" s="2352" t="s">
        <v>7498</v>
      </c>
      <c r="C2715" s="2352" t="s">
        <v>7498</v>
      </c>
      <c r="D2715" s="2352" t="s">
        <v>7893</v>
      </c>
      <c r="E2715" s="355">
        <v>60</v>
      </c>
      <c r="F2715" s="1662">
        <v>11</v>
      </c>
      <c r="G2715" s="903"/>
    </row>
    <row r="2716" spans="1:7" ht="15" customHeight="1" x14ac:dyDescent="0.25">
      <c r="A2716" s="2352" t="s">
        <v>7894</v>
      </c>
      <c r="B2716" s="2352" t="s">
        <v>7498</v>
      </c>
      <c r="C2716" s="2352" t="s">
        <v>7498</v>
      </c>
      <c r="D2716" s="2352" t="s">
        <v>7895</v>
      </c>
      <c r="E2716" s="355">
        <v>20</v>
      </c>
      <c r="F2716" s="1662">
        <v>4</v>
      </c>
      <c r="G2716" s="903"/>
    </row>
    <row r="2717" spans="1:7" ht="15" customHeight="1" x14ac:dyDescent="0.25">
      <c r="A2717" s="2352" t="s">
        <v>4413</v>
      </c>
      <c r="B2717" s="2352" t="s">
        <v>7498</v>
      </c>
      <c r="C2717" s="2352" t="s">
        <v>7498</v>
      </c>
      <c r="D2717" s="2352" t="s">
        <v>7896</v>
      </c>
      <c r="E2717" s="355">
        <v>160</v>
      </c>
      <c r="F2717" s="1662">
        <v>114</v>
      </c>
      <c r="G2717" s="903"/>
    </row>
    <row r="2718" spans="1:7" ht="15" customHeight="1" x14ac:dyDescent="0.25">
      <c r="A2718" s="2352" t="s">
        <v>7828</v>
      </c>
      <c r="B2718" s="2352" t="s">
        <v>7498</v>
      </c>
      <c r="C2718" s="2352" t="s">
        <v>7498</v>
      </c>
      <c r="D2718" s="2352" t="s">
        <v>7897</v>
      </c>
      <c r="E2718" s="355">
        <v>30</v>
      </c>
      <c r="F2718" s="1662">
        <v>2</v>
      </c>
      <c r="G2718" s="903"/>
    </row>
    <row r="2719" spans="1:7" ht="15" customHeight="1" x14ac:dyDescent="0.25">
      <c r="A2719" s="2352" t="s">
        <v>7884</v>
      </c>
      <c r="B2719" s="2352" t="s">
        <v>7498</v>
      </c>
      <c r="C2719" s="2352" t="s">
        <v>7498</v>
      </c>
      <c r="D2719" s="2352" t="s">
        <v>7898</v>
      </c>
      <c r="E2719" s="355">
        <v>100</v>
      </c>
      <c r="F2719" s="1662">
        <v>68</v>
      </c>
      <c r="G2719" s="903"/>
    </row>
    <row r="2720" spans="1:7" ht="15" customHeight="1" x14ac:dyDescent="0.25">
      <c r="A2720" s="2352" t="s">
        <v>4764</v>
      </c>
      <c r="B2720" s="2352" t="s">
        <v>7498</v>
      </c>
      <c r="C2720" s="2352" t="s">
        <v>7498</v>
      </c>
      <c r="D2720" s="2352" t="s">
        <v>7899</v>
      </c>
      <c r="E2720" s="355">
        <v>60</v>
      </c>
      <c r="F2720" s="1662">
        <v>23</v>
      </c>
      <c r="G2720" s="903"/>
    </row>
    <row r="2721" spans="1:7" ht="15" customHeight="1" x14ac:dyDescent="0.25">
      <c r="A2721" s="2352" t="s">
        <v>7884</v>
      </c>
      <c r="B2721" s="2352" t="s">
        <v>7498</v>
      </c>
      <c r="C2721" s="2352" t="s">
        <v>7498</v>
      </c>
      <c r="D2721" s="2352" t="s">
        <v>7900</v>
      </c>
      <c r="E2721" s="355">
        <v>160</v>
      </c>
      <c r="F2721" s="1662">
        <v>123</v>
      </c>
      <c r="G2721" s="903"/>
    </row>
    <row r="2722" spans="1:7" ht="15" customHeight="1" x14ac:dyDescent="0.25">
      <c r="A2722" s="2352" t="s">
        <v>7901</v>
      </c>
      <c r="B2722" s="2352" t="s">
        <v>7498</v>
      </c>
      <c r="C2722" s="2352" t="s">
        <v>7498</v>
      </c>
      <c r="D2722" s="2352" t="s">
        <v>7902</v>
      </c>
      <c r="E2722" s="355">
        <v>100</v>
      </c>
      <c r="F2722" s="1662">
        <v>21</v>
      </c>
      <c r="G2722" s="903"/>
    </row>
    <row r="2723" spans="1:7" ht="15" customHeight="1" x14ac:dyDescent="0.25">
      <c r="A2723" s="2352" t="s">
        <v>7901</v>
      </c>
      <c r="B2723" s="2352" t="s">
        <v>7498</v>
      </c>
      <c r="C2723" s="2352" t="s">
        <v>7498</v>
      </c>
      <c r="D2723" s="2352" t="s">
        <v>7903</v>
      </c>
      <c r="E2723" s="355">
        <v>100</v>
      </c>
      <c r="F2723" s="1662">
        <v>1</v>
      </c>
      <c r="G2723" s="903"/>
    </row>
    <row r="2724" spans="1:7" ht="15" customHeight="1" x14ac:dyDescent="0.25">
      <c r="A2724" s="2352" t="s">
        <v>7904</v>
      </c>
      <c r="B2724" s="2352" t="s">
        <v>7498</v>
      </c>
      <c r="C2724" s="2352" t="s">
        <v>7498</v>
      </c>
      <c r="D2724" s="2352" t="s">
        <v>7905</v>
      </c>
      <c r="E2724" s="355">
        <v>160</v>
      </c>
      <c r="F2724" s="1662">
        <v>0</v>
      </c>
      <c r="G2724" s="903"/>
    </row>
    <row r="2725" spans="1:7" ht="15" customHeight="1" x14ac:dyDescent="0.25">
      <c r="A2725" s="2352" t="s">
        <v>4516</v>
      </c>
      <c r="B2725" s="2352" t="s">
        <v>7498</v>
      </c>
      <c r="C2725" s="2352" t="s">
        <v>7498</v>
      </c>
      <c r="D2725" s="2352" t="s">
        <v>7906</v>
      </c>
      <c r="E2725" s="355">
        <v>100</v>
      </c>
      <c r="F2725" s="1662">
        <v>0</v>
      </c>
      <c r="G2725" s="903"/>
    </row>
    <row r="2726" spans="1:7" ht="15" customHeight="1" x14ac:dyDescent="0.25">
      <c r="A2726" s="2352" t="s">
        <v>7907</v>
      </c>
      <c r="B2726" s="2352" t="s">
        <v>7498</v>
      </c>
      <c r="C2726" s="2352" t="s">
        <v>7498</v>
      </c>
      <c r="D2726" s="2352" t="s">
        <v>7908</v>
      </c>
      <c r="E2726" s="355">
        <v>100</v>
      </c>
      <c r="F2726" s="1662">
        <v>0</v>
      </c>
      <c r="G2726" s="903"/>
    </row>
    <row r="2727" spans="1:7" ht="15" customHeight="1" x14ac:dyDescent="0.25">
      <c r="A2727" s="2352" t="s">
        <v>7907</v>
      </c>
      <c r="B2727" s="2352" t="s">
        <v>7498</v>
      </c>
      <c r="C2727" s="2352" t="s">
        <v>7498</v>
      </c>
      <c r="D2727" s="2352" t="s">
        <v>7909</v>
      </c>
      <c r="E2727" s="355">
        <v>250</v>
      </c>
      <c r="F2727" s="1662">
        <v>39</v>
      </c>
      <c r="G2727" s="903"/>
    </row>
    <row r="2728" spans="1:7" ht="15" customHeight="1" x14ac:dyDescent="0.25">
      <c r="A2728" s="2352" t="s">
        <v>7910</v>
      </c>
      <c r="B2728" s="2352" t="s">
        <v>7498</v>
      </c>
      <c r="C2728" s="2352" t="s">
        <v>7498</v>
      </c>
      <c r="D2728" s="2352" t="s">
        <v>7911</v>
      </c>
      <c r="E2728" s="355">
        <v>160</v>
      </c>
      <c r="F2728" s="1662">
        <v>22</v>
      </c>
      <c r="G2728" s="903"/>
    </row>
    <row r="2729" spans="1:7" ht="15" customHeight="1" x14ac:dyDescent="0.25">
      <c r="A2729" s="2352" t="s">
        <v>7910</v>
      </c>
      <c r="B2729" s="2352" t="s">
        <v>7498</v>
      </c>
      <c r="C2729" s="2352" t="s">
        <v>7498</v>
      </c>
      <c r="D2729" s="2352" t="s">
        <v>7912</v>
      </c>
      <c r="E2729" s="355">
        <v>250</v>
      </c>
      <c r="F2729" s="1662">
        <v>163</v>
      </c>
      <c r="G2729" s="903"/>
    </row>
    <row r="2730" spans="1:7" ht="15" customHeight="1" x14ac:dyDescent="0.25">
      <c r="A2730" s="2352" t="s">
        <v>7910</v>
      </c>
      <c r="B2730" s="2352" t="s">
        <v>7498</v>
      </c>
      <c r="C2730" s="2352" t="s">
        <v>7498</v>
      </c>
      <c r="D2730" s="2352" t="s">
        <v>7913</v>
      </c>
      <c r="E2730" s="355">
        <v>100</v>
      </c>
      <c r="F2730" s="1662">
        <v>10</v>
      </c>
      <c r="G2730" s="903"/>
    </row>
    <row r="2731" spans="1:7" ht="15" customHeight="1" x14ac:dyDescent="0.25">
      <c r="A2731" s="2352" t="s">
        <v>7914</v>
      </c>
      <c r="B2731" s="2352" t="s">
        <v>7498</v>
      </c>
      <c r="C2731" s="2352" t="s">
        <v>7498</v>
      </c>
      <c r="D2731" s="2352" t="s">
        <v>7915</v>
      </c>
      <c r="E2731" s="355">
        <v>160</v>
      </c>
      <c r="F2731" s="1662">
        <v>11</v>
      </c>
      <c r="G2731" s="903"/>
    </row>
    <row r="2732" spans="1:7" ht="15" customHeight="1" x14ac:dyDescent="0.25">
      <c r="A2732" s="2352" t="s">
        <v>7914</v>
      </c>
      <c r="B2732" s="2352" t="s">
        <v>7498</v>
      </c>
      <c r="C2732" s="2352" t="s">
        <v>7498</v>
      </c>
      <c r="D2732" s="2352" t="s">
        <v>7916</v>
      </c>
      <c r="E2732" s="355">
        <v>100</v>
      </c>
      <c r="F2732" s="1662">
        <v>24</v>
      </c>
      <c r="G2732" s="903"/>
    </row>
    <row r="2733" spans="1:7" ht="15" customHeight="1" x14ac:dyDescent="0.25">
      <c r="A2733" s="2352" t="s">
        <v>7917</v>
      </c>
      <c r="B2733" s="2352" t="s">
        <v>7498</v>
      </c>
      <c r="C2733" s="2352" t="s">
        <v>7498</v>
      </c>
      <c r="D2733" s="2352" t="s">
        <v>7918</v>
      </c>
      <c r="E2733" s="355">
        <v>160</v>
      </c>
      <c r="F2733" s="1662">
        <v>52</v>
      </c>
      <c r="G2733" s="903"/>
    </row>
    <row r="2734" spans="1:7" ht="15" customHeight="1" x14ac:dyDescent="0.25">
      <c r="A2734" s="2352" t="s">
        <v>7919</v>
      </c>
      <c r="B2734" s="2352" t="s">
        <v>7498</v>
      </c>
      <c r="C2734" s="2352" t="s">
        <v>7498</v>
      </c>
      <c r="D2734" s="2352" t="s">
        <v>7920</v>
      </c>
      <c r="E2734" s="355">
        <v>100</v>
      </c>
      <c r="F2734" s="1662">
        <v>23</v>
      </c>
      <c r="G2734" s="903"/>
    </row>
    <row r="2735" spans="1:7" ht="15" customHeight="1" x14ac:dyDescent="0.25">
      <c r="A2735" s="2352" t="s">
        <v>7921</v>
      </c>
      <c r="B2735" s="2352" t="s">
        <v>7498</v>
      </c>
      <c r="C2735" s="2352" t="s">
        <v>7498</v>
      </c>
      <c r="D2735" s="2352" t="s">
        <v>7922</v>
      </c>
      <c r="E2735" s="355">
        <v>250</v>
      </c>
      <c r="F2735" s="1662">
        <v>183</v>
      </c>
      <c r="G2735" s="903"/>
    </row>
    <row r="2736" spans="1:7" ht="15" customHeight="1" x14ac:dyDescent="0.25">
      <c r="A2736" s="2352" t="s">
        <v>7921</v>
      </c>
      <c r="B2736" s="2352" t="s">
        <v>7498</v>
      </c>
      <c r="C2736" s="2352" t="s">
        <v>7498</v>
      </c>
      <c r="D2736" s="2352" t="s">
        <v>7923</v>
      </c>
      <c r="E2736" s="355">
        <v>160</v>
      </c>
      <c r="F2736" s="1662">
        <v>35</v>
      </c>
      <c r="G2736" s="903"/>
    </row>
    <row r="2737" spans="1:7" ht="15" customHeight="1" x14ac:dyDescent="0.25">
      <c r="A2737" s="2352" t="s">
        <v>7924</v>
      </c>
      <c r="B2737" s="2352" t="s">
        <v>7498</v>
      </c>
      <c r="C2737" s="2352" t="s">
        <v>7498</v>
      </c>
      <c r="D2737" s="2352" t="s">
        <v>7925</v>
      </c>
      <c r="E2737" s="355">
        <v>100</v>
      </c>
      <c r="F2737" s="1662">
        <v>1</v>
      </c>
      <c r="G2737" s="903"/>
    </row>
    <row r="2738" spans="1:7" ht="15" customHeight="1" x14ac:dyDescent="0.25">
      <c r="A2738" s="2352" t="s">
        <v>7926</v>
      </c>
      <c r="B2738" s="2352" t="s">
        <v>7498</v>
      </c>
      <c r="C2738" s="2352" t="s">
        <v>7498</v>
      </c>
      <c r="D2738" s="2352" t="s">
        <v>7927</v>
      </c>
      <c r="E2738" s="355">
        <v>20</v>
      </c>
      <c r="F2738" s="1662">
        <v>5</v>
      </c>
      <c r="G2738" s="903"/>
    </row>
    <row r="2739" spans="1:7" ht="15" customHeight="1" x14ac:dyDescent="0.25">
      <c r="A2739" s="2352" t="s">
        <v>7928</v>
      </c>
      <c r="B2739" s="2352" t="s">
        <v>7498</v>
      </c>
      <c r="C2739" s="2352" t="s">
        <v>7498</v>
      </c>
      <c r="D2739" s="2352" t="s">
        <v>7929</v>
      </c>
      <c r="E2739" s="355">
        <v>30</v>
      </c>
      <c r="F2739" s="1662">
        <v>0</v>
      </c>
      <c r="G2739" s="903"/>
    </row>
    <row r="2740" spans="1:7" ht="15" customHeight="1" x14ac:dyDescent="0.25">
      <c r="A2740" s="2352" t="s">
        <v>7930</v>
      </c>
      <c r="B2740" s="2352" t="s">
        <v>7498</v>
      </c>
      <c r="C2740" s="2352" t="s">
        <v>7498</v>
      </c>
      <c r="D2740" s="2352" t="s">
        <v>7931</v>
      </c>
      <c r="E2740" s="355">
        <v>30</v>
      </c>
      <c r="F2740" s="1662">
        <v>2</v>
      </c>
      <c r="G2740" s="903"/>
    </row>
    <row r="2741" spans="1:7" ht="15" customHeight="1" x14ac:dyDescent="0.25">
      <c r="A2741" s="2352" t="s">
        <v>7932</v>
      </c>
      <c r="B2741" s="2352" t="s">
        <v>7498</v>
      </c>
      <c r="C2741" s="2352" t="s">
        <v>7498</v>
      </c>
      <c r="D2741" s="2352" t="s">
        <v>7933</v>
      </c>
      <c r="E2741" s="355">
        <v>100</v>
      </c>
      <c r="F2741" s="1662">
        <v>33</v>
      </c>
      <c r="G2741" s="903"/>
    </row>
    <row r="2742" spans="1:7" ht="15" customHeight="1" x14ac:dyDescent="0.25">
      <c r="A2742" s="2352" t="s">
        <v>7934</v>
      </c>
      <c r="B2742" s="2352" t="s">
        <v>7498</v>
      </c>
      <c r="C2742" s="2352" t="s">
        <v>7498</v>
      </c>
      <c r="D2742" s="2352" t="s">
        <v>7935</v>
      </c>
      <c r="E2742" s="355">
        <v>30</v>
      </c>
      <c r="F2742" s="1662">
        <v>0</v>
      </c>
      <c r="G2742" s="903"/>
    </row>
    <row r="2743" spans="1:7" ht="15" customHeight="1" x14ac:dyDescent="0.25">
      <c r="A2743" s="2352" t="s">
        <v>7936</v>
      </c>
      <c r="B2743" s="2352" t="s">
        <v>7498</v>
      </c>
      <c r="C2743" s="2352" t="s">
        <v>7498</v>
      </c>
      <c r="D2743" s="2352" t="s">
        <v>7937</v>
      </c>
      <c r="E2743" s="355">
        <v>30</v>
      </c>
      <c r="F2743" s="1662">
        <v>2</v>
      </c>
      <c r="G2743" s="903"/>
    </row>
    <row r="2744" spans="1:7" ht="15" customHeight="1" x14ac:dyDescent="0.25">
      <c r="A2744" s="2352" t="s">
        <v>4764</v>
      </c>
      <c r="B2744" s="2352" t="s">
        <v>7498</v>
      </c>
      <c r="C2744" s="2352" t="s">
        <v>7498</v>
      </c>
      <c r="D2744" s="2352" t="s">
        <v>7938</v>
      </c>
      <c r="E2744" s="355">
        <v>100</v>
      </c>
      <c r="F2744" s="1662">
        <v>33</v>
      </c>
      <c r="G2744" s="903"/>
    </row>
    <row r="2745" spans="1:7" ht="15" customHeight="1" x14ac:dyDescent="0.25">
      <c r="A2745" s="2352" t="s">
        <v>14384</v>
      </c>
      <c r="B2745" s="2352" t="s">
        <v>7498</v>
      </c>
      <c r="C2745" s="2352" t="s">
        <v>7498</v>
      </c>
      <c r="D2745" s="2352" t="s">
        <v>7939</v>
      </c>
      <c r="E2745" s="355">
        <v>100</v>
      </c>
      <c r="F2745" s="1662">
        <v>0</v>
      </c>
      <c r="G2745" s="903"/>
    </row>
    <row r="2746" spans="1:7" ht="15" customHeight="1" x14ac:dyDescent="0.25">
      <c r="A2746" s="2352" t="s">
        <v>7940</v>
      </c>
      <c r="B2746" s="2352" t="s">
        <v>7498</v>
      </c>
      <c r="C2746" s="2352" t="s">
        <v>7498</v>
      </c>
      <c r="D2746" s="2352" t="s">
        <v>7941</v>
      </c>
      <c r="E2746" s="355">
        <v>100</v>
      </c>
      <c r="F2746" s="1662">
        <v>45</v>
      </c>
      <c r="G2746" s="903"/>
    </row>
    <row r="2747" spans="1:7" ht="15" customHeight="1" x14ac:dyDescent="0.25">
      <c r="A2747" s="2352" t="s">
        <v>6541</v>
      </c>
      <c r="B2747" s="2352" t="s">
        <v>7498</v>
      </c>
      <c r="C2747" s="2352" t="s">
        <v>7498</v>
      </c>
      <c r="D2747" s="2352" t="s">
        <v>7942</v>
      </c>
      <c r="E2747" s="355">
        <v>100</v>
      </c>
      <c r="F2747" s="1662">
        <v>49</v>
      </c>
      <c r="G2747" s="903"/>
    </row>
    <row r="2748" spans="1:7" ht="15" customHeight="1" x14ac:dyDescent="0.25">
      <c r="A2748" s="2352" t="s">
        <v>7943</v>
      </c>
      <c r="B2748" s="2352" t="s">
        <v>7498</v>
      </c>
      <c r="C2748" s="2352" t="s">
        <v>7498</v>
      </c>
      <c r="D2748" s="2352" t="s">
        <v>7944</v>
      </c>
      <c r="E2748" s="355">
        <v>100</v>
      </c>
      <c r="F2748" s="1662">
        <v>14</v>
      </c>
      <c r="G2748" s="903"/>
    </row>
    <row r="2749" spans="1:7" ht="15" customHeight="1" x14ac:dyDescent="0.25">
      <c r="A2749" s="2352" t="s">
        <v>7945</v>
      </c>
      <c r="B2749" s="2352" t="s">
        <v>7498</v>
      </c>
      <c r="C2749" s="2352" t="s">
        <v>7498</v>
      </c>
      <c r="D2749" s="2352" t="s">
        <v>7946</v>
      </c>
      <c r="E2749" s="355">
        <v>60</v>
      </c>
      <c r="F2749" s="1662">
        <v>12</v>
      </c>
      <c r="G2749" s="903"/>
    </row>
    <row r="2750" spans="1:7" ht="15" customHeight="1" x14ac:dyDescent="0.25">
      <c r="A2750" s="2352" t="s">
        <v>7947</v>
      </c>
      <c r="B2750" s="2352" t="s">
        <v>7498</v>
      </c>
      <c r="C2750" s="2352" t="s">
        <v>7498</v>
      </c>
      <c r="D2750" s="2352" t="s">
        <v>7948</v>
      </c>
      <c r="E2750" s="355">
        <v>400</v>
      </c>
      <c r="F2750" s="1662">
        <v>249</v>
      </c>
      <c r="G2750" s="903"/>
    </row>
    <row r="2751" spans="1:7" ht="15" customHeight="1" x14ac:dyDescent="0.25">
      <c r="A2751" s="2352" t="s">
        <v>7947</v>
      </c>
      <c r="B2751" s="2352" t="s">
        <v>7498</v>
      </c>
      <c r="C2751" s="2352" t="s">
        <v>7498</v>
      </c>
      <c r="D2751" s="2352" t="s">
        <v>7949</v>
      </c>
      <c r="E2751" s="355">
        <v>250</v>
      </c>
      <c r="F2751" s="1662">
        <v>141</v>
      </c>
      <c r="G2751" s="903"/>
    </row>
    <row r="2752" spans="1:7" ht="15" customHeight="1" x14ac:dyDescent="0.25">
      <c r="A2752" s="2352" t="s">
        <v>14385</v>
      </c>
      <c r="B2752" s="2352" t="s">
        <v>7498</v>
      </c>
      <c r="C2752" s="2352" t="s">
        <v>7498</v>
      </c>
      <c r="D2752" s="2352" t="s">
        <v>7950</v>
      </c>
      <c r="E2752" s="355">
        <v>160</v>
      </c>
      <c r="F2752" s="1662">
        <v>0</v>
      </c>
      <c r="G2752" s="903"/>
    </row>
    <row r="2753" spans="1:7" ht="15" customHeight="1" x14ac:dyDescent="0.25">
      <c r="A2753" s="2352" t="s">
        <v>7947</v>
      </c>
      <c r="B2753" s="2352" t="s">
        <v>7498</v>
      </c>
      <c r="C2753" s="2352" t="s">
        <v>7498</v>
      </c>
      <c r="D2753" s="2352" t="s">
        <v>7951</v>
      </c>
      <c r="E2753" s="355">
        <v>400</v>
      </c>
      <c r="F2753" s="1662">
        <v>274</v>
      </c>
      <c r="G2753" s="903"/>
    </row>
    <row r="2754" spans="1:7" ht="15" customHeight="1" x14ac:dyDescent="0.25">
      <c r="A2754" s="2352" t="s">
        <v>7952</v>
      </c>
      <c r="B2754" s="2352" t="s">
        <v>7498</v>
      </c>
      <c r="C2754" s="2352" t="s">
        <v>7498</v>
      </c>
      <c r="D2754" s="2352" t="s">
        <v>7953</v>
      </c>
      <c r="E2754" s="355">
        <v>60</v>
      </c>
      <c r="F2754" s="1662">
        <v>0</v>
      </c>
      <c r="G2754" s="903"/>
    </row>
    <row r="2755" spans="1:7" ht="15" customHeight="1" x14ac:dyDescent="0.25">
      <c r="A2755" s="2352" t="s">
        <v>14386</v>
      </c>
      <c r="B2755" s="2352" t="s">
        <v>7498</v>
      </c>
      <c r="C2755" s="2352" t="s">
        <v>7498</v>
      </c>
      <c r="D2755" s="2352" t="s">
        <v>7954</v>
      </c>
      <c r="E2755" s="355">
        <v>100</v>
      </c>
      <c r="F2755" s="1662">
        <v>12</v>
      </c>
      <c r="G2755" s="903"/>
    </row>
    <row r="2756" spans="1:7" ht="15" customHeight="1" x14ac:dyDescent="0.25">
      <c r="A2756" s="2352" t="s">
        <v>14387</v>
      </c>
      <c r="B2756" s="2352" t="s">
        <v>7498</v>
      </c>
      <c r="C2756" s="2352" t="s">
        <v>7498</v>
      </c>
      <c r="D2756" s="2352" t="s">
        <v>7955</v>
      </c>
      <c r="E2756" s="355">
        <v>250</v>
      </c>
      <c r="F2756" s="1662">
        <v>3</v>
      </c>
      <c r="G2756" s="903"/>
    </row>
    <row r="2757" spans="1:7" ht="15" customHeight="1" x14ac:dyDescent="0.25">
      <c r="A2757" s="2352" t="s">
        <v>7956</v>
      </c>
      <c r="B2757" s="2352" t="s">
        <v>7498</v>
      </c>
      <c r="C2757" s="2352" t="s">
        <v>7498</v>
      </c>
      <c r="D2757" s="2352" t="s">
        <v>7957</v>
      </c>
      <c r="E2757" s="355">
        <v>30</v>
      </c>
      <c r="F2757" s="1662">
        <v>2</v>
      </c>
      <c r="G2757" s="903"/>
    </row>
    <row r="2758" spans="1:7" ht="15" customHeight="1" x14ac:dyDescent="0.25">
      <c r="A2758" s="2352" t="s">
        <v>7958</v>
      </c>
      <c r="B2758" s="2352" t="s">
        <v>7498</v>
      </c>
      <c r="C2758" s="2352" t="s">
        <v>7498</v>
      </c>
      <c r="D2758" s="2352" t="s">
        <v>7959</v>
      </c>
      <c r="E2758" s="355">
        <v>250</v>
      </c>
      <c r="F2758" s="1662">
        <v>112</v>
      </c>
      <c r="G2758" s="903"/>
    </row>
    <row r="2759" spans="1:7" ht="15" customHeight="1" x14ac:dyDescent="0.25">
      <c r="A2759" s="2352" t="s">
        <v>7960</v>
      </c>
      <c r="B2759" s="2352" t="s">
        <v>7498</v>
      </c>
      <c r="C2759" s="2352" t="s">
        <v>7498</v>
      </c>
      <c r="D2759" s="2352" t="s">
        <v>7961</v>
      </c>
      <c r="E2759" s="355">
        <v>100</v>
      </c>
      <c r="F2759" s="1662">
        <v>4</v>
      </c>
      <c r="G2759" s="903"/>
    </row>
    <row r="2760" spans="1:7" ht="15" customHeight="1" x14ac:dyDescent="0.25">
      <c r="A2760" s="2352" t="s">
        <v>7958</v>
      </c>
      <c r="B2760" s="2352" t="s">
        <v>7498</v>
      </c>
      <c r="C2760" s="2352" t="s">
        <v>7498</v>
      </c>
      <c r="D2760" s="2352" t="s">
        <v>7962</v>
      </c>
      <c r="E2760" s="355">
        <v>250</v>
      </c>
      <c r="F2760" s="1662">
        <v>79</v>
      </c>
      <c r="G2760" s="903"/>
    </row>
    <row r="2761" spans="1:7" ht="15" customHeight="1" x14ac:dyDescent="0.25">
      <c r="A2761" s="2352" t="s">
        <v>14388</v>
      </c>
      <c r="B2761" s="2352" t="s">
        <v>7498</v>
      </c>
      <c r="C2761" s="2352" t="s">
        <v>7498</v>
      </c>
      <c r="D2761" s="2352" t="s">
        <v>7963</v>
      </c>
      <c r="E2761" s="355">
        <v>160</v>
      </c>
      <c r="F2761" s="1662">
        <v>59</v>
      </c>
      <c r="G2761" s="903"/>
    </row>
    <row r="2762" spans="1:7" ht="15" customHeight="1" x14ac:dyDescent="0.25">
      <c r="A2762" s="2352" t="s">
        <v>7960</v>
      </c>
      <c r="B2762" s="2352" t="s">
        <v>7498</v>
      </c>
      <c r="C2762" s="2352" t="s">
        <v>7498</v>
      </c>
      <c r="D2762" s="2352" t="s">
        <v>7964</v>
      </c>
      <c r="E2762" s="355">
        <v>100</v>
      </c>
      <c r="F2762" s="1662">
        <v>23</v>
      </c>
      <c r="G2762" s="903"/>
    </row>
    <row r="2763" spans="1:7" ht="15" customHeight="1" x14ac:dyDescent="0.25">
      <c r="A2763" s="2352" t="s">
        <v>7958</v>
      </c>
      <c r="B2763" s="2352" t="s">
        <v>7498</v>
      </c>
      <c r="C2763" s="2352" t="s">
        <v>7498</v>
      </c>
      <c r="D2763" s="2352" t="s">
        <v>7965</v>
      </c>
      <c r="E2763" s="355">
        <v>60</v>
      </c>
      <c r="F2763" s="1662">
        <v>0</v>
      </c>
      <c r="G2763" s="903"/>
    </row>
    <row r="2764" spans="1:7" ht="15" customHeight="1" x14ac:dyDescent="0.25">
      <c r="A2764" s="2352" t="s">
        <v>7966</v>
      </c>
      <c r="B2764" s="2352" t="s">
        <v>7498</v>
      </c>
      <c r="C2764" s="2352" t="s">
        <v>7498</v>
      </c>
      <c r="D2764" s="2352" t="s">
        <v>7967</v>
      </c>
      <c r="E2764" s="355">
        <v>160</v>
      </c>
      <c r="F2764" s="1662">
        <v>0</v>
      </c>
      <c r="G2764" s="903"/>
    </row>
    <row r="2765" spans="1:7" ht="15" customHeight="1" x14ac:dyDescent="0.25">
      <c r="A2765" s="2352" t="s">
        <v>14389</v>
      </c>
      <c r="B2765" s="2352" t="s">
        <v>7498</v>
      </c>
      <c r="C2765" s="2352" t="s">
        <v>7498</v>
      </c>
      <c r="D2765" s="2352" t="s">
        <v>7968</v>
      </c>
      <c r="E2765" s="355">
        <v>100</v>
      </c>
      <c r="F2765" s="1662">
        <v>24</v>
      </c>
      <c r="G2765" s="903"/>
    </row>
    <row r="2766" spans="1:7" ht="15" customHeight="1" x14ac:dyDescent="0.25">
      <c r="A2766" s="2352" t="s">
        <v>7969</v>
      </c>
      <c r="B2766" s="2352" t="s">
        <v>7498</v>
      </c>
      <c r="C2766" s="2352" t="s">
        <v>7498</v>
      </c>
      <c r="D2766" s="2352" t="s">
        <v>7970</v>
      </c>
      <c r="E2766" s="355">
        <v>160</v>
      </c>
      <c r="F2766" s="1662">
        <v>83</v>
      </c>
      <c r="G2766" s="903"/>
    </row>
    <row r="2767" spans="1:7" ht="15" customHeight="1" x14ac:dyDescent="0.25">
      <c r="A2767" s="2352" t="s">
        <v>14390</v>
      </c>
      <c r="B2767" s="2352" t="s">
        <v>7498</v>
      </c>
      <c r="C2767" s="2352" t="s">
        <v>7498</v>
      </c>
      <c r="D2767" s="2352" t="s">
        <v>7971</v>
      </c>
      <c r="E2767" s="355">
        <v>100</v>
      </c>
      <c r="F2767" s="1662">
        <v>0</v>
      </c>
      <c r="G2767" s="903"/>
    </row>
    <row r="2768" spans="1:7" ht="15" customHeight="1" x14ac:dyDescent="0.25">
      <c r="A2768" s="2352" t="s">
        <v>14391</v>
      </c>
      <c r="B2768" s="2352" t="s">
        <v>7498</v>
      </c>
      <c r="C2768" s="2352" t="s">
        <v>7498</v>
      </c>
      <c r="D2768" s="2352" t="s">
        <v>7972</v>
      </c>
      <c r="E2768" s="355">
        <v>100</v>
      </c>
      <c r="F2768" s="1662">
        <v>17</v>
      </c>
      <c r="G2768" s="903"/>
    </row>
    <row r="2769" spans="1:7" ht="15" customHeight="1" x14ac:dyDescent="0.25">
      <c r="A2769" s="2352" t="s">
        <v>7973</v>
      </c>
      <c r="B2769" s="2352" t="s">
        <v>7498</v>
      </c>
      <c r="C2769" s="2352" t="s">
        <v>7498</v>
      </c>
      <c r="D2769" s="2352" t="s">
        <v>7974</v>
      </c>
      <c r="E2769" s="355">
        <v>30</v>
      </c>
      <c r="F2769" s="1662">
        <v>15</v>
      </c>
      <c r="G2769" s="903"/>
    </row>
    <row r="2770" spans="1:7" ht="15" customHeight="1" x14ac:dyDescent="0.25">
      <c r="A2770" s="2352" t="s">
        <v>14392</v>
      </c>
      <c r="B2770" s="2352" t="s">
        <v>7498</v>
      </c>
      <c r="C2770" s="2352" t="s">
        <v>7498</v>
      </c>
      <c r="D2770" s="2352" t="s">
        <v>7975</v>
      </c>
      <c r="E2770" s="355">
        <v>63</v>
      </c>
      <c r="F2770" s="1662">
        <v>0</v>
      </c>
      <c r="G2770" s="903"/>
    </row>
    <row r="2771" spans="1:7" ht="15" customHeight="1" x14ac:dyDescent="0.25">
      <c r="A2771" s="2352" t="s">
        <v>7976</v>
      </c>
      <c r="B2771" s="2352" t="s">
        <v>7498</v>
      </c>
      <c r="C2771" s="2352" t="s">
        <v>7498</v>
      </c>
      <c r="D2771" s="2352" t="s">
        <v>7977</v>
      </c>
      <c r="E2771" s="355">
        <v>160</v>
      </c>
      <c r="F2771" s="1662">
        <v>81</v>
      </c>
      <c r="G2771" s="903"/>
    </row>
    <row r="2772" spans="1:7" ht="15" customHeight="1" x14ac:dyDescent="0.25">
      <c r="A2772" s="2352" t="s">
        <v>14393</v>
      </c>
      <c r="B2772" s="2352" t="s">
        <v>7498</v>
      </c>
      <c r="C2772" s="2352" t="s">
        <v>7498</v>
      </c>
      <c r="D2772" s="2352" t="s">
        <v>7978</v>
      </c>
      <c r="E2772" s="355">
        <v>100</v>
      </c>
      <c r="F2772" s="1662">
        <v>12</v>
      </c>
      <c r="G2772" s="903"/>
    </row>
    <row r="2773" spans="1:7" ht="15" customHeight="1" x14ac:dyDescent="0.25">
      <c r="A2773" s="2352" t="s">
        <v>7979</v>
      </c>
      <c r="B2773" s="2352" t="s">
        <v>7498</v>
      </c>
      <c r="C2773" s="2352" t="s">
        <v>7498</v>
      </c>
      <c r="D2773" s="2352" t="s">
        <v>7980</v>
      </c>
      <c r="E2773" s="355">
        <v>25</v>
      </c>
      <c r="F2773" s="1662">
        <v>1</v>
      </c>
      <c r="G2773" s="903"/>
    </row>
    <row r="2774" spans="1:7" ht="15" customHeight="1" x14ac:dyDescent="0.25">
      <c r="A2774" s="2352" t="s">
        <v>7969</v>
      </c>
      <c r="B2774" s="2352" t="s">
        <v>7498</v>
      </c>
      <c r="C2774" s="2352" t="s">
        <v>7498</v>
      </c>
      <c r="D2774" s="2352" t="s">
        <v>7981</v>
      </c>
      <c r="E2774" s="355">
        <v>400</v>
      </c>
      <c r="F2774" s="1662">
        <v>322</v>
      </c>
      <c r="G2774" s="903"/>
    </row>
    <row r="2775" spans="1:7" ht="15" customHeight="1" x14ac:dyDescent="0.25">
      <c r="A2775" s="2352" t="s">
        <v>4218</v>
      </c>
      <c r="B2775" s="2352" t="s">
        <v>7498</v>
      </c>
      <c r="C2775" s="2352" t="s">
        <v>7498</v>
      </c>
      <c r="D2775" s="2352" t="s">
        <v>7982</v>
      </c>
      <c r="E2775" s="355">
        <v>30</v>
      </c>
      <c r="F2775" s="1662">
        <v>2</v>
      </c>
      <c r="G2775" s="903"/>
    </row>
    <row r="2776" spans="1:7" ht="15" customHeight="1" x14ac:dyDescent="0.25">
      <c r="A2776" s="2352" t="s">
        <v>7983</v>
      </c>
      <c r="B2776" s="2352" t="s">
        <v>7498</v>
      </c>
      <c r="C2776" s="2352" t="s">
        <v>7498</v>
      </c>
      <c r="D2776" s="2352" t="s">
        <v>7984</v>
      </c>
      <c r="E2776" s="355">
        <v>30</v>
      </c>
      <c r="F2776" s="1662">
        <v>1</v>
      </c>
      <c r="G2776" s="903"/>
    </row>
    <row r="2777" spans="1:7" ht="15" customHeight="1" x14ac:dyDescent="0.25">
      <c r="A2777" s="2352" t="s">
        <v>7985</v>
      </c>
      <c r="B2777" s="2352" t="s">
        <v>7498</v>
      </c>
      <c r="C2777" s="2352" t="s">
        <v>7498</v>
      </c>
      <c r="D2777" s="2352" t="s">
        <v>7986</v>
      </c>
      <c r="E2777" s="355">
        <v>30</v>
      </c>
      <c r="F2777" s="1662">
        <v>5</v>
      </c>
      <c r="G2777" s="903"/>
    </row>
    <row r="2778" spans="1:7" ht="15" customHeight="1" x14ac:dyDescent="0.25">
      <c r="A2778" s="2352" t="s">
        <v>7987</v>
      </c>
      <c r="B2778" s="2352" t="s">
        <v>7498</v>
      </c>
      <c r="C2778" s="2352" t="s">
        <v>7498</v>
      </c>
      <c r="D2778" s="2352" t="s">
        <v>7988</v>
      </c>
      <c r="E2778" s="355">
        <v>60</v>
      </c>
      <c r="F2778" s="1662">
        <v>5</v>
      </c>
      <c r="G2778" s="903"/>
    </row>
    <row r="2779" spans="1:7" ht="15" customHeight="1" x14ac:dyDescent="0.25">
      <c r="A2779" s="2352" t="s">
        <v>4303</v>
      </c>
      <c r="B2779" s="2352" t="s">
        <v>7498</v>
      </c>
      <c r="C2779" s="2352" t="s">
        <v>7498</v>
      </c>
      <c r="D2779" s="2352" t="s">
        <v>7989</v>
      </c>
      <c r="E2779" s="355">
        <v>60</v>
      </c>
      <c r="F2779" s="1662">
        <v>0</v>
      </c>
      <c r="G2779" s="903"/>
    </row>
    <row r="2780" spans="1:7" ht="15" customHeight="1" x14ac:dyDescent="0.25">
      <c r="A2780" s="2352" t="s">
        <v>7969</v>
      </c>
      <c r="B2780" s="2352" t="s">
        <v>7498</v>
      </c>
      <c r="C2780" s="2352" t="s">
        <v>7498</v>
      </c>
      <c r="D2780" s="2352" t="s">
        <v>7990</v>
      </c>
      <c r="E2780" s="355">
        <v>160</v>
      </c>
      <c r="F2780" s="1662">
        <v>101</v>
      </c>
      <c r="G2780" s="903"/>
    </row>
    <row r="2781" spans="1:7" ht="15" customHeight="1" x14ac:dyDescent="0.25">
      <c r="A2781" s="2352" t="s">
        <v>7991</v>
      </c>
      <c r="B2781" s="2352" t="s">
        <v>7498</v>
      </c>
      <c r="C2781" s="2352" t="s">
        <v>7498</v>
      </c>
      <c r="D2781" s="2352" t="s">
        <v>7992</v>
      </c>
      <c r="E2781" s="355">
        <v>250</v>
      </c>
      <c r="F2781" s="1662">
        <v>203</v>
      </c>
      <c r="G2781" s="903"/>
    </row>
    <row r="2782" spans="1:7" ht="15" customHeight="1" x14ac:dyDescent="0.25">
      <c r="A2782" s="2352" t="s">
        <v>14394</v>
      </c>
      <c r="B2782" s="2352" t="s">
        <v>7498</v>
      </c>
      <c r="C2782" s="2352" t="s">
        <v>7498</v>
      </c>
      <c r="D2782" s="2352" t="s">
        <v>7993</v>
      </c>
      <c r="E2782" s="355">
        <v>250</v>
      </c>
      <c r="F2782" s="1662">
        <v>35</v>
      </c>
      <c r="G2782" s="903"/>
    </row>
    <row r="2783" spans="1:7" ht="15" customHeight="1" x14ac:dyDescent="0.25">
      <c r="A2783" s="2352" t="s">
        <v>14395</v>
      </c>
      <c r="B2783" s="2352" t="s">
        <v>7498</v>
      </c>
      <c r="C2783" s="2352" t="s">
        <v>7498</v>
      </c>
      <c r="D2783" s="2352" t="s">
        <v>7994</v>
      </c>
      <c r="E2783" s="355">
        <v>250</v>
      </c>
      <c r="F2783" s="1662">
        <v>181</v>
      </c>
      <c r="G2783" s="903"/>
    </row>
    <row r="2784" spans="1:7" ht="15" customHeight="1" x14ac:dyDescent="0.25">
      <c r="A2784" s="2352" t="s">
        <v>7969</v>
      </c>
      <c r="B2784" s="2352" t="s">
        <v>7498</v>
      </c>
      <c r="C2784" s="2352" t="s">
        <v>7498</v>
      </c>
      <c r="D2784" s="2352" t="s">
        <v>7995</v>
      </c>
      <c r="E2784" s="355">
        <v>100</v>
      </c>
      <c r="F2784" s="1662">
        <v>13</v>
      </c>
      <c r="G2784" s="903"/>
    </row>
    <row r="2785" spans="1:7" ht="15" customHeight="1" x14ac:dyDescent="0.25">
      <c r="A2785" s="2352" t="s">
        <v>7996</v>
      </c>
      <c r="B2785" s="2352" t="s">
        <v>7498</v>
      </c>
      <c r="C2785" s="2352" t="s">
        <v>7498</v>
      </c>
      <c r="D2785" s="2352" t="s">
        <v>7997</v>
      </c>
      <c r="E2785" s="355">
        <v>160</v>
      </c>
      <c r="F2785" s="1662">
        <v>45</v>
      </c>
      <c r="G2785" s="903"/>
    </row>
    <row r="2786" spans="1:7" ht="15" customHeight="1" x14ac:dyDescent="0.25">
      <c r="A2786" s="2352" t="s">
        <v>7996</v>
      </c>
      <c r="B2786" s="2352" t="s">
        <v>7498</v>
      </c>
      <c r="C2786" s="2352" t="s">
        <v>7498</v>
      </c>
      <c r="D2786" s="2352" t="s">
        <v>7998</v>
      </c>
      <c r="E2786" s="355">
        <v>250</v>
      </c>
      <c r="F2786" s="1662">
        <v>20</v>
      </c>
      <c r="G2786" s="903"/>
    </row>
    <row r="2787" spans="1:7" ht="15" customHeight="1" x14ac:dyDescent="0.25">
      <c r="A2787" s="2352" t="s">
        <v>7999</v>
      </c>
      <c r="B2787" s="2352" t="s">
        <v>7498</v>
      </c>
      <c r="C2787" s="2352" t="s">
        <v>7498</v>
      </c>
      <c r="D2787" s="2352" t="s">
        <v>8000</v>
      </c>
      <c r="E2787" s="355">
        <v>250</v>
      </c>
      <c r="F2787" s="1662">
        <v>73</v>
      </c>
      <c r="G2787" s="903"/>
    </row>
    <row r="2788" spans="1:7" ht="15" customHeight="1" x14ac:dyDescent="0.25">
      <c r="A2788" s="2352" t="s">
        <v>7438</v>
      </c>
      <c r="B2788" s="2352" t="s">
        <v>7498</v>
      </c>
      <c r="C2788" s="2352" t="s">
        <v>7498</v>
      </c>
      <c r="D2788" s="2352" t="s">
        <v>8001</v>
      </c>
      <c r="E2788" s="355">
        <v>20</v>
      </c>
      <c r="F2788" s="1662">
        <v>0</v>
      </c>
      <c r="G2788" s="903"/>
    </row>
    <row r="2789" spans="1:7" ht="15" customHeight="1" x14ac:dyDescent="0.25">
      <c r="A2789" s="2352" t="s">
        <v>8002</v>
      </c>
      <c r="B2789" s="2352" t="s">
        <v>7498</v>
      </c>
      <c r="C2789" s="2352" t="s">
        <v>7498</v>
      </c>
      <c r="D2789" s="2352" t="s">
        <v>8003</v>
      </c>
      <c r="E2789" s="355">
        <v>160</v>
      </c>
      <c r="F2789" s="1662">
        <v>0</v>
      </c>
      <c r="G2789" s="903"/>
    </row>
    <row r="2790" spans="1:7" ht="15" customHeight="1" x14ac:dyDescent="0.25">
      <c r="A2790" s="2352" t="s">
        <v>17116</v>
      </c>
      <c r="B2790" s="2352" t="s">
        <v>8005</v>
      </c>
      <c r="C2790" s="2352" t="s">
        <v>8005</v>
      </c>
      <c r="D2790" s="2352" t="s">
        <v>8006</v>
      </c>
      <c r="E2790" s="355" t="s">
        <v>17117</v>
      </c>
      <c r="F2790" s="1662">
        <v>97</v>
      </c>
      <c r="G2790" s="903"/>
    </row>
    <row r="2791" spans="1:7" ht="15" customHeight="1" x14ac:dyDescent="0.25">
      <c r="A2791" s="2352" t="s">
        <v>17118</v>
      </c>
      <c r="B2791" s="2352" t="s">
        <v>8005</v>
      </c>
      <c r="C2791" s="2352" t="s">
        <v>8005</v>
      </c>
      <c r="D2791" s="2352" t="s">
        <v>8007</v>
      </c>
      <c r="E2791" s="355" t="s">
        <v>17119</v>
      </c>
      <c r="F2791" s="1662">
        <v>42</v>
      </c>
      <c r="G2791" s="903"/>
    </row>
    <row r="2792" spans="1:7" ht="15" customHeight="1" x14ac:dyDescent="0.25">
      <c r="A2792" s="2352" t="s">
        <v>17120</v>
      </c>
      <c r="B2792" s="2352" t="s">
        <v>8005</v>
      </c>
      <c r="C2792" s="2352" t="s">
        <v>8005</v>
      </c>
      <c r="D2792" s="2352" t="s">
        <v>8008</v>
      </c>
      <c r="E2792" s="355" t="s">
        <v>17121</v>
      </c>
      <c r="F2792" s="1662">
        <v>246</v>
      </c>
      <c r="G2792" s="903"/>
    </row>
    <row r="2793" spans="1:7" ht="15" customHeight="1" x14ac:dyDescent="0.25">
      <c r="A2793" s="2352" t="s">
        <v>17122</v>
      </c>
      <c r="B2793" s="2352" t="s">
        <v>8005</v>
      </c>
      <c r="C2793" s="2352" t="s">
        <v>8005</v>
      </c>
      <c r="D2793" s="2352" t="s">
        <v>8009</v>
      </c>
      <c r="E2793" s="355" t="s">
        <v>17123</v>
      </c>
      <c r="F2793" s="1662">
        <v>57</v>
      </c>
      <c r="G2793" s="903"/>
    </row>
    <row r="2794" spans="1:7" ht="15" customHeight="1" x14ac:dyDescent="0.25">
      <c r="A2794" s="2352" t="s">
        <v>17124</v>
      </c>
      <c r="B2794" s="2352" t="s">
        <v>8005</v>
      </c>
      <c r="C2794" s="2352" t="s">
        <v>8005</v>
      </c>
      <c r="D2794" s="2352" t="s">
        <v>8010</v>
      </c>
      <c r="E2794" s="355" t="s">
        <v>17125</v>
      </c>
      <c r="F2794" s="1662">
        <v>17</v>
      </c>
      <c r="G2794" s="903"/>
    </row>
    <row r="2795" spans="1:7" ht="15" customHeight="1" x14ac:dyDescent="0.25">
      <c r="A2795" s="2352" t="s">
        <v>17126</v>
      </c>
      <c r="B2795" s="2352" t="s">
        <v>8005</v>
      </c>
      <c r="C2795" s="2352" t="s">
        <v>8005</v>
      </c>
      <c r="D2795" s="2352" t="s">
        <v>8011</v>
      </c>
      <c r="E2795" s="355" t="s">
        <v>17127</v>
      </c>
      <c r="F2795" s="1662">
        <v>11</v>
      </c>
      <c r="G2795" s="903"/>
    </row>
    <row r="2796" spans="1:7" ht="15" customHeight="1" x14ac:dyDescent="0.25">
      <c r="A2796" s="2352" t="s">
        <v>17128</v>
      </c>
      <c r="B2796" s="2352" t="s">
        <v>8005</v>
      </c>
      <c r="C2796" s="2352" t="s">
        <v>8005</v>
      </c>
      <c r="D2796" s="2352" t="s">
        <v>8012</v>
      </c>
      <c r="E2796" s="355" t="s">
        <v>17123</v>
      </c>
      <c r="F2796" s="1662">
        <v>9</v>
      </c>
      <c r="G2796" s="903"/>
    </row>
    <row r="2797" spans="1:7" ht="15" customHeight="1" x14ac:dyDescent="0.25">
      <c r="A2797" s="2352" t="s">
        <v>17124</v>
      </c>
      <c r="B2797" s="2352" t="s">
        <v>8005</v>
      </c>
      <c r="C2797" s="2352" t="s">
        <v>8005</v>
      </c>
      <c r="D2797" s="2352" t="s">
        <v>8013</v>
      </c>
      <c r="E2797" s="355" t="s">
        <v>17117</v>
      </c>
      <c r="F2797" s="1662">
        <v>115</v>
      </c>
      <c r="G2797" s="903"/>
    </row>
    <row r="2798" spans="1:7" ht="15" customHeight="1" x14ac:dyDescent="0.25">
      <c r="A2798" s="2352" t="s">
        <v>17129</v>
      </c>
      <c r="B2798" s="2352" t="s">
        <v>8005</v>
      </c>
      <c r="C2798" s="2352" t="s">
        <v>8005</v>
      </c>
      <c r="D2798" s="2352" t="s">
        <v>8014</v>
      </c>
      <c r="E2798" s="355" t="s">
        <v>17130</v>
      </c>
      <c r="F2798" s="1662">
        <v>205</v>
      </c>
      <c r="G2798" s="903"/>
    </row>
    <row r="2799" spans="1:7" ht="15" customHeight="1" x14ac:dyDescent="0.25">
      <c r="A2799" s="2352" t="s">
        <v>17131</v>
      </c>
      <c r="B2799" s="2352" t="s">
        <v>8005</v>
      </c>
      <c r="C2799" s="2352" t="s">
        <v>8005</v>
      </c>
      <c r="D2799" s="2352" t="s">
        <v>8015</v>
      </c>
      <c r="E2799" s="355" t="s">
        <v>17123</v>
      </c>
      <c r="F2799" s="1662">
        <v>87</v>
      </c>
      <c r="G2799" s="903"/>
    </row>
    <row r="2800" spans="1:7" ht="15" customHeight="1" x14ac:dyDescent="0.25">
      <c r="A2800" s="2352" t="s">
        <v>17132</v>
      </c>
      <c r="B2800" s="2352" t="s">
        <v>8005</v>
      </c>
      <c r="C2800" s="2352" t="s">
        <v>8005</v>
      </c>
      <c r="D2800" s="2352" t="s">
        <v>8016</v>
      </c>
      <c r="E2800" s="355" t="s">
        <v>17121</v>
      </c>
      <c r="F2800" s="1662">
        <v>300</v>
      </c>
      <c r="G2800" s="903"/>
    </row>
    <row r="2801" spans="1:7" ht="15" customHeight="1" x14ac:dyDescent="0.25">
      <c r="A2801" s="2352" t="s">
        <v>17133</v>
      </c>
      <c r="B2801" s="2352" t="s">
        <v>8005</v>
      </c>
      <c r="C2801" s="2352" t="s">
        <v>8005</v>
      </c>
      <c r="D2801" s="2352" t="s">
        <v>8017</v>
      </c>
      <c r="E2801" s="355" t="s">
        <v>17127</v>
      </c>
      <c r="F2801" s="1662">
        <v>40</v>
      </c>
      <c r="G2801" s="903"/>
    </row>
    <row r="2802" spans="1:7" ht="15" customHeight="1" x14ac:dyDescent="0.25">
      <c r="A2802" s="2352" t="s">
        <v>17128</v>
      </c>
      <c r="B2802" s="2352" t="s">
        <v>8005</v>
      </c>
      <c r="C2802" s="2352" t="s">
        <v>8005</v>
      </c>
      <c r="D2802" s="2352" t="s">
        <v>8018</v>
      </c>
      <c r="E2802" s="355" t="s">
        <v>17127</v>
      </c>
      <c r="F2802" s="1662">
        <v>38</v>
      </c>
      <c r="G2802" s="903"/>
    </row>
    <row r="2803" spans="1:7" ht="15" customHeight="1" x14ac:dyDescent="0.25">
      <c r="A2803" s="2352" t="s">
        <v>17134</v>
      </c>
      <c r="B2803" s="2352" t="s">
        <v>8005</v>
      </c>
      <c r="C2803" s="2352" t="s">
        <v>8005</v>
      </c>
      <c r="D2803" s="2352" t="s">
        <v>8019</v>
      </c>
      <c r="E2803" s="355" t="s">
        <v>17117</v>
      </c>
      <c r="F2803" s="1662">
        <v>144</v>
      </c>
      <c r="G2803" s="903"/>
    </row>
    <row r="2804" spans="1:7" ht="15" customHeight="1" x14ac:dyDescent="0.25">
      <c r="A2804" s="2352" t="s">
        <v>4510</v>
      </c>
      <c r="B2804" s="2352" t="s">
        <v>8005</v>
      </c>
      <c r="C2804" s="2352" t="s">
        <v>8005</v>
      </c>
      <c r="D2804" s="2352" t="s">
        <v>8020</v>
      </c>
      <c r="E2804" s="355" t="s">
        <v>17127</v>
      </c>
      <c r="F2804" s="1662">
        <v>40</v>
      </c>
      <c r="G2804" s="903"/>
    </row>
    <row r="2805" spans="1:7" ht="15" customHeight="1" x14ac:dyDescent="0.25">
      <c r="A2805" s="2352" t="s">
        <v>8021</v>
      </c>
      <c r="B2805" s="2352" t="s">
        <v>8005</v>
      </c>
      <c r="C2805" s="2352" t="s">
        <v>8005</v>
      </c>
      <c r="D2805" s="2352" t="s">
        <v>8022</v>
      </c>
      <c r="E2805" s="355" t="s">
        <v>17135</v>
      </c>
      <c r="F2805" s="1662">
        <v>3</v>
      </c>
      <c r="G2805" s="903"/>
    </row>
    <row r="2806" spans="1:7" ht="15" customHeight="1" x14ac:dyDescent="0.25">
      <c r="A2806" s="2352" t="s">
        <v>8023</v>
      </c>
      <c r="B2806" s="2352" t="s">
        <v>8005</v>
      </c>
      <c r="C2806" s="2352" t="s">
        <v>8005</v>
      </c>
      <c r="D2806" s="2352" t="s">
        <v>8024</v>
      </c>
      <c r="E2806" s="355" t="s">
        <v>17136</v>
      </c>
      <c r="F2806" s="1662">
        <v>4</v>
      </c>
      <c r="G2806" s="903"/>
    </row>
    <row r="2807" spans="1:7" ht="15" customHeight="1" x14ac:dyDescent="0.25">
      <c r="A2807" s="2352" t="s">
        <v>8025</v>
      </c>
      <c r="B2807" s="2352" t="s">
        <v>8005</v>
      </c>
      <c r="C2807" s="2352" t="s">
        <v>8005</v>
      </c>
      <c r="D2807" s="2352" t="s">
        <v>8026</v>
      </c>
      <c r="E2807" s="355" t="s">
        <v>17130</v>
      </c>
      <c r="F2807" s="1662">
        <v>207</v>
      </c>
      <c r="G2807" s="903"/>
    </row>
    <row r="2808" spans="1:7" ht="15" customHeight="1" x14ac:dyDescent="0.25">
      <c r="A2808" s="2352" t="s">
        <v>8027</v>
      </c>
      <c r="B2808" s="2352" t="s">
        <v>8005</v>
      </c>
      <c r="C2808" s="2352" t="s">
        <v>8005</v>
      </c>
      <c r="D2808" s="2352" t="s">
        <v>8028</v>
      </c>
      <c r="E2808" s="355" t="s">
        <v>17137</v>
      </c>
      <c r="F2808" s="1662">
        <v>8</v>
      </c>
      <c r="G2808" s="903"/>
    </row>
    <row r="2809" spans="1:7" ht="15" customHeight="1" x14ac:dyDescent="0.25">
      <c r="A2809" s="2352" t="s">
        <v>8029</v>
      </c>
      <c r="B2809" s="2352" t="s">
        <v>8005</v>
      </c>
      <c r="C2809" s="2352" t="s">
        <v>8005</v>
      </c>
      <c r="D2809" s="2352" t="s">
        <v>8030</v>
      </c>
      <c r="E2809" s="355" t="s">
        <v>17137</v>
      </c>
      <c r="F2809" s="1662">
        <v>6</v>
      </c>
      <c r="G2809" s="903"/>
    </row>
    <row r="2810" spans="1:7" ht="15" customHeight="1" x14ac:dyDescent="0.25">
      <c r="A2810" s="2352" t="s">
        <v>8031</v>
      </c>
      <c r="B2810" s="2352" t="s">
        <v>8005</v>
      </c>
      <c r="C2810" s="2352" t="s">
        <v>8005</v>
      </c>
      <c r="D2810" s="2352" t="s">
        <v>8032</v>
      </c>
      <c r="E2810" s="355" t="s">
        <v>17123</v>
      </c>
      <c r="F2810" s="1662">
        <v>65</v>
      </c>
      <c r="G2810" s="903"/>
    </row>
    <row r="2811" spans="1:7" ht="15" customHeight="1" x14ac:dyDescent="0.25">
      <c r="A2811" s="2352" t="s">
        <v>8033</v>
      </c>
      <c r="B2811" s="2352" t="s">
        <v>8005</v>
      </c>
      <c r="C2811" s="2352" t="s">
        <v>8005</v>
      </c>
      <c r="D2811" s="2352" t="s">
        <v>8034</v>
      </c>
      <c r="E2811" s="355" t="s">
        <v>17119</v>
      </c>
      <c r="F2811" s="1662">
        <v>37</v>
      </c>
      <c r="G2811" s="903"/>
    </row>
    <row r="2812" spans="1:7" ht="15" customHeight="1" x14ac:dyDescent="0.25">
      <c r="A2812" s="2352" t="s">
        <v>8035</v>
      </c>
      <c r="B2812" s="2352" t="s">
        <v>8005</v>
      </c>
      <c r="C2812" s="2352" t="s">
        <v>8005</v>
      </c>
      <c r="D2812" s="2352" t="s">
        <v>8036</v>
      </c>
      <c r="E2812" s="355" t="s">
        <v>17127</v>
      </c>
      <c r="F2812" s="1662">
        <v>9</v>
      </c>
      <c r="G2812" s="903"/>
    </row>
    <row r="2813" spans="1:7" ht="15" customHeight="1" x14ac:dyDescent="0.25">
      <c r="A2813" s="2352" t="s">
        <v>8037</v>
      </c>
      <c r="B2813" s="2352" t="s">
        <v>8005</v>
      </c>
      <c r="C2813" s="2352" t="s">
        <v>8005</v>
      </c>
      <c r="D2813" s="2352" t="s">
        <v>8038</v>
      </c>
      <c r="E2813" s="355" t="s">
        <v>17119</v>
      </c>
      <c r="F2813" s="1662">
        <v>23</v>
      </c>
      <c r="G2813" s="903"/>
    </row>
    <row r="2814" spans="1:7" ht="15" customHeight="1" x14ac:dyDescent="0.25">
      <c r="A2814" s="2352" t="s">
        <v>8039</v>
      </c>
      <c r="B2814" s="2352" t="s">
        <v>8005</v>
      </c>
      <c r="C2814" s="2352" t="s">
        <v>8005</v>
      </c>
      <c r="D2814" s="2352" t="s">
        <v>8040</v>
      </c>
      <c r="E2814" s="355" t="s">
        <v>17136</v>
      </c>
      <c r="F2814" s="1662">
        <v>10</v>
      </c>
      <c r="G2814" s="903"/>
    </row>
    <row r="2815" spans="1:7" ht="15" customHeight="1" x14ac:dyDescent="0.25">
      <c r="A2815" s="2352" t="s">
        <v>8041</v>
      </c>
      <c r="B2815" s="2352" t="s">
        <v>8005</v>
      </c>
      <c r="C2815" s="2352" t="s">
        <v>8005</v>
      </c>
      <c r="D2815" s="2352" t="s">
        <v>8042</v>
      </c>
      <c r="E2815" s="355" t="s">
        <v>17119</v>
      </c>
      <c r="F2815" s="1662">
        <v>3</v>
      </c>
      <c r="G2815" s="903"/>
    </row>
    <row r="2816" spans="1:7" ht="15" customHeight="1" x14ac:dyDescent="0.25">
      <c r="A2816" s="2352" t="s">
        <v>5110</v>
      </c>
      <c r="B2816" s="2352" t="s">
        <v>8005</v>
      </c>
      <c r="C2816" s="2352" t="s">
        <v>8005</v>
      </c>
      <c r="D2816" s="2352" t="s">
        <v>8043</v>
      </c>
      <c r="E2816" s="355" t="s">
        <v>17127</v>
      </c>
      <c r="F2816" s="1662">
        <v>34</v>
      </c>
      <c r="G2816" s="903"/>
    </row>
    <row r="2817" spans="1:7" ht="15" customHeight="1" x14ac:dyDescent="0.25">
      <c r="A2817" s="2352" t="s">
        <v>8044</v>
      </c>
      <c r="B2817" s="2352" t="s">
        <v>8005</v>
      </c>
      <c r="C2817" s="2352" t="s">
        <v>8005</v>
      </c>
      <c r="D2817" s="2352" t="s">
        <v>8045</v>
      </c>
      <c r="E2817" s="355" t="s">
        <v>17127</v>
      </c>
      <c r="F2817" s="1662">
        <v>49</v>
      </c>
      <c r="G2817" s="903"/>
    </row>
    <row r="2818" spans="1:7" ht="15" customHeight="1" x14ac:dyDescent="0.25">
      <c r="A2818" s="2352" t="s">
        <v>8046</v>
      </c>
      <c r="B2818" s="2352" t="s">
        <v>8005</v>
      </c>
      <c r="C2818" s="2352" t="s">
        <v>8005</v>
      </c>
      <c r="D2818" s="2352" t="s">
        <v>8047</v>
      </c>
      <c r="E2818" s="355" t="s">
        <v>17127</v>
      </c>
      <c r="F2818" s="1662">
        <v>29</v>
      </c>
      <c r="G2818" s="903"/>
    </row>
    <row r="2819" spans="1:7" ht="15" customHeight="1" x14ac:dyDescent="0.25">
      <c r="A2819" s="2352" t="s">
        <v>8048</v>
      </c>
      <c r="B2819" s="2352" t="s">
        <v>8005</v>
      </c>
      <c r="C2819" s="2352" t="s">
        <v>8005</v>
      </c>
      <c r="D2819" s="2352" t="s">
        <v>8049</v>
      </c>
      <c r="E2819" s="355" t="s">
        <v>17117</v>
      </c>
      <c r="F2819" s="1662">
        <v>85</v>
      </c>
      <c r="G2819" s="903"/>
    </row>
    <row r="2820" spans="1:7" ht="15" customHeight="1" x14ac:dyDescent="0.25">
      <c r="A2820" s="2352" t="s">
        <v>8050</v>
      </c>
      <c r="B2820" s="2352" t="s">
        <v>8005</v>
      </c>
      <c r="C2820" s="2352" t="s">
        <v>8005</v>
      </c>
      <c r="D2820" s="2352" t="s">
        <v>8051</v>
      </c>
      <c r="E2820" s="355" t="s">
        <v>17136</v>
      </c>
      <c r="F2820" s="1662">
        <v>26</v>
      </c>
      <c r="G2820" s="903"/>
    </row>
    <row r="2821" spans="1:7" ht="15" customHeight="1" x14ac:dyDescent="0.25">
      <c r="A2821" s="2352" t="s">
        <v>8052</v>
      </c>
      <c r="B2821" s="2352" t="s">
        <v>8005</v>
      </c>
      <c r="C2821" s="2352" t="s">
        <v>8005</v>
      </c>
      <c r="D2821" s="2352" t="s">
        <v>8053</v>
      </c>
      <c r="E2821" s="355" t="s">
        <v>17117</v>
      </c>
      <c r="F2821" s="1662">
        <v>122</v>
      </c>
      <c r="G2821" s="903"/>
    </row>
    <row r="2822" spans="1:7" ht="15" customHeight="1" x14ac:dyDescent="0.25">
      <c r="A2822" s="2352" t="s">
        <v>4764</v>
      </c>
      <c r="B2822" s="2352" t="s">
        <v>8005</v>
      </c>
      <c r="C2822" s="2352" t="s">
        <v>8005</v>
      </c>
      <c r="D2822" s="2352" t="s">
        <v>8054</v>
      </c>
      <c r="E2822" s="355" t="s">
        <v>17127</v>
      </c>
      <c r="F2822" s="1662">
        <v>51</v>
      </c>
      <c r="G2822" s="903"/>
    </row>
    <row r="2823" spans="1:7" ht="15" customHeight="1" x14ac:dyDescent="0.25">
      <c r="A2823" s="2352" t="s">
        <v>4235</v>
      </c>
      <c r="B2823" s="2352" t="s">
        <v>8005</v>
      </c>
      <c r="C2823" s="2352" t="s">
        <v>8005</v>
      </c>
      <c r="D2823" s="2352" t="s">
        <v>8055</v>
      </c>
      <c r="E2823" s="355" t="s">
        <v>17136</v>
      </c>
      <c r="F2823" s="1662">
        <v>23</v>
      </c>
      <c r="G2823" s="903"/>
    </row>
    <row r="2824" spans="1:7" ht="15" customHeight="1" x14ac:dyDescent="0.25">
      <c r="A2824" s="2352" t="s">
        <v>8056</v>
      </c>
      <c r="B2824" s="2352" t="s">
        <v>8005</v>
      </c>
      <c r="C2824" s="2352" t="s">
        <v>8005</v>
      </c>
      <c r="D2824" s="2352" t="s">
        <v>8057</v>
      </c>
      <c r="E2824" s="355" t="s">
        <v>17136</v>
      </c>
      <c r="F2824" s="1662">
        <v>13</v>
      </c>
      <c r="G2824" s="903"/>
    </row>
    <row r="2825" spans="1:7" ht="15" customHeight="1" x14ac:dyDescent="0.25">
      <c r="A2825" s="2352" t="s">
        <v>8058</v>
      </c>
      <c r="B2825" s="2352" t="s">
        <v>8005</v>
      </c>
      <c r="C2825" s="2352" t="s">
        <v>8005</v>
      </c>
      <c r="D2825" s="2352" t="s">
        <v>8059</v>
      </c>
      <c r="E2825" s="355" t="s">
        <v>17136</v>
      </c>
      <c r="F2825" s="1662">
        <v>15</v>
      </c>
      <c r="G2825" s="903"/>
    </row>
    <row r="2826" spans="1:7" ht="15" customHeight="1" x14ac:dyDescent="0.25">
      <c r="A2826" s="2352" t="s">
        <v>4303</v>
      </c>
      <c r="B2826" s="2352" t="s">
        <v>8005</v>
      </c>
      <c r="C2826" s="2352" t="s">
        <v>8005</v>
      </c>
      <c r="D2826" s="2352" t="s">
        <v>8060</v>
      </c>
      <c r="E2826" s="355" t="s">
        <v>17137</v>
      </c>
      <c r="F2826" s="1662">
        <v>5</v>
      </c>
      <c r="G2826" s="903"/>
    </row>
    <row r="2827" spans="1:7" ht="15" customHeight="1" x14ac:dyDescent="0.25">
      <c r="A2827" s="2352" t="s">
        <v>8061</v>
      </c>
      <c r="B2827" s="2352" t="s">
        <v>8005</v>
      </c>
      <c r="C2827" s="2352" t="s">
        <v>8005</v>
      </c>
      <c r="D2827" s="2352" t="s">
        <v>8062</v>
      </c>
      <c r="E2827" s="355" t="s">
        <v>17127</v>
      </c>
      <c r="F2827" s="1662">
        <v>44</v>
      </c>
      <c r="G2827" s="903"/>
    </row>
    <row r="2828" spans="1:7" ht="15" customHeight="1" x14ac:dyDescent="0.25">
      <c r="A2828" s="2352" t="s">
        <v>8063</v>
      </c>
      <c r="B2828" s="2352" t="s">
        <v>8005</v>
      </c>
      <c r="C2828" s="2352" t="s">
        <v>8005</v>
      </c>
      <c r="D2828" s="2352" t="s">
        <v>8064</v>
      </c>
      <c r="E2828" s="355" t="s">
        <v>17136</v>
      </c>
      <c r="F2828" s="1662">
        <v>21</v>
      </c>
      <c r="G2828" s="903"/>
    </row>
    <row r="2829" spans="1:7" ht="15" customHeight="1" x14ac:dyDescent="0.25">
      <c r="A2829" s="2352" t="s">
        <v>8065</v>
      </c>
      <c r="B2829" s="2352" t="s">
        <v>8005</v>
      </c>
      <c r="C2829" s="2352" t="s">
        <v>8005</v>
      </c>
      <c r="D2829" s="2352" t="s">
        <v>8066</v>
      </c>
      <c r="E2829" s="355" t="s">
        <v>17123</v>
      </c>
      <c r="F2829" s="1662">
        <v>62</v>
      </c>
      <c r="G2829" s="903"/>
    </row>
    <row r="2830" spans="1:7" ht="15" customHeight="1" x14ac:dyDescent="0.25">
      <c r="A2830" s="2352" t="s">
        <v>8067</v>
      </c>
      <c r="B2830" s="2352" t="s">
        <v>8005</v>
      </c>
      <c r="C2830" s="2352" t="s">
        <v>8005</v>
      </c>
      <c r="D2830" s="2352" t="s">
        <v>8068</v>
      </c>
      <c r="E2830" s="355" t="s">
        <v>17117</v>
      </c>
      <c r="F2830" s="1662">
        <v>119</v>
      </c>
      <c r="G2830" s="903"/>
    </row>
    <row r="2831" spans="1:7" ht="15" customHeight="1" x14ac:dyDescent="0.25">
      <c r="A2831" s="2352" t="s">
        <v>8069</v>
      </c>
      <c r="B2831" s="2352" t="s">
        <v>8005</v>
      </c>
      <c r="C2831" s="2352" t="s">
        <v>8005</v>
      </c>
      <c r="D2831" s="2352" t="s">
        <v>8070</v>
      </c>
      <c r="E2831" s="355" t="s">
        <v>17136</v>
      </c>
      <c r="F2831" s="1662">
        <v>23</v>
      </c>
      <c r="G2831" s="903"/>
    </row>
    <row r="2832" spans="1:7" ht="15" customHeight="1" x14ac:dyDescent="0.25">
      <c r="A2832" s="2352" t="s">
        <v>8071</v>
      </c>
      <c r="B2832" s="2352" t="s">
        <v>8005</v>
      </c>
      <c r="C2832" s="2352" t="s">
        <v>8005</v>
      </c>
      <c r="D2832" s="2352" t="s">
        <v>8072</v>
      </c>
      <c r="E2832" s="355" t="s">
        <v>17117</v>
      </c>
      <c r="F2832" s="1662">
        <v>142</v>
      </c>
      <c r="G2832" s="903"/>
    </row>
    <row r="2833" spans="1:7" ht="15" customHeight="1" x14ac:dyDescent="0.25">
      <c r="A2833" s="2352" t="s">
        <v>3783</v>
      </c>
      <c r="B2833" s="2352" t="s">
        <v>8005</v>
      </c>
      <c r="C2833" s="2352" t="s">
        <v>8005</v>
      </c>
      <c r="D2833" s="2352" t="s">
        <v>8073</v>
      </c>
      <c r="E2833" s="355" t="s">
        <v>17117</v>
      </c>
      <c r="F2833" s="1662">
        <v>95</v>
      </c>
      <c r="G2833" s="903"/>
    </row>
    <row r="2834" spans="1:7" ht="15" customHeight="1" x14ac:dyDescent="0.25">
      <c r="A2834" s="2352" t="s">
        <v>8074</v>
      </c>
      <c r="B2834" s="2352" t="s">
        <v>8005</v>
      </c>
      <c r="C2834" s="2352" t="s">
        <v>8005</v>
      </c>
      <c r="D2834" s="2352" t="s">
        <v>8075</v>
      </c>
      <c r="E2834" s="355" t="s">
        <v>17117</v>
      </c>
      <c r="F2834" s="1662">
        <v>160</v>
      </c>
      <c r="G2834" s="903"/>
    </row>
    <row r="2835" spans="1:7" ht="15" customHeight="1" x14ac:dyDescent="0.25">
      <c r="A2835" s="2352" t="s">
        <v>8076</v>
      </c>
      <c r="B2835" s="2352" t="s">
        <v>8005</v>
      </c>
      <c r="C2835" s="2352" t="s">
        <v>8005</v>
      </c>
      <c r="D2835" s="2352" t="s">
        <v>8077</v>
      </c>
      <c r="E2835" s="355" t="s">
        <v>17130</v>
      </c>
      <c r="F2835" s="1662">
        <v>14</v>
      </c>
      <c r="G2835" s="903"/>
    </row>
    <row r="2836" spans="1:7" ht="15" customHeight="1" x14ac:dyDescent="0.25">
      <c r="A2836" s="2352" t="s">
        <v>8078</v>
      </c>
      <c r="B2836" s="2352" t="s">
        <v>8005</v>
      </c>
      <c r="C2836" s="2352" t="s">
        <v>8005</v>
      </c>
      <c r="D2836" s="2352" t="s">
        <v>8079</v>
      </c>
      <c r="E2836" s="355" t="s">
        <v>17127</v>
      </c>
      <c r="F2836" s="1662">
        <v>30</v>
      </c>
      <c r="G2836" s="903"/>
    </row>
    <row r="2837" spans="1:7" ht="15" customHeight="1" x14ac:dyDescent="0.25">
      <c r="A2837" s="2352" t="s">
        <v>8080</v>
      </c>
      <c r="B2837" s="2352" t="s">
        <v>8005</v>
      </c>
      <c r="C2837" s="2352" t="s">
        <v>8005</v>
      </c>
      <c r="D2837" s="2352" t="s">
        <v>8081</v>
      </c>
      <c r="E2837" s="355" t="s">
        <v>17117</v>
      </c>
      <c r="F2837" s="1662">
        <v>84</v>
      </c>
      <c r="G2837" s="903"/>
    </row>
    <row r="2838" spans="1:7" ht="15" customHeight="1" x14ac:dyDescent="0.25">
      <c r="A2838" s="2352" t="s">
        <v>8082</v>
      </c>
      <c r="B2838" s="2352" t="s">
        <v>8005</v>
      </c>
      <c r="C2838" s="2352" t="s">
        <v>8005</v>
      </c>
      <c r="D2838" s="2352" t="s">
        <v>8083</v>
      </c>
      <c r="E2838" s="355" t="s">
        <v>17135</v>
      </c>
      <c r="F2838" s="1662">
        <v>10</v>
      </c>
      <c r="G2838" s="903"/>
    </row>
    <row r="2839" spans="1:7" ht="15" customHeight="1" x14ac:dyDescent="0.25">
      <c r="A2839" s="2352" t="s">
        <v>5477</v>
      </c>
      <c r="B2839" s="2352" t="s">
        <v>8005</v>
      </c>
      <c r="C2839" s="2352" t="s">
        <v>8005</v>
      </c>
      <c r="D2839" s="2352" t="s">
        <v>8084</v>
      </c>
      <c r="E2839" s="355" t="s">
        <v>17136</v>
      </c>
      <c r="F2839" s="1662">
        <v>9</v>
      </c>
      <c r="G2839" s="903"/>
    </row>
    <row r="2840" spans="1:7" ht="15" customHeight="1" x14ac:dyDescent="0.25">
      <c r="A2840" s="2352" t="s">
        <v>8085</v>
      </c>
      <c r="B2840" s="2352" t="s">
        <v>8005</v>
      </c>
      <c r="C2840" s="2352" t="s">
        <v>8005</v>
      </c>
      <c r="D2840" s="2352" t="s">
        <v>8086</v>
      </c>
      <c r="E2840" s="355" t="s">
        <v>17136</v>
      </c>
      <c r="F2840" s="1662">
        <v>23</v>
      </c>
      <c r="G2840" s="903"/>
    </row>
    <row r="2841" spans="1:7" ht="15" customHeight="1" x14ac:dyDescent="0.25">
      <c r="A2841" s="2352" t="s">
        <v>8087</v>
      </c>
      <c r="B2841" s="2352" t="s">
        <v>8005</v>
      </c>
      <c r="C2841" s="2352" t="s">
        <v>8005</v>
      </c>
      <c r="D2841" s="2352" t="s">
        <v>8088</v>
      </c>
      <c r="E2841" s="355" t="s">
        <v>17121</v>
      </c>
      <c r="F2841" s="1662">
        <v>17</v>
      </c>
      <c r="G2841" s="903"/>
    </row>
    <row r="2842" spans="1:7" ht="15" customHeight="1" x14ac:dyDescent="0.25">
      <c r="A2842" s="2352" t="s">
        <v>8089</v>
      </c>
      <c r="B2842" s="2352" t="s">
        <v>8005</v>
      </c>
      <c r="C2842" s="2352" t="s">
        <v>8005</v>
      </c>
      <c r="D2842" s="2352" t="s">
        <v>8090</v>
      </c>
      <c r="E2842" s="355" t="s">
        <v>17127</v>
      </c>
      <c r="F2842" s="1662">
        <v>37</v>
      </c>
      <c r="G2842" s="903"/>
    </row>
    <row r="2843" spans="1:7" ht="15" customHeight="1" x14ac:dyDescent="0.25">
      <c r="A2843" s="2352" t="s">
        <v>4374</v>
      </c>
      <c r="B2843" s="2352" t="s">
        <v>8005</v>
      </c>
      <c r="C2843" s="2352" t="s">
        <v>8005</v>
      </c>
      <c r="D2843" s="2352" t="s">
        <v>8091</v>
      </c>
      <c r="E2843" s="355" t="s">
        <v>17130</v>
      </c>
      <c r="F2843" s="1662">
        <v>17</v>
      </c>
      <c r="G2843" s="903"/>
    </row>
    <row r="2844" spans="1:7" ht="15" customHeight="1" x14ac:dyDescent="0.25">
      <c r="A2844" s="2352" t="s">
        <v>8092</v>
      </c>
      <c r="B2844" s="2352" t="s">
        <v>8005</v>
      </c>
      <c r="C2844" s="2352" t="s">
        <v>8005</v>
      </c>
      <c r="D2844" s="2352" t="s">
        <v>8093</v>
      </c>
      <c r="E2844" s="355" t="s">
        <v>17125</v>
      </c>
      <c r="F2844" s="1662">
        <v>26</v>
      </c>
      <c r="G2844" s="903"/>
    </row>
    <row r="2845" spans="1:7" ht="15" customHeight="1" x14ac:dyDescent="0.25">
      <c r="A2845" s="2352" t="s">
        <v>7672</v>
      </c>
      <c r="B2845" s="2352" t="s">
        <v>8005</v>
      </c>
      <c r="C2845" s="2352" t="s">
        <v>8005</v>
      </c>
      <c r="D2845" s="2352" t="s">
        <v>8094</v>
      </c>
      <c r="E2845" s="355" t="s">
        <v>17137</v>
      </c>
      <c r="F2845" s="1662">
        <v>10</v>
      </c>
      <c r="G2845" s="903"/>
    </row>
    <row r="2846" spans="1:7" ht="15" customHeight="1" x14ac:dyDescent="0.25">
      <c r="A2846" s="2352" t="s">
        <v>8095</v>
      </c>
      <c r="B2846" s="2352" t="s">
        <v>8005</v>
      </c>
      <c r="C2846" s="2352" t="s">
        <v>8005</v>
      </c>
      <c r="D2846" s="2352" t="s">
        <v>8096</v>
      </c>
      <c r="E2846" s="355" t="s">
        <v>17127</v>
      </c>
      <c r="F2846" s="1662">
        <v>52</v>
      </c>
      <c r="G2846" s="903"/>
    </row>
    <row r="2847" spans="1:7" ht="15" customHeight="1" x14ac:dyDescent="0.25">
      <c r="A2847" s="2352" t="s">
        <v>8097</v>
      </c>
      <c r="B2847" s="2352" t="s">
        <v>8005</v>
      </c>
      <c r="C2847" s="2352" t="s">
        <v>8005</v>
      </c>
      <c r="D2847" s="2352" t="s">
        <v>8098</v>
      </c>
      <c r="E2847" s="355" t="s">
        <v>17127</v>
      </c>
      <c r="F2847" s="1662">
        <v>35</v>
      </c>
      <c r="G2847" s="903"/>
    </row>
    <row r="2848" spans="1:7" ht="15" customHeight="1" x14ac:dyDescent="0.25">
      <c r="A2848" s="2352" t="s">
        <v>8099</v>
      </c>
      <c r="B2848" s="2352" t="s">
        <v>8005</v>
      </c>
      <c r="C2848" s="2352" t="s">
        <v>8005</v>
      </c>
      <c r="D2848" s="2352" t="s">
        <v>8100</v>
      </c>
      <c r="E2848" s="355" t="s">
        <v>17127</v>
      </c>
      <c r="F2848" s="1662">
        <v>40</v>
      </c>
      <c r="G2848" s="903"/>
    </row>
    <row r="2849" spans="1:7" ht="15" customHeight="1" x14ac:dyDescent="0.25">
      <c r="A2849" s="2352" t="s">
        <v>7376</v>
      </c>
      <c r="B2849" s="2352" t="s">
        <v>8005</v>
      </c>
      <c r="C2849" s="2352" t="s">
        <v>8005</v>
      </c>
      <c r="D2849" s="2352" t="s">
        <v>8101</v>
      </c>
      <c r="E2849" s="355" t="s">
        <v>17127</v>
      </c>
      <c r="F2849" s="1662">
        <v>34</v>
      </c>
      <c r="G2849" s="903"/>
    </row>
    <row r="2850" spans="1:7" ht="15" customHeight="1" x14ac:dyDescent="0.25">
      <c r="A2850" s="2352" t="s">
        <v>3984</v>
      </c>
      <c r="B2850" s="2352" t="s">
        <v>8005</v>
      </c>
      <c r="C2850" s="2352" t="s">
        <v>8005</v>
      </c>
      <c r="D2850" s="2352" t="s">
        <v>8102</v>
      </c>
      <c r="E2850" s="355" t="s">
        <v>17117</v>
      </c>
      <c r="F2850" s="1662">
        <v>127</v>
      </c>
      <c r="G2850" s="903"/>
    </row>
    <row r="2851" spans="1:7" ht="15" customHeight="1" x14ac:dyDescent="0.25">
      <c r="A2851" s="2352" t="s">
        <v>7529</v>
      </c>
      <c r="B2851" s="2352" t="s">
        <v>8005</v>
      </c>
      <c r="C2851" s="2352" t="s">
        <v>8005</v>
      </c>
      <c r="D2851" s="2352" t="s">
        <v>8103</v>
      </c>
      <c r="E2851" s="355" t="s">
        <v>17119</v>
      </c>
      <c r="F2851" s="1662">
        <v>47</v>
      </c>
      <c r="G2851" s="903"/>
    </row>
    <row r="2852" spans="1:7" ht="15" customHeight="1" x14ac:dyDescent="0.25">
      <c r="A2852" s="2352" t="s">
        <v>8104</v>
      </c>
      <c r="B2852" s="2352" t="s">
        <v>8005</v>
      </c>
      <c r="C2852" s="2352" t="s">
        <v>8005</v>
      </c>
      <c r="D2852" s="2352" t="s">
        <v>8105</v>
      </c>
      <c r="E2852" s="355" t="s">
        <v>17136</v>
      </c>
      <c r="F2852" s="1662">
        <v>15</v>
      </c>
      <c r="G2852" s="903"/>
    </row>
    <row r="2853" spans="1:7" ht="15" customHeight="1" x14ac:dyDescent="0.25">
      <c r="A2853" s="2352" t="s">
        <v>8106</v>
      </c>
      <c r="B2853" s="2352" t="s">
        <v>8005</v>
      </c>
      <c r="C2853" s="2352" t="s">
        <v>8005</v>
      </c>
      <c r="D2853" s="2352" t="s">
        <v>8107</v>
      </c>
      <c r="E2853" s="355" t="s">
        <v>17137</v>
      </c>
      <c r="F2853" s="1662">
        <v>3</v>
      </c>
      <c r="G2853" s="903"/>
    </row>
    <row r="2854" spans="1:7" ht="15" customHeight="1" x14ac:dyDescent="0.25">
      <c r="A2854" s="2352" t="s">
        <v>8108</v>
      </c>
      <c r="B2854" s="2352" t="s">
        <v>8005</v>
      </c>
      <c r="C2854" s="2352" t="s">
        <v>8005</v>
      </c>
      <c r="D2854" s="2352" t="s">
        <v>8109</v>
      </c>
      <c r="E2854" s="355" t="s">
        <v>17117</v>
      </c>
      <c r="F2854" s="1662">
        <v>147</v>
      </c>
      <c r="G2854" s="903"/>
    </row>
    <row r="2855" spans="1:7" ht="15" customHeight="1" x14ac:dyDescent="0.25">
      <c r="A2855" s="2352" t="s">
        <v>8110</v>
      </c>
      <c r="B2855" s="2352" t="s">
        <v>8005</v>
      </c>
      <c r="C2855" s="2352" t="s">
        <v>8005</v>
      </c>
      <c r="D2855" s="2352" t="s">
        <v>8111</v>
      </c>
      <c r="E2855" s="355" t="s">
        <v>17123</v>
      </c>
      <c r="F2855" s="1662">
        <v>66</v>
      </c>
      <c r="G2855" s="903"/>
    </row>
    <row r="2856" spans="1:7" ht="15" customHeight="1" x14ac:dyDescent="0.25">
      <c r="A2856" s="2352" t="s">
        <v>7837</v>
      </c>
      <c r="B2856" s="2352" t="s">
        <v>8005</v>
      </c>
      <c r="C2856" s="2352" t="s">
        <v>8005</v>
      </c>
      <c r="D2856" s="2352" t="s">
        <v>8112</v>
      </c>
      <c r="E2856" s="355" t="s">
        <v>17135</v>
      </c>
      <c r="F2856" s="1662">
        <v>10</v>
      </c>
      <c r="G2856" s="903"/>
    </row>
    <row r="2857" spans="1:7" ht="15" customHeight="1" x14ac:dyDescent="0.25">
      <c r="A2857" s="2352" t="s">
        <v>8113</v>
      </c>
      <c r="B2857" s="2352" t="s">
        <v>8005</v>
      </c>
      <c r="C2857" s="2352" t="s">
        <v>8005</v>
      </c>
      <c r="D2857" s="2352" t="s">
        <v>8114</v>
      </c>
      <c r="E2857" s="355" t="s">
        <v>17117</v>
      </c>
      <c r="F2857" s="1662">
        <v>25</v>
      </c>
      <c r="G2857" s="903"/>
    </row>
    <row r="2858" spans="1:7" ht="15" customHeight="1" x14ac:dyDescent="0.25">
      <c r="A2858" s="2352" t="s">
        <v>8115</v>
      </c>
      <c r="B2858" s="2352" t="s">
        <v>8005</v>
      </c>
      <c r="C2858" s="2352" t="s">
        <v>8005</v>
      </c>
      <c r="D2858" s="2352" t="s">
        <v>8116</v>
      </c>
      <c r="E2858" s="355" t="s">
        <v>17138</v>
      </c>
      <c r="F2858" s="1662">
        <v>10</v>
      </c>
      <c r="G2858" s="903"/>
    </row>
    <row r="2859" spans="1:7" ht="15" customHeight="1" x14ac:dyDescent="0.25">
      <c r="A2859" s="2352" t="s">
        <v>8117</v>
      </c>
      <c r="B2859" s="2352" t="s">
        <v>8005</v>
      </c>
      <c r="C2859" s="2352" t="s">
        <v>8005</v>
      </c>
      <c r="D2859" s="2352" t="s">
        <v>8118</v>
      </c>
      <c r="E2859" s="355" t="s">
        <v>17137</v>
      </c>
      <c r="F2859" s="1662">
        <v>3</v>
      </c>
      <c r="G2859" s="903"/>
    </row>
    <row r="2860" spans="1:7" ht="15" customHeight="1" x14ac:dyDescent="0.25">
      <c r="A2860" s="2352" t="s">
        <v>8119</v>
      </c>
      <c r="B2860" s="2352" t="s">
        <v>8005</v>
      </c>
      <c r="C2860" s="2352" t="s">
        <v>8005</v>
      </c>
      <c r="D2860" s="2352" t="s">
        <v>8120</v>
      </c>
      <c r="E2860" s="355" t="s">
        <v>17136</v>
      </c>
      <c r="F2860" s="1662">
        <v>12</v>
      </c>
      <c r="G2860" s="903"/>
    </row>
    <row r="2861" spans="1:7" ht="15" customHeight="1" x14ac:dyDescent="0.25">
      <c r="A2861" s="2352" t="s">
        <v>8121</v>
      </c>
      <c r="B2861" s="2352" t="s">
        <v>8005</v>
      </c>
      <c r="C2861" s="2352" t="s">
        <v>8005</v>
      </c>
      <c r="D2861" s="2352" t="s">
        <v>8122</v>
      </c>
      <c r="E2861" s="355" t="s">
        <v>17139</v>
      </c>
      <c r="F2861" s="1662">
        <v>7</v>
      </c>
      <c r="G2861" s="903"/>
    </row>
    <row r="2862" spans="1:7" ht="15" customHeight="1" x14ac:dyDescent="0.25">
      <c r="A2862" s="2352" t="s">
        <v>7614</v>
      </c>
      <c r="B2862" s="2352" t="s">
        <v>8005</v>
      </c>
      <c r="C2862" s="2352" t="s">
        <v>8005</v>
      </c>
      <c r="D2862" s="2352" t="s">
        <v>8123</v>
      </c>
      <c r="E2862" s="355" t="s">
        <v>17127</v>
      </c>
      <c r="F2862" s="1662">
        <v>36</v>
      </c>
      <c r="G2862" s="903"/>
    </row>
    <row r="2863" spans="1:7" ht="15" customHeight="1" x14ac:dyDescent="0.25">
      <c r="A2863" s="2352" t="s">
        <v>8124</v>
      </c>
      <c r="B2863" s="2352" t="s">
        <v>8005</v>
      </c>
      <c r="C2863" s="2352" t="s">
        <v>8005</v>
      </c>
      <c r="D2863" s="2352" t="s">
        <v>8125</v>
      </c>
      <c r="E2863" s="355" t="s">
        <v>17121</v>
      </c>
      <c r="F2863" s="1662">
        <v>237</v>
      </c>
      <c r="G2863" s="903"/>
    </row>
    <row r="2864" spans="1:7" ht="15" customHeight="1" x14ac:dyDescent="0.25">
      <c r="A2864" s="2352" t="s">
        <v>8126</v>
      </c>
      <c r="B2864" s="2352" t="s">
        <v>8005</v>
      </c>
      <c r="C2864" s="2352" t="s">
        <v>8005</v>
      </c>
      <c r="D2864" s="2352" t="s">
        <v>8127</v>
      </c>
      <c r="E2864" s="355" t="s">
        <v>17127</v>
      </c>
      <c r="F2864" s="1662">
        <v>27</v>
      </c>
      <c r="G2864" s="903"/>
    </row>
    <row r="2865" spans="1:7" ht="15" customHeight="1" x14ac:dyDescent="0.25">
      <c r="A2865" s="2352" t="s">
        <v>8128</v>
      </c>
      <c r="B2865" s="2352" t="s">
        <v>8005</v>
      </c>
      <c r="C2865" s="2352" t="s">
        <v>8005</v>
      </c>
      <c r="D2865" s="2352" t="s">
        <v>8129</v>
      </c>
      <c r="E2865" s="355" t="s">
        <v>17127</v>
      </c>
      <c r="F2865" s="1662">
        <v>27</v>
      </c>
      <c r="G2865" s="903"/>
    </row>
    <row r="2866" spans="1:7" ht="15" customHeight="1" x14ac:dyDescent="0.25">
      <c r="A2866" s="2352" t="s">
        <v>8130</v>
      </c>
      <c r="B2866" s="2352" t="s">
        <v>8005</v>
      </c>
      <c r="C2866" s="2352" t="s">
        <v>8005</v>
      </c>
      <c r="D2866" s="2352" t="s">
        <v>8131</v>
      </c>
      <c r="E2866" s="355" t="s">
        <v>17127</v>
      </c>
      <c r="F2866" s="1662">
        <v>0</v>
      </c>
      <c r="G2866" s="903"/>
    </row>
    <row r="2867" spans="1:7" ht="15" customHeight="1" x14ac:dyDescent="0.25">
      <c r="A2867" s="2352" t="s">
        <v>8132</v>
      </c>
      <c r="B2867" s="2352" t="s">
        <v>8005</v>
      </c>
      <c r="C2867" s="2352" t="s">
        <v>8005</v>
      </c>
      <c r="D2867" s="2352" t="s">
        <v>8133</v>
      </c>
      <c r="E2867" s="355" t="s">
        <v>17137</v>
      </c>
      <c r="F2867" s="1662">
        <v>8</v>
      </c>
      <c r="G2867" s="903"/>
    </row>
    <row r="2868" spans="1:7" ht="15" customHeight="1" x14ac:dyDescent="0.25">
      <c r="A2868" s="2352" t="s">
        <v>6471</v>
      </c>
      <c r="B2868" s="2352" t="s">
        <v>8005</v>
      </c>
      <c r="C2868" s="2352" t="s">
        <v>8005</v>
      </c>
      <c r="D2868" s="2352" t="s">
        <v>8134</v>
      </c>
      <c r="E2868" s="355" t="s">
        <v>17137</v>
      </c>
      <c r="F2868" s="1662">
        <v>6</v>
      </c>
      <c r="G2868" s="903"/>
    </row>
    <row r="2869" spans="1:7" ht="15" customHeight="1" x14ac:dyDescent="0.25">
      <c r="A2869" s="2352" t="s">
        <v>8135</v>
      </c>
      <c r="B2869" s="2352" t="s">
        <v>8005</v>
      </c>
      <c r="C2869" s="2352" t="s">
        <v>8005</v>
      </c>
      <c r="D2869" s="2352" t="s">
        <v>8136</v>
      </c>
      <c r="E2869" s="355" t="s">
        <v>17137</v>
      </c>
      <c r="F2869" s="1662">
        <v>5</v>
      </c>
      <c r="G2869" s="903"/>
    </row>
    <row r="2870" spans="1:7" ht="15" customHeight="1" x14ac:dyDescent="0.25">
      <c r="A2870" s="2352" t="s">
        <v>6420</v>
      </c>
      <c r="B2870" s="2352" t="s">
        <v>8005</v>
      </c>
      <c r="C2870" s="2352" t="s">
        <v>8005</v>
      </c>
      <c r="D2870" s="2352" t="s">
        <v>8137</v>
      </c>
      <c r="E2870" s="355" t="s">
        <v>17123</v>
      </c>
      <c r="F2870" s="1662">
        <v>84</v>
      </c>
      <c r="G2870" s="903"/>
    </row>
    <row r="2871" spans="1:7" ht="15" customHeight="1" x14ac:dyDescent="0.25">
      <c r="A2871" s="2352" t="s">
        <v>8138</v>
      </c>
      <c r="B2871" s="2352" t="s">
        <v>8005</v>
      </c>
      <c r="C2871" s="2352" t="s">
        <v>8005</v>
      </c>
      <c r="D2871" s="2352" t="s">
        <v>8139</v>
      </c>
      <c r="E2871" s="355" t="s">
        <v>17123</v>
      </c>
      <c r="F2871" s="1662">
        <v>84</v>
      </c>
      <c r="G2871" s="903"/>
    </row>
    <row r="2872" spans="1:7" ht="15" customHeight="1" x14ac:dyDescent="0.25">
      <c r="A2872" s="2352" t="s">
        <v>8140</v>
      </c>
      <c r="B2872" s="2352" t="s">
        <v>8005</v>
      </c>
      <c r="C2872" s="2352" t="s">
        <v>8005</v>
      </c>
      <c r="D2872" s="2352" t="s">
        <v>8141</v>
      </c>
      <c r="E2872" s="355" t="s">
        <v>17123</v>
      </c>
      <c r="F2872" s="1662">
        <v>67</v>
      </c>
      <c r="G2872" s="903"/>
    </row>
    <row r="2873" spans="1:7" ht="15" customHeight="1" x14ac:dyDescent="0.25">
      <c r="A2873" s="2352" t="s">
        <v>8142</v>
      </c>
      <c r="B2873" s="2352" t="s">
        <v>8005</v>
      </c>
      <c r="C2873" s="2352" t="s">
        <v>8005</v>
      </c>
      <c r="D2873" s="2352" t="s">
        <v>8143</v>
      </c>
      <c r="E2873" s="355" t="s">
        <v>17123</v>
      </c>
      <c r="F2873" s="1662">
        <v>77</v>
      </c>
      <c r="G2873" s="903"/>
    </row>
    <row r="2874" spans="1:7" ht="15" customHeight="1" x14ac:dyDescent="0.25">
      <c r="A2874" s="2352" t="s">
        <v>8144</v>
      </c>
      <c r="B2874" s="2352" t="s">
        <v>8005</v>
      </c>
      <c r="C2874" s="2352" t="s">
        <v>8005</v>
      </c>
      <c r="D2874" s="2352" t="s">
        <v>8145</v>
      </c>
      <c r="E2874" s="355" t="s">
        <v>17119</v>
      </c>
      <c r="F2874" s="1662">
        <v>25</v>
      </c>
      <c r="G2874" s="903"/>
    </row>
    <row r="2875" spans="1:7" ht="15" customHeight="1" x14ac:dyDescent="0.25">
      <c r="A2875" s="2352" t="s">
        <v>8146</v>
      </c>
      <c r="B2875" s="2352" t="s">
        <v>8005</v>
      </c>
      <c r="C2875" s="2352" t="s">
        <v>8005</v>
      </c>
      <c r="D2875" s="2352" t="s">
        <v>8147</v>
      </c>
      <c r="E2875" s="355" t="s">
        <v>17117</v>
      </c>
      <c r="F2875" s="1662">
        <v>111</v>
      </c>
      <c r="G2875" s="903"/>
    </row>
    <row r="2876" spans="1:7" ht="15" customHeight="1" x14ac:dyDescent="0.25">
      <c r="A2876" s="2352" t="s">
        <v>8148</v>
      </c>
      <c r="B2876" s="2352" t="s">
        <v>8005</v>
      </c>
      <c r="C2876" s="2352" t="s">
        <v>8005</v>
      </c>
      <c r="D2876" s="2352" t="s">
        <v>8149</v>
      </c>
      <c r="E2876" s="355" t="s">
        <v>17119</v>
      </c>
      <c r="F2876" s="1662">
        <v>34</v>
      </c>
      <c r="G2876" s="903"/>
    </row>
    <row r="2877" spans="1:7" ht="15" customHeight="1" x14ac:dyDescent="0.25">
      <c r="A2877" s="2352" t="s">
        <v>8150</v>
      </c>
      <c r="B2877" s="2352" t="s">
        <v>8005</v>
      </c>
      <c r="C2877" s="2352" t="s">
        <v>8005</v>
      </c>
      <c r="D2877" s="2352" t="s">
        <v>8151</v>
      </c>
      <c r="E2877" s="355" t="s">
        <v>17117</v>
      </c>
      <c r="F2877" s="1662">
        <v>84</v>
      </c>
      <c r="G2877" s="903"/>
    </row>
    <row r="2878" spans="1:7" ht="15" customHeight="1" x14ac:dyDescent="0.25">
      <c r="A2878" s="2352" t="s">
        <v>4507</v>
      </c>
      <c r="B2878" s="2352" t="s">
        <v>8005</v>
      </c>
      <c r="C2878" s="2352" t="s">
        <v>8005</v>
      </c>
      <c r="D2878" s="2352" t="s">
        <v>8152</v>
      </c>
      <c r="E2878" s="355" t="s">
        <v>17127</v>
      </c>
      <c r="F2878" s="1662">
        <v>33</v>
      </c>
      <c r="G2878" s="903"/>
    </row>
    <row r="2879" spans="1:7" ht="15" customHeight="1" x14ac:dyDescent="0.25">
      <c r="A2879" s="2352" t="s">
        <v>8153</v>
      </c>
      <c r="B2879" s="2352" t="s">
        <v>8005</v>
      </c>
      <c r="C2879" s="2352" t="s">
        <v>8005</v>
      </c>
      <c r="D2879" s="2352" t="s">
        <v>8154</v>
      </c>
      <c r="E2879" s="355" t="s">
        <v>17117</v>
      </c>
      <c r="F2879" s="1662">
        <v>0</v>
      </c>
      <c r="G2879" s="903"/>
    </row>
    <row r="2880" spans="1:7" ht="15" customHeight="1" x14ac:dyDescent="0.25">
      <c r="A2880" s="2352" t="s">
        <v>8155</v>
      </c>
      <c r="B2880" s="2352" t="s">
        <v>8005</v>
      </c>
      <c r="C2880" s="2352" t="s">
        <v>8005</v>
      </c>
      <c r="D2880" s="2352" t="s">
        <v>8156</v>
      </c>
      <c r="E2880" s="355" t="s">
        <v>17138</v>
      </c>
      <c r="F2880" s="1662">
        <v>16</v>
      </c>
      <c r="G2880" s="903"/>
    </row>
    <row r="2881" spans="1:7" ht="15" customHeight="1" x14ac:dyDescent="0.25">
      <c r="A2881" s="2352" t="s">
        <v>6564</v>
      </c>
      <c r="B2881" s="2352" t="s">
        <v>8005</v>
      </c>
      <c r="C2881" s="2352" t="s">
        <v>8005</v>
      </c>
      <c r="D2881" s="2352" t="s">
        <v>8157</v>
      </c>
      <c r="E2881" s="355" t="s">
        <v>17137</v>
      </c>
      <c r="F2881" s="1662">
        <v>10</v>
      </c>
      <c r="G2881" s="903"/>
    </row>
    <row r="2882" spans="1:7" ht="15" customHeight="1" x14ac:dyDescent="0.25">
      <c r="A2882" s="2352" t="s">
        <v>7987</v>
      </c>
      <c r="B2882" s="2352" t="s">
        <v>8005</v>
      </c>
      <c r="C2882" s="2352" t="s">
        <v>8005</v>
      </c>
      <c r="D2882" s="2352" t="s">
        <v>8158</v>
      </c>
      <c r="E2882" s="355" t="s">
        <v>17130</v>
      </c>
      <c r="F2882" s="1662">
        <v>185</v>
      </c>
      <c r="G2882" s="903"/>
    </row>
    <row r="2883" spans="1:7" ht="15" customHeight="1" x14ac:dyDescent="0.25">
      <c r="A2883" s="2352" t="s">
        <v>8159</v>
      </c>
      <c r="B2883" s="2352" t="s">
        <v>8005</v>
      </c>
      <c r="C2883" s="2352" t="s">
        <v>8005</v>
      </c>
      <c r="D2883" s="2352" t="s">
        <v>8160</v>
      </c>
      <c r="E2883" s="355" t="s">
        <v>17136</v>
      </c>
      <c r="F2883" s="1662">
        <v>21</v>
      </c>
      <c r="G2883" s="903"/>
    </row>
    <row r="2884" spans="1:7" ht="15" customHeight="1" x14ac:dyDescent="0.25">
      <c r="A2884" s="2352" t="s">
        <v>8161</v>
      </c>
      <c r="B2884" s="2352" t="s">
        <v>8005</v>
      </c>
      <c r="C2884" s="2352" t="s">
        <v>8005</v>
      </c>
      <c r="D2884" s="2352" t="s">
        <v>8162</v>
      </c>
      <c r="E2884" s="355" t="s">
        <v>17136</v>
      </c>
      <c r="F2884" s="1662">
        <v>13</v>
      </c>
      <c r="G2884" s="903"/>
    </row>
    <row r="2885" spans="1:7" ht="15" customHeight="1" x14ac:dyDescent="0.25">
      <c r="A2885" s="2352" t="s">
        <v>8163</v>
      </c>
      <c r="B2885" s="2352" t="s">
        <v>8005</v>
      </c>
      <c r="C2885" s="2352" t="s">
        <v>8005</v>
      </c>
      <c r="D2885" s="2352" t="s">
        <v>8164</v>
      </c>
      <c r="E2885" s="355" t="s">
        <v>17136</v>
      </c>
      <c r="F2885" s="1662">
        <v>12</v>
      </c>
      <c r="G2885" s="903"/>
    </row>
    <row r="2886" spans="1:7" ht="15" customHeight="1" x14ac:dyDescent="0.25">
      <c r="A2886" s="2352" t="s">
        <v>8165</v>
      </c>
      <c r="B2886" s="2352" t="s">
        <v>8005</v>
      </c>
      <c r="C2886" s="2352" t="s">
        <v>8005</v>
      </c>
      <c r="D2886" s="2352" t="s">
        <v>8166</v>
      </c>
      <c r="E2886" s="355" t="s">
        <v>17121</v>
      </c>
      <c r="F2886" s="1662">
        <v>226</v>
      </c>
      <c r="G2886" s="903"/>
    </row>
    <row r="2887" spans="1:7" ht="15" customHeight="1" x14ac:dyDescent="0.25">
      <c r="A2887" s="2352" t="s">
        <v>8167</v>
      </c>
      <c r="B2887" s="2352" t="s">
        <v>8005</v>
      </c>
      <c r="C2887" s="2352" t="s">
        <v>8005</v>
      </c>
      <c r="D2887" s="2352" t="s">
        <v>8168</v>
      </c>
      <c r="E2887" s="355" t="s">
        <v>17119</v>
      </c>
      <c r="F2887" s="1662">
        <v>26</v>
      </c>
      <c r="G2887" s="903"/>
    </row>
    <row r="2888" spans="1:7" ht="15" customHeight="1" x14ac:dyDescent="0.25">
      <c r="A2888" s="2352" t="s">
        <v>8169</v>
      </c>
      <c r="B2888" s="2352" t="s">
        <v>8005</v>
      </c>
      <c r="C2888" s="2352" t="s">
        <v>8005</v>
      </c>
      <c r="D2888" s="2352" t="s">
        <v>8170</v>
      </c>
      <c r="E2888" s="355" t="s">
        <v>17136</v>
      </c>
      <c r="F2888" s="1662">
        <v>4</v>
      </c>
      <c r="G2888" s="903"/>
    </row>
    <row r="2889" spans="1:7" ht="15" customHeight="1" x14ac:dyDescent="0.25">
      <c r="A2889" s="2352" t="s">
        <v>8171</v>
      </c>
      <c r="B2889" s="2352" t="s">
        <v>8005</v>
      </c>
      <c r="C2889" s="2352" t="s">
        <v>8005</v>
      </c>
      <c r="D2889" s="2352" t="s">
        <v>8172</v>
      </c>
      <c r="E2889" s="355" t="s">
        <v>17138</v>
      </c>
      <c r="F2889" s="1662">
        <v>7</v>
      </c>
      <c r="G2889" s="903"/>
    </row>
    <row r="2890" spans="1:7" ht="15" customHeight="1" x14ac:dyDescent="0.25">
      <c r="A2890" s="2352" t="s">
        <v>8173</v>
      </c>
      <c r="B2890" s="2352" t="s">
        <v>8005</v>
      </c>
      <c r="C2890" s="2352" t="s">
        <v>8005</v>
      </c>
      <c r="D2890" s="2352" t="s">
        <v>8174</v>
      </c>
      <c r="E2890" s="355" t="s">
        <v>17137</v>
      </c>
      <c r="F2890" s="1662">
        <v>2</v>
      </c>
      <c r="G2890" s="903"/>
    </row>
    <row r="2891" spans="1:7" ht="15" customHeight="1" x14ac:dyDescent="0.25">
      <c r="A2891" s="2352" t="s">
        <v>8175</v>
      </c>
      <c r="B2891" s="2352" t="s">
        <v>8005</v>
      </c>
      <c r="C2891" s="2352" t="s">
        <v>8005</v>
      </c>
      <c r="D2891" s="2352" t="s">
        <v>8176</v>
      </c>
      <c r="E2891" s="355" t="s">
        <v>17127</v>
      </c>
      <c r="F2891" s="1662">
        <v>44</v>
      </c>
      <c r="G2891" s="903"/>
    </row>
    <row r="2892" spans="1:7" ht="15" customHeight="1" x14ac:dyDescent="0.25">
      <c r="A2892" s="2352" t="s">
        <v>8177</v>
      </c>
      <c r="B2892" s="2352" t="s">
        <v>8005</v>
      </c>
      <c r="C2892" s="2352" t="s">
        <v>8005</v>
      </c>
      <c r="D2892" s="2352" t="s">
        <v>8178</v>
      </c>
      <c r="E2892" s="355" t="s">
        <v>17127</v>
      </c>
      <c r="F2892" s="1662">
        <v>37</v>
      </c>
      <c r="G2892" s="903"/>
    </row>
    <row r="2893" spans="1:7" ht="15" customHeight="1" x14ac:dyDescent="0.25">
      <c r="A2893" s="2352" t="s">
        <v>8179</v>
      </c>
      <c r="B2893" s="2352" t="s">
        <v>8005</v>
      </c>
      <c r="C2893" s="2352" t="s">
        <v>8005</v>
      </c>
      <c r="D2893" s="2352" t="s">
        <v>8180</v>
      </c>
      <c r="E2893" s="355" t="s">
        <v>17127</v>
      </c>
      <c r="F2893" s="1662">
        <v>33</v>
      </c>
      <c r="G2893" s="903"/>
    </row>
    <row r="2894" spans="1:7" ht="15" customHeight="1" x14ac:dyDescent="0.25">
      <c r="A2894" s="2352" t="s">
        <v>8181</v>
      </c>
      <c r="B2894" s="2352" t="s">
        <v>8005</v>
      </c>
      <c r="C2894" s="2352" t="s">
        <v>8005</v>
      </c>
      <c r="D2894" s="2352" t="s">
        <v>8182</v>
      </c>
      <c r="E2894" s="355" t="s">
        <v>17136</v>
      </c>
      <c r="F2894" s="1662">
        <v>18</v>
      </c>
      <c r="G2894" s="903"/>
    </row>
    <row r="2895" spans="1:7" ht="15" customHeight="1" x14ac:dyDescent="0.25">
      <c r="A2895" s="2352" t="s">
        <v>8183</v>
      </c>
      <c r="B2895" s="2352" t="s">
        <v>8005</v>
      </c>
      <c r="C2895" s="2352" t="s">
        <v>8005</v>
      </c>
      <c r="D2895" s="2352" t="s">
        <v>8184</v>
      </c>
      <c r="E2895" s="355" t="s">
        <v>17137</v>
      </c>
      <c r="F2895" s="1662">
        <v>10</v>
      </c>
      <c r="G2895" s="903"/>
    </row>
    <row r="2896" spans="1:7" ht="15" customHeight="1" x14ac:dyDescent="0.25">
      <c r="A2896" s="2352" t="s">
        <v>7987</v>
      </c>
      <c r="B2896" s="2352" t="s">
        <v>8005</v>
      </c>
      <c r="C2896" s="2352" t="s">
        <v>8005</v>
      </c>
      <c r="D2896" s="2352" t="s">
        <v>8158</v>
      </c>
      <c r="E2896" s="355" t="s">
        <v>17119</v>
      </c>
      <c r="F2896" s="1662">
        <v>30</v>
      </c>
      <c r="G2896" s="903"/>
    </row>
    <row r="2897" spans="1:7" ht="15" customHeight="1" x14ac:dyDescent="0.25">
      <c r="A2897" s="2352" t="s">
        <v>8185</v>
      </c>
      <c r="B2897" s="2352" t="s">
        <v>8005</v>
      </c>
      <c r="C2897" s="2352" t="s">
        <v>8005</v>
      </c>
      <c r="D2897" s="2352" t="s">
        <v>8186</v>
      </c>
      <c r="E2897" s="355" t="s">
        <v>17127</v>
      </c>
      <c r="F2897" s="1662">
        <v>6</v>
      </c>
      <c r="G2897" s="903"/>
    </row>
    <row r="2898" spans="1:7" ht="15" customHeight="1" x14ac:dyDescent="0.25">
      <c r="A2898" s="2352" t="s">
        <v>8187</v>
      </c>
      <c r="B2898" s="2352" t="s">
        <v>8005</v>
      </c>
      <c r="C2898" s="2352" t="s">
        <v>8005</v>
      </c>
      <c r="D2898" s="2352" t="s">
        <v>8188</v>
      </c>
      <c r="E2898" s="355" t="s">
        <v>17119</v>
      </c>
      <c r="F2898" s="1662">
        <v>43</v>
      </c>
      <c r="G2898" s="903"/>
    </row>
    <row r="2899" spans="1:7" ht="15" customHeight="1" x14ac:dyDescent="0.25">
      <c r="A2899" s="2352" t="s">
        <v>4155</v>
      </c>
      <c r="B2899" s="2352" t="s">
        <v>8005</v>
      </c>
      <c r="C2899" s="2352" t="s">
        <v>8005</v>
      </c>
      <c r="D2899" s="2352" t="s">
        <v>8189</v>
      </c>
      <c r="E2899" s="355" t="s">
        <v>17117</v>
      </c>
      <c r="F2899" s="1662">
        <v>120</v>
      </c>
      <c r="G2899" s="903"/>
    </row>
    <row r="2900" spans="1:7" ht="15" customHeight="1" x14ac:dyDescent="0.25">
      <c r="A2900" s="2352" t="s">
        <v>8190</v>
      </c>
      <c r="B2900" s="2352" t="s">
        <v>8005</v>
      </c>
      <c r="C2900" s="2352" t="s">
        <v>8005</v>
      </c>
      <c r="D2900" s="2352" t="s">
        <v>8191</v>
      </c>
      <c r="E2900" s="355" t="s">
        <v>17137</v>
      </c>
      <c r="F2900" s="1662">
        <v>5</v>
      </c>
      <c r="G2900" s="903"/>
    </row>
    <row r="2901" spans="1:7" ht="15" customHeight="1" x14ac:dyDescent="0.25">
      <c r="A2901" s="2352" t="s">
        <v>8192</v>
      </c>
      <c r="B2901" s="2352" t="s">
        <v>8005</v>
      </c>
      <c r="C2901" s="2352" t="s">
        <v>8005</v>
      </c>
      <c r="D2901" s="2352" t="s">
        <v>8193</v>
      </c>
      <c r="E2901" s="355" t="s">
        <v>17137</v>
      </c>
      <c r="F2901" s="1662">
        <v>5</v>
      </c>
      <c r="G2901" s="903"/>
    </row>
    <row r="2902" spans="1:7" ht="15" customHeight="1" x14ac:dyDescent="0.25">
      <c r="A2902" s="2352" t="s">
        <v>4007</v>
      </c>
      <c r="B2902" s="2352" t="s">
        <v>8005</v>
      </c>
      <c r="C2902" s="2352" t="s">
        <v>8005</v>
      </c>
      <c r="D2902" s="2352" t="s">
        <v>8194</v>
      </c>
      <c r="E2902" s="355" t="s">
        <v>17123</v>
      </c>
      <c r="F2902" s="1662">
        <v>100</v>
      </c>
      <c r="G2902" s="903"/>
    </row>
    <row r="2903" spans="1:7" ht="15" customHeight="1" x14ac:dyDescent="0.25">
      <c r="A2903" s="2352" t="s">
        <v>8124</v>
      </c>
      <c r="B2903" s="2352" t="s">
        <v>8005</v>
      </c>
      <c r="C2903" s="2352" t="s">
        <v>8005</v>
      </c>
      <c r="D2903" s="2352" t="s">
        <v>8195</v>
      </c>
      <c r="E2903" s="355" t="s">
        <v>17117</v>
      </c>
      <c r="F2903" s="1662">
        <v>131</v>
      </c>
      <c r="G2903" s="903"/>
    </row>
    <row r="2904" spans="1:7" ht="15" customHeight="1" x14ac:dyDescent="0.25">
      <c r="A2904" s="2352" t="s">
        <v>17140</v>
      </c>
      <c r="B2904" s="2352" t="s">
        <v>8005</v>
      </c>
      <c r="C2904" s="2352" t="s">
        <v>8005</v>
      </c>
      <c r="D2904" s="2352" t="s">
        <v>8196</v>
      </c>
      <c r="E2904" s="355" t="s">
        <v>17130</v>
      </c>
      <c r="F2904" s="1662">
        <v>195</v>
      </c>
      <c r="G2904" s="903"/>
    </row>
    <row r="2905" spans="1:7" ht="15" customHeight="1" x14ac:dyDescent="0.25">
      <c r="A2905" s="2352" t="s">
        <v>8197</v>
      </c>
      <c r="B2905" s="2352" t="s">
        <v>8005</v>
      </c>
      <c r="C2905" s="2352" t="s">
        <v>8005</v>
      </c>
      <c r="D2905" s="2352" t="s">
        <v>8198</v>
      </c>
      <c r="E2905" s="355" t="s">
        <v>17119</v>
      </c>
      <c r="F2905" s="1662">
        <v>46</v>
      </c>
      <c r="G2905" s="903"/>
    </row>
    <row r="2906" spans="1:7" ht="15" customHeight="1" x14ac:dyDescent="0.25">
      <c r="A2906" s="2352" t="s">
        <v>8199</v>
      </c>
      <c r="B2906" s="2352" t="s">
        <v>8005</v>
      </c>
      <c r="C2906" s="2352" t="s">
        <v>8005</v>
      </c>
      <c r="D2906" s="2352" t="s">
        <v>8200</v>
      </c>
      <c r="E2906" s="355" t="s">
        <v>17127</v>
      </c>
      <c r="F2906" s="1662">
        <v>9</v>
      </c>
      <c r="G2906" s="903"/>
    </row>
    <row r="2907" spans="1:7" ht="15" customHeight="1" x14ac:dyDescent="0.25">
      <c r="A2907" s="2352" t="s">
        <v>8201</v>
      </c>
      <c r="B2907" s="2352" t="s">
        <v>8005</v>
      </c>
      <c r="C2907" s="2352" t="s">
        <v>8005</v>
      </c>
      <c r="D2907" s="2352" t="s">
        <v>8202</v>
      </c>
      <c r="E2907" s="355" t="s">
        <v>17130</v>
      </c>
      <c r="F2907" s="1662">
        <v>176</v>
      </c>
      <c r="G2907" s="903"/>
    </row>
    <row r="2908" spans="1:7" ht="15" customHeight="1" x14ac:dyDescent="0.25">
      <c r="A2908" s="2352" t="s">
        <v>8203</v>
      </c>
      <c r="B2908" s="2352" t="s">
        <v>8005</v>
      </c>
      <c r="C2908" s="2352" t="s">
        <v>8005</v>
      </c>
      <c r="D2908" s="2352" t="s">
        <v>8204</v>
      </c>
      <c r="E2908" s="355" t="s">
        <v>17123</v>
      </c>
      <c r="F2908" s="1662">
        <v>60</v>
      </c>
      <c r="G2908" s="903"/>
    </row>
    <row r="2909" spans="1:7" ht="15" customHeight="1" x14ac:dyDescent="0.25">
      <c r="A2909" s="2352" t="s">
        <v>4713</v>
      </c>
      <c r="B2909" s="2352" t="s">
        <v>8005</v>
      </c>
      <c r="C2909" s="2352" t="s">
        <v>8005</v>
      </c>
      <c r="D2909" s="2352" t="s">
        <v>8205</v>
      </c>
      <c r="E2909" s="355" t="s">
        <v>17123</v>
      </c>
      <c r="F2909" s="1662">
        <v>39</v>
      </c>
      <c r="G2909" s="903"/>
    </row>
    <row r="2910" spans="1:7" ht="15" customHeight="1" x14ac:dyDescent="0.25">
      <c r="A2910" s="2352" t="s">
        <v>6429</v>
      </c>
      <c r="B2910" s="2352" t="s">
        <v>8005</v>
      </c>
      <c r="C2910" s="2352" t="s">
        <v>8005</v>
      </c>
      <c r="D2910" s="2352" t="s">
        <v>8206</v>
      </c>
      <c r="E2910" s="355" t="s">
        <v>17137</v>
      </c>
      <c r="F2910" s="1662">
        <v>1</v>
      </c>
      <c r="G2910" s="903"/>
    </row>
    <row r="2911" spans="1:7" ht="15" customHeight="1" x14ac:dyDescent="0.25">
      <c r="A2911" s="2352" t="s">
        <v>8207</v>
      </c>
      <c r="B2911" s="2352" t="s">
        <v>8005</v>
      </c>
      <c r="C2911" s="2352" t="s">
        <v>8005</v>
      </c>
      <c r="D2911" s="2352" t="s">
        <v>8208</v>
      </c>
      <c r="E2911" s="355" t="s">
        <v>17117</v>
      </c>
      <c r="F2911" s="1662">
        <v>120</v>
      </c>
      <c r="G2911" s="903"/>
    </row>
    <row r="2912" spans="1:7" ht="15" customHeight="1" x14ac:dyDescent="0.25">
      <c r="A2912" s="2352" t="s">
        <v>8209</v>
      </c>
      <c r="B2912" s="2352" t="s">
        <v>8005</v>
      </c>
      <c r="C2912" s="2352" t="s">
        <v>8005</v>
      </c>
      <c r="D2912" s="2352" t="s">
        <v>8210</v>
      </c>
      <c r="E2912" s="355" t="s">
        <v>17117</v>
      </c>
      <c r="F2912" s="1662">
        <v>160</v>
      </c>
      <c r="G2912" s="903"/>
    </row>
    <row r="2913" spans="1:7" ht="15" customHeight="1" x14ac:dyDescent="0.25">
      <c r="A2913" s="2352" t="s">
        <v>5110</v>
      </c>
      <c r="B2913" s="2352" t="s">
        <v>8005</v>
      </c>
      <c r="C2913" s="2352" t="s">
        <v>8005</v>
      </c>
      <c r="D2913" s="2352" t="s">
        <v>8211</v>
      </c>
      <c r="E2913" s="355" t="s">
        <v>17136</v>
      </c>
      <c r="F2913" s="1662">
        <v>6</v>
      </c>
      <c r="G2913" s="903"/>
    </row>
    <row r="2914" spans="1:7" ht="15" customHeight="1" x14ac:dyDescent="0.25">
      <c r="A2914" s="2352" t="s">
        <v>8212</v>
      </c>
      <c r="B2914" s="2352" t="s">
        <v>8005</v>
      </c>
      <c r="C2914" s="2352" t="s">
        <v>8005</v>
      </c>
      <c r="D2914" s="2352" t="s">
        <v>8213</v>
      </c>
      <c r="E2914" s="355" t="s">
        <v>17130</v>
      </c>
      <c r="F2914" s="1662">
        <v>215</v>
      </c>
      <c r="G2914" s="903"/>
    </row>
    <row r="2915" spans="1:7" ht="15" customHeight="1" x14ac:dyDescent="0.25">
      <c r="A2915" s="2352" t="s">
        <v>8214</v>
      </c>
      <c r="B2915" s="2352" t="s">
        <v>8005</v>
      </c>
      <c r="C2915" s="2352" t="s">
        <v>8005</v>
      </c>
      <c r="D2915" s="2352" t="s">
        <v>8215</v>
      </c>
      <c r="E2915" s="355" t="s">
        <v>17117</v>
      </c>
      <c r="F2915" s="1662">
        <v>153</v>
      </c>
      <c r="G2915" s="903"/>
    </row>
    <row r="2916" spans="1:7" ht="15" customHeight="1" x14ac:dyDescent="0.25">
      <c r="A2916" s="2352" t="s">
        <v>8216</v>
      </c>
      <c r="B2916" s="2352" t="s">
        <v>8005</v>
      </c>
      <c r="C2916" s="2352" t="s">
        <v>8005</v>
      </c>
      <c r="D2916" s="2352" t="s">
        <v>8217</v>
      </c>
      <c r="E2916" s="355" t="s">
        <v>17127</v>
      </c>
      <c r="F2916" s="1662">
        <v>37</v>
      </c>
      <c r="G2916" s="903"/>
    </row>
    <row r="2917" spans="1:7" ht="15" customHeight="1" x14ac:dyDescent="0.25">
      <c r="A2917" s="2352" t="s">
        <v>8218</v>
      </c>
      <c r="B2917" s="2352" t="s">
        <v>8005</v>
      </c>
      <c r="C2917" s="2352" t="s">
        <v>8005</v>
      </c>
      <c r="D2917" s="2352" t="s">
        <v>8219</v>
      </c>
      <c r="E2917" s="355" t="s">
        <v>17123</v>
      </c>
      <c r="F2917" s="1662">
        <v>24</v>
      </c>
      <c r="G2917" s="903"/>
    </row>
    <row r="2918" spans="1:7" ht="15" customHeight="1" x14ac:dyDescent="0.25">
      <c r="A2918" s="2352" t="s">
        <v>7637</v>
      </c>
      <c r="B2918" s="2352" t="s">
        <v>8005</v>
      </c>
      <c r="C2918" s="2352" t="s">
        <v>8005</v>
      </c>
      <c r="D2918" s="2352" t="s">
        <v>8220</v>
      </c>
      <c r="E2918" s="355" t="s">
        <v>17123</v>
      </c>
      <c r="F2918" s="1662">
        <v>40</v>
      </c>
      <c r="G2918" s="903"/>
    </row>
    <row r="2919" spans="1:7" ht="15" customHeight="1" x14ac:dyDescent="0.25">
      <c r="A2919" s="2352" t="s">
        <v>6447</v>
      </c>
      <c r="B2919" s="2352" t="s">
        <v>8005</v>
      </c>
      <c r="C2919" s="2352" t="s">
        <v>8005</v>
      </c>
      <c r="D2919" s="2352" t="s">
        <v>8221</v>
      </c>
      <c r="E2919" s="355" t="s">
        <v>17119</v>
      </c>
      <c r="F2919" s="1662">
        <v>29</v>
      </c>
      <c r="G2919" s="903"/>
    </row>
    <row r="2920" spans="1:7" ht="15" customHeight="1" x14ac:dyDescent="0.25">
      <c r="A2920" s="2352" t="s">
        <v>5038</v>
      </c>
      <c r="B2920" s="2352" t="s">
        <v>8005</v>
      </c>
      <c r="C2920" s="2352" t="s">
        <v>8005</v>
      </c>
      <c r="D2920" s="2352" t="s">
        <v>8222</v>
      </c>
      <c r="E2920" s="355" t="s">
        <v>17117</v>
      </c>
      <c r="F2920" s="1662">
        <v>131</v>
      </c>
      <c r="G2920" s="903"/>
    </row>
    <row r="2921" spans="1:7" ht="15" customHeight="1" x14ac:dyDescent="0.25">
      <c r="A2921" s="2352" t="s">
        <v>8223</v>
      </c>
      <c r="B2921" s="2352" t="s">
        <v>8005</v>
      </c>
      <c r="C2921" s="2352" t="s">
        <v>8005</v>
      </c>
      <c r="D2921" s="2352" t="s">
        <v>8224</v>
      </c>
      <c r="E2921" s="355" t="s">
        <v>17130</v>
      </c>
      <c r="F2921" s="1662">
        <v>159</v>
      </c>
      <c r="G2921" s="903"/>
    </row>
    <row r="2922" spans="1:7" ht="15" customHeight="1" x14ac:dyDescent="0.25">
      <c r="A2922" s="2352" t="s">
        <v>8225</v>
      </c>
      <c r="B2922" s="2352" t="s">
        <v>8005</v>
      </c>
      <c r="C2922" s="2352" t="s">
        <v>8005</v>
      </c>
      <c r="D2922" s="2352" t="s">
        <v>8226</v>
      </c>
      <c r="E2922" s="355" t="s">
        <v>17138</v>
      </c>
      <c r="F2922" s="1662">
        <v>5</v>
      </c>
      <c r="G2922" s="903"/>
    </row>
    <row r="2923" spans="1:7" ht="15" customHeight="1" x14ac:dyDescent="0.25">
      <c r="A2923" s="2352" t="s">
        <v>8227</v>
      </c>
      <c r="B2923" s="2352" t="s">
        <v>8005</v>
      </c>
      <c r="C2923" s="2352" t="s">
        <v>8005</v>
      </c>
      <c r="D2923" s="2352" t="s">
        <v>8228</v>
      </c>
      <c r="E2923" s="355" t="s">
        <v>17138</v>
      </c>
      <c r="F2923" s="1662">
        <v>13</v>
      </c>
      <c r="G2923" s="903"/>
    </row>
    <row r="2924" spans="1:7" ht="15" customHeight="1" x14ac:dyDescent="0.25">
      <c r="A2924" s="2352" t="s">
        <v>4709</v>
      </c>
      <c r="B2924" s="2352" t="s">
        <v>8005</v>
      </c>
      <c r="C2924" s="2352" t="s">
        <v>8005</v>
      </c>
      <c r="D2924" s="2352" t="s">
        <v>8229</v>
      </c>
      <c r="E2924" s="355" t="s">
        <v>17123</v>
      </c>
      <c r="F2924" s="1662">
        <v>83</v>
      </c>
      <c r="G2924" s="903"/>
    </row>
    <row r="2925" spans="1:7" ht="15" customHeight="1" x14ac:dyDescent="0.25">
      <c r="A2925" s="2352" t="s">
        <v>8230</v>
      </c>
      <c r="B2925" s="2352" t="s">
        <v>8005</v>
      </c>
      <c r="C2925" s="2352" t="s">
        <v>8005</v>
      </c>
      <c r="D2925" s="2352" t="s">
        <v>8231</v>
      </c>
      <c r="E2925" s="355" t="s">
        <v>17136</v>
      </c>
      <c r="F2925" s="1662">
        <v>4</v>
      </c>
      <c r="G2925" s="903"/>
    </row>
    <row r="2926" spans="1:7" ht="15" customHeight="1" x14ac:dyDescent="0.25">
      <c r="A2926" s="2352" t="s">
        <v>8232</v>
      </c>
      <c r="B2926" s="2352" t="s">
        <v>8005</v>
      </c>
      <c r="C2926" s="2352" t="s">
        <v>8005</v>
      </c>
      <c r="D2926" s="2352" t="s">
        <v>8233</v>
      </c>
      <c r="E2926" s="355" t="s">
        <v>17117</v>
      </c>
      <c r="F2926" s="1662">
        <v>93</v>
      </c>
      <c r="G2926" s="903"/>
    </row>
    <row r="2927" spans="1:7" ht="15" customHeight="1" x14ac:dyDescent="0.25">
      <c r="A2927" s="2352" t="s">
        <v>6520</v>
      </c>
      <c r="B2927" s="2352" t="s">
        <v>8005</v>
      </c>
      <c r="C2927" s="2352" t="s">
        <v>8005</v>
      </c>
      <c r="D2927" s="2352" t="s">
        <v>8234</v>
      </c>
      <c r="E2927" s="355" t="s">
        <v>17117</v>
      </c>
      <c r="F2927" s="1662">
        <v>84</v>
      </c>
      <c r="G2927" s="903"/>
    </row>
    <row r="2928" spans="1:7" ht="15" customHeight="1" x14ac:dyDescent="0.25">
      <c r="A2928" s="2352" t="s">
        <v>4916</v>
      </c>
      <c r="B2928" s="2352" t="s">
        <v>8005</v>
      </c>
      <c r="C2928" s="2352" t="s">
        <v>8005</v>
      </c>
      <c r="D2928" s="2352" t="s">
        <v>8235</v>
      </c>
      <c r="E2928" s="355" t="s">
        <v>17117</v>
      </c>
      <c r="F2928" s="1662">
        <v>37</v>
      </c>
      <c r="G2928" s="903"/>
    </row>
    <row r="2929" spans="1:7" ht="15" customHeight="1" x14ac:dyDescent="0.25">
      <c r="A2929" s="2352" t="s">
        <v>8236</v>
      </c>
      <c r="B2929" s="2352" t="s">
        <v>8005</v>
      </c>
      <c r="C2929" s="2352" t="s">
        <v>8005</v>
      </c>
      <c r="D2929" s="2352" t="s">
        <v>8237</v>
      </c>
      <c r="E2929" s="355" t="s">
        <v>17119</v>
      </c>
      <c r="F2929" s="1662">
        <v>61</v>
      </c>
      <c r="G2929" s="903"/>
    </row>
    <row r="2930" spans="1:7" ht="15" customHeight="1" x14ac:dyDescent="0.25">
      <c r="A2930" s="2352" t="s">
        <v>8238</v>
      </c>
      <c r="B2930" s="2352" t="s">
        <v>8005</v>
      </c>
      <c r="C2930" s="2352" t="s">
        <v>8005</v>
      </c>
      <c r="D2930" s="2352" t="s">
        <v>8239</v>
      </c>
      <c r="E2930" s="355" t="s">
        <v>17127</v>
      </c>
      <c r="F2930" s="1662">
        <v>38</v>
      </c>
      <c r="G2930" s="903"/>
    </row>
    <row r="2931" spans="1:7" ht="15" customHeight="1" x14ac:dyDescent="0.25">
      <c r="A2931" s="2352" t="s">
        <v>8240</v>
      </c>
      <c r="B2931" s="2352" t="s">
        <v>8005</v>
      </c>
      <c r="C2931" s="2352" t="s">
        <v>8005</v>
      </c>
      <c r="D2931" s="2352" t="s">
        <v>8241</v>
      </c>
      <c r="E2931" s="355" t="s">
        <v>17119</v>
      </c>
      <c r="F2931" s="1662">
        <v>0</v>
      </c>
      <c r="G2931" s="903"/>
    </row>
    <row r="2932" spans="1:7" ht="15" customHeight="1" x14ac:dyDescent="0.25">
      <c r="A2932" s="2352" t="s">
        <v>8242</v>
      </c>
      <c r="B2932" s="2352" t="s">
        <v>8005</v>
      </c>
      <c r="C2932" s="2352" t="s">
        <v>8005</v>
      </c>
      <c r="D2932" s="2352" t="s">
        <v>8243</v>
      </c>
      <c r="E2932" s="355" t="s">
        <v>17123</v>
      </c>
      <c r="F2932" s="1662">
        <v>0</v>
      </c>
      <c r="G2932" s="903"/>
    </row>
    <row r="2933" spans="1:7" ht="15" customHeight="1" x14ac:dyDescent="0.25">
      <c r="A2933" s="2352" t="s">
        <v>8244</v>
      </c>
      <c r="B2933" s="2352" t="s">
        <v>8005</v>
      </c>
      <c r="C2933" s="2352" t="s">
        <v>8005</v>
      </c>
      <c r="D2933" s="2352" t="s">
        <v>8245</v>
      </c>
      <c r="E2933" s="355" t="s">
        <v>17127</v>
      </c>
      <c r="F2933" s="1662">
        <v>44</v>
      </c>
      <c r="G2933" s="903"/>
    </row>
    <row r="2934" spans="1:7" ht="15" customHeight="1" x14ac:dyDescent="0.25">
      <c r="A2934" s="2352" t="s">
        <v>8246</v>
      </c>
      <c r="B2934" s="2352" t="s">
        <v>8005</v>
      </c>
      <c r="C2934" s="2352" t="s">
        <v>8005</v>
      </c>
      <c r="D2934" s="2352" t="s">
        <v>8247</v>
      </c>
      <c r="E2934" s="355" t="s">
        <v>17127</v>
      </c>
      <c r="F2934" s="1662">
        <v>44</v>
      </c>
      <c r="G2934" s="903"/>
    </row>
    <row r="2935" spans="1:7" ht="15" customHeight="1" x14ac:dyDescent="0.25">
      <c r="A2935" s="2352" t="s">
        <v>8248</v>
      </c>
      <c r="B2935" s="2352" t="s">
        <v>8005</v>
      </c>
      <c r="C2935" s="2352" t="s">
        <v>8005</v>
      </c>
      <c r="D2935" s="2352" t="s">
        <v>8249</v>
      </c>
      <c r="E2935" s="355" t="s">
        <v>17123</v>
      </c>
      <c r="F2935" s="1662">
        <v>62</v>
      </c>
      <c r="G2935" s="903"/>
    </row>
    <row r="2936" spans="1:7" ht="15" customHeight="1" x14ac:dyDescent="0.25">
      <c r="A2936" s="2352" t="s">
        <v>8250</v>
      </c>
      <c r="B2936" s="2352" t="s">
        <v>8005</v>
      </c>
      <c r="C2936" s="2352" t="s">
        <v>8005</v>
      </c>
      <c r="D2936" s="2352" t="s">
        <v>8251</v>
      </c>
      <c r="E2936" s="355" t="s">
        <v>17136</v>
      </c>
      <c r="F2936" s="1662">
        <v>18</v>
      </c>
      <c r="G2936" s="903"/>
    </row>
    <row r="2937" spans="1:7" ht="15" customHeight="1" x14ac:dyDescent="0.25">
      <c r="A2937" s="2352" t="s">
        <v>8252</v>
      </c>
      <c r="B2937" s="2352" t="s">
        <v>8005</v>
      </c>
      <c r="C2937" s="2352" t="s">
        <v>8005</v>
      </c>
      <c r="D2937" s="2352" t="s">
        <v>8253</v>
      </c>
      <c r="E2937" s="355" t="s">
        <v>17136</v>
      </c>
      <c r="F2937" s="1662">
        <v>30</v>
      </c>
      <c r="G2937" s="903"/>
    </row>
    <row r="2938" spans="1:7" ht="15" customHeight="1" x14ac:dyDescent="0.25">
      <c r="A2938" s="2352" t="s">
        <v>4802</v>
      </c>
      <c r="B2938" s="2352" t="s">
        <v>8005</v>
      </c>
      <c r="C2938" s="2352" t="s">
        <v>8005</v>
      </c>
      <c r="D2938" s="2352" t="s">
        <v>8254</v>
      </c>
      <c r="E2938" s="355" t="s">
        <v>17136</v>
      </c>
      <c r="F2938" s="1662">
        <v>20</v>
      </c>
      <c r="G2938" s="903"/>
    </row>
    <row r="2939" spans="1:7" ht="15" customHeight="1" x14ac:dyDescent="0.25">
      <c r="A2939" s="2352" t="s">
        <v>8255</v>
      </c>
      <c r="B2939" s="2352" t="s">
        <v>8005</v>
      </c>
      <c r="C2939" s="2352" t="s">
        <v>8005</v>
      </c>
      <c r="D2939" s="2352" t="s">
        <v>8256</v>
      </c>
      <c r="E2939" s="355" t="s">
        <v>17127</v>
      </c>
      <c r="F2939" s="1662">
        <v>27</v>
      </c>
      <c r="G2939" s="903"/>
    </row>
    <row r="2940" spans="1:7" ht="15" customHeight="1" x14ac:dyDescent="0.25">
      <c r="A2940" s="2352" t="s">
        <v>8257</v>
      </c>
      <c r="B2940" s="2352" t="s">
        <v>8005</v>
      </c>
      <c r="C2940" s="2352" t="s">
        <v>8005</v>
      </c>
      <c r="D2940" s="2352" t="s">
        <v>8258</v>
      </c>
      <c r="E2940" s="355" t="s">
        <v>17123</v>
      </c>
      <c r="F2940" s="1662">
        <v>61</v>
      </c>
      <c r="G2940" s="903"/>
    </row>
    <row r="2941" spans="1:7" ht="15" customHeight="1" x14ac:dyDescent="0.25">
      <c r="A2941" s="2352" t="s">
        <v>8259</v>
      </c>
      <c r="B2941" s="2352" t="s">
        <v>8005</v>
      </c>
      <c r="C2941" s="2352" t="s">
        <v>8005</v>
      </c>
      <c r="D2941" s="2352" t="s">
        <v>8260</v>
      </c>
      <c r="E2941" s="355" t="s">
        <v>17136</v>
      </c>
      <c r="F2941" s="1662">
        <v>28</v>
      </c>
      <c r="G2941" s="903"/>
    </row>
    <row r="2942" spans="1:7" ht="15" customHeight="1" x14ac:dyDescent="0.25">
      <c r="A2942" s="2352" t="s">
        <v>8261</v>
      </c>
      <c r="B2942" s="2352" t="s">
        <v>8005</v>
      </c>
      <c r="C2942" s="2352" t="s">
        <v>8005</v>
      </c>
      <c r="D2942" s="2352" t="s">
        <v>8262</v>
      </c>
      <c r="E2942" s="355" t="s">
        <v>17123</v>
      </c>
      <c r="F2942" s="1662">
        <v>46</v>
      </c>
      <c r="G2942" s="903"/>
    </row>
    <row r="2943" spans="1:7" ht="15" customHeight="1" x14ac:dyDescent="0.25">
      <c r="A2943" s="2352" t="s">
        <v>8263</v>
      </c>
      <c r="B2943" s="2352" t="s">
        <v>8005</v>
      </c>
      <c r="C2943" s="2352" t="s">
        <v>8005</v>
      </c>
      <c r="D2943" s="2352" t="s">
        <v>8264</v>
      </c>
      <c r="E2943" s="355" t="s">
        <v>17123</v>
      </c>
      <c r="F2943" s="1662">
        <v>84</v>
      </c>
      <c r="G2943" s="903"/>
    </row>
    <row r="2944" spans="1:7" ht="15" customHeight="1" x14ac:dyDescent="0.25">
      <c r="A2944" s="2352" t="s">
        <v>8265</v>
      </c>
      <c r="B2944" s="2352" t="s">
        <v>8005</v>
      </c>
      <c r="C2944" s="2352" t="s">
        <v>8005</v>
      </c>
      <c r="D2944" s="2352" t="s">
        <v>8266</v>
      </c>
      <c r="E2944" s="355" t="s">
        <v>8267</v>
      </c>
      <c r="F2944" s="1662">
        <v>674</v>
      </c>
      <c r="G2944" s="903"/>
    </row>
    <row r="2945" spans="1:7" ht="15" customHeight="1" x14ac:dyDescent="0.25">
      <c r="A2945" s="2352" t="s">
        <v>8268</v>
      </c>
      <c r="B2945" s="2352" t="s">
        <v>8005</v>
      </c>
      <c r="C2945" s="2352" t="s">
        <v>8005</v>
      </c>
      <c r="D2945" s="2352" t="s">
        <v>8269</v>
      </c>
      <c r="E2945" s="355" t="s">
        <v>8270</v>
      </c>
      <c r="F2945" s="1662">
        <v>1328</v>
      </c>
      <c r="G2945" s="903"/>
    </row>
    <row r="2946" spans="1:7" ht="15" customHeight="1" x14ac:dyDescent="0.25">
      <c r="A2946" s="2352" t="s">
        <v>8271</v>
      </c>
      <c r="B2946" s="2352" t="s">
        <v>8005</v>
      </c>
      <c r="C2946" s="2352" t="s">
        <v>8005</v>
      </c>
      <c r="D2946" s="2352" t="s">
        <v>8272</v>
      </c>
      <c r="E2946" s="355" t="s">
        <v>8270</v>
      </c>
      <c r="F2946" s="1662">
        <v>1339</v>
      </c>
      <c r="G2946" s="903"/>
    </row>
    <row r="2947" spans="1:7" ht="15" customHeight="1" x14ac:dyDescent="0.25">
      <c r="A2947" s="2352" t="s">
        <v>8273</v>
      </c>
      <c r="B2947" s="2352" t="s">
        <v>8005</v>
      </c>
      <c r="C2947" s="2352" t="s">
        <v>8005</v>
      </c>
      <c r="D2947" s="2352" t="s">
        <v>8274</v>
      </c>
      <c r="E2947" s="355" t="s">
        <v>17125</v>
      </c>
      <c r="F2947" s="1662">
        <v>12</v>
      </c>
      <c r="G2947" s="903"/>
    </row>
    <row r="2948" spans="1:7" ht="15" customHeight="1" x14ac:dyDescent="0.25">
      <c r="A2948" s="2352" t="s">
        <v>8275</v>
      </c>
      <c r="B2948" s="2352" t="s">
        <v>8005</v>
      </c>
      <c r="C2948" s="2352" t="s">
        <v>8005</v>
      </c>
      <c r="D2948" s="2352" t="s">
        <v>8276</v>
      </c>
      <c r="E2948" s="355" t="s">
        <v>17123</v>
      </c>
      <c r="F2948" s="1662">
        <v>35</v>
      </c>
      <c r="G2948" s="903"/>
    </row>
    <row r="2949" spans="1:7" ht="15" customHeight="1" x14ac:dyDescent="0.25">
      <c r="A2949" s="2352" t="s">
        <v>17141</v>
      </c>
      <c r="B2949" s="2352" t="s">
        <v>8005</v>
      </c>
      <c r="C2949" s="2352" t="s">
        <v>8005</v>
      </c>
      <c r="D2949" s="2352" t="s">
        <v>8277</v>
      </c>
      <c r="E2949" s="355" t="s">
        <v>17123</v>
      </c>
      <c r="F2949" s="1662">
        <v>62</v>
      </c>
      <c r="G2949" s="903"/>
    </row>
    <row r="2950" spans="1:7" ht="15" customHeight="1" x14ac:dyDescent="0.25">
      <c r="A2950" s="2352" t="s">
        <v>8278</v>
      </c>
      <c r="B2950" s="2352" t="s">
        <v>8005</v>
      </c>
      <c r="C2950" s="2352" t="s">
        <v>8005</v>
      </c>
      <c r="D2950" s="2352" t="s">
        <v>8279</v>
      </c>
      <c r="E2950" s="355" t="s">
        <v>17139</v>
      </c>
      <c r="F2950" s="1662">
        <v>2</v>
      </c>
      <c r="G2950" s="903"/>
    </row>
    <row r="2951" spans="1:7" ht="15" customHeight="1" x14ac:dyDescent="0.25">
      <c r="A2951" s="2352" t="s">
        <v>17142</v>
      </c>
      <c r="B2951" s="2352" t="s">
        <v>8005</v>
      </c>
      <c r="C2951" s="2352" t="s">
        <v>8005</v>
      </c>
      <c r="D2951" s="2352" t="s">
        <v>8280</v>
      </c>
      <c r="E2951" s="355" t="s">
        <v>17117</v>
      </c>
      <c r="F2951" s="1662">
        <v>127</v>
      </c>
      <c r="G2951" s="903"/>
    </row>
    <row r="2952" spans="1:7" ht="15" customHeight="1" x14ac:dyDescent="0.25">
      <c r="A2952" s="2352" t="s">
        <v>8144</v>
      </c>
      <c r="B2952" s="2352" t="s">
        <v>8005</v>
      </c>
      <c r="C2952" s="2352" t="s">
        <v>8005</v>
      </c>
      <c r="D2952" s="2352" t="s">
        <v>8281</v>
      </c>
      <c r="E2952" s="355" t="s">
        <v>17130</v>
      </c>
      <c r="F2952" s="1662">
        <v>168</v>
      </c>
      <c r="G2952" s="903"/>
    </row>
    <row r="2953" spans="1:7" ht="15" customHeight="1" x14ac:dyDescent="0.25">
      <c r="A2953" s="2352" t="s">
        <v>7873</v>
      </c>
      <c r="B2953" s="2352" t="s">
        <v>8005</v>
      </c>
      <c r="C2953" s="2352" t="s">
        <v>8005</v>
      </c>
      <c r="D2953" s="2352" t="s">
        <v>8282</v>
      </c>
      <c r="E2953" s="355" t="s">
        <v>17121</v>
      </c>
      <c r="F2953" s="1662">
        <v>313</v>
      </c>
      <c r="G2953" s="903"/>
    </row>
    <row r="2954" spans="1:7" ht="15" customHeight="1" x14ac:dyDescent="0.25">
      <c r="A2954" s="2352" t="s">
        <v>8283</v>
      </c>
      <c r="B2954" s="2352" t="s">
        <v>8005</v>
      </c>
      <c r="C2954" s="2352" t="s">
        <v>8005</v>
      </c>
      <c r="D2954" s="2352" t="s">
        <v>8284</v>
      </c>
      <c r="E2954" s="355" t="s">
        <v>17137</v>
      </c>
      <c r="F2954" s="1662">
        <v>6</v>
      </c>
      <c r="G2954" s="903"/>
    </row>
    <row r="2955" spans="1:7" ht="15" customHeight="1" x14ac:dyDescent="0.25">
      <c r="A2955" s="2352" t="s">
        <v>8285</v>
      </c>
      <c r="B2955" s="2352" t="s">
        <v>8005</v>
      </c>
      <c r="C2955" s="2352" t="s">
        <v>8005</v>
      </c>
      <c r="D2955" s="2352" t="s">
        <v>8286</v>
      </c>
      <c r="E2955" s="355" t="s">
        <v>17123</v>
      </c>
      <c r="F2955" s="1662">
        <v>45</v>
      </c>
      <c r="G2955" s="903"/>
    </row>
    <row r="2956" spans="1:7" ht="15" customHeight="1" x14ac:dyDescent="0.25">
      <c r="A2956" s="2352" t="s">
        <v>8287</v>
      </c>
      <c r="B2956" s="2352" t="s">
        <v>8005</v>
      </c>
      <c r="C2956" s="2352" t="s">
        <v>8005</v>
      </c>
      <c r="D2956" s="2352" t="s">
        <v>8288</v>
      </c>
      <c r="E2956" s="355" t="s">
        <v>17139</v>
      </c>
      <c r="F2956" s="1662">
        <v>24</v>
      </c>
      <c r="G2956" s="903"/>
    </row>
    <row r="2957" spans="1:7" ht="15" customHeight="1" x14ac:dyDescent="0.25">
      <c r="A2957" s="2352" t="s">
        <v>8289</v>
      </c>
      <c r="B2957" s="2352" t="s">
        <v>8005</v>
      </c>
      <c r="C2957" s="2352" t="s">
        <v>8005</v>
      </c>
      <c r="D2957" s="2352" t="s">
        <v>8290</v>
      </c>
      <c r="E2957" s="355" t="s">
        <v>17130</v>
      </c>
      <c r="F2957" s="1662">
        <v>228</v>
      </c>
      <c r="G2957" s="903"/>
    </row>
    <row r="2958" spans="1:7" ht="15" customHeight="1" x14ac:dyDescent="0.25">
      <c r="A2958" s="2352" t="s">
        <v>4020</v>
      </c>
      <c r="B2958" s="2352" t="s">
        <v>8005</v>
      </c>
      <c r="C2958" s="2352" t="s">
        <v>8005</v>
      </c>
      <c r="D2958" s="2352" t="s">
        <v>8291</v>
      </c>
      <c r="E2958" s="355" t="s">
        <v>17137</v>
      </c>
      <c r="F2958" s="1662">
        <v>10</v>
      </c>
      <c r="G2958" s="903"/>
    </row>
    <row r="2959" spans="1:7" ht="15" customHeight="1" x14ac:dyDescent="0.25">
      <c r="A2959" s="2352" t="s">
        <v>8292</v>
      </c>
      <c r="B2959" s="2352" t="s">
        <v>8005</v>
      </c>
      <c r="C2959" s="2352" t="s">
        <v>8005</v>
      </c>
      <c r="D2959" s="2352" t="s">
        <v>8293</v>
      </c>
      <c r="E2959" s="355" t="s">
        <v>17127</v>
      </c>
      <c r="F2959" s="1662">
        <v>35</v>
      </c>
      <c r="G2959" s="903"/>
    </row>
    <row r="2960" spans="1:7" ht="15" customHeight="1" x14ac:dyDescent="0.25">
      <c r="A2960" s="2352" t="s">
        <v>8294</v>
      </c>
      <c r="B2960" s="2352" t="s">
        <v>8005</v>
      </c>
      <c r="C2960" s="2352" t="s">
        <v>8005</v>
      </c>
      <c r="D2960" s="2352" t="s">
        <v>8295</v>
      </c>
      <c r="E2960" s="355" t="s">
        <v>17119</v>
      </c>
      <c r="F2960" s="1662">
        <v>47</v>
      </c>
      <c r="G2960" s="903"/>
    </row>
    <row r="2961" spans="1:7" ht="15" customHeight="1" x14ac:dyDescent="0.25">
      <c r="A2961" s="2352" t="s">
        <v>8296</v>
      </c>
      <c r="B2961" s="2352" t="s">
        <v>8005</v>
      </c>
      <c r="C2961" s="2352" t="s">
        <v>8005</v>
      </c>
      <c r="D2961" s="2352" t="s">
        <v>8297</v>
      </c>
      <c r="E2961" s="355" t="s">
        <v>17127</v>
      </c>
      <c r="F2961" s="1662">
        <v>52</v>
      </c>
      <c r="G2961" s="903"/>
    </row>
    <row r="2962" spans="1:7" ht="15" customHeight="1" x14ac:dyDescent="0.25">
      <c r="A2962" s="2352" t="s">
        <v>8298</v>
      </c>
      <c r="B2962" s="2352" t="s">
        <v>8005</v>
      </c>
      <c r="C2962" s="2352" t="s">
        <v>8005</v>
      </c>
      <c r="D2962" s="2352" t="s">
        <v>8299</v>
      </c>
      <c r="E2962" s="355" t="s">
        <v>17117</v>
      </c>
      <c r="F2962" s="1662">
        <v>114</v>
      </c>
      <c r="G2962" s="903"/>
    </row>
    <row r="2963" spans="1:7" ht="15" customHeight="1" x14ac:dyDescent="0.25">
      <c r="A2963" s="2352" t="s">
        <v>8300</v>
      </c>
      <c r="B2963" s="2352" t="s">
        <v>8005</v>
      </c>
      <c r="C2963" s="2352" t="s">
        <v>8005</v>
      </c>
      <c r="D2963" s="2352" t="s">
        <v>8301</v>
      </c>
      <c r="E2963" s="355" t="s">
        <v>17130</v>
      </c>
      <c r="F2963" s="1662">
        <v>170</v>
      </c>
      <c r="G2963" s="903"/>
    </row>
    <row r="2964" spans="1:7" ht="15" customHeight="1" x14ac:dyDescent="0.25">
      <c r="A2964" s="2352" t="s">
        <v>8302</v>
      </c>
      <c r="B2964" s="2352" t="s">
        <v>8005</v>
      </c>
      <c r="C2964" s="2352" t="s">
        <v>8005</v>
      </c>
      <c r="D2964" s="2352" t="s">
        <v>8303</v>
      </c>
      <c r="E2964" s="355" t="s">
        <v>17117</v>
      </c>
      <c r="F2964" s="1662">
        <v>134</v>
      </c>
      <c r="G2964" s="903"/>
    </row>
    <row r="2965" spans="1:7" ht="15" customHeight="1" x14ac:dyDescent="0.25">
      <c r="A2965" s="2352" t="s">
        <v>8304</v>
      </c>
      <c r="B2965" s="2352" t="s">
        <v>8005</v>
      </c>
      <c r="C2965" s="2352" t="s">
        <v>8005</v>
      </c>
      <c r="D2965" s="2352" t="s">
        <v>8305</v>
      </c>
      <c r="E2965" s="355" t="s">
        <v>17136</v>
      </c>
      <c r="F2965" s="1662">
        <v>2</v>
      </c>
      <c r="G2965" s="903"/>
    </row>
    <row r="2966" spans="1:7" ht="15" customHeight="1" x14ac:dyDescent="0.25">
      <c r="A2966" s="2352" t="s">
        <v>8306</v>
      </c>
      <c r="B2966" s="2352" t="s">
        <v>8005</v>
      </c>
      <c r="C2966" s="2352" t="s">
        <v>8005</v>
      </c>
      <c r="D2966" s="2352" t="s">
        <v>8307</v>
      </c>
      <c r="E2966" s="355" t="s">
        <v>17138</v>
      </c>
      <c r="F2966" s="1662">
        <v>12</v>
      </c>
      <c r="G2966" s="903"/>
    </row>
    <row r="2967" spans="1:7" ht="15" customHeight="1" x14ac:dyDescent="0.25">
      <c r="A2967" s="2352" t="s">
        <v>8308</v>
      </c>
      <c r="B2967" s="2352" t="s">
        <v>8005</v>
      </c>
      <c r="C2967" s="2352" t="s">
        <v>8005</v>
      </c>
      <c r="D2967" s="2352" t="s">
        <v>8309</v>
      </c>
      <c r="E2967" s="355" t="s">
        <v>17136</v>
      </c>
      <c r="F2967" s="1662">
        <v>14</v>
      </c>
      <c r="G2967" s="903"/>
    </row>
    <row r="2968" spans="1:7" ht="15" customHeight="1" x14ac:dyDescent="0.25">
      <c r="A2968" s="2352" t="s">
        <v>8310</v>
      </c>
      <c r="B2968" s="2352" t="s">
        <v>8005</v>
      </c>
      <c r="C2968" s="2352" t="s">
        <v>8005</v>
      </c>
      <c r="D2968" s="2352" t="s">
        <v>8311</v>
      </c>
      <c r="E2968" s="355" t="s">
        <v>17138</v>
      </c>
      <c r="F2968" s="1662">
        <v>2</v>
      </c>
      <c r="G2968" s="903"/>
    </row>
    <row r="2969" spans="1:7" ht="15" customHeight="1" x14ac:dyDescent="0.25">
      <c r="A2969" s="2352" t="s">
        <v>8312</v>
      </c>
      <c r="B2969" s="2352" t="s">
        <v>8005</v>
      </c>
      <c r="C2969" s="2352" t="s">
        <v>8005</v>
      </c>
      <c r="D2969" s="2352" t="s">
        <v>8313</v>
      </c>
      <c r="E2969" s="355" t="s">
        <v>17127</v>
      </c>
      <c r="F2969" s="1662">
        <v>18</v>
      </c>
      <c r="G2969" s="903"/>
    </row>
    <row r="2970" spans="1:7" ht="15" customHeight="1" x14ac:dyDescent="0.25">
      <c r="A2970" s="2352" t="s">
        <v>4632</v>
      </c>
      <c r="B2970" s="2352" t="s">
        <v>8005</v>
      </c>
      <c r="C2970" s="2352" t="s">
        <v>8005</v>
      </c>
      <c r="D2970" s="2352" t="s">
        <v>8314</v>
      </c>
      <c r="E2970" s="355" t="s">
        <v>17127</v>
      </c>
      <c r="F2970" s="1662">
        <v>18</v>
      </c>
      <c r="G2970" s="903"/>
    </row>
    <row r="2971" spans="1:7" ht="15" customHeight="1" x14ac:dyDescent="0.25">
      <c r="A2971" s="2352" t="s">
        <v>8315</v>
      </c>
      <c r="B2971" s="2352" t="s">
        <v>8005</v>
      </c>
      <c r="C2971" s="2352" t="s">
        <v>8005</v>
      </c>
      <c r="D2971" s="2352" t="s">
        <v>8316</v>
      </c>
      <c r="E2971" s="355" t="s">
        <v>17117</v>
      </c>
      <c r="F2971" s="1662">
        <v>147</v>
      </c>
      <c r="G2971" s="903"/>
    </row>
    <row r="2972" spans="1:7" ht="15" customHeight="1" x14ac:dyDescent="0.25">
      <c r="A2972" s="2352" t="s">
        <v>8317</v>
      </c>
      <c r="B2972" s="2352" t="s">
        <v>8005</v>
      </c>
      <c r="C2972" s="2352" t="s">
        <v>8005</v>
      </c>
      <c r="D2972" s="2352" t="s">
        <v>8318</v>
      </c>
      <c r="E2972" s="355" t="s">
        <v>17117</v>
      </c>
      <c r="F2972" s="1662">
        <v>100</v>
      </c>
      <c r="G2972" s="903"/>
    </row>
    <row r="2973" spans="1:7" ht="15" customHeight="1" x14ac:dyDescent="0.25">
      <c r="A2973" s="2352" t="s">
        <v>8319</v>
      </c>
      <c r="B2973" s="2352" t="s">
        <v>8005</v>
      </c>
      <c r="C2973" s="2352" t="s">
        <v>8005</v>
      </c>
      <c r="D2973" s="2352" t="s">
        <v>8320</v>
      </c>
      <c r="E2973" s="355" t="s">
        <v>17136</v>
      </c>
      <c r="F2973" s="1662">
        <v>26</v>
      </c>
      <c r="G2973" s="903"/>
    </row>
    <row r="2974" spans="1:7" ht="15" customHeight="1" x14ac:dyDescent="0.25">
      <c r="A2974" s="2352" t="s">
        <v>8321</v>
      </c>
      <c r="B2974" s="2352" t="s">
        <v>8005</v>
      </c>
      <c r="C2974" s="2352" t="s">
        <v>8005</v>
      </c>
      <c r="D2974" s="2352" t="s">
        <v>8322</v>
      </c>
      <c r="E2974" s="355" t="s">
        <v>17123</v>
      </c>
      <c r="F2974" s="1662">
        <v>100</v>
      </c>
      <c r="G2974" s="903"/>
    </row>
    <row r="2975" spans="1:7" ht="15" customHeight="1" x14ac:dyDescent="0.25">
      <c r="A2975" s="2352" t="s">
        <v>8323</v>
      </c>
      <c r="B2975" s="2352" t="s">
        <v>8005</v>
      </c>
      <c r="C2975" s="2352" t="s">
        <v>8005</v>
      </c>
      <c r="D2975" s="2352" t="s">
        <v>8324</v>
      </c>
      <c r="E2975" s="355" t="s">
        <v>17127</v>
      </c>
      <c r="F2975" s="1662">
        <v>30</v>
      </c>
      <c r="G2975" s="903"/>
    </row>
    <row r="2976" spans="1:7" ht="15" customHeight="1" x14ac:dyDescent="0.25">
      <c r="A2976" s="2352" t="s">
        <v>8025</v>
      </c>
      <c r="B2976" s="2352" t="s">
        <v>8005</v>
      </c>
      <c r="C2976" s="2352" t="s">
        <v>8005</v>
      </c>
      <c r="D2976" s="2352" t="s">
        <v>8325</v>
      </c>
      <c r="E2976" s="355" t="s">
        <v>17117</v>
      </c>
      <c r="F2976" s="1662">
        <v>120</v>
      </c>
      <c r="G2976" s="903"/>
    </row>
    <row r="2977" spans="1:7" ht="15" customHeight="1" x14ac:dyDescent="0.25">
      <c r="A2977" s="2352" t="s">
        <v>8326</v>
      </c>
      <c r="B2977" s="2352" t="s">
        <v>8005</v>
      </c>
      <c r="C2977" s="2352" t="s">
        <v>8005</v>
      </c>
      <c r="D2977" s="2352" t="s">
        <v>8327</v>
      </c>
      <c r="E2977" s="355" t="s">
        <v>17123</v>
      </c>
      <c r="F2977" s="1662">
        <v>62</v>
      </c>
      <c r="G2977" s="903"/>
    </row>
    <row r="2978" spans="1:7" ht="15" customHeight="1" x14ac:dyDescent="0.25">
      <c r="A2978" s="2352" t="s">
        <v>8328</v>
      </c>
      <c r="B2978" s="2352" t="s">
        <v>8005</v>
      </c>
      <c r="C2978" s="2352" t="s">
        <v>8005</v>
      </c>
      <c r="D2978" s="2352" t="s">
        <v>8329</v>
      </c>
      <c r="E2978" s="355" t="s">
        <v>17123</v>
      </c>
      <c r="F2978" s="1662">
        <v>13</v>
      </c>
      <c r="G2978" s="903"/>
    </row>
    <row r="2979" spans="1:7" ht="15" customHeight="1" x14ac:dyDescent="0.25">
      <c r="A2979" s="2352" t="s">
        <v>8330</v>
      </c>
      <c r="B2979" s="2352" t="s">
        <v>8005</v>
      </c>
      <c r="C2979" s="2352" t="s">
        <v>8005</v>
      </c>
      <c r="D2979" s="2352" t="s">
        <v>8331</v>
      </c>
      <c r="E2979" s="355" t="s">
        <v>17123</v>
      </c>
      <c r="F2979" s="1662">
        <v>46</v>
      </c>
      <c r="G2979" s="903"/>
    </row>
    <row r="2980" spans="1:7" ht="15" customHeight="1" x14ac:dyDescent="0.25">
      <c r="A2980" s="2352" t="s">
        <v>8332</v>
      </c>
      <c r="B2980" s="2352" t="s">
        <v>8005</v>
      </c>
      <c r="C2980" s="2352" t="s">
        <v>8005</v>
      </c>
      <c r="D2980" s="2352" t="s">
        <v>8333</v>
      </c>
      <c r="E2980" s="355" t="s">
        <v>17117</v>
      </c>
      <c r="F2980" s="1662">
        <v>127</v>
      </c>
      <c r="G2980" s="903"/>
    </row>
    <row r="2981" spans="1:7" ht="15" customHeight="1" x14ac:dyDescent="0.25">
      <c r="A2981" s="2352" t="s">
        <v>8334</v>
      </c>
      <c r="B2981" s="2352" t="s">
        <v>8005</v>
      </c>
      <c r="C2981" s="2352" t="s">
        <v>8005</v>
      </c>
      <c r="D2981" s="2352" t="s">
        <v>8335</v>
      </c>
      <c r="E2981" s="355" t="s">
        <v>17117</v>
      </c>
      <c r="F2981" s="1662">
        <v>102</v>
      </c>
      <c r="G2981" s="903"/>
    </row>
    <row r="2982" spans="1:7" ht="15" customHeight="1" x14ac:dyDescent="0.25">
      <c r="A2982" s="2352" t="s">
        <v>8336</v>
      </c>
      <c r="B2982" s="2352" t="s">
        <v>8005</v>
      </c>
      <c r="C2982" s="2352" t="s">
        <v>8005</v>
      </c>
      <c r="D2982" s="2352" t="s">
        <v>8337</v>
      </c>
      <c r="E2982" s="355" t="s">
        <v>17123</v>
      </c>
      <c r="F2982" s="1662">
        <v>40</v>
      </c>
      <c r="G2982" s="903"/>
    </row>
    <row r="2983" spans="1:7" ht="15" customHeight="1" x14ac:dyDescent="0.25">
      <c r="A2983" s="2352" t="s">
        <v>8338</v>
      </c>
      <c r="B2983" s="2352" t="s">
        <v>8005</v>
      </c>
      <c r="C2983" s="2352" t="s">
        <v>8005</v>
      </c>
      <c r="D2983" s="2352" t="s">
        <v>8339</v>
      </c>
      <c r="E2983" s="355" t="s">
        <v>17123</v>
      </c>
      <c r="F2983" s="1662">
        <v>32</v>
      </c>
      <c r="G2983" s="903"/>
    </row>
    <row r="2984" spans="1:7" ht="15" customHeight="1" x14ac:dyDescent="0.25">
      <c r="A2984" s="2352" t="s">
        <v>17143</v>
      </c>
      <c r="B2984" s="2352" t="s">
        <v>8005</v>
      </c>
      <c r="C2984" s="2352" t="s">
        <v>8005</v>
      </c>
      <c r="D2984" s="2352" t="s">
        <v>8340</v>
      </c>
      <c r="E2984" s="355" t="s">
        <v>17117</v>
      </c>
      <c r="F2984" s="1662">
        <v>47</v>
      </c>
      <c r="G2984" s="903"/>
    </row>
    <row r="2985" spans="1:7" ht="15" customHeight="1" x14ac:dyDescent="0.25">
      <c r="A2985" s="2352" t="s">
        <v>8336</v>
      </c>
      <c r="B2985" s="2352" t="s">
        <v>8005</v>
      </c>
      <c r="C2985" s="2352" t="s">
        <v>8005</v>
      </c>
      <c r="D2985" s="2352" t="s">
        <v>8341</v>
      </c>
      <c r="E2985" s="355" t="s">
        <v>17119</v>
      </c>
      <c r="F2985" s="1662">
        <v>3</v>
      </c>
      <c r="G2985" s="903"/>
    </row>
    <row r="2986" spans="1:7" ht="15" customHeight="1" x14ac:dyDescent="0.25">
      <c r="A2986" s="2352" t="s">
        <v>8342</v>
      </c>
      <c r="B2986" s="2352" t="s">
        <v>8005</v>
      </c>
      <c r="C2986" s="2352" t="s">
        <v>8005</v>
      </c>
      <c r="D2986" s="2352" t="s">
        <v>8343</v>
      </c>
      <c r="E2986" s="355" t="s">
        <v>17123</v>
      </c>
      <c r="F2986" s="1662">
        <v>65</v>
      </c>
      <c r="G2986" s="903"/>
    </row>
    <row r="2987" spans="1:7" ht="15" customHeight="1" x14ac:dyDescent="0.25">
      <c r="A2987" s="2352" t="s">
        <v>8321</v>
      </c>
      <c r="B2987" s="2352" t="s">
        <v>8005</v>
      </c>
      <c r="C2987" s="2352" t="s">
        <v>8005</v>
      </c>
      <c r="D2987" s="2352" t="s">
        <v>8344</v>
      </c>
      <c r="E2987" s="355" t="s">
        <v>17127</v>
      </c>
      <c r="F2987" s="1662">
        <v>11</v>
      </c>
      <c r="G2987" s="903"/>
    </row>
    <row r="2988" spans="1:7" ht="15" customHeight="1" x14ac:dyDescent="0.25">
      <c r="A2988" s="2352" t="s">
        <v>4713</v>
      </c>
      <c r="B2988" s="2352" t="s">
        <v>8005</v>
      </c>
      <c r="C2988" s="2352" t="s">
        <v>8005</v>
      </c>
      <c r="D2988" s="2352" t="s">
        <v>8345</v>
      </c>
      <c r="E2988" s="355" t="s">
        <v>17123</v>
      </c>
      <c r="F2988" s="1662">
        <v>5</v>
      </c>
      <c r="G2988" s="903"/>
    </row>
    <row r="2989" spans="1:7" ht="15" customHeight="1" x14ac:dyDescent="0.25">
      <c r="A2989" s="2352" t="s">
        <v>8346</v>
      </c>
      <c r="B2989" s="2352" t="s">
        <v>8005</v>
      </c>
      <c r="C2989" s="2352" t="s">
        <v>8005</v>
      </c>
      <c r="D2989" s="2352" t="s">
        <v>8347</v>
      </c>
      <c r="E2989" s="355" t="s">
        <v>17137</v>
      </c>
      <c r="F2989" s="1662">
        <v>3</v>
      </c>
      <c r="G2989" s="903"/>
    </row>
    <row r="2990" spans="1:7" ht="15" customHeight="1" x14ac:dyDescent="0.25">
      <c r="A2990" s="2352" t="s">
        <v>4810</v>
      </c>
      <c r="B2990" s="2352" t="s">
        <v>8005</v>
      </c>
      <c r="C2990" s="2352" t="s">
        <v>8005</v>
      </c>
      <c r="D2990" s="2352" t="s">
        <v>8348</v>
      </c>
      <c r="E2990" s="355" t="s">
        <v>17130</v>
      </c>
      <c r="F2990" s="1662">
        <v>201</v>
      </c>
      <c r="G2990" s="903"/>
    </row>
    <row r="2991" spans="1:7" ht="15" customHeight="1" x14ac:dyDescent="0.25">
      <c r="A2991" s="2352" t="s">
        <v>8255</v>
      </c>
      <c r="B2991" s="2352" t="s">
        <v>8005</v>
      </c>
      <c r="C2991" s="2352" t="s">
        <v>8005</v>
      </c>
      <c r="D2991" s="2352" t="s">
        <v>8349</v>
      </c>
      <c r="E2991" s="355" t="s">
        <v>17123</v>
      </c>
      <c r="F2991" s="1662">
        <v>100</v>
      </c>
      <c r="G2991" s="903"/>
    </row>
    <row r="2992" spans="1:7" ht="15" customHeight="1" x14ac:dyDescent="0.25">
      <c r="A2992" s="2352" t="s">
        <v>8350</v>
      </c>
      <c r="B2992" s="2352" t="s">
        <v>8005</v>
      </c>
      <c r="C2992" s="2352" t="s">
        <v>8005</v>
      </c>
      <c r="D2992" s="2352" t="s">
        <v>8351</v>
      </c>
      <c r="E2992" s="355" t="s">
        <v>17127</v>
      </c>
      <c r="F2992" s="1662">
        <v>24</v>
      </c>
      <c r="G2992" s="903"/>
    </row>
    <row r="2993" spans="1:7" ht="15" customHeight="1" x14ac:dyDescent="0.25">
      <c r="A2993" s="2352" t="s">
        <v>8352</v>
      </c>
      <c r="B2993" s="2352" t="s">
        <v>8005</v>
      </c>
      <c r="C2993" s="2352" t="s">
        <v>8005</v>
      </c>
      <c r="D2993" s="2352" t="s">
        <v>8353</v>
      </c>
      <c r="E2993" s="355" t="s">
        <v>17127</v>
      </c>
      <c r="F2993" s="1662">
        <v>60</v>
      </c>
      <c r="G2993" s="903"/>
    </row>
    <row r="2994" spans="1:7" ht="15" customHeight="1" x14ac:dyDescent="0.25">
      <c r="A2994" s="2352" t="s">
        <v>8048</v>
      </c>
      <c r="B2994" s="2352" t="s">
        <v>8005</v>
      </c>
      <c r="C2994" s="2352" t="s">
        <v>8005</v>
      </c>
      <c r="D2994" s="2352" t="s">
        <v>8354</v>
      </c>
      <c r="E2994" s="355" t="s">
        <v>17136</v>
      </c>
      <c r="F2994" s="1662">
        <v>11</v>
      </c>
      <c r="G2994" s="903"/>
    </row>
    <row r="2995" spans="1:7" ht="15" customHeight="1" x14ac:dyDescent="0.25">
      <c r="A2995" s="2352" t="s">
        <v>8355</v>
      </c>
      <c r="B2995" s="2352" t="s">
        <v>8005</v>
      </c>
      <c r="C2995" s="2352" t="s">
        <v>8005</v>
      </c>
      <c r="D2995" s="2352" t="s">
        <v>8356</v>
      </c>
      <c r="E2995" s="355" t="s">
        <v>17117</v>
      </c>
      <c r="F2995" s="1662">
        <v>82</v>
      </c>
      <c r="G2995" s="903"/>
    </row>
    <row r="2996" spans="1:7" ht="15" customHeight="1" x14ac:dyDescent="0.25">
      <c r="A2996" s="2352" t="s">
        <v>8025</v>
      </c>
      <c r="B2996" s="2352" t="s">
        <v>8005</v>
      </c>
      <c r="C2996" s="2352" t="s">
        <v>8005</v>
      </c>
      <c r="D2996" s="2352" t="s">
        <v>8357</v>
      </c>
      <c r="E2996" s="355" t="s">
        <v>17117</v>
      </c>
      <c r="F2996" s="1662">
        <v>134</v>
      </c>
      <c r="G2996" s="903"/>
    </row>
    <row r="2997" spans="1:7" ht="15" customHeight="1" x14ac:dyDescent="0.25">
      <c r="A2997" s="2352" t="s">
        <v>8317</v>
      </c>
      <c r="B2997" s="2352" t="s">
        <v>8005</v>
      </c>
      <c r="C2997" s="2352" t="s">
        <v>8005</v>
      </c>
      <c r="D2997" s="2352" t="s">
        <v>8358</v>
      </c>
      <c r="E2997" s="355" t="s">
        <v>4199</v>
      </c>
      <c r="F2997" s="1662">
        <v>583</v>
      </c>
      <c r="G2997" s="903"/>
    </row>
    <row r="2998" spans="1:7" ht="15" customHeight="1" x14ac:dyDescent="0.25">
      <c r="A2998" s="2352" t="s">
        <v>4599</v>
      </c>
      <c r="B2998" s="2352" t="s">
        <v>8005</v>
      </c>
      <c r="C2998" s="2352" t="s">
        <v>8005</v>
      </c>
      <c r="D2998" s="2352" t="s">
        <v>8359</v>
      </c>
      <c r="E2998" s="355" t="s">
        <v>17135</v>
      </c>
      <c r="F2998" s="1662">
        <v>4</v>
      </c>
      <c r="G2998" s="903"/>
    </row>
    <row r="2999" spans="1:7" ht="15" customHeight="1" x14ac:dyDescent="0.25">
      <c r="A2999" s="2352" t="s">
        <v>8360</v>
      </c>
      <c r="B2999" s="2352" t="s">
        <v>8005</v>
      </c>
      <c r="C2999" s="2352" t="s">
        <v>8005</v>
      </c>
      <c r="D2999" s="2352" t="s">
        <v>8361</v>
      </c>
      <c r="E2999" s="355" t="s">
        <v>17130</v>
      </c>
      <c r="F2999" s="1662">
        <v>230</v>
      </c>
      <c r="G2999" s="903"/>
    </row>
    <row r="3000" spans="1:7" ht="15" customHeight="1" x14ac:dyDescent="0.25">
      <c r="A3000" s="2352" t="s">
        <v>8355</v>
      </c>
      <c r="B3000" s="2352" t="s">
        <v>8005</v>
      </c>
      <c r="C3000" s="2352" t="s">
        <v>8005</v>
      </c>
      <c r="D3000" s="2352" t="s">
        <v>8362</v>
      </c>
      <c r="E3000" s="355" t="s">
        <v>17130</v>
      </c>
      <c r="F3000" s="1662">
        <v>217</v>
      </c>
      <c r="G3000" s="903"/>
    </row>
    <row r="3001" spans="1:7" ht="15" customHeight="1" x14ac:dyDescent="0.25">
      <c r="A3001" s="2352" t="s">
        <v>8363</v>
      </c>
      <c r="B3001" s="2352" t="s">
        <v>8005</v>
      </c>
      <c r="C3001" s="2352" t="s">
        <v>8005</v>
      </c>
      <c r="D3001" s="2352" t="s">
        <v>8364</v>
      </c>
      <c r="E3001" s="355" t="s">
        <v>17136</v>
      </c>
      <c r="F3001" s="1662">
        <v>8</v>
      </c>
      <c r="G3001" s="903"/>
    </row>
    <row r="3002" spans="1:7" ht="15" customHeight="1" x14ac:dyDescent="0.25">
      <c r="A3002" s="2352" t="s">
        <v>7873</v>
      </c>
      <c r="B3002" s="2352" t="s">
        <v>8005</v>
      </c>
      <c r="C3002" s="2352" t="s">
        <v>8005</v>
      </c>
      <c r="D3002" s="2352" t="s">
        <v>8365</v>
      </c>
      <c r="E3002" s="355" t="s">
        <v>17117</v>
      </c>
      <c r="F3002" s="1662">
        <v>125</v>
      </c>
      <c r="G3002" s="903"/>
    </row>
    <row r="3003" spans="1:7" ht="15" customHeight="1" x14ac:dyDescent="0.25">
      <c r="A3003" s="2352" t="s">
        <v>8209</v>
      </c>
      <c r="B3003" s="2352" t="s">
        <v>8005</v>
      </c>
      <c r="C3003" s="2352" t="s">
        <v>8005</v>
      </c>
      <c r="D3003" s="2352" t="s">
        <v>8366</v>
      </c>
      <c r="E3003" s="355" t="s">
        <v>17123</v>
      </c>
      <c r="F3003" s="1662">
        <v>54</v>
      </c>
      <c r="G3003" s="903"/>
    </row>
    <row r="3004" spans="1:7" ht="15" customHeight="1" x14ac:dyDescent="0.25">
      <c r="A3004" s="2352" t="s">
        <v>8367</v>
      </c>
      <c r="B3004" s="2352" t="s">
        <v>8005</v>
      </c>
      <c r="C3004" s="2352" t="s">
        <v>8005</v>
      </c>
      <c r="D3004" s="2352" t="s">
        <v>8368</v>
      </c>
      <c r="E3004" s="355" t="s">
        <v>17121</v>
      </c>
      <c r="F3004" s="1662">
        <v>400</v>
      </c>
      <c r="G3004" s="903"/>
    </row>
    <row r="3005" spans="1:7" ht="15" customHeight="1" x14ac:dyDescent="0.25">
      <c r="A3005" s="2352" t="s">
        <v>8369</v>
      </c>
      <c r="B3005" s="2352" t="s">
        <v>8005</v>
      </c>
      <c r="C3005" s="2352" t="s">
        <v>8005</v>
      </c>
      <c r="D3005" s="2352" t="s">
        <v>8370</v>
      </c>
      <c r="E3005" s="355" t="s">
        <v>17130</v>
      </c>
      <c r="F3005" s="1662">
        <v>201</v>
      </c>
      <c r="G3005" s="903"/>
    </row>
    <row r="3006" spans="1:7" ht="15" customHeight="1" x14ac:dyDescent="0.25">
      <c r="A3006" s="2352" t="s">
        <v>8371</v>
      </c>
      <c r="B3006" s="2352" t="s">
        <v>8005</v>
      </c>
      <c r="C3006" s="2352" t="s">
        <v>8005</v>
      </c>
      <c r="D3006" s="2352" t="s">
        <v>8372</v>
      </c>
      <c r="E3006" s="355" t="s">
        <v>17135</v>
      </c>
      <c r="F3006" s="1662">
        <v>20</v>
      </c>
      <c r="G3006" s="903"/>
    </row>
    <row r="3007" spans="1:7" ht="15" customHeight="1" x14ac:dyDescent="0.25">
      <c r="A3007" s="2352" t="s">
        <v>7529</v>
      </c>
      <c r="B3007" s="2352" t="s">
        <v>8005</v>
      </c>
      <c r="C3007" s="2352" t="s">
        <v>8005</v>
      </c>
      <c r="D3007" s="2352" t="s">
        <v>8373</v>
      </c>
      <c r="E3007" s="355" t="s">
        <v>17123</v>
      </c>
      <c r="F3007" s="1662">
        <v>97</v>
      </c>
      <c r="G3007" s="903"/>
    </row>
    <row r="3008" spans="1:7" ht="15" customHeight="1" x14ac:dyDescent="0.25">
      <c r="A3008" s="2352" t="s">
        <v>4335</v>
      </c>
      <c r="B3008" s="2352" t="s">
        <v>8005</v>
      </c>
      <c r="C3008" s="2352" t="s">
        <v>8005</v>
      </c>
      <c r="D3008" s="2352" t="s">
        <v>8374</v>
      </c>
      <c r="E3008" s="355" t="s">
        <v>17136</v>
      </c>
      <c r="F3008" s="1662">
        <v>14</v>
      </c>
      <c r="G3008" s="903"/>
    </row>
    <row r="3009" spans="1:7" ht="15" customHeight="1" x14ac:dyDescent="0.25">
      <c r="A3009" s="2352" t="s">
        <v>6421</v>
      </c>
      <c r="B3009" s="2352" t="s">
        <v>8005</v>
      </c>
      <c r="C3009" s="2352" t="s">
        <v>8005</v>
      </c>
      <c r="D3009" s="2352" t="s">
        <v>8375</v>
      </c>
      <c r="E3009" s="355" t="s">
        <v>17121</v>
      </c>
      <c r="F3009" s="1662">
        <v>182</v>
      </c>
      <c r="G3009" s="903"/>
    </row>
    <row r="3010" spans="1:7" ht="15" customHeight="1" x14ac:dyDescent="0.25">
      <c r="A3010" s="2352" t="s">
        <v>8087</v>
      </c>
      <c r="B3010" s="2352" t="s">
        <v>8005</v>
      </c>
      <c r="C3010" s="2352" t="s">
        <v>8005</v>
      </c>
      <c r="D3010" s="2352" t="s">
        <v>8376</v>
      </c>
      <c r="E3010" s="355" t="s">
        <v>17121</v>
      </c>
      <c r="F3010" s="1662">
        <v>325</v>
      </c>
      <c r="G3010" s="903"/>
    </row>
    <row r="3011" spans="1:7" ht="15" customHeight="1" x14ac:dyDescent="0.25">
      <c r="A3011" s="2352" t="s">
        <v>8377</v>
      </c>
      <c r="B3011" s="2352" t="s">
        <v>8005</v>
      </c>
      <c r="C3011" s="2352" t="s">
        <v>8005</v>
      </c>
      <c r="D3011" s="2352" t="s">
        <v>8378</v>
      </c>
      <c r="E3011" s="355" t="s">
        <v>17137</v>
      </c>
      <c r="F3011" s="1662">
        <v>3</v>
      </c>
      <c r="G3011" s="903"/>
    </row>
    <row r="3012" spans="1:7" ht="15" customHeight="1" x14ac:dyDescent="0.25">
      <c r="A3012" s="2352" t="s">
        <v>8144</v>
      </c>
      <c r="B3012" s="2352" t="s">
        <v>8005</v>
      </c>
      <c r="C3012" s="2352" t="s">
        <v>8005</v>
      </c>
      <c r="D3012" s="2352" t="s">
        <v>8379</v>
      </c>
      <c r="E3012" s="355" t="s">
        <v>17130</v>
      </c>
      <c r="F3012" s="1662">
        <v>230</v>
      </c>
      <c r="G3012" s="903"/>
    </row>
    <row r="3013" spans="1:7" ht="15" customHeight="1" x14ac:dyDescent="0.25">
      <c r="A3013" s="2352" t="s">
        <v>4507</v>
      </c>
      <c r="B3013" s="2352" t="s">
        <v>8005</v>
      </c>
      <c r="C3013" s="2352" t="s">
        <v>8005</v>
      </c>
      <c r="D3013" s="2352" t="s">
        <v>8380</v>
      </c>
      <c r="E3013" s="355" t="s">
        <v>17130</v>
      </c>
      <c r="F3013" s="1662">
        <v>211</v>
      </c>
      <c r="G3013" s="903"/>
    </row>
    <row r="3014" spans="1:7" ht="15" customHeight="1" x14ac:dyDescent="0.25">
      <c r="A3014" s="2352" t="s">
        <v>8328</v>
      </c>
      <c r="B3014" s="2352" t="s">
        <v>8005</v>
      </c>
      <c r="C3014" s="2352" t="s">
        <v>8005</v>
      </c>
      <c r="D3014" s="2352" t="s">
        <v>8381</v>
      </c>
      <c r="E3014" s="355" t="s">
        <v>8267</v>
      </c>
      <c r="F3014" s="1662">
        <v>924</v>
      </c>
      <c r="G3014" s="903"/>
    </row>
    <row r="3015" spans="1:7" ht="15" customHeight="1" x14ac:dyDescent="0.25">
      <c r="A3015" s="2352" t="s">
        <v>8360</v>
      </c>
      <c r="B3015" s="2352" t="s">
        <v>8005</v>
      </c>
      <c r="C3015" s="2352" t="s">
        <v>8005</v>
      </c>
      <c r="D3015" s="2352" t="s">
        <v>8382</v>
      </c>
      <c r="E3015" s="355" t="s">
        <v>17130</v>
      </c>
      <c r="F3015" s="1662">
        <v>220</v>
      </c>
      <c r="G3015" s="903"/>
    </row>
    <row r="3016" spans="1:7" ht="15" customHeight="1" x14ac:dyDescent="0.25">
      <c r="A3016" s="2352" t="s">
        <v>8383</v>
      </c>
      <c r="B3016" s="2352" t="s">
        <v>8005</v>
      </c>
      <c r="C3016" s="2352" t="s">
        <v>8005</v>
      </c>
      <c r="D3016" s="2352" t="s">
        <v>8384</v>
      </c>
      <c r="E3016" s="355" t="s">
        <v>17096</v>
      </c>
      <c r="F3016" s="1662">
        <v>400</v>
      </c>
      <c r="G3016" s="903"/>
    </row>
    <row r="3017" spans="1:7" ht="15" customHeight="1" x14ac:dyDescent="0.25">
      <c r="A3017" s="2352" t="s">
        <v>8080</v>
      </c>
      <c r="B3017" s="2352" t="s">
        <v>8005</v>
      </c>
      <c r="C3017" s="2352" t="s">
        <v>8005</v>
      </c>
      <c r="D3017" s="2352" t="s">
        <v>8385</v>
      </c>
      <c r="E3017" s="355" t="s">
        <v>17096</v>
      </c>
      <c r="F3017" s="1662">
        <v>335</v>
      </c>
      <c r="G3017" s="903"/>
    </row>
    <row r="3018" spans="1:7" ht="15" customHeight="1" x14ac:dyDescent="0.25">
      <c r="A3018" s="2352" t="s">
        <v>8289</v>
      </c>
      <c r="B3018" s="2352" t="s">
        <v>8005</v>
      </c>
      <c r="C3018" s="2352" t="s">
        <v>8005</v>
      </c>
      <c r="D3018" s="2352" t="s">
        <v>8386</v>
      </c>
      <c r="E3018" s="355" t="s">
        <v>17096</v>
      </c>
      <c r="F3018" s="1662">
        <v>367</v>
      </c>
      <c r="G3018" s="903"/>
    </row>
    <row r="3019" spans="1:7" ht="15" customHeight="1" x14ac:dyDescent="0.25">
      <c r="A3019" s="2352" t="s">
        <v>8383</v>
      </c>
      <c r="B3019" s="2352" t="s">
        <v>8005</v>
      </c>
      <c r="C3019" s="2352" t="s">
        <v>8005</v>
      </c>
      <c r="D3019" s="2352" t="s">
        <v>8387</v>
      </c>
      <c r="E3019" s="355" t="s">
        <v>17096</v>
      </c>
      <c r="F3019" s="1662">
        <v>325</v>
      </c>
      <c r="G3019" s="903"/>
    </row>
    <row r="3020" spans="1:7" ht="15" customHeight="1" x14ac:dyDescent="0.25">
      <c r="A3020" s="2352" t="s">
        <v>8388</v>
      </c>
      <c r="B3020" s="2352" t="s">
        <v>8005</v>
      </c>
      <c r="C3020" s="2352" t="s">
        <v>8005</v>
      </c>
      <c r="D3020" s="2352" t="s">
        <v>8389</v>
      </c>
      <c r="E3020" s="355" t="s">
        <v>17102</v>
      </c>
      <c r="F3020" s="1662">
        <v>73</v>
      </c>
      <c r="G3020" s="903"/>
    </row>
    <row r="3021" spans="1:7" ht="15" customHeight="1" x14ac:dyDescent="0.25">
      <c r="A3021" s="2352" t="s">
        <v>8367</v>
      </c>
      <c r="B3021" s="2352" t="s">
        <v>8005</v>
      </c>
      <c r="C3021" s="2352" t="s">
        <v>8005</v>
      </c>
      <c r="D3021" s="2352" t="s">
        <v>8390</v>
      </c>
      <c r="E3021" s="355" t="s">
        <v>17102</v>
      </c>
      <c r="F3021" s="1662">
        <v>38</v>
      </c>
      <c r="G3021" s="903"/>
    </row>
    <row r="3022" spans="1:7" ht="15" customHeight="1" x14ac:dyDescent="0.25">
      <c r="A3022" s="2352" t="s">
        <v>8328</v>
      </c>
      <c r="B3022" s="2352" t="s">
        <v>8005</v>
      </c>
      <c r="C3022" s="2352" t="s">
        <v>8005</v>
      </c>
      <c r="D3022" s="2352" t="s">
        <v>8391</v>
      </c>
      <c r="E3022" s="355" t="s">
        <v>5551</v>
      </c>
      <c r="F3022" s="1662">
        <v>1162</v>
      </c>
      <c r="G3022" s="903"/>
    </row>
    <row r="3023" spans="1:7" ht="15" customHeight="1" x14ac:dyDescent="0.25">
      <c r="A3023" s="2352" t="s">
        <v>8328</v>
      </c>
      <c r="B3023" s="2352" t="s">
        <v>8005</v>
      </c>
      <c r="C3023" s="2352" t="s">
        <v>8005</v>
      </c>
      <c r="D3023" s="2352" t="s">
        <v>8392</v>
      </c>
      <c r="E3023" s="355" t="s">
        <v>8267</v>
      </c>
      <c r="F3023" s="1662">
        <v>859</v>
      </c>
      <c r="G3023" s="903"/>
    </row>
    <row r="3024" spans="1:7" ht="15" customHeight="1" x14ac:dyDescent="0.25">
      <c r="A3024" s="2352" t="s">
        <v>8328</v>
      </c>
      <c r="B3024" s="2352" t="s">
        <v>8005</v>
      </c>
      <c r="C3024" s="2352" t="s">
        <v>8005</v>
      </c>
      <c r="D3024" s="2352" t="s">
        <v>8393</v>
      </c>
      <c r="E3024" s="355" t="s">
        <v>8270</v>
      </c>
      <c r="F3024" s="1662">
        <v>1448</v>
      </c>
      <c r="G3024" s="903"/>
    </row>
    <row r="3025" spans="1:6" ht="15" customHeight="1" x14ac:dyDescent="0.25">
      <c r="A3025" s="2352" t="s">
        <v>8212</v>
      </c>
      <c r="B3025" s="2352" t="s">
        <v>8005</v>
      </c>
      <c r="C3025" s="2352" t="s">
        <v>8005</v>
      </c>
      <c r="D3025" s="2352" t="s">
        <v>8394</v>
      </c>
      <c r="E3025" s="355" t="s">
        <v>4202</v>
      </c>
      <c r="F3025" s="1662">
        <v>418</v>
      </c>
    </row>
    <row r="3026" spans="1:6" ht="15" customHeight="1" x14ac:dyDescent="0.25">
      <c r="A3026" s="2352" t="s">
        <v>8395</v>
      </c>
      <c r="B3026" s="2352" t="s">
        <v>8005</v>
      </c>
      <c r="C3026" s="2352" t="s">
        <v>8005</v>
      </c>
      <c r="D3026" s="2352" t="s">
        <v>8396</v>
      </c>
      <c r="E3026" s="355" t="s">
        <v>17095</v>
      </c>
      <c r="F3026" s="1662">
        <v>237</v>
      </c>
    </row>
    <row r="3027" spans="1:6" ht="15" customHeight="1" x14ac:dyDescent="0.25">
      <c r="A3027" s="2352" t="s">
        <v>8201</v>
      </c>
      <c r="B3027" s="2352" t="s">
        <v>8005</v>
      </c>
      <c r="C3027" s="2352" t="s">
        <v>8005</v>
      </c>
      <c r="D3027" s="2352" t="s">
        <v>8397</v>
      </c>
      <c r="E3027" s="355" t="s">
        <v>17102</v>
      </c>
      <c r="F3027" s="1662">
        <v>119</v>
      </c>
    </row>
    <row r="3028" spans="1:6" ht="15" customHeight="1" x14ac:dyDescent="0.25">
      <c r="A3028" s="2352" t="s">
        <v>8328</v>
      </c>
      <c r="B3028" s="2352" t="s">
        <v>8005</v>
      </c>
      <c r="C3028" s="2352" t="s">
        <v>8005</v>
      </c>
      <c r="D3028" s="2352" t="s">
        <v>8398</v>
      </c>
      <c r="E3028" s="355" t="s">
        <v>17096</v>
      </c>
      <c r="F3028" s="1662">
        <v>291</v>
      </c>
    </row>
    <row r="3029" spans="1:6" ht="15" customHeight="1" x14ac:dyDescent="0.25">
      <c r="A3029" s="2352" t="s">
        <v>17144</v>
      </c>
      <c r="B3029" s="2352" t="s">
        <v>8005</v>
      </c>
      <c r="C3029" s="2352" t="s">
        <v>8005</v>
      </c>
      <c r="D3029" s="2352" t="s">
        <v>8399</v>
      </c>
      <c r="E3029" s="355" t="s">
        <v>17099</v>
      </c>
      <c r="F3029" s="1662">
        <v>46</v>
      </c>
    </row>
    <row r="3030" spans="1:6" ht="15" customHeight="1" x14ac:dyDescent="0.25">
      <c r="A3030" s="2352" t="s">
        <v>8400</v>
      </c>
      <c r="B3030" s="2352" t="s">
        <v>8005</v>
      </c>
      <c r="C3030" s="2352" t="s">
        <v>8005</v>
      </c>
      <c r="D3030" s="2352" t="s">
        <v>8401</v>
      </c>
      <c r="E3030" s="355" t="s">
        <v>17111</v>
      </c>
      <c r="F3030" s="1662">
        <v>22</v>
      </c>
    </row>
    <row r="3031" spans="1:6" ht="15" customHeight="1" x14ac:dyDescent="0.25">
      <c r="A3031" s="2352" t="s">
        <v>8167</v>
      </c>
      <c r="B3031" s="2352" t="s">
        <v>8005</v>
      </c>
      <c r="C3031" s="2352" t="s">
        <v>8005</v>
      </c>
      <c r="D3031" s="2352" t="s">
        <v>8402</v>
      </c>
      <c r="E3031" s="355" t="s">
        <v>17099</v>
      </c>
      <c r="F3031" s="1662">
        <v>38</v>
      </c>
    </row>
    <row r="3032" spans="1:6" ht="15" customHeight="1" x14ac:dyDescent="0.25">
      <c r="A3032" s="2352" t="s">
        <v>8087</v>
      </c>
      <c r="B3032" s="2352" t="s">
        <v>8005</v>
      </c>
      <c r="C3032" s="2352" t="s">
        <v>8005</v>
      </c>
      <c r="D3032" s="2352" t="s">
        <v>8403</v>
      </c>
      <c r="E3032" s="355" t="s">
        <v>17102</v>
      </c>
      <c r="F3032" s="1662">
        <v>130</v>
      </c>
    </row>
    <row r="3033" spans="1:6" ht="15" customHeight="1" x14ac:dyDescent="0.25">
      <c r="A3033" s="2352" t="s">
        <v>8404</v>
      </c>
      <c r="B3033" s="2352" t="s">
        <v>8005</v>
      </c>
      <c r="C3033" s="2352" t="s">
        <v>8005</v>
      </c>
      <c r="D3033" s="2352" t="s">
        <v>8405</v>
      </c>
      <c r="E3033" s="355" t="s">
        <v>17095</v>
      </c>
      <c r="F3033" s="1662">
        <v>198</v>
      </c>
    </row>
    <row r="3034" spans="1:6" ht="15" customHeight="1" x14ac:dyDescent="0.25">
      <c r="A3034" s="2352" t="s">
        <v>8330</v>
      </c>
      <c r="B3034" s="2352" t="s">
        <v>8005</v>
      </c>
      <c r="C3034" s="2352" t="s">
        <v>8005</v>
      </c>
      <c r="D3034" s="2352" t="s">
        <v>8406</v>
      </c>
      <c r="E3034" s="355" t="s">
        <v>17095</v>
      </c>
      <c r="F3034" s="1662">
        <v>201</v>
      </c>
    </row>
    <row r="3035" spans="1:6" ht="15" customHeight="1" x14ac:dyDescent="0.25">
      <c r="A3035" s="2352" t="s">
        <v>8201</v>
      </c>
      <c r="B3035" s="2352" t="s">
        <v>8005</v>
      </c>
      <c r="C3035" s="2352" t="s">
        <v>8005</v>
      </c>
      <c r="D3035" s="2352" t="s">
        <v>8407</v>
      </c>
      <c r="E3035" s="355" t="s">
        <v>17102</v>
      </c>
      <c r="F3035" s="1662">
        <v>111</v>
      </c>
    </row>
    <row r="3036" spans="1:6" ht="15" customHeight="1" x14ac:dyDescent="0.25">
      <c r="A3036" s="2352" t="s">
        <v>7873</v>
      </c>
      <c r="B3036" s="2352" t="s">
        <v>8005</v>
      </c>
      <c r="C3036" s="2352" t="s">
        <v>8005</v>
      </c>
      <c r="D3036" s="2352" t="s">
        <v>8408</v>
      </c>
      <c r="E3036" s="355" t="s">
        <v>17095</v>
      </c>
      <c r="F3036" s="1662">
        <v>185</v>
      </c>
    </row>
    <row r="3037" spans="1:6" ht="15" customHeight="1" x14ac:dyDescent="0.25">
      <c r="A3037" s="2352" t="s">
        <v>8409</v>
      </c>
      <c r="B3037" s="2352" t="s">
        <v>8005</v>
      </c>
      <c r="C3037" s="2352" t="s">
        <v>8005</v>
      </c>
      <c r="D3037" s="2352" t="s">
        <v>8410</v>
      </c>
      <c r="E3037" s="355" t="s">
        <v>17111</v>
      </c>
      <c r="F3037" s="1662">
        <v>37</v>
      </c>
    </row>
    <row r="3038" spans="1:6" ht="15" customHeight="1" x14ac:dyDescent="0.25">
      <c r="A3038" s="2352" t="s">
        <v>8411</v>
      </c>
      <c r="B3038" s="2352" t="s">
        <v>8005</v>
      </c>
      <c r="C3038" s="2352" t="s">
        <v>8005</v>
      </c>
      <c r="D3038" s="2352" t="s">
        <v>8412</v>
      </c>
      <c r="E3038" s="355" t="s">
        <v>17102</v>
      </c>
      <c r="F3038" s="1662">
        <v>81</v>
      </c>
    </row>
    <row r="3039" spans="1:6" ht="15" customHeight="1" x14ac:dyDescent="0.25">
      <c r="A3039" s="2352" t="s">
        <v>8413</v>
      </c>
      <c r="B3039" s="2352" t="s">
        <v>8005</v>
      </c>
      <c r="C3039" s="2352" t="s">
        <v>8005</v>
      </c>
      <c r="D3039" s="2352" t="s">
        <v>8414</v>
      </c>
      <c r="E3039" s="355" t="s">
        <v>17102</v>
      </c>
      <c r="F3039" s="1662">
        <v>122</v>
      </c>
    </row>
    <row r="3040" spans="1:6" ht="15" customHeight="1" x14ac:dyDescent="0.25">
      <c r="A3040" s="2352" t="s">
        <v>4244</v>
      </c>
      <c r="B3040" s="2352" t="s">
        <v>8005</v>
      </c>
      <c r="C3040" s="2352" t="s">
        <v>8005</v>
      </c>
      <c r="D3040" s="2352" t="s">
        <v>8415</v>
      </c>
      <c r="E3040" s="355" t="s">
        <v>17145</v>
      </c>
      <c r="F3040" s="1662">
        <v>300</v>
      </c>
    </row>
    <row r="3041" spans="1:6" ht="15" customHeight="1" x14ac:dyDescent="0.25">
      <c r="A3041" s="2352" t="s">
        <v>7873</v>
      </c>
      <c r="B3041" s="2352" t="s">
        <v>8005</v>
      </c>
      <c r="C3041" s="2352" t="s">
        <v>8005</v>
      </c>
      <c r="D3041" s="2352" t="s">
        <v>8416</v>
      </c>
      <c r="E3041" s="355" t="s">
        <v>17111</v>
      </c>
      <c r="F3041" s="1662">
        <v>60</v>
      </c>
    </row>
    <row r="3042" spans="1:6" ht="15" customHeight="1" x14ac:dyDescent="0.25">
      <c r="A3042" s="2352" t="s">
        <v>8214</v>
      </c>
      <c r="B3042" s="2352" t="s">
        <v>8005</v>
      </c>
      <c r="C3042" s="2352" t="s">
        <v>8005</v>
      </c>
      <c r="D3042" s="2352" t="s">
        <v>8417</v>
      </c>
      <c r="E3042" s="355" t="s">
        <v>17095</v>
      </c>
      <c r="F3042" s="1662">
        <v>227</v>
      </c>
    </row>
    <row r="3043" spans="1:6" ht="15" customHeight="1" x14ac:dyDescent="0.25">
      <c r="A3043" s="2352" t="s">
        <v>8418</v>
      </c>
      <c r="B3043" s="2352" t="s">
        <v>8005</v>
      </c>
      <c r="C3043" s="2352" t="s">
        <v>8005</v>
      </c>
      <c r="D3043" s="2352" t="s">
        <v>8419</v>
      </c>
      <c r="E3043" s="355" t="s">
        <v>17104</v>
      </c>
      <c r="F3043" s="1662">
        <v>12</v>
      </c>
    </row>
    <row r="3044" spans="1:6" ht="15" customHeight="1" x14ac:dyDescent="0.25">
      <c r="A3044" s="2352" t="s">
        <v>8336</v>
      </c>
      <c r="B3044" s="2352" t="s">
        <v>8005</v>
      </c>
      <c r="C3044" s="2352" t="s">
        <v>8005</v>
      </c>
      <c r="D3044" s="2352" t="s">
        <v>8420</v>
      </c>
      <c r="E3044" s="355" t="s">
        <v>17096</v>
      </c>
      <c r="F3044" s="1662">
        <v>265</v>
      </c>
    </row>
    <row r="3045" spans="1:6" ht="15" customHeight="1" x14ac:dyDescent="0.25">
      <c r="A3045" s="2352" t="s">
        <v>8212</v>
      </c>
      <c r="B3045" s="2352" t="s">
        <v>8005</v>
      </c>
      <c r="C3045" s="2352" t="s">
        <v>8005</v>
      </c>
      <c r="D3045" s="2352" t="s">
        <v>8421</v>
      </c>
      <c r="E3045" s="355" t="s">
        <v>17104</v>
      </c>
      <c r="F3045" s="1662">
        <v>7</v>
      </c>
    </row>
    <row r="3046" spans="1:6" ht="15" customHeight="1" x14ac:dyDescent="0.25">
      <c r="A3046" s="2352" t="s">
        <v>8360</v>
      </c>
      <c r="B3046" s="2352" t="s">
        <v>8005</v>
      </c>
      <c r="C3046" s="2352" t="s">
        <v>8005</v>
      </c>
      <c r="D3046" s="2352" t="s">
        <v>8422</v>
      </c>
      <c r="E3046" s="355" t="s">
        <v>17101</v>
      </c>
      <c r="F3046" s="1662">
        <v>556</v>
      </c>
    </row>
    <row r="3047" spans="1:6" ht="15" customHeight="1" x14ac:dyDescent="0.25">
      <c r="A3047" s="2352" t="s">
        <v>17146</v>
      </c>
      <c r="B3047" s="2352" t="s">
        <v>8005</v>
      </c>
      <c r="C3047" s="2352" t="s">
        <v>8005</v>
      </c>
      <c r="D3047" s="2352" t="s">
        <v>8423</v>
      </c>
      <c r="E3047" s="355" t="s">
        <v>17099</v>
      </c>
      <c r="F3047" s="1662">
        <v>41</v>
      </c>
    </row>
    <row r="3048" spans="1:6" ht="15" customHeight="1" x14ac:dyDescent="0.25">
      <c r="A3048" s="2352" t="s">
        <v>4102</v>
      </c>
      <c r="B3048" s="2352" t="s">
        <v>8005</v>
      </c>
      <c r="C3048" s="2352" t="s">
        <v>8005</v>
      </c>
      <c r="D3048" s="2352" t="s">
        <v>8424</v>
      </c>
      <c r="E3048" s="355" t="s">
        <v>17099</v>
      </c>
      <c r="F3048" s="1662">
        <v>92</v>
      </c>
    </row>
    <row r="3049" spans="1:6" ht="15" customHeight="1" x14ac:dyDescent="0.25">
      <c r="A3049" s="2352" t="s">
        <v>8167</v>
      </c>
      <c r="B3049" s="2352" t="s">
        <v>8005</v>
      </c>
      <c r="C3049" s="2352" t="s">
        <v>8005</v>
      </c>
      <c r="D3049" s="2352" t="s">
        <v>8425</v>
      </c>
      <c r="E3049" s="355" t="s">
        <v>17099</v>
      </c>
      <c r="F3049" s="1662">
        <v>59</v>
      </c>
    </row>
    <row r="3050" spans="1:6" ht="15" customHeight="1" x14ac:dyDescent="0.25">
      <c r="A3050" s="2352" t="s">
        <v>8426</v>
      </c>
      <c r="B3050" s="2352" t="s">
        <v>8005</v>
      </c>
      <c r="C3050" s="2352" t="s">
        <v>8005</v>
      </c>
      <c r="D3050" s="2352" t="s">
        <v>8427</v>
      </c>
      <c r="E3050" s="355" t="s">
        <v>17102</v>
      </c>
      <c r="F3050" s="1662">
        <v>115</v>
      </c>
    </row>
    <row r="3051" spans="1:6" ht="15" customHeight="1" x14ac:dyDescent="0.25">
      <c r="A3051" s="2352" t="s">
        <v>8428</v>
      </c>
      <c r="B3051" s="2352" t="s">
        <v>8005</v>
      </c>
      <c r="C3051" s="2352" t="s">
        <v>8005</v>
      </c>
      <c r="D3051" s="2352" t="s">
        <v>8429</v>
      </c>
      <c r="E3051" s="355" t="s">
        <v>17104</v>
      </c>
      <c r="F3051" s="1662">
        <v>20</v>
      </c>
    </row>
    <row r="3052" spans="1:6" ht="15" customHeight="1" x14ac:dyDescent="0.25">
      <c r="A3052" s="2352" t="s">
        <v>8430</v>
      </c>
      <c r="B3052" s="2352" t="s">
        <v>8005</v>
      </c>
      <c r="C3052" s="2352" t="s">
        <v>8005</v>
      </c>
      <c r="D3052" s="2352" t="s">
        <v>8431</v>
      </c>
      <c r="E3052" s="355" t="s">
        <v>17104</v>
      </c>
      <c r="F3052" s="1662">
        <v>9</v>
      </c>
    </row>
    <row r="3053" spans="1:6" ht="15" customHeight="1" x14ac:dyDescent="0.25">
      <c r="A3053" s="2352" t="s">
        <v>7788</v>
      </c>
      <c r="B3053" s="2352" t="s">
        <v>8005</v>
      </c>
      <c r="C3053" s="2352" t="s">
        <v>8005</v>
      </c>
      <c r="D3053" s="2352" t="s">
        <v>8432</v>
      </c>
      <c r="E3053" s="355" t="s">
        <v>17099</v>
      </c>
      <c r="F3053" s="1662">
        <v>78</v>
      </c>
    </row>
    <row r="3054" spans="1:6" ht="15" customHeight="1" x14ac:dyDescent="0.25">
      <c r="A3054" s="2352" t="s">
        <v>8433</v>
      </c>
      <c r="B3054" s="2352" t="s">
        <v>8005</v>
      </c>
      <c r="C3054" s="2352" t="s">
        <v>8005</v>
      </c>
      <c r="D3054" s="2352" t="s">
        <v>8434</v>
      </c>
      <c r="E3054" s="355" t="s">
        <v>17099</v>
      </c>
      <c r="F3054" s="1662">
        <v>98</v>
      </c>
    </row>
    <row r="3055" spans="1:6" ht="15" customHeight="1" x14ac:dyDescent="0.25">
      <c r="A3055" s="2352" t="s">
        <v>17147</v>
      </c>
      <c r="B3055" s="2352" t="s">
        <v>8005</v>
      </c>
      <c r="C3055" s="2352" t="s">
        <v>8005</v>
      </c>
      <c r="D3055" s="2352" t="s">
        <v>8435</v>
      </c>
      <c r="E3055" s="355" t="s">
        <v>17104</v>
      </c>
      <c r="F3055" s="1662">
        <v>23</v>
      </c>
    </row>
    <row r="3056" spans="1:6" ht="15" customHeight="1" x14ac:dyDescent="0.25">
      <c r="A3056" s="2352" t="s">
        <v>17148</v>
      </c>
      <c r="B3056" s="2352" t="s">
        <v>8005</v>
      </c>
      <c r="C3056" s="2352" t="s">
        <v>8005</v>
      </c>
      <c r="D3056" s="2352" t="s">
        <v>8436</v>
      </c>
      <c r="E3056" s="355" t="s">
        <v>17104</v>
      </c>
      <c r="F3056" s="1662">
        <v>26</v>
      </c>
    </row>
    <row r="3057" spans="1:6" ht="15" customHeight="1" x14ac:dyDescent="0.25">
      <c r="A3057" s="2352" t="s">
        <v>8437</v>
      </c>
      <c r="B3057" s="2352" t="s">
        <v>8005</v>
      </c>
      <c r="C3057" s="2352" t="s">
        <v>8005</v>
      </c>
      <c r="D3057" s="2352" t="s">
        <v>8438</v>
      </c>
      <c r="E3057" s="355" t="s">
        <v>17104</v>
      </c>
      <c r="F3057" s="1662">
        <v>23</v>
      </c>
    </row>
    <row r="3058" spans="1:6" ht="15" customHeight="1" x14ac:dyDescent="0.25">
      <c r="A3058" s="2352" t="s">
        <v>8439</v>
      </c>
      <c r="B3058" s="2352" t="s">
        <v>8005</v>
      </c>
      <c r="C3058" s="2352" t="s">
        <v>8005</v>
      </c>
      <c r="D3058" s="2352" t="s">
        <v>8440</v>
      </c>
      <c r="E3058" s="355" t="s">
        <v>17105</v>
      </c>
      <c r="F3058" s="1662">
        <v>33</v>
      </c>
    </row>
    <row r="3059" spans="1:6" ht="15" customHeight="1" x14ac:dyDescent="0.25">
      <c r="A3059" s="2352" t="s">
        <v>8167</v>
      </c>
      <c r="B3059" s="2352" t="s">
        <v>8005</v>
      </c>
      <c r="C3059" s="2352" t="s">
        <v>8005</v>
      </c>
      <c r="D3059" s="2352" t="s">
        <v>8441</v>
      </c>
      <c r="E3059" s="355" t="s">
        <v>17111</v>
      </c>
      <c r="F3059" s="1662">
        <v>33</v>
      </c>
    </row>
    <row r="3060" spans="1:6" ht="15" customHeight="1" x14ac:dyDescent="0.25">
      <c r="A3060" s="2352" t="s">
        <v>3698</v>
      </c>
      <c r="B3060" s="2352" t="s">
        <v>8005</v>
      </c>
      <c r="C3060" s="2352" t="s">
        <v>8005</v>
      </c>
      <c r="D3060" s="2352" t="s">
        <v>8442</v>
      </c>
      <c r="E3060" s="355" t="s">
        <v>17099</v>
      </c>
      <c r="F3060" s="1662">
        <v>84</v>
      </c>
    </row>
    <row r="3061" spans="1:6" ht="15" customHeight="1" x14ac:dyDescent="0.25">
      <c r="A3061" s="2352" t="s">
        <v>8443</v>
      </c>
      <c r="B3061" s="2352" t="s">
        <v>8005</v>
      </c>
      <c r="C3061" s="2352" t="s">
        <v>8005</v>
      </c>
      <c r="D3061" s="2352" t="s">
        <v>8444</v>
      </c>
      <c r="E3061" s="355" t="s">
        <v>17104</v>
      </c>
      <c r="F3061" s="1662">
        <v>19</v>
      </c>
    </row>
    <row r="3062" spans="1:6" ht="15" customHeight="1" x14ac:dyDescent="0.25">
      <c r="A3062" s="2352" t="s">
        <v>8445</v>
      </c>
      <c r="B3062" s="2352" t="s">
        <v>8005</v>
      </c>
      <c r="C3062" s="2352" t="s">
        <v>8005</v>
      </c>
      <c r="D3062" s="2352" t="s">
        <v>8446</v>
      </c>
      <c r="E3062" s="355" t="s">
        <v>17102</v>
      </c>
      <c r="F3062" s="1662">
        <v>113</v>
      </c>
    </row>
    <row r="3063" spans="1:6" ht="15" customHeight="1" x14ac:dyDescent="0.25">
      <c r="A3063" s="2352" t="s">
        <v>8447</v>
      </c>
      <c r="B3063" s="2352" t="s">
        <v>8005</v>
      </c>
      <c r="C3063" s="2352" t="s">
        <v>8005</v>
      </c>
      <c r="D3063" s="2352" t="s">
        <v>8448</v>
      </c>
      <c r="E3063" s="355" t="s">
        <v>17102</v>
      </c>
      <c r="F3063" s="1662">
        <v>84</v>
      </c>
    </row>
    <row r="3064" spans="1:6" ht="15" customHeight="1" x14ac:dyDescent="0.25">
      <c r="A3064" s="2352" t="s">
        <v>5190</v>
      </c>
      <c r="B3064" s="2352" t="s">
        <v>8005</v>
      </c>
      <c r="C3064" s="2352" t="s">
        <v>8005</v>
      </c>
      <c r="D3064" s="2352" t="s">
        <v>8449</v>
      </c>
      <c r="E3064" s="355" t="s">
        <v>17102</v>
      </c>
      <c r="F3064" s="1662">
        <v>118</v>
      </c>
    </row>
    <row r="3065" spans="1:6" ht="15" customHeight="1" x14ac:dyDescent="0.25">
      <c r="A3065" s="2352" t="s">
        <v>8450</v>
      </c>
      <c r="B3065" s="2352" t="s">
        <v>8005</v>
      </c>
      <c r="C3065" s="2352" t="s">
        <v>8005</v>
      </c>
      <c r="D3065" s="2352" t="s">
        <v>8451</v>
      </c>
      <c r="E3065" s="355" t="s">
        <v>17099</v>
      </c>
      <c r="F3065" s="1662">
        <v>80</v>
      </c>
    </row>
    <row r="3066" spans="1:6" ht="15" customHeight="1" x14ac:dyDescent="0.25">
      <c r="A3066" s="2352" t="s">
        <v>8369</v>
      </c>
      <c r="B3066" s="2352" t="s">
        <v>8005</v>
      </c>
      <c r="C3066" s="2352" t="s">
        <v>8005</v>
      </c>
      <c r="D3066" s="2352" t="s">
        <v>8452</v>
      </c>
      <c r="E3066" s="355" t="s">
        <v>17102</v>
      </c>
      <c r="F3066" s="1662">
        <v>111</v>
      </c>
    </row>
    <row r="3067" spans="1:6" ht="15" customHeight="1" x14ac:dyDescent="0.25">
      <c r="A3067" s="2352" t="s">
        <v>6476</v>
      </c>
      <c r="B3067" s="2352" t="s">
        <v>8005</v>
      </c>
      <c r="C3067" s="2352" t="s">
        <v>8005</v>
      </c>
      <c r="D3067" s="2352" t="s">
        <v>8453</v>
      </c>
      <c r="E3067" s="355" t="s">
        <v>17099</v>
      </c>
      <c r="F3067" s="1662">
        <v>57</v>
      </c>
    </row>
    <row r="3068" spans="1:6" ht="15" customHeight="1" x14ac:dyDescent="0.25">
      <c r="A3068" s="2352" t="s">
        <v>8454</v>
      </c>
      <c r="B3068" s="2352" t="s">
        <v>8005</v>
      </c>
      <c r="C3068" s="2352" t="s">
        <v>8005</v>
      </c>
      <c r="D3068" s="2352" t="s">
        <v>8455</v>
      </c>
      <c r="E3068" s="355" t="s">
        <v>17104</v>
      </c>
      <c r="F3068" s="1662">
        <v>4</v>
      </c>
    </row>
    <row r="3069" spans="1:6" ht="15" customHeight="1" x14ac:dyDescent="0.25">
      <c r="A3069" s="2352" t="s">
        <v>4155</v>
      </c>
      <c r="B3069" s="2352" t="s">
        <v>8005</v>
      </c>
      <c r="C3069" s="2352" t="s">
        <v>8005</v>
      </c>
      <c r="D3069" s="2352" t="s">
        <v>8456</v>
      </c>
      <c r="E3069" s="355" t="s">
        <v>17102</v>
      </c>
      <c r="F3069" s="1662">
        <v>133</v>
      </c>
    </row>
    <row r="3070" spans="1:6" ht="15" customHeight="1" x14ac:dyDescent="0.25">
      <c r="A3070" s="2352" t="s">
        <v>8457</v>
      </c>
      <c r="B3070" s="2352" t="s">
        <v>8005</v>
      </c>
      <c r="C3070" s="2352" t="s">
        <v>8005</v>
      </c>
      <c r="D3070" s="2352" t="s">
        <v>8458</v>
      </c>
      <c r="E3070" s="355" t="s">
        <v>17102</v>
      </c>
      <c r="F3070" s="1662">
        <v>108</v>
      </c>
    </row>
    <row r="3071" spans="1:6" ht="15" customHeight="1" x14ac:dyDescent="0.25">
      <c r="A3071" s="2352" t="s">
        <v>8300</v>
      </c>
      <c r="B3071" s="2352" t="s">
        <v>8005</v>
      </c>
      <c r="C3071" s="2352" t="s">
        <v>8005</v>
      </c>
      <c r="D3071" s="2352" t="s">
        <v>8459</v>
      </c>
      <c r="E3071" s="355" t="s">
        <v>17111</v>
      </c>
      <c r="F3071" s="1662">
        <v>49</v>
      </c>
    </row>
    <row r="3072" spans="1:6" ht="15" customHeight="1" x14ac:dyDescent="0.25">
      <c r="A3072" s="2352" t="s">
        <v>8317</v>
      </c>
      <c r="B3072" s="2352" t="s">
        <v>8005</v>
      </c>
      <c r="C3072" s="2352" t="s">
        <v>8005</v>
      </c>
      <c r="D3072" s="2352" t="s">
        <v>8460</v>
      </c>
      <c r="E3072" s="355" t="s">
        <v>17095</v>
      </c>
      <c r="F3072" s="1662">
        <v>87</v>
      </c>
    </row>
    <row r="3073" spans="1:6" ht="15" customHeight="1" x14ac:dyDescent="0.25">
      <c r="A3073" s="2352" t="s">
        <v>8461</v>
      </c>
      <c r="B3073" s="2352" t="s">
        <v>8005</v>
      </c>
      <c r="C3073" s="2352" t="s">
        <v>8005</v>
      </c>
      <c r="D3073" s="2352" t="s">
        <v>8462</v>
      </c>
      <c r="E3073" s="355" t="s">
        <v>17102</v>
      </c>
      <c r="F3073" s="1662">
        <v>85</v>
      </c>
    </row>
    <row r="3074" spans="1:6" ht="15" customHeight="1" x14ac:dyDescent="0.25">
      <c r="A3074" s="2352" t="s">
        <v>8413</v>
      </c>
      <c r="B3074" s="2352" t="s">
        <v>8005</v>
      </c>
      <c r="C3074" s="2352" t="s">
        <v>8005</v>
      </c>
      <c r="D3074" s="2352" t="s">
        <v>8463</v>
      </c>
      <c r="E3074" s="355" t="s">
        <v>17095</v>
      </c>
      <c r="F3074" s="1662">
        <v>141</v>
      </c>
    </row>
    <row r="3075" spans="1:6" ht="15" customHeight="1" x14ac:dyDescent="0.25">
      <c r="A3075" s="2352" t="s">
        <v>7873</v>
      </c>
      <c r="B3075" s="2352" t="s">
        <v>8005</v>
      </c>
      <c r="C3075" s="2352" t="s">
        <v>8005</v>
      </c>
      <c r="D3075" s="2352" t="s">
        <v>8464</v>
      </c>
      <c r="E3075" s="355" t="s">
        <v>17095</v>
      </c>
      <c r="F3075" s="1662">
        <v>217</v>
      </c>
    </row>
    <row r="3076" spans="1:6" ht="15" customHeight="1" x14ac:dyDescent="0.25">
      <c r="A3076" s="2352" t="s">
        <v>8465</v>
      </c>
      <c r="B3076" s="2352" t="s">
        <v>8005</v>
      </c>
      <c r="C3076" s="2352" t="s">
        <v>8005</v>
      </c>
      <c r="D3076" s="2352" t="s">
        <v>8466</v>
      </c>
      <c r="E3076" s="355" t="s">
        <v>17098</v>
      </c>
      <c r="F3076" s="1662">
        <v>17</v>
      </c>
    </row>
    <row r="3077" spans="1:6" ht="15" customHeight="1" x14ac:dyDescent="0.25">
      <c r="A3077" s="2352" t="s">
        <v>8467</v>
      </c>
      <c r="B3077" s="2352" t="s">
        <v>8005</v>
      </c>
      <c r="C3077" s="2352" t="s">
        <v>8005</v>
      </c>
      <c r="D3077" s="2352" t="s">
        <v>8468</v>
      </c>
      <c r="E3077" s="355" t="s">
        <v>17099</v>
      </c>
      <c r="F3077" s="1662">
        <v>70</v>
      </c>
    </row>
    <row r="3078" spans="1:6" ht="15" customHeight="1" x14ac:dyDescent="0.25">
      <c r="A3078" s="2352" t="s">
        <v>8087</v>
      </c>
      <c r="B3078" s="2352" t="s">
        <v>8005</v>
      </c>
      <c r="C3078" s="2352" t="s">
        <v>8005</v>
      </c>
      <c r="D3078" s="2352" t="s">
        <v>8469</v>
      </c>
      <c r="E3078" s="355" t="s">
        <v>17095</v>
      </c>
      <c r="F3078" s="1662">
        <v>212</v>
      </c>
    </row>
    <row r="3079" spans="1:6" ht="15" customHeight="1" x14ac:dyDescent="0.25">
      <c r="A3079" s="2352" t="s">
        <v>8087</v>
      </c>
      <c r="B3079" s="2352" t="s">
        <v>8005</v>
      </c>
      <c r="C3079" s="2352" t="s">
        <v>8005</v>
      </c>
      <c r="D3079" s="2352" t="s">
        <v>8470</v>
      </c>
      <c r="E3079" s="355" t="s">
        <v>17102</v>
      </c>
      <c r="F3079" s="1662">
        <v>47</v>
      </c>
    </row>
    <row r="3080" spans="1:6" ht="15" customHeight="1" x14ac:dyDescent="0.25">
      <c r="A3080" s="2352" t="s">
        <v>8411</v>
      </c>
      <c r="B3080" s="2352" t="s">
        <v>8005</v>
      </c>
      <c r="C3080" s="2352" t="s">
        <v>8005</v>
      </c>
      <c r="D3080" s="2352" t="s">
        <v>8471</v>
      </c>
      <c r="E3080" s="355" t="s">
        <v>17095</v>
      </c>
      <c r="F3080" s="1662">
        <v>221</v>
      </c>
    </row>
    <row r="3081" spans="1:6" ht="15" customHeight="1" x14ac:dyDescent="0.25">
      <c r="A3081" s="2352" t="s">
        <v>8472</v>
      </c>
      <c r="B3081" s="2352" t="s">
        <v>8005</v>
      </c>
      <c r="C3081" s="2352" t="s">
        <v>8005</v>
      </c>
      <c r="D3081" s="2352" t="s">
        <v>8473</v>
      </c>
      <c r="E3081" s="355" t="s">
        <v>17096</v>
      </c>
      <c r="F3081" s="1662">
        <v>329</v>
      </c>
    </row>
    <row r="3082" spans="1:6" ht="15" customHeight="1" x14ac:dyDescent="0.25">
      <c r="A3082" s="2352" t="s">
        <v>8165</v>
      </c>
      <c r="B3082" s="2352" t="s">
        <v>8005</v>
      </c>
      <c r="C3082" s="2352" t="s">
        <v>8005</v>
      </c>
      <c r="D3082" s="2352" t="s">
        <v>8474</v>
      </c>
      <c r="E3082" s="355" t="s">
        <v>17096</v>
      </c>
      <c r="F3082" s="1662">
        <v>400</v>
      </c>
    </row>
    <row r="3083" spans="1:6" ht="15" customHeight="1" x14ac:dyDescent="0.25">
      <c r="A3083" s="2352" t="s">
        <v>8144</v>
      </c>
      <c r="B3083" s="2352" t="s">
        <v>8005</v>
      </c>
      <c r="C3083" s="2352" t="s">
        <v>8005</v>
      </c>
      <c r="D3083" s="2352" t="s">
        <v>8475</v>
      </c>
      <c r="E3083" s="355" t="s">
        <v>17102</v>
      </c>
      <c r="F3083" s="1662">
        <v>130</v>
      </c>
    </row>
    <row r="3084" spans="1:6" ht="15" customHeight="1" x14ac:dyDescent="0.25">
      <c r="A3084" s="2352" t="s">
        <v>8257</v>
      </c>
      <c r="B3084" s="2352" t="s">
        <v>8005</v>
      </c>
      <c r="C3084" s="2352" t="s">
        <v>8005</v>
      </c>
      <c r="D3084" s="2352" t="s">
        <v>8476</v>
      </c>
      <c r="E3084" s="355" t="s">
        <v>17095</v>
      </c>
      <c r="F3084" s="1662">
        <v>233</v>
      </c>
    </row>
    <row r="3085" spans="1:6" ht="15" customHeight="1" x14ac:dyDescent="0.25">
      <c r="A3085" s="2352" t="s">
        <v>8477</v>
      </c>
      <c r="B3085" s="2352" t="s">
        <v>8005</v>
      </c>
      <c r="C3085" s="2352" t="s">
        <v>8005</v>
      </c>
      <c r="D3085" s="2352" t="s">
        <v>8478</v>
      </c>
      <c r="E3085" s="355" t="s">
        <v>17105</v>
      </c>
      <c r="F3085" s="1662">
        <v>25</v>
      </c>
    </row>
    <row r="3086" spans="1:6" ht="15" customHeight="1" x14ac:dyDescent="0.25">
      <c r="A3086" s="2352" t="s">
        <v>8144</v>
      </c>
      <c r="B3086" s="2352" t="s">
        <v>8005</v>
      </c>
      <c r="C3086" s="2352" t="s">
        <v>8005</v>
      </c>
      <c r="D3086" s="2352" t="s">
        <v>8479</v>
      </c>
      <c r="E3086" s="355" t="s">
        <v>17096</v>
      </c>
      <c r="F3086" s="1662">
        <v>351</v>
      </c>
    </row>
    <row r="3087" spans="1:6" ht="15" customHeight="1" x14ac:dyDescent="0.25">
      <c r="A3087" s="2352" t="s">
        <v>8411</v>
      </c>
      <c r="B3087" s="2352" t="s">
        <v>8005</v>
      </c>
      <c r="C3087" s="2352" t="s">
        <v>8005</v>
      </c>
      <c r="D3087" s="2352" t="s">
        <v>8480</v>
      </c>
      <c r="E3087" s="355" t="s">
        <v>17099</v>
      </c>
      <c r="F3087" s="1662">
        <v>100</v>
      </c>
    </row>
    <row r="3088" spans="1:6" ht="15" customHeight="1" x14ac:dyDescent="0.25">
      <c r="A3088" s="2352" t="s">
        <v>8223</v>
      </c>
      <c r="B3088" s="2352" t="s">
        <v>8005</v>
      </c>
      <c r="C3088" s="2352" t="s">
        <v>8005</v>
      </c>
      <c r="D3088" s="2352" t="s">
        <v>8481</v>
      </c>
      <c r="E3088" s="355" t="s">
        <v>17096</v>
      </c>
      <c r="F3088" s="1662">
        <v>302</v>
      </c>
    </row>
    <row r="3089" spans="1:6" ht="15" customHeight="1" x14ac:dyDescent="0.25">
      <c r="A3089" s="2352" t="s">
        <v>8369</v>
      </c>
      <c r="B3089" s="2352" t="s">
        <v>8005</v>
      </c>
      <c r="C3089" s="2352" t="s">
        <v>8005</v>
      </c>
      <c r="D3089" s="2352" t="s">
        <v>8482</v>
      </c>
      <c r="E3089" s="355" t="s">
        <v>17102</v>
      </c>
      <c r="F3089" s="1662">
        <v>111</v>
      </c>
    </row>
    <row r="3090" spans="1:6" ht="15" customHeight="1" x14ac:dyDescent="0.25">
      <c r="A3090" s="2352" t="s">
        <v>8025</v>
      </c>
      <c r="B3090" s="2352" t="s">
        <v>8005</v>
      </c>
      <c r="C3090" s="2352" t="s">
        <v>8005</v>
      </c>
      <c r="D3090" s="2352" t="s">
        <v>8483</v>
      </c>
      <c r="E3090" s="355" t="s">
        <v>17111</v>
      </c>
      <c r="F3090" s="1662">
        <v>60</v>
      </c>
    </row>
    <row r="3091" spans="1:6" ht="15" customHeight="1" x14ac:dyDescent="0.25">
      <c r="A3091" s="2352" t="s">
        <v>8457</v>
      </c>
      <c r="B3091" s="2352" t="s">
        <v>8005</v>
      </c>
      <c r="C3091" s="2352" t="s">
        <v>8005</v>
      </c>
      <c r="D3091" s="2352" t="s">
        <v>8484</v>
      </c>
      <c r="E3091" s="355" t="s">
        <v>17102</v>
      </c>
      <c r="F3091" s="1662">
        <v>135</v>
      </c>
    </row>
    <row r="3092" spans="1:6" ht="15" customHeight="1" x14ac:dyDescent="0.25">
      <c r="A3092" s="2352" t="s">
        <v>6520</v>
      </c>
      <c r="B3092" s="2352" t="s">
        <v>8005</v>
      </c>
      <c r="C3092" s="2352" t="s">
        <v>8005</v>
      </c>
      <c r="D3092" s="2352" t="s">
        <v>8485</v>
      </c>
      <c r="E3092" s="355" t="s">
        <v>17111</v>
      </c>
      <c r="F3092" s="1662">
        <v>44</v>
      </c>
    </row>
    <row r="3093" spans="1:6" ht="15" customHeight="1" x14ac:dyDescent="0.25">
      <c r="A3093" s="2352"/>
      <c r="B3093" s="2352" t="s">
        <v>8005</v>
      </c>
      <c r="C3093" s="2352" t="s">
        <v>8005</v>
      </c>
      <c r="D3093" s="2352" t="s">
        <v>8486</v>
      </c>
      <c r="E3093" s="355" t="s">
        <v>17099</v>
      </c>
      <c r="F3093" s="1662">
        <v>100</v>
      </c>
    </row>
    <row r="3094" spans="1:6" ht="15" customHeight="1" x14ac:dyDescent="0.25">
      <c r="A3094" s="2352" t="s">
        <v>6421</v>
      </c>
      <c r="B3094" s="2352" t="s">
        <v>8005</v>
      </c>
      <c r="C3094" s="2352" t="s">
        <v>8005</v>
      </c>
      <c r="D3094" s="2352" t="s">
        <v>8487</v>
      </c>
      <c r="E3094" s="355" t="s">
        <v>17096</v>
      </c>
      <c r="F3094" s="1662">
        <v>237</v>
      </c>
    </row>
    <row r="3095" spans="1:6" ht="15" customHeight="1" x14ac:dyDescent="0.25">
      <c r="A3095" s="2352" t="s">
        <v>8352</v>
      </c>
      <c r="B3095" s="2352" t="s">
        <v>8005</v>
      </c>
      <c r="C3095" s="2352" t="s">
        <v>8005</v>
      </c>
      <c r="D3095" s="2352" t="s">
        <v>8488</v>
      </c>
      <c r="E3095" s="355" t="s">
        <v>17102</v>
      </c>
      <c r="F3095" s="1662">
        <v>135</v>
      </c>
    </row>
    <row r="3096" spans="1:6" ht="15" customHeight="1" x14ac:dyDescent="0.25">
      <c r="A3096" s="2352" t="s">
        <v>5038</v>
      </c>
      <c r="B3096" s="2352" t="s">
        <v>8005</v>
      </c>
      <c r="C3096" s="2352" t="s">
        <v>8005</v>
      </c>
      <c r="D3096" s="2352" t="s">
        <v>8489</v>
      </c>
      <c r="E3096" s="355" t="s">
        <v>17099</v>
      </c>
      <c r="F3096" s="1662">
        <v>100</v>
      </c>
    </row>
    <row r="3097" spans="1:6" ht="15" customHeight="1" x14ac:dyDescent="0.25">
      <c r="A3097" s="2352" t="s">
        <v>8367</v>
      </c>
      <c r="B3097" s="2352" t="s">
        <v>8005</v>
      </c>
      <c r="C3097" s="2352" t="s">
        <v>8005</v>
      </c>
      <c r="D3097" s="2352" t="s">
        <v>8490</v>
      </c>
      <c r="E3097" s="355" t="s">
        <v>17111</v>
      </c>
      <c r="F3097" s="1662">
        <v>49</v>
      </c>
    </row>
    <row r="3098" spans="1:6" ht="15" customHeight="1" x14ac:dyDescent="0.25">
      <c r="A3098" s="2352" t="s">
        <v>7873</v>
      </c>
      <c r="B3098" s="2352" t="s">
        <v>8005</v>
      </c>
      <c r="C3098" s="2352" t="s">
        <v>8005</v>
      </c>
      <c r="D3098" s="2352" t="s">
        <v>8491</v>
      </c>
      <c r="E3098" s="355" t="s">
        <v>17099</v>
      </c>
      <c r="F3098" s="1662">
        <v>57</v>
      </c>
    </row>
    <row r="3099" spans="1:6" ht="15" customHeight="1" x14ac:dyDescent="0.25">
      <c r="A3099" s="2352" t="s">
        <v>8080</v>
      </c>
      <c r="B3099" s="2352" t="s">
        <v>8005</v>
      </c>
      <c r="C3099" s="2352" t="s">
        <v>8005</v>
      </c>
      <c r="D3099" s="2352" t="s">
        <v>8492</v>
      </c>
      <c r="E3099" s="355" t="s">
        <v>17095</v>
      </c>
      <c r="F3099" s="1662">
        <v>196</v>
      </c>
    </row>
    <row r="3100" spans="1:6" ht="15" customHeight="1" x14ac:dyDescent="0.25">
      <c r="A3100" s="2352" t="s">
        <v>8360</v>
      </c>
      <c r="B3100" s="2352" t="s">
        <v>8005</v>
      </c>
      <c r="C3100" s="2352" t="s">
        <v>8005</v>
      </c>
      <c r="D3100" s="2352" t="s">
        <v>8493</v>
      </c>
      <c r="E3100" s="355" t="s">
        <v>17102</v>
      </c>
      <c r="F3100" s="1662">
        <v>123</v>
      </c>
    </row>
    <row r="3101" spans="1:6" ht="15" customHeight="1" x14ac:dyDescent="0.25">
      <c r="A3101" s="2352" t="s">
        <v>8328</v>
      </c>
      <c r="B3101" s="2352" t="s">
        <v>8005</v>
      </c>
      <c r="C3101" s="2352" t="s">
        <v>8005</v>
      </c>
      <c r="D3101" s="2352" t="s">
        <v>8494</v>
      </c>
      <c r="E3101" s="355" t="s">
        <v>17099</v>
      </c>
      <c r="F3101" s="1662">
        <v>87</v>
      </c>
    </row>
    <row r="3102" spans="1:6" ht="15" customHeight="1" x14ac:dyDescent="0.25">
      <c r="A3102" s="2352" t="s">
        <v>8495</v>
      </c>
      <c r="B3102" s="2352" t="s">
        <v>8005</v>
      </c>
      <c r="C3102" s="2352" t="s">
        <v>8005</v>
      </c>
      <c r="D3102" s="2352" t="s">
        <v>8496</v>
      </c>
      <c r="E3102" s="355" t="s">
        <v>17099</v>
      </c>
      <c r="F3102" s="1662">
        <v>63</v>
      </c>
    </row>
    <row r="3103" spans="1:6" ht="15" customHeight="1" x14ac:dyDescent="0.25">
      <c r="A3103" s="2352" t="s">
        <v>8497</v>
      </c>
      <c r="B3103" s="2352" t="s">
        <v>8005</v>
      </c>
      <c r="C3103" s="2352" t="s">
        <v>8005</v>
      </c>
      <c r="D3103" s="2352" t="s">
        <v>8498</v>
      </c>
      <c r="E3103" s="355" t="s">
        <v>17111</v>
      </c>
      <c r="F3103" s="1662">
        <v>27</v>
      </c>
    </row>
    <row r="3104" spans="1:6" ht="15" customHeight="1" x14ac:dyDescent="0.25">
      <c r="A3104" s="2352" t="s">
        <v>8332</v>
      </c>
      <c r="B3104" s="2352" t="s">
        <v>8005</v>
      </c>
      <c r="C3104" s="2352" t="s">
        <v>8005</v>
      </c>
      <c r="D3104" s="2352" t="s">
        <v>8499</v>
      </c>
      <c r="E3104" s="355" t="s">
        <v>17095</v>
      </c>
      <c r="F3104" s="1662">
        <v>109</v>
      </c>
    </row>
    <row r="3105" spans="1:6" ht="15" customHeight="1" x14ac:dyDescent="0.25">
      <c r="A3105" s="2352" t="s">
        <v>8500</v>
      </c>
      <c r="B3105" s="2352" t="s">
        <v>8005</v>
      </c>
      <c r="C3105" s="2352" t="s">
        <v>8005</v>
      </c>
      <c r="D3105" s="2352" t="s">
        <v>8501</v>
      </c>
      <c r="E3105" s="355" t="s">
        <v>17102</v>
      </c>
      <c r="F3105" s="1662">
        <v>91</v>
      </c>
    </row>
    <row r="3106" spans="1:6" ht="15" customHeight="1" x14ac:dyDescent="0.25">
      <c r="A3106" s="2352" t="s">
        <v>8080</v>
      </c>
      <c r="B3106" s="2352" t="s">
        <v>8005</v>
      </c>
      <c r="C3106" s="2352" t="s">
        <v>8005</v>
      </c>
      <c r="D3106" s="2352" t="s">
        <v>8502</v>
      </c>
      <c r="E3106" s="355" t="s">
        <v>17095</v>
      </c>
      <c r="F3106" s="1662">
        <v>250</v>
      </c>
    </row>
    <row r="3107" spans="1:6" ht="15" customHeight="1" x14ac:dyDescent="0.25">
      <c r="A3107" s="2352" t="s">
        <v>8472</v>
      </c>
      <c r="B3107" s="2352" t="s">
        <v>8005</v>
      </c>
      <c r="C3107" s="2352" t="s">
        <v>8005</v>
      </c>
      <c r="D3107" s="2352" t="s">
        <v>8503</v>
      </c>
      <c r="E3107" s="355" t="s">
        <v>17096</v>
      </c>
      <c r="F3107" s="1662">
        <v>264</v>
      </c>
    </row>
    <row r="3108" spans="1:6" ht="15" customHeight="1" x14ac:dyDescent="0.25">
      <c r="A3108" s="2352" t="s">
        <v>8165</v>
      </c>
      <c r="B3108" s="2352" t="s">
        <v>8005</v>
      </c>
      <c r="C3108" s="2352" t="s">
        <v>8005</v>
      </c>
      <c r="D3108" s="2352" t="s">
        <v>8504</v>
      </c>
      <c r="E3108" s="355" t="s">
        <v>17096</v>
      </c>
      <c r="F3108" s="1662">
        <v>400</v>
      </c>
    </row>
    <row r="3109" spans="1:6" ht="15" customHeight="1" x14ac:dyDescent="0.25">
      <c r="A3109" s="2352" t="s">
        <v>8332</v>
      </c>
      <c r="B3109" s="2352" t="s">
        <v>8005</v>
      </c>
      <c r="C3109" s="2352" t="s">
        <v>8005</v>
      </c>
      <c r="D3109" s="2352" t="s">
        <v>8505</v>
      </c>
      <c r="E3109" s="355" t="s">
        <v>17095</v>
      </c>
      <c r="F3109" s="1662">
        <v>201</v>
      </c>
    </row>
    <row r="3110" spans="1:6" ht="15" customHeight="1" x14ac:dyDescent="0.25">
      <c r="A3110" s="2352" t="s">
        <v>4713</v>
      </c>
      <c r="B3110" s="2352" t="s">
        <v>8005</v>
      </c>
      <c r="C3110" s="2352" t="s">
        <v>8005</v>
      </c>
      <c r="D3110" s="2352" t="s">
        <v>8506</v>
      </c>
      <c r="E3110" s="355" t="s">
        <v>17095</v>
      </c>
      <c r="F3110" s="1662">
        <v>120</v>
      </c>
    </row>
    <row r="3111" spans="1:6" ht="15" customHeight="1" x14ac:dyDescent="0.25">
      <c r="A3111" s="2352" t="s">
        <v>8500</v>
      </c>
      <c r="B3111" s="2352" t="s">
        <v>8005</v>
      </c>
      <c r="C3111" s="2352" t="s">
        <v>8005</v>
      </c>
      <c r="D3111" s="2352" t="s">
        <v>8507</v>
      </c>
      <c r="E3111" s="355" t="s">
        <v>17102</v>
      </c>
      <c r="F3111" s="1662">
        <v>88</v>
      </c>
    </row>
    <row r="3112" spans="1:6" ht="15" customHeight="1" x14ac:dyDescent="0.25">
      <c r="A3112" s="2352" t="s">
        <v>8289</v>
      </c>
      <c r="B3112" s="2352" t="s">
        <v>8005</v>
      </c>
      <c r="C3112" s="2352" t="s">
        <v>8005</v>
      </c>
      <c r="D3112" s="2352" t="s">
        <v>8508</v>
      </c>
      <c r="E3112" s="355" t="s">
        <v>17099</v>
      </c>
      <c r="F3112" s="1662">
        <v>63</v>
      </c>
    </row>
    <row r="3113" spans="1:6" ht="15" customHeight="1" x14ac:dyDescent="0.25">
      <c r="A3113" s="2352" t="s">
        <v>8074</v>
      </c>
      <c r="B3113" s="2352" t="s">
        <v>8005</v>
      </c>
      <c r="C3113" s="2352" t="s">
        <v>8005</v>
      </c>
      <c r="D3113" s="2352" t="s">
        <v>8509</v>
      </c>
      <c r="E3113" s="355" t="s">
        <v>17102</v>
      </c>
      <c r="F3113" s="1662">
        <v>118</v>
      </c>
    </row>
    <row r="3114" spans="1:6" ht="15" customHeight="1" x14ac:dyDescent="0.25">
      <c r="A3114" s="2352" t="s">
        <v>8510</v>
      </c>
      <c r="B3114" s="2352" t="s">
        <v>8005</v>
      </c>
      <c r="C3114" s="2352" t="s">
        <v>8005</v>
      </c>
      <c r="D3114" s="2352" t="s">
        <v>8511</v>
      </c>
      <c r="E3114" s="355" t="s">
        <v>17099</v>
      </c>
      <c r="F3114" s="1662">
        <v>22</v>
      </c>
    </row>
    <row r="3115" spans="1:6" ht="15" customHeight="1" x14ac:dyDescent="0.25">
      <c r="A3115" s="2352" t="s">
        <v>8512</v>
      </c>
      <c r="B3115" s="2352" t="s">
        <v>8005</v>
      </c>
      <c r="C3115" s="2352" t="s">
        <v>8005</v>
      </c>
      <c r="D3115" s="2352" t="s">
        <v>8513</v>
      </c>
      <c r="E3115" s="355" t="s">
        <v>17095</v>
      </c>
      <c r="F3115" s="1662">
        <v>212</v>
      </c>
    </row>
    <row r="3116" spans="1:6" ht="15" customHeight="1" x14ac:dyDescent="0.25">
      <c r="A3116" s="2352" t="s">
        <v>17144</v>
      </c>
      <c r="B3116" s="2352" t="s">
        <v>8005</v>
      </c>
      <c r="C3116" s="2352" t="s">
        <v>8005</v>
      </c>
      <c r="D3116" s="2352" t="s">
        <v>8514</v>
      </c>
      <c r="E3116" s="355" t="s">
        <v>17102</v>
      </c>
      <c r="F3116" s="1662">
        <v>117</v>
      </c>
    </row>
    <row r="3117" spans="1:6" ht="15" customHeight="1" x14ac:dyDescent="0.25">
      <c r="A3117" s="2352" t="s">
        <v>6421</v>
      </c>
      <c r="B3117" s="2352" t="s">
        <v>8005</v>
      </c>
      <c r="C3117" s="2352" t="s">
        <v>8005</v>
      </c>
      <c r="D3117" s="2352" t="s">
        <v>8515</v>
      </c>
      <c r="E3117" s="355" t="s">
        <v>17095</v>
      </c>
      <c r="F3117" s="1662">
        <v>123</v>
      </c>
    </row>
    <row r="3118" spans="1:6" ht="15" customHeight="1" x14ac:dyDescent="0.25">
      <c r="A3118" s="2352" t="s">
        <v>8061</v>
      </c>
      <c r="B3118" s="2352" t="s">
        <v>8005</v>
      </c>
      <c r="C3118" s="2352" t="s">
        <v>8005</v>
      </c>
      <c r="D3118" s="2352" t="s">
        <v>8516</v>
      </c>
      <c r="E3118" s="355" t="s">
        <v>17104</v>
      </c>
      <c r="F3118" s="1662">
        <v>30</v>
      </c>
    </row>
    <row r="3119" spans="1:6" ht="15" customHeight="1" x14ac:dyDescent="0.25">
      <c r="A3119" s="2352" t="s">
        <v>8517</v>
      </c>
      <c r="B3119" s="2352" t="s">
        <v>8005</v>
      </c>
      <c r="C3119" s="2352" t="s">
        <v>8005</v>
      </c>
      <c r="D3119" s="2352" t="s">
        <v>8518</v>
      </c>
      <c r="E3119" s="355" t="s">
        <v>17099</v>
      </c>
      <c r="F3119" s="1662">
        <v>67</v>
      </c>
    </row>
    <row r="3120" spans="1:6" ht="15" customHeight="1" x14ac:dyDescent="0.25">
      <c r="A3120" s="2352" t="s">
        <v>8519</v>
      </c>
      <c r="B3120" s="2352" t="s">
        <v>8005</v>
      </c>
      <c r="C3120" s="2352" t="s">
        <v>8005</v>
      </c>
      <c r="D3120" s="2352" t="s">
        <v>8520</v>
      </c>
      <c r="E3120" s="355" t="s">
        <v>17111</v>
      </c>
      <c r="F3120" s="1662">
        <v>6</v>
      </c>
    </row>
    <row r="3121" spans="1:6" ht="15" customHeight="1" x14ac:dyDescent="0.25">
      <c r="A3121" s="2352" t="s">
        <v>8521</v>
      </c>
      <c r="B3121" s="2352" t="s">
        <v>8005</v>
      </c>
      <c r="C3121" s="2352" t="s">
        <v>8005</v>
      </c>
      <c r="D3121" s="2352" t="s">
        <v>8522</v>
      </c>
      <c r="E3121" s="355" t="s">
        <v>17098</v>
      </c>
      <c r="F3121" s="1662">
        <v>5</v>
      </c>
    </row>
    <row r="3122" spans="1:6" ht="15" customHeight="1" x14ac:dyDescent="0.25">
      <c r="A3122" s="2352" t="s">
        <v>8523</v>
      </c>
      <c r="B3122" s="2352" t="s">
        <v>8005</v>
      </c>
      <c r="C3122" s="2352" t="s">
        <v>8005</v>
      </c>
      <c r="D3122" s="2352" t="s">
        <v>8524</v>
      </c>
      <c r="E3122" s="355" t="s">
        <v>17095</v>
      </c>
      <c r="F3122" s="1662">
        <v>223</v>
      </c>
    </row>
    <row r="3123" spans="1:6" ht="15" customHeight="1" x14ac:dyDescent="0.25">
      <c r="A3123" s="2352" t="s">
        <v>8525</v>
      </c>
      <c r="B3123" s="2352" t="s">
        <v>8005</v>
      </c>
      <c r="C3123" s="2352" t="s">
        <v>8005</v>
      </c>
      <c r="D3123" s="2352" t="s">
        <v>8526</v>
      </c>
      <c r="E3123" s="355" t="s">
        <v>17103</v>
      </c>
      <c r="F3123" s="1662">
        <v>9</v>
      </c>
    </row>
    <row r="3124" spans="1:6" ht="15" customHeight="1" x14ac:dyDescent="0.25">
      <c r="A3124" s="2352" t="s">
        <v>4128</v>
      </c>
      <c r="B3124" s="2352" t="s">
        <v>8005</v>
      </c>
      <c r="C3124" s="2352" t="s">
        <v>8005</v>
      </c>
      <c r="D3124" s="2352" t="s">
        <v>8527</v>
      </c>
      <c r="E3124" s="355" t="s">
        <v>17104</v>
      </c>
      <c r="F3124" s="1662">
        <v>7</v>
      </c>
    </row>
    <row r="3125" spans="1:6" ht="15" customHeight="1" x14ac:dyDescent="0.25">
      <c r="A3125" s="2352" t="s">
        <v>8528</v>
      </c>
      <c r="B3125" s="2352" t="s">
        <v>8005</v>
      </c>
      <c r="C3125" s="2352" t="s">
        <v>8005</v>
      </c>
      <c r="D3125" s="2352" t="s">
        <v>8529</v>
      </c>
      <c r="E3125" s="355" t="s">
        <v>17111</v>
      </c>
      <c r="F3125" s="1662">
        <v>44</v>
      </c>
    </row>
    <row r="3126" spans="1:6" ht="15" customHeight="1" x14ac:dyDescent="0.25">
      <c r="A3126" s="2352" t="s">
        <v>8530</v>
      </c>
      <c r="B3126" s="2352" t="s">
        <v>8005</v>
      </c>
      <c r="C3126" s="2352" t="s">
        <v>8005</v>
      </c>
      <c r="D3126" s="2352" t="s">
        <v>8531</v>
      </c>
      <c r="E3126" s="355" t="s">
        <v>17105</v>
      </c>
      <c r="F3126" s="1662">
        <v>7</v>
      </c>
    </row>
    <row r="3127" spans="1:6" ht="15" customHeight="1" x14ac:dyDescent="0.25">
      <c r="A3127" s="2352" t="s">
        <v>8048</v>
      </c>
      <c r="B3127" s="2352" t="s">
        <v>8005</v>
      </c>
      <c r="C3127" s="2352" t="s">
        <v>8005</v>
      </c>
      <c r="D3127" s="2352" t="s">
        <v>8532</v>
      </c>
      <c r="E3127" s="355" t="s">
        <v>17102</v>
      </c>
      <c r="F3127" s="1662">
        <v>100</v>
      </c>
    </row>
    <row r="3128" spans="1:6" ht="15" customHeight="1" x14ac:dyDescent="0.25">
      <c r="A3128" s="2352" t="s">
        <v>8165</v>
      </c>
      <c r="B3128" s="2352" t="s">
        <v>8005</v>
      </c>
      <c r="C3128" s="2352" t="s">
        <v>8005</v>
      </c>
      <c r="D3128" s="2352" t="s">
        <v>8533</v>
      </c>
      <c r="E3128" s="355" t="s">
        <v>17096</v>
      </c>
      <c r="F3128" s="1662">
        <v>400</v>
      </c>
    </row>
    <row r="3129" spans="1:6" ht="15" customHeight="1" x14ac:dyDescent="0.25">
      <c r="A3129" s="2352" t="s">
        <v>8413</v>
      </c>
      <c r="B3129" s="2352" t="s">
        <v>8005</v>
      </c>
      <c r="C3129" s="2352" t="s">
        <v>8005</v>
      </c>
      <c r="D3129" s="2352" t="s">
        <v>8534</v>
      </c>
      <c r="E3129" s="355" t="s">
        <v>17095</v>
      </c>
      <c r="F3129" s="1662">
        <v>228</v>
      </c>
    </row>
    <row r="3130" spans="1:6" ht="15" customHeight="1" x14ac:dyDescent="0.25">
      <c r="A3130" s="2352" t="s">
        <v>6487</v>
      </c>
      <c r="B3130" s="2352" t="s">
        <v>8005</v>
      </c>
      <c r="C3130" s="2352" t="s">
        <v>8005</v>
      </c>
      <c r="D3130" s="2352" t="s">
        <v>8535</v>
      </c>
      <c r="E3130" s="355" t="s">
        <v>4199</v>
      </c>
      <c r="F3130" s="1662">
        <v>572</v>
      </c>
    </row>
    <row r="3131" spans="1:6" ht="15" customHeight="1" x14ac:dyDescent="0.25">
      <c r="A3131" s="2352" t="s">
        <v>8536</v>
      </c>
      <c r="B3131" s="2352" t="s">
        <v>8005</v>
      </c>
      <c r="C3131" s="2352" t="s">
        <v>8005</v>
      </c>
      <c r="D3131" s="2352" t="s">
        <v>8537</v>
      </c>
      <c r="E3131" s="355" t="s">
        <v>17111</v>
      </c>
      <c r="F3131" s="1662">
        <v>22</v>
      </c>
    </row>
    <row r="3132" spans="1:6" ht="15" customHeight="1" x14ac:dyDescent="0.25">
      <c r="A3132" s="2352" t="s">
        <v>4244</v>
      </c>
      <c r="B3132" s="2352" t="s">
        <v>8005</v>
      </c>
      <c r="C3132" s="2352" t="s">
        <v>8005</v>
      </c>
      <c r="D3132" s="2352" t="s">
        <v>8538</v>
      </c>
      <c r="E3132" s="355" t="s">
        <v>17096</v>
      </c>
      <c r="F3132" s="1662">
        <v>357</v>
      </c>
    </row>
    <row r="3133" spans="1:6" ht="15" customHeight="1" x14ac:dyDescent="0.25">
      <c r="A3133" s="2352" t="s">
        <v>8539</v>
      </c>
      <c r="B3133" s="2352" t="s">
        <v>8005</v>
      </c>
      <c r="C3133" s="2352" t="s">
        <v>8005</v>
      </c>
      <c r="D3133" s="2352" t="s">
        <v>8540</v>
      </c>
      <c r="E3133" s="355" t="s">
        <v>17099</v>
      </c>
      <c r="F3133" s="1662">
        <v>87</v>
      </c>
    </row>
    <row r="3134" spans="1:6" ht="15" customHeight="1" x14ac:dyDescent="0.25">
      <c r="A3134" s="2352" t="s">
        <v>8360</v>
      </c>
      <c r="B3134" s="2352" t="s">
        <v>8005</v>
      </c>
      <c r="C3134" s="2352" t="s">
        <v>8005</v>
      </c>
      <c r="D3134" s="2352" t="s">
        <v>8541</v>
      </c>
      <c r="E3134" s="355" t="s">
        <v>17102</v>
      </c>
      <c r="F3134" s="1662">
        <v>151</v>
      </c>
    </row>
    <row r="3135" spans="1:6" ht="15" customHeight="1" x14ac:dyDescent="0.25">
      <c r="A3135" s="2352" t="s">
        <v>8457</v>
      </c>
      <c r="B3135" s="2352" t="s">
        <v>8005</v>
      </c>
      <c r="C3135" s="2352" t="s">
        <v>8005</v>
      </c>
      <c r="D3135" s="2352" t="s">
        <v>8542</v>
      </c>
      <c r="E3135" s="355" t="s">
        <v>17102</v>
      </c>
      <c r="F3135" s="1662">
        <v>124</v>
      </c>
    </row>
    <row r="3136" spans="1:6" ht="15" customHeight="1" x14ac:dyDescent="0.25">
      <c r="A3136" s="2352" t="s">
        <v>8543</v>
      </c>
      <c r="B3136" s="2352" t="s">
        <v>8005</v>
      </c>
      <c r="C3136" s="2352" t="s">
        <v>8005</v>
      </c>
      <c r="D3136" s="2352" t="s">
        <v>8544</v>
      </c>
      <c r="E3136" s="355" t="s">
        <v>17104</v>
      </c>
      <c r="F3136" s="1662">
        <v>0</v>
      </c>
    </row>
    <row r="3137" spans="1:6" ht="15" customHeight="1" x14ac:dyDescent="0.25">
      <c r="A3137" s="2352" t="s">
        <v>8080</v>
      </c>
      <c r="B3137" s="2352" t="s">
        <v>8005</v>
      </c>
      <c r="C3137" s="2352" t="s">
        <v>8005</v>
      </c>
      <c r="D3137" s="2352" t="s">
        <v>8545</v>
      </c>
      <c r="E3137" s="355" t="s">
        <v>17104</v>
      </c>
      <c r="F3137" s="1662">
        <v>17</v>
      </c>
    </row>
    <row r="3138" spans="1:6" ht="15" customHeight="1" x14ac:dyDescent="0.25">
      <c r="A3138" s="2352" t="s">
        <v>8546</v>
      </c>
      <c r="B3138" s="2352" t="s">
        <v>8005</v>
      </c>
      <c r="C3138" s="2352" t="s">
        <v>8005</v>
      </c>
      <c r="D3138" s="2352" t="s">
        <v>8547</v>
      </c>
      <c r="E3138" s="355" t="s">
        <v>17102</v>
      </c>
      <c r="F3138" s="1662">
        <v>140</v>
      </c>
    </row>
    <row r="3139" spans="1:6" ht="15" customHeight="1" x14ac:dyDescent="0.25">
      <c r="A3139" s="2352" t="s">
        <v>8087</v>
      </c>
      <c r="B3139" s="2352" t="s">
        <v>8005</v>
      </c>
      <c r="C3139" s="2352" t="s">
        <v>8005</v>
      </c>
      <c r="D3139" s="2352" t="s">
        <v>8548</v>
      </c>
      <c r="E3139" s="355" t="s">
        <v>17096</v>
      </c>
      <c r="F3139" s="1662">
        <v>396</v>
      </c>
    </row>
    <row r="3140" spans="1:6" ht="15" customHeight="1" x14ac:dyDescent="0.25">
      <c r="A3140" s="2352" t="s">
        <v>8549</v>
      </c>
      <c r="B3140" s="2352" t="s">
        <v>8005</v>
      </c>
      <c r="C3140" s="2352" t="s">
        <v>8005</v>
      </c>
      <c r="D3140" s="2352" t="s">
        <v>8550</v>
      </c>
      <c r="E3140" s="355" t="s">
        <v>17104</v>
      </c>
      <c r="F3140" s="1662">
        <v>20</v>
      </c>
    </row>
    <row r="3141" spans="1:6" ht="15" customHeight="1" x14ac:dyDescent="0.25">
      <c r="A3141" s="2352" t="s">
        <v>8551</v>
      </c>
      <c r="B3141" s="2352" t="s">
        <v>8005</v>
      </c>
      <c r="C3141" s="2352" t="s">
        <v>8005</v>
      </c>
      <c r="D3141" s="2352" t="s">
        <v>8552</v>
      </c>
      <c r="E3141" s="355" t="s">
        <v>17099</v>
      </c>
      <c r="F3141" s="1662">
        <v>89</v>
      </c>
    </row>
    <row r="3142" spans="1:6" ht="15" customHeight="1" x14ac:dyDescent="0.25">
      <c r="A3142" s="2352" t="s">
        <v>6487</v>
      </c>
      <c r="B3142" s="2352" t="s">
        <v>8005</v>
      </c>
      <c r="C3142" s="2352" t="s">
        <v>8005</v>
      </c>
      <c r="D3142" s="2352" t="s">
        <v>8553</v>
      </c>
      <c r="E3142" s="355" t="s">
        <v>8554</v>
      </c>
      <c r="F3142" s="1662">
        <v>558</v>
      </c>
    </row>
    <row r="3143" spans="1:6" ht="15" customHeight="1" x14ac:dyDescent="0.25">
      <c r="A3143" s="2352" t="s">
        <v>8546</v>
      </c>
      <c r="B3143" s="2352" t="s">
        <v>8005</v>
      </c>
      <c r="C3143" s="2352" t="s">
        <v>8005</v>
      </c>
      <c r="D3143" s="2352" t="s">
        <v>8555</v>
      </c>
      <c r="E3143" s="355" t="s">
        <v>17111</v>
      </c>
      <c r="F3143" s="1662">
        <v>6</v>
      </c>
    </row>
    <row r="3144" spans="1:6" ht="15" customHeight="1" x14ac:dyDescent="0.25">
      <c r="A3144" s="2352" t="s">
        <v>8556</v>
      </c>
      <c r="B3144" s="2352" t="s">
        <v>8005</v>
      </c>
      <c r="C3144" s="2352" t="s">
        <v>8005</v>
      </c>
      <c r="D3144" s="2352" t="s">
        <v>8557</v>
      </c>
      <c r="E3144" s="355" t="s">
        <v>8267</v>
      </c>
      <c r="F3144" s="1662">
        <v>674</v>
      </c>
    </row>
    <row r="3145" spans="1:6" ht="15" customHeight="1" x14ac:dyDescent="0.25">
      <c r="A3145" s="2352" t="s">
        <v>8201</v>
      </c>
      <c r="B3145" s="2352" t="s">
        <v>8005</v>
      </c>
      <c r="C3145" s="2352" t="s">
        <v>8005</v>
      </c>
      <c r="D3145" s="2352" t="s">
        <v>8558</v>
      </c>
      <c r="E3145" s="355" t="s">
        <v>8559</v>
      </c>
      <c r="F3145" s="1662">
        <v>1235</v>
      </c>
    </row>
    <row r="3146" spans="1:6" ht="15" customHeight="1" x14ac:dyDescent="0.25">
      <c r="A3146" s="2352" t="s">
        <v>6421</v>
      </c>
      <c r="B3146" s="2352" t="s">
        <v>8005</v>
      </c>
      <c r="C3146" s="2352" t="s">
        <v>8005</v>
      </c>
      <c r="D3146" s="2352" t="s">
        <v>8560</v>
      </c>
      <c r="E3146" s="355" t="s">
        <v>17095</v>
      </c>
      <c r="F3146" s="1662">
        <v>223</v>
      </c>
    </row>
    <row r="3147" spans="1:6" ht="15" customHeight="1" x14ac:dyDescent="0.25">
      <c r="A3147" s="2352" t="s">
        <v>8561</v>
      </c>
      <c r="B3147" s="2352" t="s">
        <v>8005</v>
      </c>
      <c r="C3147" s="2352" t="s">
        <v>8005</v>
      </c>
      <c r="D3147" s="2352" t="s">
        <v>8562</v>
      </c>
      <c r="E3147" s="355" t="s">
        <v>17098</v>
      </c>
      <c r="F3147" s="1662">
        <v>4</v>
      </c>
    </row>
    <row r="3148" spans="1:6" ht="15" customHeight="1" x14ac:dyDescent="0.25">
      <c r="A3148" s="2352" t="s">
        <v>8080</v>
      </c>
      <c r="B3148" s="2352" t="s">
        <v>8005</v>
      </c>
      <c r="C3148" s="2352" t="s">
        <v>8005</v>
      </c>
      <c r="D3148" s="2352" t="s">
        <v>8563</v>
      </c>
      <c r="E3148" s="355" t="s">
        <v>17111</v>
      </c>
      <c r="F3148" s="1662">
        <v>55</v>
      </c>
    </row>
    <row r="3149" spans="1:6" ht="15" customHeight="1" x14ac:dyDescent="0.25">
      <c r="A3149" s="2352" t="s">
        <v>8087</v>
      </c>
      <c r="B3149" s="2352" t="s">
        <v>8005</v>
      </c>
      <c r="C3149" s="2352" t="s">
        <v>8005</v>
      </c>
      <c r="D3149" s="2352" t="s">
        <v>8564</v>
      </c>
      <c r="E3149" s="355" t="s">
        <v>17099</v>
      </c>
      <c r="F3149" s="1662">
        <v>10</v>
      </c>
    </row>
    <row r="3150" spans="1:6" ht="15" customHeight="1" x14ac:dyDescent="0.25">
      <c r="A3150" s="2352" t="s">
        <v>8565</v>
      </c>
      <c r="B3150" s="2352" t="s">
        <v>8005</v>
      </c>
      <c r="C3150" s="2352" t="s">
        <v>8005</v>
      </c>
      <c r="D3150" s="2352" t="s">
        <v>8566</v>
      </c>
      <c r="E3150" s="355" t="s">
        <v>17099</v>
      </c>
      <c r="F3150" s="1662">
        <v>79</v>
      </c>
    </row>
    <row r="3151" spans="1:6" ht="15" customHeight="1" x14ac:dyDescent="0.25">
      <c r="A3151" s="2352" t="s">
        <v>8367</v>
      </c>
      <c r="B3151" s="2352" t="s">
        <v>8005</v>
      </c>
      <c r="C3151" s="2352" t="s">
        <v>8005</v>
      </c>
      <c r="D3151" s="2352" t="s">
        <v>8567</v>
      </c>
      <c r="E3151" s="355" t="s">
        <v>17102</v>
      </c>
      <c r="F3151" s="1662">
        <v>69</v>
      </c>
    </row>
    <row r="3152" spans="1:6" ht="15" customHeight="1" x14ac:dyDescent="0.25">
      <c r="A3152" s="2352" t="s">
        <v>8080</v>
      </c>
      <c r="B3152" s="2352" t="s">
        <v>8005</v>
      </c>
      <c r="C3152" s="2352" t="s">
        <v>8005</v>
      </c>
      <c r="D3152" s="2352" t="s">
        <v>8568</v>
      </c>
      <c r="E3152" s="355" t="s">
        <v>17096</v>
      </c>
      <c r="F3152" s="1662">
        <v>374</v>
      </c>
    </row>
    <row r="3153" spans="1:6" ht="15" customHeight="1" x14ac:dyDescent="0.25">
      <c r="A3153" s="2352" t="s">
        <v>8569</v>
      </c>
      <c r="B3153" s="2352" t="s">
        <v>8005</v>
      </c>
      <c r="C3153" s="2352" t="s">
        <v>8005</v>
      </c>
      <c r="D3153" s="2352" t="s">
        <v>8570</v>
      </c>
      <c r="E3153" s="355" t="s">
        <v>17104</v>
      </c>
      <c r="F3153" s="1662">
        <v>10</v>
      </c>
    </row>
    <row r="3154" spans="1:6" ht="15" customHeight="1" x14ac:dyDescent="0.25">
      <c r="A3154" s="2352" t="s">
        <v>4713</v>
      </c>
      <c r="B3154" s="2352" t="s">
        <v>8005</v>
      </c>
      <c r="C3154" s="2352" t="s">
        <v>8005</v>
      </c>
      <c r="D3154" s="2352" t="s">
        <v>8571</v>
      </c>
      <c r="E3154" s="355" t="s">
        <v>17104</v>
      </c>
      <c r="F3154" s="1662">
        <v>13</v>
      </c>
    </row>
    <row r="3155" spans="1:6" ht="15" customHeight="1" x14ac:dyDescent="0.25">
      <c r="A3155" s="2352" t="s">
        <v>8404</v>
      </c>
      <c r="B3155" s="2352" t="s">
        <v>8005</v>
      </c>
      <c r="C3155" s="2352" t="s">
        <v>8005</v>
      </c>
      <c r="D3155" s="2352" t="s">
        <v>8572</v>
      </c>
      <c r="E3155" s="355" t="s">
        <v>17095</v>
      </c>
      <c r="F3155" s="1662">
        <v>192</v>
      </c>
    </row>
    <row r="3156" spans="1:6" ht="15" customHeight="1" x14ac:dyDescent="0.25">
      <c r="A3156" s="2352" t="s">
        <v>8573</v>
      </c>
      <c r="B3156" s="2352" t="s">
        <v>8005</v>
      </c>
      <c r="C3156" s="2352" t="s">
        <v>8005</v>
      </c>
      <c r="D3156" s="2352" t="s">
        <v>8574</v>
      </c>
      <c r="E3156" s="355" t="s">
        <v>17102</v>
      </c>
      <c r="F3156" s="1662">
        <v>160</v>
      </c>
    </row>
    <row r="3157" spans="1:6" ht="15" customHeight="1" x14ac:dyDescent="0.25">
      <c r="A3157" s="2352" t="s">
        <v>5038</v>
      </c>
      <c r="B3157" s="2352" t="s">
        <v>8005</v>
      </c>
      <c r="C3157" s="2352" t="s">
        <v>8005</v>
      </c>
      <c r="D3157" s="2352" t="s">
        <v>8575</v>
      </c>
      <c r="E3157" s="355" t="s">
        <v>17100</v>
      </c>
      <c r="F3157" s="1662">
        <v>10</v>
      </c>
    </row>
    <row r="3158" spans="1:6" ht="15" customHeight="1" x14ac:dyDescent="0.25">
      <c r="A3158" s="2352" t="s">
        <v>4244</v>
      </c>
      <c r="B3158" s="2352" t="s">
        <v>8005</v>
      </c>
      <c r="C3158" s="2352" t="s">
        <v>8005</v>
      </c>
      <c r="D3158" s="2352" t="s">
        <v>8576</v>
      </c>
      <c r="E3158" s="355" t="s">
        <v>17111</v>
      </c>
      <c r="F3158" s="1662">
        <v>17</v>
      </c>
    </row>
    <row r="3159" spans="1:6" ht="15" customHeight="1" x14ac:dyDescent="0.25">
      <c r="A3159" s="2352" t="s">
        <v>8577</v>
      </c>
      <c r="B3159" s="2352" t="s">
        <v>8005</v>
      </c>
      <c r="C3159" s="2352" t="s">
        <v>8005</v>
      </c>
      <c r="D3159" s="2352" t="s">
        <v>8578</v>
      </c>
      <c r="E3159" s="355" t="s">
        <v>17104</v>
      </c>
      <c r="F3159" s="1662">
        <v>17</v>
      </c>
    </row>
    <row r="3160" spans="1:6" ht="15" customHeight="1" x14ac:dyDescent="0.25">
      <c r="A3160" s="2352" t="s">
        <v>8579</v>
      </c>
      <c r="B3160" s="2352" t="s">
        <v>8005</v>
      </c>
      <c r="C3160" s="2352" t="s">
        <v>8005</v>
      </c>
      <c r="D3160" s="2352" t="s">
        <v>8580</v>
      </c>
      <c r="E3160" s="355" t="s">
        <v>17102</v>
      </c>
      <c r="F3160" s="1662">
        <v>131</v>
      </c>
    </row>
    <row r="3161" spans="1:6" ht="15" customHeight="1" x14ac:dyDescent="0.25">
      <c r="A3161" s="2352" t="s">
        <v>7910</v>
      </c>
      <c r="B3161" s="2352" t="s">
        <v>8005</v>
      </c>
      <c r="C3161" s="2352" t="s">
        <v>8005</v>
      </c>
      <c r="D3161" s="2352" t="s">
        <v>8581</v>
      </c>
      <c r="E3161" s="355" t="s">
        <v>17095</v>
      </c>
      <c r="F3161" s="1662">
        <v>234</v>
      </c>
    </row>
    <row r="3162" spans="1:6" ht="15" customHeight="1" x14ac:dyDescent="0.25">
      <c r="A3162" s="2352" t="s">
        <v>17149</v>
      </c>
      <c r="B3162" s="2352" t="s">
        <v>8005</v>
      </c>
      <c r="C3162" s="2352" t="s">
        <v>8005</v>
      </c>
      <c r="D3162" s="2352" t="s">
        <v>8582</v>
      </c>
      <c r="E3162" s="355" t="s">
        <v>17099</v>
      </c>
      <c r="F3162" s="1662">
        <v>66</v>
      </c>
    </row>
    <row r="3163" spans="1:6" ht="15" customHeight="1" x14ac:dyDescent="0.25">
      <c r="A3163" s="2352" t="s">
        <v>8185</v>
      </c>
      <c r="B3163" s="2352" t="s">
        <v>8005</v>
      </c>
      <c r="C3163" s="2352" t="s">
        <v>8005</v>
      </c>
      <c r="D3163" s="2352" t="s">
        <v>8583</v>
      </c>
      <c r="E3163" s="355" t="s">
        <v>17099</v>
      </c>
      <c r="F3163" s="1662">
        <v>51</v>
      </c>
    </row>
    <row r="3164" spans="1:6" ht="15" customHeight="1" x14ac:dyDescent="0.25">
      <c r="A3164" s="2352" t="s">
        <v>4916</v>
      </c>
      <c r="B3164" s="2352" t="s">
        <v>8005</v>
      </c>
      <c r="C3164" s="2352" t="s">
        <v>8005</v>
      </c>
      <c r="D3164" s="2352" t="s">
        <v>8584</v>
      </c>
      <c r="E3164" s="355" t="s">
        <v>17099</v>
      </c>
      <c r="F3164" s="1662">
        <v>3</v>
      </c>
    </row>
    <row r="3165" spans="1:6" ht="15" customHeight="1" x14ac:dyDescent="0.25">
      <c r="A3165" s="2352" t="s">
        <v>8383</v>
      </c>
      <c r="B3165" s="2352" t="s">
        <v>8005</v>
      </c>
      <c r="C3165" s="2352" t="s">
        <v>8005</v>
      </c>
      <c r="D3165" s="2352" t="s">
        <v>8585</v>
      </c>
      <c r="E3165" s="355" t="s">
        <v>8267</v>
      </c>
      <c r="F3165" s="1662">
        <v>940</v>
      </c>
    </row>
    <row r="3166" spans="1:6" ht="15" customHeight="1" x14ac:dyDescent="0.25">
      <c r="A3166" s="2352" t="s">
        <v>8383</v>
      </c>
      <c r="B3166" s="2352" t="s">
        <v>8005</v>
      </c>
      <c r="C3166" s="2352" t="s">
        <v>8005</v>
      </c>
      <c r="D3166" s="2352" t="s">
        <v>8586</v>
      </c>
      <c r="E3166" s="355" t="s">
        <v>8270</v>
      </c>
      <c r="F3166" s="1662">
        <v>1450</v>
      </c>
    </row>
    <row r="3167" spans="1:6" ht="15" customHeight="1" x14ac:dyDescent="0.25">
      <c r="A3167" s="2352" t="s">
        <v>8404</v>
      </c>
      <c r="B3167" s="2352" t="s">
        <v>8005</v>
      </c>
      <c r="C3167" s="2352" t="s">
        <v>8005</v>
      </c>
      <c r="D3167" s="2352" t="s">
        <v>8587</v>
      </c>
      <c r="E3167" s="355" t="s">
        <v>17095</v>
      </c>
      <c r="F3167" s="1662">
        <v>33</v>
      </c>
    </row>
    <row r="3168" spans="1:6" ht="15" customHeight="1" x14ac:dyDescent="0.25">
      <c r="A3168" s="2352" t="s">
        <v>8326</v>
      </c>
      <c r="B3168" s="2352" t="s">
        <v>8005</v>
      </c>
      <c r="C3168" s="2352" t="s">
        <v>8005</v>
      </c>
      <c r="D3168" s="2352" t="s">
        <v>8588</v>
      </c>
      <c r="E3168" s="355" t="s">
        <v>17099</v>
      </c>
      <c r="F3168" s="1662">
        <v>92</v>
      </c>
    </row>
    <row r="3169" spans="1:6" ht="15" customHeight="1" x14ac:dyDescent="0.25">
      <c r="A3169" s="2352" t="s">
        <v>8589</v>
      </c>
      <c r="B3169" s="2352" t="s">
        <v>8005</v>
      </c>
      <c r="C3169" s="2352" t="s">
        <v>8005</v>
      </c>
      <c r="D3169" s="2352" t="s">
        <v>8590</v>
      </c>
      <c r="E3169" s="355" t="s">
        <v>17098</v>
      </c>
      <c r="F3169" s="1662">
        <v>10</v>
      </c>
    </row>
    <row r="3170" spans="1:6" ht="15" customHeight="1" x14ac:dyDescent="0.25">
      <c r="A3170" s="2352" t="s">
        <v>6487</v>
      </c>
      <c r="B3170" s="2352" t="s">
        <v>8005</v>
      </c>
      <c r="C3170" s="2352" t="s">
        <v>8005</v>
      </c>
      <c r="D3170" s="2352" t="s">
        <v>8591</v>
      </c>
      <c r="E3170" s="355" t="s">
        <v>8267</v>
      </c>
      <c r="F3170" s="1662">
        <v>924</v>
      </c>
    </row>
    <row r="3171" spans="1:6" ht="15" customHeight="1" x14ac:dyDescent="0.25">
      <c r="A3171" s="2352" t="s">
        <v>8317</v>
      </c>
      <c r="B3171" s="2352" t="s">
        <v>8005</v>
      </c>
      <c r="C3171" s="2352" t="s">
        <v>8005</v>
      </c>
      <c r="D3171" s="2352" t="s">
        <v>8592</v>
      </c>
      <c r="E3171" s="355" t="s">
        <v>17102</v>
      </c>
      <c r="F3171" s="1662">
        <v>2</v>
      </c>
    </row>
    <row r="3172" spans="1:6" ht="15" customHeight="1" x14ac:dyDescent="0.25">
      <c r="A3172" s="2352" t="s">
        <v>6703</v>
      </c>
      <c r="B3172" s="2352" t="s">
        <v>8005</v>
      </c>
      <c r="C3172" s="2352" t="s">
        <v>8005</v>
      </c>
      <c r="D3172" s="2352" t="s">
        <v>8593</v>
      </c>
      <c r="E3172" s="355" t="s">
        <v>17102</v>
      </c>
      <c r="F3172" s="1662">
        <v>97</v>
      </c>
    </row>
    <row r="3173" spans="1:6" ht="15" customHeight="1" x14ac:dyDescent="0.25">
      <c r="A3173" s="2352" t="s">
        <v>8214</v>
      </c>
      <c r="B3173" s="2352" t="s">
        <v>8005</v>
      </c>
      <c r="C3173" s="2352" t="s">
        <v>8005</v>
      </c>
      <c r="D3173" s="2352" t="s">
        <v>8594</v>
      </c>
      <c r="E3173" s="355" t="s">
        <v>17095</v>
      </c>
      <c r="F3173" s="1662">
        <v>185</v>
      </c>
    </row>
    <row r="3174" spans="1:6" ht="15" customHeight="1" x14ac:dyDescent="0.25">
      <c r="A3174" s="2352" t="s">
        <v>8595</v>
      </c>
      <c r="B3174" s="2352" t="s">
        <v>8005</v>
      </c>
      <c r="C3174" s="2352" t="s">
        <v>8005</v>
      </c>
      <c r="D3174" s="2352" t="s">
        <v>8596</v>
      </c>
      <c r="E3174" s="355" t="s">
        <v>17111</v>
      </c>
      <c r="F3174" s="1662">
        <v>23</v>
      </c>
    </row>
    <row r="3175" spans="1:6" ht="15" customHeight="1" x14ac:dyDescent="0.25">
      <c r="A3175" s="2352" t="s">
        <v>6421</v>
      </c>
      <c r="B3175" s="2352" t="s">
        <v>8005</v>
      </c>
      <c r="C3175" s="2352" t="s">
        <v>8005</v>
      </c>
      <c r="D3175" s="2352" t="s">
        <v>8597</v>
      </c>
      <c r="E3175" s="355" t="s">
        <v>17102</v>
      </c>
      <c r="F3175" s="1662">
        <v>133</v>
      </c>
    </row>
    <row r="3176" spans="1:6" ht="15" customHeight="1" x14ac:dyDescent="0.25">
      <c r="A3176" s="2352" t="s">
        <v>8598</v>
      </c>
      <c r="B3176" s="2352" t="s">
        <v>8005</v>
      </c>
      <c r="C3176" s="2352" t="s">
        <v>8005</v>
      </c>
      <c r="D3176" s="2352" t="s">
        <v>8599</v>
      </c>
      <c r="E3176" s="355" t="s">
        <v>17104</v>
      </c>
      <c r="F3176" s="1662">
        <v>14</v>
      </c>
    </row>
    <row r="3177" spans="1:6" ht="15" customHeight="1" x14ac:dyDescent="0.25">
      <c r="A3177" s="2352" t="s">
        <v>4810</v>
      </c>
      <c r="B3177" s="2352" t="s">
        <v>8005</v>
      </c>
      <c r="C3177" s="2352" t="s">
        <v>8005</v>
      </c>
      <c r="D3177" s="2352" t="s">
        <v>8600</v>
      </c>
      <c r="E3177" s="355" t="s">
        <v>17102</v>
      </c>
      <c r="F3177" s="1662">
        <v>127</v>
      </c>
    </row>
    <row r="3178" spans="1:6" ht="15" customHeight="1" x14ac:dyDescent="0.25">
      <c r="A3178" s="2352" t="s">
        <v>4810</v>
      </c>
      <c r="B3178" s="2352" t="s">
        <v>8005</v>
      </c>
      <c r="C3178" s="2352" t="s">
        <v>8005</v>
      </c>
      <c r="D3178" s="2352" t="s">
        <v>8601</v>
      </c>
      <c r="E3178" s="355" t="s">
        <v>17102</v>
      </c>
      <c r="F3178" s="1662">
        <v>117</v>
      </c>
    </row>
    <row r="3179" spans="1:6" ht="15" customHeight="1" x14ac:dyDescent="0.25">
      <c r="A3179" s="2352" t="s">
        <v>4244</v>
      </c>
      <c r="B3179" s="2352" t="s">
        <v>8005</v>
      </c>
      <c r="C3179" s="2352" t="s">
        <v>8005</v>
      </c>
      <c r="D3179" s="2352" t="s">
        <v>8602</v>
      </c>
      <c r="E3179" s="355" t="s">
        <v>17096</v>
      </c>
      <c r="F3179" s="1662">
        <v>367</v>
      </c>
    </row>
    <row r="3180" spans="1:6" ht="15" customHeight="1" x14ac:dyDescent="0.25">
      <c r="A3180" s="2352" t="s">
        <v>8212</v>
      </c>
      <c r="B3180" s="2352" t="s">
        <v>8005</v>
      </c>
      <c r="C3180" s="2352" t="s">
        <v>8005</v>
      </c>
      <c r="D3180" s="2352" t="s">
        <v>8603</v>
      </c>
      <c r="E3180" s="355" t="s">
        <v>17099</v>
      </c>
      <c r="F3180" s="1662">
        <v>30</v>
      </c>
    </row>
    <row r="3181" spans="1:6" ht="15" customHeight="1" x14ac:dyDescent="0.25">
      <c r="A3181" s="2352" t="s">
        <v>8212</v>
      </c>
      <c r="B3181" s="2352" t="s">
        <v>8005</v>
      </c>
      <c r="C3181" s="2352" t="s">
        <v>8005</v>
      </c>
      <c r="D3181" s="2352" t="s">
        <v>8604</v>
      </c>
      <c r="E3181" s="355" t="s">
        <v>17102</v>
      </c>
      <c r="F3181" s="1662">
        <v>109</v>
      </c>
    </row>
    <row r="3182" spans="1:6" ht="15" customHeight="1" x14ac:dyDescent="0.25">
      <c r="A3182" s="2352" t="s">
        <v>8165</v>
      </c>
      <c r="B3182" s="2352" t="s">
        <v>8005</v>
      </c>
      <c r="C3182" s="2352" t="s">
        <v>8005</v>
      </c>
      <c r="D3182" s="2352" t="s">
        <v>8605</v>
      </c>
      <c r="E3182" s="355" t="s">
        <v>17102</v>
      </c>
      <c r="F3182" s="1662">
        <v>114</v>
      </c>
    </row>
    <row r="3183" spans="1:6" ht="15" customHeight="1" x14ac:dyDescent="0.25">
      <c r="A3183" s="2352" t="s">
        <v>8185</v>
      </c>
      <c r="B3183" s="2352" t="s">
        <v>8005</v>
      </c>
      <c r="C3183" s="2352" t="s">
        <v>8005</v>
      </c>
      <c r="D3183" s="2352" t="s">
        <v>8606</v>
      </c>
      <c r="E3183" s="355" t="s">
        <v>17099</v>
      </c>
      <c r="F3183" s="1662">
        <v>89</v>
      </c>
    </row>
    <row r="3184" spans="1:6" ht="15" customHeight="1" x14ac:dyDescent="0.25">
      <c r="A3184" s="2352" t="s">
        <v>8255</v>
      </c>
      <c r="B3184" s="2352" t="s">
        <v>8005</v>
      </c>
      <c r="C3184" s="2352" t="s">
        <v>8005</v>
      </c>
      <c r="D3184" s="2352" t="s">
        <v>8607</v>
      </c>
      <c r="E3184" s="355" t="s">
        <v>17102</v>
      </c>
      <c r="F3184" s="1662">
        <v>134</v>
      </c>
    </row>
    <row r="3185" spans="1:6" ht="15" customHeight="1" x14ac:dyDescent="0.25">
      <c r="A3185" s="2352" t="s">
        <v>7243</v>
      </c>
      <c r="B3185" s="2352" t="s">
        <v>8005</v>
      </c>
      <c r="C3185" s="2352" t="s">
        <v>8005</v>
      </c>
      <c r="D3185" s="2352" t="s">
        <v>8608</v>
      </c>
      <c r="E3185" s="355" t="s">
        <v>17111</v>
      </c>
      <c r="F3185" s="1662">
        <v>35</v>
      </c>
    </row>
    <row r="3186" spans="1:6" ht="15" customHeight="1" x14ac:dyDescent="0.25">
      <c r="A3186" s="2352" t="s">
        <v>8609</v>
      </c>
      <c r="B3186" s="2352" t="s">
        <v>8005</v>
      </c>
      <c r="C3186" s="2352" t="s">
        <v>8005</v>
      </c>
      <c r="D3186" s="2352" t="s">
        <v>8610</v>
      </c>
      <c r="E3186" s="355" t="s">
        <v>17102</v>
      </c>
      <c r="F3186" s="1662">
        <v>72</v>
      </c>
    </row>
    <row r="3187" spans="1:6" ht="15" customHeight="1" x14ac:dyDescent="0.25">
      <c r="A3187" s="2352" t="s">
        <v>8609</v>
      </c>
      <c r="B3187" s="2352" t="s">
        <v>8005</v>
      </c>
      <c r="C3187" s="2352" t="s">
        <v>8005</v>
      </c>
      <c r="D3187" s="2352" t="s">
        <v>8611</v>
      </c>
      <c r="E3187" s="355" t="s">
        <v>17111</v>
      </c>
      <c r="F3187" s="1662">
        <v>14</v>
      </c>
    </row>
    <row r="3188" spans="1:6" ht="15" customHeight="1" x14ac:dyDescent="0.25">
      <c r="A3188" s="2352" t="s">
        <v>8165</v>
      </c>
      <c r="B3188" s="2352" t="s">
        <v>8005</v>
      </c>
      <c r="C3188" s="2352" t="s">
        <v>8005</v>
      </c>
      <c r="D3188" s="2352" t="s">
        <v>8612</v>
      </c>
      <c r="E3188" s="355" t="s">
        <v>17095</v>
      </c>
      <c r="F3188" s="1662">
        <v>192</v>
      </c>
    </row>
    <row r="3189" spans="1:6" ht="15" customHeight="1" x14ac:dyDescent="0.25">
      <c r="A3189" s="2352" t="s">
        <v>8201</v>
      </c>
      <c r="B3189" s="2352" t="s">
        <v>8005</v>
      </c>
      <c r="C3189" s="2352" t="s">
        <v>8005</v>
      </c>
      <c r="D3189" s="2352" t="s">
        <v>8613</v>
      </c>
      <c r="E3189" s="355" t="s">
        <v>17096</v>
      </c>
      <c r="F3189" s="1662">
        <v>313</v>
      </c>
    </row>
    <row r="3190" spans="1:6" ht="15" customHeight="1" x14ac:dyDescent="0.25">
      <c r="A3190" s="2352" t="s">
        <v>8614</v>
      </c>
      <c r="B3190" s="2352" t="s">
        <v>8005</v>
      </c>
      <c r="C3190" s="2352" t="s">
        <v>8005</v>
      </c>
      <c r="D3190" s="2352" t="s">
        <v>8615</v>
      </c>
      <c r="E3190" s="355" t="s">
        <v>17102</v>
      </c>
      <c r="F3190" s="1662">
        <v>75</v>
      </c>
    </row>
    <row r="3191" spans="1:6" ht="15" customHeight="1" x14ac:dyDescent="0.25">
      <c r="A3191" s="2352" t="s">
        <v>8616</v>
      </c>
      <c r="B3191" s="2352" t="s">
        <v>8005</v>
      </c>
      <c r="C3191" s="2352" t="s">
        <v>8005</v>
      </c>
      <c r="D3191" s="2352" t="s">
        <v>8617</v>
      </c>
      <c r="E3191" s="355" t="s">
        <v>17102</v>
      </c>
      <c r="F3191" s="1662">
        <v>10</v>
      </c>
    </row>
    <row r="3192" spans="1:6" ht="15" customHeight="1" x14ac:dyDescent="0.25">
      <c r="A3192" s="2352" t="s">
        <v>8618</v>
      </c>
      <c r="B3192" s="2352" t="s">
        <v>8005</v>
      </c>
      <c r="C3192" s="2352" t="s">
        <v>8005</v>
      </c>
      <c r="D3192" s="2352" t="s">
        <v>8619</v>
      </c>
      <c r="E3192" s="355" t="s">
        <v>17113</v>
      </c>
      <c r="F3192" s="1662">
        <v>1</v>
      </c>
    </row>
    <row r="3193" spans="1:6" ht="15" customHeight="1" x14ac:dyDescent="0.25">
      <c r="A3193" s="2352" t="s">
        <v>8620</v>
      </c>
      <c r="B3193" s="2352" t="s">
        <v>8005</v>
      </c>
      <c r="C3193" s="2352" t="s">
        <v>8005</v>
      </c>
      <c r="D3193" s="2352" t="s">
        <v>8621</v>
      </c>
      <c r="E3193" s="355" t="s">
        <v>17103</v>
      </c>
      <c r="F3193" s="1662">
        <v>9</v>
      </c>
    </row>
    <row r="3194" spans="1:6" ht="15" customHeight="1" x14ac:dyDescent="0.25">
      <c r="A3194" s="2352" t="s">
        <v>8622</v>
      </c>
      <c r="B3194" s="2352" t="s">
        <v>8005</v>
      </c>
      <c r="C3194" s="2352" t="s">
        <v>8005</v>
      </c>
      <c r="D3194" s="2352" t="s">
        <v>8623</v>
      </c>
      <c r="E3194" s="355" t="s">
        <v>17095</v>
      </c>
      <c r="F3194" s="1662">
        <v>72</v>
      </c>
    </row>
    <row r="3195" spans="1:6" ht="15" customHeight="1" x14ac:dyDescent="0.25">
      <c r="A3195" s="2352" t="s">
        <v>8624</v>
      </c>
      <c r="B3195" s="2352" t="s">
        <v>8005</v>
      </c>
      <c r="C3195" s="2352" t="s">
        <v>8005</v>
      </c>
      <c r="D3195" s="2352" t="s">
        <v>8625</v>
      </c>
      <c r="E3195" s="355" t="s">
        <v>17095</v>
      </c>
      <c r="F3195" s="1662">
        <v>2</v>
      </c>
    </row>
    <row r="3196" spans="1:6" ht="15" customHeight="1" x14ac:dyDescent="0.25">
      <c r="A3196" s="2352" t="s">
        <v>8146</v>
      </c>
      <c r="B3196" s="2352" t="s">
        <v>8005</v>
      </c>
      <c r="C3196" s="2352" t="s">
        <v>8005</v>
      </c>
      <c r="D3196" s="2352" t="s">
        <v>8626</v>
      </c>
      <c r="E3196" s="355" t="s">
        <v>17099</v>
      </c>
      <c r="F3196" s="1662">
        <v>91</v>
      </c>
    </row>
    <row r="3197" spans="1:6" ht="15" customHeight="1" x14ac:dyDescent="0.25">
      <c r="A3197" s="2352" t="s">
        <v>4916</v>
      </c>
      <c r="B3197" s="2352" t="s">
        <v>8005</v>
      </c>
      <c r="C3197" s="2352" t="s">
        <v>8005</v>
      </c>
      <c r="D3197" s="2352" t="s">
        <v>8627</v>
      </c>
      <c r="E3197" s="355" t="s">
        <v>17102</v>
      </c>
      <c r="F3197" s="1662">
        <v>12</v>
      </c>
    </row>
    <row r="3198" spans="1:6" ht="15" customHeight="1" x14ac:dyDescent="0.25">
      <c r="A3198" s="2352" t="s">
        <v>8628</v>
      </c>
      <c r="B3198" s="2352" t="s">
        <v>8005</v>
      </c>
      <c r="C3198" s="2352" t="s">
        <v>8005</v>
      </c>
      <c r="D3198" s="2352" t="s">
        <v>8629</v>
      </c>
      <c r="E3198" s="355" t="s">
        <v>17099</v>
      </c>
      <c r="F3198" s="1662">
        <v>67</v>
      </c>
    </row>
    <row r="3199" spans="1:6" ht="15" customHeight="1" x14ac:dyDescent="0.25">
      <c r="A3199" s="2352" t="s">
        <v>8214</v>
      </c>
      <c r="B3199" s="2352" t="s">
        <v>8005</v>
      </c>
      <c r="C3199" s="2352" t="s">
        <v>8005</v>
      </c>
      <c r="D3199" s="2352" t="s">
        <v>8630</v>
      </c>
      <c r="E3199" s="355" t="s">
        <v>17095</v>
      </c>
      <c r="F3199" s="1662">
        <v>220</v>
      </c>
    </row>
    <row r="3200" spans="1:6" ht="15" customHeight="1" x14ac:dyDescent="0.25">
      <c r="A3200" s="2352" t="s">
        <v>8289</v>
      </c>
      <c r="B3200" s="2352" t="s">
        <v>8005</v>
      </c>
      <c r="C3200" s="2352" t="s">
        <v>8005</v>
      </c>
      <c r="D3200" s="2352" t="s">
        <v>8631</v>
      </c>
      <c r="E3200" s="355" t="s">
        <v>17111</v>
      </c>
      <c r="F3200" s="1662">
        <v>60</v>
      </c>
    </row>
    <row r="3201" spans="1:6" ht="15" customHeight="1" x14ac:dyDescent="0.25">
      <c r="A3201" s="2352" t="s">
        <v>8289</v>
      </c>
      <c r="B3201" s="2352" t="s">
        <v>8005</v>
      </c>
      <c r="C3201" s="2352" t="s">
        <v>8005</v>
      </c>
      <c r="D3201" s="2352" t="s">
        <v>8632</v>
      </c>
      <c r="E3201" s="355" t="s">
        <v>17102</v>
      </c>
      <c r="F3201" s="1662">
        <v>127</v>
      </c>
    </row>
    <row r="3202" spans="1:6" ht="15" customHeight="1" x14ac:dyDescent="0.25">
      <c r="A3202" s="2352" t="s">
        <v>8633</v>
      </c>
      <c r="B3202" s="2352" t="s">
        <v>8005</v>
      </c>
      <c r="C3202" s="2352" t="s">
        <v>8005</v>
      </c>
      <c r="D3202" s="2352" t="s">
        <v>8634</v>
      </c>
      <c r="E3202" s="355" t="s">
        <v>17099</v>
      </c>
      <c r="F3202" s="1662">
        <v>27</v>
      </c>
    </row>
    <row r="3203" spans="1:6" ht="15" customHeight="1" x14ac:dyDescent="0.25">
      <c r="A3203" s="2352" t="s">
        <v>8298</v>
      </c>
      <c r="B3203" s="2352" t="s">
        <v>8005</v>
      </c>
      <c r="C3203" s="2352" t="s">
        <v>8005</v>
      </c>
      <c r="D3203" s="2352" t="s">
        <v>8635</v>
      </c>
      <c r="E3203" s="355" t="s">
        <v>17102</v>
      </c>
      <c r="F3203" s="1662">
        <v>144</v>
      </c>
    </row>
    <row r="3204" spans="1:6" ht="15" customHeight="1" x14ac:dyDescent="0.25">
      <c r="A3204" s="2352" t="s">
        <v>8025</v>
      </c>
      <c r="B3204" s="2352" t="s">
        <v>8005</v>
      </c>
      <c r="C3204" s="2352" t="s">
        <v>8005</v>
      </c>
      <c r="D3204" s="2352" t="s">
        <v>8636</v>
      </c>
      <c r="E3204" s="355" t="s">
        <v>17095</v>
      </c>
      <c r="F3204" s="1662">
        <v>232</v>
      </c>
    </row>
    <row r="3205" spans="1:6" ht="15" customHeight="1" x14ac:dyDescent="0.25">
      <c r="A3205" s="2352" t="s">
        <v>8637</v>
      </c>
      <c r="B3205" s="2352" t="s">
        <v>8005</v>
      </c>
      <c r="C3205" s="2352" t="s">
        <v>8005</v>
      </c>
      <c r="D3205" s="2352" t="s">
        <v>8638</v>
      </c>
      <c r="E3205" s="355" t="s">
        <v>17102</v>
      </c>
      <c r="F3205" s="1662">
        <v>62</v>
      </c>
    </row>
    <row r="3206" spans="1:6" ht="15" customHeight="1" x14ac:dyDescent="0.25">
      <c r="A3206" s="2352" t="s">
        <v>8639</v>
      </c>
      <c r="B3206" s="2352" t="s">
        <v>8005</v>
      </c>
      <c r="C3206" s="2352" t="s">
        <v>8005</v>
      </c>
      <c r="D3206" s="2352" t="s">
        <v>8640</v>
      </c>
      <c r="E3206" s="355" t="s">
        <v>17096</v>
      </c>
      <c r="F3206" s="1662">
        <v>340</v>
      </c>
    </row>
    <row r="3207" spans="1:6" ht="15" customHeight="1" x14ac:dyDescent="0.25">
      <c r="A3207" s="2352" t="s">
        <v>8641</v>
      </c>
      <c r="B3207" s="2352" t="s">
        <v>8005</v>
      </c>
      <c r="C3207" s="2352" t="s">
        <v>8005</v>
      </c>
      <c r="D3207" s="2352" t="s">
        <v>8642</v>
      </c>
      <c r="E3207" s="355" t="s">
        <v>17102</v>
      </c>
      <c r="F3207" s="1662">
        <v>160</v>
      </c>
    </row>
    <row r="3208" spans="1:6" ht="15" customHeight="1" x14ac:dyDescent="0.25">
      <c r="A3208" s="2352" t="s">
        <v>8546</v>
      </c>
      <c r="B3208" s="2352" t="s">
        <v>8005</v>
      </c>
      <c r="C3208" s="2352" t="s">
        <v>8005</v>
      </c>
      <c r="D3208" s="2352" t="s">
        <v>8643</v>
      </c>
      <c r="E3208" s="355" t="s">
        <v>17095</v>
      </c>
      <c r="F3208" s="1662">
        <v>45</v>
      </c>
    </row>
    <row r="3209" spans="1:6" ht="15" customHeight="1" x14ac:dyDescent="0.25">
      <c r="A3209" s="2352" t="s">
        <v>8644</v>
      </c>
      <c r="B3209" s="2352" t="s">
        <v>8005</v>
      </c>
      <c r="C3209" s="2352" t="s">
        <v>8005</v>
      </c>
      <c r="D3209" s="2352" t="s">
        <v>8645</v>
      </c>
      <c r="E3209" s="355" t="s">
        <v>17102</v>
      </c>
      <c r="F3209" s="1662">
        <v>127</v>
      </c>
    </row>
    <row r="3210" spans="1:6" ht="15" customHeight="1" x14ac:dyDescent="0.25">
      <c r="A3210" s="2352" t="s">
        <v>17150</v>
      </c>
      <c r="B3210" s="2352" t="s">
        <v>8005</v>
      </c>
      <c r="C3210" s="2352" t="s">
        <v>8005</v>
      </c>
      <c r="D3210" s="2352" t="s">
        <v>8646</v>
      </c>
      <c r="E3210" s="355" t="s">
        <v>17100</v>
      </c>
      <c r="F3210" s="1662">
        <v>1</v>
      </c>
    </row>
    <row r="3211" spans="1:6" ht="15" customHeight="1" x14ac:dyDescent="0.25">
      <c r="A3211" s="2352" t="s">
        <v>8624</v>
      </c>
      <c r="B3211" s="2352" t="s">
        <v>8005</v>
      </c>
      <c r="C3211" s="2352" t="s">
        <v>8005</v>
      </c>
      <c r="D3211" s="2352" t="s">
        <v>8647</v>
      </c>
      <c r="E3211" s="355" t="s">
        <v>17099</v>
      </c>
      <c r="F3211" s="1662">
        <v>18</v>
      </c>
    </row>
    <row r="3212" spans="1:6" ht="15" customHeight="1" x14ac:dyDescent="0.25">
      <c r="A3212" s="2352" t="s">
        <v>17151</v>
      </c>
      <c r="B3212" s="2352" t="s">
        <v>17152</v>
      </c>
      <c r="C3212" s="2352" t="s">
        <v>8648</v>
      </c>
      <c r="D3212" s="2352" t="s">
        <v>8649</v>
      </c>
      <c r="E3212" s="355">
        <v>40</v>
      </c>
      <c r="F3212" s="1662">
        <v>20</v>
      </c>
    </row>
    <row r="3213" spans="1:6" ht="15" customHeight="1" x14ac:dyDescent="0.25">
      <c r="A3213" s="2352" t="s">
        <v>17151</v>
      </c>
      <c r="B3213" s="2352" t="s">
        <v>17152</v>
      </c>
      <c r="C3213" s="2352" t="s">
        <v>8648</v>
      </c>
      <c r="D3213" s="2352" t="s">
        <v>8650</v>
      </c>
      <c r="E3213" s="355">
        <v>25</v>
      </c>
      <c r="F3213" s="1662">
        <v>25</v>
      </c>
    </row>
    <row r="3214" spans="1:6" ht="15" customHeight="1" x14ac:dyDescent="0.25">
      <c r="A3214" s="2352" t="s">
        <v>17151</v>
      </c>
      <c r="B3214" s="2352" t="s">
        <v>17152</v>
      </c>
      <c r="C3214" s="2352" t="s">
        <v>8648</v>
      </c>
      <c r="D3214" s="2352" t="s">
        <v>8652</v>
      </c>
      <c r="E3214" s="355">
        <v>400</v>
      </c>
      <c r="F3214" s="1662">
        <v>400</v>
      </c>
    </row>
    <row r="3215" spans="1:6" ht="15" customHeight="1" x14ac:dyDescent="0.25">
      <c r="A3215" s="2352" t="s">
        <v>17151</v>
      </c>
      <c r="B3215" s="2352" t="s">
        <v>17152</v>
      </c>
      <c r="C3215" s="2352" t="s">
        <v>8648</v>
      </c>
      <c r="D3215" s="2352" t="s">
        <v>8653</v>
      </c>
      <c r="E3215" s="355">
        <v>400</v>
      </c>
      <c r="F3215" s="1662">
        <v>400</v>
      </c>
    </row>
    <row r="3216" spans="1:6" ht="15" customHeight="1" x14ac:dyDescent="0.25">
      <c r="A3216" s="2352" t="s">
        <v>17151</v>
      </c>
      <c r="B3216" s="2352" t="s">
        <v>17152</v>
      </c>
      <c r="C3216" s="2352" t="s">
        <v>8648</v>
      </c>
      <c r="D3216" s="2352" t="s">
        <v>8654</v>
      </c>
      <c r="E3216" s="355">
        <v>100</v>
      </c>
      <c r="F3216" s="1662">
        <v>120</v>
      </c>
    </row>
    <row r="3217" spans="1:6" ht="15" customHeight="1" x14ac:dyDescent="0.25">
      <c r="A3217" s="2352" t="s">
        <v>17153</v>
      </c>
      <c r="B3217" s="2352" t="s">
        <v>17152</v>
      </c>
      <c r="C3217" s="2352" t="s">
        <v>8648</v>
      </c>
      <c r="D3217" s="2352" t="s">
        <v>8655</v>
      </c>
      <c r="E3217" s="355">
        <v>250</v>
      </c>
      <c r="F3217" s="1662">
        <v>200</v>
      </c>
    </row>
    <row r="3218" spans="1:6" ht="15" customHeight="1" x14ac:dyDescent="0.25">
      <c r="A3218" s="2352" t="s">
        <v>17151</v>
      </c>
      <c r="B3218" s="2352" t="s">
        <v>17152</v>
      </c>
      <c r="C3218" s="2352" t="s">
        <v>8648</v>
      </c>
      <c r="D3218" s="2352" t="s">
        <v>8656</v>
      </c>
      <c r="E3218" s="355">
        <v>100</v>
      </c>
      <c r="F3218" s="1662">
        <v>70</v>
      </c>
    </row>
    <row r="3219" spans="1:6" ht="15" customHeight="1" x14ac:dyDescent="0.25">
      <c r="A3219" s="2352" t="s">
        <v>17151</v>
      </c>
      <c r="B3219" s="2352" t="s">
        <v>17152</v>
      </c>
      <c r="C3219" s="2352" t="s">
        <v>8648</v>
      </c>
      <c r="D3219" s="2352" t="s">
        <v>8657</v>
      </c>
      <c r="E3219" s="355">
        <v>400</v>
      </c>
      <c r="F3219" s="1662">
        <v>400</v>
      </c>
    </row>
    <row r="3220" spans="1:6" ht="15" customHeight="1" x14ac:dyDescent="0.25">
      <c r="A3220" s="2352" t="s">
        <v>17151</v>
      </c>
      <c r="B3220" s="2352" t="s">
        <v>17152</v>
      </c>
      <c r="C3220" s="2352" t="s">
        <v>8648</v>
      </c>
      <c r="D3220" s="2352" t="s">
        <v>8658</v>
      </c>
      <c r="E3220" s="355">
        <v>160</v>
      </c>
      <c r="F3220" s="1662">
        <v>170</v>
      </c>
    </row>
    <row r="3221" spans="1:6" ht="15" customHeight="1" x14ac:dyDescent="0.25">
      <c r="A3221" s="2352" t="s">
        <v>17151</v>
      </c>
      <c r="B3221" s="2352" t="s">
        <v>17152</v>
      </c>
      <c r="C3221" s="2352" t="s">
        <v>8648</v>
      </c>
      <c r="D3221" s="2352" t="s">
        <v>8659</v>
      </c>
      <c r="E3221" s="355">
        <v>250</v>
      </c>
      <c r="F3221" s="1662">
        <v>190</v>
      </c>
    </row>
    <row r="3222" spans="1:6" ht="15" customHeight="1" x14ac:dyDescent="0.25">
      <c r="A3222" s="2352" t="s">
        <v>17154</v>
      </c>
      <c r="B3222" s="2352" t="s">
        <v>17152</v>
      </c>
      <c r="C3222" s="2352" t="s">
        <v>8648</v>
      </c>
      <c r="D3222" s="2352" t="s">
        <v>8660</v>
      </c>
      <c r="E3222" s="355">
        <v>160</v>
      </c>
      <c r="F3222" s="1662">
        <v>40</v>
      </c>
    </row>
    <row r="3223" spans="1:6" ht="15" customHeight="1" x14ac:dyDescent="0.25">
      <c r="A3223" s="2352" t="s">
        <v>17155</v>
      </c>
      <c r="B3223" s="2352" t="s">
        <v>17152</v>
      </c>
      <c r="C3223" s="2352" t="s">
        <v>8648</v>
      </c>
      <c r="D3223" s="2352" t="s">
        <v>8661</v>
      </c>
      <c r="E3223" s="355">
        <v>100</v>
      </c>
      <c r="F3223" s="1662">
        <v>40</v>
      </c>
    </row>
    <row r="3224" spans="1:6" ht="15" customHeight="1" x14ac:dyDescent="0.25">
      <c r="A3224" s="2352" t="s">
        <v>8662</v>
      </c>
      <c r="B3224" s="2352" t="s">
        <v>17152</v>
      </c>
      <c r="C3224" s="2352" t="s">
        <v>8648</v>
      </c>
      <c r="D3224" s="2352" t="s">
        <v>8663</v>
      </c>
      <c r="E3224" s="355">
        <v>100</v>
      </c>
      <c r="F3224" s="1662">
        <v>20</v>
      </c>
    </row>
    <row r="3225" spans="1:6" ht="15" customHeight="1" x14ac:dyDescent="0.25">
      <c r="A3225" s="2352" t="s">
        <v>17156</v>
      </c>
      <c r="B3225" s="2352" t="s">
        <v>17152</v>
      </c>
      <c r="C3225" s="2352" t="s">
        <v>8648</v>
      </c>
      <c r="D3225" s="2352" t="s">
        <v>8664</v>
      </c>
      <c r="E3225" s="355">
        <v>250</v>
      </c>
      <c r="F3225" s="1662">
        <v>100</v>
      </c>
    </row>
    <row r="3226" spans="1:6" ht="15" customHeight="1" x14ac:dyDescent="0.25">
      <c r="A3226" s="2352" t="s">
        <v>17157</v>
      </c>
      <c r="B3226" s="2352" t="s">
        <v>17152</v>
      </c>
      <c r="C3226" s="2352" t="s">
        <v>8648</v>
      </c>
      <c r="D3226" s="2352" t="s">
        <v>8665</v>
      </c>
      <c r="E3226" s="355">
        <v>100</v>
      </c>
      <c r="F3226" s="1662">
        <v>90</v>
      </c>
    </row>
    <row r="3227" spans="1:6" ht="15" customHeight="1" x14ac:dyDescent="0.25">
      <c r="A3227" s="2352" t="s">
        <v>17158</v>
      </c>
      <c r="B3227" s="2352" t="s">
        <v>17152</v>
      </c>
      <c r="C3227" s="2352" t="s">
        <v>8648</v>
      </c>
      <c r="D3227" s="2352" t="s">
        <v>8666</v>
      </c>
      <c r="E3227" s="355">
        <v>63</v>
      </c>
      <c r="F3227" s="1662">
        <v>33</v>
      </c>
    </row>
    <row r="3228" spans="1:6" ht="15" customHeight="1" x14ac:dyDescent="0.25">
      <c r="A3228" s="2352" t="s">
        <v>17159</v>
      </c>
      <c r="B3228" s="2352" t="s">
        <v>17152</v>
      </c>
      <c r="C3228" s="2352" t="s">
        <v>8648</v>
      </c>
      <c r="D3228" s="2352" t="s">
        <v>8667</v>
      </c>
      <c r="E3228" s="355">
        <v>40</v>
      </c>
      <c r="F3228" s="1662">
        <v>20</v>
      </c>
    </row>
    <row r="3229" spans="1:6" ht="15" customHeight="1" x14ac:dyDescent="0.25">
      <c r="A3229" s="2352" t="s">
        <v>8668</v>
      </c>
      <c r="B3229" s="2352" t="s">
        <v>17152</v>
      </c>
      <c r="C3229" s="2352" t="s">
        <v>8648</v>
      </c>
      <c r="D3229" s="2352" t="s">
        <v>8669</v>
      </c>
      <c r="E3229" s="355">
        <v>100</v>
      </c>
      <c r="F3229" s="1662">
        <v>100</v>
      </c>
    </row>
    <row r="3230" spans="1:6" ht="15" customHeight="1" x14ac:dyDescent="0.25">
      <c r="A3230" s="2352" t="s">
        <v>8670</v>
      </c>
      <c r="B3230" s="2352" t="s">
        <v>17152</v>
      </c>
      <c r="C3230" s="2352" t="s">
        <v>8648</v>
      </c>
      <c r="D3230" s="2352" t="s">
        <v>8671</v>
      </c>
      <c r="E3230" s="355">
        <v>60</v>
      </c>
      <c r="F3230" s="1662">
        <v>25</v>
      </c>
    </row>
    <row r="3231" spans="1:6" ht="15" customHeight="1" x14ac:dyDescent="0.25">
      <c r="A3231" s="2352" t="s">
        <v>17160</v>
      </c>
      <c r="B3231" s="2352" t="s">
        <v>17152</v>
      </c>
      <c r="C3231" s="2352" t="s">
        <v>8648</v>
      </c>
      <c r="D3231" s="2352" t="s">
        <v>8672</v>
      </c>
      <c r="E3231" s="355">
        <v>10</v>
      </c>
      <c r="F3231" s="1662">
        <v>7</v>
      </c>
    </row>
    <row r="3232" spans="1:6" ht="15" customHeight="1" x14ac:dyDescent="0.25">
      <c r="A3232" s="2352" t="s">
        <v>17161</v>
      </c>
      <c r="B3232" s="2352" t="s">
        <v>17152</v>
      </c>
      <c r="C3232" s="2352" t="s">
        <v>8648</v>
      </c>
      <c r="D3232" s="2352" t="s">
        <v>8673</v>
      </c>
      <c r="E3232" s="355">
        <v>20</v>
      </c>
      <c r="F3232" s="1662">
        <v>5</v>
      </c>
    </row>
    <row r="3233" spans="1:6" ht="15" customHeight="1" x14ac:dyDescent="0.25">
      <c r="A3233" s="2352" t="s">
        <v>17134</v>
      </c>
      <c r="B3233" s="2352" t="s">
        <v>17152</v>
      </c>
      <c r="C3233" s="2352" t="s">
        <v>8648</v>
      </c>
      <c r="D3233" s="2352" t="s">
        <v>8674</v>
      </c>
      <c r="E3233" s="355">
        <v>60</v>
      </c>
      <c r="F3233" s="1662">
        <v>2</v>
      </c>
    </row>
    <row r="3234" spans="1:6" ht="15" customHeight="1" x14ac:dyDescent="0.25">
      <c r="A3234" s="2352" t="s">
        <v>17162</v>
      </c>
      <c r="B3234" s="2352" t="s">
        <v>17152</v>
      </c>
      <c r="C3234" s="2352" t="s">
        <v>8648</v>
      </c>
      <c r="D3234" s="2352" t="s">
        <v>8675</v>
      </c>
      <c r="E3234" s="355">
        <v>160</v>
      </c>
      <c r="F3234" s="1662">
        <v>150</v>
      </c>
    </row>
    <row r="3235" spans="1:6" ht="15" customHeight="1" x14ac:dyDescent="0.25">
      <c r="A3235" s="2352" t="s">
        <v>17163</v>
      </c>
      <c r="B3235" s="2352" t="s">
        <v>17152</v>
      </c>
      <c r="C3235" s="2352" t="s">
        <v>8648</v>
      </c>
      <c r="D3235" s="2352" t="s">
        <v>8676</v>
      </c>
      <c r="E3235" s="355">
        <v>100</v>
      </c>
      <c r="F3235" s="1662">
        <v>3</v>
      </c>
    </row>
    <row r="3236" spans="1:6" ht="15" customHeight="1" x14ac:dyDescent="0.25">
      <c r="A3236" s="2352" t="s">
        <v>17164</v>
      </c>
      <c r="B3236" s="2352" t="s">
        <v>17152</v>
      </c>
      <c r="C3236" s="2352" t="s">
        <v>8648</v>
      </c>
      <c r="D3236" s="2352" t="s">
        <v>8677</v>
      </c>
      <c r="E3236" s="355">
        <v>400</v>
      </c>
      <c r="F3236" s="1662">
        <v>120</v>
      </c>
    </row>
    <row r="3237" spans="1:6" ht="15" customHeight="1" x14ac:dyDescent="0.25">
      <c r="A3237" s="2352" t="s">
        <v>17165</v>
      </c>
      <c r="B3237" s="2352" t="s">
        <v>17152</v>
      </c>
      <c r="C3237" s="2352" t="s">
        <v>8648</v>
      </c>
      <c r="D3237" s="2352" t="s">
        <v>8678</v>
      </c>
      <c r="E3237" s="355">
        <v>100</v>
      </c>
      <c r="F3237" s="1662">
        <v>70</v>
      </c>
    </row>
    <row r="3238" spans="1:6" ht="15" customHeight="1" x14ac:dyDescent="0.25">
      <c r="A3238" s="2352" t="s">
        <v>17166</v>
      </c>
      <c r="B3238" s="2352" t="s">
        <v>17152</v>
      </c>
      <c r="C3238" s="2352" t="s">
        <v>8648</v>
      </c>
      <c r="D3238" s="2352" t="s">
        <v>8679</v>
      </c>
      <c r="E3238" s="355">
        <v>160</v>
      </c>
      <c r="F3238" s="1662">
        <v>50</v>
      </c>
    </row>
    <row r="3239" spans="1:6" ht="15" customHeight="1" x14ac:dyDescent="0.25">
      <c r="A3239" s="2352" t="s">
        <v>17164</v>
      </c>
      <c r="B3239" s="2352" t="s">
        <v>17152</v>
      </c>
      <c r="C3239" s="2352" t="s">
        <v>8648</v>
      </c>
      <c r="D3239" s="2352" t="s">
        <v>8680</v>
      </c>
      <c r="E3239" s="355">
        <v>250</v>
      </c>
      <c r="F3239" s="1662">
        <v>130</v>
      </c>
    </row>
    <row r="3240" spans="1:6" ht="15" customHeight="1" x14ac:dyDescent="0.25">
      <c r="A3240" s="2352" t="s">
        <v>17164</v>
      </c>
      <c r="B3240" s="2352" t="s">
        <v>17152</v>
      </c>
      <c r="C3240" s="2352" t="s">
        <v>8648</v>
      </c>
      <c r="D3240" s="2352" t="s">
        <v>8681</v>
      </c>
      <c r="E3240" s="355">
        <v>250</v>
      </c>
      <c r="F3240" s="1662">
        <v>150</v>
      </c>
    </row>
    <row r="3241" spans="1:6" ht="15" customHeight="1" x14ac:dyDescent="0.25">
      <c r="A3241" s="2352" t="s">
        <v>17167</v>
      </c>
      <c r="B3241" s="2352" t="s">
        <v>17152</v>
      </c>
      <c r="C3241" s="2352" t="s">
        <v>8648</v>
      </c>
      <c r="D3241" s="2352" t="s">
        <v>8682</v>
      </c>
      <c r="E3241" s="355">
        <v>250</v>
      </c>
      <c r="F3241" s="1662">
        <v>68</v>
      </c>
    </row>
    <row r="3242" spans="1:6" ht="15" customHeight="1" x14ac:dyDescent="0.25">
      <c r="A3242" s="2352" t="s">
        <v>17168</v>
      </c>
      <c r="B3242" s="2352" t="s">
        <v>17152</v>
      </c>
      <c r="C3242" s="2352" t="s">
        <v>8648</v>
      </c>
      <c r="D3242" s="2352" t="s">
        <v>8683</v>
      </c>
      <c r="E3242" s="355">
        <v>160</v>
      </c>
      <c r="F3242" s="1662">
        <v>5</v>
      </c>
    </row>
    <row r="3243" spans="1:6" ht="15" customHeight="1" x14ac:dyDescent="0.25">
      <c r="A3243" s="2352" t="s">
        <v>17169</v>
      </c>
      <c r="B3243" s="2352" t="s">
        <v>17152</v>
      </c>
      <c r="C3243" s="2352" t="s">
        <v>8648</v>
      </c>
      <c r="D3243" s="2352" t="s">
        <v>8684</v>
      </c>
      <c r="E3243" s="355">
        <v>20</v>
      </c>
      <c r="F3243" s="1662">
        <v>2</v>
      </c>
    </row>
    <row r="3244" spans="1:6" ht="15" customHeight="1" x14ac:dyDescent="0.25">
      <c r="A3244" s="2352" t="s">
        <v>17170</v>
      </c>
      <c r="B3244" s="2352" t="s">
        <v>17152</v>
      </c>
      <c r="C3244" s="2352" t="s">
        <v>8648</v>
      </c>
      <c r="D3244" s="2352" t="s">
        <v>8685</v>
      </c>
      <c r="E3244" s="355">
        <v>30</v>
      </c>
      <c r="F3244" s="1662">
        <v>27</v>
      </c>
    </row>
    <row r="3245" spans="1:6" ht="15" customHeight="1" x14ac:dyDescent="0.25">
      <c r="A3245" s="2352" t="s">
        <v>17171</v>
      </c>
      <c r="B3245" s="2352" t="s">
        <v>17152</v>
      </c>
      <c r="C3245" s="2352" t="s">
        <v>8648</v>
      </c>
      <c r="D3245" s="2352" t="s">
        <v>8686</v>
      </c>
      <c r="E3245" s="355">
        <v>60</v>
      </c>
      <c r="F3245" s="1662">
        <v>60</v>
      </c>
    </row>
    <row r="3246" spans="1:6" ht="15" customHeight="1" x14ac:dyDescent="0.25">
      <c r="A3246" s="2352" t="s">
        <v>17164</v>
      </c>
      <c r="B3246" s="2352" t="s">
        <v>17152</v>
      </c>
      <c r="C3246" s="2352" t="s">
        <v>8648</v>
      </c>
      <c r="D3246" s="2352" t="s">
        <v>8687</v>
      </c>
      <c r="E3246" s="355">
        <v>400</v>
      </c>
      <c r="F3246" s="1662">
        <v>130</v>
      </c>
    </row>
    <row r="3247" spans="1:6" ht="15" customHeight="1" x14ac:dyDescent="0.25">
      <c r="A3247" s="2352" t="s">
        <v>17172</v>
      </c>
      <c r="B3247" s="2352" t="s">
        <v>17152</v>
      </c>
      <c r="C3247" s="2352" t="s">
        <v>8648</v>
      </c>
      <c r="D3247" s="2352" t="s">
        <v>8688</v>
      </c>
      <c r="E3247" s="355">
        <v>30</v>
      </c>
      <c r="F3247" s="1662">
        <v>30</v>
      </c>
    </row>
    <row r="3248" spans="1:6" ht="15" customHeight="1" x14ac:dyDescent="0.25">
      <c r="A3248" s="2352" t="s">
        <v>17173</v>
      </c>
      <c r="B3248" s="2352" t="s">
        <v>17152</v>
      </c>
      <c r="C3248" s="2352" t="s">
        <v>8648</v>
      </c>
      <c r="D3248" s="2352" t="s">
        <v>8689</v>
      </c>
      <c r="E3248" s="355">
        <v>30</v>
      </c>
      <c r="F3248" s="1662">
        <v>20</v>
      </c>
    </row>
    <row r="3249" spans="1:6" ht="15" customHeight="1" x14ac:dyDescent="0.25">
      <c r="A3249" s="2352" t="s">
        <v>8690</v>
      </c>
      <c r="B3249" s="2352" t="s">
        <v>17152</v>
      </c>
      <c r="C3249" s="2352" t="s">
        <v>8648</v>
      </c>
      <c r="D3249" s="2352" t="s">
        <v>8691</v>
      </c>
      <c r="E3249" s="355">
        <v>30</v>
      </c>
      <c r="F3249" s="1662">
        <v>21</v>
      </c>
    </row>
    <row r="3250" spans="1:6" ht="15" customHeight="1" x14ac:dyDescent="0.25">
      <c r="A3250" s="2352" t="s">
        <v>17174</v>
      </c>
      <c r="B3250" s="2352" t="s">
        <v>17152</v>
      </c>
      <c r="C3250" s="2352" t="s">
        <v>8648</v>
      </c>
      <c r="D3250" s="2352" t="s">
        <v>8692</v>
      </c>
      <c r="E3250" s="355">
        <v>30</v>
      </c>
      <c r="F3250" s="1662">
        <v>10</v>
      </c>
    </row>
    <row r="3251" spans="1:6" ht="15" customHeight="1" x14ac:dyDescent="0.25">
      <c r="A3251" s="2352" t="s">
        <v>17175</v>
      </c>
      <c r="B3251" s="2352" t="s">
        <v>17152</v>
      </c>
      <c r="C3251" s="2352" t="s">
        <v>8648</v>
      </c>
      <c r="D3251" s="2352" t="s">
        <v>8693</v>
      </c>
      <c r="E3251" s="355">
        <v>10</v>
      </c>
      <c r="F3251" s="1662">
        <v>2</v>
      </c>
    </row>
    <row r="3252" spans="1:6" ht="15" customHeight="1" x14ac:dyDescent="0.25">
      <c r="A3252" s="2352" t="s">
        <v>17156</v>
      </c>
      <c r="B3252" s="2352" t="s">
        <v>17152</v>
      </c>
      <c r="C3252" s="2352" t="s">
        <v>8648</v>
      </c>
      <c r="D3252" s="2352" t="s">
        <v>8694</v>
      </c>
      <c r="E3252" s="355">
        <v>250</v>
      </c>
      <c r="F3252" s="1662">
        <v>100</v>
      </c>
    </row>
    <row r="3253" spans="1:6" ht="15" customHeight="1" x14ac:dyDescent="0.25">
      <c r="A3253" s="2352" t="s">
        <v>7285</v>
      </c>
      <c r="B3253" s="2352" t="s">
        <v>17152</v>
      </c>
      <c r="C3253" s="2352" t="s">
        <v>8648</v>
      </c>
      <c r="D3253" s="2352" t="s">
        <v>8695</v>
      </c>
      <c r="E3253" s="355">
        <v>250</v>
      </c>
      <c r="F3253" s="1662">
        <v>170</v>
      </c>
    </row>
    <row r="3254" spans="1:6" ht="15" customHeight="1" x14ac:dyDescent="0.25">
      <c r="A3254" s="2352" t="s">
        <v>17156</v>
      </c>
      <c r="B3254" s="2352" t="s">
        <v>17152</v>
      </c>
      <c r="C3254" s="2352" t="s">
        <v>8648</v>
      </c>
      <c r="D3254" s="2352" t="s">
        <v>8696</v>
      </c>
      <c r="E3254" s="355">
        <v>160</v>
      </c>
      <c r="F3254" s="1662">
        <v>100</v>
      </c>
    </row>
    <row r="3255" spans="1:6" ht="15" customHeight="1" x14ac:dyDescent="0.25">
      <c r="A3255" s="2352" t="s">
        <v>17176</v>
      </c>
      <c r="B3255" s="2352" t="s">
        <v>17152</v>
      </c>
      <c r="C3255" s="2352" t="s">
        <v>8648</v>
      </c>
      <c r="D3255" s="2352" t="s">
        <v>8697</v>
      </c>
      <c r="E3255" s="355">
        <v>160</v>
      </c>
      <c r="F3255" s="1662">
        <v>90</v>
      </c>
    </row>
    <row r="3256" spans="1:6" ht="15" customHeight="1" x14ac:dyDescent="0.25">
      <c r="A3256" s="2352" t="s">
        <v>17177</v>
      </c>
      <c r="B3256" s="2352" t="s">
        <v>17152</v>
      </c>
      <c r="C3256" s="2352" t="s">
        <v>8648</v>
      </c>
      <c r="D3256" s="2352" t="s">
        <v>8698</v>
      </c>
      <c r="E3256" s="355">
        <v>60</v>
      </c>
      <c r="F3256" s="1662">
        <v>30</v>
      </c>
    </row>
    <row r="3257" spans="1:6" ht="15" customHeight="1" x14ac:dyDescent="0.25">
      <c r="A3257" s="2352" t="s">
        <v>17178</v>
      </c>
      <c r="B3257" s="2352" t="s">
        <v>17152</v>
      </c>
      <c r="C3257" s="2352" t="s">
        <v>8648</v>
      </c>
      <c r="D3257" s="2352" t="s">
        <v>8699</v>
      </c>
      <c r="E3257" s="355">
        <v>100</v>
      </c>
      <c r="F3257" s="1662">
        <v>15</v>
      </c>
    </row>
    <row r="3258" spans="1:6" ht="15" customHeight="1" x14ac:dyDescent="0.25">
      <c r="A3258" s="2352" t="s">
        <v>17179</v>
      </c>
      <c r="B3258" s="2352" t="s">
        <v>17152</v>
      </c>
      <c r="C3258" s="2352" t="s">
        <v>8648</v>
      </c>
      <c r="D3258" s="2352" t="s">
        <v>8700</v>
      </c>
      <c r="E3258" s="355">
        <v>30</v>
      </c>
      <c r="F3258" s="1662">
        <v>22</v>
      </c>
    </row>
    <row r="3259" spans="1:6" ht="15" customHeight="1" x14ac:dyDescent="0.25">
      <c r="A3259" s="2352" t="s">
        <v>17180</v>
      </c>
      <c r="B3259" s="2352" t="s">
        <v>17152</v>
      </c>
      <c r="C3259" s="2352" t="s">
        <v>8648</v>
      </c>
      <c r="D3259" s="2352" t="s">
        <v>8701</v>
      </c>
      <c r="E3259" s="355">
        <v>100</v>
      </c>
      <c r="F3259" s="1662">
        <v>90</v>
      </c>
    </row>
    <row r="3260" spans="1:6" ht="15" customHeight="1" x14ac:dyDescent="0.25">
      <c r="A3260" s="2352" t="s">
        <v>17181</v>
      </c>
      <c r="B3260" s="2352" t="s">
        <v>17152</v>
      </c>
      <c r="C3260" s="2352" t="s">
        <v>8648</v>
      </c>
      <c r="D3260" s="2352" t="s">
        <v>8691</v>
      </c>
      <c r="E3260" s="355">
        <v>100</v>
      </c>
      <c r="F3260" s="1662">
        <v>100</v>
      </c>
    </row>
    <row r="3261" spans="1:6" ht="15" customHeight="1" x14ac:dyDescent="0.25">
      <c r="A3261" s="2352" t="s">
        <v>17182</v>
      </c>
      <c r="B3261" s="2352" t="s">
        <v>17152</v>
      </c>
      <c r="C3261" s="2352" t="s">
        <v>8648</v>
      </c>
      <c r="D3261" s="2352" t="s">
        <v>8702</v>
      </c>
      <c r="E3261" s="355">
        <v>60</v>
      </c>
      <c r="F3261" s="1662">
        <v>5</v>
      </c>
    </row>
    <row r="3262" spans="1:6" ht="15" customHeight="1" x14ac:dyDescent="0.25">
      <c r="A3262" s="2352" t="s">
        <v>17183</v>
      </c>
      <c r="B3262" s="2352" t="s">
        <v>17152</v>
      </c>
      <c r="C3262" s="2352" t="s">
        <v>8648</v>
      </c>
      <c r="D3262" s="2352" t="s">
        <v>8703</v>
      </c>
      <c r="E3262" s="355">
        <v>400</v>
      </c>
      <c r="F3262" s="1662">
        <v>120</v>
      </c>
    </row>
    <row r="3263" spans="1:6" ht="15" customHeight="1" x14ac:dyDescent="0.25">
      <c r="A3263" s="2352" t="s">
        <v>17184</v>
      </c>
      <c r="B3263" s="2352" t="s">
        <v>17152</v>
      </c>
      <c r="C3263" s="2352" t="s">
        <v>8648</v>
      </c>
      <c r="D3263" s="2352" t="s">
        <v>8704</v>
      </c>
      <c r="E3263" s="355">
        <v>30</v>
      </c>
      <c r="F3263" s="1662">
        <v>10</v>
      </c>
    </row>
    <row r="3264" spans="1:6" ht="15" customHeight="1" x14ac:dyDescent="0.25">
      <c r="A3264" s="2352" t="s">
        <v>17185</v>
      </c>
      <c r="B3264" s="2352" t="s">
        <v>17152</v>
      </c>
      <c r="C3264" s="2352" t="s">
        <v>8648</v>
      </c>
      <c r="D3264" s="2352" t="s">
        <v>8705</v>
      </c>
      <c r="E3264" s="355">
        <v>100</v>
      </c>
      <c r="F3264" s="1662">
        <v>70</v>
      </c>
    </row>
    <row r="3265" spans="1:6" ht="15" customHeight="1" x14ac:dyDescent="0.25">
      <c r="A3265" s="2352" t="s">
        <v>17151</v>
      </c>
      <c r="B3265" s="2352" t="s">
        <v>17152</v>
      </c>
      <c r="C3265" s="2352" t="s">
        <v>8648</v>
      </c>
      <c r="D3265" s="2352" t="s">
        <v>8706</v>
      </c>
      <c r="E3265" s="355">
        <v>160</v>
      </c>
      <c r="F3265" s="1662">
        <v>95</v>
      </c>
    </row>
    <row r="3266" spans="1:6" ht="15" customHeight="1" x14ac:dyDescent="0.25">
      <c r="A3266" s="2352" t="s">
        <v>17186</v>
      </c>
      <c r="B3266" s="2352" t="s">
        <v>17152</v>
      </c>
      <c r="C3266" s="2352" t="s">
        <v>8648</v>
      </c>
      <c r="D3266" s="2352" t="s">
        <v>8707</v>
      </c>
      <c r="E3266" s="355">
        <v>30</v>
      </c>
      <c r="F3266" s="1662">
        <v>28</v>
      </c>
    </row>
    <row r="3267" spans="1:6" ht="15" customHeight="1" x14ac:dyDescent="0.25">
      <c r="A3267" s="2352" t="s">
        <v>17187</v>
      </c>
      <c r="B3267" s="2352" t="s">
        <v>17152</v>
      </c>
      <c r="C3267" s="2352" t="s">
        <v>8648</v>
      </c>
      <c r="D3267" s="2352" t="s">
        <v>8708</v>
      </c>
      <c r="E3267" s="355">
        <v>400</v>
      </c>
      <c r="F3267" s="1662">
        <v>270</v>
      </c>
    </row>
    <row r="3268" spans="1:6" ht="15" customHeight="1" x14ac:dyDescent="0.25">
      <c r="A3268" s="2352" t="s">
        <v>17188</v>
      </c>
      <c r="B3268" s="2352" t="s">
        <v>17152</v>
      </c>
      <c r="C3268" s="2352" t="s">
        <v>8648</v>
      </c>
      <c r="D3268" s="2352" t="s">
        <v>8709</v>
      </c>
      <c r="E3268" s="355">
        <v>100</v>
      </c>
      <c r="F3268" s="1662">
        <v>40</v>
      </c>
    </row>
    <row r="3269" spans="1:6" ht="15" customHeight="1" x14ac:dyDescent="0.25">
      <c r="A3269" s="2352" t="s">
        <v>17188</v>
      </c>
      <c r="B3269" s="2352" t="s">
        <v>17152</v>
      </c>
      <c r="C3269" s="2352" t="s">
        <v>8648</v>
      </c>
      <c r="D3269" s="2352" t="s">
        <v>8710</v>
      </c>
      <c r="E3269" s="355">
        <v>100</v>
      </c>
      <c r="F3269" s="1662">
        <v>40</v>
      </c>
    </row>
    <row r="3270" spans="1:6" ht="15" customHeight="1" x14ac:dyDescent="0.25">
      <c r="A3270" s="2352" t="s">
        <v>17187</v>
      </c>
      <c r="B3270" s="2352" t="s">
        <v>17152</v>
      </c>
      <c r="C3270" s="2352" t="s">
        <v>8648</v>
      </c>
      <c r="D3270" s="2352" t="s">
        <v>8711</v>
      </c>
      <c r="E3270" s="355">
        <v>400</v>
      </c>
      <c r="F3270" s="1662">
        <v>90</v>
      </c>
    </row>
    <row r="3271" spans="1:6" ht="15" customHeight="1" x14ac:dyDescent="0.25">
      <c r="A3271" s="2352" t="s">
        <v>17189</v>
      </c>
      <c r="B3271" s="2352" t="s">
        <v>17152</v>
      </c>
      <c r="C3271" s="2352" t="s">
        <v>8648</v>
      </c>
      <c r="D3271" s="2352" t="s">
        <v>8712</v>
      </c>
      <c r="E3271" s="355">
        <v>20</v>
      </c>
      <c r="F3271" s="1662">
        <v>20</v>
      </c>
    </row>
    <row r="3272" spans="1:6" ht="15" customHeight="1" x14ac:dyDescent="0.25">
      <c r="A3272" s="2352" t="s">
        <v>17151</v>
      </c>
      <c r="B3272" s="2352" t="s">
        <v>17152</v>
      </c>
      <c r="C3272" s="2352" t="s">
        <v>8648</v>
      </c>
      <c r="D3272" s="2352" t="s">
        <v>8713</v>
      </c>
      <c r="E3272" s="355">
        <v>160</v>
      </c>
      <c r="F3272" s="1662">
        <v>135</v>
      </c>
    </row>
    <row r="3273" spans="1:6" ht="15" customHeight="1" x14ac:dyDescent="0.25">
      <c r="A3273" s="2352" t="s">
        <v>17151</v>
      </c>
      <c r="B3273" s="2352" t="s">
        <v>17152</v>
      </c>
      <c r="C3273" s="2352" t="s">
        <v>8648</v>
      </c>
      <c r="D3273" s="2352" t="s">
        <v>8714</v>
      </c>
      <c r="E3273" s="355">
        <v>250</v>
      </c>
      <c r="F3273" s="1662">
        <v>127</v>
      </c>
    </row>
    <row r="3274" spans="1:6" ht="15" customHeight="1" x14ac:dyDescent="0.25">
      <c r="A3274" s="2352" t="s">
        <v>17190</v>
      </c>
      <c r="B3274" s="2352" t="s">
        <v>17152</v>
      </c>
      <c r="C3274" s="2352" t="s">
        <v>8648</v>
      </c>
      <c r="D3274" s="2352" t="s">
        <v>8715</v>
      </c>
      <c r="E3274" s="355">
        <v>160</v>
      </c>
      <c r="F3274" s="1662">
        <v>30</v>
      </c>
    </row>
    <row r="3275" spans="1:6" ht="15" customHeight="1" x14ac:dyDescent="0.25">
      <c r="A3275" s="2352" t="s">
        <v>17191</v>
      </c>
      <c r="B3275" s="2352" t="s">
        <v>17152</v>
      </c>
      <c r="C3275" s="2352" t="s">
        <v>8648</v>
      </c>
      <c r="D3275" s="2352" t="s">
        <v>8716</v>
      </c>
      <c r="E3275" s="355">
        <v>160</v>
      </c>
      <c r="F3275" s="1662">
        <v>140</v>
      </c>
    </row>
    <row r="3276" spans="1:6" ht="15" customHeight="1" x14ac:dyDescent="0.25">
      <c r="A3276" s="2352" t="s">
        <v>17192</v>
      </c>
      <c r="B3276" s="2352" t="s">
        <v>17152</v>
      </c>
      <c r="C3276" s="2352" t="s">
        <v>8648</v>
      </c>
      <c r="D3276" s="2352" t="s">
        <v>8717</v>
      </c>
      <c r="E3276" s="355">
        <v>100</v>
      </c>
      <c r="F3276" s="1662">
        <v>23</v>
      </c>
    </row>
    <row r="3277" spans="1:6" ht="15" customHeight="1" x14ac:dyDescent="0.25">
      <c r="A3277" s="2352" t="s">
        <v>17193</v>
      </c>
      <c r="B3277" s="2352" t="s">
        <v>17152</v>
      </c>
      <c r="C3277" s="2352" t="s">
        <v>8648</v>
      </c>
      <c r="D3277" s="2352" t="s">
        <v>8718</v>
      </c>
      <c r="E3277" s="355">
        <v>100</v>
      </c>
      <c r="F3277" s="1662">
        <v>80</v>
      </c>
    </row>
    <row r="3278" spans="1:6" ht="15" customHeight="1" x14ac:dyDescent="0.25">
      <c r="A3278" s="2352" t="s">
        <v>17194</v>
      </c>
      <c r="B3278" s="2352" t="s">
        <v>17152</v>
      </c>
      <c r="C3278" s="2352" t="s">
        <v>8648</v>
      </c>
      <c r="D3278" s="2352" t="s">
        <v>8719</v>
      </c>
      <c r="E3278" s="355">
        <v>250</v>
      </c>
      <c r="F3278" s="1662">
        <v>70</v>
      </c>
    </row>
    <row r="3279" spans="1:6" ht="15" customHeight="1" x14ac:dyDescent="0.25">
      <c r="A3279" s="2352" t="s">
        <v>17195</v>
      </c>
      <c r="B3279" s="2352" t="s">
        <v>17152</v>
      </c>
      <c r="C3279" s="2352" t="s">
        <v>8648</v>
      </c>
      <c r="D3279" s="2352" t="s">
        <v>8720</v>
      </c>
      <c r="E3279" s="355">
        <v>30</v>
      </c>
      <c r="F3279" s="1662">
        <v>10</v>
      </c>
    </row>
    <row r="3280" spans="1:6" ht="15" customHeight="1" x14ac:dyDescent="0.25">
      <c r="A3280" s="2352" t="s">
        <v>17196</v>
      </c>
      <c r="B3280" s="2352" t="s">
        <v>17152</v>
      </c>
      <c r="C3280" s="2352" t="s">
        <v>8648</v>
      </c>
      <c r="D3280" s="2352" t="s">
        <v>8721</v>
      </c>
      <c r="E3280" s="355">
        <v>30</v>
      </c>
      <c r="F3280" s="1662">
        <v>3</v>
      </c>
    </row>
    <row r="3281" spans="1:6" ht="15" customHeight="1" x14ac:dyDescent="0.25">
      <c r="A3281" s="2352" t="s">
        <v>17197</v>
      </c>
      <c r="B3281" s="2352" t="s">
        <v>17152</v>
      </c>
      <c r="C3281" s="2352" t="s">
        <v>8648</v>
      </c>
      <c r="D3281" s="2352" t="s">
        <v>8722</v>
      </c>
      <c r="E3281" s="355">
        <v>60</v>
      </c>
      <c r="F3281" s="1662">
        <v>5</v>
      </c>
    </row>
    <row r="3282" spans="1:6" ht="15" customHeight="1" x14ac:dyDescent="0.25">
      <c r="A3282" s="2352" t="s">
        <v>17198</v>
      </c>
      <c r="B3282" s="2352" t="s">
        <v>17152</v>
      </c>
      <c r="C3282" s="2352" t="s">
        <v>8648</v>
      </c>
      <c r="D3282" s="2352" t="s">
        <v>8723</v>
      </c>
      <c r="E3282" s="355">
        <v>160</v>
      </c>
      <c r="F3282" s="1662">
        <v>10</v>
      </c>
    </row>
    <row r="3283" spans="1:6" ht="15" customHeight="1" x14ac:dyDescent="0.25">
      <c r="A3283" s="2352" t="s">
        <v>17199</v>
      </c>
      <c r="B3283" s="2352" t="s">
        <v>17152</v>
      </c>
      <c r="C3283" s="2352" t="s">
        <v>8648</v>
      </c>
      <c r="D3283" s="2352" t="s">
        <v>8724</v>
      </c>
      <c r="E3283" s="355">
        <v>250</v>
      </c>
      <c r="F3283" s="1662">
        <v>45</v>
      </c>
    </row>
    <row r="3284" spans="1:6" ht="15" customHeight="1" x14ac:dyDescent="0.25">
      <c r="A3284" s="2352" t="s">
        <v>17200</v>
      </c>
      <c r="B3284" s="2352" t="s">
        <v>17152</v>
      </c>
      <c r="C3284" s="2352" t="s">
        <v>8648</v>
      </c>
      <c r="D3284" s="2352" t="s">
        <v>8725</v>
      </c>
      <c r="E3284" s="355">
        <v>400</v>
      </c>
      <c r="F3284" s="1662">
        <v>200</v>
      </c>
    </row>
    <row r="3285" spans="1:6" ht="15" customHeight="1" x14ac:dyDescent="0.25">
      <c r="A3285" s="2352" t="s">
        <v>17199</v>
      </c>
      <c r="B3285" s="2352" t="s">
        <v>17152</v>
      </c>
      <c r="C3285" s="2352" t="s">
        <v>8648</v>
      </c>
      <c r="D3285" s="2352" t="s">
        <v>8726</v>
      </c>
      <c r="E3285" s="355">
        <v>60</v>
      </c>
      <c r="F3285" s="1662">
        <v>10</v>
      </c>
    </row>
    <row r="3286" spans="1:6" ht="15" customHeight="1" x14ac:dyDescent="0.25">
      <c r="A3286" s="2352" t="s">
        <v>17194</v>
      </c>
      <c r="B3286" s="2352" t="s">
        <v>17152</v>
      </c>
      <c r="C3286" s="2352" t="s">
        <v>8648</v>
      </c>
      <c r="D3286" s="2352" t="s">
        <v>8727</v>
      </c>
      <c r="E3286" s="355">
        <v>250</v>
      </c>
      <c r="F3286" s="1662">
        <v>60</v>
      </c>
    </row>
    <row r="3287" spans="1:6" ht="15" customHeight="1" x14ac:dyDescent="0.25">
      <c r="A3287" s="2352" t="s">
        <v>17201</v>
      </c>
      <c r="B3287" s="2352" t="s">
        <v>17152</v>
      </c>
      <c r="C3287" s="2352" t="s">
        <v>8648</v>
      </c>
      <c r="D3287" s="2352" t="s">
        <v>8728</v>
      </c>
      <c r="E3287" s="355">
        <v>400</v>
      </c>
      <c r="F3287" s="1662">
        <v>180</v>
      </c>
    </row>
    <row r="3288" spans="1:6" ht="15" customHeight="1" x14ac:dyDescent="0.25">
      <c r="A3288" s="2352" t="s">
        <v>8729</v>
      </c>
      <c r="B3288" s="2352" t="s">
        <v>17152</v>
      </c>
      <c r="C3288" s="2352" t="s">
        <v>8648</v>
      </c>
      <c r="D3288" s="2352" t="s">
        <v>8730</v>
      </c>
      <c r="E3288" s="355">
        <v>60</v>
      </c>
      <c r="F3288" s="1662">
        <v>40</v>
      </c>
    </row>
    <row r="3289" spans="1:6" ht="15" customHeight="1" x14ac:dyDescent="0.25">
      <c r="A3289" s="2352" t="s">
        <v>17202</v>
      </c>
      <c r="B3289" s="2352" t="s">
        <v>17152</v>
      </c>
      <c r="C3289" s="2352" t="s">
        <v>8648</v>
      </c>
      <c r="D3289" s="2352" t="s">
        <v>8731</v>
      </c>
      <c r="E3289" s="355">
        <v>10</v>
      </c>
      <c r="F3289" s="1662">
        <v>6</v>
      </c>
    </row>
    <row r="3290" spans="1:6" ht="15" customHeight="1" x14ac:dyDescent="0.25">
      <c r="A3290" s="2352" t="s">
        <v>17203</v>
      </c>
      <c r="B3290" s="2352" t="s">
        <v>17152</v>
      </c>
      <c r="C3290" s="2352" t="s">
        <v>8648</v>
      </c>
      <c r="D3290" s="2352" t="s">
        <v>8732</v>
      </c>
      <c r="E3290" s="355">
        <v>100</v>
      </c>
      <c r="F3290" s="1662">
        <v>15</v>
      </c>
    </row>
    <row r="3291" spans="1:6" ht="15" customHeight="1" x14ac:dyDescent="0.25">
      <c r="A3291" s="2352" t="s">
        <v>17204</v>
      </c>
      <c r="B3291" s="2352" t="s">
        <v>17152</v>
      </c>
      <c r="C3291" s="2352" t="s">
        <v>8648</v>
      </c>
      <c r="D3291" s="2352" t="s">
        <v>8733</v>
      </c>
      <c r="E3291" s="355">
        <v>10</v>
      </c>
      <c r="F3291" s="1662">
        <v>5</v>
      </c>
    </row>
    <row r="3292" spans="1:6" ht="15" customHeight="1" x14ac:dyDescent="0.25">
      <c r="A3292" s="2352" t="s">
        <v>17205</v>
      </c>
      <c r="B3292" s="2352" t="s">
        <v>17152</v>
      </c>
      <c r="C3292" s="2352" t="s">
        <v>8648</v>
      </c>
      <c r="D3292" s="2352" t="s">
        <v>8734</v>
      </c>
      <c r="E3292" s="355">
        <v>100</v>
      </c>
      <c r="F3292" s="1662">
        <v>80</v>
      </c>
    </row>
    <row r="3293" spans="1:6" ht="15" customHeight="1" x14ac:dyDescent="0.25">
      <c r="A3293" s="2352" t="s">
        <v>17206</v>
      </c>
      <c r="B3293" s="2352" t="s">
        <v>17152</v>
      </c>
      <c r="C3293" s="2352" t="s">
        <v>8648</v>
      </c>
      <c r="D3293" s="2352" t="s">
        <v>8735</v>
      </c>
      <c r="E3293" s="355">
        <v>250</v>
      </c>
      <c r="F3293" s="1662">
        <v>20</v>
      </c>
    </row>
    <row r="3294" spans="1:6" ht="15" customHeight="1" x14ac:dyDescent="0.25">
      <c r="A3294" s="2352" t="s">
        <v>17207</v>
      </c>
      <c r="B3294" s="2352" t="s">
        <v>17152</v>
      </c>
      <c r="C3294" s="2352" t="s">
        <v>8648</v>
      </c>
      <c r="D3294" s="2352" t="s">
        <v>8736</v>
      </c>
      <c r="E3294" s="355">
        <v>60</v>
      </c>
      <c r="F3294" s="1662">
        <v>50</v>
      </c>
    </row>
    <row r="3295" spans="1:6" ht="15" customHeight="1" x14ac:dyDescent="0.25">
      <c r="A3295" s="2352" t="s">
        <v>17208</v>
      </c>
      <c r="B3295" s="2352" t="s">
        <v>17152</v>
      </c>
      <c r="C3295" s="2352" t="s">
        <v>8648</v>
      </c>
      <c r="D3295" s="2352" t="s">
        <v>8737</v>
      </c>
      <c r="E3295" s="355">
        <v>30</v>
      </c>
      <c r="F3295" s="1662">
        <v>20</v>
      </c>
    </row>
    <row r="3296" spans="1:6" ht="15" customHeight="1" x14ac:dyDescent="0.25">
      <c r="A3296" s="2352" t="s">
        <v>17209</v>
      </c>
      <c r="B3296" s="2352" t="s">
        <v>17152</v>
      </c>
      <c r="C3296" s="2352" t="s">
        <v>8648</v>
      </c>
      <c r="D3296" s="2352" t="s">
        <v>8738</v>
      </c>
      <c r="E3296" s="355">
        <v>30</v>
      </c>
      <c r="F3296" s="1662">
        <v>10</v>
      </c>
    </row>
    <row r="3297" spans="1:6" ht="15" customHeight="1" x14ac:dyDescent="0.25">
      <c r="A3297" s="2352" t="s">
        <v>17174</v>
      </c>
      <c r="B3297" s="2352" t="s">
        <v>17152</v>
      </c>
      <c r="C3297" s="2352" t="s">
        <v>8648</v>
      </c>
      <c r="D3297" s="2352" t="s">
        <v>8692</v>
      </c>
      <c r="E3297" s="355">
        <v>30</v>
      </c>
      <c r="F3297" s="1662">
        <v>5</v>
      </c>
    </row>
    <row r="3298" spans="1:6" ht="15" customHeight="1" x14ac:dyDescent="0.25">
      <c r="A3298" s="2352" t="s">
        <v>8739</v>
      </c>
      <c r="B3298" s="2352" t="s">
        <v>17152</v>
      </c>
      <c r="C3298" s="2352" t="s">
        <v>8648</v>
      </c>
      <c r="D3298" s="2352" t="s">
        <v>8740</v>
      </c>
      <c r="E3298" s="355">
        <v>60</v>
      </c>
      <c r="F3298" s="1662">
        <v>40</v>
      </c>
    </row>
    <row r="3299" spans="1:6" ht="15" customHeight="1" x14ac:dyDescent="0.25">
      <c r="A3299" s="2352" t="s">
        <v>17210</v>
      </c>
      <c r="B3299" s="2352" t="s">
        <v>17152</v>
      </c>
      <c r="C3299" s="2352" t="s">
        <v>8648</v>
      </c>
      <c r="D3299" s="2352" t="s">
        <v>8741</v>
      </c>
      <c r="E3299" s="355">
        <v>250</v>
      </c>
      <c r="F3299" s="1662">
        <v>180</v>
      </c>
    </row>
    <row r="3300" spans="1:6" ht="15" customHeight="1" x14ac:dyDescent="0.25">
      <c r="A3300" s="2352" t="s">
        <v>17211</v>
      </c>
      <c r="B3300" s="2352" t="s">
        <v>17152</v>
      </c>
      <c r="C3300" s="2352" t="s">
        <v>8648</v>
      </c>
      <c r="D3300" s="2352" t="s">
        <v>8742</v>
      </c>
      <c r="E3300" s="355">
        <v>160</v>
      </c>
      <c r="F3300" s="1662">
        <v>60</v>
      </c>
    </row>
    <row r="3301" spans="1:6" ht="15" customHeight="1" x14ac:dyDescent="0.25">
      <c r="A3301" s="2352" t="s">
        <v>17212</v>
      </c>
      <c r="B3301" s="2352" t="s">
        <v>17152</v>
      </c>
      <c r="C3301" s="2352" t="s">
        <v>8648</v>
      </c>
      <c r="D3301" s="2352" t="s">
        <v>8743</v>
      </c>
      <c r="E3301" s="355">
        <v>400</v>
      </c>
      <c r="F3301" s="1662">
        <v>200</v>
      </c>
    </row>
    <row r="3302" spans="1:6" ht="15" customHeight="1" x14ac:dyDescent="0.25">
      <c r="A3302" s="2352" t="s">
        <v>17213</v>
      </c>
      <c r="B3302" s="2352" t="s">
        <v>17152</v>
      </c>
      <c r="C3302" s="2352" t="s">
        <v>8648</v>
      </c>
      <c r="D3302" s="2352" t="s">
        <v>8744</v>
      </c>
      <c r="E3302" s="355">
        <v>60</v>
      </c>
      <c r="F3302" s="1662">
        <v>50</v>
      </c>
    </row>
    <row r="3303" spans="1:6" ht="15" customHeight="1" x14ac:dyDescent="0.25">
      <c r="A3303" s="2352" t="s">
        <v>17214</v>
      </c>
      <c r="B3303" s="2352" t="s">
        <v>17152</v>
      </c>
      <c r="C3303" s="2352" t="s">
        <v>8648</v>
      </c>
      <c r="D3303" s="2352" t="s">
        <v>8745</v>
      </c>
      <c r="E3303" s="355">
        <v>160</v>
      </c>
      <c r="F3303" s="1662">
        <v>28</v>
      </c>
    </row>
    <row r="3304" spans="1:6" ht="15" customHeight="1" x14ac:dyDescent="0.25">
      <c r="A3304" s="2352" t="s">
        <v>17215</v>
      </c>
      <c r="B3304" s="2352" t="s">
        <v>17152</v>
      </c>
      <c r="C3304" s="2352" t="s">
        <v>8648</v>
      </c>
      <c r="D3304" s="2352" t="s">
        <v>8746</v>
      </c>
      <c r="E3304" s="355">
        <v>160</v>
      </c>
      <c r="F3304" s="1662">
        <v>60</v>
      </c>
    </row>
    <row r="3305" spans="1:6" ht="15" customHeight="1" x14ac:dyDescent="0.25">
      <c r="A3305" s="2352" t="s">
        <v>17212</v>
      </c>
      <c r="B3305" s="2352" t="s">
        <v>17152</v>
      </c>
      <c r="C3305" s="2352" t="s">
        <v>8648</v>
      </c>
      <c r="D3305" s="2352" t="s">
        <v>8747</v>
      </c>
      <c r="E3305" s="355">
        <v>250</v>
      </c>
      <c r="F3305" s="1662">
        <v>230</v>
      </c>
    </row>
    <row r="3306" spans="1:6" ht="15" customHeight="1" x14ac:dyDescent="0.25">
      <c r="A3306" s="2352" t="s">
        <v>17216</v>
      </c>
      <c r="B3306" s="2352" t="s">
        <v>17152</v>
      </c>
      <c r="C3306" s="2352" t="s">
        <v>8648</v>
      </c>
      <c r="D3306" s="2352" t="s">
        <v>8748</v>
      </c>
      <c r="E3306" s="355">
        <v>250</v>
      </c>
      <c r="F3306" s="1662">
        <v>45</v>
      </c>
    </row>
    <row r="3307" spans="1:6" ht="15" customHeight="1" x14ac:dyDescent="0.25">
      <c r="A3307" s="2352" t="s">
        <v>17217</v>
      </c>
      <c r="B3307" s="2352" t="s">
        <v>17152</v>
      </c>
      <c r="C3307" s="2352" t="s">
        <v>8648</v>
      </c>
      <c r="D3307" s="2352" t="s">
        <v>8749</v>
      </c>
      <c r="E3307" s="355">
        <v>160</v>
      </c>
      <c r="F3307" s="1662">
        <v>104</v>
      </c>
    </row>
    <row r="3308" spans="1:6" ht="15" customHeight="1" x14ac:dyDescent="0.25">
      <c r="A3308" s="2352" t="s">
        <v>17218</v>
      </c>
      <c r="B3308" s="2352" t="s">
        <v>17152</v>
      </c>
      <c r="C3308" s="2352" t="s">
        <v>8648</v>
      </c>
      <c r="D3308" s="2352" t="s">
        <v>8750</v>
      </c>
      <c r="E3308" s="355">
        <v>400</v>
      </c>
      <c r="F3308" s="1662">
        <v>260</v>
      </c>
    </row>
    <row r="3309" spans="1:6" ht="15" customHeight="1" x14ac:dyDescent="0.25">
      <c r="A3309" s="2352" t="s">
        <v>17215</v>
      </c>
      <c r="B3309" s="2352" t="s">
        <v>17152</v>
      </c>
      <c r="C3309" s="2352" t="s">
        <v>8648</v>
      </c>
      <c r="D3309" s="2352" t="s">
        <v>8751</v>
      </c>
      <c r="E3309" s="355">
        <v>400</v>
      </c>
      <c r="F3309" s="1662">
        <v>220</v>
      </c>
    </row>
    <row r="3310" spans="1:6" ht="15" customHeight="1" x14ac:dyDescent="0.25">
      <c r="A3310" s="2352" t="s">
        <v>17219</v>
      </c>
      <c r="B3310" s="2352" t="s">
        <v>17152</v>
      </c>
      <c r="C3310" s="2352" t="s">
        <v>8648</v>
      </c>
      <c r="D3310" s="2352" t="s">
        <v>8752</v>
      </c>
      <c r="E3310" s="355">
        <v>60</v>
      </c>
      <c r="F3310" s="1662">
        <v>10</v>
      </c>
    </row>
    <row r="3311" spans="1:6" ht="15" customHeight="1" x14ac:dyDescent="0.25">
      <c r="A3311" s="2352" t="s">
        <v>17220</v>
      </c>
      <c r="B3311" s="2352" t="s">
        <v>17152</v>
      </c>
      <c r="C3311" s="2352" t="s">
        <v>8648</v>
      </c>
      <c r="D3311" s="2352" t="s">
        <v>8753</v>
      </c>
      <c r="E3311" s="355">
        <v>250</v>
      </c>
      <c r="F3311" s="1662">
        <v>48</v>
      </c>
    </row>
    <row r="3312" spans="1:6" ht="15" customHeight="1" x14ac:dyDescent="0.25">
      <c r="A3312" s="2352" t="s">
        <v>17221</v>
      </c>
      <c r="B3312" s="2352" t="s">
        <v>17152</v>
      </c>
      <c r="C3312" s="2352" t="s">
        <v>8648</v>
      </c>
      <c r="D3312" s="2352" t="s">
        <v>8754</v>
      </c>
      <c r="E3312" s="355">
        <v>100</v>
      </c>
      <c r="F3312" s="1662">
        <v>71</v>
      </c>
    </row>
    <row r="3313" spans="1:6" ht="15" customHeight="1" x14ac:dyDescent="0.25">
      <c r="A3313" s="2352" t="s">
        <v>17222</v>
      </c>
      <c r="B3313" s="2352" t="s">
        <v>17152</v>
      </c>
      <c r="C3313" s="2352" t="s">
        <v>8648</v>
      </c>
      <c r="D3313" s="2352" t="s">
        <v>8755</v>
      </c>
      <c r="E3313" s="355">
        <v>60</v>
      </c>
      <c r="F3313" s="1662">
        <v>40</v>
      </c>
    </row>
    <row r="3314" spans="1:6" ht="15" customHeight="1" x14ac:dyDescent="0.25">
      <c r="A3314" s="2352" t="s">
        <v>17223</v>
      </c>
      <c r="B3314" s="2352" t="s">
        <v>17152</v>
      </c>
      <c r="C3314" s="2352" t="s">
        <v>8648</v>
      </c>
      <c r="D3314" s="2352" t="s">
        <v>8756</v>
      </c>
      <c r="E3314" s="355">
        <v>60</v>
      </c>
      <c r="F3314" s="1662">
        <v>36</v>
      </c>
    </row>
    <row r="3315" spans="1:6" ht="15" customHeight="1" x14ac:dyDescent="0.25">
      <c r="A3315" s="2352" t="s">
        <v>5038</v>
      </c>
      <c r="B3315" s="2352" t="s">
        <v>17152</v>
      </c>
      <c r="C3315" s="2352" t="s">
        <v>8648</v>
      </c>
      <c r="D3315" s="2352" t="s">
        <v>8757</v>
      </c>
      <c r="E3315" s="355">
        <v>50</v>
      </c>
      <c r="F3315" s="1662">
        <v>2</v>
      </c>
    </row>
    <row r="3316" spans="1:6" ht="15" customHeight="1" x14ac:dyDescent="0.25">
      <c r="A3316" s="2352" t="s">
        <v>17183</v>
      </c>
      <c r="B3316" s="2352" t="s">
        <v>17152</v>
      </c>
      <c r="C3316" s="2352" t="s">
        <v>8648</v>
      </c>
      <c r="D3316" s="2352" t="s">
        <v>8758</v>
      </c>
      <c r="E3316" s="355">
        <v>160</v>
      </c>
      <c r="F3316" s="1662">
        <v>80</v>
      </c>
    </row>
    <row r="3317" spans="1:6" ht="15" customHeight="1" x14ac:dyDescent="0.25">
      <c r="A3317" s="2352" t="s">
        <v>8759</v>
      </c>
      <c r="B3317" s="2352" t="s">
        <v>17152</v>
      </c>
      <c r="C3317" s="2352" t="s">
        <v>8648</v>
      </c>
      <c r="D3317" s="2352" t="s">
        <v>8760</v>
      </c>
      <c r="E3317" s="355">
        <v>630</v>
      </c>
      <c r="F3317" s="1662">
        <v>200</v>
      </c>
    </row>
    <row r="3318" spans="1:6" ht="15" customHeight="1" x14ac:dyDescent="0.25">
      <c r="A3318" s="2352" t="s">
        <v>17183</v>
      </c>
      <c r="B3318" s="2352" t="s">
        <v>17152</v>
      </c>
      <c r="C3318" s="2352" t="s">
        <v>8648</v>
      </c>
      <c r="D3318" s="2352" t="s">
        <v>8761</v>
      </c>
      <c r="E3318" s="355">
        <v>400</v>
      </c>
      <c r="F3318" s="1662">
        <v>120</v>
      </c>
    </row>
    <row r="3319" spans="1:6" ht="15" customHeight="1" x14ac:dyDescent="0.25">
      <c r="A3319" s="2352" t="s">
        <v>8762</v>
      </c>
      <c r="B3319" s="2352" t="s">
        <v>17152</v>
      </c>
      <c r="C3319" s="2352" t="s">
        <v>8648</v>
      </c>
      <c r="D3319" s="2352" t="s">
        <v>8763</v>
      </c>
      <c r="E3319" s="355">
        <v>40</v>
      </c>
      <c r="F3319" s="1662">
        <v>33</v>
      </c>
    </row>
    <row r="3320" spans="1:6" ht="15" customHeight="1" x14ac:dyDescent="0.25">
      <c r="A3320" s="2352" t="s">
        <v>17224</v>
      </c>
      <c r="B3320" s="2352" t="s">
        <v>17152</v>
      </c>
      <c r="C3320" s="2352" t="s">
        <v>8648</v>
      </c>
      <c r="D3320" s="2352" t="s">
        <v>8764</v>
      </c>
      <c r="E3320" s="355">
        <v>20</v>
      </c>
      <c r="F3320" s="1662">
        <v>5</v>
      </c>
    </row>
    <row r="3321" spans="1:6" ht="15" customHeight="1" x14ac:dyDescent="0.25">
      <c r="A3321" s="2352" t="s">
        <v>17225</v>
      </c>
      <c r="B3321" s="2352" t="s">
        <v>17152</v>
      </c>
      <c r="C3321" s="2352" t="s">
        <v>8648</v>
      </c>
      <c r="D3321" s="2352" t="s">
        <v>8765</v>
      </c>
      <c r="E3321" s="355">
        <v>30</v>
      </c>
      <c r="F3321" s="1662">
        <v>10</v>
      </c>
    </row>
    <row r="3322" spans="1:6" ht="15" customHeight="1" x14ac:dyDescent="0.25">
      <c r="A3322" s="2352" t="s">
        <v>17226</v>
      </c>
      <c r="B3322" s="2352" t="s">
        <v>17152</v>
      </c>
      <c r="C3322" s="2352" t="s">
        <v>8648</v>
      </c>
      <c r="D3322" s="2352" t="s">
        <v>8766</v>
      </c>
      <c r="E3322" s="355">
        <v>100</v>
      </c>
      <c r="F3322" s="1662">
        <v>100</v>
      </c>
    </row>
    <row r="3323" spans="1:6" ht="15" customHeight="1" x14ac:dyDescent="0.25">
      <c r="A3323" s="2352" t="s">
        <v>17227</v>
      </c>
      <c r="B3323" s="2352" t="s">
        <v>17152</v>
      </c>
      <c r="C3323" s="2352" t="s">
        <v>8648</v>
      </c>
      <c r="D3323" s="2352" t="s">
        <v>8767</v>
      </c>
      <c r="E3323" s="355">
        <v>60</v>
      </c>
      <c r="F3323" s="1662">
        <v>20</v>
      </c>
    </row>
    <row r="3324" spans="1:6" ht="15" customHeight="1" x14ac:dyDescent="0.25">
      <c r="A3324" s="2352" t="s">
        <v>17228</v>
      </c>
      <c r="B3324" s="2352" t="s">
        <v>17152</v>
      </c>
      <c r="C3324" s="2352" t="s">
        <v>8648</v>
      </c>
      <c r="D3324" s="2352" t="s">
        <v>8768</v>
      </c>
      <c r="E3324" s="355">
        <v>100</v>
      </c>
      <c r="F3324" s="1662">
        <v>80</v>
      </c>
    </row>
    <row r="3325" spans="1:6" ht="15" customHeight="1" x14ac:dyDescent="0.25">
      <c r="A3325" s="2352" t="s">
        <v>17164</v>
      </c>
      <c r="B3325" s="2352" t="s">
        <v>17152</v>
      </c>
      <c r="C3325" s="2352" t="s">
        <v>8648</v>
      </c>
      <c r="D3325" s="2352" t="s">
        <v>8687</v>
      </c>
      <c r="E3325" s="355">
        <v>400</v>
      </c>
      <c r="F3325" s="1662">
        <v>230</v>
      </c>
    </row>
    <row r="3326" spans="1:6" ht="15" customHeight="1" x14ac:dyDescent="0.25">
      <c r="A3326" s="2352" t="s">
        <v>17229</v>
      </c>
      <c r="B3326" s="2352" t="s">
        <v>17152</v>
      </c>
      <c r="C3326" s="2352" t="s">
        <v>8648</v>
      </c>
      <c r="D3326" s="2352" t="s">
        <v>8769</v>
      </c>
      <c r="E3326" s="355">
        <v>160</v>
      </c>
      <c r="F3326" s="1662">
        <v>150</v>
      </c>
    </row>
    <row r="3327" spans="1:6" ht="15" customHeight="1" x14ac:dyDescent="0.25">
      <c r="A3327" s="2352" t="s">
        <v>17230</v>
      </c>
      <c r="B3327" s="2352" t="s">
        <v>17152</v>
      </c>
      <c r="C3327" s="2352" t="s">
        <v>8648</v>
      </c>
      <c r="D3327" s="2352" t="s">
        <v>8770</v>
      </c>
      <c r="E3327" s="355">
        <v>100</v>
      </c>
      <c r="F3327" s="1662">
        <v>40</v>
      </c>
    </row>
    <row r="3328" spans="1:6" ht="15" customHeight="1" x14ac:dyDescent="0.25">
      <c r="A3328" s="2352" t="s">
        <v>17231</v>
      </c>
      <c r="B3328" s="2352" t="s">
        <v>17152</v>
      </c>
      <c r="C3328" s="2352" t="s">
        <v>8648</v>
      </c>
      <c r="D3328" s="2352" t="s">
        <v>8771</v>
      </c>
      <c r="E3328" s="355">
        <v>30</v>
      </c>
      <c r="F3328" s="1662">
        <v>20</v>
      </c>
    </row>
    <row r="3329" spans="1:6" ht="15" customHeight="1" x14ac:dyDescent="0.25">
      <c r="A3329" s="2352" t="s">
        <v>17228</v>
      </c>
      <c r="B3329" s="2352" t="s">
        <v>17152</v>
      </c>
      <c r="C3329" s="2352" t="s">
        <v>8648</v>
      </c>
      <c r="D3329" s="2352" t="s">
        <v>8772</v>
      </c>
      <c r="E3329" s="355">
        <v>30</v>
      </c>
      <c r="F3329" s="1662">
        <v>25</v>
      </c>
    </row>
    <row r="3330" spans="1:6" ht="15" customHeight="1" x14ac:dyDescent="0.25">
      <c r="A3330" s="2352" t="s">
        <v>17226</v>
      </c>
      <c r="B3330" s="2352" t="s">
        <v>17152</v>
      </c>
      <c r="C3330" s="2352" t="s">
        <v>8648</v>
      </c>
      <c r="D3330" s="2352" t="s">
        <v>8773</v>
      </c>
      <c r="E3330" s="355">
        <v>30</v>
      </c>
      <c r="F3330" s="1662">
        <v>30</v>
      </c>
    </row>
    <row r="3331" spans="1:6" ht="15" customHeight="1" x14ac:dyDescent="0.25">
      <c r="A3331" s="2352" t="s">
        <v>17232</v>
      </c>
      <c r="B3331" s="2352" t="s">
        <v>17152</v>
      </c>
      <c r="C3331" s="2352" t="s">
        <v>8648</v>
      </c>
      <c r="D3331" s="2352" t="s">
        <v>8774</v>
      </c>
      <c r="E3331" s="355">
        <v>40</v>
      </c>
      <c r="F3331" s="1662">
        <v>20</v>
      </c>
    </row>
    <row r="3332" spans="1:6" ht="15" customHeight="1" x14ac:dyDescent="0.25">
      <c r="A3332" s="2352" t="s">
        <v>17233</v>
      </c>
      <c r="B3332" s="2352" t="s">
        <v>17152</v>
      </c>
      <c r="C3332" s="2352" t="s">
        <v>8648</v>
      </c>
      <c r="D3332" s="2352" t="s">
        <v>8775</v>
      </c>
      <c r="E3332" s="355">
        <v>60</v>
      </c>
      <c r="F3332" s="1662">
        <v>20</v>
      </c>
    </row>
    <row r="3333" spans="1:6" ht="15" customHeight="1" x14ac:dyDescent="0.25">
      <c r="A3333" s="2352" t="s">
        <v>17234</v>
      </c>
      <c r="B3333" s="2352" t="s">
        <v>17152</v>
      </c>
      <c r="C3333" s="2352" t="s">
        <v>8648</v>
      </c>
      <c r="D3333" s="2352" t="s">
        <v>8776</v>
      </c>
      <c r="E3333" s="355">
        <v>60</v>
      </c>
      <c r="F3333" s="1662">
        <v>40</v>
      </c>
    </row>
    <row r="3334" spans="1:6" ht="15" customHeight="1" x14ac:dyDescent="0.25">
      <c r="A3334" s="2352" t="s">
        <v>17235</v>
      </c>
      <c r="B3334" s="2352" t="s">
        <v>17152</v>
      </c>
      <c r="C3334" s="2352" t="s">
        <v>8648</v>
      </c>
      <c r="D3334" s="2352" t="s">
        <v>8777</v>
      </c>
      <c r="E3334" s="355">
        <v>60</v>
      </c>
      <c r="F3334" s="1662">
        <v>10</v>
      </c>
    </row>
    <row r="3335" spans="1:6" ht="15" customHeight="1" x14ac:dyDescent="0.25">
      <c r="A3335" s="2352" t="s">
        <v>17226</v>
      </c>
      <c r="B3335" s="2352" t="s">
        <v>17152</v>
      </c>
      <c r="C3335" s="2352" t="s">
        <v>8648</v>
      </c>
      <c r="D3335" s="2352" t="s">
        <v>8778</v>
      </c>
      <c r="E3335" s="355">
        <v>400</v>
      </c>
      <c r="F3335" s="1662">
        <v>140</v>
      </c>
    </row>
    <row r="3336" spans="1:6" ht="15" customHeight="1" x14ac:dyDescent="0.25">
      <c r="A3336" s="2352" t="s">
        <v>17236</v>
      </c>
      <c r="B3336" s="2352" t="s">
        <v>17152</v>
      </c>
      <c r="C3336" s="2352" t="s">
        <v>8648</v>
      </c>
      <c r="D3336" s="2352" t="s">
        <v>8779</v>
      </c>
      <c r="E3336" s="355">
        <v>30</v>
      </c>
      <c r="F3336" s="1662">
        <v>5</v>
      </c>
    </row>
    <row r="3337" spans="1:6" ht="15" customHeight="1" x14ac:dyDescent="0.25">
      <c r="A3337" s="2352" t="s">
        <v>17237</v>
      </c>
      <c r="B3337" s="2352" t="s">
        <v>17152</v>
      </c>
      <c r="C3337" s="2352" t="s">
        <v>8648</v>
      </c>
      <c r="D3337" s="2352" t="s">
        <v>8780</v>
      </c>
      <c r="E3337" s="355">
        <v>63</v>
      </c>
      <c r="F3337" s="1662">
        <v>40</v>
      </c>
    </row>
    <row r="3338" spans="1:6" ht="15" customHeight="1" x14ac:dyDescent="0.25">
      <c r="A3338" s="2352" t="s">
        <v>17238</v>
      </c>
      <c r="B3338" s="2352" t="s">
        <v>17152</v>
      </c>
      <c r="C3338" s="2352" t="s">
        <v>8648</v>
      </c>
      <c r="D3338" s="2352" t="s">
        <v>8781</v>
      </c>
      <c r="E3338" s="355">
        <v>400</v>
      </c>
      <c r="F3338" s="1662">
        <v>90</v>
      </c>
    </row>
    <row r="3339" spans="1:6" ht="15" customHeight="1" x14ac:dyDescent="0.25">
      <c r="A3339" s="2352" t="s">
        <v>17239</v>
      </c>
      <c r="B3339" s="2352" t="s">
        <v>17152</v>
      </c>
      <c r="C3339" s="2352" t="s">
        <v>8648</v>
      </c>
      <c r="D3339" s="2352" t="s">
        <v>8782</v>
      </c>
      <c r="E3339" s="355">
        <v>60</v>
      </c>
      <c r="F3339" s="1662">
        <v>30</v>
      </c>
    </row>
    <row r="3340" spans="1:6" ht="15" customHeight="1" x14ac:dyDescent="0.25">
      <c r="A3340" s="2352" t="s">
        <v>17164</v>
      </c>
      <c r="B3340" s="2352" t="s">
        <v>17152</v>
      </c>
      <c r="C3340" s="2352" t="s">
        <v>8648</v>
      </c>
      <c r="D3340" s="2352" t="s">
        <v>8783</v>
      </c>
      <c r="E3340" s="355">
        <v>160</v>
      </c>
      <c r="F3340" s="1662">
        <v>100</v>
      </c>
    </row>
    <row r="3341" spans="1:6" ht="15" customHeight="1" x14ac:dyDescent="0.25">
      <c r="A3341" s="2352" t="s">
        <v>8784</v>
      </c>
      <c r="B3341" s="2352" t="s">
        <v>17152</v>
      </c>
      <c r="C3341" s="2352" t="s">
        <v>8648</v>
      </c>
      <c r="D3341" s="2352" t="s">
        <v>8785</v>
      </c>
      <c r="E3341" s="355">
        <v>100</v>
      </c>
      <c r="F3341" s="1662">
        <v>55</v>
      </c>
    </row>
    <row r="3342" spans="1:6" ht="15" customHeight="1" x14ac:dyDescent="0.25">
      <c r="A3342" s="2352" t="s">
        <v>17240</v>
      </c>
      <c r="B3342" s="2352" t="s">
        <v>17152</v>
      </c>
      <c r="C3342" s="2352" t="s">
        <v>8648</v>
      </c>
      <c r="D3342" s="2352" t="s">
        <v>8786</v>
      </c>
      <c r="E3342" s="355">
        <v>100</v>
      </c>
      <c r="F3342" s="1662">
        <v>80</v>
      </c>
    </row>
    <row r="3343" spans="1:6" ht="15" customHeight="1" x14ac:dyDescent="0.25">
      <c r="A3343" s="2352" t="s">
        <v>17241</v>
      </c>
      <c r="B3343" s="2352" t="s">
        <v>17152</v>
      </c>
      <c r="C3343" s="2352" t="s">
        <v>8648</v>
      </c>
      <c r="D3343" s="2352" t="s">
        <v>8787</v>
      </c>
      <c r="E3343" s="355">
        <v>60</v>
      </c>
      <c r="F3343" s="1662">
        <v>15</v>
      </c>
    </row>
    <row r="3344" spans="1:6" ht="15" customHeight="1" x14ac:dyDescent="0.25">
      <c r="A3344" s="2352" t="s">
        <v>8788</v>
      </c>
      <c r="B3344" s="2352" t="s">
        <v>17152</v>
      </c>
      <c r="C3344" s="2352" t="s">
        <v>8648</v>
      </c>
      <c r="D3344" s="2352" t="s">
        <v>8789</v>
      </c>
      <c r="E3344" s="355">
        <v>100</v>
      </c>
      <c r="F3344" s="1662">
        <v>3</v>
      </c>
    </row>
    <row r="3345" spans="1:6" ht="15" customHeight="1" x14ac:dyDescent="0.25">
      <c r="A3345" s="2352" t="s">
        <v>17242</v>
      </c>
      <c r="B3345" s="2352" t="s">
        <v>17152</v>
      </c>
      <c r="C3345" s="2352" t="s">
        <v>8648</v>
      </c>
      <c r="D3345" s="2352" t="s">
        <v>8790</v>
      </c>
      <c r="E3345" s="355">
        <v>400</v>
      </c>
      <c r="F3345" s="1662">
        <v>135</v>
      </c>
    </row>
    <row r="3346" spans="1:6" ht="15" customHeight="1" x14ac:dyDescent="0.25">
      <c r="A3346" s="2352" t="s">
        <v>7987</v>
      </c>
      <c r="B3346" s="2352" t="s">
        <v>17152</v>
      </c>
      <c r="C3346" s="2352" t="s">
        <v>8648</v>
      </c>
      <c r="D3346" s="2352" t="s">
        <v>8791</v>
      </c>
      <c r="E3346" s="355">
        <v>250</v>
      </c>
      <c r="F3346" s="1662">
        <v>140</v>
      </c>
    </row>
    <row r="3347" spans="1:6" ht="15" customHeight="1" x14ac:dyDescent="0.25">
      <c r="A3347" s="2352" t="s">
        <v>17243</v>
      </c>
      <c r="B3347" s="2352" t="s">
        <v>17152</v>
      </c>
      <c r="C3347" s="2352" t="s">
        <v>8648</v>
      </c>
      <c r="D3347" s="2352" t="s">
        <v>8792</v>
      </c>
      <c r="E3347" s="355">
        <v>100</v>
      </c>
      <c r="F3347" s="1662">
        <v>60</v>
      </c>
    </row>
    <row r="3348" spans="1:6" ht="15" customHeight="1" x14ac:dyDescent="0.25">
      <c r="A3348" s="2352" t="s">
        <v>17243</v>
      </c>
      <c r="B3348" s="2352" t="s">
        <v>17152</v>
      </c>
      <c r="C3348" s="2352" t="s">
        <v>8648</v>
      </c>
      <c r="D3348" s="2352" t="s">
        <v>8793</v>
      </c>
      <c r="E3348" s="355">
        <v>160</v>
      </c>
      <c r="F3348" s="1662">
        <v>0</v>
      </c>
    </row>
    <row r="3349" spans="1:6" ht="15" customHeight="1" x14ac:dyDescent="0.25">
      <c r="A3349" s="2352" t="s">
        <v>17215</v>
      </c>
      <c r="B3349" s="2352" t="s">
        <v>17152</v>
      </c>
      <c r="C3349" s="2352" t="s">
        <v>8648</v>
      </c>
      <c r="D3349" s="2352" t="s">
        <v>8794</v>
      </c>
      <c r="E3349" s="355">
        <v>250</v>
      </c>
      <c r="F3349" s="1662">
        <v>80</v>
      </c>
    </row>
    <row r="3350" spans="1:6" ht="15" customHeight="1" x14ac:dyDescent="0.25">
      <c r="A3350" s="2352" t="s">
        <v>17244</v>
      </c>
      <c r="B3350" s="2352" t="s">
        <v>17152</v>
      </c>
      <c r="C3350" s="2352" t="s">
        <v>8648</v>
      </c>
      <c r="D3350" s="2352" t="s">
        <v>8795</v>
      </c>
      <c r="E3350" s="355">
        <v>100</v>
      </c>
      <c r="F3350" s="1662">
        <v>30</v>
      </c>
    </row>
    <row r="3351" spans="1:6" ht="15" customHeight="1" x14ac:dyDescent="0.25">
      <c r="A3351" s="2352" t="s">
        <v>17164</v>
      </c>
      <c r="B3351" s="2352" t="s">
        <v>17152</v>
      </c>
      <c r="C3351" s="2352" t="s">
        <v>8648</v>
      </c>
      <c r="D3351" s="2352" t="s">
        <v>8796</v>
      </c>
      <c r="E3351" s="355">
        <v>400</v>
      </c>
      <c r="F3351" s="1662">
        <v>90</v>
      </c>
    </row>
    <row r="3352" spans="1:6" ht="15" customHeight="1" x14ac:dyDescent="0.25">
      <c r="A3352" s="2352" t="s">
        <v>17245</v>
      </c>
      <c r="B3352" s="2352" t="s">
        <v>17152</v>
      </c>
      <c r="C3352" s="2352" t="s">
        <v>8648</v>
      </c>
      <c r="D3352" s="2352" t="s">
        <v>8797</v>
      </c>
      <c r="E3352" s="355">
        <v>30</v>
      </c>
      <c r="F3352" s="1662">
        <v>2</v>
      </c>
    </row>
    <row r="3353" spans="1:6" ht="15" customHeight="1" x14ac:dyDescent="0.25">
      <c r="A3353" s="2352" t="s">
        <v>17246</v>
      </c>
      <c r="B3353" s="2352" t="s">
        <v>17152</v>
      </c>
      <c r="C3353" s="2352" t="s">
        <v>8648</v>
      </c>
      <c r="D3353" s="2352" t="s">
        <v>8798</v>
      </c>
      <c r="E3353" s="355">
        <v>30</v>
      </c>
      <c r="F3353" s="1662">
        <v>22</v>
      </c>
    </row>
    <row r="3354" spans="1:6" ht="15" customHeight="1" x14ac:dyDescent="0.25">
      <c r="A3354" s="2352" t="s">
        <v>17247</v>
      </c>
      <c r="B3354" s="2352" t="s">
        <v>17152</v>
      </c>
      <c r="C3354" s="2352" t="s">
        <v>8648</v>
      </c>
      <c r="D3354" s="2352" t="s">
        <v>8799</v>
      </c>
      <c r="E3354" s="355">
        <v>40</v>
      </c>
      <c r="F3354" s="1662">
        <v>37</v>
      </c>
    </row>
    <row r="3355" spans="1:6" ht="15" customHeight="1" x14ac:dyDescent="0.25">
      <c r="A3355" s="2352" t="s">
        <v>17247</v>
      </c>
      <c r="B3355" s="2352" t="s">
        <v>17152</v>
      </c>
      <c r="C3355" s="2352" t="s">
        <v>8648</v>
      </c>
      <c r="D3355" s="2352" t="s">
        <v>8800</v>
      </c>
      <c r="E3355" s="355">
        <v>100</v>
      </c>
      <c r="F3355" s="1662">
        <v>60</v>
      </c>
    </row>
    <row r="3356" spans="1:6" ht="15" customHeight="1" x14ac:dyDescent="0.25">
      <c r="A3356" s="2352" t="s">
        <v>17240</v>
      </c>
      <c r="B3356" s="2352" t="s">
        <v>17152</v>
      </c>
      <c r="C3356" s="2352" t="s">
        <v>8648</v>
      </c>
      <c r="D3356" s="2352" t="s">
        <v>8801</v>
      </c>
      <c r="E3356" s="355">
        <v>100</v>
      </c>
      <c r="F3356" s="1662">
        <v>40</v>
      </c>
    </row>
    <row r="3357" spans="1:6" ht="15" customHeight="1" x14ac:dyDescent="0.25">
      <c r="A3357" s="2352" t="s">
        <v>17248</v>
      </c>
      <c r="B3357" s="2352" t="s">
        <v>17152</v>
      </c>
      <c r="C3357" s="2352" t="s">
        <v>8648</v>
      </c>
      <c r="D3357" s="2352" t="s">
        <v>8802</v>
      </c>
      <c r="E3357" s="355">
        <v>60</v>
      </c>
      <c r="F3357" s="1662">
        <v>18</v>
      </c>
    </row>
    <row r="3358" spans="1:6" ht="15" customHeight="1" x14ac:dyDescent="0.25">
      <c r="A3358" s="2352" t="s">
        <v>8803</v>
      </c>
      <c r="B3358" s="2352" t="s">
        <v>17152</v>
      </c>
      <c r="C3358" s="2352" t="s">
        <v>8648</v>
      </c>
      <c r="D3358" s="2352" t="s">
        <v>8804</v>
      </c>
      <c r="E3358" s="355">
        <v>30</v>
      </c>
      <c r="F3358" s="1662">
        <v>5</v>
      </c>
    </row>
    <row r="3359" spans="1:6" ht="15" customHeight="1" x14ac:dyDescent="0.25">
      <c r="A3359" s="2352" t="s">
        <v>17151</v>
      </c>
      <c r="B3359" s="2352" t="s">
        <v>17152</v>
      </c>
      <c r="C3359" s="2352" t="s">
        <v>8648</v>
      </c>
      <c r="D3359" s="2352" t="s">
        <v>8805</v>
      </c>
      <c r="E3359" s="355">
        <v>250</v>
      </c>
      <c r="F3359" s="1662">
        <v>100</v>
      </c>
    </row>
    <row r="3360" spans="1:6" ht="15" customHeight="1" x14ac:dyDescent="0.25">
      <c r="A3360" s="2352" t="s">
        <v>17151</v>
      </c>
      <c r="B3360" s="2352" t="s">
        <v>17152</v>
      </c>
      <c r="C3360" s="2352" t="s">
        <v>8648</v>
      </c>
      <c r="D3360" s="2352" t="s">
        <v>8806</v>
      </c>
      <c r="E3360" s="355">
        <v>250</v>
      </c>
      <c r="F3360" s="1662">
        <v>90</v>
      </c>
    </row>
    <row r="3361" spans="1:6" ht="15" customHeight="1" x14ac:dyDescent="0.25">
      <c r="A3361" s="2352" t="s">
        <v>17151</v>
      </c>
      <c r="B3361" s="2352" t="s">
        <v>17152</v>
      </c>
      <c r="C3361" s="2352" t="s">
        <v>8648</v>
      </c>
      <c r="D3361" s="2352" t="s">
        <v>8807</v>
      </c>
      <c r="E3361" s="355">
        <v>250</v>
      </c>
      <c r="F3361" s="1662">
        <v>190</v>
      </c>
    </row>
    <row r="3362" spans="1:6" ht="15" customHeight="1" x14ac:dyDescent="0.25">
      <c r="A3362" s="2352" t="s">
        <v>17249</v>
      </c>
      <c r="B3362" s="2352" t="s">
        <v>17152</v>
      </c>
      <c r="C3362" s="2352" t="s">
        <v>8648</v>
      </c>
      <c r="D3362" s="2352" t="s">
        <v>8808</v>
      </c>
      <c r="E3362" s="355">
        <v>100</v>
      </c>
      <c r="F3362" s="1662">
        <v>50</v>
      </c>
    </row>
    <row r="3363" spans="1:6" ht="15" customHeight="1" x14ac:dyDescent="0.25">
      <c r="A3363" s="2352" t="s">
        <v>8809</v>
      </c>
      <c r="B3363" s="2352" t="s">
        <v>17152</v>
      </c>
      <c r="C3363" s="2352" t="s">
        <v>8648</v>
      </c>
      <c r="D3363" s="2352" t="s">
        <v>8810</v>
      </c>
      <c r="E3363" s="355">
        <v>250</v>
      </c>
      <c r="F3363" s="1662">
        <v>160</v>
      </c>
    </row>
    <row r="3364" spans="1:6" ht="15" customHeight="1" x14ac:dyDescent="0.25">
      <c r="A3364" s="2352" t="s">
        <v>8811</v>
      </c>
      <c r="B3364" s="2352" t="s">
        <v>17152</v>
      </c>
      <c r="C3364" s="2352" t="s">
        <v>8648</v>
      </c>
      <c r="D3364" s="2352" t="s">
        <v>8812</v>
      </c>
      <c r="E3364" s="355">
        <v>250</v>
      </c>
      <c r="F3364" s="1662">
        <v>80</v>
      </c>
    </row>
    <row r="3365" spans="1:6" ht="15" customHeight="1" x14ac:dyDescent="0.25">
      <c r="A3365" s="2352" t="s">
        <v>8813</v>
      </c>
      <c r="B3365" s="2352" t="s">
        <v>17152</v>
      </c>
      <c r="C3365" s="2352" t="s">
        <v>8648</v>
      </c>
      <c r="D3365" s="2352" t="s">
        <v>8814</v>
      </c>
      <c r="E3365" s="355">
        <v>30</v>
      </c>
      <c r="F3365" s="1662">
        <v>5</v>
      </c>
    </row>
    <row r="3366" spans="1:6" ht="15" customHeight="1" x14ac:dyDescent="0.25">
      <c r="A3366" s="2352" t="s">
        <v>6415</v>
      </c>
      <c r="B3366" s="2352" t="s">
        <v>17152</v>
      </c>
      <c r="C3366" s="2352" t="s">
        <v>8648</v>
      </c>
      <c r="D3366" s="2352" t="s">
        <v>8815</v>
      </c>
      <c r="E3366" s="355">
        <v>60</v>
      </c>
      <c r="F3366" s="1662">
        <v>18</v>
      </c>
    </row>
    <row r="3367" spans="1:6" ht="15" customHeight="1" x14ac:dyDescent="0.25">
      <c r="A3367" s="2352" t="s">
        <v>17151</v>
      </c>
      <c r="B3367" s="2352" t="s">
        <v>17152</v>
      </c>
      <c r="C3367" s="2352" t="s">
        <v>8648</v>
      </c>
      <c r="D3367" s="2352" t="s">
        <v>8816</v>
      </c>
      <c r="E3367" s="355">
        <v>100</v>
      </c>
      <c r="F3367" s="1662">
        <v>85</v>
      </c>
    </row>
    <row r="3368" spans="1:6" ht="15" customHeight="1" x14ac:dyDescent="0.25">
      <c r="A3368" s="2352" t="s">
        <v>17151</v>
      </c>
      <c r="B3368" s="2352" t="s">
        <v>17152</v>
      </c>
      <c r="C3368" s="2352" t="s">
        <v>8648</v>
      </c>
      <c r="D3368" s="2352" t="s">
        <v>8817</v>
      </c>
      <c r="E3368" s="355">
        <v>160</v>
      </c>
      <c r="F3368" s="1662">
        <v>80</v>
      </c>
    </row>
    <row r="3369" spans="1:6" ht="15" customHeight="1" x14ac:dyDescent="0.25">
      <c r="A3369" s="2352" t="s">
        <v>17250</v>
      </c>
      <c r="B3369" s="2352" t="s">
        <v>17152</v>
      </c>
      <c r="C3369" s="2352" t="s">
        <v>8648</v>
      </c>
      <c r="D3369" s="2352" t="s">
        <v>8818</v>
      </c>
      <c r="E3369" s="355">
        <v>160</v>
      </c>
      <c r="F3369" s="1662">
        <v>80</v>
      </c>
    </row>
    <row r="3370" spans="1:6" ht="15" customHeight="1" x14ac:dyDescent="0.25">
      <c r="A3370" s="2352" t="s">
        <v>17251</v>
      </c>
      <c r="B3370" s="2352" t="s">
        <v>17152</v>
      </c>
      <c r="C3370" s="2352" t="s">
        <v>8648</v>
      </c>
      <c r="D3370" s="2352" t="s">
        <v>8819</v>
      </c>
      <c r="E3370" s="355">
        <v>400</v>
      </c>
      <c r="F3370" s="1662">
        <v>200</v>
      </c>
    </row>
    <row r="3371" spans="1:6" ht="15" customHeight="1" x14ac:dyDescent="0.25">
      <c r="A3371" s="2352" t="s">
        <v>17252</v>
      </c>
      <c r="B3371" s="2352" t="s">
        <v>17152</v>
      </c>
      <c r="C3371" s="2352" t="s">
        <v>8648</v>
      </c>
      <c r="D3371" s="2352" t="s">
        <v>8820</v>
      </c>
      <c r="E3371" s="355">
        <v>160</v>
      </c>
      <c r="F3371" s="1662">
        <v>50</v>
      </c>
    </row>
    <row r="3372" spans="1:6" ht="15" customHeight="1" x14ac:dyDescent="0.25">
      <c r="A3372" s="2352" t="s">
        <v>17253</v>
      </c>
      <c r="B3372" s="2352" t="s">
        <v>17152</v>
      </c>
      <c r="C3372" s="2352" t="s">
        <v>8648</v>
      </c>
      <c r="D3372" s="2352" t="s">
        <v>8821</v>
      </c>
      <c r="E3372" s="355">
        <v>250</v>
      </c>
      <c r="F3372" s="1662">
        <v>40</v>
      </c>
    </row>
    <row r="3373" spans="1:6" ht="15" customHeight="1" x14ac:dyDescent="0.25">
      <c r="A3373" s="2352" t="s">
        <v>17250</v>
      </c>
      <c r="B3373" s="2352" t="s">
        <v>17152</v>
      </c>
      <c r="C3373" s="2352" t="s">
        <v>8648</v>
      </c>
      <c r="D3373" s="2352" t="s">
        <v>8822</v>
      </c>
      <c r="E3373" s="355">
        <v>630</v>
      </c>
      <c r="F3373" s="1662">
        <v>260</v>
      </c>
    </row>
    <row r="3374" spans="1:6" ht="15" customHeight="1" x14ac:dyDescent="0.25">
      <c r="A3374" s="2352" t="s">
        <v>17252</v>
      </c>
      <c r="B3374" s="2352" t="s">
        <v>17152</v>
      </c>
      <c r="C3374" s="2352" t="s">
        <v>8648</v>
      </c>
      <c r="D3374" s="2352" t="s">
        <v>8823</v>
      </c>
      <c r="E3374" s="355">
        <v>400</v>
      </c>
      <c r="F3374" s="1662">
        <v>50</v>
      </c>
    </row>
    <row r="3375" spans="1:6" ht="15" customHeight="1" x14ac:dyDescent="0.25">
      <c r="A3375" s="2352" t="s">
        <v>17254</v>
      </c>
      <c r="B3375" s="2352" t="s">
        <v>17152</v>
      </c>
      <c r="C3375" s="2352" t="s">
        <v>8648</v>
      </c>
      <c r="D3375" s="2352" t="s">
        <v>8824</v>
      </c>
      <c r="E3375" s="355">
        <v>250</v>
      </c>
      <c r="F3375" s="1662">
        <v>200</v>
      </c>
    </row>
    <row r="3376" spans="1:6" ht="15" customHeight="1" x14ac:dyDescent="0.25">
      <c r="A3376" s="2352" t="s">
        <v>17252</v>
      </c>
      <c r="B3376" s="2352" t="s">
        <v>17152</v>
      </c>
      <c r="C3376" s="2352" t="s">
        <v>8648</v>
      </c>
      <c r="D3376" s="2352" t="s">
        <v>8825</v>
      </c>
      <c r="E3376" s="355">
        <v>100</v>
      </c>
      <c r="F3376" s="1662">
        <v>75</v>
      </c>
    </row>
    <row r="3377" spans="1:6" ht="15" customHeight="1" x14ac:dyDescent="0.25">
      <c r="A3377" s="2352" t="s">
        <v>17250</v>
      </c>
      <c r="B3377" s="2352" t="s">
        <v>17152</v>
      </c>
      <c r="C3377" s="2352" t="s">
        <v>8648</v>
      </c>
      <c r="D3377" s="2352" t="s">
        <v>8826</v>
      </c>
      <c r="E3377" s="355">
        <v>640</v>
      </c>
      <c r="F3377" s="1662">
        <v>90</v>
      </c>
    </row>
    <row r="3378" spans="1:6" ht="15" customHeight="1" x14ac:dyDescent="0.25">
      <c r="A3378" s="2352" t="s">
        <v>17255</v>
      </c>
      <c r="B3378" s="2352" t="s">
        <v>17152</v>
      </c>
      <c r="C3378" s="2352" t="s">
        <v>8648</v>
      </c>
      <c r="D3378" s="2352" t="s">
        <v>8827</v>
      </c>
      <c r="E3378" s="355">
        <v>400</v>
      </c>
      <c r="F3378" s="1662">
        <v>230</v>
      </c>
    </row>
    <row r="3379" spans="1:6" ht="15" customHeight="1" x14ac:dyDescent="0.25">
      <c r="A3379" s="2352" t="s">
        <v>17256</v>
      </c>
      <c r="B3379" s="2352" t="s">
        <v>17152</v>
      </c>
      <c r="C3379" s="2352" t="s">
        <v>8648</v>
      </c>
      <c r="D3379" s="2352" t="s">
        <v>8828</v>
      </c>
      <c r="E3379" s="355">
        <v>60</v>
      </c>
      <c r="F3379" s="1662">
        <v>24</v>
      </c>
    </row>
    <row r="3380" spans="1:6" ht="15" customHeight="1" x14ac:dyDescent="0.25">
      <c r="A3380" s="2352" t="s">
        <v>17252</v>
      </c>
      <c r="B3380" s="2352" t="s">
        <v>17152</v>
      </c>
      <c r="C3380" s="2352" t="s">
        <v>8648</v>
      </c>
      <c r="D3380" s="2352" t="s">
        <v>8829</v>
      </c>
      <c r="E3380" s="355">
        <v>250</v>
      </c>
      <c r="F3380" s="1662">
        <v>50</v>
      </c>
    </row>
    <row r="3381" spans="1:6" ht="15" customHeight="1" x14ac:dyDescent="0.25">
      <c r="A3381" s="2352" t="s">
        <v>17257</v>
      </c>
      <c r="B3381" s="2352" t="s">
        <v>17152</v>
      </c>
      <c r="C3381" s="2352" t="s">
        <v>8648</v>
      </c>
      <c r="D3381" s="2352" t="s">
        <v>8830</v>
      </c>
      <c r="E3381" s="355">
        <v>63</v>
      </c>
      <c r="F3381" s="1662">
        <v>30</v>
      </c>
    </row>
    <row r="3382" spans="1:6" ht="15" customHeight="1" x14ac:dyDescent="0.25">
      <c r="A3382" s="2352" t="s">
        <v>17258</v>
      </c>
      <c r="B3382" s="2352" t="s">
        <v>17152</v>
      </c>
      <c r="C3382" s="2352" t="s">
        <v>8648</v>
      </c>
      <c r="D3382" s="2352" t="s">
        <v>8831</v>
      </c>
      <c r="E3382" s="355">
        <v>160</v>
      </c>
      <c r="F3382" s="1662">
        <v>56</v>
      </c>
    </row>
    <row r="3383" spans="1:6" ht="15" customHeight="1" x14ac:dyDescent="0.25">
      <c r="A3383" s="2352" t="s">
        <v>17259</v>
      </c>
      <c r="B3383" s="2352" t="s">
        <v>17152</v>
      </c>
      <c r="C3383" s="2352" t="s">
        <v>8648</v>
      </c>
      <c r="D3383" s="2352" t="s">
        <v>8832</v>
      </c>
      <c r="E3383" s="355">
        <v>100</v>
      </c>
      <c r="F3383" s="1662">
        <v>70</v>
      </c>
    </row>
    <row r="3384" spans="1:6" ht="15" customHeight="1" x14ac:dyDescent="0.25">
      <c r="A3384" s="2352" t="s">
        <v>17260</v>
      </c>
      <c r="B3384" s="2352" t="s">
        <v>17152</v>
      </c>
      <c r="C3384" s="2352" t="s">
        <v>8648</v>
      </c>
      <c r="D3384" s="2352" t="s">
        <v>8833</v>
      </c>
      <c r="E3384" s="355">
        <v>10</v>
      </c>
      <c r="F3384" s="1662">
        <v>2</v>
      </c>
    </row>
    <row r="3385" spans="1:6" ht="15" customHeight="1" x14ac:dyDescent="0.25">
      <c r="A3385" s="2352" t="s">
        <v>17261</v>
      </c>
      <c r="B3385" s="2352" t="s">
        <v>17152</v>
      </c>
      <c r="C3385" s="2352" t="s">
        <v>8648</v>
      </c>
      <c r="D3385" s="2352" t="s">
        <v>8834</v>
      </c>
      <c r="E3385" s="355">
        <v>100</v>
      </c>
      <c r="F3385" s="1662">
        <v>25</v>
      </c>
    </row>
    <row r="3386" spans="1:6" ht="15" customHeight="1" x14ac:dyDescent="0.25">
      <c r="A3386" s="2352" t="s">
        <v>17262</v>
      </c>
      <c r="B3386" s="2352" t="s">
        <v>17152</v>
      </c>
      <c r="C3386" s="2352" t="s">
        <v>8648</v>
      </c>
      <c r="D3386" s="2352" t="s">
        <v>8835</v>
      </c>
      <c r="E3386" s="355">
        <v>30</v>
      </c>
      <c r="F3386" s="1662">
        <v>2</v>
      </c>
    </row>
    <row r="3387" spans="1:6" ht="15" customHeight="1" x14ac:dyDescent="0.25">
      <c r="A3387" s="2352" t="s">
        <v>8836</v>
      </c>
      <c r="B3387" s="2352" t="s">
        <v>17152</v>
      </c>
      <c r="C3387" s="2352" t="s">
        <v>8648</v>
      </c>
      <c r="D3387" s="2352" t="s">
        <v>8837</v>
      </c>
      <c r="E3387" s="355">
        <v>100</v>
      </c>
      <c r="F3387" s="1662">
        <v>63</v>
      </c>
    </row>
    <row r="3388" spans="1:6" ht="15" customHeight="1" x14ac:dyDescent="0.25">
      <c r="A3388" s="2352" t="s">
        <v>17263</v>
      </c>
      <c r="B3388" s="2352" t="s">
        <v>17152</v>
      </c>
      <c r="C3388" s="2352" t="s">
        <v>8648</v>
      </c>
      <c r="D3388" s="2352" t="s">
        <v>8838</v>
      </c>
      <c r="E3388" s="355">
        <v>160</v>
      </c>
      <c r="F3388" s="1662">
        <v>20</v>
      </c>
    </row>
    <row r="3389" spans="1:6" ht="15" customHeight="1" x14ac:dyDescent="0.25">
      <c r="A3389" s="2352" t="s">
        <v>17264</v>
      </c>
      <c r="B3389" s="2352" t="s">
        <v>17152</v>
      </c>
      <c r="C3389" s="2352" t="s">
        <v>8648</v>
      </c>
      <c r="D3389" s="2352" t="s">
        <v>8839</v>
      </c>
      <c r="E3389" s="355">
        <v>400</v>
      </c>
      <c r="F3389" s="1662">
        <v>20</v>
      </c>
    </row>
    <row r="3390" spans="1:6" ht="15" customHeight="1" x14ac:dyDescent="0.25">
      <c r="A3390" s="2352" t="s">
        <v>17265</v>
      </c>
      <c r="B3390" s="2352" t="s">
        <v>17152</v>
      </c>
      <c r="C3390" s="2352" t="s">
        <v>8648</v>
      </c>
      <c r="D3390" s="2352" t="s">
        <v>8840</v>
      </c>
      <c r="E3390" s="355">
        <v>250</v>
      </c>
      <c r="F3390" s="1662">
        <v>95</v>
      </c>
    </row>
    <row r="3391" spans="1:6" ht="15" customHeight="1" x14ac:dyDescent="0.25">
      <c r="A3391" s="2352" t="s">
        <v>17266</v>
      </c>
      <c r="B3391" s="2352" t="s">
        <v>17152</v>
      </c>
      <c r="C3391" s="2352" t="s">
        <v>8648</v>
      </c>
      <c r="D3391" s="2352" t="s">
        <v>8841</v>
      </c>
      <c r="E3391" s="355">
        <v>160</v>
      </c>
      <c r="F3391" s="1662">
        <v>45</v>
      </c>
    </row>
    <row r="3392" spans="1:6" ht="15" customHeight="1" x14ac:dyDescent="0.25">
      <c r="A3392" s="2352" t="s">
        <v>17265</v>
      </c>
      <c r="B3392" s="2352" t="s">
        <v>17152</v>
      </c>
      <c r="C3392" s="2352" t="s">
        <v>8648</v>
      </c>
      <c r="D3392" s="2352" t="s">
        <v>8842</v>
      </c>
      <c r="E3392" s="355">
        <v>250</v>
      </c>
      <c r="F3392" s="1662">
        <v>170</v>
      </c>
    </row>
    <row r="3393" spans="1:6" ht="15" customHeight="1" x14ac:dyDescent="0.25">
      <c r="A3393" s="2352" t="s">
        <v>17267</v>
      </c>
      <c r="B3393" s="2352" t="s">
        <v>17152</v>
      </c>
      <c r="C3393" s="2352" t="s">
        <v>8648</v>
      </c>
      <c r="D3393" s="2352" t="s">
        <v>8843</v>
      </c>
      <c r="E3393" s="355">
        <v>400</v>
      </c>
      <c r="F3393" s="1662">
        <v>190</v>
      </c>
    </row>
    <row r="3394" spans="1:6" ht="15" customHeight="1" x14ac:dyDescent="0.25">
      <c r="A3394" s="2352" t="s">
        <v>17265</v>
      </c>
      <c r="B3394" s="2352" t="s">
        <v>17152</v>
      </c>
      <c r="C3394" s="2352" t="s">
        <v>8648</v>
      </c>
      <c r="D3394" s="2352" t="s">
        <v>8844</v>
      </c>
      <c r="E3394" s="355">
        <v>400</v>
      </c>
      <c r="F3394" s="1662">
        <v>230</v>
      </c>
    </row>
    <row r="3395" spans="1:6" ht="15" customHeight="1" x14ac:dyDescent="0.25">
      <c r="A3395" s="2352" t="s">
        <v>17268</v>
      </c>
      <c r="B3395" s="2352" t="s">
        <v>17152</v>
      </c>
      <c r="C3395" s="2352" t="s">
        <v>8648</v>
      </c>
      <c r="D3395" s="2352" t="s">
        <v>8845</v>
      </c>
      <c r="E3395" s="355">
        <v>30</v>
      </c>
      <c r="F3395" s="1662">
        <v>5</v>
      </c>
    </row>
    <row r="3396" spans="1:6" ht="15" customHeight="1" x14ac:dyDescent="0.25">
      <c r="A3396" s="2352" t="s">
        <v>17265</v>
      </c>
      <c r="B3396" s="2352" t="s">
        <v>17152</v>
      </c>
      <c r="C3396" s="2352" t="s">
        <v>8648</v>
      </c>
      <c r="D3396" s="2352" t="s">
        <v>8846</v>
      </c>
      <c r="E3396" s="355">
        <v>100</v>
      </c>
      <c r="F3396" s="1662">
        <v>95</v>
      </c>
    </row>
    <row r="3397" spans="1:6" ht="15" customHeight="1" x14ac:dyDescent="0.25">
      <c r="A3397" s="2352" t="s">
        <v>17269</v>
      </c>
      <c r="B3397" s="2352" t="s">
        <v>17152</v>
      </c>
      <c r="C3397" s="2352" t="s">
        <v>8648</v>
      </c>
      <c r="D3397" s="2352" t="s">
        <v>8847</v>
      </c>
      <c r="E3397" s="355">
        <v>30</v>
      </c>
      <c r="F3397" s="1662">
        <v>10</v>
      </c>
    </row>
    <row r="3398" spans="1:6" ht="15" customHeight="1" x14ac:dyDescent="0.25">
      <c r="A3398" s="2352" t="s">
        <v>17270</v>
      </c>
      <c r="B3398" s="2352" t="s">
        <v>17152</v>
      </c>
      <c r="C3398" s="2352" t="s">
        <v>8648</v>
      </c>
      <c r="D3398" s="2352" t="s">
        <v>8848</v>
      </c>
      <c r="E3398" s="355">
        <v>30</v>
      </c>
      <c r="F3398" s="1662">
        <v>25</v>
      </c>
    </row>
    <row r="3399" spans="1:6" ht="15" customHeight="1" x14ac:dyDescent="0.25">
      <c r="A3399" s="2352" t="s">
        <v>17271</v>
      </c>
      <c r="B3399" s="2352" t="s">
        <v>17152</v>
      </c>
      <c r="C3399" s="2352" t="s">
        <v>8648</v>
      </c>
      <c r="D3399" s="2352" t="s">
        <v>8849</v>
      </c>
      <c r="E3399" s="355">
        <v>100</v>
      </c>
      <c r="F3399" s="1662">
        <v>37</v>
      </c>
    </row>
    <row r="3400" spans="1:6" ht="15" customHeight="1" x14ac:dyDescent="0.25">
      <c r="A3400" s="2352" t="s">
        <v>17272</v>
      </c>
      <c r="B3400" s="2352" t="s">
        <v>4204</v>
      </c>
      <c r="C3400" s="2352" t="s">
        <v>17273</v>
      </c>
      <c r="D3400" s="2352" t="s">
        <v>4205</v>
      </c>
      <c r="E3400" s="355" t="s">
        <v>17274</v>
      </c>
      <c r="F3400" s="1662" t="s">
        <v>17275</v>
      </c>
    </row>
    <row r="3401" spans="1:6" ht="15" customHeight="1" x14ac:dyDescent="0.25">
      <c r="A3401" s="2352" t="s">
        <v>4206</v>
      </c>
      <c r="B3401" s="2352" t="s">
        <v>4204</v>
      </c>
      <c r="C3401" s="2352" t="s">
        <v>17273</v>
      </c>
      <c r="D3401" s="2352" t="s">
        <v>4207</v>
      </c>
      <c r="E3401" s="355" t="s">
        <v>17276</v>
      </c>
      <c r="F3401" s="1662" t="s">
        <v>17275</v>
      </c>
    </row>
    <row r="3402" spans="1:6" ht="15" customHeight="1" x14ac:dyDescent="0.25">
      <c r="A3402" s="2352" t="s">
        <v>17278</v>
      </c>
      <c r="B3402" s="2352" t="s">
        <v>4204</v>
      </c>
      <c r="C3402" s="2352" t="s">
        <v>17273</v>
      </c>
      <c r="D3402" s="2352" t="s">
        <v>4208</v>
      </c>
      <c r="E3402" s="355" t="s">
        <v>17276</v>
      </c>
      <c r="F3402" s="1662" t="s">
        <v>17274</v>
      </c>
    </row>
    <row r="3403" spans="1:6" ht="15" customHeight="1" x14ac:dyDescent="0.25">
      <c r="A3403" s="2352" t="s">
        <v>4209</v>
      </c>
      <c r="B3403" s="2352" t="s">
        <v>4204</v>
      </c>
      <c r="C3403" s="2352" t="s">
        <v>17273</v>
      </c>
      <c r="D3403" s="2352" t="s">
        <v>4210</v>
      </c>
      <c r="E3403" s="355" t="s">
        <v>17279</v>
      </c>
      <c r="F3403" s="1662" t="s">
        <v>17275</v>
      </c>
    </row>
    <row r="3404" spans="1:6" ht="15" customHeight="1" x14ac:dyDescent="0.25">
      <c r="A3404" s="2352" t="s">
        <v>15856</v>
      </c>
      <c r="B3404" s="2352" t="s">
        <v>4204</v>
      </c>
      <c r="C3404" s="2352" t="s">
        <v>17273</v>
      </c>
      <c r="D3404" s="2352" t="s">
        <v>4211</v>
      </c>
      <c r="E3404" s="355" t="s">
        <v>17276</v>
      </c>
      <c r="F3404" s="1662">
        <v>0</v>
      </c>
    </row>
    <row r="3405" spans="1:6" ht="15" customHeight="1" x14ac:dyDescent="0.25">
      <c r="A3405" s="2352" t="s">
        <v>4212</v>
      </c>
      <c r="B3405" s="2352" t="s">
        <v>4204</v>
      </c>
      <c r="C3405" s="2352" t="s">
        <v>17273</v>
      </c>
      <c r="D3405" s="2352" t="s">
        <v>4213</v>
      </c>
      <c r="E3405" s="355" t="s">
        <v>17281</v>
      </c>
      <c r="F3405" s="1662" t="s">
        <v>17274</v>
      </c>
    </row>
    <row r="3406" spans="1:6" ht="15" customHeight="1" x14ac:dyDescent="0.25">
      <c r="A3406" s="2352" t="s">
        <v>4214</v>
      </c>
      <c r="B3406" s="2352" t="s">
        <v>4204</v>
      </c>
      <c r="C3406" s="2352" t="s">
        <v>17273</v>
      </c>
      <c r="D3406" s="2352" t="s">
        <v>4215</v>
      </c>
      <c r="E3406" s="355" t="s">
        <v>17279</v>
      </c>
      <c r="F3406" s="1662">
        <v>0</v>
      </c>
    </row>
    <row r="3407" spans="1:6" ht="15" customHeight="1" x14ac:dyDescent="0.25">
      <c r="A3407" s="2352" t="s">
        <v>17283</v>
      </c>
      <c r="B3407" s="2352" t="s">
        <v>4204</v>
      </c>
      <c r="C3407" s="2352" t="s">
        <v>17273</v>
      </c>
      <c r="D3407" s="2352" t="s">
        <v>4216</v>
      </c>
      <c r="E3407" s="355" t="s">
        <v>17279</v>
      </c>
      <c r="F3407" s="1662" t="s">
        <v>17284</v>
      </c>
    </row>
    <row r="3408" spans="1:6" ht="15" customHeight="1" x14ac:dyDescent="0.25">
      <c r="A3408" s="2352" t="s">
        <v>4212</v>
      </c>
      <c r="B3408" s="2352" t="s">
        <v>4204</v>
      </c>
      <c r="C3408" s="2352" t="s">
        <v>17273</v>
      </c>
      <c r="D3408" s="2352" t="s">
        <v>4217</v>
      </c>
      <c r="E3408" s="355" t="s">
        <v>17285</v>
      </c>
      <c r="F3408" s="1662" t="s">
        <v>17286</v>
      </c>
    </row>
    <row r="3409" spans="1:6" ht="15" customHeight="1" x14ac:dyDescent="0.25">
      <c r="A3409" s="2352" t="s">
        <v>4218</v>
      </c>
      <c r="B3409" s="2352" t="s">
        <v>4204</v>
      </c>
      <c r="C3409" s="2352" t="s">
        <v>17273</v>
      </c>
      <c r="D3409" s="2352" t="s">
        <v>4219</v>
      </c>
      <c r="E3409" s="355" t="s">
        <v>17279</v>
      </c>
      <c r="F3409" s="1662" t="s">
        <v>17287</v>
      </c>
    </row>
    <row r="3410" spans="1:6" ht="15" customHeight="1" x14ac:dyDescent="0.25">
      <c r="A3410" s="2352" t="s">
        <v>4220</v>
      </c>
      <c r="B3410" s="2352" t="s">
        <v>4204</v>
      </c>
      <c r="C3410" s="2352" t="s">
        <v>17273</v>
      </c>
      <c r="D3410" s="2352" t="s">
        <v>4221</v>
      </c>
      <c r="E3410" s="355" t="s">
        <v>17285</v>
      </c>
      <c r="F3410" s="1662">
        <v>0</v>
      </c>
    </row>
    <row r="3411" spans="1:6" ht="15" customHeight="1" x14ac:dyDescent="0.25">
      <c r="A3411" s="2352" t="s">
        <v>4222</v>
      </c>
      <c r="B3411" s="2352" t="s">
        <v>4204</v>
      </c>
      <c r="C3411" s="2352" t="s">
        <v>17273</v>
      </c>
      <c r="D3411" s="2352" t="s">
        <v>4223</v>
      </c>
      <c r="E3411" s="355" t="s">
        <v>17282</v>
      </c>
      <c r="F3411" s="1662" t="s">
        <v>17277</v>
      </c>
    </row>
    <row r="3412" spans="1:6" ht="15" customHeight="1" x14ac:dyDescent="0.25">
      <c r="A3412" s="2352" t="s">
        <v>4224</v>
      </c>
      <c r="B3412" s="2352" t="s">
        <v>4204</v>
      </c>
      <c r="C3412" s="2352" t="s">
        <v>17273</v>
      </c>
      <c r="D3412" s="2352" t="s">
        <v>4225</v>
      </c>
      <c r="E3412" s="355" t="s">
        <v>17288</v>
      </c>
      <c r="F3412" s="1662" t="s">
        <v>17289</v>
      </c>
    </row>
    <row r="3413" spans="1:6" ht="15" customHeight="1" x14ac:dyDescent="0.25">
      <c r="A3413" s="2352" t="s">
        <v>3938</v>
      </c>
      <c r="B3413" s="2352" t="s">
        <v>4204</v>
      </c>
      <c r="C3413" s="2352" t="s">
        <v>17273</v>
      </c>
      <c r="D3413" s="2352" t="s">
        <v>4226</v>
      </c>
      <c r="E3413" s="355" t="s">
        <v>17285</v>
      </c>
      <c r="F3413" s="1662" t="s">
        <v>17286</v>
      </c>
    </row>
    <row r="3414" spans="1:6" ht="15" customHeight="1" x14ac:dyDescent="0.25">
      <c r="A3414" s="2352" t="s">
        <v>4227</v>
      </c>
      <c r="B3414" s="2352" t="s">
        <v>4204</v>
      </c>
      <c r="C3414" s="2352" t="s">
        <v>17273</v>
      </c>
      <c r="D3414" s="2352" t="s">
        <v>4228</v>
      </c>
      <c r="E3414" s="355" t="s">
        <v>17288</v>
      </c>
      <c r="F3414" s="1662" t="s">
        <v>17290</v>
      </c>
    </row>
    <row r="3415" spans="1:6" ht="15" customHeight="1" x14ac:dyDescent="0.25">
      <c r="A3415" s="2352" t="s">
        <v>4229</v>
      </c>
      <c r="B3415" s="2352" t="s">
        <v>4204</v>
      </c>
      <c r="C3415" s="2352" t="s">
        <v>17273</v>
      </c>
      <c r="D3415" s="2352" t="s">
        <v>4230</v>
      </c>
      <c r="E3415" s="355" t="s">
        <v>17279</v>
      </c>
      <c r="F3415" s="1662" t="s">
        <v>17290</v>
      </c>
    </row>
    <row r="3416" spans="1:6" ht="15" customHeight="1" x14ac:dyDescent="0.25">
      <c r="A3416" s="2352" t="s">
        <v>4231</v>
      </c>
      <c r="B3416" s="2352" t="s">
        <v>4204</v>
      </c>
      <c r="C3416" s="2352" t="s">
        <v>17273</v>
      </c>
      <c r="D3416" s="2352" t="s">
        <v>4232</v>
      </c>
      <c r="E3416" s="355" t="s">
        <v>17276</v>
      </c>
      <c r="F3416" s="1662" t="s">
        <v>17286</v>
      </c>
    </row>
    <row r="3417" spans="1:6" ht="15" customHeight="1" x14ac:dyDescent="0.25">
      <c r="A3417" s="2352" t="s">
        <v>4233</v>
      </c>
      <c r="B3417" s="2352" t="s">
        <v>4204</v>
      </c>
      <c r="C3417" s="2352" t="s">
        <v>17273</v>
      </c>
      <c r="D3417" s="2352" t="s">
        <v>4234</v>
      </c>
      <c r="E3417" s="355" t="s">
        <v>17276</v>
      </c>
      <c r="F3417" s="1662" t="s">
        <v>17287</v>
      </c>
    </row>
    <row r="3418" spans="1:6" ht="15" customHeight="1" x14ac:dyDescent="0.25">
      <c r="A3418" s="2352" t="s">
        <v>4235</v>
      </c>
      <c r="B3418" s="2352" t="s">
        <v>4204</v>
      </c>
      <c r="C3418" s="2352" t="s">
        <v>17273</v>
      </c>
      <c r="D3418" s="2352" t="s">
        <v>4236</v>
      </c>
      <c r="E3418" s="355" t="s">
        <v>17282</v>
      </c>
      <c r="F3418" s="1662">
        <v>0</v>
      </c>
    </row>
    <row r="3419" spans="1:6" ht="15" customHeight="1" x14ac:dyDescent="0.25">
      <c r="A3419" s="2352" t="s">
        <v>4237</v>
      </c>
      <c r="B3419" s="2352" t="s">
        <v>4204</v>
      </c>
      <c r="C3419" s="2352" t="s">
        <v>17273</v>
      </c>
      <c r="D3419" s="2352" t="s">
        <v>4238</v>
      </c>
      <c r="E3419" s="355" t="s">
        <v>17276</v>
      </c>
      <c r="F3419" s="1662">
        <v>0</v>
      </c>
    </row>
    <row r="3420" spans="1:6" ht="15" customHeight="1" x14ac:dyDescent="0.25">
      <c r="A3420" s="2352" t="s">
        <v>4239</v>
      </c>
      <c r="B3420" s="2352" t="s">
        <v>4204</v>
      </c>
      <c r="C3420" s="2352" t="s">
        <v>17273</v>
      </c>
      <c r="D3420" s="2352" t="s">
        <v>4240</v>
      </c>
      <c r="E3420" s="355" t="s">
        <v>17279</v>
      </c>
      <c r="F3420" s="1662" t="s">
        <v>17289</v>
      </c>
    </row>
    <row r="3421" spans="1:6" ht="15" customHeight="1" x14ac:dyDescent="0.25">
      <c r="A3421" s="2352" t="s">
        <v>4241</v>
      </c>
      <c r="B3421" s="2352" t="s">
        <v>4204</v>
      </c>
      <c r="C3421" s="2352" t="s">
        <v>17273</v>
      </c>
      <c r="D3421" s="2352" t="s">
        <v>4242</v>
      </c>
      <c r="E3421" s="355" t="s">
        <v>17288</v>
      </c>
      <c r="F3421" s="1662" t="s">
        <v>17291</v>
      </c>
    </row>
    <row r="3422" spans="1:6" ht="15" customHeight="1" x14ac:dyDescent="0.25">
      <c r="A3422" s="2352" t="s">
        <v>17292</v>
      </c>
      <c r="B3422" s="2352" t="s">
        <v>4204</v>
      </c>
      <c r="C3422" s="2352" t="s">
        <v>17273</v>
      </c>
      <c r="D3422" s="2352" t="s">
        <v>4243</v>
      </c>
      <c r="E3422" s="355" t="s">
        <v>17281</v>
      </c>
      <c r="F3422" s="1662" t="s">
        <v>17290</v>
      </c>
    </row>
    <row r="3423" spans="1:6" ht="15" customHeight="1" x14ac:dyDescent="0.25">
      <c r="A3423" s="2352" t="s">
        <v>4244</v>
      </c>
      <c r="B3423" s="2352" t="s">
        <v>4204</v>
      </c>
      <c r="C3423" s="2352" t="s">
        <v>17273</v>
      </c>
      <c r="D3423" s="2352" t="s">
        <v>4245</v>
      </c>
      <c r="E3423" s="355" t="s">
        <v>17281</v>
      </c>
      <c r="F3423" s="1662" t="s">
        <v>17291</v>
      </c>
    </row>
    <row r="3424" spans="1:6" ht="15" customHeight="1" x14ac:dyDescent="0.25">
      <c r="A3424" s="2352" t="s">
        <v>4246</v>
      </c>
      <c r="B3424" s="2352" t="s">
        <v>4204</v>
      </c>
      <c r="C3424" s="2352" t="s">
        <v>17273</v>
      </c>
      <c r="D3424" s="2352" t="s">
        <v>4247</v>
      </c>
      <c r="E3424" s="355" t="s">
        <v>17280</v>
      </c>
      <c r="F3424" s="1662" t="s">
        <v>17287</v>
      </c>
    </row>
    <row r="3425" spans="1:6" ht="15" customHeight="1" x14ac:dyDescent="0.25">
      <c r="A3425" s="2352" t="s">
        <v>4248</v>
      </c>
      <c r="B3425" s="2352" t="s">
        <v>4204</v>
      </c>
      <c r="C3425" s="2352" t="s">
        <v>17273</v>
      </c>
      <c r="D3425" s="2352" t="s">
        <v>4249</v>
      </c>
      <c r="E3425" s="355" t="s">
        <v>17279</v>
      </c>
      <c r="F3425" s="1662" t="s">
        <v>17303</v>
      </c>
    </row>
    <row r="3426" spans="1:6" ht="15" customHeight="1" x14ac:dyDescent="0.25">
      <c r="A3426" s="2352" t="s">
        <v>4250</v>
      </c>
      <c r="B3426" s="2352" t="s">
        <v>4204</v>
      </c>
      <c r="C3426" s="2352" t="s">
        <v>17273</v>
      </c>
      <c r="D3426" s="2352" t="s">
        <v>4251</v>
      </c>
      <c r="E3426" s="355" t="s">
        <v>17279</v>
      </c>
      <c r="F3426" s="1662" t="s">
        <v>17291</v>
      </c>
    </row>
    <row r="3427" spans="1:6" ht="15" customHeight="1" x14ac:dyDescent="0.25">
      <c r="A3427" s="2352" t="s">
        <v>17294</v>
      </c>
      <c r="B3427" s="2352" t="s">
        <v>4204</v>
      </c>
      <c r="C3427" s="2352" t="s">
        <v>17273</v>
      </c>
      <c r="D3427" s="2352" t="s">
        <v>4252</v>
      </c>
      <c r="E3427" s="355" t="s">
        <v>17282</v>
      </c>
      <c r="F3427" s="1662" t="s">
        <v>17286</v>
      </c>
    </row>
    <row r="3428" spans="1:6" ht="15" customHeight="1" x14ac:dyDescent="0.25">
      <c r="A3428" s="2352" t="s">
        <v>4253</v>
      </c>
      <c r="B3428" s="2352" t="s">
        <v>4204</v>
      </c>
      <c r="C3428" s="2352" t="s">
        <v>17273</v>
      </c>
      <c r="D3428" s="2352" t="s">
        <v>4254</v>
      </c>
      <c r="E3428" s="355" t="s">
        <v>17276</v>
      </c>
      <c r="F3428" s="1662" t="s">
        <v>17291</v>
      </c>
    </row>
    <row r="3429" spans="1:6" ht="15" customHeight="1" x14ac:dyDescent="0.25">
      <c r="A3429" s="2352" t="s">
        <v>4255</v>
      </c>
      <c r="B3429" s="2352" t="s">
        <v>4204</v>
      </c>
      <c r="C3429" s="2352" t="s">
        <v>17273</v>
      </c>
      <c r="D3429" s="2352" t="s">
        <v>4256</v>
      </c>
      <c r="E3429" s="355" t="s">
        <v>17279</v>
      </c>
      <c r="F3429" s="1662" t="s">
        <v>17289</v>
      </c>
    </row>
    <row r="3430" spans="1:6" ht="15" customHeight="1" x14ac:dyDescent="0.25">
      <c r="A3430" s="2352" t="s">
        <v>4257</v>
      </c>
      <c r="B3430" s="2352" t="s">
        <v>4204</v>
      </c>
      <c r="C3430" s="2352" t="s">
        <v>17273</v>
      </c>
      <c r="D3430" s="2352" t="s">
        <v>4258</v>
      </c>
      <c r="E3430" s="355" t="s">
        <v>17279</v>
      </c>
      <c r="F3430" s="1662" t="s">
        <v>17286</v>
      </c>
    </row>
    <row r="3431" spans="1:6" ht="15" customHeight="1" x14ac:dyDescent="0.25">
      <c r="A3431" s="2352" t="s">
        <v>4259</v>
      </c>
      <c r="B3431" s="2352" t="s">
        <v>4204</v>
      </c>
      <c r="C3431" s="2352" t="s">
        <v>17273</v>
      </c>
      <c r="D3431" s="2352" t="s">
        <v>4260</v>
      </c>
      <c r="E3431" s="355" t="s">
        <v>17288</v>
      </c>
      <c r="F3431" s="1662" t="s">
        <v>17290</v>
      </c>
    </row>
    <row r="3432" spans="1:6" ht="15" customHeight="1" x14ac:dyDescent="0.25">
      <c r="A3432" s="2352" t="s">
        <v>4261</v>
      </c>
      <c r="B3432" s="2352" t="s">
        <v>4204</v>
      </c>
      <c r="C3432" s="2352" t="s">
        <v>17273</v>
      </c>
      <c r="D3432" s="2352" t="s">
        <v>4262</v>
      </c>
      <c r="E3432" s="355" t="s">
        <v>17279</v>
      </c>
      <c r="F3432" s="1662">
        <v>0</v>
      </c>
    </row>
    <row r="3433" spans="1:6" ht="15" customHeight="1" x14ac:dyDescent="0.25">
      <c r="A3433" s="2352" t="s">
        <v>4263</v>
      </c>
      <c r="B3433" s="2352" t="s">
        <v>4204</v>
      </c>
      <c r="C3433" s="2352" t="s">
        <v>17273</v>
      </c>
      <c r="D3433" s="2352" t="s">
        <v>4264</v>
      </c>
      <c r="E3433" s="355" t="s">
        <v>17285</v>
      </c>
      <c r="F3433" s="1662">
        <v>20</v>
      </c>
    </row>
    <row r="3434" spans="1:6" ht="15" customHeight="1" x14ac:dyDescent="0.25">
      <c r="A3434" s="2352" t="s">
        <v>4250</v>
      </c>
      <c r="B3434" s="2352" t="s">
        <v>4204</v>
      </c>
      <c r="C3434" s="2352" t="s">
        <v>17273</v>
      </c>
      <c r="D3434" s="2352" t="s">
        <v>4265</v>
      </c>
      <c r="E3434" s="355" t="s">
        <v>17280</v>
      </c>
      <c r="F3434" s="1662" t="s">
        <v>17295</v>
      </c>
    </row>
    <row r="3435" spans="1:6" ht="15" customHeight="1" x14ac:dyDescent="0.25">
      <c r="A3435" s="2352" t="s">
        <v>4259</v>
      </c>
      <c r="B3435" s="2352" t="s">
        <v>4204</v>
      </c>
      <c r="C3435" s="2352" t="s">
        <v>17273</v>
      </c>
      <c r="D3435" s="2352" t="s">
        <v>4266</v>
      </c>
      <c r="E3435" s="355" t="s">
        <v>17280</v>
      </c>
      <c r="F3435" s="1662" t="s">
        <v>17295</v>
      </c>
    </row>
    <row r="3436" spans="1:6" ht="15" customHeight="1" x14ac:dyDescent="0.25">
      <c r="A3436" s="2352" t="s">
        <v>17296</v>
      </c>
      <c r="B3436" s="2352" t="s">
        <v>4204</v>
      </c>
      <c r="C3436" s="2352" t="s">
        <v>17273</v>
      </c>
      <c r="D3436" s="2352" t="s">
        <v>4267</v>
      </c>
      <c r="E3436" s="355" t="s">
        <v>17281</v>
      </c>
      <c r="F3436" s="1662" t="s">
        <v>17290</v>
      </c>
    </row>
    <row r="3437" spans="1:6" ht="15" customHeight="1" x14ac:dyDescent="0.25">
      <c r="A3437" s="2352" t="s">
        <v>17296</v>
      </c>
      <c r="B3437" s="2352" t="s">
        <v>4204</v>
      </c>
      <c r="C3437" s="2352" t="s">
        <v>17273</v>
      </c>
      <c r="D3437" s="2352" t="s">
        <v>4268</v>
      </c>
      <c r="E3437" s="355" t="s">
        <v>17297</v>
      </c>
      <c r="F3437" s="1662" t="s">
        <v>17286</v>
      </c>
    </row>
    <row r="3438" spans="1:6" ht="15" customHeight="1" x14ac:dyDescent="0.25">
      <c r="A3438" s="2352" t="s">
        <v>17296</v>
      </c>
      <c r="B3438" s="2352" t="s">
        <v>4204</v>
      </c>
      <c r="C3438" s="2352" t="s">
        <v>17273</v>
      </c>
      <c r="D3438" s="2352" t="s">
        <v>4269</v>
      </c>
      <c r="E3438" s="355" t="s">
        <v>17288</v>
      </c>
      <c r="F3438" s="1662" t="s">
        <v>17291</v>
      </c>
    </row>
    <row r="3439" spans="1:6" ht="15" customHeight="1" x14ac:dyDescent="0.25">
      <c r="A3439" s="2352" t="s">
        <v>17296</v>
      </c>
      <c r="B3439" s="2352" t="s">
        <v>4204</v>
      </c>
      <c r="C3439" s="2352" t="s">
        <v>17273</v>
      </c>
      <c r="D3439" s="2352" t="s">
        <v>4270</v>
      </c>
      <c r="E3439" s="355" t="s">
        <v>17298</v>
      </c>
      <c r="F3439" s="1662" t="s">
        <v>17299</v>
      </c>
    </row>
    <row r="3440" spans="1:6" ht="15" customHeight="1" x14ac:dyDescent="0.25">
      <c r="A3440" s="2352" t="s">
        <v>17296</v>
      </c>
      <c r="B3440" s="2352" t="s">
        <v>4204</v>
      </c>
      <c r="C3440" s="2352" t="s">
        <v>17273</v>
      </c>
      <c r="D3440" s="2352" t="s">
        <v>4271</v>
      </c>
      <c r="E3440" s="355" t="s">
        <v>17281</v>
      </c>
      <c r="F3440" s="1662" t="s">
        <v>17300</v>
      </c>
    </row>
    <row r="3441" spans="1:6" ht="15" customHeight="1" x14ac:dyDescent="0.25">
      <c r="A3441" s="2352" t="s">
        <v>17296</v>
      </c>
      <c r="B3441" s="2352" t="s">
        <v>4204</v>
      </c>
      <c r="C3441" s="2352" t="s">
        <v>17273</v>
      </c>
      <c r="D3441" s="2352" t="s">
        <v>4272</v>
      </c>
      <c r="E3441" s="355" t="s">
        <v>17281</v>
      </c>
      <c r="F3441" s="1662" t="s">
        <v>17301</v>
      </c>
    </row>
    <row r="3442" spans="1:6" ht="15" customHeight="1" x14ac:dyDescent="0.25">
      <c r="A3442" s="2352" t="s">
        <v>17296</v>
      </c>
      <c r="B3442" s="2352" t="s">
        <v>4204</v>
      </c>
      <c r="C3442" s="2352" t="s">
        <v>17273</v>
      </c>
      <c r="D3442" s="2352" t="s">
        <v>4273</v>
      </c>
      <c r="E3442" s="355" t="s">
        <v>17288</v>
      </c>
      <c r="F3442" s="1662" t="s">
        <v>17289</v>
      </c>
    </row>
    <row r="3443" spans="1:6" ht="15" customHeight="1" x14ac:dyDescent="0.25">
      <c r="A3443" s="2352" t="s">
        <v>17296</v>
      </c>
      <c r="B3443" s="2352" t="s">
        <v>4204</v>
      </c>
      <c r="C3443" s="2352" t="s">
        <v>17273</v>
      </c>
      <c r="D3443" s="2352" t="s">
        <v>4274</v>
      </c>
      <c r="E3443" s="355" t="s">
        <v>17281</v>
      </c>
      <c r="F3443" s="1662" t="s">
        <v>17291</v>
      </c>
    </row>
    <row r="3444" spans="1:6" ht="15" customHeight="1" x14ac:dyDescent="0.25">
      <c r="A3444" s="2352" t="s">
        <v>17302</v>
      </c>
      <c r="B3444" s="2352" t="s">
        <v>4204</v>
      </c>
      <c r="C3444" s="2352" t="s">
        <v>17273</v>
      </c>
      <c r="D3444" s="2352" t="s">
        <v>4275</v>
      </c>
      <c r="E3444" s="355" t="s">
        <v>17288</v>
      </c>
      <c r="F3444" s="1662" t="s">
        <v>17286</v>
      </c>
    </row>
    <row r="3445" spans="1:6" ht="15" customHeight="1" x14ac:dyDescent="0.25">
      <c r="A3445" s="2352" t="s">
        <v>17302</v>
      </c>
      <c r="B3445" s="2352" t="s">
        <v>4204</v>
      </c>
      <c r="C3445" s="2352" t="s">
        <v>17273</v>
      </c>
      <c r="D3445" s="2352" t="s">
        <v>4276</v>
      </c>
      <c r="E3445" s="355" t="s">
        <v>17279</v>
      </c>
      <c r="F3445" s="1662" t="s">
        <v>17303</v>
      </c>
    </row>
    <row r="3446" spans="1:6" ht="15" customHeight="1" x14ac:dyDescent="0.25">
      <c r="A3446" s="2352" t="s">
        <v>4277</v>
      </c>
      <c r="B3446" s="2352" t="s">
        <v>4204</v>
      </c>
      <c r="C3446" s="2352" t="s">
        <v>17273</v>
      </c>
      <c r="D3446" s="2352" t="s">
        <v>4278</v>
      </c>
      <c r="E3446" s="355" t="s">
        <v>17288</v>
      </c>
      <c r="F3446" s="1662" t="s">
        <v>17290</v>
      </c>
    </row>
    <row r="3447" spans="1:6" ht="15" customHeight="1" x14ac:dyDescent="0.25">
      <c r="A3447" s="2352" t="s">
        <v>4279</v>
      </c>
      <c r="B3447" s="2352" t="s">
        <v>4204</v>
      </c>
      <c r="C3447" s="2352" t="s">
        <v>17273</v>
      </c>
      <c r="D3447" s="2352" t="s">
        <v>4280</v>
      </c>
      <c r="E3447" s="355" t="s">
        <v>17288</v>
      </c>
      <c r="F3447" s="1662" t="s">
        <v>17287</v>
      </c>
    </row>
    <row r="3448" spans="1:6" ht="15" customHeight="1" x14ac:dyDescent="0.25">
      <c r="A3448" s="2352" t="s">
        <v>4279</v>
      </c>
      <c r="B3448" s="2352" t="s">
        <v>4204</v>
      </c>
      <c r="C3448" s="2352" t="s">
        <v>17273</v>
      </c>
      <c r="D3448" s="2352" t="s">
        <v>4281</v>
      </c>
      <c r="E3448" s="355" t="s">
        <v>17285</v>
      </c>
      <c r="F3448" s="1662" t="s">
        <v>17286</v>
      </c>
    </row>
    <row r="3449" spans="1:6" ht="15" customHeight="1" x14ac:dyDescent="0.25">
      <c r="A3449" s="2352" t="s">
        <v>4279</v>
      </c>
      <c r="B3449" s="2352" t="s">
        <v>4204</v>
      </c>
      <c r="C3449" s="2352" t="s">
        <v>17273</v>
      </c>
      <c r="D3449" s="2352" t="s">
        <v>4282</v>
      </c>
      <c r="E3449" s="355" t="s">
        <v>17288</v>
      </c>
      <c r="F3449" s="1662" t="s">
        <v>17304</v>
      </c>
    </row>
    <row r="3450" spans="1:6" ht="15" customHeight="1" x14ac:dyDescent="0.25">
      <c r="A3450" s="2352" t="s">
        <v>4283</v>
      </c>
      <c r="B3450" s="2352" t="s">
        <v>4204</v>
      </c>
      <c r="C3450" s="2352" t="s">
        <v>17273</v>
      </c>
      <c r="D3450" s="2352" t="s">
        <v>4284</v>
      </c>
      <c r="E3450" s="355" t="s">
        <v>17279</v>
      </c>
      <c r="F3450" s="1662" t="s">
        <v>17289</v>
      </c>
    </row>
    <row r="3451" spans="1:6" ht="15" customHeight="1" x14ac:dyDescent="0.25">
      <c r="A3451" s="2352" t="s">
        <v>4283</v>
      </c>
      <c r="B3451" s="2352" t="s">
        <v>4204</v>
      </c>
      <c r="C3451" s="2352" t="s">
        <v>17273</v>
      </c>
      <c r="D3451" s="2352" t="s">
        <v>4285</v>
      </c>
      <c r="E3451" s="355" t="s">
        <v>17288</v>
      </c>
      <c r="F3451" s="1662" t="s">
        <v>17290</v>
      </c>
    </row>
    <row r="3452" spans="1:6" ht="15" customHeight="1" x14ac:dyDescent="0.25">
      <c r="A3452" s="2352" t="s">
        <v>4283</v>
      </c>
      <c r="B3452" s="2352" t="s">
        <v>4204</v>
      </c>
      <c r="C3452" s="2352" t="s">
        <v>17273</v>
      </c>
      <c r="D3452" s="2352" t="s">
        <v>4286</v>
      </c>
      <c r="E3452" s="355" t="s">
        <v>17279</v>
      </c>
      <c r="F3452" s="1662" t="s">
        <v>17291</v>
      </c>
    </row>
    <row r="3453" spans="1:6" ht="15" customHeight="1" x14ac:dyDescent="0.25">
      <c r="A3453" s="2352" t="s">
        <v>4287</v>
      </c>
      <c r="B3453" s="2352" t="s">
        <v>4204</v>
      </c>
      <c r="C3453" s="2352" t="s">
        <v>17273</v>
      </c>
      <c r="D3453" s="2352" t="s">
        <v>4288</v>
      </c>
      <c r="E3453" s="355" t="s">
        <v>17285</v>
      </c>
      <c r="F3453" s="1662" t="s">
        <v>17286</v>
      </c>
    </row>
    <row r="3454" spans="1:6" ht="15" customHeight="1" x14ac:dyDescent="0.25">
      <c r="A3454" s="2352" t="s">
        <v>4289</v>
      </c>
      <c r="B3454" s="2352" t="s">
        <v>4204</v>
      </c>
      <c r="C3454" s="2352" t="s">
        <v>17273</v>
      </c>
      <c r="D3454" s="2352" t="s">
        <v>4290</v>
      </c>
      <c r="E3454" s="355" t="s">
        <v>17279</v>
      </c>
      <c r="F3454" s="1662" t="s">
        <v>17287</v>
      </c>
    </row>
    <row r="3455" spans="1:6" ht="15" customHeight="1" x14ac:dyDescent="0.25">
      <c r="A3455" s="2352" t="s">
        <v>4289</v>
      </c>
      <c r="B3455" s="2352" t="s">
        <v>4204</v>
      </c>
      <c r="C3455" s="2352" t="s">
        <v>17273</v>
      </c>
      <c r="D3455" s="2352" t="s">
        <v>4291</v>
      </c>
      <c r="E3455" s="355" t="s">
        <v>17276</v>
      </c>
      <c r="F3455" s="1662" t="s">
        <v>17291</v>
      </c>
    </row>
    <row r="3456" spans="1:6" ht="15" customHeight="1" x14ac:dyDescent="0.25">
      <c r="A3456" s="2352" t="s">
        <v>4289</v>
      </c>
      <c r="B3456" s="2352" t="s">
        <v>4204</v>
      </c>
      <c r="C3456" s="2352" t="s">
        <v>17273</v>
      </c>
      <c r="D3456" s="2352" t="s">
        <v>4292</v>
      </c>
      <c r="E3456" s="355" t="s">
        <v>17279</v>
      </c>
      <c r="F3456" s="1662" t="s">
        <v>17289</v>
      </c>
    </row>
    <row r="3457" spans="1:6" ht="15" customHeight="1" x14ac:dyDescent="0.25">
      <c r="A3457" s="2352" t="s">
        <v>17305</v>
      </c>
      <c r="B3457" s="2352" t="s">
        <v>4204</v>
      </c>
      <c r="C3457" s="2352" t="s">
        <v>17273</v>
      </c>
      <c r="D3457" s="2352" t="s">
        <v>4293</v>
      </c>
      <c r="E3457" s="355" t="s">
        <v>17288</v>
      </c>
      <c r="F3457" s="1662" t="s">
        <v>17287</v>
      </c>
    </row>
    <row r="3458" spans="1:6" ht="15" customHeight="1" x14ac:dyDescent="0.25">
      <c r="A3458" s="2352" t="s">
        <v>17306</v>
      </c>
      <c r="B3458" s="2352" t="s">
        <v>4204</v>
      </c>
      <c r="C3458" s="2352" t="s">
        <v>17273</v>
      </c>
      <c r="D3458" s="2352" t="s">
        <v>4294</v>
      </c>
      <c r="E3458" s="355" t="s">
        <v>17279</v>
      </c>
      <c r="F3458" s="1662" t="s">
        <v>17286</v>
      </c>
    </row>
    <row r="3459" spans="1:6" ht="15" customHeight="1" x14ac:dyDescent="0.25">
      <c r="A3459" s="2352" t="s">
        <v>4295</v>
      </c>
      <c r="B3459" s="2352" t="s">
        <v>4204</v>
      </c>
      <c r="C3459" s="2352" t="s">
        <v>17273</v>
      </c>
      <c r="D3459" s="2352" t="s">
        <v>4296</v>
      </c>
      <c r="E3459" s="355" t="s">
        <v>17276</v>
      </c>
      <c r="F3459" s="1662" t="s">
        <v>17287</v>
      </c>
    </row>
    <row r="3460" spans="1:6" ht="15" customHeight="1" x14ac:dyDescent="0.25">
      <c r="A3460" s="2352" t="s">
        <v>4297</v>
      </c>
      <c r="B3460" s="2352" t="s">
        <v>4204</v>
      </c>
      <c r="C3460" s="2352" t="s">
        <v>17273</v>
      </c>
      <c r="D3460" s="2352" t="s">
        <v>4298</v>
      </c>
      <c r="E3460" s="355" t="s">
        <v>17279</v>
      </c>
      <c r="F3460" s="1662" t="s">
        <v>17291</v>
      </c>
    </row>
    <row r="3461" spans="1:6" ht="15" customHeight="1" x14ac:dyDescent="0.25">
      <c r="A3461" s="2352" t="s">
        <v>4299</v>
      </c>
      <c r="B3461" s="2352" t="s">
        <v>4204</v>
      </c>
      <c r="C3461" s="2352" t="s">
        <v>17273</v>
      </c>
      <c r="D3461" s="2352" t="s">
        <v>4300</v>
      </c>
      <c r="E3461" s="355" t="s">
        <v>17276</v>
      </c>
      <c r="F3461" s="1662">
        <v>0</v>
      </c>
    </row>
    <row r="3462" spans="1:6" ht="15" customHeight="1" x14ac:dyDescent="0.25">
      <c r="A3462" s="2352" t="s">
        <v>4287</v>
      </c>
      <c r="B3462" s="2352" t="s">
        <v>4204</v>
      </c>
      <c r="C3462" s="2352" t="s">
        <v>17273</v>
      </c>
      <c r="D3462" s="2352" t="s">
        <v>4301</v>
      </c>
      <c r="E3462" s="355" t="s">
        <v>17281</v>
      </c>
      <c r="F3462" s="1662" t="s">
        <v>17290</v>
      </c>
    </row>
    <row r="3463" spans="1:6" ht="15" customHeight="1" x14ac:dyDescent="0.25">
      <c r="A3463" s="2352" t="s">
        <v>4287</v>
      </c>
      <c r="B3463" s="2352" t="s">
        <v>4204</v>
      </c>
      <c r="C3463" s="2352" t="s">
        <v>17273</v>
      </c>
      <c r="D3463" s="2352" t="s">
        <v>4302</v>
      </c>
      <c r="E3463" s="355" t="s">
        <v>17279</v>
      </c>
      <c r="F3463" s="1662" t="s">
        <v>17293</v>
      </c>
    </row>
    <row r="3464" spans="1:6" ht="15" customHeight="1" x14ac:dyDescent="0.25">
      <c r="A3464" s="2352" t="s">
        <v>4303</v>
      </c>
      <c r="B3464" s="2352" t="s">
        <v>4204</v>
      </c>
      <c r="C3464" s="2352" t="s">
        <v>17273</v>
      </c>
      <c r="D3464" s="2352" t="s">
        <v>4304</v>
      </c>
      <c r="E3464" s="355" t="s">
        <v>17276</v>
      </c>
      <c r="F3464" s="1662" t="s">
        <v>17286</v>
      </c>
    </row>
    <row r="3465" spans="1:6" ht="15" customHeight="1" x14ac:dyDescent="0.25">
      <c r="A3465" s="2352" t="s">
        <v>4305</v>
      </c>
      <c r="B3465" s="2352" t="s">
        <v>4204</v>
      </c>
      <c r="C3465" s="2352" t="s">
        <v>17273</v>
      </c>
      <c r="D3465" s="2352" t="s">
        <v>4306</v>
      </c>
      <c r="E3465" s="355" t="s">
        <v>17276</v>
      </c>
      <c r="F3465" s="1662" t="s">
        <v>17286</v>
      </c>
    </row>
    <row r="3466" spans="1:6" ht="15" customHeight="1" x14ac:dyDescent="0.25">
      <c r="A3466" s="2352" t="s">
        <v>4212</v>
      </c>
      <c r="B3466" s="2352" t="s">
        <v>4204</v>
      </c>
      <c r="C3466" s="2352" t="s">
        <v>17273</v>
      </c>
      <c r="D3466" s="2352" t="s">
        <v>4307</v>
      </c>
      <c r="E3466" s="355" t="s">
        <v>17279</v>
      </c>
      <c r="F3466" s="1662" t="s">
        <v>17289</v>
      </c>
    </row>
    <row r="3467" spans="1:6" ht="15" customHeight="1" x14ac:dyDescent="0.25">
      <c r="A3467" s="2352" t="s">
        <v>4308</v>
      </c>
      <c r="B3467" s="2352" t="s">
        <v>4204</v>
      </c>
      <c r="C3467" s="2352" t="s">
        <v>17273</v>
      </c>
      <c r="D3467" s="2352" t="s">
        <v>4309</v>
      </c>
      <c r="E3467" s="355" t="s">
        <v>17276</v>
      </c>
      <c r="F3467" s="1662" t="s">
        <v>17291</v>
      </c>
    </row>
    <row r="3468" spans="1:6" ht="15" customHeight="1" x14ac:dyDescent="0.25">
      <c r="A3468" s="2352" t="s">
        <v>4310</v>
      </c>
      <c r="B3468" s="2352" t="s">
        <v>4204</v>
      </c>
      <c r="C3468" s="2352" t="s">
        <v>17273</v>
      </c>
      <c r="D3468" s="2352" t="s">
        <v>4311</v>
      </c>
      <c r="E3468" s="355" t="s">
        <v>17276</v>
      </c>
      <c r="F3468" s="1662" t="s">
        <v>17286</v>
      </c>
    </row>
    <row r="3469" spans="1:6" ht="15" customHeight="1" x14ac:dyDescent="0.25">
      <c r="A3469" s="2352" t="s">
        <v>4287</v>
      </c>
      <c r="B3469" s="2352" t="s">
        <v>4204</v>
      </c>
      <c r="C3469" s="2352" t="s">
        <v>17273</v>
      </c>
      <c r="D3469" s="2352" t="s">
        <v>4312</v>
      </c>
      <c r="E3469" s="355" t="s">
        <v>17288</v>
      </c>
      <c r="F3469" s="1662" t="s">
        <v>17300</v>
      </c>
    </row>
    <row r="3470" spans="1:6" ht="15" customHeight="1" x14ac:dyDescent="0.25">
      <c r="A3470" s="2352" t="s">
        <v>4287</v>
      </c>
      <c r="B3470" s="2352" t="s">
        <v>4204</v>
      </c>
      <c r="C3470" s="2352" t="s">
        <v>17273</v>
      </c>
      <c r="D3470" s="2352" t="s">
        <v>4313</v>
      </c>
      <c r="E3470" s="355" t="s">
        <v>17288</v>
      </c>
      <c r="F3470" s="1662" t="s">
        <v>17290</v>
      </c>
    </row>
    <row r="3471" spans="1:6" ht="15" customHeight="1" x14ac:dyDescent="0.25">
      <c r="A3471" s="2352" t="s">
        <v>4287</v>
      </c>
      <c r="B3471" s="2352" t="s">
        <v>4204</v>
      </c>
      <c r="C3471" s="2352" t="s">
        <v>17273</v>
      </c>
      <c r="D3471" s="2352" t="s">
        <v>4314</v>
      </c>
      <c r="E3471" s="355" t="s">
        <v>17285</v>
      </c>
      <c r="F3471" s="1662" t="s">
        <v>17287</v>
      </c>
    </row>
    <row r="3472" spans="1:6" ht="15" customHeight="1" x14ac:dyDescent="0.25">
      <c r="A3472" s="2352" t="s">
        <v>4287</v>
      </c>
      <c r="B3472" s="2352" t="s">
        <v>4204</v>
      </c>
      <c r="C3472" s="2352" t="s">
        <v>17273</v>
      </c>
      <c r="D3472" s="2352" t="s">
        <v>4315</v>
      </c>
      <c r="E3472" s="355" t="s">
        <v>17285</v>
      </c>
      <c r="F3472" s="1662" t="s">
        <v>17286</v>
      </c>
    </row>
    <row r="3473" spans="1:6" ht="15" customHeight="1" x14ac:dyDescent="0.25">
      <c r="A3473" s="2352" t="s">
        <v>4316</v>
      </c>
      <c r="B3473" s="2352" t="s">
        <v>4204</v>
      </c>
      <c r="C3473" s="2352" t="s">
        <v>17273</v>
      </c>
      <c r="D3473" s="2352" t="s">
        <v>4317</v>
      </c>
      <c r="E3473" s="355" t="s">
        <v>17279</v>
      </c>
      <c r="F3473" s="1662" t="s">
        <v>17301</v>
      </c>
    </row>
    <row r="3474" spans="1:6" ht="15" customHeight="1" x14ac:dyDescent="0.25">
      <c r="A3474" s="2352" t="s">
        <v>4318</v>
      </c>
      <c r="B3474" s="2352" t="s">
        <v>4204</v>
      </c>
      <c r="C3474" s="2352" t="s">
        <v>17273</v>
      </c>
      <c r="D3474" s="2352" t="s">
        <v>4319</v>
      </c>
      <c r="E3474" s="355" t="s">
        <v>17282</v>
      </c>
      <c r="F3474" s="1662" t="s">
        <v>17286</v>
      </c>
    </row>
    <row r="3475" spans="1:6" ht="15" customHeight="1" x14ac:dyDescent="0.25">
      <c r="A3475" s="2352" t="s">
        <v>4320</v>
      </c>
      <c r="B3475" s="2352" t="s">
        <v>4204</v>
      </c>
      <c r="C3475" s="2352" t="s">
        <v>17273</v>
      </c>
      <c r="D3475" s="2352" t="s">
        <v>4321</v>
      </c>
      <c r="E3475" s="355" t="s">
        <v>17279</v>
      </c>
      <c r="F3475" s="1662" t="s">
        <v>17290</v>
      </c>
    </row>
    <row r="3476" spans="1:6" ht="15" customHeight="1" x14ac:dyDescent="0.25">
      <c r="A3476" s="2352" t="s">
        <v>4322</v>
      </c>
      <c r="B3476" s="2352" t="s">
        <v>4204</v>
      </c>
      <c r="C3476" s="2352" t="s">
        <v>17273</v>
      </c>
      <c r="D3476" s="2352" t="s">
        <v>4323</v>
      </c>
      <c r="E3476" s="355" t="s">
        <v>17276</v>
      </c>
      <c r="F3476" s="1662" t="s">
        <v>17291</v>
      </c>
    </row>
    <row r="3477" spans="1:6" ht="15" customHeight="1" x14ac:dyDescent="0.25">
      <c r="A3477" s="2352" t="s">
        <v>4324</v>
      </c>
      <c r="B3477" s="2352" t="s">
        <v>4204</v>
      </c>
      <c r="C3477" s="2352" t="s">
        <v>17273</v>
      </c>
      <c r="D3477" s="2352" t="s">
        <v>4325</v>
      </c>
      <c r="E3477" s="355" t="s">
        <v>17276</v>
      </c>
      <c r="F3477" s="1662" t="s">
        <v>17289</v>
      </c>
    </row>
    <row r="3478" spans="1:6" ht="15" customHeight="1" x14ac:dyDescent="0.25">
      <c r="A3478" s="2352" t="s">
        <v>17307</v>
      </c>
      <c r="B3478" s="2352" t="s">
        <v>4204</v>
      </c>
      <c r="C3478" s="2352" t="s">
        <v>17273</v>
      </c>
      <c r="D3478" s="2352" t="s">
        <v>4326</v>
      </c>
      <c r="E3478" s="355" t="s">
        <v>17285</v>
      </c>
      <c r="F3478" s="1662" t="s">
        <v>17291</v>
      </c>
    </row>
    <row r="3479" spans="1:6" ht="15" customHeight="1" x14ac:dyDescent="0.25">
      <c r="A3479" s="2352" t="s">
        <v>17308</v>
      </c>
      <c r="B3479" s="2352" t="s">
        <v>4204</v>
      </c>
      <c r="C3479" s="2352" t="s">
        <v>17273</v>
      </c>
      <c r="D3479" s="2352" t="s">
        <v>4327</v>
      </c>
      <c r="E3479" s="355" t="s">
        <v>17280</v>
      </c>
      <c r="F3479" s="1662" t="s">
        <v>17287</v>
      </c>
    </row>
    <row r="3480" spans="1:6" ht="15" customHeight="1" x14ac:dyDescent="0.25">
      <c r="A3480" s="2352" t="s">
        <v>17308</v>
      </c>
      <c r="B3480" s="2352" t="s">
        <v>4204</v>
      </c>
      <c r="C3480" s="2352" t="s">
        <v>17273</v>
      </c>
      <c r="D3480" s="2352" t="s">
        <v>4328</v>
      </c>
      <c r="E3480" s="355" t="s">
        <v>17279</v>
      </c>
      <c r="F3480" s="1662" t="s">
        <v>17293</v>
      </c>
    </row>
    <row r="3481" spans="1:6" ht="15" customHeight="1" x14ac:dyDescent="0.25">
      <c r="A3481" s="2352" t="s">
        <v>17308</v>
      </c>
      <c r="B3481" s="2352" t="s">
        <v>4204</v>
      </c>
      <c r="C3481" s="2352" t="s">
        <v>17273</v>
      </c>
      <c r="D3481" s="2352" t="s">
        <v>4329</v>
      </c>
      <c r="E3481" s="355" t="s">
        <v>17279</v>
      </c>
      <c r="F3481" s="1662" t="s">
        <v>17290</v>
      </c>
    </row>
    <row r="3482" spans="1:6" ht="15" customHeight="1" x14ac:dyDescent="0.25">
      <c r="A3482" s="2352" t="s">
        <v>17308</v>
      </c>
      <c r="B3482" s="2352" t="s">
        <v>4204</v>
      </c>
      <c r="C3482" s="2352" t="s">
        <v>17273</v>
      </c>
      <c r="D3482" s="2352" t="s">
        <v>4330</v>
      </c>
      <c r="E3482" s="355" t="s">
        <v>17309</v>
      </c>
      <c r="F3482" s="1662" t="s">
        <v>17289</v>
      </c>
    </row>
    <row r="3483" spans="1:6" ht="15" customHeight="1" x14ac:dyDescent="0.25">
      <c r="A3483" s="2352" t="s">
        <v>17308</v>
      </c>
      <c r="B3483" s="2352" t="s">
        <v>4204</v>
      </c>
      <c r="C3483" s="2352" t="s">
        <v>17273</v>
      </c>
      <c r="D3483" s="2352" t="s">
        <v>4331</v>
      </c>
      <c r="E3483" s="355" t="s">
        <v>17281</v>
      </c>
      <c r="F3483" s="1662" t="s">
        <v>17300</v>
      </c>
    </row>
    <row r="3484" spans="1:6" ht="15" customHeight="1" x14ac:dyDescent="0.25">
      <c r="A3484" s="2352" t="s">
        <v>17308</v>
      </c>
      <c r="B3484" s="2352" t="s">
        <v>4204</v>
      </c>
      <c r="C3484" s="2352" t="s">
        <v>17273</v>
      </c>
      <c r="D3484" s="2352" t="s">
        <v>4332</v>
      </c>
      <c r="E3484" s="355" t="s">
        <v>17288</v>
      </c>
      <c r="F3484" s="1662" t="s">
        <v>17290</v>
      </c>
    </row>
    <row r="3485" spans="1:6" ht="15" customHeight="1" x14ac:dyDescent="0.25">
      <c r="A3485" s="2352" t="s">
        <v>17308</v>
      </c>
      <c r="B3485" s="2352" t="s">
        <v>4204</v>
      </c>
      <c r="C3485" s="2352" t="s">
        <v>17273</v>
      </c>
      <c r="D3485" s="2352" t="s">
        <v>4333</v>
      </c>
      <c r="E3485" s="355" t="s">
        <v>17279</v>
      </c>
      <c r="F3485" s="1662" t="s">
        <v>17291</v>
      </c>
    </row>
    <row r="3486" spans="1:6" ht="15" customHeight="1" x14ac:dyDescent="0.25">
      <c r="A3486" s="2352" t="s">
        <v>4263</v>
      </c>
      <c r="B3486" s="2352" t="s">
        <v>4204</v>
      </c>
      <c r="C3486" s="2352" t="s">
        <v>17273</v>
      </c>
      <c r="D3486" s="2352" t="s">
        <v>4334</v>
      </c>
      <c r="E3486" s="355" t="s">
        <v>17280</v>
      </c>
      <c r="F3486" s="1662" t="s">
        <v>17295</v>
      </c>
    </row>
    <row r="3487" spans="1:6" ht="15" customHeight="1" x14ac:dyDescent="0.25">
      <c r="A3487" s="2352" t="s">
        <v>4335</v>
      </c>
      <c r="B3487" s="2352" t="s">
        <v>4204</v>
      </c>
      <c r="C3487" s="2352" t="s">
        <v>17273</v>
      </c>
      <c r="D3487" s="2352" t="s">
        <v>4336</v>
      </c>
      <c r="E3487" s="355" t="s">
        <v>17310</v>
      </c>
      <c r="F3487" s="1662" t="s">
        <v>17295</v>
      </c>
    </row>
    <row r="3488" spans="1:6" ht="15" customHeight="1" x14ac:dyDescent="0.25">
      <c r="A3488" s="2352" t="s">
        <v>4337</v>
      </c>
      <c r="B3488" s="2352" t="s">
        <v>4204</v>
      </c>
      <c r="C3488" s="2352" t="s">
        <v>17273</v>
      </c>
      <c r="D3488" s="2352" t="s">
        <v>4338</v>
      </c>
      <c r="E3488" s="355" t="s">
        <v>17311</v>
      </c>
      <c r="F3488" s="1662" t="s">
        <v>17312</v>
      </c>
    </row>
    <row r="3489" spans="1:6" ht="15" customHeight="1" x14ac:dyDescent="0.25">
      <c r="A3489" s="2352" t="s">
        <v>4339</v>
      </c>
      <c r="B3489" s="2352" t="s">
        <v>4204</v>
      </c>
      <c r="C3489" s="2352" t="s">
        <v>17273</v>
      </c>
      <c r="D3489" s="2352" t="s">
        <v>4340</v>
      </c>
      <c r="E3489" s="355" t="s">
        <v>17274</v>
      </c>
      <c r="F3489" s="1662" t="s">
        <v>17287</v>
      </c>
    </row>
    <row r="3490" spans="1:6" ht="15" customHeight="1" x14ac:dyDescent="0.25">
      <c r="A3490" s="2352" t="s">
        <v>17308</v>
      </c>
      <c r="B3490" s="2352" t="s">
        <v>4204</v>
      </c>
      <c r="C3490" s="2352" t="s">
        <v>17273</v>
      </c>
      <c r="D3490" s="2352" t="s">
        <v>4341</v>
      </c>
      <c r="E3490" s="355" t="s">
        <v>17288</v>
      </c>
      <c r="F3490" s="1662" t="s">
        <v>17313</v>
      </c>
    </row>
    <row r="3491" spans="1:6" ht="15" customHeight="1" x14ac:dyDescent="0.25">
      <c r="A3491" s="2352" t="s">
        <v>17308</v>
      </c>
      <c r="B3491" s="2352" t="s">
        <v>4204</v>
      </c>
      <c r="C3491" s="2352" t="s">
        <v>17273</v>
      </c>
      <c r="D3491" s="2352" t="s">
        <v>4342</v>
      </c>
      <c r="E3491" s="355" t="s">
        <v>17288</v>
      </c>
      <c r="F3491" s="1662" t="s">
        <v>17314</v>
      </c>
    </row>
    <row r="3492" spans="1:6" ht="15" customHeight="1" x14ac:dyDescent="0.25">
      <c r="A3492" s="2352" t="s">
        <v>17308</v>
      </c>
      <c r="B3492" s="2352" t="s">
        <v>4204</v>
      </c>
      <c r="C3492" s="2352" t="s">
        <v>17273</v>
      </c>
      <c r="D3492" s="2352" t="s">
        <v>4343</v>
      </c>
      <c r="E3492" s="355" t="s">
        <v>17315</v>
      </c>
      <c r="F3492" s="1662" t="s">
        <v>17316</v>
      </c>
    </row>
    <row r="3493" spans="1:6" ht="15" customHeight="1" x14ac:dyDescent="0.25">
      <c r="A3493" s="2352" t="s">
        <v>17308</v>
      </c>
      <c r="B3493" s="2352" t="s">
        <v>4204</v>
      </c>
      <c r="C3493" s="2352" t="s">
        <v>17273</v>
      </c>
      <c r="D3493" s="2352" t="s">
        <v>4344</v>
      </c>
      <c r="E3493" s="355" t="s">
        <v>17317</v>
      </c>
      <c r="F3493" s="1662" t="s">
        <v>17318</v>
      </c>
    </row>
    <row r="3494" spans="1:6" ht="15" customHeight="1" x14ac:dyDescent="0.25">
      <c r="A3494" s="2352" t="s">
        <v>17308</v>
      </c>
      <c r="B3494" s="2352" t="s">
        <v>4204</v>
      </c>
      <c r="C3494" s="2352" t="s">
        <v>17273</v>
      </c>
      <c r="D3494" s="2352" t="s">
        <v>4345</v>
      </c>
      <c r="E3494" s="355" t="s">
        <v>17319</v>
      </c>
      <c r="F3494" s="1662" t="s">
        <v>17313</v>
      </c>
    </row>
    <row r="3495" spans="1:6" ht="15" customHeight="1" x14ac:dyDescent="0.25">
      <c r="A3495" s="2352" t="s">
        <v>17320</v>
      </c>
      <c r="B3495" s="2352" t="s">
        <v>4204</v>
      </c>
      <c r="C3495" s="2352" t="s">
        <v>17273</v>
      </c>
      <c r="D3495" s="2352" t="s">
        <v>4346</v>
      </c>
      <c r="E3495" s="355" t="s">
        <v>17279</v>
      </c>
      <c r="F3495" s="1662" t="s">
        <v>17293</v>
      </c>
    </row>
    <row r="3496" spans="1:6" ht="15" customHeight="1" x14ac:dyDescent="0.25">
      <c r="A3496" s="2352" t="s">
        <v>17320</v>
      </c>
      <c r="B3496" s="2352" t="s">
        <v>4204</v>
      </c>
      <c r="C3496" s="2352" t="s">
        <v>17273</v>
      </c>
      <c r="D3496" s="2352" t="s">
        <v>4347</v>
      </c>
      <c r="E3496" s="355" t="s">
        <v>17280</v>
      </c>
      <c r="F3496" s="1662" t="s">
        <v>17295</v>
      </c>
    </row>
    <row r="3497" spans="1:6" ht="15" customHeight="1" x14ac:dyDescent="0.25">
      <c r="A3497" s="2352" t="s">
        <v>3918</v>
      </c>
      <c r="B3497" s="2352" t="s">
        <v>4204</v>
      </c>
      <c r="C3497" s="2352" t="s">
        <v>17273</v>
      </c>
      <c r="D3497" s="2352" t="s">
        <v>4348</v>
      </c>
      <c r="E3497" s="355" t="s">
        <v>17297</v>
      </c>
      <c r="F3497" s="1662" t="s">
        <v>17299</v>
      </c>
    </row>
    <row r="3498" spans="1:6" ht="15" customHeight="1" x14ac:dyDescent="0.25">
      <c r="A3498" s="2352" t="s">
        <v>4349</v>
      </c>
      <c r="B3498" s="2352" t="s">
        <v>4204</v>
      </c>
      <c r="C3498" s="2352" t="s">
        <v>17273</v>
      </c>
      <c r="D3498" s="2352" t="s">
        <v>4350</v>
      </c>
      <c r="E3498" s="355" t="s">
        <v>17279</v>
      </c>
      <c r="F3498" s="1662" t="s">
        <v>17290</v>
      </c>
    </row>
    <row r="3499" spans="1:6" ht="15" customHeight="1" x14ac:dyDescent="0.25">
      <c r="A3499" s="2352" t="s">
        <v>4351</v>
      </c>
      <c r="B3499" s="2352" t="s">
        <v>4204</v>
      </c>
      <c r="C3499" s="2352" t="s">
        <v>17273</v>
      </c>
      <c r="D3499" s="2352" t="s">
        <v>4352</v>
      </c>
      <c r="E3499" s="355" t="s">
        <v>17281</v>
      </c>
      <c r="F3499" s="1662" t="s">
        <v>17318</v>
      </c>
    </row>
    <row r="3500" spans="1:6" ht="15" customHeight="1" x14ac:dyDescent="0.25">
      <c r="A3500" s="2352" t="s">
        <v>4353</v>
      </c>
      <c r="B3500" s="2352" t="s">
        <v>4204</v>
      </c>
      <c r="C3500" s="2352" t="s">
        <v>17273</v>
      </c>
      <c r="D3500" s="2352" t="s">
        <v>4354</v>
      </c>
      <c r="E3500" s="355" t="s">
        <v>17285</v>
      </c>
      <c r="F3500" s="1662" t="s">
        <v>17286</v>
      </c>
    </row>
    <row r="3501" spans="1:6" ht="15" customHeight="1" x14ac:dyDescent="0.25">
      <c r="A3501" s="2352" t="s">
        <v>4355</v>
      </c>
      <c r="B3501" s="2352" t="s">
        <v>4204</v>
      </c>
      <c r="C3501" s="2352" t="s">
        <v>17273</v>
      </c>
      <c r="D3501" s="2352" t="s">
        <v>4356</v>
      </c>
      <c r="E3501" s="355" t="s">
        <v>17279</v>
      </c>
      <c r="F3501" s="1662" t="s">
        <v>17300</v>
      </c>
    </row>
    <row r="3502" spans="1:6" ht="15" customHeight="1" x14ac:dyDescent="0.25">
      <c r="A3502" s="2352" t="s">
        <v>4357</v>
      </c>
      <c r="B3502" s="2352" t="s">
        <v>4204</v>
      </c>
      <c r="C3502" s="2352" t="s">
        <v>17273</v>
      </c>
      <c r="D3502" s="2352" t="s">
        <v>4358</v>
      </c>
      <c r="E3502" s="355" t="s">
        <v>17311</v>
      </c>
      <c r="F3502" s="1662" t="s">
        <v>17287</v>
      </c>
    </row>
    <row r="3503" spans="1:6" ht="15" customHeight="1" x14ac:dyDescent="0.25">
      <c r="A3503" s="2352" t="s">
        <v>4359</v>
      </c>
      <c r="B3503" s="2352" t="s">
        <v>4204</v>
      </c>
      <c r="C3503" s="2352" t="s">
        <v>17273</v>
      </c>
      <c r="D3503" s="2352" t="s">
        <v>4360</v>
      </c>
      <c r="E3503" s="355" t="s">
        <v>17285</v>
      </c>
      <c r="F3503" s="1662" t="s">
        <v>17321</v>
      </c>
    </row>
    <row r="3504" spans="1:6" ht="15" customHeight="1" x14ac:dyDescent="0.25">
      <c r="A3504" s="2352" t="s">
        <v>4361</v>
      </c>
      <c r="B3504" s="2352" t="s">
        <v>4204</v>
      </c>
      <c r="C3504" s="2352" t="s">
        <v>17273</v>
      </c>
      <c r="D3504" s="2352" t="s">
        <v>4362</v>
      </c>
      <c r="E3504" s="355" t="s">
        <v>17280</v>
      </c>
      <c r="F3504" s="1662" t="s">
        <v>17303</v>
      </c>
    </row>
    <row r="3505" spans="1:6" ht="15" customHeight="1" x14ac:dyDescent="0.25">
      <c r="A3505" s="2352" t="s">
        <v>4363</v>
      </c>
      <c r="B3505" s="2352" t="s">
        <v>4204</v>
      </c>
      <c r="C3505" s="2352" t="s">
        <v>17273</v>
      </c>
      <c r="D3505" s="2352" t="s">
        <v>4364</v>
      </c>
      <c r="E3505" s="355" t="s">
        <v>17282</v>
      </c>
      <c r="F3505" s="1662" t="s">
        <v>17286</v>
      </c>
    </row>
    <row r="3506" spans="1:6" ht="15" customHeight="1" x14ac:dyDescent="0.25">
      <c r="A3506" s="2352" t="s">
        <v>4365</v>
      </c>
      <c r="B3506" s="2352" t="s">
        <v>4204</v>
      </c>
      <c r="C3506" s="2352" t="s">
        <v>17273</v>
      </c>
      <c r="D3506" s="2352" t="s">
        <v>4366</v>
      </c>
      <c r="E3506" s="355" t="s">
        <v>17276</v>
      </c>
      <c r="F3506" s="1662" t="s">
        <v>17289</v>
      </c>
    </row>
    <row r="3507" spans="1:6" ht="15" customHeight="1" x14ac:dyDescent="0.25">
      <c r="A3507" s="2352" t="s">
        <v>4367</v>
      </c>
      <c r="B3507" s="2352" t="s">
        <v>4204</v>
      </c>
      <c r="C3507" s="2352" t="s">
        <v>17273</v>
      </c>
      <c r="D3507" s="2352" t="s">
        <v>4368</v>
      </c>
      <c r="E3507" s="355" t="s">
        <v>17311</v>
      </c>
      <c r="F3507" s="1662" t="s">
        <v>17295</v>
      </c>
    </row>
    <row r="3508" spans="1:6" ht="15" customHeight="1" x14ac:dyDescent="0.25">
      <c r="A3508" s="2352" t="s">
        <v>4369</v>
      </c>
      <c r="B3508" s="2352" t="s">
        <v>4204</v>
      </c>
      <c r="C3508" s="2352" t="s">
        <v>17273</v>
      </c>
      <c r="D3508" s="2352" t="s">
        <v>4370</v>
      </c>
      <c r="E3508" s="355" t="s">
        <v>17279</v>
      </c>
      <c r="F3508" s="1662" t="s">
        <v>17289</v>
      </c>
    </row>
    <row r="3509" spans="1:6" ht="15" customHeight="1" x14ac:dyDescent="0.25">
      <c r="A3509" s="2352" t="s">
        <v>4369</v>
      </c>
      <c r="B3509" s="2352" t="s">
        <v>4204</v>
      </c>
      <c r="C3509" s="2352" t="s">
        <v>17273</v>
      </c>
      <c r="D3509" s="2352" t="s">
        <v>4371</v>
      </c>
      <c r="E3509" s="355" t="s">
        <v>17317</v>
      </c>
      <c r="F3509" s="1662" t="s">
        <v>17322</v>
      </c>
    </row>
    <row r="3510" spans="1:6" ht="15" customHeight="1" x14ac:dyDescent="0.25">
      <c r="A3510" s="2352" t="s">
        <v>4372</v>
      </c>
      <c r="B3510" s="2352" t="s">
        <v>4204</v>
      </c>
      <c r="C3510" s="2352" t="s">
        <v>17273</v>
      </c>
      <c r="D3510" s="2352" t="s">
        <v>4373</v>
      </c>
      <c r="E3510" s="355" t="s">
        <v>17285</v>
      </c>
      <c r="F3510" s="1662" t="s">
        <v>17286</v>
      </c>
    </row>
    <row r="3511" spans="1:6" ht="15" customHeight="1" x14ac:dyDescent="0.25">
      <c r="A3511" s="2352" t="s">
        <v>4374</v>
      </c>
      <c r="B3511" s="2352" t="s">
        <v>4204</v>
      </c>
      <c r="C3511" s="2352" t="s">
        <v>17273</v>
      </c>
      <c r="D3511" s="2352" t="s">
        <v>4375</v>
      </c>
      <c r="E3511" s="355" t="s">
        <v>17280</v>
      </c>
      <c r="F3511" s="1662" t="s">
        <v>17295</v>
      </c>
    </row>
    <row r="3512" spans="1:6" ht="15" customHeight="1" x14ac:dyDescent="0.25">
      <c r="A3512" s="2352" t="s">
        <v>4376</v>
      </c>
      <c r="B3512" s="2352" t="s">
        <v>4204</v>
      </c>
      <c r="C3512" s="2352" t="s">
        <v>17273</v>
      </c>
      <c r="D3512" s="2352" t="s">
        <v>4377</v>
      </c>
      <c r="E3512" s="355" t="s">
        <v>17280</v>
      </c>
      <c r="F3512" s="1662" t="s">
        <v>17287</v>
      </c>
    </row>
    <row r="3513" spans="1:6" ht="15" customHeight="1" x14ac:dyDescent="0.25">
      <c r="A3513" s="2352" t="s">
        <v>4128</v>
      </c>
      <c r="B3513" s="2352" t="s">
        <v>4204</v>
      </c>
      <c r="C3513" s="2352" t="s">
        <v>17273</v>
      </c>
      <c r="D3513" s="2352" t="s">
        <v>4378</v>
      </c>
      <c r="E3513" s="355" t="s">
        <v>17276</v>
      </c>
      <c r="F3513" s="1662" t="s">
        <v>17321</v>
      </c>
    </row>
    <row r="3514" spans="1:6" ht="15" customHeight="1" x14ac:dyDescent="0.25">
      <c r="A3514" s="2352" t="s">
        <v>4379</v>
      </c>
      <c r="B3514" s="2352" t="s">
        <v>4204</v>
      </c>
      <c r="C3514" s="2352" t="s">
        <v>17273</v>
      </c>
      <c r="D3514" s="2352" t="s">
        <v>4380</v>
      </c>
      <c r="E3514" s="355" t="s">
        <v>17285</v>
      </c>
      <c r="F3514" s="1662" t="s">
        <v>17287</v>
      </c>
    </row>
    <row r="3515" spans="1:6" ht="15" customHeight="1" x14ac:dyDescent="0.25">
      <c r="A3515" s="2352" t="s">
        <v>4381</v>
      </c>
      <c r="B3515" s="2352" t="s">
        <v>4204</v>
      </c>
      <c r="C3515" s="2352" t="s">
        <v>17273</v>
      </c>
      <c r="D3515" s="2352" t="s">
        <v>4382</v>
      </c>
      <c r="E3515" s="355" t="s">
        <v>17280</v>
      </c>
      <c r="F3515" s="1662" t="s">
        <v>17295</v>
      </c>
    </row>
    <row r="3516" spans="1:6" ht="15" customHeight="1" x14ac:dyDescent="0.25">
      <c r="A3516" s="2352" t="s">
        <v>4383</v>
      </c>
      <c r="B3516" s="2352" t="s">
        <v>4204</v>
      </c>
      <c r="C3516" s="2352" t="s">
        <v>17273</v>
      </c>
      <c r="D3516" s="2352" t="s">
        <v>4384</v>
      </c>
      <c r="E3516" s="355" t="s">
        <v>17279</v>
      </c>
      <c r="F3516" s="1662" t="s">
        <v>17290</v>
      </c>
    </row>
    <row r="3517" spans="1:6" ht="15" customHeight="1" x14ac:dyDescent="0.25">
      <c r="A3517" s="2352" t="s">
        <v>4385</v>
      </c>
      <c r="B3517" s="2352" t="s">
        <v>4204</v>
      </c>
      <c r="C3517" s="2352" t="s">
        <v>17273</v>
      </c>
      <c r="D3517" s="2352" t="s">
        <v>4386</v>
      </c>
      <c r="E3517" s="355" t="s">
        <v>17310</v>
      </c>
      <c r="F3517" s="1662" t="s">
        <v>17295</v>
      </c>
    </row>
    <row r="3518" spans="1:6" ht="15" customHeight="1" x14ac:dyDescent="0.25">
      <c r="A3518" s="2352" t="s">
        <v>4387</v>
      </c>
      <c r="B3518" s="2352" t="s">
        <v>4204</v>
      </c>
      <c r="C3518" s="2352" t="s">
        <v>17273</v>
      </c>
      <c r="D3518" s="2352" t="s">
        <v>4388</v>
      </c>
      <c r="E3518" s="355" t="s">
        <v>17285</v>
      </c>
      <c r="F3518" s="1662" t="s">
        <v>17286</v>
      </c>
    </row>
    <row r="3519" spans="1:6" ht="15" customHeight="1" x14ac:dyDescent="0.25">
      <c r="A3519" s="2352" t="s">
        <v>4389</v>
      </c>
      <c r="B3519" s="2352" t="s">
        <v>4204</v>
      </c>
      <c r="C3519" s="2352" t="s">
        <v>17273</v>
      </c>
      <c r="D3519" s="2352" t="s">
        <v>4390</v>
      </c>
      <c r="E3519" s="355" t="s">
        <v>17276</v>
      </c>
      <c r="F3519" s="1662" t="s">
        <v>17291</v>
      </c>
    </row>
    <row r="3520" spans="1:6" ht="15" customHeight="1" x14ac:dyDescent="0.25">
      <c r="A3520" s="2352" t="s">
        <v>4391</v>
      </c>
      <c r="B3520" s="2352" t="s">
        <v>4204</v>
      </c>
      <c r="C3520" s="2352" t="s">
        <v>17273</v>
      </c>
      <c r="D3520" s="2352" t="s">
        <v>4392</v>
      </c>
      <c r="E3520" s="355" t="s">
        <v>17276</v>
      </c>
      <c r="F3520" s="1662" t="s">
        <v>17289</v>
      </c>
    </row>
    <row r="3521" spans="1:6" ht="15" customHeight="1" x14ac:dyDescent="0.25">
      <c r="A3521" s="2352" t="s">
        <v>17323</v>
      </c>
      <c r="B3521" s="2352" t="s">
        <v>4204</v>
      </c>
      <c r="C3521" s="2352" t="s">
        <v>17273</v>
      </c>
      <c r="D3521" s="2352" t="s">
        <v>4393</v>
      </c>
      <c r="E3521" s="355" t="s">
        <v>17279</v>
      </c>
      <c r="F3521" s="1662" t="s">
        <v>17290</v>
      </c>
    </row>
    <row r="3522" spans="1:6" ht="15" customHeight="1" x14ac:dyDescent="0.25">
      <c r="A3522" s="2352" t="s">
        <v>4351</v>
      </c>
      <c r="B3522" s="2352" t="s">
        <v>4204</v>
      </c>
      <c r="C3522" s="2352" t="s">
        <v>17273</v>
      </c>
      <c r="D3522" s="2352" t="s">
        <v>4394</v>
      </c>
      <c r="E3522" s="355" t="s">
        <v>17285</v>
      </c>
      <c r="F3522" s="1662" t="s">
        <v>17286</v>
      </c>
    </row>
    <row r="3523" spans="1:6" ht="15" customHeight="1" x14ac:dyDescent="0.25">
      <c r="A3523" s="2352" t="s">
        <v>4351</v>
      </c>
      <c r="B3523" s="2352" t="s">
        <v>4204</v>
      </c>
      <c r="C3523" s="2352" t="s">
        <v>17273</v>
      </c>
      <c r="D3523" s="2352" t="s">
        <v>4395</v>
      </c>
      <c r="E3523" s="355" t="s">
        <v>17279</v>
      </c>
      <c r="F3523" s="1662" t="s">
        <v>17291</v>
      </c>
    </row>
    <row r="3524" spans="1:6" ht="15" customHeight="1" x14ac:dyDescent="0.25">
      <c r="A3524" s="2352" t="s">
        <v>4351</v>
      </c>
      <c r="B3524" s="2352" t="s">
        <v>4204</v>
      </c>
      <c r="C3524" s="2352" t="s">
        <v>17273</v>
      </c>
      <c r="D3524" s="2352" t="s">
        <v>4396</v>
      </c>
      <c r="E3524" s="355" t="s">
        <v>17288</v>
      </c>
      <c r="F3524" s="1662" t="s">
        <v>17290</v>
      </c>
    </row>
    <row r="3525" spans="1:6" ht="15" customHeight="1" x14ac:dyDescent="0.25">
      <c r="A3525" s="2352" t="s">
        <v>4351</v>
      </c>
      <c r="B3525" s="2352" t="s">
        <v>4204</v>
      </c>
      <c r="C3525" s="2352" t="s">
        <v>17273</v>
      </c>
      <c r="D3525" s="2352" t="s">
        <v>4397</v>
      </c>
      <c r="E3525" s="355" t="s">
        <v>17279</v>
      </c>
      <c r="F3525" s="1662" t="s">
        <v>17289</v>
      </c>
    </row>
    <row r="3526" spans="1:6" ht="15" customHeight="1" x14ac:dyDescent="0.25">
      <c r="A3526" s="2352" t="s">
        <v>4351</v>
      </c>
      <c r="B3526" s="2352" t="s">
        <v>4204</v>
      </c>
      <c r="C3526" s="2352" t="s">
        <v>17273</v>
      </c>
      <c r="D3526" s="2352" t="s">
        <v>4398</v>
      </c>
      <c r="E3526" s="355" t="s">
        <v>17276</v>
      </c>
      <c r="F3526" s="1662" t="s">
        <v>17291</v>
      </c>
    </row>
    <row r="3527" spans="1:6" ht="15" customHeight="1" x14ac:dyDescent="0.25">
      <c r="A3527" s="2352" t="s">
        <v>4351</v>
      </c>
      <c r="B3527" s="2352" t="s">
        <v>4204</v>
      </c>
      <c r="C3527" s="2352" t="s">
        <v>17273</v>
      </c>
      <c r="D3527" s="2352" t="s">
        <v>4399</v>
      </c>
      <c r="E3527" s="355" t="s">
        <v>17279</v>
      </c>
      <c r="F3527" s="1662" t="s">
        <v>17286</v>
      </c>
    </row>
    <row r="3528" spans="1:6" ht="15" customHeight="1" x14ac:dyDescent="0.25">
      <c r="A3528" s="2352" t="s">
        <v>4351</v>
      </c>
      <c r="B3528" s="2352" t="s">
        <v>4204</v>
      </c>
      <c r="C3528" s="2352" t="s">
        <v>17273</v>
      </c>
      <c r="D3528" s="2352" t="s">
        <v>4400</v>
      </c>
      <c r="E3528" s="355" t="s">
        <v>17288</v>
      </c>
      <c r="F3528" s="1662" t="s">
        <v>17289</v>
      </c>
    </row>
    <row r="3529" spans="1:6" ht="15" customHeight="1" x14ac:dyDescent="0.25">
      <c r="A3529" s="2352" t="s">
        <v>4351</v>
      </c>
      <c r="B3529" s="2352" t="s">
        <v>4204</v>
      </c>
      <c r="C3529" s="2352" t="s">
        <v>17273</v>
      </c>
      <c r="D3529" s="2352" t="s">
        <v>4401</v>
      </c>
      <c r="E3529" s="355" t="s">
        <v>17324</v>
      </c>
      <c r="F3529" s="1662" t="s">
        <v>17293</v>
      </c>
    </row>
    <row r="3530" spans="1:6" ht="15" customHeight="1" x14ac:dyDescent="0.25">
      <c r="A3530" s="2352" t="s">
        <v>4402</v>
      </c>
      <c r="B3530" s="2352" t="s">
        <v>4204</v>
      </c>
      <c r="C3530" s="2352" t="s">
        <v>17273</v>
      </c>
      <c r="D3530" s="2352" t="s">
        <v>4403</v>
      </c>
      <c r="E3530" s="355" t="s">
        <v>17285</v>
      </c>
      <c r="F3530" s="1662" t="s">
        <v>17286</v>
      </c>
    </row>
    <row r="3531" spans="1:6" ht="15" customHeight="1" x14ac:dyDescent="0.25">
      <c r="A3531" s="2352" t="s">
        <v>4404</v>
      </c>
      <c r="B3531" s="2352" t="s">
        <v>4204</v>
      </c>
      <c r="C3531" s="2352" t="s">
        <v>17273</v>
      </c>
      <c r="D3531" s="2352" t="s">
        <v>4405</v>
      </c>
      <c r="E3531" s="355" t="s">
        <v>17276</v>
      </c>
      <c r="F3531" s="1662" t="s">
        <v>17289</v>
      </c>
    </row>
    <row r="3532" spans="1:6" ht="15" customHeight="1" x14ac:dyDescent="0.25">
      <c r="A3532" s="2352" t="s">
        <v>4404</v>
      </c>
      <c r="B3532" s="2352" t="s">
        <v>4204</v>
      </c>
      <c r="C3532" s="2352" t="s">
        <v>17273</v>
      </c>
      <c r="D3532" s="2352" t="s">
        <v>4406</v>
      </c>
      <c r="E3532" s="355" t="s">
        <v>17310</v>
      </c>
      <c r="F3532" s="1662" t="s">
        <v>17287</v>
      </c>
    </row>
    <row r="3533" spans="1:6" ht="15" customHeight="1" x14ac:dyDescent="0.25">
      <c r="A3533" s="2352" t="s">
        <v>4407</v>
      </c>
      <c r="B3533" s="2352" t="s">
        <v>4204</v>
      </c>
      <c r="C3533" s="2352" t="s">
        <v>17273</v>
      </c>
      <c r="D3533" s="2352" t="s">
        <v>4408</v>
      </c>
      <c r="E3533" s="355" t="s">
        <v>17274</v>
      </c>
      <c r="F3533" s="1662" t="s">
        <v>17287</v>
      </c>
    </row>
    <row r="3534" spans="1:6" ht="15" customHeight="1" x14ac:dyDescent="0.25">
      <c r="A3534" s="2352" t="s">
        <v>4351</v>
      </c>
      <c r="B3534" s="2352" t="s">
        <v>4204</v>
      </c>
      <c r="C3534" s="2352" t="s">
        <v>17273</v>
      </c>
      <c r="D3534" s="2352" t="s">
        <v>4409</v>
      </c>
      <c r="E3534" s="355" t="s">
        <v>17280</v>
      </c>
      <c r="F3534" s="1662" t="s">
        <v>17295</v>
      </c>
    </row>
    <row r="3535" spans="1:6" ht="15" customHeight="1" x14ac:dyDescent="0.25">
      <c r="A3535" s="2352" t="s">
        <v>4351</v>
      </c>
      <c r="B3535" s="2352" t="s">
        <v>4204</v>
      </c>
      <c r="C3535" s="2352" t="s">
        <v>17273</v>
      </c>
      <c r="D3535" s="2352" t="s">
        <v>4410</v>
      </c>
      <c r="E3535" s="355" t="s">
        <v>17279</v>
      </c>
      <c r="F3535" s="1662" t="s">
        <v>17325</v>
      </c>
    </row>
    <row r="3536" spans="1:6" ht="15" customHeight="1" x14ac:dyDescent="0.25">
      <c r="A3536" s="2352" t="s">
        <v>4411</v>
      </c>
      <c r="B3536" s="2352" t="s">
        <v>4204</v>
      </c>
      <c r="C3536" s="2352" t="s">
        <v>17273</v>
      </c>
      <c r="D3536" s="2352" t="s">
        <v>4412</v>
      </c>
      <c r="E3536" s="355" t="s">
        <v>17285</v>
      </c>
      <c r="F3536" s="1662" t="s">
        <v>17286</v>
      </c>
    </row>
    <row r="3537" spans="1:6" ht="15" customHeight="1" x14ac:dyDescent="0.25">
      <c r="A3537" s="2352" t="s">
        <v>4413</v>
      </c>
      <c r="B3537" s="2352" t="s">
        <v>4204</v>
      </c>
      <c r="C3537" s="2352" t="s">
        <v>17273</v>
      </c>
      <c r="D3537" s="2352" t="s">
        <v>4414</v>
      </c>
      <c r="E3537" s="355" t="s">
        <v>17274</v>
      </c>
      <c r="F3537" s="1662" t="s">
        <v>17303</v>
      </c>
    </row>
    <row r="3538" spans="1:6" ht="15" customHeight="1" x14ac:dyDescent="0.25">
      <c r="A3538" s="2352" t="s">
        <v>4415</v>
      </c>
      <c r="B3538" s="2352" t="s">
        <v>4204</v>
      </c>
      <c r="C3538" s="2352" t="s">
        <v>17273</v>
      </c>
      <c r="D3538" s="2352" t="s">
        <v>4416</v>
      </c>
      <c r="E3538" s="355" t="s">
        <v>17279</v>
      </c>
      <c r="F3538" s="1662" t="s">
        <v>17290</v>
      </c>
    </row>
    <row r="3539" spans="1:6" ht="15" customHeight="1" x14ac:dyDescent="0.25">
      <c r="A3539" s="2352" t="s">
        <v>4417</v>
      </c>
      <c r="B3539" s="2352" t="s">
        <v>4204</v>
      </c>
      <c r="C3539" s="2352" t="s">
        <v>17273</v>
      </c>
      <c r="D3539" s="2352" t="s">
        <v>4418</v>
      </c>
      <c r="E3539" s="355" t="s">
        <v>17285</v>
      </c>
      <c r="F3539" s="1662" t="s">
        <v>17321</v>
      </c>
    </row>
    <row r="3540" spans="1:6" ht="15" customHeight="1" x14ac:dyDescent="0.25">
      <c r="A3540" s="2352" t="s">
        <v>4419</v>
      </c>
      <c r="B3540" s="2352" t="s">
        <v>4204</v>
      </c>
      <c r="C3540" s="2352" t="s">
        <v>17273</v>
      </c>
      <c r="D3540" s="2352" t="s">
        <v>4420</v>
      </c>
      <c r="E3540" s="355" t="s">
        <v>17279</v>
      </c>
      <c r="F3540" s="1662" t="s">
        <v>17289</v>
      </c>
    </row>
    <row r="3541" spans="1:6" ht="15" customHeight="1" x14ac:dyDescent="0.25">
      <c r="A3541" s="2352" t="s">
        <v>4421</v>
      </c>
      <c r="B3541" s="2352" t="s">
        <v>4204</v>
      </c>
      <c r="C3541" s="2352" t="s">
        <v>17273</v>
      </c>
      <c r="D3541" s="2352" t="s">
        <v>4422</v>
      </c>
      <c r="E3541" s="355" t="s">
        <v>17285</v>
      </c>
      <c r="F3541" s="1662" t="s">
        <v>17286</v>
      </c>
    </row>
    <row r="3542" spans="1:6" ht="15" customHeight="1" x14ac:dyDescent="0.25">
      <c r="A3542" s="2352" t="s">
        <v>4423</v>
      </c>
      <c r="B3542" s="2352" t="s">
        <v>4204</v>
      </c>
      <c r="C3542" s="2352" t="s">
        <v>17273</v>
      </c>
      <c r="D3542" s="2352" t="s">
        <v>4424</v>
      </c>
      <c r="E3542" s="355" t="s">
        <v>17276</v>
      </c>
      <c r="F3542" s="1662" t="s">
        <v>17286</v>
      </c>
    </row>
    <row r="3543" spans="1:6" ht="15" customHeight="1" x14ac:dyDescent="0.25">
      <c r="A3543" s="2352" t="s">
        <v>4425</v>
      </c>
      <c r="B3543" s="2352" t="s">
        <v>4204</v>
      </c>
      <c r="C3543" s="2352" t="s">
        <v>17273</v>
      </c>
      <c r="D3543" s="2352" t="s">
        <v>4426</v>
      </c>
      <c r="E3543" s="355" t="s">
        <v>17279</v>
      </c>
      <c r="F3543" s="1662" t="s">
        <v>17291</v>
      </c>
    </row>
    <row r="3544" spans="1:6" ht="15" customHeight="1" x14ac:dyDescent="0.25">
      <c r="A3544" s="2352"/>
      <c r="B3544" s="2352" t="s">
        <v>4204</v>
      </c>
      <c r="C3544" s="2352" t="s">
        <v>17273</v>
      </c>
      <c r="D3544" s="2352" t="s">
        <v>4427</v>
      </c>
      <c r="E3544" s="355" t="s">
        <v>17317</v>
      </c>
      <c r="F3544" s="1662" t="s">
        <v>17326</v>
      </c>
    </row>
    <row r="3545" spans="1:6" ht="15" customHeight="1" x14ac:dyDescent="0.25">
      <c r="A3545" s="2352" t="s">
        <v>17327</v>
      </c>
      <c r="B3545" s="2352" t="s">
        <v>4204</v>
      </c>
      <c r="C3545" s="2352" t="s">
        <v>17273</v>
      </c>
      <c r="D3545" s="2352" t="s">
        <v>4428</v>
      </c>
      <c r="E3545" s="355" t="s">
        <v>17285</v>
      </c>
      <c r="F3545" s="1662" t="s">
        <v>17286</v>
      </c>
    </row>
    <row r="3546" spans="1:6" ht="15" customHeight="1" x14ac:dyDescent="0.25">
      <c r="A3546" s="2352" t="s">
        <v>4351</v>
      </c>
      <c r="B3546" s="2352" t="s">
        <v>4204</v>
      </c>
      <c r="C3546" s="2352" t="s">
        <v>17273</v>
      </c>
      <c r="D3546" s="2352" t="s">
        <v>4429</v>
      </c>
      <c r="E3546" s="355" t="s">
        <v>17279</v>
      </c>
      <c r="F3546" s="1662" t="s">
        <v>17289</v>
      </c>
    </row>
    <row r="3547" spans="1:6" ht="15" customHeight="1" x14ac:dyDescent="0.25">
      <c r="A3547" s="2352" t="s">
        <v>4351</v>
      </c>
      <c r="B3547" s="2352" t="s">
        <v>4204</v>
      </c>
      <c r="C3547" s="2352" t="s">
        <v>17273</v>
      </c>
      <c r="D3547" s="2352" t="s">
        <v>4427</v>
      </c>
      <c r="E3547" s="355" t="s">
        <v>17317</v>
      </c>
      <c r="F3547" s="1662" t="s">
        <v>17318</v>
      </c>
    </row>
    <row r="3548" spans="1:6" ht="15" customHeight="1" x14ac:dyDescent="0.25">
      <c r="A3548" s="2352" t="s">
        <v>4430</v>
      </c>
      <c r="B3548" s="2352" t="s">
        <v>4204</v>
      </c>
      <c r="C3548" s="2352" t="s">
        <v>17273</v>
      </c>
      <c r="D3548" s="2352" t="s">
        <v>4431</v>
      </c>
      <c r="E3548" s="355" t="s">
        <v>17276</v>
      </c>
      <c r="F3548" s="1662" t="s">
        <v>17287</v>
      </c>
    </row>
    <row r="3549" spans="1:6" ht="15" customHeight="1" x14ac:dyDescent="0.25">
      <c r="A3549" s="2352" t="s">
        <v>17328</v>
      </c>
      <c r="B3549" s="2352" t="s">
        <v>4204</v>
      </c>
      <c r="C3549" s="2352" t="s">
        <v>17273</v>
      </c>
      <c r="D3549" s="2352" t="s">
        <v>4432</v>
      </c>
      <c r="E3549" s="355" t="s">
        <v>17285</v>
      </c>
      <c r="F3549" s="1662" t="s">
        <v>17286</v>
      </c>
    </row>
    <row r="3550" spans="1:6" ht="15" customHeight="1" x14ac:dyDescent="0.25">
      <c r="A3550" s="2352" t="s">
        <v>4433</v>
      </c>
      <c r="B3550" s="2352" t="s">
        <v>4204</v>
      </c>
      <c r="C3550" s="2352" t="s">
        <v>17273</v>
      </c>
      <c r="D3550" s="2352" t="s">
        <v>4434</v>
      </c>
      <c r="E3550" s="355" t="s">
        <v>17285</v>
      </c>
      <c r="F3550" s="1662" t="s">
        <v>17286</v>
      </c>
    </row>
    <row r="3551" spans="1:6" ht="15" customHeight="1" x14ac:dyDescent="0.25">
      <c r="A3551" s="2352" t="s">
        <v>4351</v>
      </c>
      <c r="B3551" s="2352" t="s">
        <v>4204</v>
      </c>
      <c r="C3551" s="2352" t="s">
        <v>17273</v>
      </c>
      <c r="D3551" s="2352" t="s">
        <v>4435</v>
      </c>
      <c r="E3551" s="355" t="s">
        <v>17275</v>
      </c>
      <c r="F3551" s="1662" t="s">
        <v>17312</v>
      </c>
    </row>
    <row r="3552" spans="1:6" ht="15" customHeight="1" x14ac:dyDescent="0.25">
      <c r="A3552" s="2352" t="s">
        <v>4436</v>
      </c>
      <c r="B3552" s="2352" t="s">
        <v>4204</v>
      </c>
      <c r="C3552" s="2352" t="s">
        <v>17273</v>
      </c>
      <c r="D3552" s="2352" t="s">
        <v>4437</v>
      </c>
      <c r="E3552" s="355" t="s">
        <v>17282</v>
      </c>
      <c r="F3552" s="1662" t="s">
        <v>17287</v>
      </c>
    </row>
    <row r="3553" spans="1:6" ht="15" customHeight="1" x14ac:dyDescent="0.25">
      <c r="A3553" s="2352" t="s">
        <v>4438</v>
      </c>
      <c r="B3553" s="2352" t="s">
        <v>4204</v>
      </c>
      <c r="C3553" s="2352" t="s">
        <v>17273</v>
      </c>
      <c r="D3553" s="2352" t="s">
        <v>4439</v>
      </c>
      <c r="E3553" s="355" t="s">
        <v>17280</v>
      </c>
      <c r="F3553" s="1662" t="s">
        <v>17287</v>
      </c>
    </row>
    <row r="3554" spans="1:6" ht="15" customHeight="1" x14ac:dyDescent="0.25">
      <c r="A3554" s="2352" t="s">
        <v>4440</v>
      </c>
      <c r="B3554" s="2352" t="s">
        <v>4204</v>
      </c>
      <c r="C3554" s="2352" t="s">
        <v>17273</v>
      </c>
      <c r="D3554" s="2352" t="s">
        <v>4441</v>
      </c>
      <c r="E3554" s="355" t="s">
        <v>17288</v>
      </c>
      <c r="F3554" s="1662" t="s">
        <v>17314</v>
      </c>
    </row>
    <row r="3555" spans="1:6" ht="15" customHeight="1" x14ac:dyDescent="0.25">
      <c r="A3555" s="2352" t="s">
        <v>4440</v>
      </c>
      <c r="B3555" s="2352" t="s">
        <v>4204</v>
      </c>
      <c r="C3555" s="2352" t="s">
        <v>17273</v>
      </c>
      <c r="D3555" s="2352" t="s">
        <v>4442</v>
      </c>
      <c r="E3555" s="355" t="s">
        <v>17274</v>
      </c>
      <c r="F3555" s="1662" t="s">
        <v>17287</v>
      </c>
    </row>
    <row r="3556" spans="1:6" ht="15" customHeight="1" x14ac:dyDescent="0.25">
      <c r="A3556" s="2352" t="s">
        <v>4440</v>
      </c>
      <c r="B3556" s="2352" t="s">
        <v>4204</v>
      </c>
      <c r="C3556" s="2352" t="s">
        <v>17273</v>
      </c>
      <c r="D3556" s="2352" t="s">
        <v>4443</v>
      </c>
      <c r="E3556" s="355" t="s">
        <v>17288</v>
      </c>
      <c r="F3556" s="1662" t="s">
        <v>17329</v>
      </c>
    </row>
    <row r="3557" spans="1:6" ht="15" customHeight="1" x14ac:dyDescent="0.25">
      <c r="A3557" s="2352" t="s">
        <v>4444</v>
      </c>
      <c r="B3557" s="2352" t="s">
        <v>4204</v>
      </c>
      <c r="C3557" s="2352" t="s">
        <v>17273</v>
      </c>
      <c r="D3557" s="2352" t="s">
        <v>4445</v>
      </c>
      <c r="E3557" s="355" t="s">
        <v>17310</v>
      </c>
      <c r="F3557" s="1662" t="s">
        <v>17295</v>
      </c>
    </row>
    <row r="3558" spans="1:6" ht="15" customHeight="1" x14ac:dyDescent="0.25">
      <c r="A3558" s="2352" t="s">
        <v>17330</v>
      </c>
      <c r="B3558" s="2352" t="s">
        <v>4204</v>
      </c>
      <c r="C3558" s="2352" t="s">
        <v>17273</v>
      </c>
      <c r="D3558" s="2352" t="s">
        <v>4446</v>
      </c>
      <c r="E3558" s="355" t="s">
        <v>17282</v>
      </c>
      <c r="F3558" s="1662" t="s">
        <v>17287</v>
      </c>
    </row>
    <row r="3559" spans="1:6" ht="15" customHeight="1" x14ac:dyDescent="0.25">
      <c r="A3559" s="2352" t="s">
        <v>17331</v>
      </c>
      <c r="B3559" s="2352" t="s">
        <v>4204</v>
      </c>
      <c r="C3559" s="2352" t="s">
        <v>17273</v>
      </c>
      <c r="D3559" s="2352" t="s">
        <v>4447</v>
      </c>
      <c r="E3559" s="355" t="s">
        <v>17276</v>
      </c>
      <c r="F3559" s="1662" t="s">
        <v>17289</v>
      </c>
    </row>
    <row r="3560" spans="1:6" ht="15" customHeight="1" x14ac:dyDescent="0.25">
      <c r="A3560" s="2352" t="s">
        <v>17332</v>
      </c>
      <c r="B3560" s="2352" t="s">
        <v>4204</v>
      </c>
      <c r="C3560" s="2352" t="s">
        <v>17273</v>
      </c>
      <c r="D3560" s="2352" t="s">
        <v>4448</v>
      </c>
      <c r="E3560" s="355" t="s">
        <v>17288</v>
      </c>
      <c r="F3560" s="1662" t="s">
        <v>17333</v>
      </c>
    </row>
    <row r="3561" spans="1:6" ht="15" customHeight="1" x14ac:dyDescent="0.25">
      <c r="A3561" s="2352" t="s">
        <v>17334</v>
      </c>
      <c r="B3561" s="2352" t="s">
        <v>4204</v>
      </c>
      <c r="C3561" s="2352" t="s">
        <v>17273</v>
      </c>
      <c r="D3561" s="2352" t="s">
        <v>4449</v>
      </c>
      <c r="E3561" s="355" t="s">
        <v>17276</v>
      </c>
      <c r="F3561" s="1662" t="s">
        <v>17290</v>
      </c>
    </row>
    <row r="3562" spans="1:6" ht="15" customHeight="1" x14ac:dyDescent="0.25">
      <c r="A3562" s="2352" t="s">
        <v>17335</v>
      </c>
      <c r="B3562" s="2352" t="s">
        <v>4204</v>
      </c>
      <c r="C3562" s="2352" t="s">
        <v>17273</v>
      </c>
      <c r="D3562" s="2352" t="s">
        <v>4450</v>
      </c>
      <c r="E3562" s="355" t="s">
        <v>17275</v>
      </c>
      <c r="F3562" s="1662" t="s">
        <v>17295</v>
      </c>
    </row>
    <row r="3563" spans="1:6" ht="15" customHeight="1" x14ac:dyDescent="0.25">
      <c r="A3563" s="2352" t="s">
        <v>17336</v>
      </c>
      <c r="B3563" s="2352" t="s">
        <v>4204</v>
      </c>
      <c r="C3563" s="2352" t="s">
        <v>17273</v>
      </c>
      <c r="D3563" s="2352" t="s">
        <v>4451</v>
      </c>
      <c r="E3563" s="355" t="s">
        <v>17310</v>
      </c>
      <c r="F3563" s="1662" t="s">
        <v>17295</v>
      </c>
    </row>
    <row r="3564" spans="1:6" ht="15" customHeight="1" x14ac:dyDescent="0.25">
      <c r="A3564" s="2352" t="s">
        <v>17337</v>
      </c>
      <c r="B3564" s="2352" t="s">
        <v>4204</v>
      </c>
      <c r="C3564" s="2352" t="s">
        <v>17273</v>
      </c>
      <c r="D3564" s="2352" t="s">
        <v>4452</v>
      </c>
      <c r="E3564" s="355" t="s">
        <v>17310</v>
      </c>
      <c r="F3564" s="1662" t="s">
        <v>17295</v>
      </c>
    </row>
    <row r="3565" spans="1:6" ht="15" customHeight="1" x14ac:dyDescent="0.25">
      <c r="A3565" s="2352" t="s">
        <v>17338</v>
      </c>
      <c r="B3565" s="2352" t="s">
        <v>4204</v>
      </c>
      <c r="C3565" s="2352" t="s">
        <v>17273</v>
      </c>
      <c r="D3565" s="2352" t="s">
        <v>4453</v>
      </c>
      <c r="E3565" s="355" t="s">
        <v>17280</v>
      </c>
      <c r="F3565" s="1662" t="s">
        <v>17287</v>
      </c>
    </row>
    <row r="3566" spans="1:6" ht="15" customHeight="1" x14ac:dyDescent="0.25">
      <c r="A3566" s="2352" t="s">
        <v>17339</v>
      </c>
      <c r="B3566" s="2352" t="s">
        <v>4204</v>
      </c>
      <c r="C3566" s="2352" t="s">
        <v>17273</v>
      </c>
      <c r="D3566" s="2352" t="s">
        <v>4454</v>
      </c>
      <c r="E3566" s="355" t="s">
        <v>17274</v>
      </c>
      <c r="F3566" s="1662" t="s">
        <v>17287</v>
      </c>
    </row>
    <row r="3567" spans="1:6" ht="15" customHeight="1" x14ac:dyDescent="0.25">
      <c r="A3567" s="2352" t="s">
        <v>17340</v>
      </c>
      <c r="B3567" s="2352" t="s">
        <v>4204</v>
      </c>
      <c r="C3567" s="2352" t="s">
        <v>17273</v>
      </c>
      <c r="D3567" s="2352" t="s">
        <v>4455</v>
      </c>
      <c r="E3567" s="355" t="s">
        <v>17279</v>
      </c>
      <c r="F3567" s="1662" t="s">
        <v>17291</v>
      </c>
    </row>
    <row r="3568" spans="1:6" ht="15" customHeight="1" x14ac:dyDescent="0.25">
      <c r="A3568" s="2352" t="s">
        <v>17341</v>
      </c>
      <c r="B3568" s="2352" t="s">
        <v>4204</v>
      </c>
      <c r="C3568" s="2352" t="s">
        <v>17273</v>
      </c>
      <c r="D3568" s="2352" t="s">
        <v>4456</v>
      </c>
      <c r="E3568" s="355" t="s">
        <v>17280</v>
      </c>
      <c r="F3568" s="1662" t="s">
        <v>17287</v>
      </c>
    </row>
    <row r="3569" spans="1:6" ht="15" customHeight="1" x14ac:dyDescent="0.25">
      <c r="A3569" s="2352" t="s">
        <v>3783</v>
      </c>
      <c r="B3569" s="2352" t="s">
        <v>4204</v>
      </c>
      <c r="C3569" s="2352" t="s">
        <v>17273</v>
      </c>
      <c r="D3569" s="2352" t="s">
        <v>4457</v>
      </c>
      <c r="E3569" s="355" t="s">
        <v>17285</v>
      </c>
      <c r="F3569" s="1662" t="s">
        <v>17303</v>
      </c>
    </row>
    <row r="3570" spans="1:6" ht="15" customHeight="1" x14ac:dyDescent="0.25">
      <c r="A3570" s="2352" t="s">
        <v>17342</v>
      </c>
      <c r="B3570" s="2352" t="s">
        <v>4204</v>
      </c>
      <c r="C3570" s="2352" t="s">
        <v>17273</v>
      </c>
      <c r="D3570" s="2352" t="s">
        <v>4458</v>
      </c>
      <c r="E3570" s="355" t="s">
        <v>17280</v>
      </c>
      <c r="F3570" s="1662" t="s">
        <v>17287</v>
      </c>
    </row>
    <row r="3571" spans="1:6" ht="15" customHeight="1" x14ac:dyDescent="0.25">
      <c r="A3571" s="2352" t="s">
        <v>4459</v>
      </c>
      <c r="B3571" s="2352" t="s">
        <v>4204</v>
      </c>
      <c r="C3571" s="2352" t="s">
        <v>17273</v>
      </c>
      <c r="D3571" s="2352" t="s">
        <v>4460</v>
      </c>
      <c r="E3571" s="355" t="s">
        <v>17276</v>
      </c>
      <c r="F3571" s="1662">
        <v>0</v>
      </c>
    </row>
    <row r="3572" spans="1:6" ht="15" customHeight="1" x14ac:dyDescent="0.25">
      <c r="A3572" s="2352" t="s">
        <v>4459</v>
      </c>
      <c r="B3572" s="2352" t="s">
        <v>4204</v>
      </c>
      <c r="C3572" s="2352" t="s">
        <v>17273</v>
      </c>
      <c r="D3572" s="2352" t="s">
        <v>4461</v>
      </c>
      <c r="E3572" s="355" t="s">
        <v>17274</v>
      </c>
      <c r="F3572" s="1662" t="s">
        <v>17287</v>
      </c>
    </row>
    <row r="3573" spans="1:6" ht="15" customHeight="1" x14ac:dyDescent="0.25">
      <c r="A3573" s="2352" t="s">
        <v>4459</v>
      </c>
      <c r="B3573" s="2352" t="s">
        <v>4204</v>
      </c>
      <c r="C3573" s="2352" t="s">
        <v>17273</v>
      </c>
      <c r="D3573" s="2352" t="s">
        <v>4462</v>
      </c>
      <c r="E3573" s="355" t="s">
        <v>17281</v>
      </c>
      <c r="F3573" s="1662" t="s">
        <v>17316</v>
      </c>
    </row>
    <row r="3574" spans="1:6" ht="15" customHeight="1" x14ac:dyDescent="0.25">
      <c r="A3574" s="2352" t="s">
        <v>4459</v>
      </c>
      <c r="B3574" s="2352" t="s">
        <v>4204</v>
      </c>
      <c r="C3574" s="2352" t="s">
        <v>17273</v>
      </c>
      <c r="D3574" s="2352" t="s">
        <v>4463</v>
      </c>
      <c r="E3574" s="355" t="s">
        <v>17343</v>
      </c>
      <c r="F3574" s="1662" t="s">
        <v>17299</v>
      </c>
    </row>
    <row r="3575" spans="1:6" ht="15" customHeight="1" x14ac:dyDescent="0.25">
      <c r="A3575" s="2352" t="s">
        <v>4464</v>
      </c>
      <c r="B3575" s="2352" t="s">
        <v>4204</v>
      </c>
      <c r="C3575" s="2352" t="s">
        <v>17273</v>
      </c>
      <c r="D3575" s="2352" t="s">
        <v>4465</v>
      </c>
      <c r="E3575" s="355" t="s">
        <v>17280</v>
      </c>
      <c r="F3575" s="1662" t="s">
        <v>17295</v>
      </c>
    </row>
    <row r="3576" spans="1:6" ht="15" customHeight="1" x14ac:dyDescent="0.25">
      <c r="A3576" s="2352" t="s">
        <v>17344</v>
      </c>
      <c r="B3576" s="2352" t="s">
        <v>4204</v>
      </c>
      <c r="C3576" s="2352" t="s">
        <v>17273</v>
      </c>
      <c r="D3576" s="2352" t="s">
        <v>4466</v>
      </c>
      <c r="E3576" s="355" t="s">
        <v>17279</v>
      </c>
      <c r="F3576" s="1662" t="s">
        <v>17325</v>
      </c>
    </row>
    <row r="3577" spans="1:6" ht="15" customHeight="1" x14ac:dyDescent="0.25">
      <c r="A3577" s="2352" t="s">
        <v>4459</v>
      </c>
      <c r="B3577" s="2352" t="s">
        <v>4204</v>
      </c>
      <c r="C3577" s="2352" t="s">
        <v>17273</v>
      </c>
      <c r="D3577" s="2352" t="s">
        <v>4467</v>
      </c>
      <c r="E3577" s="355" t="s">
        <v>17279</v>
      </c>
      <c r="F3577" s="1662" t="s">
        <v>17291</v>
      </c>
    </row>
    <row r="3578" spans="1:6" ht="15" customHeight="1" x14ac:dyDescent="0.25">
      <c r="A3578" s="2352" t="s">
        <v>17345</v>
      </c>
      <c r="B3578" s="2352" t="s">
        <v>4204</v>
      </c>
      <c r="C3578" s="2352" t="s">
        <v>17273</v>
      </c>
      <c r="D3578" s="2352" t="s">
        <v>4468</v>
      </c>
      <c r="E3578" s="355" t="s">
        <v>17280</v>
      </c>
      <c r="F3578" s="1662" t="s">
        <v>17287</v>
      </c>
    </row>
    <row r="3579" spans="1:6" ht="15" customHeight="1" x14ac:dyDescent="0.25">
      <c r="A3579" s="2352" t="s">
        <v>17346</v>
      </c>
      <c r="B3579" s="2352" t="s">
        <v>4204</v>
      </c>
      <c r="C3579" s="2352" t="s">
        <v>17273</v>
      </c>
      <c r="D3579" s="2352" t="s">
        <v>4469</v>
      </c>
      <c r="E3579" s="355" t="s">
        <v>17285</v>
      </c>
      <c r="F3579" s="1662" t="s">
        <v>17286</v>
      </c>
    </row>
    <row r="3580" spans="1:6" ht="15" customHeight="1" x14ac:dyDescent="0.25">
      <c r="A3580" s="2352" t="s">
        <v>17347</v>
      </c>
      <c r="B3580" s="2352" t="s">
        <v>4204</v>
      </c>
      <c r="C3580" s="2352" t="s">
        <v>17273</v>
      </c>
      <c r="D3580" s="2352" t="s">
        <v>4470</v>
      </c>
      <c r="E3580" s="355" t="s">
        <v>17311</v>
      </c>
      <c r="F3580" s="1662" t="s">
        <v>17295</v>
      </c>
    </row>
    <row r="3581" spans="1:6" ht="15" customHeight="1" x14ac:dyDescent="0.25">
      <c r="A3581" s="2352" t="s">
        <v>17348</v>
      </c>
      <c r="B3581" s="2352" t="s">
        <v>4204</v>
      </c>
      <c r="C3581" s="2352" t="s">
        <v>17273</v>
      </c>
      <c r="D3581" s="2352" t="s">
        <v>4471</v>
      </c>
      <c r="E3581" s="355" t="s">
        <v>17280</v>
      </c>
      <c r="F3581" s="1662" t="s">
        <v>17287</v>
      </c>
    </row>
    <row r="3582" spans="1:6" ht="15" customHeight="1" x14ac:dyDescent="0.25">
      <c r="A3582" s="2352" t="s">
        <v>17349</v>
      </c>
      <c r="B3582" s="2352" t="s">
        <v>4204</v>
      </c>
      <c r="C3582" s="2352" t="s">
        <v>17273</v>
      </c>
      <c r="D3582" s="2352" t="s">
        <v>4472</v>
      </c>
      <c r="E3582" s="355" t="s">
        <v>17276</v>
      </c>
      <c r="F3582" s="1662" t="s">
        <v>17350</v>
      </c>
    </row>
    <row r="3583" spans="1:6" ht="15" customHeight="1" x14ac:dyDescent="0.25">
      <c r="A3583" s="2352" t="s">
        <v>17351</v>
      </c>
      <c r="B3583" s="2352" t="s">
        <v>4204</v>
      </c>
      <c r="C3583" s="2352" t="s">
        <v>17273</v>
      </c>
      <c r="D3583" s="2352" t="s">
        <v>4473</v>
      </c>
      <c r="E3583" s="355" t="s">
        <v>17280</v>
      </c>
      <c r="F3583" s="1662">
        <v>0</v>
      </c>
    </row>
    <row r="3584" spans="1:6" ht="15" customHeight="1" x14ac:dyDescent="0.25">
      <c r="A3584" s="2352" t="s">
        <v>4474</v>
      </c>
      <c r="B3584" s="2352" t="s">
        <v>4204</v>
      </c>
      <c r="C3584" s="2352" t="s">
        <v>17273</v>
      </c>
      <c r="D3584" s="2352" t="s">
        <v>4475</v>
      </c>
      <c r="E3584" s="355" t="s">
        <v>17279</v>
      </c>
      <c r="F3584" s="1662" t="s">
        <v>17289</v>
      </c>
    </row>
    <row r="3585" spans="1:6" ht="15" customHeight="1" x14ac:dyDescent="0.25">
      <c r="A3585" s="2352" t="s">
        <v>4476</v>
      </c>
      <c r="B3585" s="2352" t="s">
        <v>4204</v>
      </c>
      <c r="C3585" s="2352" t="s">
        <v>17273</v>
      </c>
      <c r="D3585" s="2352" t="s">
        <v>4477</v>
      </c>
      <c r="E3585" s="355" t="s">
        <v>17285</v>
      </c>
      <c r="F3585" s="1662" t="s">
        <v>17321</v>
      </c>
    </row>
    <row r="3586" spans="1:6" ht="15" customHeight="1" x14ac:dyDescent="0.25">
      <c r="A3586" s="2352" t="s">
        <v>17352</v>
      </c>
      <c r="B3586" s="2352" t="s">
        <v>4204</v>
      </c>
      <c r="C3586" s="2352" t="s">
        <v>17273</v>
      </c>
      <c r="D3586" s="2352" t="s">
        <v>4478</v>
      </c>
      <c r="E3586" s="355" t="s">
        <v>17285</v>
      </c>
      <c r="F3586" s="1662" t="s">
        <v>17286</v>
      </c>
    </row>
    <row r="3587" spans="1:6" ht="15" customHeight="1" x14ac:dyDescent="0.25">
      <c r="A3587" s="2352" t="s">
        <v>17353</v>
      </c>
      <c r="B3587" s="2352" t="s">
        <v>4204</v>
      </c>
      <c r="C3587" s="2352" t="s">
        <v>17273</v>
      </c>
      <c r="D3587" s="2352" t="s">
        <v>4479</v>
      </c>
      <c r="E3587" s="355" t="s">
        <v>17279</v>
      </c>
      <c r="F3587" s="1662">
        <v>0</v>
      </c>
    </row>
    <row r="3588" spans="1:6" ht="15" customHeight="1" x14ac:dyDescent="0.25">
      <c r="A3588" s="2352" t="s">
        <v>4459</v>
      </c>
      <c r="B3588" s="2352" t="s">
        <v>4204</v>
      </c>
      <c r="C3588" s="2352" t="s">
        <v>17273</v>
      </c>
      <c r="D3588" s="2352" t="s">
        <v>4480</v>
      </c>
      <c r="E3588" s="355" t="s">
        <v>17279</v>
      </c>
      <c r="F3588" s="1662" t="s">
        <v>17289</v>
      </c>
    </row>
    <row r="3589" spans="1:6" ht="15" customHeight="1" x14ac:dyDescent="0.25">
      <c r="A3589" s="2352" t="s">
        <v>4459</v>
      </c>
      <c r="B3589" s="2352" t="s">
        <v>4204</v>
      </c>
      <c r="C3589" s="2352" t="s">
        <v>17273</v>
      </c>
      <c r="D3589" s="2352" t="s">
        <v>4481</v>
      </c>
      <c r="E3589" s="355" t="s">
        <v>17279</v>
      </c>
      <c r="F3589" s="1662" t="s">
        <v>17350</v>
      </c>
    </row>
    <row r="3590" spans="1:6" ht="15" customHeight="1" x14ac:dyDescent="0.25">
      <c r="A3590" s="2352" t="s">
        <v>4459</v>
      </c>
      <c r="B3590" s="2352" t="s">
        <v>4204</v>
      </c>
      <c r="C3590" s="2352" t="s">
        <v>17273</v>
      </c>
      <c r="D3590" s="2352" t="s">
        <v>4482</v>
      </c>
      <c r="E3590" s="355" t="s">
        <v>17281</v>
      </c>
      <c r="F3590" s="1662" t="s">
        <v>17300</v>
      </c>
    </row>
    <row r="3591" spans="1:6" ht="15" customHeight="1" x14ac:dyDescent="0.25">
      <c r="A3591" s="2352" t="s">
        <v>4459</v>
      </c>
      <c r="B3591" s="2352" t="s">
        <v>4204</v>
      </c>
      <c r="C3591" s="2352" t="s">
        <v>17273</v>
      </c>
      <c r="D3591" s="2352" t="s">
        <v>4483</v>
      </c>
      <c r="E3591" s="355" t="s">
        <v>17288</v>
      </c>
      <c r="F3591" s="1662" t="s">
        <v>17289</v>
      </c>
    </row>
    <row r="3592" spans="1:6" ht="15" customHeight="1" x14ac:dyDescent="0.25">
      <c r="A3592" s="2352" t="s">
        <v>4459</v>
      </c>
      <c r="B3592" s="2352" t="s">
        <v>4204</v>
      </c>
      <c r="C3592" s="2352" t="s">
        <v>17273</v>
      </c>
      <c r="D3592" s="2352" t="s">
        <v>4484</v>
      </c>
      <c r="E3592" s="355" t="s">
        <v>17309</v>
      </c>
      <c r="F3592" s="1662" t="s">
        <v>17354</v>
      </c>
    </row>
    <row r="3593" spans="1:6" ht="15" customHeight="1" x14ac:dyDescent="0.25">
      <c r="A3593" s="2352" t="s">
        <v>4459</v>
      </c>
      <c r="B3593" s="2352" t="s">
        <v>4204</v>
      </c>
      <c r="C3593" s="2352" t="s">
        <v>17273</v>
      </c>
      <c r="D3593" s="2352" t="s">
        <v>4485</v>
      </c>
      <c r="E3593" s="355" t="s">
        <v>17288</v>
      </c>
      <c r="F3593" s="1662" t="s">
        <v>17289</v>
      </c>
    </row>
    <row r="3594" spans="1:6" ht="15" customHeight="1" x14ac:dyDescent="0.25">
      <c r="A3594" s="2352" t="s">
        <v>4486</v>
      </c>
      <c r="B3594" s="2352" t="s">
        <v>4204</v>
      </c>
      <c r="C3594" s="2352" t="s">
        <v>17273</v>
      </c>
      <c r="D3594" s="2352" t="s">
        <v>4487</v>
      </c>
      <c r="E3594" s="355" t="s">
        <v>17276</v>
      </c>
      <c r="F3594" s="1662" t="s">
        <v>17291</v>
      </c>
    </row>
    <row r="3595" spans="1:6" ht="15" customHeight="1" x14ac:dyDescent="0.25">
      <c r="A3595" s="2352" t="s">
        <v>4488</v>
      </c>
      <c r="B3595" s="2352" t="s">
        <v>4204</v>
      </c>
      <c r="C3595" s="2352" t="s">
        <v>17273</v>
      </c>
      <c r="D3595" s="2352" t="s">
        <v>4489</v>
      </c>
      <c r="E3595" s="355" t="s">
        <v>17288</v>
      </c>
      <c r="F3595" s="1662" t="s">
        <v>17290</v>
      </c>
    </row>
    <row r="3596" spans="1:6" ht="15" customHeight="1" x14ac:dyDescent="0.25">
      <c r="A3596" s="2352" t="s">
        <v>4490</v>
      </c>
      <c r="B3596" s="2352" t="s">
        <v>4204</v>
      </c>
      <c r="C3596" s="2352" t="s">
        <v>17273</v>
      </c>
      <c r="D3596" s="2352" t="s">
        <v>4491</v>
      </c>
      <c r="E3596" s="355" t="s">
        <v>17280</v>
      </c>
      <c r="F3596" s="1662" t="s">
        <v>17295</v>
      </c>
    </row>
    <row r="3597" spans="1:6" ht="15" customHeight="1" x14ac:dyDescent="0.25">
      <c r="A3597" s="2352" t="s">
        <v>4492</v>
      </c>
      <c r="B3597" s="2352" t="s">
        <v>4204</v>
      </c>
      <c r="C3597" s="2352" t="s">
        <v>17273</v>
      </c>
      <c r="D3597" s="2352" t="s">
        <v>4493</v>
      </c>
      <c r="E3597" s="355" t="s">
        <v>17279</v>
      </c>
      <c r="F3597" s="1662" t="s">
        <v>17321</v>
      </c>
    </row>
    <row r="3598" spans="1:6" ht="15" customHeight="1" x14ac:dyDescent="0.25">
      <c r="A3598" s="2352" t="s">
        <v>17355</v>
      </c>
      <c r="B3598" s="2352" t="s">
        <v>4204</v>
      </c>
      <c r="C3598" s="2352" t="s">
        <v>17273</v>
      </c>
      <c r="D3598" s="2352" t="s">
        <v>4494</v>
      </c>
      <c r="E3598" s="355" t="s">
        <v>17280</v>
      </c>
      <c r="F3598" s="1662" t="s">
        <v>17287</v>
      </c>
    </row>
    <row r="3599" spans="1:6" ht="15" customHeight="1" x14ac:dyDescent="0.25">
      <c r="A3599" s="2352" t="s">
        <v>17356</v>
      </c>
      <c r="B3599" s="2352" t="s">
        <v>4204</v>
      </c>
      <c r="C3599" s="2352" t="s">
        <v>17273</v>
      </c>
      <c r="D3599" s="2352" t="s">
        <v>4495</v>
      </c>
      <c r="E3599" s="355" t="s">
        <v>17282</v>
      </c>
      <c r="F3599" s="1662" t="s">
        <v>17295</v>
      </c>
    </row>
    <row r="3600" spans="1:6" ht="15" customHeight="1" x14ac:dyDescent="0.25">
      <c r="A3600" s="2352" t="s">
        <v>17357</v>
      </c>
      <c r="B3600" s="2352" t="s">
        <v>4204</v>
      </c>
      <c r="C3600" s="2352" t="s">
        <v>17273</v>
      </c>
      <c r="D3600" s="2352" t="s">
        <v>4496</v>
      </c>
      <c r="E3600" s="355" t="s">
        <v>17276</v>
      </c>
      <c r="F3600" s="1662" t="s">
        <v>17321</v>
      </c>
    </row>
    <row r="3601" spans="1:6" ht="15" customHeight="1" x14ac:dyDescent="0.25">
      <c r="A3601" s="2352" t="s">
        <v>4497</v>
      </c>
      <c r="B3601" s="2352" t="s">
        <v>4204</v>
      </c>
      <c r="C3601" s="2352" t="s">
        <v>17273</v>
      </c>
      <c r="D3601" s="2352" t="s">
        <v>4498</v>
      </c>
      <c r="E3601" s="355" t="s">
        <v>17310</v>
      </c>
      <c r="F3601" s="1662" t="s">
        <v>17295</v>
      </c>
    </row>
    <row r="3602" spans="1:6" ht="15" customHeight="1" x14ac:dyDescent="0.25">
      <c r="A3602" s="2352" t="s">
        <v>4499</v>
      </c>
      <c r="B3602" s="2352" t="s">
        <v>4204</v>
      </c>
      <c r="C3602" s="2352" t="s">
        <v>17273</v>
      </c>
      <c r="D3602" s="2352" t="s">
        <v>4500</v>
      </c>
      <c r="E3602" s="355" t="s">
        <v>17280</v>
      </c>
      <c r="F3602" s="1662" t="s">
        <v>17295</v>
      </c>
    </row>
    <row r="3603" spans="1:6" ht="15" customHeight="1" x14ac:dyDescent="0.25">
      <c r="A3603" s="2352" t="s">
        <v>4501</v>
      </c>
      <c r="B3603" s="2352" t="s">
        <v>4204</v>
      </c>
      <c r="C3603" s="2352" t="s">
        <v>17273</v>
      </c>
      <c r="D3603" s="2352" t="s">
        <v>4502</v>
      </c>
      <c r="E3603" s="355" t="s">
        <v>17279</v>
      </c>
      <c r="F3603" s="1662" t="s">
        <v>17291</v>
      </c>
    </row>
    <row r="3604" spans="1:6" ht="15" customHeight="1" x14ac:dyDescent="0.25">
      <c r="A3604" s="2352" t="s">
        <v>4503</v>
      </c>
      <c r="B3604" s="2352" t="s">
        <v>4204</v>
      </c>
      <c r="C3604" s="2352" t="s">
        <v>17273</v>
      </c>
      <c r="D3604" s="2352" t="s">
        <v>4504</v>
      </c>
      <c r="E3604" s="355" t="s">
        <v>17288</v>
      </c>
      <c r="F3604" s="1662" t="s">
        <v>17290</v>
      </c>
    </row>
    <row r="3605" spans="1:6" ht="15" customHeight="1" x14ac:dyDescent="0.25">
      <c r="A3605" s="2352" t="s">
        <v>4505</v>
      </c>
      <c r="B3605" s="2352" t="s">
        <v>4204</v>
      </c>
      <c r="C3605" s="2352" t="s">
        <v>17273</v>
      </c>
      <c r="D3605" s="2352" t="s">
        <v>4506</v>
      </c>
      <c r="E3605" s="355" t="s">
        <v>17274</v>
      </c>
      <c r="F3605" s="1662" t="s">
        <v>17287</v>
      </c>
    </row>
    <row r="3606" spans="1:6" ht="15" customHeight="1" x14ac:dyDescent="0.25">
      <c r="A3606" s="2352" t="s">
        <v>4507</v>
      </c>
      <c r="B3606" s="2352" t="s">
        <v>4204</v>
      </c>
      <c r="C3606" s="2352" t="s">
        <v>17273</v>
      </c>
      <c r="D3606" s="2352" t="s">
        <v>4508</v>
      </c>
      <c r="E3606" s="355" t="s">
        <v>17276</v>
      </c>
      <c r="F3606" s="1662" t="s">
        <v>17321</v>
      </c>
    </row>
    <row r="3607" spans="1:6" ht="15" customHeight="1" x14ac:dyDescent="0.25">
      <c r="A3607" s="2352" t="s">
        <v>17358</v>
      </c>
      <c r="B3607" s="2352" t="s">
        <v>4204</v>
      </c>
      <c r="C3607" s="2352" t="s">
        <v>17273</v>
      </c>
      <c r="D3607" s="2352" t="s">
        <v>4509</v>
      </c>
      <c r="E3607" s="355" t="s">
        <v>17282</v>
      </c>
      <c r="F3607" s="1662" t="s">
        <v>17295</v>
      </c>
    </row>
    <row r="3608" spans="1:6" ht="15" customHeight="1" x14ac:dyDescent="0.25">
      <c r="A3608" s="2352" t="s">
        <v>4510</v>
      </c>
      <c r="B3608" s="2352" t="s">
        <v>4204</v>
      </c>
      <c r="C3608" s="2352" t="s">
        <v>17273</v>
      </c>
      <c r="D3608" s="2352" t="s">
        <v>4511</v>
      </c>
      <c r="E3608" s="355" t="s">
        <v>17276</v>
      </c>
      <c r="F3608" s="1662" t="s">
        <v>17286</v>
      </c>
    </row>
    <row r="3609" spans="1:6" ht="15" customHeight="1" x14ac:dyDescent="0.25">
      <c r="A3609" s="2352" t="s">
        <v>17359</v>
      </c>
      <c r="B3609" s="2352" t="s">
        <v>4204</v>
      </c>
      <c r="C3609" s="2352" t="s">
        <v>17273</v>
      </c>
      <c r="D3609" s="2352" t="s">
        <v>4512</v>
      </c>
      <c r="E3609" s="355" t="s">
        <v>17279</v>
      </c>
      <c r="F3609" s="1662" t="s">
        <v>17289</v>
      </c>
    </row>
    <row r="3610" spans="1:6" ht="15" customHeight="1" x14ac:dyDescent="0.25">
      <c r="A3610" s="2352" t="s">
        <v>17360</v>
      </c>
      <c r="B3610" s="2352" t="s">
        <v>4204</v>
      </c>
      <c r="C3610" s="2352" t="s">
        <v>17273</v>
      </c>
      <c r="D3610" s="2352" t="s">
        <v>4513</v>
      </c>
      <c r="E3610" s="355" t="s">
        <v>17282</v>
      </c>
      <c r="F3610" s="1662" t="s">
        <v>17321</v>
      </c>
    </row>
    <row r="3611" spans="1:6" ht="15" customHeight="1" x14ac:dyDescent="0.25">
      <c r="A3611" s="2352" t="s">
        <v>17361</v>
      </c>
      <c r="B3611" s="2352" t="s">
        <v>4204</v>
      </c>
      <c r="C3611" s="2352" t="s">
        <v>17273</v>
      </c>
      <c r="D3611" s="2352" t="s">
        <v>4514</v>
      </c>
      <c r="E3611" s="355" t="s">
        <v>17280</v>
      </c>
      <c r="F3611" s="1662">
        <v>0</v>
      </c>
    </row>
    <row r="3612" spans="1:6" ht="15" customHeight="1" x14ac:dyDescent="0.25">
      <c r="A3612" s="2352" t="s">
        <v>4130</v>
      </c>
      <c r="B3612" s="2352" t="s">
        <v>4204</v>
      </c>
      <c r="C3612" s="2352" t="s">
        <v>17273</v>
      </c>
      <c r="D3612" s="2352" t="s">
        <v>4515</v>
      </c>
      <c r="E3612" s="355" t="s">
        <v>17282</v>
      </c>
      <c r="F3612" s="1662" t="s">
        <v>17303</v>
      </c>
    </row>
    <row r="3613" spans="1:6" ht="15" customHeight="1" x14ac:dyDescent="0.25">
      <c r="A3613" s="2352" t="s">
        <v>4516</v>
      </c>
      <c r="B3613" s="2352" t="s">
        <v>4204</v>
      </c>
      <c r="C3613" s="2352" t="s">
        <v>17273</v>
      </c>
      <c r="D3613" s="2352" t="s">
        <v>4517</v>
      </c>
      <c r="E3613" s="355" t="s">
        <v>17276</v>
      </c>
      <c r="F3613" s="1662">
        <v>0</v>
      </c>
    </row>
    <row r="3614" spans="1:6" ht="15" customHeight="1" x14ac:dyDescent="0.25">
      <c r="A3614" s="2352" t="s">
        <v>17362</v>
      </c>
      <c r="B3614" s="2352" t="s">
        <v>4204</v>
      </c>
      <c r="C3614" s="2352" t="s">
        <v>17273</v>
      </c>
      <c r="D3614" s="2352" t="s">
        <v>4518</v>
      </c>
      <c r="E3614" s="355" t="s">
        <v>17288</v>
      </c>
      <c r="F3614" s="1662" t="s">
        <v>17303</v>
      </c>
    </row>
    <row r="3615" spans="1:6" ht="15" customHeight="1" x14ac:dyDescent="0.25">
      <c r="A3615" s="2352" t="s">
        <v>17363</v>
      </c>
      <c r="B3615" s="2352" t="s">
        <v>4204</v>
      </c>
      <c r="C3615" s="2352" t="s">
        <v>17273</v>
      </c>
      <c r="D3615" s="2352" t="s">
        <v>4519</v>
      </c>
      <c r="E3615" s="355" t="s">
        <v>17276</v>
      </c>
      <c r="F3615" s="1662" t="s">
        <v>17286</v>
      </c>
    </row>
    <row r="3616" spans="1:6" ht="15" customHeight="1" x14ac:dyDescent="0.25">
      <c r="A3616" s="2352" t="s">
        <v>17364</v>
      </c>
      <c r="B3616" s="2352" t="s">
        <v>4204</v>
      </c>
      <c r="C3616" s="2352" t="s">
        <v>17273</v>
      </c>
      <c r="D3616" s="2352" t="s">
        <v>4520</v>
      </c>
      <c r="E3616" s="355" t="s">
        <v>17288</v>
      </c>
      <c r="F3616" s="1662" t="s">
        <v>17291</v>
      </c>
    </row>
    <row r="3617" spans="1:6" ht="15" customHeight="1" x14ac:dyDescent="0.25">
      <c r="A3617" s="2352" t="s">
        <v>4516</v>
      </c>
      <c r="B3617" s="2352" t="s">
        <v>4204</v>
      </c>
      <c r="C3617" s="2352" t="s">
        <v>17273</v>
      </c>
      <c r="D3617" s="2352" t="s">
        <v>4521</v>
      </c>
      <c r="E3617" s="355" t="s">
        <v>17310</v>
      </c>
      <c r="F3617" s="1662">
        <v>0</v>
      </c>
    </row>
    <row r="3618" spans="1:6" ht="15" customHeight="1" x14ac:dyDescent="0.25">
      <c r="A3618" s="2352" t="s">
        <v>17365</v>
      </c>
      <c r="B3618" s="2352" t="s">
        <v>4204</v>
      </c>
      <c r="C3618" s="2352" t="s">
        <v>17273</v>
      </c>
      <c r="D3618" s="2352" t="s">
        <v>4522</v>
      </c>
      <c r="E3618" s="355" t="s">
        <v>17297</v>
      </c>
      <c r="F3618" s="1662" t="s">
        <v>17325</v>
      </c>
    </row>
    <row r="3619" spans="1:6" ht="15" customHeight="1" x14ac:dyDescent="0.25">
      <c r="A3619" s="2352" t="s">
        <v>17366</v>
      </c>
      <c r="B3619" s="2352" t="s">
        <v>4204</v>
      </c>
      <c r="C3619" s="2352" t="s">
        <v>17273</v>
      </c>
      <c r="D3619" s="2352" t="s">
        <v>4523</v>
      </c>
      <c r="E3619" s="355" t="s">
        <v>17288</v>
      </c>
      <c r="F3619" s="1662" t="s">
        <v>17290</v>
      </c>
    </row>
    <row r="3620" spans="1:6" ht="15" customHeight="1" x14ac:dyDescent="0.25">
      <c r="A3620" s="2352" t="s">
        <v>4524</v>
      </c>
      <c r="B3620" s="2352" t="s">
        <v>4204</v>
      </c>
      <c r="C3620" s="2352" t="s">
        <v>17273</v>
      </c>
      <c r="D3620" s="2352" t="s">
        <v>4525</v>
      </c>
      <c r="E3620" s="355" t="s">
        <v>17288</v>
      </c>
      <c r="F3620" s="1662" t="s">
        <v>17293</v>
      </c>
    </row>
    <row r="3621" spans="1:6" ht="15" customHeight="1" x14ac:dyDescent="0.25">
      <c r="A3621" s="2352" t="s">
        <v>4524</v>
      </c>
      <c r="B3621" s="2352" t="s">
        <v>4204</v>
      </c>
      <c r="C3621" s="2352" t="s">
        <v>17273</v>
      </c>
      <c r="D3621" s="2352" t="s">
        <v>4526</v>
      </c>
      <c r="E3621" s="355" t="s">
        <v>17285</v>
      </c>
      <c r="F3621" s="1662" t="s">
        <v>17303</v>
      </c>
    </row>
    <row r="3622" spans="1:6" ht="15" customHeight="1" x14ac:dyDescent="0.25">
      <c r="A3622" s="2352" t="s">
        <v>4524</v>
      </c>
      <c r="B3622" s="2352" t="s">
        <v>4204</v>
      </c>
      <c r="C3622" s="2352" t="s">
        <v>17273</v>
      </c>
      <c r="D3622" s="2352" t="s">
        <v>4527</v>
      </c>
      <c r="E3622" s="355" t="s">
        <v>17288</v>
      </c>
      <c r="F3622" s="1662" t="s">
        <v>17291</v>
      </c>
    </row>
    <row r="3623" spans="1:6" ht="15" customHeight="1" x14ac:dyDescent="0.25">
      <c r="A3623" s="2352" t="s">
        <v>4528</v>
      </c>
      <c r="B3623" s="2352" t="s">
        <v>4204</v>
      </c>
      <c r="C3623" s="2352" t="s">
        <v>17273</v>
      </c>
      <c r="D3623" s="2352" t="s">
        <v>4529</v>
      </c>
      <c r="E3623" s="355" t="s">
        <v>17288</v>
      </c>
      <c r="F3623" s="1662" t="s">
        <v>17291</v>
      </c>
    </row>
    <row r="3624" spans="1:6" ht="15" customHeight="1" x14ac:dyDescent="0.25">
      <c r="A3624" s="2352" t="s">
        <v>17367</v>
      </c>
      <c r="B3624" s="2352" t="s">
        <v>4204</v>
      </c>
      <c r="C3624" s="2352" t="s">
        <v>17273</v>
      </c>
      <c r="D3624" s="2352" t="s">
        <v>4530</v>
      </c>
      <c r="E3624" s="355" t="s">
        <v>17276</v>
      </c>
      <c r="F3624" s="1662" t="s">
        <v>17290</v>
      </c>
    </row>
    <row r="3625" spans="1:6" ht="15" customHeight="1" x14ac:dyDescent="0.25">
      <c r="A3625" s="2352" t="s">
        <v>4459</v>
      </c>
      <c r="B3625" s="2352" t="s">
        <v>4204</v>
      </c>
      <c r="C3625" s="2352" t="s">
        <v>17273</v>
      </c>
      <c r="D3625" s="2352" t="s">
        <v>4531</v>
      </c>
      <c r="E3625" s="355" t="s">
        <v>17288</v>
      </c>
      <c r="F3625" s="1662" t="s">
        <v>17291</v>
      </c>
    </row>
    <row r="3626" spans="1:6" ht="15" customHeight="1" x14ac:dyDescent="0.25">
      <c r="A3626" s="2352" t="s">
        <v>4459</v>
      </c>
      <c r="B3626" s="2352" t="s">
        <v>4204</v>
      </c>
      <c r="C3626" s="2352" t="s">
        <v>17273</v>
      </c>
      <c r="D3626" s="2352" t="s">
        <v>4532</v>
      </c>
      <c r="E3626" s="355" t="s">
        <v>17288</v>
      </c>
      <c r="F3626" s="1662" t="s">
        <v>17325</v>
      </c>
    </row>
    <row r="3627" spans="1:6" ht="15" customHeight="1" x14ac:dyDescent="0.25">
      <c r="A3627" s="2352" t="s">
        <v>4287</v>
      </c>
      <c r="B3627" s="2352" t="s">
        <v>4204</v>
      </c>
      <c r="C3627" s="2352" t="s">
        <v>17273</v>
      </c>
      <c r="D3627" s="2352" t="s">
        <v>4533</v>
      </c>
      <c r="E3627" s="355" t="s">
        <v>17368</v>
      </c>
      <c r="F3627" s="1662" t="s">
        <v>17316</v>
      </c>
    </row>
    <row r="3628" spans="1:6" ht="15" customHeight="1" x14ac:dyDescent="0.25">
      <c r="A3628" s="2352" t="s">
        <v>4287</v>
      </c>
      <c r="B3628" s="2352" t="s">
        <v>4204</v>
      </c>
      <c r="C3628" s="2352" t="s">
        <v>17273</v>
      </c>
      <c r="D3628" s="2352" t="s">
        <v>4534</v>
      </c>
      <c r="E3628" s="355" t="s">
        <v>17279</v>
      </c>
      <c r="F3628" s="1662" t="s">
        <v>17321</v>
      </c>
    </row>
    <row r="3629" spans="1:6" ht="15" customHeight="1" x14ac:dyDescent="0.25">
      <c r="A3629" s="2352" t="s">
        <v>4287</v>
      </c>
      <c r="B3629" s="2352" t="s">
        <v>4204</v>
      </c>
      <c r="C3629" s="2352" t="s">
        <v>17273</v>
      </c>
      <c r="D3629" s="2352" t="s">
        <v>4535</v>
      </c>
      <c r="E3629" s="355" t="s">
        <v>17368</v>
      </c>
      <c r="F3629" s="1662" t="s">
        <v>17318</v>
      </c>
    </row>
    <row r="3630" spans="1:6" ht="15" customHeight="1" x14ac:dyDescent="0.25">
      <c r="A3630" s="2352" t="s">
        <v>4287</v>
      </c>
      <c r="B3630" s="2352" t="s">
        <v>4204</v>
      </c>
      <c r="C3630" s="2352" t="s">
        <v>17273</v>
      </c>
      <c r="D3630" s="2352" t="s">
        <v>4536</v>
      </c>
      <c r="E3630" s="355" t="s">
        <v>17368</v>
      </c>
      <c r="F3630" s="1662" t="s">
        <v>17369</v>
      </c>
    </row>
    <row r="3631" spans="1:6" ht="15" customHeight="1" x14ac:dyDescent="0.25">
      <c r="A3631" s="2352" t="s">
        <v>4287</v>
      </c>
      <c r="B3631" s="2352" t="s">
        <v>4204</v>
      </c>
      <c r="C3631" s="2352" t="s">
        <v>17273</v>
      </c>
      <c r="D3631" s="2352" t="s">
        <v>4537</v>
      </c>
      <c r="E3631" s="355" t="s">
        <v>17309</v>
      </c>
      <c r="F3631" s="1662" t="s">
        <v>17316</v>
      </c>
    </row>
    <row r="3632" spans="1:6" ht="15" customHeight="1" x14ac:dyDescent="0.25">
      <c r="A3632" s="2352" t="s">
        <v>4287</v>
      </c>
      <c r="B3632" s="2352" t="s">
        <v>4204</v>
      </c>
      <c r="C3632" s="2352" t="s">
        <v>17273</v>
      </c>
      <c r="D3632" s="2352" t="s">
        <v>4538</v>
      </c>
      <c r="E3632" s="355" t="s">
        <v>17309</v>
      </c>
      <c r="F3632" s="1662" t="s">
        <v>17316</v>
      </c>
    </row>
    <row r="3633" spans="1:6" ht="15" customHeight="1" x14ac:dyDescent="0.25">
      <c r="A3633" s="2352" t="s">
        <v>4318</v>
      </c>
      <c r="B3633" s="2352" t="s">
        <v>4204</v>
      </c>
      <c r="C3633" s="2352" t="s">
        <v>17273</v>
      </c>
      <c r="D3633" s="2352" t="s">
        <v>4319</v>
      </c>
      <c r="E3633" s="355" t="s">
        <v>17285</v>
      </c>
      <c r="F3633" s="1662" t="s">
        <v>17303</v>
      </c>
    </row>
    <row r="3634" spans="1:6" ht="15" customHeight="1" x14ac:dyDescent="0.25">
      <c r="A3634" s="2352" t="s">
        <v>17370</v>
      </c>
      <c r="B3634" s="2352" t="s">
        <v>4204</v>
      </c>
      <c r="C3634" s="2352" t="s">
        <v>17273</v>
      </c>
      <c r="D3634" s="2352" t="s">
        <v>4539</v>
      </c>
      <c r="E3634" s="355" t="s">
        <v>17285</v>
      </c>
      <c r="F3634" s="1662" t="s">
        <v>17286</v>
      </c>
    </row>
    <row r="3635" spans="1:6" ht="15" customHeight="1" x14ac:dyDescent="0.25">
      <c r="A3635" s="2352" t="s">
        <v>17370</v>
      </c>
      <c r="B3635" s="2352" t="s">
        <v>4204</v>
      </c>
      <c r="C3635" s="2352" t="s">
        <v>17273</v>
      </c>
      <c r="D3635" s="2352" t="s">
        <v>4540</v>
      </c>
      <c r="E3635" s="355" t="s">
        <v>17281</v>
      </c>
      <c r="F3635" s="1662" t="s">
        <v>17304</v>
      </c>
    </row>
    <row r="3636" spans="1:6" ht="15" customHeight="1" x14ac:dyDescent="0.25">
      <c r="A3636" s="2352" t="s">
        <v>17371</v>
      </c>
      <c r="B3636" s="2352" t="s">
        <v>4204</v>
      </c>
      <c r="C3636" s="2352" t="s">
        <v>17273</v>
      </c>
      <c r="D3636" s="2352" t="s">
        <v>4541</v>
      </c>
      <c r="E3636" s="355" t="s">
        <v>17309</v>
      </c>
      <c r="F3636" s="1662" t="s">
        <v>17304</v>
      </c>
    </row>
    <row r="3637" spans="1:6" ht="15" customHeight="1" x14ac:dyDescent="0.25">
      <c r="A3637" s="2352" t="s">
        <v>17372</v>
      </c>
      <c r="B3637" s="2352" t="s">
        <v>4204</v>
      </c>
      <c r="C3637" s="2352" t="s">
        <v>17273</v>
      </c>
      <c r="D3637" s="2352" t="s">
        <v>4542</v>
      </c>
      <c r="E3637" s="355" t="s">
        <v>17279</v>
      </c>
      <c r="F3637" s="1662" t="s">
        <v>17321</v>
      </c>
    </row>
    <row r="3638" spans="1:6" ht="15" customHeight="1" x14ac:dyDescent="0.25">
      <c r="A3638" s="2352" t="s">
        <v>17373</v>
      </c>
      <c r="B3638" s="2352" t="s">
        <v>4204</v>
      </c>
      <c r="C3638" s="2352" t="s">
        <v>17273</v>
      </c>
      <c r="D3638" s="2352" t="s">
        <v>4543</v>
      </c>
      <c r="E3638" s="355" t="s">
        <v>17279</v>
      </c>
      <c r="F3638" s="1662" t="s">
        <v>17289</v>
      </c>
    </row>
    <row r="3639" spans="1:6" ht="15" customHeight="1" x14ac:dyDescent="0.25">
      <c r="A3639" s="2352" t="s">
        <v>17374</v>
      </c>
      <c r="B3639" s="2352" t="s">
        <v>4204</v>
      </c>
      <c r="C3639" s="2352" t="s">
        <v>17273</v>
      </c>
      <c r="D3639" s="2352" t="s">
        <v>4544</v>
      </c>
      <c r="E3639" s="355" t="s">
        <v>17276</v>
      </c>
      <c r="F3639" s="1662" t="s">
        <v>17303</v>
      </c>
    </row>
    <row r="3640" spans="1:6" ht="15" customHeight="1" x14ac:dyDescent="0.25">
      <c r="A3640" s="2352" t="s">
        <v>4545</v>
      </c>
      <c r="B3640" s="2352" t="s">
        <v>4204</v>
      </c>
      <c r="C3640" s="2352" t="s">
        <v>17273</v>
      </c>
      <c r="D3640" s="2352" t="s">
        <v>4546</v>
      </c>
      <c r="E3640" s="355" t="s">
        <v>17288</v>
      </c>
      <c r="F3640" s="1662" t="s">
        <v>17321</v>
      </c>
    </row>
    <row r="3641" spans="1:6" ht="15" customHeight="1" x14ac:dyDescent="0.25">
      <c r="A3641" s="2352" t="s">
        <v>4547</v>
      </c>
      <c r="B3641" s="2352" t="s">
        <v>4204</v>
      </c>
      <c r="C3641" s="2352" t="s">
        <v>17273</v>
      </c>
      <c r="D3641" s="2352" t="s">
        <v>4548</v>
      </c>
      <c r="E3641" s="355" t="s">
        <v>17279</v>
      </c>
      <c r="F3641" s="1662" t="s">
        <v>17325</v>
      </c>
    </row>
    <row r="3642" spans="1:6" ht="15" customHeight="1" x14ac:dyDescent="0.25">
      <c r="A3642" s="2352" t="s">
        <v>4547</v>
      </c>
      <c r="B3642" s="2352" t="s">
        <v>4204</v>
      </c>
      <c r="C3642" s="2352" t="s">
        <v>17273</v>
      </c>
      <c r="D3642" s="2352" t="s">
        <v>4549</v>
      </c>
      <c r="E3642" s="355" t="s">
        <v>17279</v>
      </c>
      <c r="F3642" s="1662" t="s">
        <v>17291</v>
      </c>
    </row>
    <row r="3643" spans="1:6" ht="15" customHeight="1" x14ac:dyDescent="0.25">
      <c r="A3643" s="2352" t="s">
        <v>4550</v>
      </c>
      <c r="B3643" s="2352" t="s">
        <v>4204</v>
      </c>
      <c r="C3643" s="2352" t="s">
        <v>17273</v>
      </c>
      <c r="D3643" s="2352" t="s">
        <v>4551</v>
      </c>
      <c r="E3643" s="355" t="s">
        <v>17288</v>
      </c>
      <c r="F3643" s="1662" t="s">
        <v>17303</v>
      </c>
    </row>
    <row r="3644" spans="1:6" ht="15" customHeight="1" x14ac:dyDescent="0.25">
      <c r="A3644" s="2352" t="s">
        <v>17375</v>
      </c>
      <c r="B3644" s="2352" t="s">
        <v>4204</v>
      </c>
      <c r="C3644" s="2352" t="s">
        <v>17273</v>
      </c>
      <c r="D3644" s="2352" t="s">
        <v>4552</v>
      </c>
      <c r="E3644" s="355" t="s">
        <v>17279</v>
      </c>
      <c r="F3644" s="1662" t="s">
        <v>17286</v>
      </c>
    </row>
    <row r="3645" spans="1:6" ht="15" customHeight="1" x14ac:dyDescent="0.25">
      <c r="A3645" s="2352" t="s">
        <v>17376</v>
      </c>
      <c r="B3645" s="2352" t="s">
        <v>4204</v>
      </c>
      <c r="C3645" s="2352" t="s">
        <v>17273</v>
      </c>
      <c r="D3645" s="2352" t="s">
        <v>4553</v>
      </c>
      <c r="E3645" s="355" t="s">
        <v>17288</v>
      </c>
      <c r="F3645" s="1662" t="s">
        <v>17291</v>
      </c>
    </row>
    <row r="3646" spans="1:6" ht="15" customHeight="1" x14ac:dyDescent="0.25">
      <c r="A3646" s="2352" t="s">
        <v>3893</v>
      </c>
      <c r="B3646" s="2352" t="s">
        <v>4204</v>
      </c>
      <c r="C3646" s="2352" t="s">
        <v>17273</v>
      </c>
      <c r="D3646" s="2352" t="s">
        <v>4554</v>
      </c>
      <c r="E3646" s="355" t="s">
        <v>17282</v>
      </c>
      <c r="F3646" s="1662">
        <v>0</v>
      </c>
    </row>
    <row r="3647" spans="1:6" ht="15" customHeight="1" x14ac:dyDescent="0.25">
      <c r="A3647" s="2352" t="s">
        <v>3893</v>
      </c>
      <c r="B3647" s="2352" t="s">
        <v>4204</v>
      </c>
      <c r="C3647" s="2352" t="s">
        <v>17273</v>
      </c>
      <c r="D3647" s="2352" t="s">
        <v>4555</v>
      </c>
      <c r="E3647" s="355" t="s">
        <v>17285</v>
      </c>
      <c r="F3647" s="1662" t="s">
        <v>17287</v>
      </c>
    </row>
    <row r="3648" spans="1:6" ht="15" customHeight="1" x14ac:dyDescent="0.25">
      <c r="A3648" s="2352" t="s">
        <v>4556</v>
      </c>
      <c r="B3648" s="2352" t="s">
        <v>4204</v>
      </c>
      <c r="C3648" s="2352" t="s">
        <v>17273</v>
      </c>
      <c r="D3648" s="2352" t="s">
        <v>4557</v>
      </c>
      <c r="E3648" s="355" t="s">
        <v>17279</v>
      </c>
      <c r="F3648" s="1662" t="s">
        <v>17291</v>
      </c>
    </row>
    <row r="3649" spans="1:6" ht="15" customHeight="1" x14ac:dyDescent="0.25">
      <c r="A3649" s="2352" t="s">
        <v>4556</v>
      </c>
      <c r="B3649" s="2352" t="s">
        <v>4204</v>
      </c>
      <c r="C3649" s="2352" t="s">
        <v>17273</v>
      </c>
      <c r="D3649" s="2352" t="s">
        <v>4558</v>
      </c>
      <c r="E3649" s="355" t="s">
        <v>17279</v>
      </c>
      <c r="F3649" s="1662" t="s">
        <v>17290</v>
      </c>
    </row>
    <row r="3650" spans="1:6" ht="15" customHeight="1" x14ac:dyDescent="0.25">
      <c r="A3650" s="2352" t="s">
        <v>4559</v>
      </c>
      <c r="B3650" s="2352" t="s">
        <v>4204</v>
      </c>
      <c r="C3650" s="2352" t="s">
        <v>17273</v>
      </c>
      <c r="D3650" s="2352" t="s">
        <v>4560</v>
      </c>
      <c r="E3650" s="355" t="s">
        <v>17279</v>
      </c>
      <c r="F3650" s="1662" t="s">
        <v>17291</v>
      </c>
    </row>
    <row r="3651" spans="1:6" ht="15" customHeight="1" x14ac:dyDescent="0.25">
      <c r="A3651" s="2352" t="s">
        <v>4561</v>
      </c>
      <c r="B3651" s="2352" t="s">
        <v>4204</v>
      </c>
      <c r="C3651" s="2352" t="s">
        <v>17273</v>
      </c>
      <c r="D3651" s="2352" t="s">
        <v>4562</v>
      </c>
      <c r="E3651" s="355" t="s">
        <v>17279</v>
      </c>
      <c r="F3651" s="1662" t="s">
        <v>17289</v>
      </c>
    </row>
    <row r="3652" spans="1:6" ht="15" customHeight="1" x14ac:dyDescent="0.25">
      <c r="A3652" s="2352" t="s">
        <v>17377</v>
      </c>
      <c r="B3652" s="2352" t="s">
        <v>4204</v>
      </c>
      <c r="C3652" s="2352" t="s">
        <v>17273</v>
      </c>
      <c r="D3652" s="2352" t="s">
        <v>4563</v>
      </c>
      <c r="E3652" s="355" t="s">
        <v>17285</v>
      </c>
      <c r="F3652" s="1662" t="s">
        <v>17287</v>
      </c>
    </row>
    <row r="3653" spans="1:6" ht="15" customHeight="1" x14ac:dyDescent="0.25">
      <c r="A3653" s="2352" t="s">
        <v>17377</v>
      </c>
      <c r="B3653" s="2352" t="s">
        <v>4204</v>
      </c>
      <c r="C3653" s="2352" t="s">
        <v>17273</v>
      </c>
      <c r="D3653" s="2352" t="s">
        <v>20100</v>
      </c>
      <c r="E3653" s="355" t="s">
        <v>17281</v>
      </c>
      <c r="F3653" s="1662" t="s">
        <v>17304</v>
      </c>
    </row>
    <row r="3654" spans="1:6" ht="15" customHeight="1" x14ac:dyDescent="0.25">
      <c r="A3654" s="2352" t="s">
        <v>17378</v>
      </c>
      <c r="B3654" s="2352" t="s">
        <v>4204</v>
      </c>
      <c r="C3654" s="2352" t="s">
        <v>17273</v>
      </c>
      <c r="D3654" s="2352" t="s">
        <v>4564</v>
      </c>
      <c r="E3654" s="355" t="s">
        <v>17285</v>
      </c>
      <c r="F3654" s="1662">
        <v>0</v>
      </c>
    </row>
    <row r="3655" spans="1:6" ht="15" customHeight="1" x14ac:dyDescent="0.25">
      <c r="A3655" s="2352" t="s">
        <v>17379</v>
      </c>
      <c r="B3655" s="2352" t="s">
        <v>4204</v>
      </c>
      <c r="C3655" s="2352" t="s">
        <v>17273</v>
      </c>
      <c r="D3655" s="2352" t="s">
        <v>4565</v>
      </c>
      <c r="E3655" s="355" t="s">
        <v>17279</v>
      </c>
      <c r="F3655" s="1662" t="s">
        <v>17290</v>
      </c>
    </row>
    <row r="3656" spans="1:6" ht="15" customHeight="1" x14ac:dyDescent="0.25">
      <c r="A3656" s="2352" t="s">
        <v>4566</v>
      </c>
      <c r="B3656" s="2352" t="s">
        <v>4204</v>
      </c>
      <c r="C3656" s="2352" t="s">
        <v>17273</v>
      </c>
      <c r="D3656" s="2352" t="s">
        <v>4567</v>
      </c>
      <c r="E3656" s="355" t="s">
        <v>17276</v>
      </c>
      <c r="F3656" s="1662">
        <v>0</v>
      </c>
    </row>
    <row r="3657" spans="1:6" ht="15" customHeight="1" x14ac:dyDescent="0.25">
      <c r="A3657" s="2352" t="s">
        <v>4566</v>
      </c>
      <c r="B3657" s="2352" t="s">
        <v>4204</v>
      </c>
      <c r="C3657" s="2352" t="s">
        <v>17273</v>
      </c>
      <c r="D3657" s="2352" t="s">
        <v>4568</v>
      </c>
      <c r="E3657" s="355" t="s">
        <v>17279</v>
      </c>
      <c r="F3657" s="1662" t="s">
        <v>17303</v>
      </c>
    </row>
    <row r="3658" spans="1:6" ht="15" customHeight="1" x14ac:dyDescent="0.25">
      <c r="A3658" s="2352" t="s">
        <v>4569</v>
      </c>
      <c r="B3658" s="2352" t="s">
        <v>4204</v>
      </c>
      <c r="C3658" s="2352" t="s">
        <v>17273</v>
      </c>
      <c r="D3658" s="2352" t="s">
        <v>4570</v>
      </c>
      <c r="E3658" s="355" t="s">
        <v>17288</v>
      </c>
      <c r="F3658" s="1662" t="s">
        <v>17289</v>
      </c>
    </row>
    <row r="3659" spans="1:6" ht="15" customHeight="1" x14ac:dyDescent="0.25">
      <c r="A3659" s="2352" t="s">
        <v>4569</v>
      </c>
      <c r="B3659" s="2352" t="s">
        <v>4204</v>
      </c>
      <c r="C3659" s="2352" t="s">
        <v>17273</v>
      </c>
      <c r="D3659" s="2352" t="s">
        <v>4571</v>
      </c>
      <c r="E3659" s="355" t="s">
        <v>17281</v>
      </c>
      <c r="F3659" s="1662" t="s">
        <v>17289</v>
      </c>
    </row>
    <row r="3660" spans="1:6" ht="15" customHeight="1" x14ac:dyDescent="0.25">
      <c r="A3660" s="2352" t="s">
        <v>4569</v>
      </c>
      <c r="B3660" s="2352" t="s">
        <v>4204</v>
      </c>
      <c r="C3660" s="2352" t="s">
        <v>17273</v>
      </c>
      <c r="D3660" s="2352" t="s">
        <v>4572</v>
      </c>
      <c r="E3660" s="355" t="s">
        <v>17274</v>
      </c>
      <c r="F3660" s="1662" t="s">
        <v>17295</v>
      </c>
    </row>
    <row r="3661" spans="1:6" ht="15" customHeight="1" x14ac:dyDescent="0.25">
      <c r="A3661" s="2352" t="s">
        <v>4569</v>
      </c>
      <c r="B3661" s="2352" t="s">
        <v>4204</v>
      </c>
      <c r="C3661" s="2352" t="s">
        <v>17273</v>
      </c>
      <c r="D3661" s="2352" t="s">
        <v>4573</v>
      </c>
      <c r="E3661" s="355" t="s">
        <v>17285</v>
      </c>
      <c r="F3661" s="1662" t="s">
        <v>17295</v>
      </c>
    </row>
    <row r="3662" spans="1:6" ht="15" customHeight="1" x14ac:dyDescent="0.25">
      <c r="A3662" s="2352" t="s">
        <v>4569</v>
      </c>
      <c r="B3662" s="2352" t="s">
        <v>4204</v>
      </c>
      <c r="C3662" s="2352" t="s">
        <v>17273</v>
      </c>
      <c r="D3662" s="2352" t="s">
        <v>4574</v>
      </c>
      <c r="E3662" s="355" t="s">
        <v>17288</v>
      </c>
      <c r="F3662" s="1662" t="s">
        <v>17291</v>
      </c>
    </row>
    <row r="3663" spans="1:6" ht="15" customHeight="1" x14ac:dyDescent="0.25">
      <c r="A3663" s="2352" t="s">
        <v>4569</v>
      </c>
      <c r="B3663" s="2352" t="s">
        <v>4204</v>
      </c>
      <c r="C3663" s="2352" t="s">
        <v>17273</v>
      </c>
      <c r="D3663" s="2352" t="s">
        <v>4575</v>
      </c>
      <c r="E3663" s="355" t="s">
        <v>17276</v>
      </c>
      <c r="F3663" s="1662" t="s">
        <v>17286</v>
      </c>
    </row>
    <row r="3664" spans="1:6" ht="15" customHeight="1" x14ac:dyDescent="0.25">
      <c r="A3664" s="2352" t="s">
        <v>4569</v>
      </c>
      <c r="B3664" s="2352" t="s">
        <v>4204</v>
      </c>
      <c r="C3664" s="2352" t="s">
        <v>17273</v>
      </c>
      <c r="D3664" s="2352" t="s">
        <v>4576</v>
      </c>
      <c r="E3664" s="355" t="s">
        <v>17276</v>
      </c>
      <c r="F3664" s="1662" t="s">
        <v>17303</v>
      </c>
    </row>
    <row r="3665" spans="1:6" ht="15" customHeight="1" x14ac:dyDescent="0.25">
      <c r="A3665" s="2352" t="s">
        <v>4577</v>
      </c>
      <c r="B3665" s="2352" t="s">
        <v>4204</v>
      </c>
      <c r="C3665" s="2352" t="s">
        <v>17273</v>
      </c>
      <c r="D3665" s="2352" t="s">
        <v>4578</v>
      </c>
      <c r="E3665" s="355" t="s">
        <v>17317</v>
      </c>
      <c r="F3665" s="1662" t="s">
        <v>17293</v>
      </c>
    </row>
    <row r="3666" spans="1:6" ht="15" customHeight="1" x14ac:dyDescent="0.25">
      <c r="A3666" s="2352" t="s">
        <v>4579</v>
      </c>
      <c r="B3666" s="2352" t="s">
        <v>4204</v>
      </c>
      <c r="C3666" s="2352" t="s">
        <v>17273</v>
      </c>
      <c r="D3666" s="2352" t="s">
        <v>4580</v>
      </c>
      <c r="E3666" s="355" t="s">
        <v>17288</v>
      </c>
      <c r="F3666" s="1662" t="s">
        <v>17290</v>
      </c>
    </row>
    <row r="3667" spans="1:6" ht="15" customHeight="1" x14ac:dyDescent="0.25">
      <c r="A3667" s="2352" t="s">
        <v>4579</v>
      </c>
      <c r="B3667" s="2352" t="s">
        <v>4204</v>
      </c>
      <c r="C3667" s="2352" t="s">
        <v>17273</v>
      </c>
      <c r="D3667" s="2352" t="s">
        <v>4581</v>
      </c>
      <c r="E3667" s="355" t="s">
        <v>17288</v>
      </c>
      <c r="F3667" s="1662" t="s">
        <v>17289</v>
      </c>
    </row>
    <row r="3668" spans="1:6" ht="15" customHeight="1" x14ac:dyDescent="0.25">
      <c r="A3668" s="2352" t="s">
        <v>4579</v>
      </c>
      <c r="B3668" s="2352" t="s">
        <v>4204</v>
      </c>
      <c r="C3668" s="2352" t="s">
        <v>17273</v>
      </c>
      <c r="D3668" s="2352" t="s">
        <v>4582</v>
      </c>
      <c r="E3668" s="355" t="s">
        <v>17281</v>
      </c>
      <c r="F3668" s="1662" t="s">
        <v>17304</v>
      </c>
    </row>
    <row r="3669" spans="1:6" ht="15" customHeight="1" x14ac:dyDescent="0.25">
      <c r="A3669" s="2352" t="s">
        <v>4579</v>
      </c>
      <c r="B3669" s="2352" t="s">
        <v>4204</v>
      </c>
      <c r="C3669" s="2352" t="s">
        <v>17273</v>
      </c>
      <c r="D3669" s="2352" t="s">
        <v>4583</v>
      </c>
      <c r="E3669" s="355" t="s">
        <v>17288</v>
      </c>
      <c r="F3669" s="1662" t="s">
        <v>17291</v>
      </c>
    </row>
    <row r="3670" spans="1:6" ht="15" customHeight="1" x14ac:dyDescent="0.25">
      <c r="A3670" s="2352" t="s">
        <v>4579</v>
      </c>
      <c r="B3670" s="2352" t="s">
        <v>4204</v>
      </c>
      <c r="C3670" s="2352" t="s">
        <v>17273</v>
      </c>
      <c r="D3670" s="2352" t="s">
        <v>4584</v>
      </c>
      <c r="E3670" s="355" t="s">
        <v>17317</v>
      </c>
      <c r="F3670" s="1662" t="s">
        <v>17304</v>
      </c>
    </row>
    <row r="3671" spans="1:6" ht="15" customHeight="1" x14ac:dyDescent="0.25">
      <c r="A3671" s="2352" t="s">
        <v>4579</v>
      </c>
      <c r="B3671" s="2352" t="s">
        <v>4204</v>
      </c>
      <c r="C3671" s="2352" t="s">
        <v>17273</v>
      </c>
      <c r="D3671" s="2352" t="s">
        <v>4585</v>
      </c>
      <c r="E3671" s="355" t="s">
        <v>17311</v>
      </c>
      <c r="F3671" s="1662" t="s">
        <v>17295</v>
      </c>
    </row>
    <row r="3672" spans="1:6" ht="15" customHeight="1" x14ac:dyDescent="0.25">
      <c r="A3672" s="2352" t="s">
        <v>17380</v>
      </c>
      <c r="B3672" s="2352" t="s">
        <v>4204</v>
      </c>
      <c r="C3672" s="2352" t="s">
        <v>17273</v>
      </c>
      <c r="D3672" s="2352" t="s">
        <v>4586</v>
      </c>
      <c r="E3672" s="355" t="s">
        <v>17276</v>
      </c>
      <c r="F3672" s="1662" t="s">
        <v>17286</v>
      </c>
    </row>
    <row r="3673" spans="1:6" ht="15" customHeight="1" x14ac:dyDescent="0.25">
      <c r="A3673" s="2352" t="s">
        <v>17380</v>
      </c>
      <c r="B3673" s="2352" t="s">
        <v>4204</v>
      </c>
      <c r="C3673" s="2352" t="s">
        <v>17273</v>
      </c>
      <c r="D3673" s="2352" t="s">
        <v>4587</v>
      </c>
      <c r="E3673" s="355" t="s">
        <v>17279</v>
      </c>
      <c r="F3673" s="1662" t="s">
        <v>17290</v>
      </c>
    </row>
    <row r="3674" spans="1:6" ht="15" customHeight="1" x14ac:dyDescent="0.25">
      <c r="A3674" s="2352" t="s">
        <v>4588</v>
      </c>
      <c r="B3674" s="2352" t="s">
        <v>4204</v>
      </c>
      <c r="C3674" s="2352" t="s">
        <v>17273</v>
      </c>
      <c r="D3674" s="2352" t="s">
        <v>4589</v>
      </c>
      <c r="E3674" s="355" t="s">
        <v>17279</v>
      </c>
      <c r="F3674" s="1662" t="s">
        <v>17289</v>
      </c>
    </row>
    <row r="3675" spans="1:6" ht="15" customHeight="1" x14ac:dyDescent="0.25">
      <c r="A3675" s="2352" t="s">
        <v>17336</v>
      </c>
      <c r="B3675" s="2352" t="s">
        <v>4204</v>
      </c>
      <c r="C3675" s="2352" t="s">
        <v>17273</v>
      </c>
      <c r="D3675" s="2352" t="s">
        <v>4590</v>
      </c>
      <c r="E3675" s="355" t="s">
        <v>17288</v>
      </c>
      <c r="F3675" s="1662" t="s">
        <v>17299</v>
      </c>
    </row>
    <row r="3676" spans="1:6" ht="15" customHeight="1" x14ac:dyDescent="0.25">
      <c r="A3676" s="2352" t="s">
        <v>17381</v>
      </c>
      <c r="B3676" s="2352" t="s">
        <v>4204</v>
      </c>
      <c r="C3676" s="2352" t="s">
        <v>17273</v>
      </c>
      <c r="D3676" s="2352" t="s">
        <v>4591</v>
      </c>
      <c r="E3676" s="355" t="s">
        <v>17288</v>
      </c>
      <c r="F3676" s="1662" t="s">
        <v>17290</v>
      </c>
    </row>
    <row r="3677" spans="1:6" ht="15" customHeight="1" x14ac:dyDescent="0.25">
      <c r="A3677" s="2352" t="s">
        <v>4592</v>
      </c>
      <c r="B3677" s="2352" t="s">
        <v>4204</v>
      </c>
      <c r="C3677" s="2352" t="s">
        <v>17273</v>
      </c>
      <c r="D3677" s="2352" t="s">
        <v>4593</v>
      </c>
      <c r="E3677" s="355" t="s">
        <v>17276</v>
      </c>
      <c r="F3677" s="1662" t="s">
        <v>17303</v>
      </c>
    </row>
    <row r="3678" spans="1:6" ht="15" customHeight="1" x14ac:dyDescent="0.25">
      <c r="A3678" s="2352" t="s">
        <v>4594</v>
      </c>
      <c r="B3678" s="2352" t="s">
        <v>4204</v>
      </c>
      <c r="C3678" s="2352" t="s">
        <v>17273</v>
      </c>
      <c r="D3678" s="2352" t="s">
        <v>4595</v>
      </c>
      <c r="E3678" s="355" t="s">
        <v>17279</v>
      </c>
      <c r="F3678" s="1662" t="s">
        <v>17293</v>
      </c>
    </row>
    <row r="3679" spans="1:6" ht="15" customHeight="1" x14ac:dyDescent="0.25">
      <c r="A3679" s="2352" t="s">
        <v>17382</v>
      </c>
      <c r="B3679" s="2352" t="s">
        <v>4204</v>
      </c>
      <c r="C3679" s="2352" t="s">
        <v>17273</v>
      </c>
      <c r="D3679" s="2352" t="s">
        <v>4596</v>
      </c>
      <c r="E3679" s="355" t="s">
        <v>17288</v>
      </c>
      <c r="F3679" s="1662" t="s">
        <v>17289</v>
      </c>
    </row>
    <row r="3680" spans="1:6" ht="15" customHeight="1" x14ac:dyDescent="0.25">
      <c r="A3680" s="2352" t="s">
        <v>4597</v>
      </c>
      <c r="B3680" s="2352" t="s">
        <v>4204</v>
      </c>
      <c r="C3680" s="2352" t="s">
        <v>17273</v>
      </c>
      <c r="D3680" s="2352" t="s">
        <v>4598</v>
      </c>
      <c r="E3680" s="355" t="s">
        <v>17279</v>
      </c>
      <c r="F3680" s="1662" t="s">
        <v>17321</v>
      </c>
    </row>
    <row r="3681" spans="1:6" ht="15" customHeight="1" x14ac:dyDescent="0.25">
      <c r="A3681" s="2352" t="s">
        <v>4599</v>
      </c>
      <c r="B3681" s="2352" t="s">
        <v>4204</v>
      </c>
      <c r="C3681" s="2352" t="s">
        <v>17273</v>
      </c>
      <c r="D3681" s="2352" t="s">
        <v>4600</v>
      </c>
      <c r="E3681" s="355" t="s">
        <v>17280</v>
      </c>
      <c r="F3681" s="1662" t="s">
        <v>17287</v>
      </c>
    </row>
    <row r="3682" spans="1:6" ht="15" customHeight="1" x14ac:dyDescent="0.25">
      <c r="A3682" s="2352" t="s">
        <v>4601</v>
      </c>
      <c r="B3682" s="2352" t="s">
        <v>4204</v>
      </c>
      <c r="C3682" s="2352" t="s">
        <v>17273</v>
      </c>
      <c r="D3682" s="2352" t="s">
        <v>4602</v>
      </c>
      <c r="E3682" s="355" t="s">
        <v>17282</v>
      </c>
      <c r="F3682" s="1662" t="s">
        <v>17303</v>
      </c>
    </row>
    <row r="3683" spans="1:6" ht="15" customHeight="1" x14ac:dyDescent="0.25">
      <c r="A3683" s="2352" t="s">
        <v>4603</v>
      </c>
      <c r="B3683" s="2352" t="s">
        <v>4204</v>
      </c>
      <c r="C3683" s="2352" t="s">
        <v>17273</v>
      </c>
      <c r="D3683" s="2352" t="s">
        <v>4604</v>
      </c>
      <c r="E3683" s="355" t="s">
        <v>17285</v>
      </c>
      <c r="F3683" s="1662" t="s">
        <v>17286</v>
      </c>
    </row>
    <row r="3684" spans="1:6" ht="15" customHeight="1" x14ac:dyDescent="0.25">
      <c r="A3684" s="2352" t="s">
        <v>4605</v>
      </c>
      <c r="B3684" s="2352" t="s">
        <v>4204</v>
      </c>
      <c r="C3684" s="2352" t="s">
        <v>17273</v>
      </c>
      <c r="D3684" s="2352" t="s">
        <v>4606</v>
      </c>
      <c r="E3684" s="355" t="s">
        <v>17276</v>
      </c>
      <c r="F3684" s="1662" t="s">
        <v>17321</v>
      </c>
    </row>
    <row r="3685" spans="1:6" ht="15" customHeight="1" x14ac:dyDescent="0.25">
      <c r="A3685" s="2352" t="s">
        <v>4607</v>
      </c>
      <c r="B3685" s="2352" t="s">
        <v>4204</v>
      </c>
      <c r="C3685" s="2352" t="s">
        <v>17273</v>
      </c>
      <c r="D3685" s="2352" t="s">
        <v>4608</v>
      </c>
      <c r="E3685" s="355" t="s">
        <v>17282</v>
      </c>
      <c r="F3685" s="1662" t="s">
        <v>17303</v>
      </c>
    </row>
    <row r="3686" spans="1:6" ht="15" customHeight="1" x14ac:dyDescent="0.25">
      <c r="A3686" s="2352" t="s">
        <v>4609</v>
      </c>
      <c r="B3686" s="2352" t="s">
        <v>4204</v>
      </c>
      <c r="C3686" s="2352" t="s">
        <v>17273</v>
      </c>
      <c r="D3686" s="2352" t="s">
        <v>4610</v>
      </c>
      <c r="E3686" s="355" t="s">
        <v>17282</v>
      </c>
      <c r="F3686" s="1662" t="s">
        <v>17286</v>
      </c>
    </row>
    <row r="3687" spans="1:6" ht="15" customHeight="1" x14ac:dyDescent="0.25">
      <c r="A3687" s="2352" t="s">
        <v>17383</v>
      </c>
      <c r="B3687" s="2352" t="s">
        <v>4204</v>
      </c>
      <c r="C3687" s="2352" t="s">
        <v>17273</v>
      </c>
      <c r="D3687" s="2352" t="s">
        <v>4611</v>
      </c>
      <c r="E3687" s="355" t="s">
        <v>17280</v>
      </c>
      <c r="F3687" s="1662" t="s">
        <v>17287</v>
      </c>
    </row>
    <row r="3688" spans="1:6" ht="15" customHeight="1" x14ac:dyDescent="0.25">
      <c r="A3688" s="2352" t="s">
        <v>4612</v>
      </c>
      <c r="B3688" s="2352" t="s">
        <v>4204</v>
      </c>
      <c r="C3688" s="2352" t="s">
        <v>17273</v>
      </c>
      <c r="D3688" s="2352" t="s">
        <v>4613</v>
      </c>
      <c r="E3688" s="355" t="s">
        <v>17280</v>
      </c>
      <c r="F3688" s="1662" t="s">
        <v>17287</v>
      </c>
    </row>
    <row r="3689" spans="1:6" ht="15" customHeight="1" x14ac:dyDescent="0.25">
      <c r="A3689" s="2352" t="s">
        <v>4614</v>
      </c>
      <c r="B3689" s="2352" t="s">
        <v>4204</v>
      </c>
      <c r="C3689" s="2352" t="s">
        <v>17273</v>
      </c>
      <c r="D3689" s="2352" t="s">
        <v>4615</v>
      </c>
      <c r="E3689" s="355" t="s">
        <v>17288</v>
      </c>
      <c r="F3689" s="1662" t="s">
        <v>17289</v>
      </c>
    </row>
    <row r="3690" spans="1:6" ht="15" customHeight="1" x14ac:dyDescent="0.25">
      <c r="A3690" s="2352" t="s">
        <v>4616</v>
      </c>
      <c r="B3690" s="2352" t="s">
        <v>4204</v>
      </c>
      <c r="C3690" s="2352" t="s">
        <v>17273</v>
      </c>
      <c r="D3690" s="2352" t="s">
        <v>4617</v>
      </c>
      <c r="E3690" s="355" t="s">
        <v>17282</v>
      </c>
      <c r="F3690" s="1662" t="s">
        <v>17303</v>
      </c>
    </row>
    <row r="3691" spans="1:6" ht="15" customHeight="1" x14ac:dyDescent="0.25">
      <c r="A3691" s="2352" t="s">
        <v>4592</v>
      </c>
      <c r="B3691" s="2352" t="s">
        <v>4204</v>
      </c>
      <c r="C3691" s="2352" t="s">
        <v>17273</v>
      </c>
      <c r="D3691" s="2352" t="s">
        <v>4618</v>
      </c>
      <c r="E3691" s="355" t="s">
        <v>17317</v>
      </c>
      <c r="F3691" s="1662" t="s">
        <v>17299</v>
      </c>
    </row>
    <row r="3692" spans="1:6" ht="15" customHeight="1" x14ac:dyDescent="0.25">
      <c r="A3692" s="2352" t="s">
        <v>4592</v>
      </c>
      <c r="B3692" s="2352" t="s">
        <v>4204</v>
      </c>
      <c r="C3692" s="2352" t="s">
        <v>17273</v>
      </c>
      <c r="D3692" s="2352" t="s">
        <v>4619</v>
      </c>
      <c r="E3692" s="355" t="s">
        <v>17281</v>
      </c>
      <c r="F3692" s="1662" t="s">
        <v>17314</v>
      </c>
    </row>
    <row r="3693" spans="1:6" ht="15" customHeight="1" x14ac:dyDescent="0.25">
      <c r="A3693" s="2352" t="s">
        <v>4620</v>
      </c>
      <c r="B3693" s="2352" t="s">
        <v>4204</v>
      </c>
      <c r="C3693" s="2352" t="s">
        <v>17273</v>
      </c>
      <c r="D3693" s="2352" t="s">
        <v>4621</v>
      </c>
      <c r="E3693" s="355" t="s">
        <v>17276</v>
      </c>
      <c r="F3693" s="1662" t="s">
        <v>17287</v>
      </c>
    </row>
    <row r="3694" spans="1:6" ht="15" customHeight="1" x14ac:dyDescent="0.25">
      <c r="A3694" s="2352" t="s">
        <v>4622</v>
      </c>
      <c r="B3694" s="2352" t="s">
        <v>4204</v>
      </c>
      <c r="C3694" s="2352" t="s">
        <v>17273</v>
      </c>
      <c r="D3694" s="2352" t="s">
        <v>4623</v>
      </c>
      <c r="E3694" s="355" t="s">
        <v>17279</v>
      </c>
      <c r="F3694" s="1662" t="s">
        <v>17293</v>
      </c>
    </row>
    <row r="3695" spans="1:6" ht="15" customHeight="1" x14ac:dyDescent="0.25">
      <c r="A3695" s="2352" t="s">
        <v>4622</v>
      </c>
      <c r="B3695" s="2352" t="s">
        <v>4204</v>
      </c>
      <c r="C3695" s="2352" t="s">
        <v>17273</v>
      </c>
      <c r="D3695" s="2352" t="s">
        <v>4624</v>
      </c>
      <c r="E3695" s="355" t="s">
        <v>17285</v>
      </c>
      <c r="F3695" s="1662" t="s">
        <v>17286</v>
      </c>
    </row>
    <row r="3696" spans="1:6" ht="15" customHeight="1" x14ac:dyDescent="0.25">
      <c r="A3696" s="2352" t="s">
        <v>4622</v>
      </c>
      <c r="B3696" s="2352" t="s">
        <v>4204</v>
      </c>
      <c r="C3696" s="2352" t="s">
        <v>17273</v>
      </c>
      <c r="D3696" s="2352" t="s">
        <v>4625</v>
      </c>
      <c r="E3696" s="355" t="s">
        <v>17285</v>
      </c>
      <c r="F3696" s="1662" t="s">
        <v>17303</v>
      </c>
    </row>
    <row r="3697" spans="1:6" ht="15" customHeight="1" x14ac:dyDescent="0.25">
      <c r="A3697" s="2352" t="s">
        <v>4626</v>
      </c>
      <c r="B3697" s="2352" t="s">
        <v>4204</v>
      </c>
      <c r="C3697" s="2352" t="s">
        <v>17273</v>
      </c>
      <c r="D3697" s="2352" t="s">
        <v>4627</v>
      </c>
      <c r="E3697" s="355" t="s">
        <v>17282</v>
      </c>
      <c r="F3697" s="1662" t="s">
        <v>17287</v>
      </c>
    </row>
    <row r="3698" spans="1:6" ht="15" customHeight="1" x14ac:dyDescent="0.25">
      <c r="A3698" s="2352" t="s">
        <v>4628</v>
      </c>
      <c r="B3698" s="2352" t="s">
        <v>4204</v>
      </c>
      <c r="C3698" s="2352" t="s">
        <v>17273</v>
      </c>
      <c r="D3698" s="2352" t="s">
        <v>4629</v>
      </c>
      <c r="E3698" s="355" t="s">
        <v>17288</v>
      </c>
      <c r="F3698" s="1662" t="s">
        <v>17291</v>
      </c>
    </row>
    <row r="3699" spans="1:6" ht="15" customHeight="1" x14ac:dyDescent="0.25">
      <c r="A3699" s="2352" t="s">
        <v>4628</v>
      </c>
      <c r="B3699" s="2352" t="s">
        <v>4204</v>
      </c>
      <c r="C3699" s="2352" t="s">
        <v>17273</v>
      </c>
      <c r="D3699" s="2352" t="s">
        <v>17384</v>
      </c>
      <c r="E3699" s="355" t="s">
        <v>17369</v>
      </c>
      <c r="F3699" s="1662" t="s">
        <v>17290</v>
      </c>
    </row>
    <row r="3700" spans="1:6" ht="15" customHeight="1" x14ac:dyDescent="0.25">
      <c r="A3700" s="2352" t="s">
        <v>4630</v>
      </c>
      <c r="B3700" s="2352" t="s">
        <v>4204</v>
      </c>
      <c r="C3700" s="2352" t="s">
        <v>17273</v>
      </c>
      <c r="D3700" s="2352" t="s">
        <v>4631</v>
      </c>
      <c r="E3700" s="355" t="s">
        <v>17279</v>
      </c>
      <c r="F3700" s="1662" t="s">
        <v>17289</v>
      </c>
    </row>
    <row r="3701" spans="1:6" ht="15" customHeight="1" x14ac:dyDescent="0.25">
      <c r="A3701" s="2352" t="s">
        <v>4632</v>
      </c>
      <c r="B3701" s="2352" t="s">
        <v>4204</v>
      </c>
      <c r="C3701" s="2352" t="s">
        <v>17273</v>
      </c>
      <c r="D3701" s="2352" t="s">
        <v>4633</v>
      </c>
      <c r="E3701" s="355" t="s">
        <v>17276</v>
      </c>
      <c r="F3701" s="1662" t="s">
        <v>17286</v>
      </c>
    </row>
    <row r="3702" spans="1:6" ht="15" customHeight="1" x14ac:dyDescent="0.25">
      <c r="A3702" s="2352" t="s">
        <v>17385</v>
      </c>
      <c r="B3702" s="2352" t="s">
        <v>4204</v>
      </c>
      <c r="C3702" s="2352" t="s">
        <v>17273</v>
      </c>
      <c r="D3702" s="2352" t="s">
        <v>4634</v>
      </c>
      <c r="E3702" s="355" t="s">
        <v>17276</v>
      </c>
      <c r="F3702" s="1662" t="s">
        <v>17291</v>
      </c>
    </row>
    <row r="3703" spans="1:6" ht="15" customHeight="1" x14ac:dyDescent="0.25">
      <c r="A3703" s="2352" t="s">
        <v>17386</v>
      </c>
      <c r="B3703" s="2352" t="s">
        <v>4204</v>
      </c>
      <c r="C3703" s="2352" t="s">
        <v>17273</v>
      </c>
      <c r="D3703" s="2352" t="s">
        <v>4635</v>
      </c>
      <c r="E3703" s="355" t="s">
        <v>17285</v>
      </c>
      <c r="F3703" s="1662" t="s">
        <v>17287</v>
      </c>
    </row>
    <row r="3704" spans="1:6" ht="15" customHeight="1" x14ac:dyDescent="0.25">
      <c r="A3704" s="2352" t="s">
        <v>17387</v>
      </c>
      <c r="B3704" s="2352" t="s">
        <v>4204</v>
      </c>
      <c r="C3704" s="2352" t="s">
        <v>17273</v>
      </c>
      <c r="D3704" s="2352" t="s">
        <v>4636</v>
      </c>
      <c r="E3704" s="355" t="s">
        <v>17276</v>
      </c>
      <c r="F3704" s="1662" t="s">
        <v>17291</v>
      </c>
    </row>
    <row r="3705" spans="1:6" ht="15" customHeight="1" x14ac:dyDescent="0.25">
      <c r="A3705" s="2352" t="s">
        <v>17388</v>
      </c>
      <c r="B3705" s="2352" t="s">
        <v>4204</v>
      </c>
      <c r="C3705" s="2352" t="s">
        <v>17273</v>
      </c>
      <c r="D3705" s="2352" t="s">
        <v>4637</v>
      </c>
      <c r="E3705" s="355" t="s">
        <v>17282</v>
      </c>
      <c r="F3705" s="1662" t="s">
        <v>17321</v>
      </c>
    </row>
    <row r="3706" spans="1:6" ht="15" customHeight="1" x14ac:dyDescent="0.25">
      <c r="A3706" s="2352" t="s">
        <v>17389</v>
      </c>
      <c r="B3706" s="2352" t="s">
        <v>4204</v>
      </c>
      <c r="C3706" s="2352" t="s">
        <v>17273</v>
      </c>
      <c r="D3706" s="2352" t="s">
        <v>4638</v>
      </c>
      <c r="E3706" s="355" t="s">
        <v>17279</v>
      </c>
      <c r="F3706" s="1662" t="s">
        <v>17291</v>
      </c>
    </row>
    <row r="3707" spans="1:6" ht="15" customHeight="1" x14ac:dyDescent="0.25">
      <c r="A3707" s="2352" t="s">
        <v>17390</v>
      </c>
      <c r="B3707" s="2352" t="s">
        <v>4204</v>
      </c>
      <c r="C3707" s="2352" t="s">
        <v>17273</v>
      </c>
      <c r="D3707" s="2352" t="s">
        <v>4639</v>
      </c>
      <c r="E3707" s="355" t="s">
        <v>17276</v>
      </c>
      <c r="F3707" s="1662">
        <v>0</v>
      </c>
    </row>
    <row r="3708" spans="1:6" ht="15" customHeight="1" x14ac:dyDescent="0.25">
      <c r="A3708" s="2352" t="s">
        <v>17391</v>
      </c>
      <c r="B3708" s="2352" t="s">
        <v>4204</v>
      </c>
      <c r="C3708" s="2352" t="s">
        <v>17273</v>
      </c>
      <c r="D3708" s="2352" t="s">
        <v>4640</v>
      </c>
      <c r="E3708" s="355" t="s">
        <v>17281</v>
      </c>
      <c r="F3708" s="1662" t="s">
        <v>17290</v>
      </c>
    </row>
    <row r="3709" spans="1:6" ht="15" customHeight="1" x14ac:dyDescent="0.25">
      <c r="A3709" s="2352" t="s">
        <v>17392</v>
      </c>
      <c r="B3709" s="2352" t="s">
        <v>4204</v>
      </c>
      <c r="C3709" s="2352" t="s">
        <v>17273</v>
      </c>
      <c r="D3709" s="2352" t="s">
        <v>4641</v>
      </c>
      <c r="E3709" s="355" t="s">
        <v>17368</v>
      </c>
      <c r="F3709" s="1662" t="s">
        <v>17286</v>
      </c>
    </row>
    <row r="3710" spans="1:6" ht="15" customHeight="1" x14ac:dyDescent="0.25">
      <c r="A3710" s="2352" t="s">
        <v>17392</v>
      </c>
      <c r="B3710" s="2352" t="s">
        <v>4204</v>
      </c>
      <c r="C3710" s="2352" t="s">
        <v>17273</v>
      </c>
      <c r="D3710" s="2352" t="s">
        <v>4642</v>
      </c>
      <c r="E3710" s="355" t="s">
        <v>17276</v>
      </c>
      <c r="F3710" s="1662" t="s">
        <v>17291</v>
      </c>
    </row>
    <row r="3711" spans="1:6" ht="15" customHeight="1" x14ac:dyDescent="0.25">
      <c r="A3711" s="2352" t="s">
        <v>17392</v>
      </c>
      <c r="B3711" s="2352" t="s">
        <v>4204</v>
      </c>
      <c r="C3711" s="2352" t="s">
        <v>17273</v>
      </c>
      <c r="D3711" s="2352" t="s">
        <v>4643</v>
      </c>
      <c r="E3711" s="355" t="s">
        <v>17368</v>
      </c>
      <c r="F3711" s="1662" t="s">
        <v>17290</v>
      </c>
    </row>
    <row r="3712" spans="1:6" ht="15" customHeight="1" x14ac:dyDescent="0.25">
      <c r="A3712" s="2352" t="s">
        <v>17392</v>
      </c>
      <c r="B3712" s="2352" t="s">
        <v>4204</v>
      </c>
      <c r="C3712" s="2352" t="s">
        <v>17273</v>
      </c>
      <c r="D3712" s="2352" t="s">
        <v>4644</v>
      </c>
      <c r="E3712" s="355" t="s">
        <v>17279</v>
      </c>
      <c r="F3712" s="1662" t="s">
        <v>17289</v>
      </c>
    </row>
    <row r="3713" spans="1:6" ht="15" customHeight="1" x14ac:dyDescent="0.25">
      <c r="A3713" s="2352" t="s">
        <v>17392</v>
      </c>
      <c r="B3713" s="2352" t="s">
        <v>4204</v>
      </c>
      <c r="C3713" s="2352" t="s">
        <v>17273</v>
      </c>
      <c r="D3713" s="2352" t="s">
        <v>4645</v>
      </c>
      <c r="E3713" s="355" t="s">
        <v>17393</v>
      </c>
      <c r="F3713" s="1662" t="s">
        <v>17293</v>
      </c>
    </row>
    <row r="3714" spans="1:6" ht="15" customHeight="1" x14ac:dyDescent="0.25">
      <c r="A3714" s="2352" t="s">
        <v>17392</v>
      </c>
      <c r="B3714" s="2352" t="s">
        <v>4204</v>
      </c>
      <c r="C3714" s="2352" t="s">
        <v>17273</v>
      </c>
      <c r="D3714" s="2352" t="s">
        <v>4646</v>
      </c>
      <c r="E3714" s="355" t="s">
        <v>17276</v>
      </c>
      <c r="F3714" s="1662" t="s">
        <v>17290</v>
      </c>
    </row>
    <row r="3715" spans="1:6" ht="15" customHeight="1" x14ac:dyDescent="0.25">
      <c r="A3715" s="2352" t="s">
        <v>4647</v>
      </c>
      <c r="B3715" s="2352" t="s">
        <v>4204</v>
      </c>
      <c r="C3715" s="2352" t="s">
        <v>17273</v>
      </c>
      <c r="D3715" s="2352" t="s">
        <v>4648</v>
      </c>
      <c r="E3715" s="355" t="s">
        <v>17276</v>
      </c>
      <c r="F3715" s="1662" t="s">
        <v>17289</v>
      </c>
    </row>
    <row r="3716" spans="1:6" ht="15" customHeight="1" x14ac:dyDescent="0.25">
      <c r="A3716" s="2352" t="s">
        <v>4649</v>
      </c>
      <c r="B3716" s="2352" t="s">
        <v>4204</v>
      </c>
      <c r="C3716" s="2352" t="s">
        <v>17273</v>
      </c>
      <c r="D3716" s="2352" t="s">
        <v>4650</v>
      </c>
      <c r="E3716" s="355" t="s">
        <v>17288</v>
      </c>
      <c r="F3716" s="1662" t="s">
        <v>17291</v>
      </c>
    </row>
    <row r="3717" spans="1:6" ht="15" customHeight="1" x14ac:dyDescent="0.25">
      <c r="A3717" s="2352" t="s">
        <v>17394</v>
      </c>
      <c r="B3717" s="2352" t="s">
        <v>4204</v>
      </c>
      <c r="C3717" s="2352" t="s">
        <v>17273</v>
      </c>
      <c r="D3717" s="2352" t="s">
        <v>4651</v>
      </c>
      <c r="E3717" s="355" t="s">
        <v>17333</v>
      </c>
      <c r="F3717" s="1662" t="s">
        <v>17289</v>
      </c>
    </row>
    <row r="3718" spans="1:6" ht="15" customHeight="1" x14ac:dyDescent="0.25">
      <c r="A3718" s="2352" t="s">
        <v>4649</v>
      </c>
      <c r="B3718" s="2352" t="s">
        <v>4204</v>
      </c>
      <c r="C3718" s="2352" t="s">
        <v>17273</v>
      </c>
      <c r="D3718" s="2352" t="s">
        <v>4652</v>
      </c>
      <c r="E3718" s="355" t="s">
        <v>17310</v>
      </c>
      <c r="F3718" s="1662" t="s">
        <v>17303</v>
      </c>
    </row>
    <row r="3719" spans="1:6" ht="15" customHeight="1" x14ac:dyDescent="0.25">
      <c r="A3719" s="2352" t="s">
        <v>4653</v>
      </c>
      <c r="B3719" s="2352" t="s">
        <v>4204</v>
      </c>
      <c r="C3719" s="2352" t="s">
        <v>17273</v>
      </c>
      <c r="D3719" s="2352" t="s">
        <v>4654</v>
      </c>
      <c r="E3719" s="355" t="s">
        <v>17281</v>
      </c>
      <c r="F3719" s="1662" t="s">
        <v>17316</v>
      </c>
    </row>
    <row r="3720" spans="1:6" ht="15" customHeight="1" x14ac:dyDescent="0.25">
      <c r="A3720" s="2352" t="s">
        <v>17395</v>
      </c>
      <c r="B3720" s="2352" t="s">
        <v>4204</v>
      </c>
      <c r="C3720" s="2352" t="s">
        <v>17273</v>
      </c>
      <c r="D3720" s="2352" t="s">
        <v>4655</v>
      </c>
      <c r="E3720" s="355" t="s">
        <v>17281</v>
      </c>
      <c r="F3720" s="1662" t="s">
        <v>17300</v>
      </c>
    </row>
    <row r="3721" spans="1:6" ht="15" customHeight="1" x14ac:dyDescent="0.25">
      <c r="A3721" s="2352" t="s">
        <v>17396</v>
      </c>
      <c r="B3721" s="2352" t="s">
        <v>4204</v>
      </c>
      <c r="C3721" s="2352" t="s">
        <v>17273</v>
      </c>
      <c r="D3721" s="2352" t="s">
        <v>4656</v>
      </c>
      <c r="E3721" s="355" t="s">
        <v>17288</v>
      </c>
      <c r="F3721" s="1662" t="s">
        <v>17299</v>
      </c>
    </row>
    <row r="3722" spans="1:6" ht="15" customHeight="1" x14ac:dyDescent="0.25">
      <c r="A3722" s="2352" t="s">
        <v>17396</v>
      </c>
      <c r="B3722" s="2352" t="s">
        <v>4204</v>
      </c>
      <c r="C3722" s="2352" t="s">
        <v>17273</v>
      </c>
      <c r="D3722" s="2352" t="s">
        <v>4657</v>
      </c>
      <c r="E3722" s="355" t="s">
        <v>17281</v>
      </c>
      <c r="F3722" s="1662" t="s">
        <v>17293</v>
      </c>
    </row>
    <row r="3723" spans="1:6" ht="15" customHeight="1" x14ac:dyDescent="0.25">
      <c r="A3723" s="2352" t="s">
        <v>17396</v>
      </c>
      <c r="B3723" s="2352" t="s">
        <v>4204</v>
      </c>
      <c r="C3723" s="2352" t="s">
        <v>17273</v>
      </c>
      <c r="D3723" s="2352" t="s">
        <v>4658</v>
      </c>
      <c r="E3723" s="355" t="s">
        <v>17281</v>
      </c>
      <c r="F3723" s="1662" t="s">
        <v>17300</v>
      </c>
    </row>
    <row r="3724" spans="1:6" ht="15" customHeight="1" x14ac:dyDescent="0.25">
      <c r="A3724" s="2352" t="s">
        <v>4659</v>
      </c>
      <c r="B3724" s="2352" t="s">
        <v>4204</v>
      </c>
      <c r="C3724" s="2352" t="s">
        <v>17273</v>
      </c>
      <c r="D3724" s="2352" t="s">
        <v>4660</v>
      </c>
      <c r="E3724" s="355" t="s">
        <v>17279</v>
      </c>
      <c r="F3724" s="1662" t="s">
        <v>17290</v>
      </c>
    </row>
    <row r="3725" spans="1:6" ht="15" customHeight="1" x14ac:dyDescent="0.25">
      <c r="A3725" s="2352" t="s">
        <v>17397</v>
      </c>
      <c r="B3725" s="2352" t="s">
        <v>4204</v>
      </c>
      <c r="C3725" s="2352" t="s">
        <v>17273</v>
      </c>
      <c r="D3725" s="2352" t="s">
        <v>4661</v>
      </c>
      <c r="E3725" s="355" t="s">
        <v>17279</v>
      </c>
      <c r="F3725" s="1662" t="s">
        <v>17289</v>
      </c>
    </row>
    <row r="3726" spans="1:6" ht="15" customHeight="1" x14ac:dyDescent="0.25">
      <c r="A3726" s="2352" t="s">
        <v>17397</v>
      </c>
      <c r="B3726" s="2352" t="s">
        <v>4204</v>
      </c>
      <c r="C3726" s="2352" t="s">
        <v>17273</v>
      </c>
      <c r="D3726" s="2352" t="s">
        <v>4662</v>
      </c>
      <c r="E3726" s="355" t="s">
        <v>17279</v>
      </c>
      <c r="F3726" s="1662" t="s">
        <v>17290</v>
      </c>
    </row>
    <row r="3727" spans="1:6" ht="15" customHeight="1" x14ac:dyDescent="0.25">
      <c r="A3727" s="2352" t="s">
        <v>17397</v>
      </c>
      <c r="B3727" s="2352" t="s">
        <v>4204</v>
      </c>
      <c r="C3727" s="2352" t="s">
        <v>17273</v>
      </c>
      <c r="D3727" s="2352" t="s">
        <v>4663</v>
      </c>
      <c r="E3727" s="355" t="s">
        <v>17279</v>
      </c>
      <c r="F3727" s="1662" t="s">
        <v>17290</v>
      </c>
    </row>
    <row r="3728" spans="1:6" ht="15" customHeight="1" x14ac:dyDescent="0.25">
      <c r="A3728" s="2352" t="s">
        <v>17395</v>
      </c>
      <c r="B3728" s="2352" t="s">
        <v>4204</v>
      </c>
      <c r="C3728" s="2352" t="s">
        <v>17273</v>
      </c>
      <c r="D3728" s="2352" t="s">
        <v>4664</v>
      </c>
      <c r="E3728" s="355" t="s">
        <v>17281</v>
      </c>
      <c r="F3728" s="1662" t="s">
        <v>17290</v>
      </c>
    </row>
    <row r="3729" spans="1:6" ht="15" customHeight="1" x14ac:dyDescent="0.25">
      <c r="A3729" s="2352" t="s">
        <v>4665</v>
      </c>
      <c r="B3729" s="2352" t="s">
        <v>4204</v>
      </c>
      <c r="C3729" s="2352" t="s">
        <v>17273</v>
      </c>
      <c r="D3729" s="2352" t="s">
        <v>4666</v>
      </c>
      <c r="E3729" s="355" t="s">
        <v>17276</v>
      </c>
      <c r="F3729" s="1662" t="s">
        <v>17289</v>
      </c>
    </row>
    <row r="3730" spans="1:6" ht="15" customHeight="1" x14ac:dyDescent="0.25">
      <c r="A3730" s="2352" t="s">
        <v>17398</v>
      </c>
      <c r="B3730" s="2352" t="s">
        <v>4204</v>
      </c>
      <c r="C3730" s="2352" t="s">
        <v>17273</v>
      </c>
      <c r="D3730" s="2352" t="s">
        <v>4667</v>
      </c>
      <c r="E3730" s="355" t="s">
        <v>17276</v>
      </c>
      <c r="F3730" s="1662" t="s">
        <v>17287</v>
      </c>
    </row>
    <row r="3731" spans="1:6" ht="15" customHeight="1" x14ac:dyDescent="0.25">
      <c r="A3731" s="2352" t="s">
        <v>4665</v>
      </c>
      <c r="B3731" s="2352" t="s">
        <v>4204</v>
      </c>
      <c r="C3731" s="2352" t="s">
        <v>17273</v>
      </c>
      <c r="D3731" s="2352" t="s">
        <v>4668</v>
      </c>
      <c r="E3731" s="355" t="s">
        <v>17279</v>
      </c>
      <c r="F3731" s="1662" t="s">
        <v>17289</v>
      </c>
    </row>
    <row r="3732" spans="1:6" ht="15" customHeight="1" x14ac:dyDescent="0.25">
      <c r="A3732" s="2352" t="s">
        <v>17399</v>
      </c>
      <c r="B3732" s="2352" t="s">
        <v>4204</v>
      </c>
      <c r="C3732" s="2352" t="s">
        <v>17273</v>
      </c>
      <c r="D3732" s="2352" t="s">
        <v>4669</v>
      </c>
      <c r="E3732" s="355" t="s">
        <v>17285</v>
      </c>
      <c r="F3732" s="1662" t="s">
        <v>17286</v>
      </c>
    </row>
    <row r="3733" spans="1:6" ht="15" customHeight="1" x14ac:dyDescent="0.25">
      <c r="A3733" s="2352" t="s">
        <v>17400</v>
      </c>
      <c r="B3733" s="2352" t="s">
        <v>4204</v>
      </c>
      <c r="C3733" s="2352" t="s">
        <v>17273</v>
      </c>
      <c r="D3733" s="2352" t="s">
        <v>4670</v>
      </c>
      <c r="E3733" s="355" t="s">
        <v>17279</v>
      </c>
      <c r="F3733" s="1662" t="s">
        <v>17290</v>
      </c>
    </row>
    <row r="3734" spans="1:6" ht="15" customHeight="1" x14ac:dyDescent="0.25">
      <c r="A3734" s="2352" t="s">
        <v>4671</v>
      </c>
      <c r="B3734" s="2352" t="s">
        <v>4204</v>
      </c>
      <c r="C3734" s="2352" t="s">
        <v>17273</v>
      </c>
      <c r="D3734" s="2352" t="s">
        <v>4672</v>
      </c>
      <c r="E3734" s="355" t="s">
        <v>17276</v>
      </c>
      <c r="F3734" s="1662" t="s">
        <v>17286</v>
      </c>
    </row>
    <row r="3735" spans="1:6" ht="15" customHeight="1" x14ac:dyDescent="0.25">
      <c r="A3735" s="2352" t="s">
        <v>17401</v>
      </c>
      <c r="B3735" s="2352" t="s">
        <v>4204</v>
      </c>
      <c r="C3735" s="2352" t="s">
        <v>17273</v>
      </c>
      <c r="D3735" s="2352" t="s">
        <v>4673</v>
      </c>
      <c r="E3735" s="355" t="s">
        <v>17281</v>
      </c>
      <c r="F3735" s="1662" t="s">
        <v>17313</v>
      </c>
    </row>
    <row r="3736" spans="1:6" ht="15" customHeight="1" x14ac:dyDescent="0.25">
      <c r="A3736" s="2352" t="s">
        <v>17402</v>
      </c>
      <c r="B3736" s="2352" t="s">
        <v>4204</v>
      </c>
      <c r="C3736" s="2352" t="s">
        <v>17273</v>
      </c>
      <c r="D3736" s="2352" t="s">
        <v>4674</v>
      </c>
      <c r="E3736" s="355" t="s">
        <v>17285</v>
      </c>
      <c r="F3736" s="1662" t="s">
        <v>17303</v>
      </c>
    </row>
    <row r="3737" spans="1:6" ht="15" customHeight="1" x14ac:dyDescent="0.25">
      <c r="A3737" s="2352" t="s">
        <v>17402</v>
      </c>
      <c r="B3737" s="2352" t="s">
        <v>4204</v>
      </c>
      <c r="C3737" s="2352" t="s">
        <v>17273</v>
      </c>
      <c r="D3737" s="2352" t="s">
        <v>4675</v>
      </c>
      <c r="E3737" s="355" t="s">
        <v>17276</v>
      </c>
      <c r="F3737" s="1662" t="s">
        <v>17286</v>
      </c>
    </row>
    <row r="3738" spans="1:6" ht="15" customHeight="1" x14ac:dyDescent="0.25">
      <c r="A3738" s="2352" t="s">
        <v>4676</v>
      </c>
      <c r="B3738" s="2352" t="s">
        <v>4204</v>
      </c>
      <c r="C3738" s="2352" t="s">
        <v>17273</v>
      </c>
      <c r="D3738" s="2352" t="s">
        <v>4677</v>
      </c>
      <c r="E3738" s="355" t="s">
        <v>17276</v>
      </c>
      <c r="F3738" s="1662" t="s">
        <v>17286</v>
      </c>
    </row>
    <row r="3739" spans="1:6" ht="15" customHeight="1" x14ac:dyDescent="0.25">
      <c r="A3739" s="2352" t="s">
        <v>4678</v>
      </c>
      <c r="B3739" s="2352" t="s">
        <v>4204</v>
      </c>
      <c r="C3739" s="2352" t="s">
        <v>17273</v>
      </c>
      <c r="D3739" s="2352" t="s">
        <v>4679</v>
      </c>
      <c r="E3739" s="355" t="s">
        <v>17285</v>
      </c>
      <c r="F3739" s="1662" t="s">
        <v>17287</v>
      </c>
    </row>
    <row r="3740" spans="1:6" ht="15" customHeight="1" x14ac:dyDescent="0.25">
      <c r="A3740" s="2352" t="s">
        <v>17403</v>
      </c>
      <c r="B3740" s="2352" t="s">
        <v>4204</v>
      </c>
      <c r="C3740" s="2352" t="s">
        <v>17273</v>
      </c>
      <c r="D3740" s="2352" t="s">
        <v>4680</v>
      </c>
      <c r="E3740" s="355" t="s">
        <v>17274</v>
      </c>
      <c r="F3740" s="1662" t="s">
        <v>17303</v>
      </c>
    </row>
    <row r="3741" spans="1:6" ht="15" customHeight="1" x14ac:dyDescent="0.25">
      <c r="A3741" s="2352" t="s">
        <v>17392</v>
      </c>
      <c r="B3741" s="2352" t="s">
        <v>4204</v>
      </c>
      <c r="C3741" s="2352" t="s">
        <v>17273</v>
      </c>
      <c r="D3741" s="2352" t="s">
        <v>4681</v>
      </c>
      <c r="E3741" s="355" t="s">
        <v>17276</v>
      </c>
      <c r="F3741" s="1662" t="s">
        <v>17290</v>
      </c>
    </row>
    <row r="3742" spans="1:6" ht="15" customHeight="1" x14ac:dyDescent="0.25">
      <c r="A3742" s="2352" t="s">
        <v>17404</v>
      </c>
      <c r="B3742" s="2352" t="s">
        <v>4204</v>
      </c>
      <c r="C3742" s="2352" t="s">
        <v>17273</v>
      </c>
      <c r="D3742" s="2352" t="s">
        <v>4682</v>
      </c>
      <c r="E3742" s="355" t="s">
        <v>17279</v>
      </c>
      <c r="F3742" s="1662" t="s">
        <v>17289</v>
      </c>
    </row>
    <row r="3743" spans="1:6" ht="15" customHeight="1" x14ac:dyDescent="0.25">
      <c r="A3743" s="2352" t="s">
        <v>4233</v>
      </c>
      <c r="B3743" s="2352" t="s">
        <v>4204</v>
      </c>
      <c r="C3743" s="2352" t="s">
        <v>17273</v>
      </c>
      <c r="D3743" s="2352" t="s">
        <v>4683</v>
      </c>
      <c r="E3743" s="355" t="s">
        <v>17282</v>
      </c>
      <c r="F3743" s="1662" t="s">
        <v>17286</v>
      </c>
    </row>
    <row r="3744" spans="1:6" ht="15" customHeight="1" x14ac:dyDescent="0.25">
      <c r="A3744" s="2352" t="s">
        <v>17405</v>
      </c>
      <c r="B3744" s="2352" t="s">
        <v>4204</v>
      </c>
      <c r="C3744" s="2352" t="s">
        <v>17273</v>
      </c>
      <c r="D3744" s="2352" t="s">
        <v>4684</v>
      </c>
      <c r="E3744" s="355" t="s">
        <v>17276</v>
      </c>
      <c r="F3744" s="1662" t="s">
        <v>17325</v>
      </c>
    </row>
    <row r="3745" spans="1:6" ht="15" customHeight="1" x14ac:dyDescent="0.25">
      <c r="A3745" s="2352" t="s">
        <v>17406</v>
      </c>
      <c r="B3745" s="2352" t="s">
        <v>4204</v>
      </c>
      <c r="C3745" s="2352" t="s">
        <v>17273</v>
      </c>
      <c r="D3745" s="2352" t="s">
        <v>4685</v>
      </c>
      <c r="E3745" s="355" t="s">
        <v>17288</v>
      </c>
      <c r="F3745" s="1662" t="s">
        <v>17290</v>
      </c>
    </row>
    <row r="3746" spans="1:6" ht="15" customHeight="1" x14ac:dyDescent="0.25">
      <c r="A3746" s="2352" t="s">
        <v>4686</v>
      </c>
      <c r="B3746" s="2352" t="s">
        <v>4204</v>
      </c>
      <c r="C3746" s="2352" t="s">
        <v>17273</v>
      </c>
      <c r="D3746" s="2352" t="s">
        <v>4687</v>
      </c>
      <c r="E3746" s="355" t="s">
        <v>17279</v>
      </c>
      <c r="F3746" s="1662" t="s">
        <v>17350</v>
      </c>
    </row>
    <row r="3747" spans="1:6" ht="15" customHeight="1" x14ac:dyDescent="0.25">
      <c r="A3747" s="2352" t="s">
        <v>4688</v>
      </c>
      <c r="B3747" s="2352" t="s">
        <v>4204</v>
      </c>
      <c r="C3747" s="2352" t="s">
        <v>17273</v>
      </c>
      <c r="D3747" s="2352" t="s">
        <v>4689</v>
      </c>
      <c r="E3747" s="355" t="s">
        <v>17288</v>
      </c>
      <c r="F3747" s="1662" t="s">
        <v>17300</v>
      </c>
    </row>
    <row r="3748" spans="1:6" ht="15" customHeight="1" x14ac:dyDescent="0.25">
      <c r="A3748" s="2352" t="s">
        <v>4690</v>
      </c>
      <c r="B3748" s="2352" t="s">
        <v>4204</v>
      </c>
      <c r="C3748" s="2352" t="s">
        <v>17273</v>
      </c>
      <c r="D3748" s="2352" t="s">
        <v>4691</v>
      </c>
      <c r="E3748" s="355" t="s">
        <v>17276</v>
      </c>
      <c r="F3748" s="1662" t="s">
        <v>17291</v>
      </c>
    </row>
    <row r="3749" spans="1:6" ht="15" customHeight="1" x14ac:dyDescent="0.25">
      <c r="A3749" s="2352" t="s">
        <v>4692</v>
      </c>
      <c r="B3749" s="2352" t="s">
        <v>4204</v>
      </c>
      <c r="C3749" s="2352" t="s">
        <v>17273</v>
      </c>
      <c r="D3749" s="2352" t="s">
        <v>4693</v>
      </c>
      <c r="E3749" s="355" t="s">
        <v>17279</v>
      </c>
      <c r="F3749" s="1662" t="s">
        <v>17289</v>
      </c>
    </row>
    <row r="3750" spans="1:6" ht="15" customHeight="1" x14ac:dyDescent="0.25">
      <c r="A3750" s="2352" t="s">
        <v>4694</v>
      </c>
      <c r="B3750" s="2352" t="s">
        <v>4204</v>
      </c>
      <c r="C3750" s="2352" t="s">
        <v>17273</v>
      </c>
      <c r="D3750" s="2352" t="s">
        <v>4695</v>
      </c>
      <c r="E3750" s="355" t="s">
        <v>17279</v>
      </c>
      <c r="F3750" s="1662" t="s">
        <v>17291</v>
      </c>
    </row>
    <row r="3751" spans="1:6" ht="15" customHeight="1" x14ac:dyDescent="0.25">
      <c r="A3751" s="2352" t="s">
        <v>17392</v>
      </c>
      <c r="B3751" s="2352" t="s">
        <v>4204</v>
      </c>
      <c r="C3751" s="2352" t="s">
        <v>17273</v>
      </c>
      <c r="D3751" s="2352" t="s">
        <v>4696</v>
      </c>
      <c r="E3751" s="355" t="s">
        <v>17279</v>
      </c>
      <c r="F3751" s="1662" t="s">
        <v>17290</v>
      </c>
    </row>
    <row r="3752" spans="1:6" ht="15" customHeight="1" x14ac:dyDescent="0.25">
      <c r="A3752" s="2352" t="s">
        <v>17407</v>
      </c>
      <c r="B3752" s="2352" t="s">
        <v>4204</v>
      </c>
      <c r="C3752" s="2352" t="s">
        <v>17273</v>
      </c>
      <c r="D3752" s="2352" t="s">
        <v>4697</v>
      </c>
      <c r="E3752" s="355" t="s">
        <v>17368</v>
      </c>
      <c r="F3752" s="1662" t="s">
        <v>17300</v>
      </c>
    </row>
    <row r="3753" spans="1:6" ht="15" customHeight="1" x14ac:dyDescent="0.25">
      <c r="A3753" s="2352" t="s">
        <v>17408</v>
      </c>
      <c r="B3753" s="2352" t="s">
        <v>4204</v>
      </c>
      <c r="C3753" s="2352" t="s">
        <v>17273</v>
      </c>
      <c r="D3753" s="2352" t="s">
        <v>4698</v>
      </c>
      <c r="E3753" s="355" t="s">
        <v>17279</v>
      </c>
      <c r="F3753" s="1662" t="s">
        <v>17299</v>
      </c>
    </row>
    <row r="3754" spans="1:6" ht="15" customHeight="1" x14ac:dyDescent="0.25">
      <c r="A3754" s="2352" t="s">
        <v>17409</v>
      </c>
      <c r="B3754" s="2352" t="s">
        <v>4204</v>
      </c>
      <c r="C3754" s="2352" t="s">
        <v>17273</v>
      </c>
      <c r="D3754" s="2352" t="s">
        <v>4699</v>
      </c>
      <c r="E3754" s="355" t="s">
        <v>17311</v>
      </c>
      <c r="F3754" s="1662" t="s">
        <v>17295</v>
      </c>
    </row>
    <row r="3755" spans="1:6" ht="15" customHeight="1" x14ac:dyDescent="0.25">
      <c r="A3755" s="2352" t="s">
        <v>4700</v>
      </c>
      <c r="B3755" s="2352" t="s">
        <v>4204</v>
      </c>
      <c r="C3755" s="2352" t="s">
        <v>17273</v>
      </c>
      <c r="D3755" s="2352" t="s">
        <v>4701</v>
      </c>
      <c r="E3755" s="355" t="s">
        <v>17280</v>
      </c>
      <c r="F3755" s="1662" t="s">
        <v>17295</v>
      </c>
    </row>
    <row r="3756" spans="1:6" ht="15" customHeight="1" x14ac:dyDescent="0.25">
      <c r="A3756" s="2352" t="s">
        <v>4702</v>
      </c>
      <c r="B3756" s="2352" t="s">
        <v>4204</v>
      </c>
      <c r="C3756" s="2352" t="s">
        <v>17273</v>
      </c>
      <c r="D3756" s="2352" t="s">
        <v>4703</v>
      </c>
      <c r="E3756" s="355" t="s">
        <v>17279</v>
      </c>
      <c r="F3756" s="1662" t="s">
        <v>17293</v>
      </c>
    </row>
    <row r="3757" spans="1:6" ht="15" customHeight="1" x14ac:dyDescent="0.25">
      <c r="A3757" s="2352" t="s">
        <v>17410</v>
      </c>
      <c r="B3757" s="2352" t="s">
        <v>4204</v>
      </c>
      <c r="C3757" s="2352" t="s">
        <v>17273</v>
      </c>
      <c r="D3757" s="2352" t="s">
        <v>4704</v>
      </c>
      <c r="E3757" s="355" t="s">
        <v>17310</v>
      </c>
      <c r="F3757" s="1662" t="s">
        <v>17295</v>
      </c>
    </row>
    <row r="3758" spans="1:6" ht="15" customHeight="1" x14ac:dyDescent="0.25">
      <c r="A3758" s="2352" t="s">
        <v>17411</v>
      </c>
      <c r="B3758" s="2352" t="s">
        <v>4204</v>
      </c>
      <c r="C3758" s="2352" t="s">
        <v>17273</v>
      </c>
      <c r="D3758" s="2352" t="s">
        <v>4705</v>
      </c>
      <c r="E3758" s="355" t="s">
        <v>17276</v>
      </c>
      <c r="F3758" s="1662" t="s">
        <v>17291</v>
      </c>
    </row>
    <row r="3759" spans="1:6" ht="15" customHeight="1" x14ac:dyDescent="0.25">
      <c r="A3759" s="2352" t="s">
        <v>17412</v>
      </c>
      <c r="B3759" s="2352" t="s">
        <v>4204</v>
      </c>
      <c r="C3759" s="2352" t="s">
        <v>17273</v>
      </c>
      <c r="D3759" s="2352" t="s">
        <v>4706</v>
      </c>
      <c r="E3759" s="355" t="s">
        <v>17280</v>
      </c>
      <c r="F3759" s="1662" t="s">
        <v>17287</v>
      </c>
    </row>
    <row r="3760" spans="1:6" ht="15" customHeight="1" x14ac:dyDescent="0.25">
      <c r="A3760" s="2352" t="s">
        <v>17413</v>
      </c>
      <c r="B3760" s="2352" t="s">
        <v>4204</v>
      </c>
      <c r="C3760" s="2352" t="s">
        <v>17273</v>
      </c>
      <c r="D3760" s="2352" t="s">
        <v>4707</v>
      </c>
      <c r="E3760" s="355" t="s">
        <v>17276</v>
      </c>
      <c r="F3760" s="1662" t="s">
        <v>17289</v>
      </c>
    </row>
    <row r="3761" spans="1:6" ht="15" customHeight="1" x14ac:dyDescent="0.25">
      <c r="A3761" s="2352" t="s">
        <v>17414</v>
      </c>
      <c r="B3761" s="2352" t="s">
        <v>4204</v>
      </c>
      <c r="C3761" s="2352" t="s">
        <v>17273</v>
      </c>
      <c r="D3761" s="2352" t="s">
        <v>4708</v>
      </c>
      <c r="E3761" s="355" t="s">
        <v>17282</v>
      </c>
      <c r="F3761" s="1662" t="s">
        <v>17321</v>
      </c>
    </row>
    <row r="3762" spans="1:6" ht="15" customHeight="1" x14ac:dyDescent="0.25">
      <c r="A3762" s="2352" t="s">
        <v>4709</v>
      </c>
      <c r="B3762" s="2352" t="s">
        <v>4204</v>
      </c>
      <c r="C3762" s="2352" t="s">
        <v>17273</v>
      </c>
      <c r="D3762" s="2352" t="s">
        <v>4710</v>
      </c>
      <c r="E3762" s="355" t="s">
        <v>17311</v>
      </c>
      <c r="F3762" s="1662" t="s">
        <v>17295</v>
      </c>
    </row>
    <row r="3763" spans="1:6" ht="15" customHeight="1" x14ac:dyDescent="0.25">
      <c r="A3763" s="2352" t="s">
        <v>4711</v>
      </c>
      <c r="B3763" s="2352" t="s">
        <v>4204</v>
      </c>
      <c r="C3763" s="2352" t="s">
        <v>17273</v>
      </c>
      <c r="D3763" s="2352" t="s">
        <v>4712</v>
      </c>
      <c r="E3763" s="355" t="s">
        <v>17285</v>
      </c>
      <c r="F3763" s="1662" t="s">
        <v>17286</v>
      </c>
    </row>
    <row r="3764" spans="1:6" ht="15" customHeight="1" x14ac:dyDescent="0.25">
      <c r="A3764" s="2352" t="s">
        <v>4713</v>
      </c>
      <c r="B3764" s="2352" t="s">
        <v>4204</v>
      </c>
      <c r="C3764" s="2352" t="s">
        <v>17273</v>
      </c>
      <c r="D3764" s="2352" t="s">
        <v>4714</v>
      </c>
      <c r="E3764" s="355" t="s">
        <v>17310</v>
      </c>
      <c r="F3764" s="1662" t="s">
        <v>17287</v>
      </c>
    </row>
    <row r="3765" spans="1:6" ht="15" customHeight="1" x14ac:dyDescent="0.25">
      <c r="A3765" s="2352" t="s">
        <v>4715</v>
      </c>
      <c r="B3765" s="2352" t="s">
        <v>4204</v>
      </c>
      <c r="C3765" s="2352" t="s">
        <v>17273</v>
      </c>
      <c r="D3765" s="2352" t="s">
        <v>4716</v>
      </c>
      <c r="E3765" s="355" t="s">
        <v>17280</v>
      </c>
      <c r="F3765" s="1662" t="s">
        <v>17295</v>
      </c>
    </row>
    <row r="3766" spans="1:6" ht="15" customHeight="1" x14ac:dyDescent="0.25">
      <c r="A3766" s="2352" t="s">
        <v>4717</v>
      </c>
      <c r="B3766" s="2352" t="s">
        <v>4204</v>
      </c>
      <c r="C3766" s="2352" t="s">
        <v>17273</v>
      </c>
      <c r="D3766" s="2352" t="s">
        <v>4718</v>
      </c>
      <c r="E3766" s="355" t="s">
        <v>17280</v>
      </c>
      <c r="F3766" s="1662" t="s">
        <v>17287</v>
      </c>
    </row>
    <row r="3767" spans="1:6" ht="15" customHeight="1" x14ac:dyDescent="0.25">
      <c r="A3767" s="2352" t="s">
        <v>4719</v>
      </c>
      <c r="B3767" s="2352" t="s">
        <v>4204</v>
      </c>
      <c r="C3767" s="2352" t="s">
        <v>17273</v>
      </c>
      <c r="D3767" s="2352" t="s">
        <v>4720</v>
      </c>
      <c r="E3767" s="355" t="s">
        <v>17282</v>
      </c>
      <c r="F3767" s="1662" t="s">
        <v>17286</v>
      </c>
    </row>
    <row r="3768" spans="1:6" ht="15" customHeight="1" x14ac:dyDescent="0.25">
      <c r="A3768" s="2352" t="s">
        <v>4374</v>
      </c>
      <c r="B3768" s="2352" t="s">
        <v>4204</v>
      </c>
      <c r="C3768" s="2352" t="s">
        <v>17273</v>
      </c>
      <c r="D3768" s="2352" t="s">
        <v>4721</v>
      </c>
      <c r="E3768" s="355" t="s">
        <v>17276</v>
      </c>
      <c r="F3768" s="1662" t="s">
        <v>17291</v>
      </c>
    </row>
    <row r="3769" spans="1:6" ht="15" customHeight="1" x14ac:dyDescent="0.25">
      <c r="A3769" s="2352" t="s">
        <v>4722</v>
      </c>
      <c r="B3769" s="2352" t="s">
        <v>4204</v>
      </c>
      <c r="C3769" s="2352" t="s">
        <v>17273</v>
      </c>
      <c r="D3769" s="2352" t="s">
        <v>4723</v>
      </c>
      <c r="E3769" s="355" t="s">
        <v>17288</v>
      </c>
      <c r="F3769" s="1662" t="s">
        <v>17293</v>
      </c>
    </row>
    <row r="3770" spans="1:6" ht="15" customHeight="1" x14ac:dyDescent="0.25">
      <c r="A3770" s="2352" t="s">
        <v>4722</v>
      </c>
      <c r="B3770" s="2352" t="s">
        <v>4204</v>
      </c>
      <c r="C3770" s="2352" t="s">
        <v>17273</v>
      </c>
      <c r="D3770" s="2352" t="s">
        <v>4724</v>
      </c>
      <c r="E3770" s="355" t="s">
        <v>17279</v>
      </c>
      <c r="F3770" s="1662" t="s">
        <v>17290</v>
      </c>
    </row>
    <row r="3771" spans="1:6" ht="15" customHeight="1" x14ac:dyDescent="0.25">
      <c r="A3771" s="2352" t="s">
        <v>4722</v>
      </c>
      <c r="B3771" s="2352" t="s">
        <v>4204</v>
      </c>
      <c r="C3771" s="2352" t="s">
        <v>17273</v>
      </c>
      <c r="D3771" s="2352" t="s">
        <v>4725</v>
      </c>
      <c r="E3771" s="355" t="s">
        <v>17279</v>
      </c>
      <c r="F3771" s="1662" t="s">
        <v>17299</v>
      </c>
    </row>
    <row r="3772" spans="1:6" ht="15" customHeight="1" x14ac:dyDescent="0.25">
      <c r="A3772" s="2352" t="s">
        <v>4722</v>
      </c>
      <c r="B3772" s="2352" t="s">
        <v>4204</v>
      </c>
      <c r="C3772" s="2352" t="s">
        <v>17273</v>
      </c>
      <c r="D3772" s="2352" t="s">
        <v>4726</v>
      </c>
      <c r="E3772" s="355" t="s">
        <v>17280</v>
      </c>
      <c r="F3772" s="1662" t="s">
        <v>17287</v>
      </c>
    </row>
    <row r="3773" spans="1:6" ht="15" customHeight="1" x14ac:dyDescent="0.25">
      <c r="A3773" s="2352" t="s">
        <v>4727</v>
      </c>
      <c r="B3773" s="2352" t="s">
        <v>4204</v>
      </c>
      <c r="C3773" s="2352" t="s">
        <v>17273</v>
      </c>
      <c r="D3773" s="2352" t="s">
        <v>4728</v>
      </c>
      <c r="E3773" s="355" t="s">
        <v>17285</v>
      </c>
      <c r="F3773" s="1662" t="s">
        <v>17287</v>
      </c>
    </row>
    <row r="3774" spans="1:6" ht="15" customHeight="1" x14ac:dyDescent="0.25">
      <c r="A3774" s="2352" t="s">
        <v>4729</v>
      </c>
      <c r="B3774" s="2352" t="s">
        <v>4204</v>
      </c>
      <c r="C3774" s="2352" t="s">
        <v>17273</v>
      </c>
      <c r="D3774" s="2352" t="s">
        <v>4730</v>
      </c>
      <c r="E3774" s="355" t="s">
        <v>17279</v>
      </c>
      <c r="F3774" s="1662" t="s">
        <v>17290</v>
      </c>
    </row>
    <row r="3775" spans="1:6" ht="15" customHeight="1" x14ac:dyDescent="0.25">
      <c r="A3775" s="2352" t="s">
        <v>4731</v>
      </c>
      <c r="B3775" s="2352" t="s">
        <v>4204</v>
      </c>
      <c r="C3775" s="2352" t="s">
        <v>17273</v>
      </c>
      <c r="D3775" s="2352" t="s">
        <v>4732</v>
      </c>
      <c r="E3775" s="355" t="s">
        <v>17279</v>
      </c>
      <c r="F3775" s="1662" t="s">
        <v>17299</v>
      </c>
    </row>
    <row r="3776" spans="1:6" ht="15" customHeight="1" x14ac:dyDescent="0.25">
      <c r="A3776" s="2352" t="s">
        <v>4733</v>
      </c>
      <c r="B3776" s="2352" t="s">
        <v>4204</v>
      </c>
      <c r="C3776" s="2352" t="s">
        <v>17273</v>
      </c>
      <c r="D3776" s="2352" t="s">
        <v>4734</v>
      </c>
      <c r="E3776" s="355" t="s">
        <v>17279</v>
      </c>
      <c r="F3776" s="1662" t="s">
        <v>17293</v>
      </c>
    </row>
    <row r="3777" spans="1:6" ht="15" customHeight="1" x14ac:dyDescent="0.25">
      <c r="A3777" s="2352" t="s">
        <v>4735</v>
      </c>
      <c r="B3777" s="2352" t="s">
        <v>4204</v>
      </c>
      <c r="C3777" s="2352" t="s">
        <v>17273</v>
      </c>
      <c r="D3777" s="2352" t="s">
        <v>4736</v>
      </c>
      <c r="E3777" s="355" t="s">
        <v>17311</v>
      </c>
      <c r="F3777" s="1662" t="s">
        <v>17295</v>
      </c>
    </row>
    <row r="3778" spans="1:6" ht="15" customHeight="1" x14ac:dyDescent="0.25">
      <c r="A3778" s="2352" t="s">
        <v>4737</v>
      </c>
      <c r="B3778" s="2352" t="s">
        <v>4204</v>
      </c>
      <c r="C3778" s="2352" t="s">
        <v>17273</v>
      </c>
      <c r="D3778" s="2352" t="s">
        <v>4738</v>
      </c>
      <c r="E3778" s="355" t="s">
        <v>17274</v>
      </c>
      <c r="F3778" s="1662" t="s">
        <v>17287</v>
      </c>
    </row>
    <row r="3779" spans="1:6" ht="15" customHeight="1" x14ac:dyDescent="0.25">
      <c r="A3779" s="2352" t="s">
        <v>4739</v>
      </c>
      <c r="B3779" s="2352" t="s">
        <v>4204</v>
      </c>
      <c r="C3779" s="2352" t="s">
        <v>17273</v>
      </c>
      <c r="D3779" s="2352" t="s">
        <v>4740</v>
      </c>
      <c r="E3779" s="355" t="s">
        <v>17282</v>
      </c>
      <c r="F3779" s="1662" t="s">
        <v>17286</v>
      </c>
    </row>
    <row r="3780" spans="1:6" ht="15" customHeight="1" x14ac:dyDescent="0.25">
      <c r="A3780" s="2352" t="s">
        <v>4741</v>
      </c>
      <c r="B3780" s="2352" t="s">
        <v>4204</v>
      </c>
      <c r="C3780" s="2352" t="s">
        <v>17273</v>
      </c>
      <c r="D3780" s="2352" t="s">
        <v>4742</v>
      </c>
      <c r="E3780" s="355" t="s">
        <v>17280</v>
      </c>
      <c r="F3780" s="1662">
        <v>0</v>
      </c>
    </row>
    <row r="3781" spans="1:6" ht="15" customHeight="1" x14ac:dyDescent="0.25">
      <c r="A3781" s="2352" t="s">
        <v>4743</v>
      </c>
      <c r="B3781" s="2352" t="s">
        <v>4204</v>
      </c>
      <c r="C3781" s="2352" t="s">
        <v>17273</v>
      </c>
      <c r="D3781" s="2352" t="s">
        <v>4744</v>
      </c>
      <c r="E3781" s="355" t="s">
        <v>17285</v>
      </c>
      <c r="F3781" s="1662" t="s">
        <v>17303</v>
      </c>
    </row>
    <row r="3782" spans="1:6" ht="15" customHeight="1" x14ac:dyDescent="0.25">
      <c r="A3782" s="2352" t="s">
        <v>4745</v>
      </c>
      <c r="B3782" s="2352" t="s">
        <v>4204</v>
      </c>
      <c r="C3782" s="2352" t="s">
        <v>17273</v>
      </c>
      <c r="D3782" s="2352" t="s">
        <v>4746</v>
      </c>
      <c r="E3782" s="355" t="s">
        <v>17285</v>
      </c>
      <c r="F3782" s="1662" t="s">
        <v>17286</v>
      </c>
    </row>
    <row r="3783" spans="1:6" ht="15" customHeight="1" x14ac:dyDescent="0.25">
      <c r="A3783" s="2352" t="s">
        <v>17415</v>
      </c>
      <c r="B3783" s="2352" t="s">
        <v>4204</v>
      </c>
      <c r="C3783" s="2352" t="s">
        <v>17273</v>
      </c>
      <c r="D3783" s="2352" t="s">
        <v>4747</v>
      </c>
      <c r="E3783" s="355" t="s">
        <v>17285</v>
      </c>
      <c r="F3783" s="1662" t="s">
        <v>17303</v>
      </c>
    </row>
    <row r="3784" spans="1:6" ht="15" customHeight="1" x14ac:dyDescent="0.25">
      <c r="A3784" s="2352" t="s">
        <v>4748</v>
      </c>
      <c r="B3784" s="2352" t="s">
        <v>4204</v>
      </c>
      <c r="C3784" s="2352" t="s">
        <v>17273</v>
      </c>
      <c r="D3784" s="2352" t="s">
        <v>4749</v>
      </c>
      <c r="E3784" s="355" t="s">
        <v>17280</v>
      </c>
      <c r="F3784" s="1662" t="s">
        <v>17287</v>
      </c>
    </row>
    <row r="3785" spans="1:6" ht="15" customHeight="1" x14ac:dyDescent="0.25">
      <c r="A3785" s="2352" t="s">
        <v>4750</v>
      </c>
      <c r="B3785" s="2352" t="s">
        <v>4204</v>
      </c>
      <c r="C3785" s="2352" t="s">
        <v>17273</v>
      </c>
      <c r="D3785" s="2352" t="s">
        <v>4751</v>
      </c>
      <c r="E3785" s="355" t="s">
        <v>17275</v>
      </c>
      <c r="F3785" s="1662" t="s">
        <v>17416</v>
      </c>
    </row>
    <row r="3786" spans="1:6" ht="15" customHeight="1" x14ac:dyDescent="0.25">
      <c r="A3786" s="2352" t="s">
        <v>4752</v>
      </c>
      <c r="B3786" s="2352" t="s">
        <v>4204</v>
      </c>
      <c r="C3786" s="2352" t="s">
        <v>17273</v>
      </c>
      <c r="D3786" s="2352" t="s">
        <v>4753</v>
      </c>
      <c r="E3786" s="355" t="s">
        <v>17282</v>
      </c>
      <c r="F3786" s="1662" t="s">
        <v>17286</v>
      </c>
    </row>
    <row r="3787" spans="1:6" ht="15" customHeight="1" x14ac:dyDescent="0.25">
      <c r="A3787" s="2352" t="s">
        <v>17417</v>
      </c>
      <c r="B3787" s="2352" t="s">
        <v>4204</v>
      </c>
      <c r="C3787" s="2352" t="s">
        <v>17273</v>
      </c>
      <c r="D3787" s="2352" t="s">
        <v>4754</v>
      </c>
      <c r="E3787" s="355" t="s">
        <v>17279</v>
      </c>
      <c r="F3787" s="1662" t="s">
        <v>17290</v>
      </c>
    </row>
    <row r="3788" spans="1:6" ht="15" customHeight="1" x14ac:dyDescent="0.25">
      <c r="A3788" s="2352" t="s">
        <v>17418</v>
      </c>
      <c r="B3788" s="2352" t="s">
        <v>4204</v>
      </c>
      <c r="C3788" s="2352" t="s">
        <v>17273</v>
      </c>
      <c r="D3788" s="2352" t="s">
        <v>4755</v>
      </c>
      <c r="E3788" s="355" t="s">
        <v>17288</v>
      </c>
      <c r="F3788" s="1662">
        <v>0</v>
      </c>
    </row>
    <row r="3789" spans="1:6" ht="15" customHeight="1" x14ac:dyDescent="0.25">
      <c r="A3789" s="2352" t="s">
        <v>17419</v>
      </c>
      <c r="B3789" s="2352" t="s">
        <v>4204</v>
      </c>
      <c r="C3789" s="2352" t="s">
        <v>17273</v>
      </c>
      <c r="D3789" s="2352" t="s">
        <v>4756</v>
      </c>
      <c r="E3789" s="355" t="s">
        <v>17280</v>
      </c>
      <c r="F3789" s="1662" t="s">
        <v>17287</v>
      </c>
    </row>
    <row r="3790" spans="1:6" ht="15" customHeight="1" x14ac:dyDescent="0.25">
      <c r="A3790" s="2352" t="s">
        <v>17420</v>
      </c>
      <c r="B3790" s="2352" t="s">
        <v>4204</v>
      </c>
      <c r="C3790" s="2352" t="s">
        <v>17273</v>
      </c>
      <c r="D3790" s="2352" t="s">
        <v>4757</v>
      </c>
      <c r="E3790" s="355" t="s">
        <v>17280</v>
      </c>
      <c r="F3790" s="1662" t="s">
        <v>17295</v>
      </c>
    </row>
    <row r="3791" spans="1:6" ht="15" customHeight="1" x14ac:dyDescent="0.25">
      <c r="A3791" s="2352" t="s">
        <v>17421</v>
      </c>
      <c r="B3791" s="2352" t="s">
        <v>4204</v>
      </c>
      <c r="C3791" s="2352" t="s">
        <v>17273</v>
      </c>
      <c r="D3791" s="2352" t="s">
        <v>4758</v>
      </c>
      <c r="E3791" s="355" t="s">
        <v>17285</v>
      </c>
      <c r="F3791" s="1662" t="s">
        <v>17303</v>
      </c>
    </row>
    <row r="3792" spans="1:6" ht="15" customHeight="1" x14ac:dyDescent="0.25">
      <c r="A3792" s="2352" t="s">
        <v>4357</v>
      </c>
      <c r="B3792" s="2352" t="s">
        <v>4204</v>
      </c>
      <c r="C3792" s="2352" t="s">
        <v>17273</v>
      </c>
      <c r="D3792" s="2352" t="s">
        <v>4759</v>
      </c>
      <c r="E3792" s="355" t="s">
        <v>17281</v>
      </c>
      <c r="F3792" s="1662" t="s">
        <v>17369</v>
      </c>
    </row>
    <row r="3793" spans="1:6" ht="15" customHeight="1" x14ac:dyDescent="0.25">
      <c r="A3793" s="2352" t="s">
        <v>17422</v>
      </c>
      <c r="B3793" s="2352" t="s">
        <v>4204</v>
      </c>
      <c r="C3793" s="2352" t="s">
        <v>17273</v>
      </c>
      <c r="D3793" s="2352" t="s">
        <v>4760</v>
      </c>
      <c r="E3793" s="355" t="s">
        <v>17285</v>
      </c>
      <c r="F3793" s="1662" t="s">
        <v>17321</v>
      </c>
    </row>
    <row r="3794" spans="1:6" ht="15" customHeight="1" x14ac:dyDescent="0.25">
      <c r="A3794" s="2352" t="s">
        <v>17423</v>
      </c>
      <c r="B3794" s="2352" t="s">
        <v>4204</v>
      </c>
      <c r="C3794" s="2352" t="s">
        <v>17273</v>
      </c>
      <c r="D3794" s="2352" t="s">
        <v>4761</v>
      </c>
      <c r="E3794" s="355" t="s">
        <v>17280</v>
      </c>
      <c r="F3794" s="1662" t="s">
        <v>17287</v>
      </c>
    </row>
    <row r="3795" spans="1:6" ht="15" customHeight="1" x14ac:dyDescent="0.25">
      <c r="A3795" s="2352" t="s">
        <v>17424</v>
      </c>
      <c r="B3795" s="2352" t="s">
        <v>4204</v>
      </c>
      <c r="C3795" s="2352" t="s">
        <v>17273</v>
      </c>
      <c r="D3795" s="2352" t="s">
        <v>4762</v>
      </c>
      <c r="E3795" s="355" t="s">
        <v>17282</v>
      </c>
      <c r="F3795" s="1662" t="s">
        <v>17286</v>
      </c>
    </row>
    <row r="3796" spans="1:6" ht="15" customHeight="1" x14ac:dyDescent="0.25">
      <c r="A3796" s="2352" t="s">
        <v>4357</v>
      </c>
      <c r="B3796" s="2352" t="s">
        <v>4204</v>
      </c>
      <c r="C3796" s="2352" t="s">
        <v>17273</v>
      </c>
      <c r="D3796" s="2352" t="s">
        <v>4763</v>
      </c>
      <c r="E3796" s="355" t="s">
        <v>17279</v>
      </c>
      <c r="F3796" s="1662" t="s">
        <v>17289</v>
      </c>
    </row>
    <row r="3797" spans="1:6" ht="15" customHeight="1" x14ac:dyDescent="0.25">
      <c r="A3797" s="2352" t="s">
        <v>4764</v>
      </c>
      <c r="B3797" s="2352" t="s">
        <v>4204</v>
      </c>
      <c r="C3797" s="2352" t="s">
        <v>17273</v>
      </c>
      <c r="D3797" s="2352" t="s">
        <v>4765</v>
      </c>
      <c r="E3797" s="355" t="s">
        <v>17285</v>
      </c>
      <c r="F3797" s="1662" t="s">
        <v>17303</v>
      </c>
    </row>
    <row r="3798" spans="1:6" ht="15" customHeight="1" x14ac:dyDescent="0.25">
      <c r="A3798" s="2352" t="s">
        <v>17425</v>
      </c>
      <c r="B3798" s="2352" t="s">
        <v>4204</v>
      </c>
      <c r="C3798" s="2352" t="s">
        <v>17273</v>
      </c>
      <c r="D3798" s="2352" t="s">
        <v>4766</v>
      </c>
      <c r="E3798" s="355" t="s">
        <v>17279</v>
      </c>
      <c r="F3798" s="1662" t="s">
        <v>17325</v>
      </c>
    </row>
    <row r="3799" spans="1:6" ht="15" customHeight="1" x14ac:dyDescent="0.25">
      <c r="A3799" s="2352" t="s">
        <v>17426</v>
      </c>
      <c r="B3799" s="2352" t="s">
        <v>4204</v>
      </c>
      <c r="C3799" s="2352" t="s">
        <v>17273</v>
      </c>
      <c r="D3799" s="2352" t="s">
        <v>4767</v>
      </c>
      <c r="E3799" s="355" t="s">
        <v>17311</v>
      </c>
      <c r="F3799" s="1662" t="s">
        <v>17295</v>
      </c>
    </row>
    <row r="3800" spans="1:6" ht="15" customHeight="1" x14ac:dyDescent="0.25">
      <c r="A3800" s="2352" t="s">
        <v>17427</v>
      </c>
      <c r="B3800" s="2352" t="s">
        <v>4204</v>
      </c>
      <c r="C3800" s="2352" t="s">
        <v>17273</v>
      </c>
      <c r="D3800" s="2352" t="s">
        <v>4768</v>
      </c>
      <c r="E3800" s="355" t="s">
        <v>17274</v>
      </c>
      <c r="F3800" s="1662" t="s">
        <v>17287</v>
      </c>
    </row>
    <row r="3801" spans="1:6" ht="15" customHeight="1" x14ac:dyDescent="0.25">
      <c r="A3801" s="2352" t="s">
        <v>4769</v>
      </c>
      <c r="B3801" s="2352" t="s">
        <v>4204</v>
      </c>
      <c r="C3801" s="2352" t="s">
        <v>17273</v>
      </c>
      <c r="D3801" s="2352" t="s">
        <v>4770</v>
      </c>
      <c r="E3801" s="355" t="s">
        <v>17276</v>
      </c>
      <c r="F3801" s="1662" t="s">
        <v>17286</v>
      </c>
    </row>
    <row r="3802" spans="1:6" ht="15" customHeight="1" x14ac:dyDescent="0.25">
      <c r="A3802" s="2352" t="s">
        <v>4771</v>
      </c>
      <c r="B3802" s="2352" t="s">
        <v>4204</v>
      </c>
      <c r="C3802" s="2352" t="s">
        <v>17273</v>
      </c>
      <c r="D3802" s="2352" t="s">
        <v>4772</v>
      </c>
      <c r="E3802" s="355" t="s">
        <v>17280</v>
      </c>
      <c r="F3802" s="1662" t="s">
        <v>17287</v>
      </c>
    </row>
    <row r="3803" spans="1:6" ht="15" customHeight="1" x14ac:dyDescent="0.25">
      <c r="A3803" s="2352" t="s">
        <v>17428</v>
      </c>
      <c r="B3803" s="2352" t="s">
        <v>4204</v>
      </c>
      <c r="C3803" s="2352" t="s">
        <v>17273</v>
      </c>
      <c r="D3803" s="2352" t="s">
        <v>4773</v>
      </c>
      <c r="E3803" s="355" t="s">
        <v>17280</v>
      </c>
      <c r="F3803" s="1662" t="s">
        <v>17295</v>
      </c>
    </row>
    <row r="3804" spans="1:6" ht="15" customHeight="1" x14ac:dyDescent="0.25">
      <c r="A3804" s="2352" t="s">
        <v>4769</v>
      </c>
      <c r="B3804" s="2352" t="s">
        <v>4204</v>
      </c>
      <c r="C3804" s="2352" t="s">
        <v>17273</v>
      </c>
      <c r="D3804" s="2352" t="s">
        <v>4774</v>
      </c>
      <c r="E3804" s="355" t="s">
        <v>17281</v>
      </c>
      <c r="F3804" s="1662" t="s">
        <v>17290</v>
      </c>
    </row>
    <row r="3805" spans="1:6" ht="15" customHeight="1" x14ac:dyDescent="0.25">
      <c r="A3805" s="2352" t="s">
        <v>4769</v>
      </c>
      <c r="B3805" s="2352" t="s">
        <v>4204</v>
      </c>
      <c r="C3805" s="2352" t="s">
        <v>17273</v>
      </c>
      <c r="D3805" s="2352" t="s">
        <v>4681</v>
      </c>
      <c r="E3805" s="355" t="s">
        <v>17281</v>
      </c>
      <c r="F3805" s="1662" t="s">
        <v>17369</v>
      </c>
    </row>
    <row r="3806" spans="1:6" ht="15" customHeight="1" x14ac:dyDescent="0.25">
      <c r="A3806" s="2352" t="s">
        <v>17429</v>
      </c>
      <c r="B3806" s="2352" t="s">
        <v>4204</v>
      </c>
      <c r="C3806" s="2352" t="s">
        <v>17273</v>
      </c>
      <c r="D3806" s="2352" t="s">
        <v>4775</v>
      </c>
      <c r="E3806" s="355" t="s">
        <v>17281</v>
      </c>
      <c r="F3806" s="1662" t="s">
        <v>17430</v>
      </c>
    </row>
    <row r="3807" spans="1:6" ht="15" customHeight="1" x14ac:dyDescent="0.25">
      <c r="A3807" s="2352" t="s">
        <v>17429</v>
      </c>
      <c r="B3807" s="2352" t="s">
        <v>4204</v>
      </c>
      <c r="C3807" s="2352" t="s">
        <v>17273</v>
      </c>
      <c r="D3807" s="2352" t="s">
        <v>4776</v>
      </c>
      <c r="E3807" s="355" t="s">
        <v>17288</v>
      </c>
      <c r="F3807" s="1662" t="s">
        <v>17290</v>
      </c>
    </row>
    <row r="3808" spans="1:6" ht="15" customHeight="1" x14ac:dyDescent="0.25">
      <c r="A3808" s="2352" t="s">
        <v>17431</v>
      </c>
      <c r="B3808" s="2352" t="s">
        <v>4204</v>
      </c>
      <c r="C3808" s="2352" t="s">
        <v>17273</v>
      </c>
      <c r="D3808" s="2352" t="s">
        <v>4777</v>
      </c>
      <c r="E3808" s="355" t="s">
        <v>17276</v>
      </c>
      <c r="F3808" s="1662" t="s">
        <v>17350</v>
      </c>
    </row>
    <row r="3809" spans="1:6" ht="15" customHeight="1" x14ac:dyDescent="0.25">
      <c r="A3809" s="2352" t="s">
        <v>4778</v>
      </c>
      <c r="B3809" s="2352" t="s">
        <v>4204</v>
      </c>
      <c r="C3809" s="2352" t="s">
        <v>17273</v>
      </c>
      <c r="D3809" s="2352" t="s">
        <v>4778</v>
      </c>
      <c r="E3809" s="355" t="s">
        <v>17279</v>
      </c>
      <c r="F3809" s="1662" t="s">
        <v>17293</v>
      </c>
    </row>
    <row r="3810" spans="1:6" ht="15" customHeight="1" x14ac:dyDescent="0.25">
      <c r="A3810" s="2352" t="s">
        <v>4779</v>
      </c>
      <c r="B3810" s="2352" t="s">
        <v>4204</v>
      </c>
      <c r="C3810" s="2352" t="s">
        <v>17273</v>
      </c>
      <c r="D3810" s="2352" t="s">
        <v>4780</v>
      </c>
      <c r="E3810" s="355" t="s">
        <v>17281</v>
      </c>
      <c r="F3810" s="1662" t="s">
        <v>17432</v>
      </c>
    </row>
    <row r="3811" spans="1:6" ht="15" customHeight="1" x14ac:dyDescent="0.25">
      <c r="A3811" s="2352" t="s">
        <v>4779</v>
      </c>
      <c r="B3811" s="2352" t="s">
        <v>4204</v>
      </c>
      <c r="C3811" s="2352" t="s">
        <v>17273</v>
      </c>
      <c r="D3811" s="2352" t="s">
        <v>4781</v>
      </c>
      <c r="E3811" s="355" t="s">
        <v>17288</v>
      </c>
      <c r="F3811" s="1662" t="s">
        <v>17290</v>
      </c>
    </row>
    <row r="3812" spans="1:6" ht="15" customHeight="1" x14ac:dyDescent="0.25">
      <c r="A3812" s="2352" t="s">
        <v>17433</v>
      </c>
      <c r="B3812" s="2352" t="s">
        <v>4204</v>
      </c>
      <c r="C3812" s="2352" t="s">
        <v>17273</v>
      </c>
      <c r="D3812" s="2352" t="s">
        <v>4782</v>
      </c>
      <c r="E3812" s="355" t="s">
        <v>17276</v>
      </c>
      <c r="F3812" s="1662" t="s">
        <v>17291</v>
      </c>
    </row>
    <row r="3813" spans="1:6" ht="15" customHeight="1" x14ac:dyDescent="0.25">
      <c r="A3813" s="2352" t="s">
        <v>4783</v>
      </c>
      <c r="B3813" s="2352" t="s">
        <v>4204</v>
      </c>
      <c r="C3813" s="2352" t="s">
        <v>17273</v>
      </c>
      <c r="D3813" s="2352" t="s">
        <v>4784</v>
      </c>
      <c r="E3813" s="355" t="s">
        <v>17276</v>
      </c>
      <c r="F3813" s="1662" t="s">
        <v>17350</v>
      </c>
    </row>
    <row r="3814" spans="1:6" ht="15" customHeight="1" x14ac:dyDescent="0.25">
      <c r="A3814" s="2352" t="s">
        <v>17434</v>
      </c>
      <c r="B3814" s="2352" t="s">
        <v>4204</v>
      </c>
      <c r="C3814" s="2352" t="s">
        <v>17273</v>
      </c>
      <c r="D3814" s="2352" t="s">
        <v>4785</v>
      </c>
      <c r="E3814" s="355" t="s">
        <v>17282</v>
      </c>
      <c r="F3814" s="1662" t="s">
        <v>17286</v>
      </c>
    </row>
    <row r="3815" spans="1:6" ht="15" customHeight="1" x14ac:dyDescent="0.25">
      <c r="A3815" s="2352" t="s">
        <v>4786</v>
      </c>
      <c r="B3815" s="2352" t="s">
        <v>4204</v>
      </c>
      <c r="C3815" s="2352" t="s">
        <v>17273</v>
      </c>
      <c r="D3815" s="2352" t="s">
        <v>4787</v>
      </c>
      <c r="E3815" s="355" t="s">
        <v>17282</v>
      </c>
      <c r="F3815" s="1662" t="s">
        <v>17321</v>
      </c>
    </row>
    <row r="3816" spans="1:6" ht="15" customHeight="1" x14ac:dyDescent="0.25">
      <c r="A3816" s="2352" t="s">
        <v>17435</v>
      </c>
      <c r="B3816" s="2352" t="s">
        <v>4204</v>
      </c>
      <c r="C3816" s="2352" t="s">
        <v>17273</v>
      </c>
      <c r="D3816" s="2352" t="s">
        <v>4788</v>
      </c>
      <c r="E3816" s="355" t="s">
        <v>17276</v>
      </c>
      <c r="F3816" s="1662" t="s">
        <v>17291</v>
      </c>
    </row>
    <row r="3817" spans="1:6" ht="15" customHeight="1" x14ac:dyDescent="0.25">
      <c r="A3817" s="2352" t="s">
        <v>4789</v>
      </c>
      <c r="B3817" s="2352" t="s">
        <v>4204</v>
      </c>
      <c r="C3817" s="2352" t="s">
        <v>17273</v>
      </c>
      <c r="D3817" s="2352" t="s">
        <v>4790</v>
      </c>
      <c r="E3817" s="355" t="s">
        <v>17279</v>
      </c>
      <c r="F3817" s="1662" t="s">
        <v>17289</v>
      </c>
    </row>
    <row r="3818" spans="1:6" ht="15" customHeight="1" x14ac:dyDescent="0.25">
      <c r="A3818" s="2352" t="s">
        <v>4433</v>
      </c>
      <c r="B3818" s="2352" t="s">
        <v>4204</v>
      </c>
      <c r="C3818" s="2352" t="s">
        <v>17273</v>
      </c>
      <c r="D3818" s="2352" t="s">
        <v>4434</v>
      </c>
      <c r="E3818" s="355" t="s">
        <v>17285</v>
      </c>
      <c r="F3818" s="1662" t="s">
        <v>17321</v>
      </c>
    </row>
    <row r="3819" spans="1:6" ht="15" customHeight="1" x14ac:dyDescent="0.25">
      <c r="A3819" s="2352" t="s">
        <v>17436</v>
      </c>
      <c r="B3819" s="2352" t="s">
        <v>4204</v>
      </c>
      <c r="C3819" s="2352" t="s">
        <v>17273</v>
      </c>
      <c r="D3819" s="2352" t="s">
        <v>4348</v>
      </c>
      <c r="E3819" s="355" t="s">
        <v>17276</v>
      </c>
      <c r="F3819" s="1662" t="s">
        <v>17291</v>
      </c>
    </row>
    <row r="3820" spans="1:6" ht="15" customHeight="1" x14ac:dyDescent="0.25">
      <c r="A3820" s="2352" t="s">
        <v>17437</v>
      </c>
      <c r="B3820" s="2352" t="s">
        <v>4204</v>
      </c>
      <c r="C3820" s="2352" t="s">
        <v>17273</v>
      </c>
      <c r="D3820" s="2352" t="s">
        <v>4791</v>
      </c>
      <c r="E3820" s="355" t="s">
        <v>17276</v>
      </c>
      <c r="F3820" s="1662" t="s">
        <v>17350</v>
      </c>
    </row>
    <row r="3821" spans="1:6" ht="15" customHeight="1" x14ac:dyDescent="0.25">
      <c r="A3821" s="2352" t="s">
        <v>4792</v>
      </c>
      <c r="B3821" s="2352" t="s">
        <v>4204</v>
      </c>
      <c r="C3821" s="2352" t="s">
        <v>17273</v>
      </c>
      <c r="D3821" s="2352" t="s">
        <v>4793</v>
      </c>
      <c r="E3821" s="355" t="s">
        <v>17288</v>
      </c>
      <c r="F3821" s="1662" t="s">
        <v>17314</v>
      </c>
    </row>
    <row r="3822" spans="1:6" ht="15" customHeight="1" x14ac:dyDescent="0.25">
      <c r="A3822" s="2352" t="s">
        <v>17438</v>
      </c>
      <c r="B3822" s="2352" t="s">
        <v>4204</v>
      </c>
      <c r="C3822" s="2352" t="s">
        <v>17273</v>
      </c>
      <c r="D3822" s="2352" t="s">
        <v>4794</v>
      </c>
      <c r="E3822" s="355" t="s">
        <v>17280</v>
      </c>
      <c r="F3822" s="1662" t="s">
        <v>17287</v>
      </c>
    </row>
    <row r="3823" spans="1:6" ht="15" customHeight="1" x14ac:dyDescent="0.25">
      <c r="A3823" s="2352" t="s">
        <v>17439</v>
      </c>
      <c r="B3823" s="2352" t="s">
        <v>4204</v>
      </c>
      <c r="C3823" s="2352" t="s">
        <v>17273</v>
      </c>
      <c r="D3823" s="2352" t="s">
        <v>4795</v>
      </c>
      <c r="E3823" s="355" t="s">
        <v>17280</v>
      </c>
      <c r="F3823" s="1662" t="s">
        <v>17295</v>
      </c>
    </row>
    <row r="3824" spans="1:6" ht="15" customHeight="1" x14ac:dyDescent="0.25">
      <c r="A3824" s="2352" t="s">
        <v>17440</v>
      </c>
      <c r="B3824" s="2352" t="s">
        <v>4204</v>
      </c>
      <c r="C3824" s="2352" t="s">
        <v>17273</v>
      </c>
      <c r="D3824" s="2352" t="s">
        <v>4796</v>
      </c>
      <c r="E3824" s="355" t="s">
        <v>17279</v>
      </c>
      <c r="F3824" s="1662" t="s">
        <v>17293</v>
      </c>
    </row>
    <row r="3825" spans="1:6" ht="15" customHeight="1" x14ac:dyDescent="0.25">
      <c r="A3825" s="2352" t="s">
        <v>4797</v>
      </c>
      <c r="B3825" s="2352" t="s">
        <v>4204</v>
      </c>
      <c r="C3825" s="2352" t="s">
        <v>17273</v>
      </c>
      <c r="D3825" s="2352" t="s">
        <v>4798</v>
      </c>
      <c r="E3825" s="355" t="s">
        <v>17282</v>
      </c>
      <c r="F3825" s="1662" t="s">
        <v>17286</v>
      </c>
    </row>
    <row r="3826" spans="1:6" ht="15" customHeight="1" x14ac:dyDescent="0.25">
      <c r="A3826" s="2352" t="s">
        <v>4799</v>
      </c>
      <c r="B3826" s="2352" t="s">
        <v>4204</v>
      </c>
      <c r="C3826" s="2352" t="s">
        <v>17273</v>
      </c>
      <c r="D3826" s="2352" t="s">
        <v>4800</v>
      </c>
      <c r="E3826" s="355" t="s">
        <v>17274</v>
      </c>
      <c r="F3826" s="1662" t="s">
        <v>17295</v>
      </c>
    </row>
    <row r="3827" spans="1:6" ht="15" customHeight="1" x14ac:dyDescent="0.25">
      <c r="A3827" s="2352" t="s">
        <v>17441</v>
      </c>
      <c r="B3827" s="2352" t="s">
        <v>4204</v>
      </c>
      <c r="C3827" s="2352" t="s">
        <v>17273</v>
      </c>
      <c r="D3827" s="2352" t="s">
        <v>4801</v>
      </c>
      <c r="E3827" s="355" t="s">
        <v>17276</v>
      </c>
      <c r="F3827" s="1662" t="s">
        <v>17291</v>
      </c>
    </row>
    <row r="3828" spans="1:6" ht="15" customHeight="1" x14ac:dyDescent="0.25">
      <c r="A3828" s="2352" t="s">
        <v>4802</v>
      </c>
      <c r="B3828" s="2352" t="s">
        <v>4204</v>
      </c>
      <c r="C3828" s="2352" t="s">
        <v>17273</v>
      </c>
      <c r="D3828" s="2352" t="s">
        <v>4803</v>
      </c>
      <c r="E3828" s="355" t="s">
        <v>17282</v>
      </c>
      <c r="F3828" s="1662" t="s">
        <v>17303</v>
      </c>
    </row>
    <row r="3829" spans="1:6" ht="15" customHeight="1" x14ac:dyDescent="0.25">
      <c r="A3829" s="2352" t="s">
        <v>4686</v>
      </c>
      <c r="B3829" s="2352" t="s">
        <v>4204</v>
      </c>
      <c r="C3829" s="2352" t="s">
        <v>17273</v>
      </c>
      <c r="D3829" s="2352" t="s">
        <v>4687</v>
      </c>
      <c r="E3829" s="355" t="s">
        <v>17285</v>
      </c>
      <c r="F3829" s="1662" t="s">
        <v>17286</v>
      </c>
    </row>
    <row r="3830" spans="1:6" ht="15" customHeight="1" x14ac:dyDescent="0.25">
      <c r="A3830" s="2352" t="s">
        <v>17442</v>
      </c>
      <c r="B3830" s="2352" t="s">
        <v>4204</v>
      </c>
      <c r="C3830" s="2352" t="s">
        <v>17273</v>
      </c>
      <c r="D3830" s="2352" t="s">
        <v>4804</v>
      </c>
      <c r="E3830" s="355" t="s">
        <v>17280</v>
      </c>
      <c r="F3830" s="1662" t="s">
        <v>17287</v>
      </c>
    </row>
    <row r="3831" spans="1:6" ht="15" customHeight="1" x14ac:dyDescent="0.25">
      <c r="A3831" s="2352" t="s">
        <v>17443</v>
      </c>
      <c r="B3831" s="2352" t="s">
        <v>4204</v>
      </c>
      <c r="C3831" s="2352" t="s">
        <v>17273</v>
      </c>
      <c r="D3831" s="2352" t="s">
        <v>4805</v>
      </c>
      <c r="E3831" s="355" t="s">
        <v>17280</v>
      </c>
      <c r="F3831" s="1662" t="s">
        <v>17303</v>
      </c>
    </row>
    <row r="3832" spans="1:6" ht="15" customHeight="1" x14ac:dyDescent="0.25">
      <c r="A3832" s="2352" t="s">
        <v>17444</v>
      </c>
      <c r="B3832" s="2352" t="s">
        <v>4204</v>
      </c>
      <c r="C3832" s="2352" t="s">
        <v>17273</v>
      </c>
      <c r="D3832" s="2352" t="s">
        <v>4806</v>
      </c>
      <c r="E3832" s="355" t="s">
        <v>17276</v>
      </c>
      <c r="F3832" s="1662" t="s">
        <v>17286</v>
      </c>
    </row>
    <row r="3833" spans="1:6" ht="15" customHeight="1" x14ac:dyDescent="0.25">
      <c r="A3833" s="2352" t="s">
        <v>17444</v>
      </c>
      <c r="B3833" s="2352" t="s">
        <v>4204</v>
      </c>
      <c r="C3833" s="2352" t="s">
        <v>17273</v>
      </c>
      <c r="D3833" s="2352" t="s">
        <v>4807</v>
      </c>
      <c r="E3833" s="355" t="s">
        <v>17279</v>
      </c>
      <c r="F3833" s="1662" t="s">
        <v>17325</v>
      </c>
    </row>
    <row r="3834" spans="1:6" ht="15" customHeight="1" x14ac:dyDescent="0.25">
      <c r="A3834" s="2352" t="s">
        <v>17445</v>
      </c>
      <c r="B3834" s="2352" t="s">
        <v>4204</v>
      </c>
      <c r="C3834" s="2352" t="s">
        <v>17273</v>
      </c>
      <c r="D3834" s="2352" t="s">
        <v>4808</v>
      </c>
      <c r="E3834" s="355" t="s">
        <v>17276</v>
      </c>
      <c r="F3834" s="1662" t="s">
        <v>17291</v>
      </c>
    </row>
    <row r="3835" spans="1:6" ht="15" customHeight="1" x14ac:dyDescent="0.25">
      <c r="A3835" s="2352" t="s">
        <v>17444</v>
      </c>
      <c r="B3835" s="2352" t="s">
        <v>4204</v>
      </c>
      <c r="C3835" s="2352" t="s">
        <v>17273</v>
      </c>
      <c r="D3835" s="2352" t="s">
        <v>4809</v>
      </c>
      <c r="E3835" s="355" t="s">
        <v>17310</v>
      </c>
      <c r="F3835" s="1662" t="s">
        <v>17295</v>
      </c>
    </row>
    <row r="3836" spans="1:6" ht="15" customHeight="1" x14ac:dyDescent="0.25">
      <c r="A3836" s="2352" t="s">
        <v>4810</v>
      </c>
      <c r="B3836" s="2352" t="s">
        <v>4204</v>
      </c>
      <c r="C3836" s="2352" t="s">
        <v>17273</v>
      </c>
      <c r="D3836" s="2352" t="s">
        <v>4811</v>
      </c>
      <c r="E3836" s="355" t="s">
        <v>17288</v>
      </c>
      <c r="F3836" s="1662" t="s">
        <v>17354</v>
      </c>
    </row>
    <row r="3837" spans="1:6" ht="15" customHeight="1" x14ac:dyDescent="0.25">
      <c r="A3837" s="2352" t="s">
        <v>4810</v>
      </c>
      <c r="B3837" s="2352" t="s">
        <v>4204</v>
      </c>
      <c r="C3837" s="2352" t="s">
        <v>17273</v>
      </c>
      <c r="D3837" s="2352" t="s">
        <v>4812</v>
      </c>
      <c r="E3837" s="355" t="s">
        <v>17274</v>
      </c>
      <c r="F3837" s="1662" t="s">
        <v>17303</v>
      </c>
    </row>
    <row r="3838" spans="1:6" ht="15" customHeight="1" x14ac:dyDescent="0.25">
      <c r="A3838" s="2352" t="s">
        <v>17446</v>
      </c>
      <c r="B3838" s="2352" t="s">
        <v>4204</v>
      </c>
      <c r="C3838" s="2352" t="s">
        <v>17273</v>
      </c>
      <c r="D3838" s="2352" t="s">
        <v>17447</v>
      </c>
      <c r="E3838" s="355" t="s">
        <v>17279</v>
      </c>
      <c r="F3838" s="1662" t="s">
        <v>17293</v>
      </c>
    </row>
    <row r="3839" spans="1:6" ht="15" customHeight="1" x14ac:dyDescent="0.25">
      <c r="A3839" s="2352" t="s">
        <v>4813</v>
      </c>
      <c r="B3839" s="2352" t="s">
        <v>4204</v>
      </c>
      <c r="C3839" s="2352" t="s">
        <v>17273</v>
      </c>
      <c r="D3839" s="2352" t="s">
        <v>4814</v>
      </c>
      <c r="E3839" s="355" t="s">
        <v>17279</v>
      </c>
      <c r="F3839" s="1662" t="s">
        <v>17286</v>
      </c>
    </row>
    <row r="3840" spans="1:6" ht="15" customHeight="1" x14ac:dyDescent="0.25">
      <c r="A3840" s="2352" t="s">
        <v>17448</v>
      </c>
      <c r="B3840" s="2352" t="s">
        <v>4204</v>
      </c>
      <c r="C3840" s="2352" t="s">
        <v>17273</v>
      </c>
      <c r="D3840" s="2352" t="s">
        <v>4815</v>
      </c>
      <c r="E3840" s="355" t="s">
        <v>17280</v>
      </c>
      <c r="F3840" s="1662" t="s">
        <v>17287</v>
      </c>
    </row>
    <row r="3841" spans="1:6" ht="15" customHeight="1" x14ac:dyDescent="0.25">
      <c r="A3841" s="2352" t="s">
        <v>4816</v>
      </c>
      <c r="B3841" s="2352" t="s">
        <v>4204</v>
      </c>
      <c r="C3841" s="2352" t="s">
        <v>17273</v>
      </c>
      <c r="D3841" s="2352" t="s">
        <v>4817</v>
      </c>
      <c r="E3841" s="355" t="s">
        <v>17282</v>
      </c>
      <c r="F3841" s="1662" t="s">
        <v>17303</v>
      </c>
    </row>
    <row r="3842" spans="1:6" ht="15" customHeight="1" x14ac:dyDescent="0.25">
      <c r="A3842" s="2352" t="s">
        <v>17449</v>
      </c>
      <c r="B3842" s="2352" t="s">
        <v>4204</v>
      </c>
      <c r="C3842" s="2352" t="s">
        <v>17273</v>
      </c>
      <c r="D3842" s="2352" t="s">
        <v>4818</v>
      </c>
      <c r="E3842" s="355" t="s">
        <v>17282</v>
      </c>
      <c r="F3842" s="1662" t="s">
        <v>17287</v>
      </c>
    </row>
    <row r="3843" spans="1:6" ht="15" customHeight="1" x14ac:dyDescent="0.25">
      <c r="A3843" s="2352" t="s">
        <v>4819</v>
      </c>
      <c r="B3843" s="2352" t="s">
        <v>4204</v>
      </c>
      <c r="C3843" s="2352" t="s">
        <v>17273</v>
      </c>
      <c r="D3843" s="2352" t="s">
        <v>4819</v>
      </c>
      <c r="E3843" s="355" t="s">
        <v>17285</v>
      </c>
      <c r="F3843" s="1662" t="s">
        <v>17303</v>
      </c>
    </row>
    <row r="3844" spans="1:6" ht="15" customHeight="1" x14ac:dyDescent="0.25">
      <c r="A3844" s="2352" t="s">
        <v>17450</v>
      </c>
      <c r="B3844" s="2352" t="s">
        <v>4204</v>
      </c>
      <c r="C3844" s="2352" t="s">
        <v>17273</v>
      </c>
      <c r="D3844" s="2352" t="s">
        <v>4820</v>
      </c>
      <c r="E3844" s="355" t="s">
        <v>17285</v>
      </c>
      <c r="F3844" s="1662" t="s">
        <v>17287</v>
      </c>
    </row>
    <row r="3845" spans="1:6" ht="15" customHeight="1" x14ac:dyDescent="0.25">
      <c r="A3845" s="2352" t="s">
        <v>17450</v>
      </c>
      <c r="B3845" s="2352" t="s">
        <v>4204</v>
      </c>
      <c r="C3845" s="2352" t="s">
        <v>17273</v>
      </c>
      <c r="D3845" s="2352" t="s">
        <v>4820</v>
      </c>
      <c r="E3845" s="355" t="s">
        <v>17369</v>
      </c>
      <c r="F3845" s="1662" t="s">
        <v>17325</v>
      </c>
    </row>
    <row r="3846" spans="1:6" ht="15" customHeight="1" x14ac:dyDescent="0.25">
      <c r="A3846" s="2352" t="s">
        <v>4821</v>
      </c>
      <c r="B3846" s="2352" t="s">
        <v>4204</v>
      </c>
      <c r="C3846" s="2352" t="s">
        <v>17273</v>
      </c>
      <c r="D3846" s="2352" t="s">
        <v>4822</v>
      </c>
      <c r="E3846" s="355" t="s">
        <v>17285</v>
      </c>
      <c r="F3846" s="1662" t="s">
        <v>17303</v>
      </c>
    </row>
    <row r="3847" spans="1:6" ht="15" customHeight="1" x14ac:dyDescent="0.25">
      <c r="A3847" s="2352" t="s">
        <v>17451</v>
      </c>
      <c r="B3847" s="2352" t="s">
        <v>4204</v>
      </c>
      <c r="C3847" s="2352" t="s">
        <v>17273</v>
      </c>
      <c r="D3847" s="2352" t="s">
        <v>4823</v>
      </c>
      <c r="E3847" s="355" t="s">
        <v>17276</v>
      </c>
      <c r="F3847" s="1662" t="s">
        <v>17321</v>
      </c>
    </row>
    <row r="3848" spans="1:6" ht="15" customHeight="1" x14ac:dyDescent="0.25">
      <c r="A3848" s="2352" t="s">
        <v>17452</v>
      </c>
      <c r="B3848" s="2352" t="s">
        <v>4204</v>
      </c>
      <c r="C3848" s="2352" t="s">
        <v>17273</v>
      </c>
      <c r="D3848" s="2352" t="s">
        <v>4824</v>
      </c>
      <c r="E3848" s="355" t="s">
        <v>17280</v>
      </c>
      <c r="F3848" s="1662" t="s">
        <v>17295</v>
      </c>
    </row>
    <row r="3849" spans="1:6" ht="15" customHeight="1" x14ac:dyDescent="0.25">
      <c r="A3849" s="2352" t="s">
        <v>4825</v>
      </c>
      <c r="B3849" s="2352" t="s">
        <v>4204</v>
      </c>
      <c r="C3849" s="2352" t="s">
        <v>17273</v>
      </c>
      <c r="D3849" s="2352" t="s">
        <v>4826</v>
      </c>
      <c r="E3849" s="355" t="s">
        <v>17282</v>
      </c>
      <c r="F3849" s="1662" t="s">
        <v>17321</v>
      </c>
    </row>
    <row r="3850" spans="1:6" ht="15" customHeight="1" x14ac:dyDescent="0.25">
      <c r="A3850" s="2352" t="s">
        <v>4827</v>
      </c>
      <c r="B3850" s="2352" t="s">
        <v>4204</v>
      </c>
      <c r="C3850" s="2352" t="s">
        <v>17273</v>
      </c>
      <c r="D3850" s="2352" t="s">
        <v>4828</v>
      </c>
      <c r="E3850" s="355" t="s">
        <v>17279</v>
      </c>
      <c r="F3850" s="1662">
        <v>0</v>
      </c>
    </row>
    <row r="3851" spans="1:6" ht="15" customHeight="1" x14ac:dyDescent="0.25">
      <c r="A3851" s="2352" t="s">
        <v>4829</v>
      </c>
      <c r="B3851" s="2352" t="s">
        <v>4204</v>
      </c>
      <c r="C3851" s="2352" t="s">
        <v>17273</v>
      </c>
      <c r="D3851" s="2352" t="s">
        <v>4830</v>
      </c>
      <c r="E3851" s="355" t="s">
        <v>17311</v>
      </c>
      <c r="F3851" s="1662" t="s">
        <v>17295</v>
      </c>
    </row>
    <row r="3852" spans="1:6" ht="15" customHeight="1" x14ac:dyDescent="0.25">
      <c r="A3852" s="2352" t="s">
        <v>4831</v>
      </c>
      <c r="B3852" s="2352" t="s">
        <v>4204</v>
      </c>
      <c r="C3852" s="2352" t="s">
        <v>17273</v>
      </c>
      <c r="D3852" s="2352" t="s">
        <v>4832</v>
      </c>
      <c r="E3852" s="355" t="s">
        <v>17285</v>
      </c>
      <c r="F3852" s="1662" t="s">
        <v>17303</v>
      </c>
    </row>
    <row r="3853" spans="1:6" ht="15" customHeight="1" x14ac:dyDescent="0.25">
      <c r="A3853" s="2352" t="s">
        <v>17453</v>
      </c>
      <c r="B3853" s="2352" t="s">
        <v>4204</v>
      </c>
      <c r="C3853" s="2352" t="s">
        <v>17273</v>
      </c>
      <c r="D3853" s="2352" t="s">
        <v>4833</v>
      </c>
      <c r="E3853" s="355" t="s">
        <v>17276</v>
      </c>
      <c r="F3853" s="1662" t="s">
        <v>17291</v>
      </c>
    </row>
    <row r="3854" spans="1:6" ht="15" customHeight="1" x14ac:dyDescent="0.25">
      <c r="A3854" s="2352" t="s">
        <v>4834</v>
      </c>
      <c r="B3854" s="2352" t="s">
        <v>4204</v>
      </c>
      <c r="C3854" s="2352" t="s">
        <v>17273</v>
      </c>
      <c r="D3854" s="2352" t="s">
        <v>4835</v>
      </c>
      <c r="E3854" s="355" t="s">
        <v>17276</v>
      </c>
      <c r="F3854" s="1662" t="s">
        <v>17321</v>
      </c>
    </row>
    <row r="3855" spans="1:6" ht="15" customHeight="1" x14ac:dyDescent="0.25">
      <c r="A3855" s="2352" t="s">
        <v>17454</v>
      </c>
      <c r="B3855" s="2352" t="s">
        <v>4204</v>
      </c>
      <c r="C3855" s="2352" t="s">
        <v>17273</v>
      </c>
      <c r="D3855" s="2352" t="s">
        <v>4836</v>
      </c>
      <c r="E3855" s="355" t="s">
        <v>17288</v>
      </c>
      <c r="F3855" s="1662" t="s">
        <v>17291</v>
      </c>
    </row>
    <row r="3856" spans="1:6" ht="15" customHeight="1" x14ac:dyDescent="0.25">
      <c r="A3856" s="2352" t="s">
        <v>17455</v>
      </c>
      <c r="B3856" s="2352" t="s">
        <v>4204</v>
      </c>
      <c r="C3856" s="2352" t="s">
        <v>17273</v>
      </c>
      <c r="D3856" s="2352" t="s">
        <v>4837</v>
      </c>
      <c r="E3856" s="355" t="s">
        <v>17279</v>
      </c>
      <c r="F3856" s="1662" t="s">
        <v>17291</v>
      </c>
    </row>
    <row r="3857" spans="1:6" ht="15" customHeight="1" x14ac:dyDescent="0.25">
      <c r="A3857" s="2352" t="s">
        <v>4838</v>
      </c>
      <c r="B3857" s="2352" t="s">
        <v>4204</v>
      </c>
      <c r="C3857" s="2352" t="s">
        <v>17273</v>
      </c>
      <c r="D3857" s="2352" t="s">
        <v>4839</v>
      </c>
      <c r="E3857" s="355" t="s">
        <v>17285</v>
      </c>
      <c r="F3857" s="1662" t="s">
        <v>17321</v>
      </c>
    </row>
    <row r="3858" spans="1:6" ht="15" customHeight="1" x14ac:dyDescent="0.25">
      <c r="A3858" s="2352" t="s">
        <v>4840</v>
      </c>
      <c r="B3858" s="2352" t="s">
        <v>4204</v>
      </c>
      <c r="C3858" s="2352" t="s">
        <v>17273</v>
      </c>
      <c r="D3858" s="2352" t="s">
        <v>4841</v>
      </c>
      <c r="E3858" s="355" t="s">
        <v>17280</v>
      </c>
      <c r="F3858" s="1662" t="s">
        <v>17287</v>
      </c>
    </row>
    <row r="3859" spans="1:6" ht="15" customHeight="1" x14ac:dyDescent="0.25">
      <c r="A3859" s="2352" t="s">
        <v>4842</v>
      </c>
      <c r="B3859" s="2352" t="s">
        <v>4204</v>
      </c>
      <c r="C3859" s="2352" t="s">
        <v>17273</v>
      </c>
      <c r="D3859" s="2352" t="s">
        <v>4843</v>
      </c>
      <c r="E3859" s="355" t="s">
        <v>17276</v>
      </c>
      <c r="F3859" s="1662" t="s">
        <v>17321</v>
      </c>
    </row>
    <row r="3860" spans="1:6" ht="15" customHeight="1" x14ac:dyDescent="0.25">
      <c r="A3860" s="2352" t="s">
        <v>4844</v>
      </c>
      <c r="B3860" s="2352" t="s">
        <v>4204</v>
      </c>
      <c r="C3860" s="2352" t="s">
        <v>17273</v>
      </c>
      <c r="D3860" s="2352" t="s">
        <v>4844</v>
      </c>
      <c r="E3860" s="355" t="s">
        <v>17280</v>
      </c>
      <c r="F3860" s="1662" t="s">
        <v>17295</v>
      </c>
    </row>
    <row r="3861" spans="1:6" ht="15" customHeight="1" x14ac:dyDescent="0.25">
      <c r="A3861" s="2352" t="s">
        <v>4810</v>
      </c>
      <c r="B3861" s="2352" t="s">
        <v>4204</v>
      </c>
      <c r="C3861" s="2352" t="s">
        <v>17273</v>
      </c>
      <c r="D3861" s="2352" t="s">
        <v>4845</v>
      </c>
      <c r="E3861" s="355" t="s">
        <v>17288</v>
      </c>
      <c r="F3861" s="1662" t="s">
        <v>17291</v>
      </c>
    </row>
    <row r="3862" spans="1:6" ht="15" customHeight="1" x14ac:dyDescent="0.25">
      <c r="A3862" s="2352" t="s">
        <v>4810</v>
      </c>
      <c r="B3862" s="2352" t="s">
        <v>4204</v>
      </c>
      <c r="C3862" s="2352" t="s">
        <v>17273</v>
      </c>
      <c r="D3862" s="2352" t="s">
        <v>4846</v>
      </c>
      <c r="E3862" s="355" t="s">
        <v>17282</v>
      </c>
      <c r="F3862" s="1662" t="s">
        <v>17303</v>
      </c>
    </row>
    <row r="3863" spans="1:6" ht="15" customHeight="1" x14ac:dyDescent="0.25">
      <c r="A3863" s="2352" t="s">
        <v>17456</v>
      </c>
      <c r="B3863" s="2352" t="s">
        <v>4204</v>
      </c>
      <c r="C3863" s="2352" t="s">
        <v>17273</v>
      </c>
      <c r="D3863" s="2352" t="s">
        <v>4847</v>
      </c>
      <c r="E3863" s="355" t="s">
        <v>17279</v>
      </c>
      <c r="F3863" s="1662" t="s">
        <v>17303</v>
      </c>
    </row>
    <row r="3864" spans="1:6" ht="15" customHeight="1" x14ac:dyDescent="0.25">
      <c r="A3864" s="2352" t="s">
        <v>4690</v>
      </c>
      <c r="B3864" s="2352" t="s">
        <v>4204</v>
      </c>
      <c r="C3864" s="2352" t="s">
        <v>17273</v>
      </c>
      <c r="D3864" s="2352" t="s">
        <v>4848</v>
      </c>
      <c r="E3864" s="355" t="s">
        <v>17281</v>
      </c>
      <c r="F3864" s="1662" t="s">
        <v>17304</v>
      </c>
    </row>
    <row r="3865" spans="1:6" ht="15" customHeight="1" x14ac:dyDescent="0.25">
      <c r="A3865" s="2352" t="s">
        <v>4849</v>
      </c>
      <c r="B3865" s="2352" t="s">
        <v>4204</v>
      </c>
      <c r="C3865" s="2352" t="s">
        <v>17273</v>
      </c>
      <c r="D3865" s="2352" t="s">
        <v>4850</v>
      </c>
      <c r="E3865" s="355" t="s">
        <v>17276</v>
      </c>
      <c r="F3865" s="1662" t="s">
        <v>17321</v>
      </c>
    </row>
    <row r="3866" spans="1:6" ht="15" customHeight="1" x14ac:dyDescent="0.25">
      <c r="A3866" s="2352" t="s">
        <v>4690</v>
      </c>
      <c r="B3866" s="2352" t="s">
        <v>4204</v>
      </c>
      <c r="C3866" s="2352" t="s">
        <v>17273</v>
      </c>
      <c r="D3866" s="2352" t="s">
        <v>4851</v>
      </c>
      <c r="E3866" s="355" t="s">
        <v>17288</v>
      </c>
      <c r="F3866" s="1662" t="s">
        <v>17291</v>
      </c>
    </row>
    <row r="3867" spans="1:6" ht="15" customHeight="1" x14ac:dyDescent="0.25">
      <c r="A3867" s="2352" t="s">
        <v>4690</v>
      </c>
      <c r="B3867" s="2352" t="s">
        <v>4204</v>
      </c>
      <c r="C3867" s="2352" t="s">
        <v>17273</v>
      </c>
      <c r="D3867" s="2352" t="s">
        <v>4852</v>
      </c>
      <c r="E3867" s="355" t="s">
        <v>17279</v>
      </c>
      <c r="F3867" s="1662" t="s">
        <v>17289</v>
      </c>
    </row>
    <row r="3868" spans="1:6" ht="15" customHeight="1" x14ac:dyDescent="0.25">
      <c r="A3868" s="2352" t="s">
        <v>4690</v>
      </c>
      <c r="B3868" s="2352" t="s">
        <v>4204</v>
      </c>
      <c r="C3868" s="2352" t="s">
        <v>17273</v>
      </c>
      <c r="D3868" s="2352" t="s">
        <v>4853</v>
      </c>
      <c r="E3868" s="355" t="s">
        <v>17281</v>
      </c>
      <c r="F3868" s="1662" t="s">
        <v>17300</v>
      </c>
    </row>
    <row r="3869" spans="1:6" ht="15" customHeight="1" x14ac:dyDescent="0.25">
      <c r="A3869" s="2352" t="s">
        <v>4854</v>
      </c>
      <c r="B3869" s="2352" t="s">
        <v>4204</v>
      </c>
      <c r="C3869" s="2352" t="s">
        <v>17273</v>
      </c>
      <c r="D3869" s="2352" t="s">
        <v>4855</v>
      </c>
      <c r="E3869" s="355" t="s">
        <v>17281</v>
      </c>
      <c r="F3869" s="1662" t="s">
        <v>17457</v>
      </c>
    </row>
    <row r="3870" spans="1:6" ht="15" customHeight="1" x14ac:dyDescent="0.25">
      <c r="A3870" s="2352" t="s">
        <v>17458</v>
      </c>
      <c r="B3870" s="2352" t="s">
        <v>4204</v>
      </c>
      <c r="C3870" s="2352" t="s">
        <v>17273</v>
      </c>
      <c r="D3870" s="2352" t="s">
        <v>4856</v>
      </c>
      <c r="E3870" s="355" t="s">
        <v>17274</v>
      </c>
      <c r="F3870" s="1662" t="s">
        <v>17287</v>
      </c>
    </row>
    <row r="3871" spans="1:6" ht="15" customHeight="1" x14ac:dyDescent="0.25">
      <c r="A3871" s="2352" t="s">
        <v>17459</v>
      </c>
      <c r="B3871" s="2352" t="s">
        <v>4204</v>
      </c>
      <c r="C3871" s="2352" t="s">
        <v>17273</v>
      </c>
      <c r="D3871" s="2352" t="s">
        <v>4857</v>
      </c>
      <c r="E3871" s="355" t="s">
        <v>17279</v>
      </c>
      <c r="F3871" s="1662" t="s">
        <v>17350</v>
      </c>
    </row>
    <row r="3872" spans="1:6" ht="15" customHeight="1" x14ac:dyDescent="0.25">
      <c r="A3872" s="2352" t="s">
        <v>17460</v>
      </c>
      <c r="B3872" s="2352" t="s">
        <v>4204</v>
      </c>
      <c r="C3872" s="2352" t="s">
        <v>17273</v>
      </c>
      <c r="D3872" s="2352" t="s">
        <v>4858</v>
      </c>
      <c r="E3872" s="355" t="s">
        <v>17276</v>
      </c>
      <c r="F3872" s="1662" t="s">
        <v>17286</v>
      </c>
    </row>
    <row r="3873" spans="1:6" ht="15" customHeight="1" x14ac:dyDescent="0.25">
      <c r="A3873" s="2352" t="s">
        <v>17459</v>
      </c>
      <c r="B3873" s="2352" t="s">
        <v>4204</v>
      </c>
      <c r="C3873" s="2352" t="s">
        <v>17273</v>
      </c>
      <c r="D3873" s="2352" t="s">
        <v>4859</v>
      </c>
      <c r="E3873" s="355" t="s">
        <v>17288</v>
      </c>
      <c r="F3873" s="1662" t="s">
        <v>17291</v>
      </c>
    </row>
    <row r="3874" spans="1:6" ht="15" customHeight="1" x14ac:dyDescent="0.25">
      <c r="A3874" s="2352" t="s">
        <v>13396</v>
      </c>
      <c r="B3874" s="2352" t="s">
        <v>13386</v>
      </c>
      <c r="C3874" s="2352" t="s">
        <v>13386</v>
      </c>
      <c r="D3874" s="2352" t="s">
        <v>13387</v>
      </c>
      <c r="E3874" s="355">
        <v>400</v>
      </c>
      <c r="F3874" s="1662">
        <v>290</v>
      </c>
    </row>
    <row r="3875" spans="1:6" ht="15" customHeight="1" x14ac:dyDescent="0.25">
      <c r="A3875" s="2352" t="s">
        <v>13396</v>
      </c>
      <c r="B3875" s="2352" t="s">
        <v>13386</v>
      </c>
      <c r="C3875" s="2352" t="s">
        <v>13386</v>
      </c>
      <c r="D3875" s="2352" t="s">
        <v>13388</v>
      </c>
      <c r="E3875" s="355">
        <v>100</v>
      </c>
      <c r="F3875" s="1662">
        <v>48</v>
      </c>
    </row>
    <row r="3876" spans="1:6" ht="15" customHeight="1" x14ac:dyDescent="0.25">
      <c r="A3876" s="2352" t="s">
        <v>13396</v>
      </c>
      <c r="B3876" s="2352" t="s">
        <v>13386</v>
      </c>
      <c r="C3876" s="2352" t="s">
        <v>13386</v>
      </c>
      <c r="D3876" s="2352" t="s">
        <v>13389</v>
      </c>
      <c r="E3876" s="355" t="s">
        <v>6280</v>
      </c>
      <c r="F3876" s="1662" t="s">
        <v>3725</v>
      </c>
    </row>
    <row r="3877" spans="1:6" ht="15" customHeight="1" x14ac:dyDescent="0.25">
      <c r="A3877" s="2352" t="s">
        <v>13396</v>
      </c>
      <c r="B3877" s="2352" t="s">
        <v>13386</v>
      </c>
      <c r="C3877" s="2352" t="s">
        <v>13386</v>
      </c>
      <c r="D3877" s="2352" t="s">
        <v>13390</v>
      </c>
      <c r="E3877" s="355">
        <v>100</v>
      </c>
      <c r="F3877" s="1662">
        <v>14</v>
      </c>
    </row>
    <row r="3878" spans="1:6" ht="15" customHeight="1" x14ac:dyDescent="0.25">
      <c r="A3878" s="2352" t="s">
        <v>13391</v>
      </c>
      <c r="B3878" s="2352" t="s">
        <v>13386</v>
      </c>
      <c r="C3878" s="2352" t="s">
        <v>13386</v>
      </c>
      <c r="D3878" s="2352" t="s">
        <v>13392</v>
      </c>
      <c r="E3878" s="355">
        <v>100</v>
      </c>
      <c r="F3878" s="1662">
        <v>70</v>
      </c>
    </row>
    <row r="3879" spans="1:6" ht="15" customHeight="1" x14ac:dyDescent="0.25">
      <c r="A3879" s="2352" t="s">
        <v>13393</v>
      </c>
      <c r="B3879" s="2352" t="s">
        <v>13386</v>
      </c>
      <c r="C3879" s="2352" t="s">
        <v>13386</v>
      </c>
      <c r="D3879" s="2352" t="s">
        <v>13394</v>
      </c>
      <c r="E3879" s="355">
        <v>400</v>
      </c>
      <c r="F3879" s="1662">
        <v>100</v>
      </c>
    </row>
    <row r="3880" spans="1:6" ht="15" customHeight="1" x14ac:dyDescent="0.25">
      <c r="A3880" s="2352" t="s">
        <v>15166</v>
      </c>
      <c r="B3880" s="2352" t="s">
        <v>13386</v>
      </c>
      <c r="C3880" s="2352" t="s">
        <v>13386</v>
      </c>
      <c r="D3880" s="2352" t="s">
        <v>13395</v>
      </c>
      <c r="E3880" s="355">
        <v>100</v>
      </c>
      <c r="F3880" s="1662">
        <v>10</v>
      </c>
    </row>
    <row r="3881" spans="1:6" ht="15" customHeight="1" x14ac:dyDescent="0.25">
      <c r="A3881" s="2352" t="s">
        <v>13396</v>
      </c>
      <c r="B3881" s="2352" t="s">
        <v>13386</v>
      </c>
      <c r="C3881" s="2352" t="s">
        <v>13386</v>
      </c>
      <c r="D3881" s="2352" t="s">
        <v>13397</v>
      </c>
      <c r="E3881" s="355">
        <v>40</v>
      </c>
      <c r="F3881" s="1662">
        <v>30</v>
      </c>
    </row>
    <row r="3882" spans="1:6" ht="15" customHeight="1" x14ac:dyDescent="0.25">
      <c r="A3882" s="2352" t="s">
        <v>13396</v>
      </c>
      <c r="B3882" s="2352" t="s">
        <v>13386</v>
      </c>
      <c r="C3882" s="2352" t="s">
        <v>13386</v>
      </c>
      <c r="D3882" s="2352" t="s">
        <v>13398</v>
      </c>
      <c r="E3882" s="355">
        <v>250</v>
      </c>
      <c r="F3882" s="1662">
        <v>80</v>
      </c>
    </row>
    <row r="3883" spans="1:6" ht="15" customHeight="1" x14ac:dyDescent="0.25">
      <c r="A3883" s="2352" t="s">
        <v>13399</v>
      </c>
      <c r="B3883" s="2352" t="s">
        <v>13386</v>
      </c>
      <c r="C3883" s="2352" t="s">
        <v>13386</v>
      </c>
      <c r="D3883" s="2352" t="s">
        <v>13400</v>
      </c>
      <c r="E3883" s="355">
        <v>100</v>
      </c>
      <c r="F3883" s="1662">
        <v>5</v>
      </c>
    </row>
    <row r="3884" spans="1:6" ht="15" customHeight="1" x14ac:dyDescent="0.25">
      <c r="A3884" s="2352" t="s">
        <v>13401</v>
      </c>
      <c r="B3884" s="2352" t="s">
        <v>13386</v>
      </c>
      <c r="C3884" s="2352" t="s">
        <v>13386</v>
      </c>
      <c r="D3884" s="2352" t="s">
        <v>13402</v>
      </c>
      <c r="E3884" s="355">
        <v>400</v>
      </c>
      <c r="F3884" s="1662">
        <v>200</v>
      </c>
    </row>
    <row r="3885" spans="1:6" ht="15" customHeight="1" x14ac:dyDescent="0.25">
      <c r="A3885" s="2352" t="s">
        <v>13401</v>
      </c>
      <c r="B3885" s="2352" t="s">
        <v>13386</v>
      </c>
      <c r="C3885" s="2352" t="s">
        <v>13386</v>
      </c>
      <c r="D3885" s="2352" t="s">
        <v>13403</v>
      </c>
      <c r="E3885" s="355">
        <v>250</v>
      </c>
      <c r="F3885" s="1662">
        <v>70</v>
      </c>
    </row>
    <row r="3886" spans="1:6" ht="15" customHeight="1" x14ac:dyDescent="0.25">
      <c r="A3886" s="2352" t="s">
        <v>13396</v>
      </c>
      <c r="B3886" s="2352" t="s">
        <v>13386</v>
      </c>
      <c r="C3886" s="2352" t="s">
        <v>13386</v>
      </c>
      <c r="D3886" s="2352" t="s">
        <v>13404</v>
      </c>
      <c r="E3886" s="355">
        <v>100</v>
      </c>
      <c r="F3886" s="1662">
        <v>10</v>
      </c>
    </row>
    <row r="3887" spans="1:6" ht="15" customHeight="1" x14ac:dyDescent="0.25">
      <c r="A3887" s="2352" t="s">
        <v>15167</v>
      </c>
      <c r="B3887" s="2352" t="s">
        <v>13386</v>
      </c>
      <c r="C3887" s="2352" t="s">
        <v>13386</v>
      </c>
      <c r="D3887" s="2352" t="s">
        <v>13405</v>
      </c>
      <c r="E3887" s="355">
        <v>100</v>
      </c>
      <c r="F3887" s="1662">
        <v>24</v>
      </c>
    </row>
    <row r="3888" spans="1:6" ht="15" customHeight="1" x14ac:dyDescent="0.25">
      <c r="A3888" s="2352" t="s">
        <v>13396</v>
      </c>
      <c r="B3888" s="2352" t="s">
        <v>13386</v>
      </c>
      <c r="C3888" s="2352" t="s">
        <v>13386</v>
      </c>
      <c r="D3888" s="2352" t="s">
        <v>13406</v>
      </c>
      <c r="E3888" s="355">
        <v>250</v>
      </c>
      <c r="F3888" s="1662">
        <v>75</v>
      </c>
    </row>
    <row r="3889" spans="1:6" ht="15" customHeight="1" x14ac:dyDescent="0.25">
      <c r="A3889" s="2352" t="s">
        <v>13396</v>
      </c>
      <c r="B3889" s="2352" t="s">
        <v>13386</v>
      </c>
      <c r="C3889" s="2352" t="s">
        <v>13386</v>
      </c>
      <c r="D3889" s="2352" t="s">
        <v>13407</v>
      </c>
      <c r="E3889" s="355">
        <v>100</v>
      </c>
      <c r="F3889" s="1662">
        <v>9</v>
      </c>
    </row>
    <row r="3890" spans="1:6" ht="15" customHeight="1" x14ac:dyDescent="0.25">
      <c r="A3890" s="2352" t="s">
        <v>13396</v>
      </c>
      <c r="B3890" s="2352" t="s">
        <v>13386</v>
      </c>
      <c r="C3890" s="2352" t="s">
        <v>13386</v>
      </c>
      <c r="D3890" s="2352" t="s">
        <v>13408</v>
      </c>
      <c r="E3890" s="355">
        <v>200</v>
      </c>
      <c r="F3890" s="1662">
        <v>150</v>
      </c>
    </row>
    <row r="3891" spans="1:6" ht="15" customHeight="1" x14ac:dyDescent="0.25">
      <c r="A3891" s="2352" t="s">
        <v>13396</v>
      </c>
      <c r="B3891" s="2352" t="s">
        <v>13386</v>
      </c>
      <c r="C3891" s="2352" t="s">
        <v>13386</v>
      </c>
      <c r="D3891" s="2352" t="s">
        <v>13409</v>
      </c>
      <c r="E3891" s="355">
        <v>400</v>
      </c>
      <c r="F3891" s="1662">
        <v>275</v>
      </c>
    </row>
    <row r="3892" spans="1:6" ht="15" customHeight="1" x14ac:dyDescent="0.25">
      <c r="A3892" s="2352" t="s">
        <v>13396</v>
      </c>
      <c r="B3892" s="2352" t="s">
        <v>13386</v>
      </c>
      <c r="C3892" s="2352" t="s">
        <v>13386</v>
      </c>
      <c r="D3892" s="2352" t="s">
        <v>13410</v>
      </c>
      <c r="E3892" s="355">
        <v>250</v>
      </c>
      <c r="F3892" s="1662">
        <v>120</v>
      </c>
    </row>
    <row r="3893" spans="1:6" ht="15" customHeight="1" x14ac:dyDescent="0.25">
      <c r="A3893" s="2352" t="s">
        <v>13396</v>
      </c>
      <c r="B3893" s="2352" t="s">
        <v>13386</v>
      </c>
      <c r="C3893" s="2352" t="s">
        <v>13386</v>
      </c>
      <c r="D3893" s="2352" t="s">
        <v>13411</v>
      </c>
      <c r="E3893" s="355">
        <v>180</v>
      </c>
      <c r="F3893" s="1662">
        <v>58</v>
      </c>
    </row>
    <row r="3894" spans="1:6" ht="15" customHeight="1" x14ac:dyDescent="0.25">
      <c r="A3894" s="2352" t="s">
        <v>54</v>
      </c>
      <c r="B3894" s="2352" t="s">
        <v>13386</v>
      </c>
      <c r="C3894" s="2352" t="s">
        <v>13386</v>
      </c>
      <c r="D3894" s="2352" t="s">
        <v>13412</v>
      </c>
      <c r="E3894" s="355">
        <v>160</v>
      </c>
      <c r="F3894" s="1662">
        <v>48</v>
      </c>
    </row>
    <row r="3895" spans="1:6" ht="15" customHeight="1" x14ac:dyDescent="0.25">
      <c r="A3895" s="2352" t="s">
        <v>54</v>
      </c>
      <c r="B3895" s="2352" t="s">
        <v>13386</v>
      </c>
      <c r="C3895" s="2352" t="s">
        <v>13386</v>
      </c>
      <c r="D3895" s="2352" t="s">
        <v>13413</v>
      </c>
      <c r="E3895" s="355">
        <v>160</v>
      </c>
      <c r="F3895" s="1662">
        <v>53</v>
      </c>
    </row>
    <row r="3896" spans="1:6" ht="15" customHeight="1" x14ac:dyDescent="0.25">
      <c r="A3896" s="2352" t="s">
        <v>13414</v>
      </c>
      <c r="B3896" s="2352" t="s">
        <v>13386</v>
      </c>
      <c r="C3896" s="2352" t="s">
        <v>13386</v>
      </c>
      <c r="D3896" s="2352" t="s">
        <v>13415</v>
      </c>
      <c r="E3896" s="355">
        <v>160</v>
      </c>
      <c r="F3896" s="1662">
        <v>0</v>
      </c>
    </row>
    <row r="3897" spans="1:6" ht="15" customHeight="1" x14ac:dyDescent="0.25">
      <c r="A3897" s="2352" t="s">
        <v>13414</v>
      </c>
      <c r="B3897" s="2352" t="s">
        <v>13386</v>
      </c>
      <c r="C3897" s="2352" t="s">
        <v>13386</v>
      </c>
      <c r="D3897" s="2352" t="s">
        <v>13416</v>
      </c>
      <c r="E3897" s="355">
        <v>250</v>
      </c>
      <c r="F3897" s="1662">
        <v>204</v>
      </c>
    </row>
    <row r="3898" spans="1:6" ht="15" customHeight="1" x14ac:dyDescent="0.25">
      <c r="A3898" s="2352" t="s">
        <v>54</v>
      </c>
      <c r="B3898" s="2352" t="s">
        <v>13386</v>
      </c>
      <c r="C3898" s="2352" t="s">
        <v>13386</v>
      </c>
      <c r="D3898" s="2352" t="s">
        <v>13417</v>
      </c>
      <c r="E3898" s="355">
        <v>160</v>
      </c>
      <c r="F3898" s="1662">
        <v>93</v>
      </c>
    </row>
    <row r="3899" spans="1:6" ht="15" customHeight="1" x14ac:dyDescent="0.25">
      <c r="A3899" s="2352" t="s">
        <v>13418</v>
      </c>
      <c r="B3899" s="2352" t="s">
        <v>13386</v>
      </c>
      <c r="C3899" s="2352" t="s">
        <v>13386</v>
      </c>
      <c r="D3899" s="2352" t="s">
        <v>13419</v>
      </c>
      <c r="E3899" s="355">
        <v>63</v>
      </c>
      <c r="F3899" s="1662">
        <v>0</v>
      </c>
    </row>
    <row r="3900" spans="1:6" ht="15" customHeight="1" x14ac:dyDescent="0.25">
      <c r="A3900" s="2352" t="s">
        <v>54</v>
      </c>
      <c r="B3900" s="2352" t="s">
        <v>13386</v>
      </c>
      <c r="C3900" s="2352" t="s">
        <v>13386</v>
      </c>
      <c r="D3900" s="2352" t="s">
        <v>13420</v>
      </c>
      <c r="E3900" s="355">
        <v>100</v>
      </c>
      <c r="F3900" s="1662">
        <v>16</v>
      </c>
    </row>
    <row r="3901" spans="1:6" ht="15" customHeight="1" x14ac:dyDescent="0.25">
      <c r="A3901" s="2352" t="s">
        <v>54</v>
      </c>
      <c r="B3901" s="2352" t="s">
        <v>13386</v>
      </c>
      <c r="C3901" s="2352" t="s">
        <v>13386</v>
      </c>
      <c r="D3901" s="2352" t="s">
        <v>13421</v>
      </c>
      <c r="E3901" s="355">
        <v>250</v>
      </c>
      <c r="F3901" s="1662">
        <v>90</v>
      </c>
    </row>
    <row r="3902" spans="1:6" ht="15" customHeight="1" x14ac:dyDescent="0.25">
      <c r="A3902" s="2352" t="s">
        <v>54</v>
      </c>
      <c r="B3902" s="2352" t="s">
        <v>13386</v>
      </c>
      <c r="C3902" s="2352" t="s">
        <v>13386</v>
      </c>
      <c r="D3902" s="2352" t="s">
        <v>13422</v>
      </c>
      <c r="E3902" s="355">
        <v>160</v>
      </c>
      <c r="F3902" s="1662">
        <v>130</v>
      </c>
    </row>
    <row r="3903" spans="1:6" ht="15" customHeight="1" x14ac:dyDescent="0.25">
      <c r="A3903" s="2352" t="s">
        <v>13423</v>
      </c>
      <c r="B3903" s="2352" t="s">
        <v>13386</v>
      </c>
      <c r="C3903" s="2352" t="s">
        <v>13386</v>
      </c>
      <c r="D3903" s="2352" t="s">
        <v>13424</v>
      </c>
      <c r="E3903" s="355">
        <v>180</v>
      </c>
      <c r="F3903" s="1662">
        <v>30</v>
      </c>
    </row>
    <row r="3904" spans="1:6" ht="15" customHeight="1" x14ac:dyDescent="0.25">
      <c r="A3904" s="2352" t="s">
        <v>54</v>
      </c>
      <c r="B3904" s="2352" t="s">
        <v>13386</v>
      </c>
      <c r="C3904" s="2352" t="s">
        <v>13386</v>
      </c>
      <c r="D3904" s="2352" t="s">
        <v>13425</v>
      </c>
      <c r="E3904" s="355">
        <v>160</v>
      </c>
      <c r="F3904" s="1662">
        <v>30</v>
      </c>
    </row>
    <row r="3905" spans="1:6" ht="15" customHeight="1" x14ac:dyDescent="0.25">
      <c r="A3905" s="2352" t="s">
        <v>13426</v>
      </c>
      <c r="B3905" s="2352" t="s">
        <v>13386</v>
      </c>
      <c r="C3905" s="2352" t="s">
        <v>13386</v>
      </c>
      <c r="D3905" s="2352" t="s">
        <v>13427</v>
      </c>
      <c r="E3905" s="355">
        <v>100</v>
      </c>
      <c r="F3905" s="1662">
        <v>45</v>
      </c>
    </row>
    <row r="3906" spans="1:6" ht="15" customHeight="1" x14ac:dyDescent="0.25">
      <c r="A3906" s="2352" t="s">
        <v>13428</v>
      </c>
      <c r="B3906" s="2352" t="s">
        <v>13386</v>
      </c>
      <c r="C3906" s="2352" t="s">
        <v>13386</v>
      </c>
      <c r="D3906" s="2352" t="s">
        <v>13429</v>
      </c>
      <c r="E3906" s="355">
        <v>50</v>
      </c>
      <c r="F3906" s="1662">
        <v>15</v>
      </c>
    </row>
    <row r="3907" spans="1:6" ht="15" customHeight="1" x14ac:dyDescent="0.25">
      <c r="A3907" s="2352" t="s">
        <v>13430</v>
      </c>
      <c r="B3907" s="2352" t="s">
        <v>13386</v>
      </c>
      <c r="C3907" s="2352" t="s">
        <v>13386</v>
      </c>
      <c r="D3907" s="2352" t="s">
        <v>13431</v>
      </c>
      <c r="E3907" s="355">
        <v>250</v>
      </c>
      <c r="F3907" s="1662">
        <v>183</v>
      </c>
    </row>
    <row r="3908" spans="1:6" ht="15" customHeight="1" x14ac:dyDescent="0.25">
      <c r="A3908" s="2352" t="s">
        <v>13430</v>
      </c>
      <c r="B3908" s="2352" t="s">
        <v>13386</v>
      </c>
      <c r="C3908" s="2352" t="s">
        <v>13386</v>
      </c>
      <c r="D3908" s="2352" t="s">
        <v>13432</v>
      </c>
      <c r="E3908" s="355">
        <v>160</v>
      </c>
      <c r="F3908" s="1662">
        <v>5</v>
      </c>
    </row>
    <row r="3909" spans="1:6" ht="15" customHeight="1" x14ac:dyDescent="0.25">
      <c r="A3909" s="2352" t="s">
        <v>15168</v>
      </c>
      <c r="B3909" s="2352" t="s">
        <v>13386</v>
      </c>
      <c r="C3909" s="2352" t="s">
        <v>13386</v>
      </c>
      <c r="D3909" s="2352" t="s">
        <v>13433</v>
      </c>
      <c r="E3909" s="355">
        <v>250</v>
      </c>
      <c r="F3909" s="1662">
        <v>125</v>
      </c>
    </row>
    <row r="3910" spans="1:6" ht="15" customHeight="1" x14ac:dyDescent="0.25">
      <c r="A3910" s="2352" t="s">
        <v>15168</v>
      </c>
      <c r="B3910" s="2352" t="s">
        <v>13386</v>
      </c>
      <c r="C3910" s="2352" t="s">
        <v>13386</v>
      </c>
      <c r="D3910" s="2352" t="s">
        <v>13434</v>
      </c>
      <c r="E3910" s="355">
        <v>100</v>
      </c>
      <c r="F3910" s="1662">
        <v>0</v>
      </c>
    </row>
    <row r="3911" spans="1:6" ht="15" customHeight="1" x14ac:dyDescent="0.25">
      <c r="A3911" s="2352" t="s">
        <v>13391</v>
      </c>
      <c r="B3911" s="2352" t="s">
        <v>13386</v>
      </c>
      <c r="C3911" s="2352" t="s">
        <v>13386</v>
      </c>
      <c r="D3911" s="2352" t="s">
        <v>13435</v>
      </c>
      <c r="E3911" s="355">
        <v>160</v>
      </c>
      <c r="F3911" s="1662">
        <v>100</v>
      </c>
    </row>
    <row r="3912" spans="1:6" ht="15" customHeight="1" x14ac:dyDescent="0.25">
      <c r="A3912" s="2352" t="s">
        <v>15168</v>
      </c>
      <c r="B3912" s="2352" t="s">
        <v>13386</v>
      </c>
      <c r="C3912" s="2352" t="s">
        <v>13386</v>
      </c>
      <c r="D3912" s="2352" t="s">
        <v>13436</v>
      </c>
      <c r="E3912" s="355">
        <v>250</v>
      </c>
      <c r="F3912" s="1662">
        <v>0</v>
      </c>
    </row>
    <row r="3913" spans="1:6" ht="15" customHeight="1" x14ac:dyDescent="0.25">
      <c r="A3913" s="2352" t="s">
        <v>15168</v>
      </c>
      <c r="B3913" s="2352" t="s">
        <v>13386</v>
      </c>
      <c r="C3913" s="2352" t="s">
        <v>13386</v>
      </c>
      <c r="D3913" s="2352" t="s">
        <v>13437</v>
      </c>
      <c r="E3913" s="355">
        <v>180</v>
      </c>
      <c r="F3913" s="1662">
        <v>70</v>
      </c>
    </row>
    <row r="3914" spans="1:6" ht="15" customHeight="1" x14ac:dyDescent="0.25">
      <c r="A3914" s="2352" t="s">
        <v>15168</v>
      </c>
      <c r="B3914" s="2352" t="s">
        <v>13386</v>
      </c>
      <c r="C3914" s="2352" t="s">
        <v>13386</v>
      </c>
      <c r="D3914" s="2352" t="s">
        <v>13438</v>
      </c>
      <c r="E3914" s="355" t="s">
        <v>10819</v>
      </c>
      <c r="F3914" s="1662" t="s">
        <v>13439</v>
      </c>
    </row>
    <row r="3915" spans="1:6" ht="15" customHeight="1" x14ac:dyDescent="0.25">
      <c r="A3915" s="2352" t="s">
        <v>13391</v>
      </c>
      <c r="B3915" s="2352" t="s">
        <v>13386</v>
      </c>
      <c r="C3915" s="2352" t="s">
        <v>13386</v>
      </c>
      <c r="D3915" s="2352" t="s">
        <v>13440</v>
      </c>
      <c r="E3915" s="355">
        <v>250</v>
      </c>
      <c r="F3915" s="1662">
        <v>110</v>
      </c>
    </row>
    <row r="3916" spans="1:6" ht="15" customHeight="1" x14ac:dyDescent="0.25">
      <c r="A3916" s="2352" t="s">
        <v>15168</v>
      </c>
      <c r="B3916" s="2352" t="s">
        <v>13386</v>
      </c>
      <c r="C3916" s="2352" t="s">
        <v>13386</v>
      </c>
      <c r="D3916" s="2352" t="s">
        <v>13441</v>
      </c>
      <c r="E3916" s="355">
        <v>250</v>
      </c>
      <c r="F3916" s="1662">
        <v>0</v>
      </c>
    </row>
    <row r="3917" spans="1:6" ht="15" customHeight="1" x14ac:dyDescent="0.25">
      <c r="A3917" s="2352" t="s">
        <v>15168</v>
      </c>
      <c r="B3917" s="2352" t="s">
        <v>13386</v>
      </c>
      <c r="C3917" s="2352" t="s">
        <v>13386</v>
      </c>
      <c r="D3917" s="2352" t="s">
        <v>13442</v>
      </c>
      <c r="E3917" s="355">
        <v>160</v>
      </c>
      <c r="F3917" s="1662">
        <v>120</v>
      </c>
    </row>
    <row r="3918" spans="1:6" ht="15" customHeight="1" x14ac:dyDescent="0.25">
      <c r="A3918" s="2352" t="s">
        <v>15168</v>
      </c>
      <c r="B3918" s="2352" t="s">
        <v>13386</v>
      </c>
      <c r="C3918" s="2352" t="s">
        <v>13386</v>
      </c>
      <c r="D3918" s="2352" t="s">
        <v>13443</v>
      </c>
      <c r="E3918" s="355">
        <v>250</v>
      </c>
      <c r="F3918" s="1662">
        <v>210</v>
      </c>
    </row>
    <row r="3919" spans="1:6" ht="15" customHeight="1" x14ac:dyDescent="0.25">
      <c r="A3919" s="2352" t="s">
        <v>15168</v>
      </c>
      <c r="B3919" s="2352" t="s">
        <v>13386</v>
      </c>
      <c r="C3919" s="2352" t="s">
        <v>13386</v>
      </c>
      <c r="D3919" s="2352" t="s">
        <v>13444</v>
      </c>
      <c r="E3919" s="355" t="s">
        <v>4202</v>
      </c>
      <c r="F3919" s="1662">
        <v>250</v>
      </c>
    </row>
    <row r="3920" spans="1:6" ht="15" customHeight="1" x14ac:dyDescent="0.25">
      <c r="A3920" s="2352" t="s">
        <v>15168</v>
      </c>
      <c r="B3920" s="2352" t="s">
        <v>13386</v>
      </c>
      <c r="C3920" s="2352" t="s">
        <v>13386</v>
      </c>
      <c r="D3920" s="2352" t="s">
        <v>13445</v>
      </c>
      <c r="E3920" s="355">
        <v>400</v>
      </c>
      <c r="F3920" s="1662">
        <v>5</v>
      </c>
    </row>
    <row r="3921" spans="1:6" ht="15" customHeight="1" x14ac:dyDescent="0.25">
      <c r="A3921" s="2352" t="s">
        <v>15168</v>
      </c>
      <c r="B3921" s="2352" t="s">
        <v>13386</v>
      </c>
      <c r="C3921" s="2352" t="s">
        <v>13386</v>
      </c>
      <c r="D3921" s="2352" t="s">
        <v>17461</v>
      </c>
      <c r="E3921" s="355">
        <v>25</v>
      </c>
      <c r="F3921" s="1662">
        <v>0</v>
      </c>
    </row>
    <row r="3922" spans="1:6" ht="15" customHeight="1" x14ac:dyDescent="0.25">
      <c r="A3922" s="2352" t="s">
        <v>15168</v>
      </c>
      <c r="B3922" s="2352" t="s">
        <v>13386</v>
      </c>
      <c r="C3922" s="2352" t="s">
        <v>13386</v>
      </c>
      <c r="D3922" s="2352" t="s">
        <v>17462</v>
      </c>
      <c r="E3922" s="355">
        <v>100</v>
      </c>
      <c r="F3922" s="1662">
        <v>50</v>
      </c>
    </row>
    <row r="3923" spans="1:6" ht="15" customHeight="1" x14ac:dyDescent="0.25">
      <c r="A3923" s="2352" t="s">
        <v>13396</v>
      </c>
      <c r="B3923" s="2352" t="s">
        <v>13386</v>
      </c>
      <c r="C3923" s="2352" t="s">
        <v>13386</v>
      </c>
      <c r="D3923" s="2352" t="s">
        <v>13446</v>
      </c>
      <c r="E3923" s="355">
        <v>400</v>
      </c>
      <c r="F3923" s="1662">
        <v>240</v>
      </c>
    </row>
    <row r="3924" spans="1:6" ht="15" customHeight="1" x14ac:dyDescent="0.25">
      <c r="A3924" s="2352" t="s">
        <v>13396</v>
      </c>
      <c r="B3924" s="2352" t="s">
        <v>13386</v>
      </c>
      <c r="C3924" s="2352" t="s">
        <v>13386</v>
      </c>
      <c r="D3924" s="2352" t="s">
        <v>13447</v>
      </c>
      <c r="E3924" s="355">
        <v>250</v>
      </c>
      <c r="F3924" s="1662">
        <v>65</v>
      </c>
    </row>
    <row r="3925" spans="1:6" ht="15" customHeight="1" x14ac:dyDescent="0.25">
      <c r="A3925" s="2352" t="s">
        <v>13396</v>
      </c>
      <c r="B3925" s="2352" t="s">
        <v>13386</v>
      </c>
      <c r="C3925" s="2352" t="s">
        <v>13386</v>
      </c>
      <c r="D3925" s="2352" t="s">
        <v>13448</v>
      </c>
      <c r="E3925" s="355">
        <v>400</v>
      </c>
      <c r="F3925" s="1662">
        <v>230</v>
      </c>
    </row>
    <row r="3926" spans="1:6" ht="15" customHeight="1" x14ac:dyDescent="0.25">
      <c r="A3926" s="2352" t="s">
        <v>13396</v>
      </c>
      <c r="B3926" s="2352" t="s">
        <v>13386</v>
      </c>
      <c r="C3926" s="2352" t="s">
        <v>13386</v>
      </c>
      <c r="D3926" s="2352" t="s">
        <v>13449</v>
      </c>
      <c r="E3926" s="355">
        <v>160</v>
      </c>
      <c r="F3926" s="1662">
        <v>0</v>
      </c>
    </row>
    <row r="3927" spans="1:6" ht="15" customHeight="1" x14ac:dyDescent="0.25">
      <c r="A3927" s="2352" t="s">
        <v>13396</v>
      </c>
      <c r="B3927" s="2352" t="s">
        <v>13386</v>
      </c>
      <c r="C3927" s="2352" t="s">
        <v>13386</v>
      </c>
      <c r="D3927" s="2352" t="s">
        <v>13450</v>
      </c>
      <c r="E3927" s="355" t="s">
        <v>13451</v>
      </c>
      <c r="F3927" s="1662">
        <v>250</v>
      </c>
    </row>
    <row r="3928" spans="1:6" ht="15" customHeight="1" x14ac:dyDescent="0.25">
      <c r="A3928" s="2352" t="s">
        <v>13396</v>
      </c>
      <c r="B3928" s="2352" t="s">
        <v>13386</v>
      </c>
      <c r="C3928" s="2352" t="s">
        <v>13386</v>
      </c>
      <c r="D3928" s="2352" t="s">
        <v>13452</v>
      </c>
      <c r="E3928" s="355">
        <v>250</v>
      </c>
      <c r="F3928" s="1662">
        <v>0</v>
      </c>
    </row>
    <row r="3929" spans="1:6" ht="15" customHeight="1" x14ac:dyDescent="0.25">
      <c r="A3929" s="2352" t="s">
        <v>54</v>
      </c>
      <c r="B3929" s="2352" t="s">
        <v>13386</v>
      </c>
      <c r="C3929" s="2352" t="s">
        <v>13386</v>
      </c>
      <c r="D3929" s="2352" t="s">
        <v>13453</v>
      </c>
      <c r="E3929" s="355">
        <v>320</v>
      </c>
      <c r="F3929" s="1662">
        <v>130</v>
      </c>
    </row>
    <row r="3930" spans="1:6" ht="15" customHeight="1" x14ac:dyDescent="0.25">
      <c r="A3930" s="2352" t="s">
        <v>15169</v>
      </c>
      <c r="B3930" s="2352" t="s">
        <v>13386</v>
      </c>
      <c r="C3930" s="2352" t="s">
        <v>13386</v>
      </c>
      <c r="D3930" s="2352" t="s">
        <v>13454</v>
      </c>
      <c r="E3930" s="355">
        <v>250</v>
      </c>
      <c r="F3930" s="1662">
        <v>90</v>
      </c>
    </row>
    <row r="3931" spans="1:6" ht="15" customHeight="1" x14ac:dyDescent="0.25">
      <c r="A3931" s="2352" t="s">
        <v>15169</v>
      </c>
      <c r="B3931" s="2352" t="s">
        <v>13386</v>
      </c>
      <c r="C3931" s="2352" t="s">
        <v>13386</v>
      </c>
      <c r="D3931" s="2352" t="s">
        <v>13455</v>
      </c>
      <c r="E3931" s="355">
        <v>160</v>
      </c>
      <c r="F3931" s="1662">
        <v>50</v>
      </c>
    </row>
    <row r="3932" spans="1:6" ht="15" customHeight="1" x14ac:dyDescent="0.25">
      <c r="A3932" s="2352" t="s">
        <v>15170</v>
      </c>
      <c r="B3932" s="2352" t="s">
        <v>13386</v>
      </c>
      <c r="C3932" s="2352" t="s">
        <v>13386</v>
      </c>
      <c r="D3932" s="2352" t="s">
        <v>13456</v>
      </c>
      <c r="E3932" s="355">
        <v>250</v>
      </c>
      <c r="F3932" s="1662">
        <v>0</v>
      </c>
    </row>
    <row r="3933" spans="1:6" ht="15" customHeight="1" x14ac:dyDescent="0.25">
      <c r="A3933" s="2352" t="s">
        <v>15170</v>
      </c>
      <c r="B3933" s="2352" t="s">
        <v>13386</v>
      </c>
      <c r="C3933" s="2352" t="s">
        <v>13386</v>
      </c>
      <c r="D3933" s="2352" t="s">
        <v>13457</v>
      </c>
      <c r="E3933" s="355">
        <v>250</v>
      </c>
      <c r="F3933" s="1662">
        <v>115</v>
      </c>
    </row>
    <row r="3934" spans="1:6" ht="15" customHeight="1" x14ac:dyDescent="0.25">
      <c r="A3934" s="2352" t="s">
        <v>15170</v>
      </c>
      <c r="B3934" s="2352" t="s">
        <v>13386</v>
      </c>
      <c r="C3934" s="2352" t="s">
        <v>13386</v>
      </c>
      <c r="D3934" s="2352" t="s">
        <v>13458</v>
      </c>
      <c r="E3934" s="355" t="s">
        <v>4199</v>
      </c>
      <c r="F3934" s="1662">
        <v>400</v>
      </c>
    </row>
    <row r="3935" spans="1:6" ht="15" customHeight="1" x14ac:dyDescent="0.25">
      <c r="A3935" s="2352" t="s">
        <v>15170</v>
      </c>
      <c r="B3935" s="2352" t="s">
        <v>13386</v>
      </c>
      <c r="C3935" s="2352" t="s">
        <v>13386</v>
      </c>
      <c r="D3935" s="2352" t="s">
        <v>13459</v>
      </c>
      <c r="E3935" s="355">
        <v>160</v>
      </c>
      <c r="F3935" s="1662">
        <v>87</v>
      </c>
    </row>
    <row r="3936" spans="1:6" ht="15" customHeight="1" x14ac:dyDescent="0.25">
      <c r="A3936" s="2352" t="s">
        <v>15171</v>
      </c>
      <c r="B3936" s="2352" t="s">
        <v>13386</v>
      </c>
      <c r="C3936" s="2352" t="s">
        <v>13386</v>
      </c>
      <c r="D3936" s="2352" t="s">
        <v>13460</v>
      </c>
      <c r="E3936" s="355">
        <v>250</v>
      </c>
      <c r="F3936" s="1662">
        <v>50</v>
      </c>
    </row>
    <row r="3937" spans="1:6" ht="15" customHeight="1" x14ac:dyDescent="0.25">
      <c r="A3937" s="2352" t="s">
        <v>15171</v>
      </c>
      <c r="B3937" s="2352" t="s">
        <v>13386</v>
      </c>
      <c r="C3937" s="2352" t="s">
        <v>13386</v>
      </c>
      <c r="D3937" s="2352" t="s">
        <v>13461</v>
      </c>
      <c r="E3937" s="355">
        <v>63</v>
      </c>
      <c r="F3937" s="1662">
        <v>10</v>
      </c>
    </row>
    <row r="3938" spans="1:6" ht="15" customHeight="1" x14ac:dyDescent="0.25">
      <c r="A3938" s="2352" t="s">
        <v>15171</v>
      </c>
      <c r="B3938" s="2352" t="s">
        <v>13386</v>
      </c>
      <c r="C3938" s="2352" t="s">
        <v>13386</v>
      </c>
      <c r="D3938" s="2352" t="s">
        <v>13462</v>
      </c>
      <c r="E3938" s="355">
        <v>250</v>
      </c>
      <c r="F3938" s="1662">
        <v>70</v>
      </c>
    </row>
    <row r="3939" spans="1:6" ht="15" customHeight="1" x14ac:dyDescent="0.25">
      <c r="A3939" s="2352" t="s">
        <v>15171</v>
      </c>
      <c r="B3939" s="2352" t="s">
        <v>13386</v>
      </c>
      <c r="C3939" s="2352" t="s">
        <v>13386</v>
      </c>
      <c r="D3939" s="2352" t="s">
        <v>13463</v>
      </c>
      <c r="E3939" s="355">
        <v>160</v>
      </c>
      <c r="F3939" s="1662">
        <v>130</v>
      </c>
    </row>
    <row r="3940" spans="1:6" ht="15" customHeight="1" x14ac:dyDescent="0.25">
      <c r="A3940" s="2352" t="s">
        <v>15172</v>
      </c>
      <c r="B3940" s="2352" t="s">
        <v>13386</v>
      </c>
      <c r="C3940" s="2352" t="s">
        <v>13386</v>
      </c>
      <c r="D3940" s="2352" t="s">
        <v>13464</v>
      </c>
      <c r="E3940" s="355">
        <v>400</v>
      </c>
      <c r="F3940" s="1662">
        <v>150</v>
      </c>
    </row>
    <row r="3941" spans="1:6" ht="15" customHeight="1" x14ac:dyDescent="0.25">
      <c r="A3941" s="2352" t="s">
        <v>15173</v>
      </c>
      <c r="B3941" s="2352" t="s">
        <v>13386</v>
      </c>
      <c r="C3941" s="2352" t="s">
        <v>13386</v>
      </c>
      <c r="D3941" s="2352" t="s">
        <v>13465</v>
      </c>
      <c r="E3941" s="355">
        <v>100</v>
      </c>
      <c r="F3941" s="1662">
        <v>40</v>
      </c>
    </row>
    <row r="3942" spans="1:6" ht="15" customHeight="1" x14ac:dyDescent="0.25">
      <c r="A3942" s="2352" t="s">
        <v>15173</v>
      </c>
      <c r="B3942" s="2352" t="s">
        <v>13386</v>
      </c>
      <c r="C3942" s="2352" t="s">
        <v>13386</v>
      </c>
      <c r="D3942" s="2352" t="s">
        <v>13466</v>
      </c>
      <c r="E3942" s="355">
        <v>63</v>
      </c>
      <c r="F3942" s="1662">
        <v>20</v>
      </c>
    </row>
    <row r="3943" spans="1:6" ht="15" customHeight="1" x14ac:dyDescent="0.25">
      <c r="A3943" s="2352" t="s">
        <v>15173</v>
      </c>
      <c r="B3943" s="2352" t="s">
        <v>13386</v>
      </c>
      <c r="C3943" s="2352" t="s">
        <v>13386</v>
      </c>
      <c r="D3943" s="2352" t="s">
        <v>13467</v>
      </c>
      <c r="E3943" s="355">
        <v>100</v>
      </c>
      <c r="F3943" s="1662">
        <v>20</v>
      </c>
    </row>
    <row r="3944" spans="1:6" ht="15" customHeight="1" x14ac:dyDescent="0.25">
      <c r="A3944" s="2352" t="s">
        <v>15174</v>
      </c>
      <c r="B3944" s="2352" t="s">
        <v>13386</v>
      </c>
      <c r="C3944" s="2352" t="s">
        <v>13386</v>
      </c>
      <c r="D3944" s="2352" t="s">
        <v>13468</v>
      </c>
      <c r="E3944" s="355">
        <v>400</v>
      </c>
      <c r="F3944" s="1662">
        <v>160</v>
      </c>
    </row>
    <row r="3945" spans="1:6" ht="15" customHeight="1" x14ac:dyDescent="0.25">
      <c r="A3945" s="2352" t="s">
        <v>15175</v>
      </c>
      <c r="B3945" s="2352" t="s">
        <v>13386</v>
      </c>
      <c r="C3945" s="2352" t="s">
        <v>13386</v>
      </c>
      <c r="D3945" s="2352" t="s">
        <v>13469</v>
      </c>
      <c r="E3945" s="355">
        <v>400</v>
      </c>
      <c r="F3945" s="1662">
        <v>150</v>
      </c>
    </row>
    <row r="3946" spans="1:6" ht="15" customHeight="1" x14ac:dyDescent="0.25">
      <c r="A3946" s="2352" t="s">
        <v>15176</v>
      </c>
      <c r="B3946" s="2352" t="s">
        <v>13386</v>
      </c>
      <c r="C3946" s="2352" t="s">
        <v>13386</v>
      </c>
      <c r="D3946" s="2352" t="s">
        <v>13470</v>
      </c>
      <c r="E3946" s="355">
        <v>250</v>
      </c>
      <c r="F3946" s="1662">
        <v>96</v>
      </c>
    </row>
    <row r="3947" spans="1:6" ht="15" customHeight="1" x14ac:dyDescent="0.25">
      <c r="A3947" s="2352" t="s">
        <v>15177</v>
      </c>
      <c r="B3947" s="2352" t="s">
        <v>13386</v>
      </c>
      <c r="C3947" s="2352" t="s">
        <v>13386</v>
      </c>
      <c r="D3947" s="2352" t="s">
        <v>13471</v>
      </c>
      <c r="E3947" s="355">
        <v>180</v>
      </c>
      <c r="F3947" s="1662">
        <v>30</v>
      </c>
    </row>
    <row r="3948" spans="1:6" ht="15" customHeight="1" x14ac:dyDescent="0.25">
      <c r="A3948" s="2352" t="s">
        <v>15178</v>
      </c>
      <c r="B3948" s="2352" t="s">
        <v>13386</v>
      </c>
      <c r="C3948" s="2352" t="s">
        <v>13386</v>
      </c>
      <c r="D3948" s="2352" t="s">
        <v>13472</v>
      </c>
      <c r="E3948" s="355">
        <v>250</v>
      </c>
      <c r="F3948" s="1662">
        <v>130</v>
      </c>
    </row>
    <row r="3949" spans="1:6" ht="15" customHeight="1" x14ac:dyDescent="0.25">
      <c r="A3949" s="2352" t="s">
        <v>15178</v>
      </c>
      <c r="B3949" s="2352" t="s">
        <v>13386</v>
      </c>
      <c r="C3949" s="2352" t="s">
        <v>13386</v>
      </c>
      <c r="D3949" s="2352" t="s">
        <v>13473</v>
      </c>
      <c r="E3949" s="355">
        <v>250</v>
      </c>
      <c r="F3949" s="1662">
        <v>150</v>
      </c>
    </row>
    <row r="3950" spans="1:6" ht="15" customHeight="1" x14ac:dyDescent="0.25">
      <c r="A3950" s="2352" t="s">
        <v>15178</v>
      </c>
      <c r="B3950" s="2352" t="s">
        <v>13386</v>
      </c>
      <c r="C3950" s="2352" t="s">
        <v>13386</v>
      </c>
      <c r="D3950" s="2352" t="s">
        <v>13474</v>
      </c>
      <c r="E3950" s="355" t="s">
        <v>13475</v>
      </c>
      <c r="F3950" s="1662">
        <v>400</v>
      </c>
    </row>
    <row r="3951" spans="1:6" ht="15" customHeight="1" x14ac:dyDescent="0.25">
      <c r="A3951" s="2352" t="s">
        <v>15178</v>
      </c>
      <c r="B3951" s="2352" t="s">
        <v>13386</v>
      </c>
      <c r="C3951" s="2352" t="s">
        <v>13386</v>
      </c>
      <c r="D3951" s="2352" t="s">
        <v>13476</v>
      </c>
      <c r="E3951" s="355">
        <v>400</v>
      </c>
      <c r="F3951" s="1662">
        <v>200</v>
      </c>
    </row>
    <row r="3952" spans="1:6" ht="15" customHeight="1" x14ac:dyDescent="0.25">
      <c r="A3952" s="2352" t="s">
        <v>15178</v>
      </c>
      <c r="B3952" s="2352" t="s">
        <v>13386</v>
      </c>
      <c r="C3952" s="2352" t="s">
        <v>13386</v>
      </c>
      <c r="D3952" s="2352" t="s">
        <v>13477</v>
      </c>
      <c r="E3952" s="355">
        <v>400</v>
      </c>
      <c r="F3952" s="1662">
        <v>200</v>
      </c>
    </row>
    <row r="3953" spans="1:6" ht="15" customHeight="1" x14ac:dyDescent="0.25">
      <c r="A3953" s="2352" t="s">
        <v>15178</v>
      </c>
      <c r="B3953" s="2352" t="s">
        <v>13386</v>
      </c>
      <c r="C3953" s="2352" t="s">
        <v>13386</v>
      </c>
      <c r="D3953" s="2352" t="s">
        <v>13478</v>
      </c>
      <c r="E3953" s="355">
        <v>400</v>
      </c>
      <c r="F3953" s="1662">
        <v>250</v>
      </c>
    </row>
    <row r="3954" spans="1:6" ht="15" customHeight="1" x14ac:dyDescent="0.25">
      <c r="A3954" s="2352" t="s">
        <v>15178</v>
      </c>
      <c r="B3954" s="2352" t="s">
        <v>13386</v>
      </c>
      <c r="C3954" s="2352" t="s">
        <v>13386</v>
      </c>
      <c r="D3954" s="2352" t="s">
        <v>13479</v>
      </c>
      <c r="E3954" s="355">
        <v>400</v>
      </c>
      <c r="F3954" s="1662">
        <v>270</v>
      </c>
    </row>
    <row r="3955" spans="1:6" ht="15" customHeight="1" x14ac:dyDescent="0.25">
      <c r="A3955" s="2352" t="s">
        <v>15178</v>
      </c>
      <c r="B3955" s="2352" t="s">
        <v>13386</v>
      </c>
      <c r="C3955" s="2352" t="s">
        <v>13386</v>
      </c>
      <c r="D3955" s="2352" t="s">
        <v>13480</v>
      </c>
      <c r="E3955" s="355" t="s">
        <v>12310</v>
      </c>
      <c r="F3955" s="1662">
        <v>320</v>
      </c>
    </row>
    <row r="3956" spans="1:6" ht="15" customHeight="1" x14ac:dyDescent="0.25">
      <c r="A3956" s="2352" t="s">
        <v>15178</v>
      </c>
      <c r="B3956" s="2352" t="s">
        <v>13386</v>
      </c>
      <c r="C3956" s="2352" t="s">
        <v>13386</v>
      </c>
      <c r="D3956" s="2352" t="s">
        <v>13481</v>
      </c>
      <c r="E3956" s="355" t="s">
        <v>11914</v>
      </c>
      <c r="F3956" s="1662">
        <v>400</v>
      </c>
    </row>
    <row r="3957" spans="1:6" ht="15" customHeight="1" x14ac:dyDescent="0.25">
      <c r="A3957" s="2352" t="s">
        <v>15178</v>
      </c>
      <c r="B3957" s="2352" t="s">
        <v>13386</v>
      </c>
      <c r="C3957" s="2352" t="s">
        <v>13386</v>
      </c>
      <c r="D3957" s="2352" t="s">
        <v>13482</v>
      </c>
      <c r="E3957" s="355">
        <v>160</v>
      </c>
      <c r="F3957" s="1662">
        <v>60</v>
      </c>
    </row>
    <row r="3958" spans="1:6" ht="15" customHeight="1" x14ac:dyDescent="0.25">
      <c r="A3958" s="2352" t="s">
        <v>15178</v>
      </c>
      <c r="B3958" s="2352" t="s">
        <v>13386</v>
      </c>
      <c r="C3958" s="2352" t="s">
        <v>13386</v>
      </c>
      <c r="D3958" s="2352" t="s">
        <v>13483</v>
      </c>
      <c r="E3958" s="355">
        <v>250</v>
      </c>
      <c r="F3958" s="1662">
        <v>150</v>
      </c>
    </row>
    <row r="3959" spans="1:6" ht="15" customHeight="1" x14ac:dyDescent="0.25">
      <c r="A3959" s="2352" t="s">
        <v>15178</v>
      </c>
      <c r="B3959" s="2352" t="s">
        <v>13386</v>
      </c>
      <c r="C3959" s="2352" t="s">
        <v>13386</v>
      </c>
      <c r="D3959" s="2352" t="s">
        <v>13484</v>
      </c>
      <c r="E3959" s="355">
        <v>250</v>
      </c>
      <c r="F3959" s="1662">
        <v>50</v>
      </c>
    </row>
    <row r="3960" spans="1:6" ht="15" customHeight="1" x14ac:dyDescent="0.25">
      <c r="A3960" s="2352" t="s">
        <v>15179</v>
      </c>
      <c r="B3960" s="2352" t="s">
        <v>13386</v>
      </c>
      <c r="C3960" s="2352" t="s">
        <v>13386</v>
      </c>
      <c r="D3960" s="2352" t="s">
        <v>13485</v>
      </c>
      <c r="E3960" s="355">
        <v>630</v>
      </c>
      <c r="F3960" s="1662">
        <v>230</v>
      </c>
    </row>
    <row r="3961" spans="1:6" ht="15" customHeight="1" x14ac:dyDescent="0.25">
      <c r="A3961" s="2352" t="s">
        <v>15179</v>
      </c>
      <c r="B3961" s="2352" t="s">
        <v>13386</v>
      </c>
      <c r="C3961" s="2352" t="s">
        <v>13386</v>
      </c>
      <c r="D3961" s="2352" t="s">
        <v>13486</v>
      </c>
      <c r="E3961" s="355">
        <v>400</v>
      </c>
      <c r="F3961" s="1662">
        <v>300</v>
      </c>
    </row>
    <row r="3962" spans="1:6" ht="15" customHeight="1" x14ac:dyDescent="0.25">
      <c r="A3962" s="2352" t="s">
        <v>15179</v>
      </c>
      <c r="B3962" s="2352" t="s">
        <v>13386</v>
      </c>
      <c r="C3962" s="2352" t="s">
        <v>13386</v>
      </c>
      <c r="D3962" s="2352" t="s">
        <v>13487</v>
      </c>
      <c r="E3962" s="355">
        <v>250</v>
      </c>
      <c r="F3962" s="1662">
        <v>43</v>
      </c>
    </row>
    <row r="3963" spans="1:6" ht="15" customHeight="1" x14ac:dyDescent="0.25">
      <c r="A3963" s="2352" t="s">
        <v>15179</v>
      </c>
      <c r="B3963" s="2352" t="s">
        <v>13386</v>
      </c>
      <c r="C3963" s="2352" t="s">
        <v>13386</v>
      </c>
      <c r="D3963" s="2352" t="s">
        <v>13488</v>
      </c>
      <c r="E3963" s="355">
        <v>250</v>
      </c>
      <c r="F3963" s="1662">
        <v>50</v>
      </c>
    </row>
    <row r="3964" spans="1:6" ht="15" customHeight="1" x14ac:dyDescent="0.25">
      <c r="A3964" s="2352" t="s">
        <v>13489</v>
      </c>
      <c r="B3964" s="2352" t="s">
        <v>13386</v>
      </c>
      <c r="C3964" s="2352" t="s">
        <v>13386</v>
      </c>
      <c r="D3964" s="2352" t="s">
        <v>13490</v>
      </c>
      <c r="E3964" s="355">
        <v>250</v>
      </c>
      <c r="F3964" s="1662">
        <v>0</v>
      </c>
    </row>
    <row r="3965" spans="1:6" ht="15" customHeight="1" x14ac:dyDescent="0.25">
      <c r="A3965" s="2352" t="s">
        <v>13489</v>
      </c>
      <c r="B3965" s="2352" t="s">
        <v>13386</v>
      </c>
      <c r="C3965" s="2352" t="s">
        <v>13386</v>
      </c>
      <c r="D3965" s="2352" t="s">
        <v>13491</v>
      </c>
      <c r="E3965" s="355">
        <v>63</v>
      </c>
      <c r="F3965" s="1662">
        <v>0</v>
      </c>
    </row>
    <row r="3966" spans="1:6" ht="15" customHeight="1" x14ac:dyDescent="0.25">
      <c r="A3966" s="2352" t="s">
        <v>13492</v>
      </c>
      <c r="B3966" s="2352" t="s">
        <v>13386</v>
      </c>
      <c r="C3966" s="2352" t="s">
        <v>13386</v>
      </c>
      <c r="D3966" s="2352" t="s">
        <v>13493</v>
      </c>
      <c r="E3966" s="355">
        <v>560</v>
      </c>
      <c r="F3966" s="1662">
        <v>200</v>
      </c>
    </row>
    <row r="3967" spans="1:6" ht="15" customHeight="1" x14ac:dyDescent="0.25">
      <c r="A3967" s="2352" t="s">
        <v>15180</v>
      </c>
      <c r="B3967" s="2352" t="s">
        <v>13386</v>
      </c>
      <c r="C3967" s="2352" t="s">
        <v>13386</v>
      </c>
      <c r="D3967" s="2352" t="s">
        <v>13494</v>
      </c>
      <c r="E3967" s="355" t="s">
        <v>5551</v>
      </c>
      <c r="F3967" s="1662">
        <v>630</v>
      </c>
    </row>
    <row r="3968" spans="1:6" ht="15" customHeight="1" x14ac:dyDescent="0.25">
      <c r="A3968" s="2352" t="s">
        <v>15180</v>
      </c>
      <c r="B3968" s="2352" t="s">
        <v>13386</v>
      </c>
      <c r="C3968" s="2352" t="s">
        <v>13386</v>
      </c>
      <c r="D3968" s="2352" t="s">
        <v>13495</v>
      </c>
      <c r="E3968" s="355" t="s">
        <v>5551</v>
      </c>
      <c r="F3968" s="1662">
        <v>630</v>
      </c>
    </row>
    <row r="3969" spans="1:6" ht="15" customHeight="1" x14ac:dyDescent="0.25">
      <c r="A3969" s="2352" t="s">
        <v>15181</v>
      </c>
      <c r="B3969" s="2352" t="s">
        <v>13386</v>
      </c>
      <c r="C3969" s="2352" t="s">
        <v>13386</v>
      </c>
      <c r="D3969" s="2352" t="s">
        <v>13496</v>
      </c>
      <c r="E3969" s="355">
        <v>630</v>
      </c>
      <c r="F3969" s="1662">
        <v>600</v>
      </c>
    </row>
    <row r="3970" spans="1:6" ht="15" customHeight="1" x14ac:dyDescent="0.25">
      <c r="A3970" s="2352" t="s">
        <v>6152</v>
      </c>
      <c r="B3970" s="2352" t="s">
        <v>13386</v>
      </c>
      <c r="C3970" s="2352" t="s">
        <v>13386</v>
      </c>
      <c r="D3970" s="2352" t="s">
        <v>13497</v>
      </c>
      <c r="E3970" s="355">
        <v>250</v>
      </c>
      <c r="F3970" s="1662">
        <v>0</v>
      </c>
    </row>
    <row r="3971" spans="1:6" ht="15" customHeight="1" x14ac:dyDescent="0.25">
      <c r="A3971" s="2352" t="s">
        <v>15182</v>
      </c>
      <c r="B3971" s="2352" t="s">
        <v>13386</v>
      </c>
      <c r="C3971" s="2352" t="s">
        <v>13386</v>
      </c>
      <c r="D3971" s="2352" t="s">
        <v>13498</v>
      </c>
      <c r="E3971" s="355">
        <v>250</v>
      </c>
      <c r="F3971" s="1662">
        <v>210</v>
      </c>
    </row>
    <row r="3972" spans="1:6" ht="15" customHeight="1" x14ac:dyDescent="0.25">
      <c r="A3972" s="2352" t="s">
        <v>15183</v>
      </c>
      <c r="B3972" s="2352" t="s">
        <v>13386</v>
      </c>
      <c r="C3972" s="2352" t="s">
        <v>13386</v>
      </c>
      <c r="D3972" s="2352" t="s">
        <v>13499</v>
      </c>
      <c r="E3972" s="355">
        <v>160</v>
      </c>
      <c r="F3972" s="1662">
        <v>5</v>
      </c>
    </row>
    <row r="3973" spans="1:6" ht="15" customHeight="1" x14ac:dyDescent="0.25">
      <c r="A3973" s="2352" t="s">
        <v>15184</v>
      </c>
      <c r="B3973" s="2352" t="s">
        <v>13386</v>
      </c>
      <c r="C3973" s="2352" t="s">
        <v>13386</v>
      </c>
      <c r="D3973" s="2352" t="s">
        <v>13500</v>
      </c>
      <c r="E3973" s="355">
        <v>160</v>
      </c>
      <c r="F3973" s="1662">
        <v>65</v>
      </c>
    </row>
    <row r="3974" spans="1:6" ht="15" customHeight="1" x14ac:dyDescent="0.25">
      <c r="A3974" s="2352" t="s">
        <v>15185</v>
      </c>
      <c r="B3974" s="2352" t="s">
        <v>13386</v>
      </c>
      <c r="C3974" s="2352" t="s">
        <v>13386</v>
      </c>
      <c r="D3974" s="2352" t="s">
        <v>13501</v>
      </c>
      <c r="E3974" s="355">
        <v>160</v>
      </c>
      <c r="F3974" s="1662">
        <v>43</v>
      </c>
    </row>
    <row r="3975" spans="1:6" ht="15" customHeight="1" x14ac:dyDescent="0.25">
      <c r="A3975" s="2352" t="s">
        <v>15186</v>
      </c>
      <c r="B3975" s="2352" t="s">
        <v>13386</v>
      </c>
      <c r="C3975" s="2352" t="s">
        <v>13386</v>
      </c>
      <c r="D3975" s="2352" t="s">
        <v>13502</v>
      </c>
      <c r="E3975" s="355">
        <v>250</v>
      </c>
      <c r="F3975" s="1662">
        <v>80</v>
      </c>
    </row>
    <row r="3976" spans="1:6" ht="15" customHeight="1" x14ac:dyDescent="0.25">
      <c r="A3976" s="2352" t="s">
        <v>15182</v>
      </c>
      <c r="B3976" s="2352" t="s">
        <v>13386</v>
      </c>
      <c r="C3976" s="2352" t="s">
        <v>13386</v>
      </c>
      <c r="D3976" s="2352" t="s">
        <v>13503</v>
      </c>
      <c r="E3976" s="355">
        <v>400</v>
      </c>
      <c r="F3976" s="1662">
        <v>285</v>
      </c>
    </row>
    <row r="3977" spans="1:6" ht="15" customHeight="1" x14ac:dyDescent="0.25">
      <c r="A3977" s="2352" t="s">
        <v>15187</v>
      </c>
      <c r="B3977" s="2352" t="s">
        <v>13386</v>
      </c>
      <c r="C3977" s="2352" t="s">
        <v>13386</v>
      </c>
      <c r="D3977" s="2352" t="s">
        <v>13504</v>
      </c>
      <c r="E3977" s="355">
        <v>160</v>
      </c>
      <c r="F3977" s="1662">
        <v>60</v>
      </c>
    </row>
    <row r="3978" spans="1:6" ht="15" customHeight="1" x14ac:dyDescent="0.25">
      <c r="A3978" s="2352" t="s">
        <v>15187</v>
      </c>
      <c r="B3978" s="2352" t="s">
        <v>13386</v>
      </c>
      <c r="C3978" s="2352" t="s">
        <v>13386</v>
      </c>
      <c r="D3978" s="2352" t="s">
        <v>13505</v>
      </c>
      <c r="E3978" s="355">
        <v>250</v>
      </c>
      <c r="F3978" s="1662">
        <v>100</v>
      </c>
    </row>
    <row r="3979" spans="1:6" ht="15" customHeight="1" x14ac:dyDescent="0.25">
      <c r="A3979" s="2352" t="s">
        <v>15188</v>
      </c>
      <c r="B3979" s="2352" t="s">
        <v>13386</v>
      </c>
      <c r="C3979" s="2352" t="s">
        <v>13386</v>
      </c>
      <c r="D3979" s="2352" t="s">
        <v>13506</v>
      </c>
      <c r="E3979" s="355">
        <v>160</v>
      </c>
      <c r="F3979" s="1662">
        <v>151</v>
      </c>
    </row>
    <row r="3980" spans="1:6" ht="15" customHeight="1" x14ac:dyDescent="0.25">
      <c r="A3980" s="2352" t="s">
        <v>15188</v>
      </c>
      <c r="B3980" s="2352" t="s">
        <v>13386</v>
      </c>
      <c r="C3980" s="2352" t="s">
        <v>13386</v>
      </c>
      <c r="D3980" s="2352" t="s">
        <v>13507</v>
      </c>
      <c r="E3980" s="355">
        <v>630</v>
      </c>
      <c r="F3980" s="1662">
        <v>230</v>
      </c>
    </row>
    <row r="3981" spans="1:6" ht="15" customHeight="1" x14ac:dyDescent="0.25">
      <c r="A3981" s="2352" t="s">
        <v>15189</v>
      </c>
      <c r="B3981" s="2352" t="s">
        <v>13386</v>
      </c>
      <c r="C3981" s="2352" t="s">
        <v>13386</v>
      </c>
      <c r="D3981" s="2352" t="s">
        <v>13508</v>
      </c>
      <c r="E3981" s="355">
        <v>400</v>
      </c>
      <c r="F3981" s="1662">
        <v>200</v>
      </c>
    </row>
    <row r="3982" spans="1:6" ht="15" customHeight="1" x14ac:dyDescent="0.25">
      <c r="A3982" s="2352" t="s">
        <v>15189</v>
      </c>
      <c r="B3982" s="2352" t="s">
        <v>13386</v>
      </c>
      <c r="C3982" s="2352" t="s">
        <v>13386</v>
      </c>
      <c r="D3982" s="2352" t="s">
        <v>13509</v>
      </c>
      <c r="E3982" s="355">
        <v>250</v>
      </c>
      <c r="F3982" s="1662">
        <v>60</v>
      </c>
    </row>
    <row r="3983" spans="1:6" ht="15" customHeight="1" x14ac:dyDescent="0.25">
      <c r="A3983" s="2352" t="s">
        <v>15189</v>
      </c>
      <c r="B3983" s="2352" t="s">
        <v>13386</v>
      </c>
      <c r="C3983" s="2352" t="s">
        <v>13386</v>
      </c>
      <c r="D3983" s="2352" t="s">
        <v>13510</v>
      </c>
      <c r="E3983" s="355" t="s">
        <v>4199</v>
      </c>
      <c r="F3983" s="1662" t="s">
        <v>13475</v>
      </c>
    </row>
    <row r="3984" spans="1:6" ht="15" customHeight="1" x14ac:dyDescent="0.25">
      <c r="A3984" s="2352" t="s">
        <v>15181</v>
      </c>
      <c r="B3984" s="2352" t="s">
        <v>13386</v>
      </c>
      <c r="C3984" s="2352" t="s">
        <v>13386</v>
      </c>
      <c r="D3984" s="2352" t="s">
        <v>13511</v>
      </c>
      <c r="E3984" s="355">
        <v>100</v>
      </c>
      <c r="F3984" s="1662">
        <v>63</v>
      </c>
    </row>
    <row r="3985" spans="1:6" ht="15" customHeight="1" x14ac:dyDescent="0.25">
      <c r="A3985" s="2352" t="s">
        <v>15190</v>
      </c>
      <c r="B3985" s="2352" t="s">
        <v>13386</v>
      </c>
      <c r="C3985" s="2352" t="s">
        <v>13386</v>
      </c>
      <c r="D3985" s="2352" t="s">
        <v>13512</v>
      </c>
      <c r="E3985" s="355">
        <v>160</v>
      </c>
      <c r="F3985" s="1662">
        <v>14</v>
      </c>
    </row>
    <row r="3986" spans="1:6" ht="15" customHeight="1" x14ac:dyDescent="0.25">
      <c r="A3986" s="2352" t="s">
        <v>15181</v>
      </c>
      <c r="B3986" s="2352" t="s">
        <v>13386</v>
      </c>
      <c r="C3986" s="2352" t="s">
        <v>13386</v>
      </c>
      <c r="D3986" s="2352" t="s">
        <v>13513</v>
      </c>
      <c r="E3986" s="355" t="s">
        <v>4202</v>
      </c>
      <c r="F3986" s="1662" t="s">
        <v>13514</v>
      </c>
    </row>
    <row r="3987" spans="1:6" ht="15" customHeight="1" x14ac:dyDescent="0.25">
      <c r="A3987" s="2352" t="s">
        <v>15187</v>
      </c>
      <c r="B3987" s="2352" t="s">
        <v>13386</v>
      </c>
      <c r="C3987" s="2352" t="s">
        <v>13386</v>
      </c>
      <c r="D3987" s="2352" t="s">
        <v>13515</v>
      </c>
      <c r="E3987" s="355">
        <v>63</v>
      </c>
      <c r="F3987" s="1662">
        <v>0</v>
      </c>
    </row>
    <row r="3988" spans="1:6" ht="15" customHeight="1" x14ac:dyDescent="0.25">
      <c r="A3988" s="2352" t="s">
        <v>15187</v>
      </c>
      <c r="B3988" s="2352" t="s">
        <v>13386</v>
      </c>
      <c r="C3988" s="2352" t="s">
        <v>13386</v>
      </c>
      <c r="D3988" s="2352" t="s">
        <v>13516</v>
      </c>
      <c r="E3988" s="355">
        <v>25</v>
      </c>
      <c r="F3988" s="1662">
        <v>5</v>
      </c>
    </row>
    <row r="3989" spans="1:6" ht="15" customHeight="1" x14ac:dyDescent="0.25">
      <c r="A3989" s="2352" t="s">
        <v>6509</v>
      </c>
      <c r="B3989" s="2352" t="s">
        <v>13386</v>
      </c>
      <c r="C3989" s="2352" t="s">
        <v>13386</v>
      </c>
      <c r="D3989" s="2352" t="s">
        <v>13517</v>
      </c>
      <c r="E3989" s="355" t="s">
        <v>4200</v>
      </c>
      <c r="F3989" s="1662">
        <v>160</v>
      </c>
    </row>
    <row r="3990" spans="1:6" ht="15" customHeight="1" x14ac:dyDescent="0.25">
      <c r="A3990" s="2352" t="s">
        <v>6509</v>
      </c>
      <c r="B3990" s="2352" t="s">
        <v>13386</v>
      </c>
      <c r="C3990" s="2352" t="s">
        <v>13386</v>
      </c>
      <c r="D3990" s="2352" t="s">
        <v>13518</v>
      </c>
      <c r="E3990" s="355">
        <v>160</v>
      </c>
      <c r="F3990" s="1662">
        <v>20</v>
      </c>
    </row>
    <row r="3991" spans="1:6" ht="15" customHeight="1" x14ac:dyDescent="0.25">
      <c r="A3991" s="2352" t="s">
        <v>14503</v>
      </c>
      <c r="B3991" s="2352" t="s">
        <v>13386</v>
      </c>
      <c r="C3991" s="2352" t="s">
        <v>13386</v>
      </c>
      <c r="D3991" s="2352" t="s">
        <v>13519</v>
      </c>
      <c r="E3991" s="355">
        <v>100</v>
      </c>
      <c r="F3991" s="1662">
        <v>18</v>
      </c>
    </row>
    <row r="3992" spans="1:6" ht="15" customHeight="1" x14ac:dyDescent="0.25">
      <c r="A3992" s="2352" t="s">
        <v>14503</v>
      </c>
      <c r="B3992" s="2352" t="s">
        <v>13386</v>
      </c>
      <c r="C3992" s="2352" t="s">
        <v>13386</v>
      </c>
      <c r="D3992" s="2352" t="s">
        <v>13520</v>
      </c>
      <c r="E3992" s="355">
        <v>160</v>
      </c>
      <c r="F3992" s="1662">
        <v>100</v>
      </c>
    </row>
    <row r="3993" spans="1:6" ht="15" customHeight="1" x14ac:dyDescent="0.25">
      <c r="A3993" s="2352" t="s">
        <v>14503</v>
      </c>
      <c r="B3993" s="2352" t="s">
        <v>13386</v>
      </c>
      <c r="C3993" s="2352" t="s">
        <v>13386</v>
      </c>
      <c r="D3993" s="2352" t="s">
        <v>13521</v>
      </c>
      <c r="E3993" s="355">
        <v>400</v>
      </c>
      <c r="F3993" s="1662">
        <v>400</v>
      </c>
    </row>
    <row r="3994" spans="1:6" ht="15" customHeight="1" x14ac:dyDescent="0.25">
      <c r="A3994" s="2352" t="s">
        <v>15191</v>
      </c>
      <c r="B3994" s="2352" t="s">
        <v>13386</v>
      </c>
      <c r="C3994" s="2352" t="s">
        <v>13386</v>
      </c>
      <c r="D3994" s="2352" t="s">
        <v>13522</v>
      </c>
      <c r="E3994" s="355">
        <v>100</v>
      </c>
      <c r="F3994" s="1662">
        <v>30</v>
      </c>
    </row>
    <row r="3995" spans="1:6" ht="15" customHeight="1" x14ac:dyDescent="0.25">
      <c r="A3995" s="2352" t="s">
        <v>15192</v>
      </c>
      <c r="B3995" s="2352" t="s">
        <v>13386</v>
      </c>
      <c r="C3995" s="2352" t="s">
        <v>13386</v>
      </c>
      <c r="D3995" s="2352" t="s">
        <v>13523</v>
      </c>
      <c r="E3995" s="355">
        <v>250</v>
      </c>
      <c r="F3995" s="1662">
        <v>90</v>
      </c>
    </row>
    <row r="3996" spans="1:6" ht="15" customHeight="1" x14ac:dyDescent="0.25">
      <c r="A3996" s="2352" t="s">
        <v>15193</v>
      </c>
      <c r="B3996" s="2352" t="s">
        <v>12374</v>
      </c>
      <c r="C3996" s="2352" t="s">
        <v>13386</v>
      </c>
      <c r="D3996" s="2352" t="s">
        <v>13524</v>
      </c>
      <c r="E3996" s="355">
        <v>160</v>
      </c>
      <c r="F3996" s="1662">
        <v>45</v>
      </c>
    </row>
    <row r="3997" spans="1:6" ht="15" customHeight="1" x14ac:dyDescent="0.25">
      <c r="A3997" s="2352" t="s">
        <v>15194</v>
      </c>
      <c r="B3997" s="2352" t="s">
        <v>12374</v>
      </c>
      <c r="C3997" s="2352" t="s">
        <v>13386</v>
      </c>
      <c r="D3997" s="2352" t="s">
        <v>13525</v>
      </c>
      <c r="E3997" s="355">
        <v>180</v>
      </c>
      <c r="F3997" s="1662">
        <v>110</v>
      </c>
    </row>
    <row r="3998" spans="1:6" ht="15" customHeight="1" x14ac:dyDescent="0.25">
      <c r="A3998" s="2352" t="s">
        <v>15195</v>
      </c>
      <c r="B3998" s="2352" t="s">
        <v>12374</v>
      </c>
      <c r="C3998" s="2352" t="s">
        <v>13386</v>
      </c>
      <c r="D3998" s="2352" t="s">
        <v>13526</v>
      </c>
      <c r="E3998" s="355">
        <v>100</v>
      </c>
      <c r="F3998" s="1662">
        <v>60</v>
      </c>
    </row>
    <row r="3999" spans="1:6" ht="15" customHeight="1" x14ac:dyDescent="0.25">
      <c r="A3999" s="2352" t="s">
        <v>15196</v>
      </c>
      <c r="B3999" s="2352" t="s">
        <v>12374</v>
      </c>
      <c r="C3999" s="2352" t="s">
        <v>13386</v>
      </c>
      <c r="D3999" s="2352" t="s">
        <v>13527</v>
      </c>
      <c r="E3999" s="355">
        <v>100</v>
      </c>
      <c r="F3999" s="1662">
        <v>57</v>
      </c>
    </row>
    <row r="4000" spans="1:6" ht="15" customHeight="1" x14ac:dyDescent="0.25">
      <c r="A4000" s="2352" t="s">
        <v>15197</v>
      </c>
      <c r="B4000" s="2352" t="s">
        <v>12374</v>
      </c>
      <c r="C4000" s="2352" t="s">
        <v>13386</v>
      </c>
      <c r="D4000" s="2352" t="s">
        <v>13528</v>
      </c>
      <c r="E4000" s="355">
        <v>250</v>
      </c>
      <c r="F4000" s="1662">
        <v>200</v>
      </c>
    </row>
    <row r="4001" spans="1:6" ht="15" customHeight="1" x14ac:dyDescent="0.25">
      <c r="A4001" s="2352" t="s">
        <v>15197</v>
      </c>
      <c r="B4001" s="2352" t="s">
        <v>12374</v>
      </c>
      <c r="C4001" s="2352" t="s">
        <v>13386</v>
      </c>
      <c r="D4001" s="2352" t="s">
        <v>13529</v>
      </c>
      <c r="E4001" s="355">
        <v>100</v>
      </c>
      <c r="F4001" s="1662">
        <v>5</v>
      </c>
    </row>
    <row r="4002" spans="1:6" ht="15" customHeight="1" x14ac:dyDescent="0.25">
      <c r="A4002" s="2352" t="s">
        <v>15198</v>
      </c>
      <c r="B4002" s="2352" t="s">
        <v>12374</v>
      </c>
      <c r="C4002" s="2352" t="s">
        <v>13386</v>
      </c>
      <c r="D4002" s="2352" t="s">
        <v>13530</v>
      </c>
      <c r="E4002" s="355">
        <v>50</v>
      </c>
      <c r="F4002" s="1662">
        <v>5</v>
      </c>
    </row>
    <row r="4003" spans="1:6" ht="15" customHeight="1" x14ac:dyDescent="0.25">
      <c r="A4003" s="2352" t="s">
        <v>15199</v>
      </c>
      <c r="B4003" s="2352" t="s">
        <v>12374</v>
      </c>
      <c r="C4003" s="2352" t="s">
        <v>13386</v>
      </c>
      <c r="D4003" s="2352" t="s">
        <v>13531</v>
      </c>
      <c r="E4003" s="355">
        <v>100</v>
      </c>
      <c r="F4003" s="1662">
        <v>75</v>
      </c>
    </row>
    <row r="4004" spans="1:6" ht="15" customHeight="1" x14ac:dyDescent="0.25">
      <c r="A4004" s="2352" t="s">
        <v>15200</v>
      </c>
      <c r="B4004" s="2352" t="s">
        <v>12374</v>
      </c>
      <c r="C4004" s="2352" t="s">
        <v>13386</v>
      </c>
      <c r="D4004" s="2352" t="s">
        <v>13532</v>
      </c>
      <c r="E4004" s="355">
        <v>100</v>
      </c>
      <c r="F4004" s="1662">
        <v>0</v>
      </c>
    </row>
    <row r="4005" spans="1:6" ht="15" customHeight="1" x14ac:dyDescent="0.25">
      <c r="A4005" s="2352" t="s">
        <v>15200</v>
      </c>
      <c r="B4005" s="2352" t="s">
        <v>12374</v>
      </c>
      <c r="C4005" s="2352" t="s">
        <v>13386</v>
      </c>
      <c r="D4005" s="2352" t="s">
        <v>13533</v>
      </c>
      <c r="E4005" s="355">
        <v>100</v>
      </c>
      <c r="F4005" s="1662">
        <v>0</v>
      </c>
    </row>
    <row r="4006" spans="1:6" ht="15" customHeight="1" x14ac:dyDescent="0.25">
      <c r="A4006" s="2352" t="s">
        <v>15201</v>
      </c>
      <c r="B4006" s="2352" t="s">
        <v>12374</v>
      </c>
      <c r="C4006" s="2352" t="s">
        <v>13386</v>
      </c>
      <c r="D4006" s="2352" t="s">
        <v>13534</v>
      </c>
      <c r="E4006" s="355">
        <v>100</v>
      </c>
      <c r="F4006" s="1662">
        <v>30</v>
      </c>
    </row>
    <row r="4007" spans="1:6" ht="15" customHeight="1" x14ac:dyDescent="0.25">
      <c r="A4007" s="2352" t="s">
        <v>15201</v>
      </c>
      <c r="B4007" s="2352" t="s">
        <v>12374</v>
      </c>
      <c r="C4007" s="2352" t="s">
        <v>13386</v>
      </c>
      <c r="D4007" s="2352" t="s">
        <v>13535</v>
      </c>
      <c r="E4007" s="355">
        <v>100</v>
      </c>
      <c r="F4007" s="1662">
        <v>40</v>
      </c>
    </row>
    <row r="4008" spans="1:6" ht="15" customHeight="1" x14ac:dyDescent="0.25">
      <c r="A4008" s="2352" t="s">
        <v>15202</v>
      </c>
      <c r="B4008" s="2352" t="s">
        <v>12374</v>
      </c>
      <c r="C4008" s="2352" t="s">
        <v>13386</v>
      </c>
      <c r="D4008" s="2352" t="s">
        <v>13536</v>
      </c>
      <c r="E4008" s="355">
        <v>63</v>
      </c>
      <c r="F4008" s="1662">
        <v>5</v>
      </c>
    </row>
    <row r="4009" spans="1:6" ht="15" customHeight="1" x14ac:dyDescent="0.25">
      <c r="A4009" s="2352" t="s">
        <v>15203</v>
      </c>
      <c r="B4009" s="2352" t="s">
        <v>12374</v>
      </c>
      <c r="C4009" s="2352" t="s">
        <v>13386</v>
      </c>
      <c r="D4009" s="2352" t="s">
        <v>13537</v>
      </c>
      <c r="E4009" s="355">
        <v>100</v>
      </c>
      <c r="F4009" s="1662">
        <v>50</v>
      </c>
    </row>
    <row r="4010" spans="1:6" ht="15" customHeight="1" x14ac:dyDescent="0.25">
      <c r="A4010" s="2352" t="s">
        <v>15204</v>
      </c>
      <c r="B4010" s="2352" t="s">
        <v>13386</v>
      </c>
      <c r="C4010" s="2352" t="s">
        <v>13386</v>
      </c>
      <c r="D4010" s="2352" t="s">
        <v>13538</v>
      </c>
      <c r="E4010" s="355">
        <v>100</v>
      </c>
      <c r="F4010" s="1662">
        <v>20</v>
      </c>
    </row>
    <row r="4011" spans="1:6" ht="15" customHeight="1" x14ac:dyDescent="0.25">
      <c r="A4011" s="2352" t="s">
        <v>15205</v>
      </c>
      <c r="B4011" s="2352" t="s">
        <v>12374</v>
      </c>
      <c r="C4011" s="2352" t="s">
        <v>13386</v>
      </c>
      <c r="D4011" s="2352" t="s">
        <v>13539</v>
      </c>
      <c r="E4011" s="355">
        <v>160</v>
      </c>
      <c r="F4011" s="1662">
        <v>90</v>
      </c>
    </row>
    <row r="4012" spans="1:6" ht="15" customHeight="1" x14ac:dyDescent="0.25">
      <c r="A4012" s="2352" t="s">
        <v>15204</v>
      </c>
      <c r="B4012" s="2352" t="s">
        <v>13386</v>
      </c>
      <c r="C4012" s="2352" t="s">
        <v>13386</v>
      </c>
      <c r="D4012" s="2352" t="s">
        <v>13540</v>
      </c>
      <c r="E4012" s="355">
        <v>400</v>
      </c>
      <c r="F4012" s="1662">
        <v>100</v>
      </c>
    </row>
    <row r="4013" spans="1:6" ht="15" customHeight="1" x14ac:dyDescent="0.25">
      <c r="A4013" s="2352" t="s">
        <v>15204</v>
      </c>
      <c r="B4013" s="2352" t="s">
        <v>13386</v>
      </c>
      <c r="C4013" s="2352" t="s">
        <v>13386</v>
      </c>
      <c r="D4013" s="2352" t="s">
        <v>13541</v>
      </c>
      <c r="E4013" s="355">
        <v>160</v>
      </c>
      <c r="F4013" s="1662">
        <v>90</v>
      </c>
    </row>
    <row r="4014" spans="1:6" ht="15" customHeight="1" x14ac:dyDescent="0.25">
      <c r="A4014" s="2352" t="s">
        <v>15204</v>
      </c>
      <c r="B4014" s="2352" t="s">
        <v>13386</v>
      </c>
      <c r="C4014" s="2352" t="s">
        <v>13386</v>
      </c>
      <c r="D4014" s="2352" t="s">
        <v>13542</v>
      </c>
      <c r="E4014" s="355">
        <v>320</v>
      </c>
      <c r="F4014" s="1662">
        <v>16</v>
      </c>
    </row>
    <row r="4015" spans="1:6" ht="15" customHeight="1" x14ac:dyDescent="0.25">
      <c r="A4015" s="2352" t="s">
        <v>15204</v>
      </c>
      <c r="B4015" s="2352" t="s">
        <v>13386</v>
      </c>
      <c r="C4015" s="2352" t="s">
        <v>13386</v>
      </c>
      <c r="D4015" s="2352" t="s">
        <v>13543</v>
      </c>
      <c r="E4015" s="355">
        <v>25</v>
      </c>
      <c r="F4015" s="1662">
        <v>1</v>
      </c>
    </row>
    <row r="4016" spans="1:6" ht="15" customHeight="1" x14ac:dyDescent="0.25">
      <c r="A4016" s="2352" t="s">
        <v>15206</v>
      </c>
      <c r="B4016" s="2352" t="s">
        <v>13386</v>
      </c>
      <c r="C4016" s="2352" t="s">
        <v>13386</v>
      </c>
      <c r="D4016" s="2352" t="s">
        <v>13544</v>
      </c>
      <c r="E4016" s="355">
        <v>160</v>
      </c>
      <c r="F4016" s="1662">
        <v>48</v>
      </c>
    </row>
    <row r="4017" spans="1:6" ht="15" customHeight="1" x14ac:dyDescent="0.25">
      <c r="A4017" s="2352" t="s">
        <v>15207</v>
      </c>
      <c r="B4017" s="2352" t="s">
        <v>13386</v>
      </c>
      <c r="C4017" s="2352" t="s">
        <v>13386</v>
      </c>
      <c r="D4017" s="2352" t="s">
        <v>13545</v>
      </c>
      <c r="E4017" s="355">
        <v>100</v>
      </c>
      <c r="F4017" s="1662">
        <v>0</v>
      </c>
    </row>
    <row r="4018" spans="1:6" ht="15" customHeight="1" x14ac:dyDescent="0.25">
      <c r="A4018" s="2352" t="s">
        <v>15208</v>
      </c>
      <c r="B4018" s="2352" t="s">
        <v>13386</v>
      </c>
      <c r="C4018" s="2352" t="s">
        <v>13386</v>
      </c>
      <c r="D4018" s="2352" t="s">
        <v>13546</v>
      </c>
      <c r="E4018" s="355">
        <v>63</v>
      </c>
      <c r="F4018" s="1662">
        <v>0</v>
      </c>
    </row>
    <row r="4019" spans="1:6" ht="15" customHeight="1" x14ac:dyDescent="0.25">
      <c r="A4019" s="2352" t="s">
        <v>15208</v>
      </c>
      <c r="B4019" s="2352" t="s">
        <v>13386</v>
      </c>
      <c r="C4019" s="2352" t="s">
        <v>13386</v>
      </c>
      <c r="D4019" s="2352" t="s">
        <v>13547</v>
      </c>
      <c r="E4019" s="355">
        <v>250</v>
      </c>
      <c r="F4019" s="1662">
        <v>225</v>
      </c>
    </row>
    <row r="4020" spans="1:6" ht="15" customHeight="1" x14ac:dyDescent="0.25">
      <c r="A4020" s="2352" t="s">
        <v>15209</v>
      </c>
      <c r="B4020" s="2352" t="s">
        <v>13386</v>
      </c>
      <c r="C4020" s="2352" t="s">
        <v>13386</v>
      </c>
      <c r="D4020" s="2352" t="s">
        <v>13548</v>
      </c>
      <c r="E4020" s="355">
        <v>50</v>
      </c>
      <c r="F4020" s="1662">
        <v>15</v>
      </c>
    </row>
    <row r="4021" spans="1:6" ht="15" customHeight="1" x14ac:dyDescent="0.25">
      <c r="A4021" s="2352" t="s">
        <v>15210</v>
      </c>
      <c r="B4021" s="2352" t="s">
        <v>13386</v>
      </c>
      <c r="C4021" s="2352" t="s">
        <v>13386</v>
      </c>
      <c r="D4021" s="2352" t="s">
        <v>13549</v>
      </c>
      <c r="E4021" s="355">
        <v>160</v>
      </c>
      <c r="F4021" s="1662">
        <v>20</v>
      </c>
    </row>
    <row r="4022" spans="1:6" ht="15" customHeight="1" x14ac:dyDescent="0.25">
      <c r="A4022" s="2352" t="s">
        <v>15211</v>
      </c>
      <c r="B4022" s="2352" t="s">
        <v>13386</v>
      </c>
      <c r="C4022" s="2352" t="s">
        <v>13386</v>
      </c>
      <c r="D4022" s="2352" t="s">
        <v>13550</v>
      </c>
      <c r="E4022" s="355">
        <v>100</v>
      </c>
      <c r="F4022" s="1662">
        <v>50</v>
      </c>
    </row>
    <row r="4023" spans="1:6" ht="15" customHeight="1" x14ac:dyDescent="0.25">
      <c r="A4023" s="2352" t="s">
        <v>15212</v>
      </c>
      <c r="B4023" s="2352" t="s">
        <v>13386</v>
      </c>
      <c r="C4023" s="2352" t="s">
        <v>13386</v>
      </c>
      <c r="D4023" s="2352" t="s">
        <v>13551</v>
      </c>
      <c r="E4023" s="355">
        <v>250</v>
      </c>
      <c r="F4023" s="1662">
        <v>50</v>
      </c>
    </row>
    <row r="4024" spans="1:6" ht="15" customHeight="1" x14ac:dyDescent="0.25">
      <c r="A4024" s="2352" t="s">
        <v>15212</v>
      </c>
      <c r="B4024" s="2352" t="s">
        <v>13386</v>
      </c>
      <c r="C4024" s="2352" t="s">
        <v>13386</v>
      </c>
      <c r="D4024" s="2352" t="s">
        <v>13552</v>
      </c>
      <c r="E4024" s="355" t="s">
        <v>5551</v>
      </c>
      <c r="F4024" s="1662" t="s">
        <v>4862</v>
      </c>
    </row>
    <row r="4025" spans="1:6" ht="15" customHeight="1" x14ac:dyDescent="0.25">
      <c r="A4025" s="2352" t="s">
        <v>15212</v>
      </c>
      <c r="B4025" s="2352" t="s">
        <v>13386</v>
      </c>
      <c r="C4025" s="2352" t="s">
        <v>13386</v>
      </c>
      <c r="D4025" s="2352" t="s">
        <v>13553</v>
      </c>
      <c r="E4025" s="355" t="s">
        <v>5551</v>
      </c>
      <c r="F4025" s="1662" t="s">
        <v>4862</v>
      </c>
    </row>
    <row r="4026" spans="1:6" ht="15" customHeight="1" x14ac:dyDescent="0.25">
      <c r="A4026" s="2352" t="s">
        <v>15213</v>
      </c>
      <c r="B4026" s="2352" t="s">
        <v>13386</v>
      </c>
      <c r="C4026" s="2352" t="s">
        <v>13386</v>
      </c>
      <c r="D4026" s="2352" t="s">
        <v>13554</v>
      </c>
      <c r="E4026" s="355">
        <v>100</v>
      </c>
      <c r="F4026" s="1662">
        <v>10</v>
      </c>
    </row>
    <row r="4027" spans="1:6" ht="15" customHeight="1" x14ac:dyDescent="0.25">
      <c r="A4027" s="2352" t="s">
        <v>13557</v>
      </c>
      <c r="B4027" s="2352" t="s">
        <v>13386</v>
      </c>
      <c r="C4027" s="2352" t="s">
        <v>13386</v>
      </c>
      <c r="D4027" s="2352" t="s">
        <v>13555</v>
      </c>
      <c r="E4027" s="355" t="s">
        <v>4202</v>
      </c>
      <c r="F4027" s="1662" t="s">
        <v>4861</v>
      </c>
    </row>
    <row r="4028" spans="1:6" ht="15" customHeight="1" x14ac:dyDescent="0.25">
      <c r="A4028" s="2352" t="s">
        <v>13557</v>
      </c>
      <c r="B4028" s="2352" t="s">
        <v>13386</v>
      </c>
      <c r="C4028" s="2352" t="s">
        <v>13386</v>
      </c>
      <c r="D4028" s="2352" t="s">
        <v>13556</v>
      </c>
      <c r="E4028" s="355">
        <v>250</v>
      </c>
      <c r="F4028" s="1662">
        <v>39</v>
      </c>
    </row>
    <row r="4029" spans="1:6" ht="15" customHeight="1" x14ac:dyDescent="0.25">
      <c r="A4029" s="2352" t="s">
        <v>13557</v>
      </c>
      <c r="B4029" s="2352" t="s">
        <v>13386</v>
      </c>
      <c r="C4029" s="2352" t="s">
        <v>13386</v>
      </c>
      <c r="D4029" s="2352" t="s">
        <v>13558</v>
      </c>
      <c r="E4029" s="355">
        <v>250</v>
      </c>
      <c r="F4029" s="1662">
        <v>120</v>
      </c>
    </row>
    <row r="4030" spans="1:6" ht="15" customHeight="1" x14ac:dyDescent="0.25">
      <c r="A4030" s="2352" t="s">
        <v>13557</v>
      </c>
      <c r="B4030" s="2352" t="s">
        <v>13386</v>
      </c>
      <c r="C4030" s="2352" t="s">
        <v>13386</v>
      </c>
      <c r="D4030" s="2352" t="s">
        <v>13559</v>
      </c>
      <c r="E4030" s="355">
        <v>250</v>
      </c>
      <c r="F4030" s="1662">
        <v>50</v>
      </c>
    </row>
    <row r="4031" spans="1:6" ht="15" customHeight="1" x14ac:dyDescent="0.25">
      <c r="A4031" s="2352" t="s">
        <v>13557</v>
      </c>
      <c r="B4031" s="2352" t="s">
        <v>13386</v>
      </c>
      <c r="C4031" s="2352" t="s">
        <v>13386</v>
      </c>
      <c r="D4031" s="2352" t="s">
        <v>13560</v>
      </c>
      <c r="E4031" s="355">
        <v>250</v>
      </c>
      <c r="F4031" s="1662">
        <v>150</v>
      </c>
    </row>
    <row r="4032" spans="1:6" ht="15" customHeight="1" x14ac:dyDescent="0.25">
      <c r="A4032" s="2352" t="s">
        <v>13557</v>
      </c>
      <c r="B4032" s="2352" t="s">
        <v>13386</v>
      </c>
      <c r="C4032" s="2352" t="s">
        <v>13386</v>
      </c>
      <c r="D4032" s="2352" t="s">
        <v>13561</v>
      </c>
      <c r="E4032" s="355">
        <v>400</v>
      </c>
      <c r="F4032" s="1662">
        <v>190</v>
      </c>
    </row>
    <row r="4033" spans="1:6" ht="15" customHeight="1" x14ac:dyDescent="0.25">
      <c r="A4033" s="2352" t="s">
        <v>13557</v>
      </c>
      <c r="B4033" s="2352" t="s">
        <v>13386</v>
      </c>
      <c r="C4033" s="2352" t="s">
        <v>13386</v>
      </c>
      <c r="D4033" s="2352" t="s">
        <v>13562</v>
      </c>
      <c r="E4033" s="355">
        <v>160</v>
      </c>
      <c r="F4033" s="1662">
        <v>10</v>
      </c>
    </row>
    <row r="4034" spans="1:6" ht="15" customHeight="1" x14ac:dyDescent="0.25">
      <c r="A4034" s="2352" t="s">
        <v>15214</v>
      </c>
      <c r="B4034" s="2352" t="s">
        <v>13386</v>
      </c>
      <c r="C4034" s="2352" t="s">
        <v>13386</v>
      </c>
      <c r="D4034" s="2352" t="s">
        <v>13563</v>
      </c>
      <c r="E4034" s="355">
        <v>250</v>
      </c>
      <c r="F4034" s="1662">
        <v>60</v>
      </c>
    </row>
    <row r="4035" spans="1:6" ht="15" customHeight="1" x14ac:dyDescent="0.25">
      <c r="A4035" s="2352" t="s">
        <v>15214</v>
      </c>
      <c r="B4035" s="2352" t="s">
        <v>13386</v>
      </c>
      <c r="C4035" s="2352" t="s">
        <v>13386</v>
      </c>
      <c r="D4035" s="2352" t="s">
        <v>13564</v>
      </c>
      <c r="E4035" s="355">
        <v>250</v>
      </c>
      <c r="F4035" s="1662">
        <v>70</v>
      </c>
    </row>
    <row r="4036" spans="1:6" ht="15" customHeight="1" x14ac:dyDescent="0.25">
      <c r="A4036" s="2352" t="s">
        <v>15214</v>
      </c>
      <c r="B4036" s="2352" t="s">
        <v>13386</v>
      </c>
      <c r="C4036" s="2352" t="s">
        <v>13386</v>
      </c>
      <c r="D4036" s="2352" t="s">
        <v>13565</v>
      </c>
      <c r="E4036" s="355">
        <v>250</v>
      </c>
      <c r="F4036" s="1662">
        <v>60</v>
      </c>
    </row>
    <row r="4037" spans="1:6" ht="15" customHeight="1" x14ac:dyDescent="0.25">
      <c r="A4037" s="2352" t="s">
        <v>15214</v>
      </c>
      <c r="B4037" s="2352" t="s">
        <v>13386</v>
      </c>
      <c r="C4037" s="2352" t="s">
        <v>13386</v>
      </c>
      <c r="D4037" s="2352" t="s">
        <v>13566</v>
      </c>
      <c r="E4037" s="355">
        <v>320</v>
      </c>
      <c r="F4037" s="1662">
        <v>80</v>
      </c>
    </row>
    <row r="4038" spans="1:6" ht="15" customHeight="1" x14ac:dyDescent="0.25">
      <c r="A4038" s="2352" t="s">
        <v>15214</v>
      </c>
      <c r="B4038" s="2352" t="s">
        <v>13386</v>
      </c>
      <c r="C4038" s="2352" t="s">
        <v>13386</v>
      </c>
      <c r="D4038" s="2352" t="s">
        <v>13567</v>
      </c>
      <c r="E4038" s="355">
        <v>400</v>
      </c>
      <c r="F4038" s="1662">
        <v>170</v>
      </c>
    </row>
    <row r="4039" spans="1:6" ht="15" customHeight="1" x14ac:dyDescent="0.25">
      <c r="A4039" s="2352" t="s">
        <v>15214</v>
      </c>
      <c r="B4039" s="2352" t="s">
        <v>13386</v>
      </c>
      <c r="C4039" s="2352" t="s">
        <v>13386</v>
      </c>
      <c r="D4039" s="2352" t="s">
        <v>13568</v>
      </c>
      <c r="E4039" s="355">
        <v>160</v>
      </c>
      <c r="F4039" s="1662">
        <v>60</v>
      </c>
    </row>
    <row r="4040" spans="1:6" ht="15" customHeight="1" x14ac:dyDescent="0.25">
      <c r="A4040" s="2352" t="s">
        <v>15215</v>
      </c>
      <c r="B4040" s="2352" t="s">
        <v>13386</v>
      </c>
      <c r="C4040" s="2352" t="s">
        <v>13386</v>
      </c>
      <c r="D4040" s="2352" t="s">
        <v>13569</v>
      </c>
      <c r="E4040" s="355">
        <v>250</v>
      </c>
      <c r="F4040" s="1662">
        <v>0</v>
      </c>
    </row>
    <row r="4041" spans="1:6" ht="15" customHeight="1" x14ac:dyDescent="0.25">
      <c r="A4041" s="2352" t="s">
        <v>15216</v>
      </c>
      <c r="B4041" s="2352" t="s">
        <v>13386</v>
      </c>
      <c r="C4041" s="2352" t="s">
        <v>13386</v>
      </c>
      <c r="D4041" s="2352" t="s">
        <v>13570</v>
      </c>
      <c r="E4041" s="355">
        <v>400</v>
      </c>
      <c r="F4041" s="1662">
        <v>385</v>
      </c>
    </row>
    <row r="4042" spans="1:6" ht="15" customHeight="1" x14ac:dyDescent="0.25">
      <c r="A4042" s="2352" t="s">
        <v>15215</v>
      </c>
      <c r="B4042" s="2352" t="s">
        <v>13386</v>
      </c>
      <c r="C4042" s="2352" t="s">
        <v>13386</v>
      </c>
      <c r="D4042" s="2352" t="s">
        <v>13571</v>
      </c>
      <c r="E4042" s="355">
        <v>180</v>
      </c>
      <c r="F4042" s="1662">
        <v>104</v>
      </c>
    </row>
    <row r="4043" spans="1:6" ht="15" customHeight="1" x14ac:dyDescent="0.25">
      <c r="A4043" s="2352" t="s">
        <v>15216</v>
      </c>
      <c r="B4043" s="2352" t="s">
        <v>13386</v>
      </c>
      <c r="C4043" s="2352" t="s">
        <v>13386</v>
      </c>
      <c r="D4043" s="2352" t="s">
        <v>13572</v>
      </c>
      <c r="E4043" s="355">
        <v>100</v>
      </c>
      <c r="F4043" s="1662">
        <v>25</v>
      </c>
    </row>
    <row r="4044" spans="1:6" ht="15" customHeight="1" x14ac:dyDescent="0.25">
      <c r="A4044" s="2352" t="s">
        <v>15217</v>
      </c>
      <c r="B4044" s="2352" t="s">
        <v>13386</v>
      </c>
      <c r="C4044" s="2352" t="s">
        <v>13386</v>
      </c>
      <c r="D4044" s="2352" t="s">
        <v>13573</v>
      </c>
      <c r="E4044" s="355">
        <v>250</v>
      </c>
      <c r="F4044" s="1662">
        <v>50</v>
      </c>
    </row>
    <row r="4045" spans="1:6" ht="15" customHeight="1" x14ac:dyDescent="0.25">
      <c r="A4045" s="2352" t="s">
        <v>15218</v>
      </c>
      <c r="B4045" s="2352" t="s">
        <v>13386</v>
      </c>
      <c r="C4045" s="2352" t="s">
        <v>13386</v>
      </c>
      <c r="D4045" s="2352" t="s">
        <v>13574</v>
      </c>
      <c r="E4045" s="355">
        <v>400</v>
      </c>
      <c r="F4045" s="1662">
        <v>260</v>
      </c>
    </row>
    <row r="4046" spans="1:6" ht="15" customHeight="1" x14ac:dyDescent="0.25">
      <c r="A4046" s="2352" t="s">
        <v>15219</v>
      </c>
      <c r="B4046" s="2352" t="s">
        <v>13386</v>
      </c>
      <c r="C4046" s="2352" t="s">
        <v>13386</v>
      </c>
      <c r="D4046" s="2352" t="s">
        <v>13575</v>
      </c>
      <c r="E4046" s="355">
        <v>630</v>
      </c>
      <c r="F4046" s="1662">
        <v>250</v>
      </c>
    </row>
    <row r="4047" spans="1:6" ht="15" customHeight="1" x14ac:dyDescent="0.25">
      <c r="A4047" s="2352" t="s">
        <v>15219</v>
      </c>
      <c r="B4047" s="2352" t="s">
        <v>13386</v>
      </c>
      <c r="C4047" s="2352" t="s">
        <v>13386</v>
      </c>
      <c r="D4047" s="2352" t="s">
        <v>13576</v>
      </c>
      <c r="E4047" s="355">
        <v>630</v>
      </c>
      <c r="F4047" s="1662">
        <v>230</v>
      </c>
    </row>
    <row r="4048" spans="1:6" ht="15" customHeight="1" x14ac:dyDescent="0.25">
      <c r="A4048" s="2352" t="s">
        <v>15219</v>
      </c>
      <c r="B4048" s="2352" t="s">
        <v>13386</v>
      </c>
      <c r="C4048" s="2352" t="s">
        <v>13386</v>
      </c>
      <c r="D4048" s="2352" t="s">
        <v>13577</v>
      </c>
      <c r="E4048" s="355">
        <v>250</v>
      </c>
      <c r="F4048" s="1662">
        <v>220</v>
      </c>
    </row>
    <row r="4049" spans="1:6" ht="15" customHeight="1" x14ac:dyDescent="0.25">
      <c r="A4049" s="2352" t="s">
        <v>15219</v>
      </c>
      <c r="B4049" s="2352" t="s">
        <v>13386</v>
      </c>
      <c r="C4049" s="2352" t="s">
        <v>13386</v>
      </c>
      <c r="D4049" s="2352" t="s">
        <v>13578</v>
      </c>
      <c r="E4049" s="355">
        <v>250</v>
      </c>
      <c r="F4049" s="1662">
        <v>150</v>
      </c>
    </row>
    <row r="4050" spans="1:6" ht="15" customHeight="1" x14ac:dyDescent="0.25">
      <c r="A4050" s="2352" t="s">
        <v>15220</v>
      </c>
      <c r="B4050" s="2352" t="s">
        <v>13386</v>
      </c>
      <c r="C4050" s="2352" t="s">
        <v>13386</v>
      </c>
      <c r="D4050" s="2352" t="s">
        <v>13579</v>
      </c>
      <c r="E4050" s="355">
        <v>160</v>
      </c>
      <c r="F4050" s="1662">
        <v>90</v>
      </c>
    </row>
    <row r="4051" spans="1:6" ht="15" customHeight="1" x14ac:dyDescent="0.25">
      <c r="A4051" s="2352" t="s">
        <v>15221</v>
      </c>
      <c r="B4051" s="2352" t="s">
        <v>13386</v>
      </c>
      <c r="C4051" s="2352" t="s">
        <v>13386</v>
      </c>
      <c r="D4051" s="2352" t="s">
        <v>13580</v>
      </c>
      <c r="E4051" s="355">
        <v>400</v>
      </c>
      <c r="F4051" s="1662">
        <v>100</v>
      </c>
    </row>
    <row r="4052" spans="1:6" ht="15" customHeight="1" x14ac:dyDescent="0.25">
      <c r="A4052" s="2352" t="s">
        <v>15221</v>
      </c>
      <c r="B4052" s="2352" t="s">
        <v>13386</v>
      </c>
      <c r="C4052" s="2352" t="s">
        <v>13386</v>
      </c>
      <c r="D4052" s="2352" t="s">
        <v>13581</v>
      </c>
      <c r="E4052" s="355">
        <v>400</v>
      </c>
      <c r="F4052" s="1662">
        <v>100</v>
      </c>
    </row>
    <row r="4053" spans="1:6" ht="15" customHeight="1" x14ac:dyDescent="0.25">
      <c r="A4053" s="2352" t="s">
        <v>15219</v>
      </c>
      <c r="B4053" s="2352" t="s">
        <v>13386</v>
      </c>
      <c r="C4053" s="2352" t="s">
        <v>13386</v>
      </c>
      <c r="D4053" s="2352" t="s">
        <v>13582</v>
      </c>
      <c r="E4053" s="355">
        <v>250</v>
      </c>
      <c r="F4053" s="1662">
        <v>200</v>
      </c>
    </row>
    <row r="4054" spans="1:6" ht="15" customHeight="1" x14ac:dyDescent="0.25">
      <c r="A4054" s="2352" t="s">
        <v>15222</v>
      </c>
      <c r="B4054" s="2352" t="s">
        <v>13386</v>
      </c>
      <c r="C4054" s="2352" t="s">
        <v>13386</v>
      </c>
      <c r="D4054" s="2352" t="s">
        <v>13583</v>
      </c>
      <c r="E4054" s="355">
        <v>320</v>
      </c>
      <c r="F4054" s="1662">
        <v>140</v>
      </c>
    </row>
    <row r="4055" spans="1:6" ht="15" customHeight="1" x14ac:dyDescent="0.25">
      <c r="A4055" s="2352" t="s">
        <v>15223</v>
      </c>
      <c r="B4055" s="2352" t="s">
        <v>13386</v>
      </c>
      <c r="C4055" s="2352" t="s">
        <v>13386</v>
      </c>
      <c r="D4055" s="2352" t="s">
        <v>13584</v>
      </c>
      <c r="E4055" s="355">
        <v>100</v>
      </c>
      <c r="F4055" s="1662">
        <v>10</v>
      </c>
    </row>
    <row r="4056" spans="1:6" ht="15" customHeight="1" x14ac:dyDescent="0.25">
      <c r="A4056" s="2352" t="s">
        <v>15224</v>
      </c>
      <c r="B4056" s="2352" t="s">
        <v>13386</v>
      </c>
      <c r="C4056" s="2352" t="s">
        <v>13386</v>
      </c>
      <c r="D4056" s="2352" t="s">
        <v>13585</v>
      </c>
      <c r="E4056" s="355">
        <v>250</v>
      </c>
      <c r="F4056" s="1662">
        <v>160</v>
      </c>
    </row>
    <row r="4057" spans="1:6" ht="15" customHeight="1" x14ac:dyDescent="0.25">
      <c r="A4057" s="2352" t="s">
        <v>15224</v>
      </c>
      <c r="B4057" s="2352" t="s">
        <v>13386</v>
      </c>
      <c r="C4057" s="2352" t="s">
        <v>13386</v>
      </c>
      <c r="D4057" s="2352" t="s">
        <v>13586</v>
      </c>
      <c r="E4057" s="355">
        <v>160</v>
      </c>
      <c r="F4057" s="1662">
        <v>0</v>
      </c>
    </row>
    <row r="4058" spans="1:6" ht="15" customHeight="1" x14ac:dyDescent="0.25">
      <c r="A4058" s="2352" t="s">
        <v>15225</v>
      </c>
      <c r="B4058" s="2352" t="s">
        <v>13386</v>
      </c>
      <c r="C4058" s="2352" t="s">
        <v>13386</v>
      </c>
      <c r="D4058" s="2352" t="s">
        <v>13587</v>
      </c>
      <c r="E4058" s="355">
        <v>250</v>
      </c>
      <c r="F4058" s="1662">
        <v>100</v>
      </c>
    </row>
    <row r="4059" spans="1:6" ht="15" customHeight="1" x14ac:dyDescent="0.25">
      <c r="A4059" s="2352" t="s">
        <v>15226</v>
      </c>
      <c r="B4059" s="2352" t="s">
        <v>13386</v>
      </c>
      <c r="C4059" s="2352" t="s">
        <v>13386</v>
      </c>
      <c r="D4059" s="2352" t="s">
        <v>13588</v>
      </c>
      <c r="E4059" s="355">
        <v>250</v>
      </c>
      <c r="F4059" s="1662">
        <v>185</v>
      </c>
    </row>
    <row r="4060" spans="1:6" ht="15" customHeight="1" x14ac:dyDescent="0.25">
      <c r="A4060" s="2352" t="s">
        <v>15227</v>
      </c>
      <c r="B4060" s="2352" t="s">
        <v>13386</v>
      </c>
      <c r="C4060" s="2352" t="s">
        <v>13386</v>
      </c>
      <c r="D4060" s="2352" t="s">
        <v>13589</v>
      </c>
      <c r="E4060" s="355">
        <v>250</v>
      </c>
      <c r="F4060" s="1662">
        <v>160</v>
      </c>
    </row>
    <row r="4061" spans="1:6" ht="15" customHeight="1" x14ac:dyDescent="0.25">
      <c r="A4061" s="2352" t="s">
        <v>15227</v>
      </c>
      <c r="B4061" s="2352" t="s">
        <v>13386</v>
      </c>
      <c r="C4061" s="2352" t="s">
        <v>13386</v>
      </c>
      <c r="D4061" s="2352" t="s">
        <v>13590</v>
      </c>
      <c r="E4061" s="355">
        <v>400</v>
      </c>
      <c r="F4061" s="1662">
        <v>340</v>
      </c>
    </row>
    <row r="4062" spans="1:6" ht="15" customHeight="1" x14ac:dyDescent="0.25">
      <c r="A4062" s="2352" t="s">
        <v>15228</v>
      </c>
      <c r="B4062" s="2352" t="s">
        <v>13386</v>
      </c>
      <c r="C4062" s="2352" t="s">
        <v>13386</v>
      </c>
      <c r="D4062" s="2352" t="s">
        <v>13591</v>
      </c>
      <c r="E4062" s="355">
        <v>400</v>
      </c>
      <c r="F4062" s="1662">
        <v>148</v>
      </c>
    </row>
    <row r="4063" spans="1:6" ht="15" customHeight="1" x14ac:dyDescent="0.25">
      <c r="A4063" s="2352" t="s">
        <v>15228</v>
      </c>
      <c r="B4063" s="2352" t="s">
        <v>13386</v>
      </c>
      <c r="C4063" s="2352" t="s">
        <v>13386</v>
      </c>
      <c r="D4063" s="2352" t="s">
        <v>13592</v>
      </c>
      <c r="E4063" s="355" t="s">
        <v>4199</v>
      </c>
      <c r="F4063" s="1662" t="s">
        <v>19569</v>
      </c>
    </row>
    <row r="4064" spans="1:6" ht="15" customHeight="1" x14ac:dyDescent="0.25">
      <c r="A4064" s="2352" t="s">
        <v>15228</v>
      </c>
      <c r="B4064" s="2352" t="s">
        <v>13386</v>
      </c>
      <c r="C4064" s="2352" t="s">
        <v>13386</v>
      </c>
      <c r="D4064" s="2352" t="s">
        <v>13593</v>
      </c>
      <c r="E4064" s="355">
        <v>400</v>
      </c>
      <c r="F4064" s="1662">
        <v>100</v>
      </c>
    </row>
    <row r="4065" spans="1:6" ht="15" customHeight="1" x14ac:dyDescent="0.25">
      <c r="A4065" s="2352" t="s">
        <v>15228</v>
      </c>
      <c r="B4065" s="2352" t="s">
        <v>13386</v>
      </c>
      <c r="C4065" s="2352" t="s">
        <v>13386</v>
      </c>
      <c r="D4065" s="2352" t="s">
        <v>13594</v>
      </c>
      <c r="E4065" s="355">
        <v>160</v>
      </c>
      <c r="F4065" s="1662">
        <v>40</v>
      </c>
    </row>
    <row r="4066" spans="1:6" ht="15" customHeight="1" x14ac:dyDescent="0.25">
      <c r="A4066" s="2352" t="s">
        <v>15228</v>
      </c>
      <c r="B4066" s="2352" t="s">
        <v>13386</v>
      </c>
      <c r="C4066" s="2352" t="s">
        <v>13386</v>
      </c>
      <c r="D4066" s="2352" t="s">
        <v>13595</v>
      </c>
      <c r="E4066" s="355">
        <v>250</v>
      </c>
      <c r="F4066" s="1662">
        <v>0</v>
      </c>
    </row>
    <row r="4067" spans="1:6" ht="15" customHeight="1" x14ac:dyDescent="0.25">
      <c r="A4067" s="2352" t="s">
        <v>15229</v>
      </c>
      <c r="B4067" s="2352" t="s">
        <v>13386</v>
      </c>
      <c r="C4067" s="2352" t="s">
        <v>13386</v>
      </c>
      <c r="D4067" s="2352" t="s">
        <v>13596</v>
      </c>
      <c r="E4067" s="355">
        <v>100</v>
      </c>
      <c r="F4067" s="1662">
        <v>0</v>
      </c>
    </row>
    <row r="4068" spans="1:6" ht="15" customHeight="1" x14ac:dyDescent="0.25">
      <c r="A4068" s="2352" t="s">
        <v>15228</v>
      </c>
      <c r="B4068" s="2352" t="s">
        <v>13386</v>
      </c>
      <c r="C4068" s="2352" t="s">
        <v>13386</v>
      </c>
      <c r="D4068" s="2352" t="s">
        <v>13597</v>
      </c>
      <c r="E4068" s="355">
        <v>160</v>
      </c>
      <c r="F4068" s="1662">
        <v>3</v>
      </c>
    </row>
    <row r="4069" spans="1:6" ht="15" customHeight="1" x14ac:dyDescent="0.25">
      <c r="A4069" s="2352" t="s">
        <v>15230</v>
      </c>
      <c r="B4069" s="2352" t="s">
        <v>13386</v>
      </c>
      <c r="C4069" s="2352" t="s">
        <v>13386</v>
      </c>
      <c r="D4069" s="2352" t="s">
        <v>13598</v>
      </c>
      <c r="E4069" s="355">
        <v>63</v>
      </c>
      <c r="F4069" s="1662">
        <v>0</v>
      </c>
    </row>
    <row r="4070" spans="1:6" ht="15" customHeight="1" x14ac:dyDescent="0.25">
      <c r="A4070" s="2352" t="s">
        <v>15231</v>
      </c>
      <c r="B4070" s="2352" t="s">
        <v>13386</v>
      </c>
      <c r="C4070" s="2352" t="s">
        <v>13386</v>
      </c>
      <c r="D4070" s="2352" t="s">
        <v>13599</v>
      </c>
      <c r="E4070" s="355">
        <v>160</v>
      </c>
      <c r="F4070" s="1662">
        <v>37</v>
      </c>
    </row>
    <row r="4071" spans="1:6" ht="15" customHeight="1" x14ac:dyDescent="0.25">
      <c r="A4071" s="2352" t="s">
        <v>15232</v>
      </c>
      <c r="B4071" s="2352" t="s">
        <v>13386</v>
      </c>
      <c r="C4071" s="2352" t="s">
        <v>13386</v>
      </c>
      <c r="D4071" s="2352" t="s">
        <v>13600</v>
      </c>
      <c r="E4071" s="355">
        <v>30</v>
      </c>
      <c r="F4071" s="1662">
        <v>10</v>
      </c>
    </row>
    <row r="4072" spans="1:6" ht="15" customHeight="1" x14ac:dyDescent="0.25">
      <c r="A4072" s="2352" t="s">
        <v>15233</v>
      </c>
      <c r="B4072" s="2352" t="s">
        <v>13386</v>
      </c>
      <c r="C4072" s="2352" t="s">
        <v>13386</v>
      </c>
      <c r="D4072" s="2352" t="s">
        <v>13601</v>
      </c>
      <c r="E4072" s="355">
        <v>63</v>
      </c>
      <c r="F4072" s="1662">
        <v>0</v>
      </c>
    </row>
    <row r="4073" spans="1:6" ht="15" customHeight="1" x14ac:dyDescent="0.25">
      <c r="A4073" s="2352" t="s">
        <v>14318</v>
      </c>
      <c r="B4073" s="2352" t="s">
        <v>13386</v>
      </c>
      <c r="C4073" s="2352" t="s">
        <v>13386</v>
      </c>
      <c r="D4073" s="2352" t="s">
        <v>13602</v>
      </c>
      <c r="E4073" s="355">
        <v>250</v>
      </c>
      <c r="F4073" s="1662">
        <v>158</v>
      </c>
    </row>
    <row r="4074" spans="1:6" ht="15" customHeight="1" x14ac:dyDescent="0.25">
      <c r="A4074" s="2352" t="s">
        <v>13603</v>
      </c>
      <c r="B4074" s="2352" t="s">
        <v>13386</v>
      </c>
      <c r="C4074" s="2352" t="s">
        <v>13386</v>
      </c>
      <c r="D4074" s="2352" t="s">
        <v>13604</v>
      </c>
      <c r="E4074" s="355">
        <v>250</v>
      </c>
      <c r="F4074" s="1662">
        <v>100</v>
      </c>
    </row>
    <row r="4075" spans="1:6" ht="15" customHeight="1" x14ac:dyDescent="0.25">
      <c r="A4075" s="2352" t="s">
        <v>13603</v>
      </c>
      <c r="B4075" s="2352" t="s">
        <v>13386</v>
      </c>
      <c r="C4075" s="2352" t="s">
        <v>13386</v>
      </c>
      <c r="D4075" s="2352" t="s">
        <v>13605</v>
      </c>
      <c r="E4075" s="355">
        <v>400</v>
      </c>
      <c r="F4075" s="1662">
        <v>355</v>
      </c>
    </row>
    <row r="4076" spans="1:6" ht="15" customHeight="1" x14ac:dyDescent="0.25">
      <c r="A4076" s="2352" t="s">
        <v>15234</v>
      </c>
      <c r="B4076" s="2352" t="s">
        <v>13386</v>
      </c>
      <c r="C4076" s="2352" t="s">
        <v>13386</v>
      </c>
      <c r="D4076" s="2352" t="s">
        <v>13606</v>
      </c>
      <c r="E4076" s="355">
        <v>100</v>
      </c>
      <c r="F4076" s="1662">
        <v>37</v>
      </c>
    </row>
    <row r="4077" spans="1:6" ht="15" customHeight="1" x14ac:dyDescent="0.25">
      <c r="A4077" s="2352" t="s">
        <v>15235</v>
      </c>
      <c r="B4077" s="2352" t="s">
        <v>13386</v>
      </c>
      <c r="C4077" s="2352" t="s">
        <v>13386</v>
      </c>
      <c r="D4077" s="2352" t="s">
        <v>13607</v>
      </c>
      <c r="E4077" s="355" t="s">
        <v>5551</v>
      </c>
      <c r="F4077" s="1662" t="s">
        <v>13608</v>
      </c>
    </row>
    <row r="4078" spans="1:6" ht="15" customHeight="1" x14ac:dyDescent="0.25">
      <c r="A4078" s="2352" t="s">
        <v>15236</v>
      </c>
      <c r="B4078" s="2352" t="s">
        <v>13386</v>
      </c>
      <c r="C4078" s="2352" t="s">
        <v>13386</v>
      </c>
      <c r="D4078" s="2352" t="s">
        <v>13609</v>
      </c>
      <c r="E4078" s="355">
        <v>250</v>
      </c>
      <c r="F4078" s="1662">
        <v>170</v>
      </c>
    </row>
    <row r="4079" spans="1:6" ht="15" customHeight="1" x14ac:dyDescent="0.25">
      <c r="A4079" s="2352" t="s">
        <v>15237</v>
      </c>
      <c r="B4079" s="2352" t="s">
        <v>13386</v>
      </c>
      <c r="C4079" s="2352" t="s">
        <v>13386</v>
      </c>
      <c r="D4079" s="2352" t="s">
        <v>13610</v>
      </c>
      <c r="E4079" s="355">
        <v>100</v>
      </c>
      <c r="F4079" s="1662">
        <v>75</v>
      </c>
    </row>
    <row r="4080" spans="1:6" ht="15" customHeight="1" x14ac:dyDescent="0.25">
      <c r="A4080" s="2352" t="s">
        <v>15238</v>
      </c>
      <c r="B4080" s="2352" t="s">
        <v>13386</v>
      </c>
      <c r="C4080" s="2352" t="s">
        <v>13386</v>
      </c>
      <c r="D4080" s="2352" t="s">
        <v>13611</v>
      </c>
      <c r="E4080" s="355">
        <v>100</v>
      </c>
      <c r="F4080" s="1662">
        <v>50</v>
      </c>
    </row>
    <row r="4081" spans="1:6" ht="15" customHeight="1" x14ac:dyDescent="0.25">
      <c r="A4081" s="2352" t="s">
        <v>15239</v>
      </c>
      <c r="B4081" s="2352" t="s">
        <v>13386</v>
      </c>
      <c r="C4081" s="2352" t="s">
        <v>13386</v>
      </c>
      <c r="D4081" s="2352" t="s">
        <v>13612</v>
      </c>
      <c r="E4081" s="355">
        <v>100</v>
      </c>
      <c r="F4081" s="1662">
        <v>70</v>
      </c>
    </row>
    <row r="4082" spans="1:6" ht="15" customHeight="1" x14ac:dyDescent="0.25">
      <c r="A4082" s="2352" t="s">
        <v>15240</v>
      </c>
      <c r="B4082" s="2352" t="s">
        <v>13386</v>
      </c>
      <c r="C4082" s="2352" t="s">
        <v>13386</v>
      </c>
      <c r="D4082" s="2352" t="s">
        <v>13613</v>
      </c>
      <c r="E4082" s="355">
        <v>40</v>
      </c>
      <c r="F4082" s="1662">
        <v>5</v>
      </c>
    </row>
    <row r="4083" spans="1:6" ht="15" customHeight="1" x14ac:dyDescent="0.25">
      <c r="A4083" s="2352" t="s">
        <v>15241</v>
      </c>
      <c r="B4083" s="2352" t="s">
        <v>13386</v>
      </c>
      <c r="C4083" s="2352" t="s">
        <v>13386</v>
      </c>
      <c r="D4083" s="2352" t="s">
        <v>13614</v>
      </c>
      <c r="E4083" s="355" t="s">
        <v>4202</v>
      </c>
      <c r="F4083" s="1662" t="s">
        <v>13615</v>
      </c>
    </row>
    <row r="4084" spans="1:6" ht="15" customHeight="1" x14ac:dyDescent="0.25">
      <c r="A4084" s="2352" t="s">
        <v>15241</v>
      </c>
      <c r="B4084" s="2352" t="s">
        <v>13386</v>
      </c>
      <c r="C4084" s="2352" t="s">
        <v>13386</v>
      </c>
      <c r="D4084" s="2352" t="s">
        <v>13616</v>
      </c>
      <c r="E4084" s="355" t="s">
        <v>4202</v>
      </c>
      <c r="F4084" s="1662" t="s">
        <v>13617</v>
      </c>
    </row>
    <row r="4085" spans="1:6" ht="15" customHeight="1" x14ac:dyDescent="0.25">
      <c r="A4085" s="2352" t="s">
        <v>15242</v>
      </c>
      <c r="B4085" s="2352" t="s">
        <v>13386</v>
      </c>
      <c r="C4085" s="2352" t="s">
        <v>13386</v>
      </c>
      <c r="D4085" s="2352" t="s">
        <v>13618</v>
      </c>
      <c r="E4085" s="355">
        <v>100</v>
      </c>
      <c r="F4085" s="1662">
        <v>65</v>
      </c>
    </row>
    <row r="4086" spans="1:6" ht="15" customHeight="1" x14ac:dyDescent="0.25">
      <c r="A4086" s="2352" t="s">
        <v>15241</v>
      </c>
      <c r="B4086" s="2352" t="s">
        <v>13386</v>
      </c>
      <c r="C4086" s="2352" t="s">
        <v>13386</v>
      </c>
      <c r="D4086" s="2352" t="s">
        <v>13619</v>
      </c>
      <c r="E4086" s="355">
        <v>400</v>
      </c>
      <c r="F4086" s="1662">
        <v>340</v>
      </c>
    </row>
    <row r="4087" spans="1:6" ht="15" customHeight="1" x14ac:dyDescent="0.25">
      <c r="A4087" s="2352" t="s">
        <v>13620</v>
      </c>
      <c r="B4087" s="2352" t="s">
        <v>13386</v>
      </c>
      <c r="C4087" s="2352" t="s">
        <v>13386</v>
      </c>
      <c r="D4087" s="2352" t="s">
        <v>13621</v>
      </c>
      <c r="E4087" s="355">
        <v>10</v>
      </c>
      <c r="F4087" s="1662">
        <v>2</v>
      </c>
    </row>
    <row r="4088" spans="1:6" ht="15" customHeight="1" x14ac:dyDescent="0.25">
      <c r="A4088" s="2352" t="s">
        <v>15243</v>
      </c>
      <c r="B4088" s="2352" t="s">
        <v>13386</v>
      </c>
      <c r="C4088" s="2352" t="s">
        <v>13386</v>
      </c>
      <c r="D4088" s="2352" t="s">
        <v>13622</v>
      </c>
      <c r="E4088" s="355">
        <v>160</v>
      </c>
      <c r="F4088" s="1662">
        <v>60</v>
      </c>
    </row>
    <row r="4089" spans="1:6" ht="15" customHeight="1" x14ac:dyDescent="0.25">
      <c r="A4089" s="2352" t="s">
        <v>15243</v>
      </c>
      <c r="B4089" s="2352" t="s">
        <v>13386</v>
      </c>
      <c r="C4089" s="2352" t="s">
        <v>13386</v>
      </c>
      <c r="D4089" s="2352" t="s">
        <v>13623</v>
      </c>
      <c r="E4089" s="355">
        <v>100</v>
      </c>
      <c r="F4089" s="1662">
        <v>80</v>
      </c>
    </row>
    <row r="4090" spans="1:6" ht="15" customHeight="1" x14ac:dyDescent="0.25">
      <c r="A4090" s="2352" t="s">
        <v>15243</v>
      </c>
      <c r="B4090" s="2352" t="s">
        <v>13386</v>
      </c>
      <c r="C4090" s="2352" t="s">
        <v>13386</v>
      </c>
      <c r="D4090" s="2352" t="s">
        <v>13624</v>
      </c>
      <c r="E4090" s="355">
        <v>100</v>
      </c>
      <c r="F4090" s="1662">
        <v>80</v>
      </c>
    </row>
    <row r="4091" spans="1:6" ht="15" customHeight="1" x14ac:dyDescent="0.25">
      <c r="A4091" s="2352" t="s">
        <v>15241</v>
      </c>
      <c r="B4091" s="2352" t="s">
        <v>13386</v>
      </c>
      <c r="C4091" s="2352" t="s">
        <v>13386</v>
      </c>
      <c r="D4091" s="2352" t="s">
        <v>13625</v>
      </c>
      <c r="E4091" s="355">
        <v>250</v>
      </c>
      <c r="F4091" s="1662">
        <v>85</v>
      </c>
    </row>
    <row r="4092" spans="1:6" ht="15" customHeight="1" x14ac:dyDescent="0.25">
      <c r="A4092" s="2352" t="s">
        <v>15236</v>
      </c>
      <c r="B4092" s="2352" t="s">
        <v>13386</v>
      </c>
      <c r="C4092" s="2352" t="s">
        <v>13386</v>
      </c>
      <c r="D4092" s="2352" t="s">
        <v>13626</v>
      </c>
      <c r="E4092" s="355">
        <v>400</v>
      </c>
      <c r="F4092" s="1662">
        <v>40</v>
      </c>
    </row>
    <row r="4093" spans="1:6" ht="15" customHeight="1" x14ac:dyDescent="0.25">
      <c r="A4093" s="2352" t="s">
        <v>15244</v>
      </c>
      <c r="B4093" s="2352" t="s">
        <v>13386</v>
      </c>
      <c r="C4093" s="2352" t="s">
        <v>13386</v>
      </c>
      <c r="D4093" s="2352" t="s">
        <v>13627</v>
      </c>
      <c r="E4093" s="355">
        <v>250</v>
      </c>
      <c r="F4093" s="1662">
        <v>188</v>
      </c>
    </row>
    <row r="4094" spans="1:6" ht="15" customHeight="1" x14ac:dyDescent="0.25">
      <c r="A4094" s="2352" t="s">
        <v>15236</v>
      </c>
      <c r="B4094" s="2352" t="s">
        <v>13386</v>
      </c>
      <c r="C4094" s="2352" t="s">
        <v>13386</v>
      </c>
      <c r="D4094" s="2352" t="s">
        <v>13628</v>
      </c>
      <c r="E4094" s="355">
        <v>250</v>
      </c>
      <c r="F4094" s="1662">
        <v>0</v>
      </c>
    </row>
    <row r="4095" spans="1:6" ht="15" customHeight="1" x14ac:dyDescent="0.25">
      <c r="A4095" s="2352" t="s">
        <v>15245</v>
      </c>
      <c r="B4095" s="2352" t="s">
        <v>13386</v>
      </c>
      <c r="C4095" s="2352" t="s">
        <v>13386</v>
      </c>
      <c r="D4095" s="2352" t="s">
        <v>13629</v>
      </c>
      <c r="E4095" s="355">
        <v>100</v>
      </c>
      <c r="F4095" s="1662">
        <v>38</v>
      </c>
    </row>
    <row r="4096" spans="1:6" ht="15" customHeight="1" x14ac:dyDescent="0.25">
      <c r="A4096" s="2352" t="s">
        <v>15246</v>
      </c>
      <c r="B4096" s="2352" t="s">
        <v>13386</v>
      </c>
      <c r="C4096" s="2352" t="s">
        <v>13386</v>
      </c>
      <c r="D4096" s="2352" t="s">
        <v>13630</v>
      </c>
      <c r="E4096" s="355">
        <v>160</v>
      </c>
      <c r="F4096" s="1662">
        <v>40</v>
      </c>
    </row>
    <row r="4097" spans="1:6" ht="15" customHeight="1" x14ac:dyDescent="0.25">
      <c r="A4097" s="2352" t="s">
        <v>15187</v>
      </c>
      <c r="B4097" s="2352" t="s">
        <v>13386</v>
      </c>
      <c r="C4097" s="2352" t="s">
        <v>13386</v>
      </c>
      <c r="D4097" s="2352" t="s">
        <v>13631</v>
      </c>
      <c r="E4097" s="355">
        <v>100</v>
      </c>
      <c r="F4097" s="1662">
        <v>70</v>
      </c>
    </row>
    <row r="4098" spans="1:6" ht="15" customHeight="1" x14ac:dyDescent="0.25">
      <c r="A4098" s="2352" t="s">
        <v>15247</v>
      </c>
      <c r="B4098" s="2352" t="s">
        <v>13386</v>
      </c>
      <c r="C4098" s="2352" t="s">
        <v>13386</v>
      </c>
      <c r="D4098" s="2352" t="s">
        <v>13632</v>
      </c>
      <c r="E4098" s="355">
        <v>100</v>
      </c>
      <c r="F4098" s="1662">
        <v>5</v>
      </c>
    </row>
    <row r="4099" spans="1:6" ht="15" customHeight="1" x14ac:dyDescent="0.25">
      <c r="A4099" s="2352" t="s">
        <v>15248</v>
      </c>
      <c r="B4099" s="2352" t="s">
        <v>13386</v>
      </c>
      <c r="C4099" s="2352" t="s">
        <v>13386</v>
      </c>
      <c r="D4099" s="2352" t="s">
        <v>13633</v>
      </c>
      <c r="E4099" s="355">
        <v>63</v>
      </c>
      <c r="F4099" s="1662">
        <v>30</v>
      </c>
    </row>
    <row r="4100" spans="1:6" ht="15" customHeight="1" x14ac:dyDescent="0.25">
      <c r="A4100" s="2352" t="s">
        <v>15249</v>
      </c>
      <c r="B4100" s="2352" t="s">
        <v>13386</v>
      </c>
      <c r="C4100" s="2352" t="s">
        <v>13386</v>
      </c>
      <c r="D4100" s="2352" t="s">
        <v>13634</v>
      </c>
      <c r="E4100" s="355">
        <v>20</v>
      </c>
      <c r="F4100" s="1662">
        <v>0</v>
      </c>
    </row>
    <row r="4101" spans="1:6" ht="15" customHeight="1" x14ac:dyDescent="0.25">
      <c r="A4101" s="2352" t="s">
        <v>15250</v>
      </c>
      <c r="B4101" s="2352" t="s">
        <v>13386</v>
      </c>
      <c r="C4101" s="2352" t="s">
        <v>13386</v>
      </c>
      <c r="D4101" s="2352" t="s">
        <v>13635</v>
      </c>
      <c r="E4101" s="355">
        <v>250</v>
      </c>
      <c r="F4101" s="1662">
        <v>90</v>
      </c>
    </row>
    <row r="4102" spans="1:6" ht="15" customHeight="1" x14ac:dyDescent="0.25">
      <c r="A4102" s="2352" t="s">
        <v>15251</v>
      </c>
      <c r="B4102" s="2352" t="s">
        <v>13386</v>
      </c>
      <c r="C4102" s="2352" t="s">
        <v>13386</v>
      </c>
      <c r="D4102" s="2352" t="s">
        <v>13636</v>
      </c>
      <c r="E4102" s="355">
        <v>25</v>
      </c>
      <c r="F4102" s="1662">
        <v>6</v>
      </c>
    </row>
    <row r="4103" spans="1:6" ht="15" customHeight="1" x14ac:dyDescent="0.25">
      <c r="A4103" s="2352" t="s">
        <v>15252</v>
      </c>
      <c r="B4103" s="2352" t="s">
        <v>13386</v>
      </c>
      <c r="C4103" s="2352" t="s">
        <v>13386</v>
      </c>
      <c r="D4103" s="2352" t="s">
        <v>13637</v>
      </c>
      <c r="E4103" s="355">
        <v>60</v>
      </c>
      <c r="F4103" s="1662">
        <v>0</v>
      </c>
    </row>
    <row r="4104" spans="1:6" ht="15" customHeight="1" x14ac:dyDescent="0.25">
      <c r="A4104" s="2352" t="s">
        <v>15253</v>
      </c>
      <c r="B4104" s="2352" t="s">
        <v>13386</v>
      </c>
      <c r="C4104" s="2352" t="s">
        <v>13386</v>
      </c>
      <c r="D4104" s="2352" t="s">
        <v>13638</v>
      </c>
      <c r="E4104" s="355">
        <v>100</v>
      </c>
      <c r="F4104" s="1662">
        <v>60</v>
      </c>
    </row>
    <row r="4105" spans="1:6" ht="15" customHeight="1" x14ac:dyDescent="0.25">
      <c r="A4105" s="2352" t="s">
        <v>15254</v>
      </c>
      <c r="B4105" s="2352" t="s">
        <v>13386</v>
      </c>
      <c r="C4105" s="2352" t="s">
        <v>13386</v>
      </c>
      <c r="D4105" s="2352" t="s">
        <v>13639</v>
      </c>
      <c r="E4105" s="355">
        <v>100</v>
      </c>
      <c r="F4105" s="1662">
        <v>60</v>
      </c>
    </row>
    <row r="4106" spans="1:6" ht="15" customHeight="1" x14ac:dyDescent="0.25">
      <c r="A4106" s="2352" t="s">
        <v>15255</v>
      </c>
      <c r="B4106" s="2352" t="s">
        <v>13386</v>
      </c>
      <c r="C4106" s="2352" t="s">
        <v>13386</v>
      </c>
      <c r="D4106" s="2352" t="s">
        <v>13640</v>
      </c>
      <c r="E4106" s="355">
        <v>160</v>
      </c>
      <c r="F4106" s="1662">
        <v>60</v>
      </c>
    </row>
    <row r="4107" spans="1:6" ht="15" customHeight="1" x14ac:dyDescent="0.25">
      <c r="A4107" s="2352" t="s">
        <v>15256</v>
      </c>
      <c r="B4107" s="2352" t="s">
        <v>13386</v>
      </c>
      <c r="C4107" s="2352" t="s">
        <v>13386</v>
      </c>
      <c r="D4107" s="2352" t="s">
        <v>13641</v>
      </c>
      <c r="E4107" s="355">
        <v>63</v>
      </c>
      <c r="F4107" s="1662">
        <v>30</v>
      </c>
    </row>
    <row r="4108" spans="1:6" ht="15" customHeight="1" x14ac:dyDescent="0.25">
      <c r="A4108" s="2352" t="s">
        <v>15257</v>
      </c>
      <c r="B4108" s="2352" t="s">
        <v>13386</v>
      </c>
      <c r="C4108" s="2352" t="s">
        <v>13386</v>
      </c>
      <c r="D4108" s="2352" t="s">
        <v>13642</v>
      </c>
      <c r="E4108" s="355">
        <v>160</v>
      </c>
      <c r="F4108" s="1662">
        <v>60</v>
      </c>
    </row>
    <row r="4109" spans="1:6" ht="15" customHeight="1" x14ac:dyDescent="0.25">
      <c r="A4109" s="2352" t="s">
        <v>15236</v>
      </c>
      <c r="B4109" s="2352" t="s">
        <v>13386</v>
      </c>
      <c r="C4109" s="2352" t="s">
        <v>13386</v>
      </c>
      <c r="D4109" s="2352" t="s">
        <v>13643</v>
      </c>
      <c r="E4109" s="355">
        <v>250</v>
      </c>
      <c r="F4109" s="1662">
        <v>130</v>
      </c>
    </row>
    <row r="4110" spans="1:6" ht="15" customHeight="1" x14ac:dyDescent="0.25">
      <c r="A4110" s="2352" t="s">
        <v>15236</v>
      </c>
      <c r="B4110" s="2352" t="s">
        <v>13386</v>
      </c>
      <c r="C4110" s="2352" t="s">
        <v>13386</v>
      </c>
      <c r="D4110" s="2352" t="s">
        <v>13644</v>
      </c>
      <c r="E4110" s="355">
        <v>250</v>
      </c>
      <c r="F4110" s="1662">
        <v>60</v>
      </c>
    </row>
    <row r="4111" spans="1:6" ht="15" customHeight="1" x14ac:dyDescent="0.25">
      <c r="A4111" s="2352" t="s">
        <v>15258</v>
      </c>
      <c r="B4111" s="2352" t="s">
        <v>13386</v>
      </c>
      <c r="C4111" s="2352" t="s">
        <v>13386</v>
      </c>
      <c r="D4111" s="2352" t="s">
        <v>13645</v>
      </c>
      <c r="E4111" s="355">
        <v>160</v>
      </c>
      <c r="F4111" s="1662">
        <v>90</v>
      </c>
    </row>
    <row r="4112" spans="1:6" ht="15" customHeight="1" x14ac:dyDescent="0.25">
      <c r="A4112" s="2352" t="s">
        <v>13646</v>
      </c>
      <c r="B4112" s="2352" t="s">
        <v>13386</v>
      </c>
      <c r="C4112" s="2352" t="s">
        <v>13386</v>
      </c>
      <c r="D4112" s="2352" t="s">
        <v>13647</v>
      </c>
      <c r="E4112" s="355" t="s">
        <v>4202</v>
      </c>
      <c r="F4112" s="1662" t="s">
        <v>13648</v>
      </c>
    </row>
    <row r="4113" spans="1:6" ht="15" customHeight="1" x14ac:dyDescent="0.25">
      <c r="A4113" s="2352" t="s">
        <v>15259</v>
      </c>
      <c r="B4113" s="2352" t="s">
        <v>13386</v>
      </c>
      <c r="C4113" s="2352" t="s">
        <v>13386</v>
      </c>
      <c r="D4113" s="2352" t="s">
        <v>13649</v>
      </c>
      <c r="E4113" s="355">
        <v>250</v>
      </c>
      <c r="F4113" s="1662">
        <v>95</v>
      </c>
    </row>
    <row r="4114" spans="1:6" ht="15" customHeight="1" x14ac:dyDescent="0.25">
      <c r="A4114" s="2352" t="s">
        <v>15236</v>
      </c>
      <c r="B4114" s="2352" t="s">
        <v>13386</v>
      </c>
      <c r="C4114" s="2352" t="s">
        <v>13386</v>
      </c>
      <c r="D4114" s="2352" t="s">
        <v>13650</v>
      </c>
      <c r="E4114" s="355">
        <v>160</v>
      </c>
      <c r="F4114" s="1662">
        <v>60</v>
      </c>
    </row>
    <row r="4115" spans="1:6" ht="15" customHeight="1" x14ac:dyDescent="0.25">
      <c r="A4115" s="2352" t="s">
        <v>15260</v>
      </c>
      <c r="B4115" s="2352" t="s">
        <v>13386</v>
      </c>
      <c r="C4115" s="2352" t="s">
        <v>13386</v>
      </c>
      <c r="D4115" s="2352" t="s">
        <v>13651</v>
      </c>
      <c r="E4115" s="355">
        <v>63</v>
      </c>
      <c r="F4115" s="1662">
        <v>0</v>
      </c>
    </row>
    <row r="4116" spans="1:6" ht="15" customHeight="1" x14ac:dyDescent="0.25">
      <c r="A4116" s="2352" t="s">
        <v>15175</v>
      </c>
      <c r="B4116" s="2352" t="s">
        <v>13386</v>
      </c>
      <c r="C4116" s="2352" t="s">
        <v>13386</v>
      </c>
      <c r="D4116" s="2352" t="s">
        <v>13652</v>
      </c>
      <c r="E4116" s="355">
        <v>160</v>
      </c>
      <c r="F4116" s="1662">
        <v>30</v>
      </c>
    </row>
    <row r="4117" spans="1:6" ht="15" customHeight="1" x14ac:dyDescent="0.25">
      <c r="A4117" s="2352" t="s">
        <v>15261</v>
      </c>
      <c r="B4117" s="2352" t="s">
        <v>13386</v>
      </c>
      <c r="C4117" s="2352" t="s">
        <v>13386</v>
      </c>
      <c r="D4117" s="2352" t="s">
        <v>13653</v>
      </c>
      <c r="E4117" s="355">
        <v>160</v>
      </c>
      <c r="F4117" s="1662">
        <v>50</v>
      </c>
    </row>
    <row r="4118" spans="1:6" ht="15" customHeight="1" x14ac:dyDescent="0.25">
      <c r="A4118" s="2352" t="s">
        <v>15262</v>
      </c>
      <c r="B4118" s="2352" t="s">
        <v>13386</v>
      </c>
      <c r="C4118" s="2352" t="s">
        <v>13386</v>
      </c>
      <c r="D4118" s="2352" t="s">
        <v>13654</v>
      </c>
      <c r="E4118" s="355">
        <v>100</v>
      </c>
      <c r="F4118" s="1662">
        <v>30</v>
      </c>
    </row>
    <row r="4119" spans="1:6" ht="15" customHeight="1" x14ac:dyDescent="0.25">
      <c r="A4119" s="2352" t="s">
        <v>15263</v>
      </c>
      <c r="B4119" s="2352" t="s">
        <v>13386</v>
      </c>
      <c r="C4119" s="2352" t="s">
        <v>13386</v>
      </c>
      <c r="D4119" s="2352" t="s">
        <v>13655</v>
      </c>
      <c r="E4119" s="355">
        <v>100</v>
      </c>
      <c r="F4119" s="1662">
        <v>53</v>
      </c>
    </row>
    <row r="4120" spans="1:6" ht="15" customHeight="1" x14ac:dyDescent="0.25">
      <c r="A4120" s="2352" t="s">
        <v>15264</v>
      </c>
      <c r="B4120" s="2352" t="s">
        <v>13386</v>
      </c>
      <c r="C4120" s="2352" t="s">
        <v>13386</v>
      </c>
      <c r="D4120" s="2352" t="s">
        <v>13656</v>
      </c>
      <c r="E4120" s="355">
        <v>160</v>
      </c>
      <c r="F4120" s="1662">
        <v>60</v>
      </c>
    </row>
    <row r="4121" spans="1:6" ht="15" customHeight="1" x14ac:dyDescent="0.25">
      <c r="A4121" s="2352" t="s">
        <v>15265</v>
      </c>
      <c r="B4121" s="2352" t="s">
        <v>13386</v>
      </c>
      <c r="C4121" s="2352" t="s">
        <v>13386</v>
      </c>
      <c r="D4121" s="2352" t="s">
        <v>13657</v>
      </c>
      <c r="E4121" s="355">
        <v>250</v>
      </c>
      <c r="F4121" s="1662">
        <v>0</v>
      </c>
    </row>
    <row r="4122" spans="1:6" ht="15" customHeight="1" x14ac:dyDescent="0.25">
      <c r="A4122" s="2352" t="s">
        <v>15266</v>
      </c>
      <c r="B4122" s="2352" t="s">
        <v>13386</v>
      </c>
      <c r="C4122" s="2352" t="s">
        <v>13386</v>
      </c>
      <c r="D4122" s="2352" t="s">
        <v>13658</v>
      </c>
      <c r="E4122" s="355">
        <v>400</v>
      </c>
      <c r="F4122" s="1662">
        <v>155</v>
      </c>
    </row>
    <row r="4123" spans="1:6" ht="15" customHeight="1" x14ac:dyDescent="0.25">
      <c r="A4123" s="2352" t="s">
        <v>15267</v>
      </c>
      <c r="B4123" s="2352" t="s">
        <v>13386</v>
      </c>
      <c r="C4123" s="2352" t="s">
        <v>13386</v>
      </c>
      <c r="D4123" s="2352" t="s">
        <v>13659</v>
      </c>
      <c r="E4123" s="355">
        <v>100</v>
      </c>
      <c r="F4123" s="1662">
        <v>0</v>
      </c>
    </row>
    <row r="4124" spans="1:6" ht="15" customHeight="1" x14ac:dyDescent="0.25">
      <c r="A4124" s="2352" t="s">
        <v>15267</v>
      </c>
      <c r="B4124" s="2352" t="s">
        <v>13386</v>
      </c>
      <c r="C4124" s="2352" t="s">
        <v>13386</v>
      </c>
      <c r="D4124" s="2352" t="s">
        <v>13660</v>
      </c>
      <c r="E4124" s="355">
        <v>100</v>
      </c>
      <c r="F4124" s="1662">
        <v>60</v>
      </c>
    </row>
    <row r="4125" spans="1:6" ht="15" customHeight="1" x14ac:dyDescent="0.25">
      <c r="A4125" s="2352" t="s">
        <v>15268</v>
      </c>
      <c r="B4125" s="2352" t="s">
        <v>13386</v>
      </c>
      <c r="C4125" s="2352" t="s">
        <v>13386</v>
      </c>
      <c r="D4125" s="2352" t="s">
        <v>13661</v>
      </c>
      <c r="E4125" s="355">
        <v>160</v>
      </c>
      <c r="F4125" s="1662">
        <v>80</v>
      </c>
    </row>
    <row r="4126" spans="1:6" ht="15" customHeight="1" x14ac:dyDescent="0.25">
      <c r="A4126" s="2352" t="s">
        <v>15265</v>
      </c>
      <c r="B4126" s="2352" t="s">
        <v>13386</v>
      </c>
      <c r="C4126" s="2352" t="s">
        <v>13386</v>
      </c>
      <c r="D4126" s="2352" t="s">
        <v>13662</v>
      </c>
      <c r="E4126" s="355">
        <v>400</v>
      </c>
      <c r="F4126" s="1662">
        <v>178</v>
      </c>
    </row>
    <row r="4127" spans="1:6" ht="15" customHeight="1" x14ac:dyDescent="0.25">
      <c r="A4127" s="2352" t="s">
        <v>15265</v>
      </c>
      <c r="B4127" s="2352" t="s">
        <v>13386</v>
      </c>
      <c r="C4127" s="2352" t="s">
        <v>13386</v>
      </c>
      <c r="D4127" s="2352" t="s">
        <v>13663</v>
      </c>
      <c r="E4127" s="355">
        <v>250</v>
      </c>
      <c r="F4127" s="1662">
        <v>60</v>
      </c>
    </row>
    <row r="4128" spans="1:6" ht="15" customHeight="1" x14ac:dyDescent="0.25">
      <c r="A4128" s="2352" t="s">
        <v>15265</v>
      </c>
      <c r="B4128" s="2352" t="s">
        <v>13386</v>
      </c>
      <c r="C4128" s="2352" t="s">
        <v>13386</v>
      </c>
      <c r="D4128" s="2352" t="s">
        <v>13664</v>
      </c>
      <c r="E4128" s="355">
        <v>400</v>
      </c>
      <c r="F4128" s="1662">
        <v>200</v>
      </c>
    </row>
    <row r="4129" spans="1:6" ht="15" customHeight="1" x14ac:dyDescent="0.25">
      <c r="A4129" s="2352" t="s">
        <v>17463</v>
      </c>
      <c r="B4129" s="2352" t="s">
        <v>6410</v>
      </c>
      <c r="C4129" s="2352" t="s">
        <v>6410</v>
      </c>
      <c r="D4129" s="2352" t="s">
        <v>17464</v>
      </c>
      <c r="E4129" s="355">
        <v>63</v>
      </c>
      <c r="F4129" s="1662">
        <v>10</v>
      </c>
    </row>
    <row r="4130" spans="1:6" ht="15" customHeight="1" x14ac:dyDescent="0.25">
      <c r="A4130" s="2352" t="s">
        <v>6411</v>
      </c>
      <c r="B4130" s="2352" t="s">
        <v>6410</v>
      </c>
      <c r="C4130" s="2352" t="s">
        <v>6410</v>
      </c>
      <c r="D4130" s="2352" t="s">
        <v>17465</v>
      </c>
      <c r="E4130" s="355">
        <v>60</v>
      </c>
      <c r="F4130" s="1662">
        <v>10</v>
      </c>
    </row>
    <row r="4131" spans="1:6" ht="15" customHeight="1" x14ac:dyDescent="0.25">
      <c r="A4131" s="2352" t="s">
        <v>17466</v>
      </c>
      <c r="B4131" s="2352" t="s">
        <v>6410</v>
      </c>
      <c r="C4131" s="2352" t="s">
        <v>6410</v>
      </c>
      <c r="D4131" s="2352" t="s">
        <v>17467</v>
      </c>
      <c r="E4131" s="355">
        <v>60</v>
      </c>
      <c r="F4131" s="1662">
        <v>10</v>
      </c>
    </row>
    <row r="4132" spans="1:6" ht="15" customHeight="1" x14ac:dyDescent="0.25">
      <c r="A4132" s="2352" t="s">
        <v>6413</v>
      </c>
      <c r="B4132" s="2352" t="s">
        <v>6410</v>
      </c>
      <c r="C4132" s="2352" t="s">
        <v>6410</v>
      </c>
      <c r="D4132" s="2352" t="s">
        <v>17468</v>
      </c>
      <c r="E4132" s="355">
        <v>100</v>
      </c>
      <c r="F4132" s="1662">
        <v>45</v>
      </c>
    </row>
    <row r="4133" spans="1:6" ht="15" customHeight="1" x14ac:dyDescent="0.25">
      <c r="A4133" s="2352" t="s">
        <v>6414</v>
      </c>
      <c r="B4133" s="2352" t="s">
        <v>6410</v>
      </c>
      <c r="C4133" s="2352" t="s">
        <v>6410</v>
      </c>
      <c r="D4133" s="2352" t="s">
        <v>17469</v>
      </c>
      <c r="E4133" s="355">
        <v>60</v>
      </c>
      <c r="F4133" s="1662">
        <v>10</v>
      </c>
    </row>
    <row r="4134" spans="1:6" ht="15" customHeight="1" x14ac:dyDescent="0.25">
      <c r="A4134" s="2352" t="s">
        <v>17470</v>
      </c>
      <c r="B4134" s="2352" t="s">
        <v>6410</v>
      </c>
      <c r="C4134" s="2352" t="s">
        <v>6410</v>
      </c>
      <c r="D4134" s="2352" t="s">
        <v>17471</v>
      </c>
      <c r="E4134" s="355">
        <v>63</v>
      </c>
      <c r="F4134" s="1662">
        <v>30</v>
      </c>
    </row>
    <row r="4135" spans="1:6" ht="15" customHeight="1" x14ac:dyDescent="0.25">
      <c r="A4135" s="2352" t="s">
        <v>6084</v>
      </c>
      <c r="B4135" s="2352" t="s">
        <v>6410</v>
      </c>
      <c r="C4135" s="2352" t="s">
        <v>6410</v>
      </c>
      <c r="D4135" s="2352" t="s">
        <v>17472</v>
      </c>
      <c r="E4135" s="355">
        <v>100</v>
      </c>
      <c r="F4135" s="1662">
        <v>20</v>
      </c>
    </row>
    <row r="4136" spans="1:6" ht="15" customHeight="1" x14ac:dyDescent="0.25">
      <c r="A4136" s="2352" t="s">
        <v>17473</v>
      </c>
      <c r="B4136" s="2352" t="s">
        <v>6410</v>
      </c>
      <c r="C4136" s="2352" t="s">
        <v>6410</v>
      </c>
      <c r="D4136" s="2352" t="s">
        <v>17474</v>
      </c>
      <c r="E4136" s="355">
        <v>160</v>
      </c>
      <c r="F4136" s="1662">
        <v>30</v>
      </c>
    </row>
    <row r="4137" spans="1:6" ht="15" customHeight="1" x14ac:dyDescent="0.25">
      <c r="A4137" s="2352" t="s">
        <v>17475</v>
      </c>
      <c r="B4137" s="2352" t="s">
        <v>6410</v>
      </c>
      <c r="C4137" s="2352" t="s">
        <v>6410</v>
      </c>
      <c r="D4137" s="2352" t="s">
        <v>17476</v>
      </c>
      <c r="E4137" s="355">
        <v>160</v>
      </c>
      <c r="F4137" s="1662">
        <v>50</v>
      </c>
    </row>
    <row r="4138" spans="1:6" ht="15" customHeight="1" x14ac:dyDescent="0.25">
      <c r="A4138" s="2352" t="s">
        <v>17477</v>
      </c>
      <c r="B4138" s="2352" t="s">
        <v>6410</v>
      </c>
      <c r="C4138" s="2352" t="s">
        <v>6410</v>
      </c>
      <c r="D4138" s="2352" t="s">
        <v>17478</v>
      </c>
      <c r="E4138" s="355">
        <v>400</v>
      </c>
      <c r="F4138" s="1662">
        <v>50</v>
      </c>
    </row>
    <row r="4139" spans="1:6" ht="15" customHeight="1" x14ac:dyDescent="0.25">
      <c r="A4139" s="2352" t="s">
        <v>17479</v>
      </c>
      <c r="B4139" s="2352" t="s">
        <v>6410</v>
      </c>
      <c r="C4139" s="2352" t="s">
        <v>6410</v>
      </c>
      <c r="D4139" s="2352" t="s">
        <v>17480</v>
      </c>
      <c r="E4139" s="355">
        <v>10</v>
      </c>
      <c r="F4139" s="1662">
        <v>1</v>
      </c>
    </row>
    <row r="4140" spans="1:6" ht="15" customHeight="1" x14ac:dyDescent="0.25">
      <c r="A4140" s="2352" t="s">
        <v>17481</v>
      </c>
      <c r="B4140" s="2352" t="s">
        <v>6410</v>
      </c>
      <c r="C4140" s="2352" t="s">
        <v>6410</v>
      </c>
      <c r="D4140" s="2352" t="s">
        <v>17482</v>
      </c>
      <c r="E4140" s="355">
        <v>250</v>
      </c>
      <c r="F4140" s="1662">
        <v>80</v>
      </c>
    </row>
    <row r="4141" spans="1:6" ht="15" customHeight="1" x14ac:dyDescent="0.25">
      <c r="A4141" s="2352" t="s">
        <v>17483</v>
      </c>
      <c r="B4141" s="2352" t="s">
        <v>6410</v>
      </c>
      <c r="C4141" s="2352" t="s">
        <v>6410</v>
      </c>
      <c r="D4141" s="2352" t="s">
        <v>17484</v>
      </c>
      <c r="E4141" s="355">
        <v>50</v>
      </c>
      <c r="F4141" s="1662">
        <v>5</v>
      </c>
    </row>
    <row r="4142" spans="1:6" ht="15" customHeight="1" x14ac:dyDescent="0.25">
      <c r="A4142" s="2352" t="s">
        <v>17485</v>
      </c>
      <c r="B4142" s="2352" t="s">
        <v>6410</v>
      </c>
      <c r="C4142" s="2352" t="s">
        <v>6410</v>
      </c>
      <c r="D4142" s="2352" t="s">
        <v>17486</v>
      </c>
      <c r="E4142" s="355">
        <v>63</v>
      </c>
      <c r="F4142" s="1662">
        <v>10</v>
      </c>
    </row>
    <row r="4143" spans="1:6" ht="15" customHeight="1" x14ac:dyDescent="0.25">
      <c r="A4143" s="2352" t="s">
        <v>17487</v>
      </c>
      <c r="B4143" s="2352" t="s">
        <v>6410</v>
      </c>
      <c r="C4143" s="2352" t="s">
        <v>6410</v>
      </c>
      <c r="D4143" s="2352" t="s">
        <v>17488</v>
      </c>
      <c r="E4143" s="355">
        <v>100</v>
      </c>
      <c r="F4143" s="1662">
        <v>25</v>
      </c>
    </row>
    <row r="4144" spans="1:6" ht="15" customHeight="1" x14ac:dyDescent="0.25">
      <c r="A4144" s="2352" t="s">
        <v>17489</v>
      </c>
      <c r="B4144" s="2352" t="s">
        <v>6410</v>
      </c>
      <c r="C4144" s="2352" t="s">
        <v>6410</v>
      </c>
      <c r="D4144" s="2352" t="s">
        <v>17490</v>
      </c>
      <c r="E4144" s="355">
        <v>60</v>
      </c>
      <c r="F4144" s="1662">
        <v>15</v>
      </c>
    </row>
    <row r="4145" spans="1:6" ht="15" customHeight="1" x14ac:dyDescent="0.25">
      <c r="A4145" s="2352" t="s">
        <v>17491</v>
      </c>
      <c r="B4145" s="2352" t="s">
        <v>6410</v>
      </c>
      <c r="C4145" s="2352" t="s">
        <v>6410</v>
      </c>
      <c r="D4145" s="2352" t="s">
        <v>17492</v>
      </c>
      <c r="E4145" s="355">
        <v>100</v>
      </c>
      <c r="F4145" s="1662">
        <v>30</v>
      </c>
    </row>
    <row r="4146" spans="1:6" ht="15" customHeight="1" x14ac:dyDescent="0.25">
      <c r="A4146" s="2352" t="s">
        <v>17493</v>
      </c>
      <c r="B4146" s="2352" t="s">
        <v>6410</v>
      </c>
      <c r="C4146" s="2352" t="s">
        <v>6410</v>
      </c>
      <c r="D4146" s="2352" t="s">
        <v>17494</v>
      </c>
      <c r="E4146" s="355">
        <v>160</v>
      </c>
      <c r="F4146" s="1662">
        <v>20</v>
      </c>
    </row>
    <row r="4147" spans="1:6" ht="15" customHeight="1" x14ac:dyDescent="0.25">
      <c r="A4147" s="2352" t="s">
        <v>17495</v>
      </c>
      <c r="B4147" s="2352" t="s">
        <v>6410</v>
      </c>
      <c r="C4147" s="2352" t="s">
        <v>6410</v>
      </c>
      <c r="D4147" s="2352" t="s">
        <v>17496</v>
      </c>
      <c r="E4147" s="355">
        <v>380</v>
      </c>
      <c r="F4147" s="1662">
        <v>180</v>
      </c>
    </row>
    <row r="4148" spans="1:6" ht="15" customHeight="1" x14ac:dyDescent="0.25">
      <c r="A4148" s="2352" t="s">
        <v>17497</v>
      </c>
      <c r="B4148" s="2352" t="s">
        <v>6410</v>
      </c>
      <c r="C4148" s="2352" t="s">
        <v>6410</v>
      </c>
      <c r="D4148" s="2352" t="s">
        <v>17498</v>
      </c>
      <c r="E4148" s="355">
        <v>160</v>
      </c>
      <c r="F4148" s="1662">
        <v>30</v>
      </c>
    </row>
    <row r="4149" spans="1:6" ht="15" customHeight="1" x14ac:dyDescent="0.25">
      <c r="A4149" s="2352" t="s">
        <v>17499</v>
      </c>
      <c r="B4149" s="2352" t="s">
        <v>6410</v>
      </c>
      <c r="C4149" s="2352" t="s">
        <v>6410</v>
      </c>
      <c r="D4149" s="2352" t="s">
        <v>17500</v>
      </c>
      <c r="E4149" s="355">
        <v>160</v>
      </c>
      <c r="F4149" s="1662">
        <v>30</v>
      </c>
    </row>
    <row r="4150" spans="1:6" ht="15" customHeight="1" x14ac:dyDescent="0.25">
      <c r="A4150" s="2352" t="s">
        <v>17501</v>
      </c>
      <c r="B4150" s="2352" t="s">
        <v>6410</v>
      </c>
      <c r="C4150" s="2352" t="s">
        <v>6410</v>
      </c>
      <c r="D4150" s="2352" t="s">
        <v>17502</v>
      </c>
      <c r="E4150" s="355">
        <v>25</v>
      </c>
      <c r="F4150" s="1662">
        <v>5</v>
      </c>
    </row>
    <row r="4151" spans="1:6" ht="15" customHeight="1" x14ac:dyDescent="0.25">
      <c r="A4151" s="2352" t="s">
        <v>17503</v>
      </c>
      <c r="B4151" s="2352" t="s">
        <v>6410</v>
      </c>
      <c r="C4151" s="2352" t="s">
        <v>6410</v>
      </c>
      <c r="D4151" s="2352" t="s">
        <v>17504</v>
      </c>
      <c r="E4151" s="355">
        <v>60</v>
      </c>
      <c r="F4151" s="1662">
        <v>10</v>
      </c>
    </row>
    <row r="4152" spans="1:6" ht="15" customHeight="1" x14ac:dyDescent="0.25">
      <c r="A4152" s="2352" t="s">
        <v>17505</v>
      </c>
      <c r="B4152" s="2352" t="s">
        <v>6410</v>
      </c>
      <c r="C4152" s="2352" t="s">
        <v>6410</v>
      </c>
      <c r="D4152" s="2352" t="s">
        <v>17506</v>
      </c>
      <c r="E4152" s="355">
        <v>160</v>
      </c>
      <c r="F4152" s="1662">
        <v>60</v>
      </c>
    </row>
    <row r="4153" spans="1:6" ht="15" customHeight="1" x14ac:dyDescent="0.25">
      <c r="A4153" s="2352" t="s">
        <v>17507</v>
      </c>
      <c r="B4153" s="2352" t="s">
        <v>6410</v>
      </c>
      <c r="C4153" s="2352" t="s">
        <v>6410</v>
      </c>
      <c r="D4153" s="2352" t="s">
        <v>17508</v>
      </c>
      <c r="E4153" s="355">
        <v>100</v>
      </c>
      <c r="F4153" s="1662">
        <v>25</v>
      </c>
    </row>
    <row r="4154" spans="1:6" ht="15" customHeight="1" x14ac:dyDescent="0.25">
      <c r="A4154" s="2352" t="s">
        <v>17509</v>
      </c>
      <c r="B4154" s="2352" t="s">
        <v>6410</v>
      </c>
      <c r="C4154" s="2352" t="s">
        <v>6410</v>
      </c>
      <c r="D4154" s="2352" t="s">
        <v>17510</v>
      </c>
      <c r="E4154" s="355">
        <v>250</v>
      </c>
      <c r="F4154" s="1662">
        <v>80</v>
      </c>
    </row>
    <row r="4155" spans="1:6" ht="15" customHeight="1" x14ac:dyDescent="0.25">
      <c r="A4155" s="2352" t="s">
        <v>17511</v>
      </c>
      <c r="B4155" s="2352" t="s">
        <v>6410</v>
      </c>
      <c r="C4155" s="2352" t="s">
        <v>6410</v>
      </c>
      <c r="D4155" s="2352" t="s">
        <v>17512</v>
      </c>
      <c r="E4155" s="355">
        <v>160</v>
      </c>
      <c r="F4155" s="1662">
        <v>60</v>
      </c>
    </row>
    <row r="4156" spans="1:6" ht="15" customHeight="1" x14ac:dyDescent="0.25">
      <c r="A4156" s="2352" t="s">
        <v>17513</v>
      </c>
      <c r="B4156" s="2352" t="s">
        <v>6410</v>
      </c>
      <c r="C4156" s="2352" t="s">
        <v>6410</v>
      </c>
      <c r="D4156" s="2352" t="s">
        <v>17514</v>
      </c>
      <c r="E4156" s="355">
        <v>250</v>
      </c>
      <c r="F4156" s="1662">
        <v>80</v>
      </c>
    </row>
    <row r="4157" spans="1:6" ht="15" customHeight="1" x14ac:dyDescent="0.25">
      <c r="A4157" s="2352" t="s">
        <v>17515</v>
      </c>
      <c r="B4157" s="2352" t="s">
        <v>6410</v>
      </c>
      <c r="C4157" s="2352" t="s">
        <v>6410</v>
      </c>
      <c r="D4157" s="2352" t="s">
        <v>17516</v>
      </c>
      <c r="E4157" s="355">
        <v>400</v>
      </c>
      <c r="F4157" s="1662">
        <v>60</v>
      </c>
    </row>
    <row r="4158" spans="1:6" ht="15" customHeight="1" x14ac:dyDescent="0.25">
      <c r="A4158" s="2352" t="s">
        <v>17517</v>
      </c>
      <c r="B4158" s="2352" t="s">
        <v>6410</v>
      </c>
      <c r="C4158" s="2352" t="s">
        <v>6410</v>
      </c>
      <c r="D4158" s="2352" t="s">
        <v>17518</v>
      </c>
      <c r="E4158" s="355">
        <v>100</v>
      </c>
      <c r="F4158" s="1662">
        <v>25</v>
      </c>
    </row>
    <row r="4159" spans="1:6" ht="15" customHeight="1" x14ac:dyDescent="0.25">
      <c r="A4159" s="2352" t="s">
        <v>17519</v>
      </c>
      <c r="B4159" s="2352" t="s">
        <v>6410</v>
      </c>
      <c r="C4159" s="2352" t="s">
        <v>6410</v>
      </c>
      <c r="D4159" s="2352" t="s">
        <v>17520</v>
      </c>
      <c r="E4159" s="355">
        <v>60</v>
      </c>
      <c r="F4159" s="1662">
        <v>15</v>
      </c>
    </row>
    <row r="4160" spans="1:6" ht="15" customHeight="1" x14ac:dyDescent="0.25">
      <c r="A4160" s="2352" t="s">
        <v>17521</v>
      </c>
      <c r="B4160" s="2352" t="s">
        <v>6410</v>
      </c>
      <c r="C4160" s="2352" t="s">
        <v>6410</v>
      </c>
      <c r="D4160" s="2352" t="s">
        <v>17522</v>
      </c>
      <c r="E4160" s="355">
        <v>63</v>
      </c>
      <c r="F4160" s="1662">
        <v>10</v>
      </c>
    </row>
    <row r="4161" spans="1:6" ht="15" customHeight="1" x14ac:dyDescent="0.25">
      <c r="A4161" s="2352" t="s">
        <v>17523</v>
      </c>
      <c r="B4161" s="2352" t="s">
        <v>6410</v>
      </c>
      <c r="C4161" s="2352" t="s">
        <v>6410</v>
      </c>
      <c r="D4161" s="2352" t="s">
        <v>17524</v>
      </c>
      <c r="E4161" s="355">
        <v>160</v>
      </c>
      <c r="F4161" s="1662">
        <v>20</v>
      </c>
    </row>
    <row r="4162" spans="1:6" ht="15" customHeight="1" x14ac:dyDescent="0.25">
      <c r="A4162" s="2352" t="s">
        <v>17525</v>
      </c>
      <c r="B4162" s="2352" t="s">
        <v>6410</v>
      </c>
      <c r="C4162" s="2352" t="s">
        <v>6410</v>
      </c>
      <c r="D4162" s="2352" t="s">
        <v>17526</v>
      </c>
      <c r="E4162" s="355">
        <v>160</v>
      </c>
      <c r="F4162" s="1662">
        <v>30</v>
      </c>
    </row>
    <row r="4163" spans="1:6" ht="15" customHeight="1" x14ac:dyDescent="0.25">
      <c r="A4163" s="2352" t="s">
        <v>17527</v>
      </c>
      <c r="B4163" s="2352" t="s">
        <v>6410</v>
      </c>
      <c r="C4163" s="2352" t="s">
        <v>6410</v>
      </c>
      <c r="D4163" s="2352" t="s">
        <v>17528</v>
      </c>
      <c r="E4163" s="355">
        <v>100</v>
      </c>
      <c r="F4163" s="1662">
        <v>40</v>
      </c>
    </row>
    <row r="4164" spans="1:6" ht="15" customHeight="1" x14ac:dyDescent="0.25">
      <c r="A4164" s="2352" t="s">
        <v>17529</v>
      </c>
      <c r="B4164" s="2352" t="s">
        <v>6410</v>
      </c>
      <c r="C4164" s="2352" t="s">
        <v>6410</v>
      </c>
      <c r="D4164" s="2352" t="s">
        <v>17530</v>
      </c>
      <c r="E4164" s="355">
        <v>250</v>
      </c>
      <c r="F4164" s="1662">
        <v>90</v>
      </c>
    </row>
    <row r="4165" spans="1:6" ht="15" customHeight="1" x14ac:dyDescent="0.25">
      <c r="A4165" s="2352" t="s">
        <v>17531</v>
      </c>
      <c r="B4165" s="2352" t="s">
        <v>6410</v>
      </c>
      <c r="C4165" s="2352" t="s">
        <v>6410</v>
      </c>
      <c r="D4165" s="2352" t="s">
        <v>17532</v>
      </c>
      <c r="E4165" s="355">
        <v>250</v>
      </c>
      <c r="F4165" s="1662">
        <v>90</v>
      </c>
    </row>
    <row r="4166" spans="1:6" ht="15" customHeight="1" x14ac:dyDescent="0.25">
      <c r="A4166" s="2352" t="s">
        <v>17533</v>
      </c>
      <c r="B4166" s="2352" t="s">
        <v>6410</v>
      </c>
      <c r="C4166" s="2352" t="s">
        <v>6410</v>
      </c>
      <c r="D4166" s="2352" t="s">
        <v>17534</v>
      </c>
      <c r="E4166" s="355">
        <v>400</v>
      </c>
      <c r="F4166" s="1662">
        <v>150</v>
      </c>
    </row>
    <row r="4167" spans="1:6" ht="15" customHeight="1" x14ac:dyDescent="0.25">
      <c r="A4167" s="2352" t="s">
        <v>17535</v>
      </c>
      <c r="B4167" s="2352" t="s">
        <v>6410</v>
      </c>
      <c r="C4167" s="2352" t="s">
        <v>6410</v>
      </c>
      <c r="D4167" s="2352" t="s">
        <v>17536</v>
      </c>
      <c r="E4167" s="355">
        <v>160</v>
      </c>
      <c r="F4167" s="1662">
        <v>30</v>
      </c>
    </row>
    <row r="4168" spans="1:6" ht="15" customHeight="1" x14ac:dyDescent="0.25">
      <c r="A4168" s="2352" t="s">
        <v>17537</v>
      </c>
      <c r="B4168" s="2352" t="s">
        <v>6410</v>
      </c>
      <c r="C4168" s="2352" t="s">
        <v>6410</v>
      </c>
      <c r="D4168" s="2352" t="s">
        <v>17538</v>
      </c>
      <c r="E4168" s="355">
        <v>250</v>
      </c>
      <c r="F4168" s="1662">
        <v>20</v>
      </c>
    </row>
    <row r="4169" spans="1:6" ht="15" customHeight="1" x14ac:dyDescent="0.25">
      <c r="A4169" s="2352" t="s">
        <v>17539</v>
      </c>
      <c r="B4169" s="2352" t="s">
        <v>6410</v>
      </c>
      <c r="C4169" s="2352" t="s">
        <v>6410</v>
      </c>
      <c r="D4169" s="2352" t="s">
        <v>17540</v>
      </c>
      <c r="E4169" s="355">
        <v>250</v>
      </c>
      <c r="F4169" s="1662">
        <v>150</v>
      </c>
    </row>
    <row r="4170" spans="1:6" ht="15" customHeight="1" x14ac:dyDescent="0.25">
      <c r="A4170" s="2352" t="s">
        <v>17541</v>
      </c>
      <c r="B4170" s="2352" t="s">
        <v>6410</v>
      </c>
      <c r="C4170" s="2352" t="s">
        <v>6410</v>
      </c>
      <c r="D4170" s="2352" t="s">
        <v>17542</v>
      </c>
      <c r="E4170" s="355">
        <v>100</v>
      </c>
      <c r="F4170" s="1662">
        <v>30</v>
      </c>
    </row>
    <row r="4171" spans="1:6" ht="15" customHeight="1" x14ac:dyDescent="0.25">
      <c r="A4171" s="2352" t="s">
        <v>17543</v>
      </c>
      <c r="B4171" s="2352" t="s">
        <v>6410</v>
      </c>
      <c r="C4171" s="2352" t="s">
        <v>6410</v>
      </c>
      <c r="D4171" s="2352" t="s">
        <v>17544</v>
      </c>
      <c r="E4171" s="355">
        <v>63</v>
      </c>
      <c r="F4171" s="1662">
        <v>10</v>
      </c>
    </row>
    <row r="4172" spans="1:6" ht="15" customHeight="1" x14ac:dyDescent="0.25">
      <c r="A4172" s="2352" t="s">
        <v>17545</v>
      </c>
      <c r="B4172" s="2352" t="s">
        <v>6410</v>
      </c>
      <c r="C4172" s="2352" t="s">
        <v>6410</v>
      </c>
      <c r="D4172" s="2352" t="s">
        <v>17546</v>
      </c>
      <c r="E4172" s="355">
        <v>63</v>
      </c>
      <c r="F4172" s="1662">
        <v>5</v>
      </c>
    </row>
    <row r="4173" spans="1:6" ht="15" customHeight="1" x14ac:dyDescent="0.25">
      <c r="A4173" s="2352" t="s">
        <v>17547</v>
      </c>
      <c r="B4173" s="2352" t="s">
        <v>6410</v>
      </c>
      <c r="C4173" s="2352" t="s">
        <v>6410</v>
      </c>
      <c r="D4173" s="2352" t="s">
        <v>17548</v>
      </c>
      <c r="E4173" s="355">
        <v>160</v>
      </c>
      <c r="F4173" s="1662">
        <v>10</v>
      </c>
    </row>
    <row r="4174" spans="1:6" ht="15" customHeight="1" x14ac:dyDescent="0.25">
      <c r="A4174" s="2352" t="s">
        <v>17549</v>
      </c>
      <c r="B4174" s="2352" t="s">
        <v>6410</v>
      </c>
      <c r="C4174" s="2352" t="s">
        <v>6410</v>
      </c>
      <c r="D4174" s="2352" t="s">
        <v>17550</v>
      </c>
      <c r="E4174" s="355">
        <v>63</v>
      </c>
      <c r="F4174" s="1662">
        <v>5</v>
      </c>
    </row>
    <row r="4175" spans="1:6" ht="15" customHeight="1" x14ac:dyDescent="0.25">
      <c r="A4175" s="2352" t="s">
        <v>17551</v>
      </c>
      <c r="B4175" s="2352" t="s">
        <v>6410</v>
      </c>
      <c r="C4175" s="2352" t="s">
        <v>6410</v>
      </c>
      <c r="D4175" s="2352" t="s">
        <v>17552</v>
      </c>
      <c r="E4175" s="355">
        <v>160</v>
      </c>
      <c r="F4175" s="1662">
        <v>50</v>
      </c>
    </row>
    <row r="4176" spans="1:6" ht="15" customHeight="1" x14ac:dyDescent="0.25">
      <c r="A4176" s="2352" t="s">
        <v>17553</v>
      </c>
      <c r="B4176" s="2352" t="s">
        <v>6410</v>
      </c>
      <c r="C4176" s="2352" t="s">
        <v>6410</v>
      </c>
      <c r="D4176" s="2352" t="s">
        <v>17554</v>
      </c>
      <c r="E4176" s="355">
        <v>100</v>
      </c>
      <c r="F4176" s="1662">
        <v>20</v>
      </c>
    </row>
    <row r="4177" spans="1:6" ht="15" customHeight="1" x14ac:dyDescent="0.25">
      <c r="A4177" s="2352" t="s">
        <v>17555</v>
      </c>
      <c r="B4177" s="2352" t="s">
        <v>6410</v>
      </c>
      <c r="C4177" s="2352" t="s">
        <v>6410</v>
      </c>
      <c r="D4177" s="2352" t="s">
        <v>17556</v>
      </c>
      <c r="E4177" s="355">
        <v>630</v>
      </c>
      <c r="F4177" s="1662">
        <v>120</v>
      </c>
    </row>
    <row r="4178" spans="1:6" ht="15" customHeight="1" x14ac:dyDescent="0.25">
      <c r="A4178" s="2352" t="s">
        <v>17557</v>
      </c>
      <c r="B4178" s="2352" t="s">
        <v>6410</v>
      </c>
      <c r="C4178" s="2352" t="s">
        <v>6410</v>
      </c>
      <c r="D4178" s="2352" t="s">
        <v>17558</v>
      </c>
      <c r="E4178" s="355">
        <v>60</v>
      </c>
      <c r="F4178" s="1662">
        <v>10</v>
      </c>
    </row>
    <row r="4179" spans="1:6" ht="15" customHeight="1" x14ac:dyDescent="0.25">
      <c r="A4179" s="2352" t="s">
        <v>17559</v>
      </c>
      <c r="B4179" s="2352" t="s">
        <v>6410</v>
      </c>
      <c r="C4179" s="2352" t="s">
        <v>6410</v>
      </c>
      <c r="D4179" s="2352" t="s">
        <v>17560</v>
      </c>
      <c r="E4179" s="355">
        <v>60</v>
      </c>
      <c r="F4179" s="1662">
        <v>30</v>
      </c>
    </row>
    <row r="4180" spans="1:6" ht="15" customHeight="1" x14ac:dyDescent="0.25">
      <c r="A4180" s="2352" t="s">
        <v>17561</v>
      </c>
      <c r="B4180" s="2352" t="s">
        <v>6410</v>
      </c>
      <c r="C4180" s="2352" t="s">
        <v>6410</v>
      </c>
      <c r="D4180" s="2352" t="s">
        <v>17562</v>
      </c>
      <c r="E4180" s="355">
        <v>60</v>
      </c>
      <c r="F4180" s="1662">
        <v>15</v>
      </c>
    </row>
    <row r="4181" spans="1:6" ht="15" customHeight="1" x14ac:dyDescent="0.25">
      <c r="A4181" s="2352" t="s">
        <v>17563</v>
      </c>
      <c r="B4181" s="2352" t="s">
        <v>6410</v>
      </c>
      <c r="C4181" s="2352" t="s">
        <v>6410</v>
      </c>
      <c r="D4181" s="2352" t="s">
        <v>17564</v>
      </c>
      <c r="E4181" s="355">
        <v>100</v>
      </c>
      <c r="F4181" s="1662">
        <v>50</v>
      </c>
    </row>
    <row r="4182" spans="1:6" ht="15" customHeight="1" x14ac:dyDescent="0.25">
      <c r="A4182" s="2352" t="s">
        <v>17565</v>
      </c>
      <c r="B4182" s="2352" t="s">
        <v>6410</v>
      </c>
      <c r="C4182" s="2352" t="s">
        <v>6410</v>
      </c>
      <c r="D4182" s="2352" t="s">
        <v>17566</v>
      </c>
      <c r="E4182" s="355">
        <v>160</v>
      </c>
      <c r="F4182" s="1662">
        <v>15</v>
      </c>
    </row>
    <row r="4183" spans="1:6" ht="15" customHeight="1" x14ac:dyDescent="0.25">
      <c r="A4183" s="2352" t="s">
        <v>17567</v>
      </c>
      <c r="B4183" s="2352" t="s">
        <v>6410</v>
      </c>
      <c r="C4183" s="2352" t="s">
        <v>6410</v>
      </c>
      <c r="D4183" s="2352" t="s">
        <v>17568</v>
      </c>
      <c r="E4183" s="355">
        <v>63</v>
      </c>
      <c r="F4183" s="1662">
        <v>10</v>
      </c>
    </row>
    <row r="4184" spans="1:6" ht="15" customHeight="1" x14ac:dyDescent="0.25">
      <c r="A4184" s="2352" t="s">
        <v>17569</v>
      </c>
      <c r="B4184" s="2352" t="s">
        <v>6410</v>
      </c>
      <c r="C4184" s="2352" t="s">
        <v>6410</v>
      </c>
      <c r="D4184" s="2352" t="s">
        <v>17570</v>
      </c>
      <c r="E4184" s="355">
        <v>100</v>
      </c>
      <c r="F4184" s="1662">
        <v>50</v>
      </c>
    </row>
    <row r="4185" spans="1:6" ht="15" customHeight="1" x14ac:dyDescent="0.25">
      <c r="A4185" s="2352" t="s">
        <v>17571</v>
      </c>
      <c r="B4185" s="2352" t="s">
        <v>6410</v>
      </c>
      <c r="C4185" s="2352" t="s">
        <v>6410</v>
      </c>
      <c r="D4185" s="2352" t="s">
        <v>17572</v>
      </c>
      <c r="E4185" s="355">
        <v>160</v>
      </c>
      <c r="F4185" s="1662">
        <v>20</v>
      </c>
    </row>
    <row r="4186" spans="1:6" ht="15" customHeight="1" x14ac:dyDescent="0.25">
      <c r="A4186" s="2352" t="s">
        <v>17573</v>
      </c>
      <c r="B4186" s="2352" t="s">
        <v>6410</v>
      </c>
      <c r="C4186" s="2352" t="s">
        <v>6410</v>
      </c>
      <c r="D4186" s="2352" t="s">
        <v>17574</v>
      </c>
      <c r="E4186" s="355">
        <v>160</v>
      </c>
      <c r="F4186" s="1662">
        <v>20</v>
      </c>
    </row>
    <row r="4187" spans="1:6" ht="15" customHeight="1" x14ac:dyDescent="0.25">
      <c r="A4187" s="2352" t="s">
        <v>17575</v>
      </c>
      <c r="B4187" s="2352" t="s">
        <v>6410</v>
      </c>
      <c r="C4187" s="2352" t="s">
        <v>6410</v>
      </c>
      <c r="D4187" s="2352" t="s">
        <v>17576</v>
      </c>
      <c r="E4187" s="355">
        <v>63</v>
      </c>
      <c r="F4187" s="1662">
        <v>10</v>
      </c>
    </row>
    <row r="4188" spans="1:6" ht="15" customHeight="1" x14ac:dyDescent="0.25">
      <c r="A4188" s="2352" t="s">
        <v>17577</v>
      </c>
      <c r="B4188" s="2352" t="s">
        <v>6410</v>
      </c>
      <c r="C4188" s="2352" t="s">
        <v>6410</v>
      </c>
      <c r="D4188" s="2352" t="s">
        <v>17578</v>
      </c>
      <c r="E4188" s="355">
        <v>63</v>
      </c>
      <c r="F4188" s="1662">
        <v>15</v>
      </c>
    </row>
    <row r="4189" spans="1:6" ht="15" customHeight="1" x14ac:dyDescent="0.25">
      <c r="A4189" s="2352" t="s">
        <v>17579</v>
      </c>
      <c r="B4189" s="2352" t="s">
        <v>6410</v>
      </c>
      <c r="C4189" s="2352" t="s">
        <v>6410</v>
      </c>
      <c r="D4189" s="2352" t="s">
        <v>17580</v>
      </c>
      <c r="E4189" s="355">
        <v>400</v>
      </c>
      <c r="F4189" s="1662">
        <v>95</v>
      </c>
    </row>
    <row r="4190" spans="1:6" ht="15" customHeight="1" x14ac:dyDescent="0.25">
      <c r="A4190" s="2352" t="s">
        <v>17581</v>
      </c>
      <c r="B4190" s="2352" t="s">
        <v>6410</v>
      </c>
      <c r="C4190" s="2352" t="s">
        <v>6410</v>
      </c>
      <c r="D4190" s="2352" t="s">
        <v>17582</v>
      </c>
      <c r="E4190" s="355">
        <v>400</v>
      </c>
      <c r="F4190" s="1662">
        <v>70</v>
      </c>
    </row>
    <row r="4191" spans="1:6" ht="15" customHeight="1" x14ac:dyDescent="0.25">
      <c r="A4191" s="2352" t="s">
        <v>17583</v>
      </c>
      <c r="B4191" s="2352" t="s">
        <v>6410</v>
      </c>
      <c r="C4191" s="2352" t="s">
        <v>6410</v>
      </c>
      <c r="D4191" s="2352" t="s">
        <v>17584</v>
      </c>
      <c r="E4191" s="355">
        <v>400</v>
      </c>
      <c r="F4191" s="1662">
        <v>60</v>
      </c>
    </row>
    <row r="4192" spans="1:6" ht="15" customHeight="1" x14ac:dyDescent="0.25">
      <c r="A4192" s="2352" t="s">
        <v>17585</v>
      </c>
      <c r="B4192" s="2352" t="s">
        <v>6410</v>
      </c>
      <c r="C4192" s="2352" t="s">
        <v>6410</v>
      </c>
      <c r="D4192" s="2352" t="s">
        <v>17586</v>
      </c>
      <c r="E4192" s="355">
        <v>400</v>
      </c>
      <c r="F4192" s="1662">
        <v>100</v>
      </c>
    </row>
    <row r="4193" spans="1:6" ht="15" customHeight="1" x14ac:dyDescent="0.25">
      <c r="A4193" s="2352" t="s">
        <v>17587</v>
      </c>
      <c r="B4193" s="2352" t="s">
        <v>6410</v>
      </c>
      <c r="C4193" s="2352" t="s">
        <v>6410</v>
      </c>
      <c r="D4193" s="2352" t="s">
        <v>17588</v>
      </c>
      <c r="E4193" s="355">
        <v>250</v>
      </c>
      <c r="F4193" s="1662">
        <v>10</v>
      </c>
    </row>
    <row r="4194" spans="1:6" ht="15" customHeight="1" x14ac:dyDescent="0.25">
      <c r="A4194" s="2352" t="s">
        <v>17589</v>
      </c>
      <c r="B4194" s="2352" t="s">
        <v>6410</v>
      </c>
      <c r="C4194" s="2352" t="s">
        <v>6410</v>
      </c>
      <c r="D4194" s="2352" t="s">
        <v>17590</v>
      </c>
      <c r="E4194" s="355">
        <v>100</v>
      </c>
      <c r="F4194" s="1662">
        <v>25</v>
      </c>
    </row>
    <row r="4195" spans="1:6" ht="15" customHeight="1" x14ac:dyDescent="0.25">
      <c r="A4195" s="2352" t="s">
        <v>17591</v>
      </c>
      <c r="B4195" s="2352" t="s">
        <v>6410</v>
      </c>
      <c r="C4195" s="2352" t="s">
        <v>6410</v>
      </c>
      <c r="D4195" s="2352" t="s">
        <v>17592</v>
      </c>
      <c r="E4195" s="355">
        <v>250</v>
      </c>
      <c r="F4195" s="1662">
        <v>40</v>
      </c>
    </row>
    <row r="4196" spans="1:6" ht="15" customHeight="1" x14ac:dyDescent="0.25">
      <c r="A4196" s="2352" t="s">
        <v>17593</v>
      </c>
      <c r="B4196" s="2352" t="s">
        <v>6410</v>
      </c>
      <c r="C4196" s="2352" t="s">
        <v>6410</v>
      </c>
      <c r="D4196" s="2352" t="s">
        <v>17594</v>
      </c>
      <c r="E4196" s="355">
        <v>63</v>
      </c>
      <c r="F4196" s="1662">
        <v>20</v>
      </c>
    </row>
    <row r="4197" spans="1:6" ht="15" customHeight="1" x14ac:dyDescent="0.25">
      <c r="A4197" s="2352" t="s">
        <v>17595</v>
      </c>
      <c r="B4197" s="2352" t="s">
        <v>6410</v>
      </c>
      <c r="C4197" s="2352" t="s">
        <v>6410</v>
      </c>
      <c r="D4197" s="2352" t="s">
        <v>17596</v>
      </c>
      <c r="E4197" s="355">
        <v>100</v>
      </c>
      <c r="F4197" s="1662">
        <v>60</v>
      </c>
    </row>
    <row r="4198" spans="1:6" ht="15" customHeight="1" x14ac:dyDescent="0.25">
      <c r="A4198" s="2352" t="s">
        <v>17597</v>
      </c>
      <c r="B4198" s="2352" t="s">
        <v>6410</v>
      </c>
      <c r="C4198" s="2352" t="s">
        <v>6410</v>
      </c>
      <c r="D4198" s="2352" t="s">
        <v>17598</v>
      </c>
      <c r="E4198" s="355">
        <v>63</v>
      </c>
      <c r="F4198" s="1662">
        <v>40</v>
      </c>
    </row>
    <row r="4199" spans="1:6" ht="15" customHeight="1" x14ac:dyDescent="0.25">
      <c r="A4199" s="2352" t="s">
        <v>17599</v>
      </c>
      <c r="B4199" s="2352" t="s">
        <v>6410</v>
      </c>
      <c r="C4199" s="2352" t="s">
        <v>6410</v>
      </c>
      <c r="D4199" s="2352" t="s">
        <v>17600</v>
      </c>
      <c r="E4199" s="355">
        <v>10</v>
      </c>
      <c r="F4199" s="1662">
        <v>1</v>
      </c>
    </row>
    <row r="4200" spans="1:6" ht="15" customHeight="1" x14ac:dyDescent="0.25">
      <c r="A4200" s="2352" t="s">
        <v>17601</v>
      </c>
      <c r="B4200" s="2352" t="s">
        <v>6410</v>
      </c>
      <c r="C4200" s="2352" t="s">
        <v>6410</v>
      </c>
      <c r="D4200" s="2352" t="s">
        <v>17602</v>
      </c>
      <c r="E4200" s="355">
        <v>30</v>
      </c>
      <c r="F4200" s="1662">
        <v>10</v>
      </c>
    </row>
    <row r="4201" spans="1:6" ht="15" customHeight="1" x14ac:dyDescent="0.25">
      <c r="A4201" s="2352" t="s">
        <v>17603</v>
      </c>
      <c r="B4201" s="2352" t="s">
        <v>6410</v>
      </c>
      <c r="C4201" s="2352" t="s">
        <v>6410</v>
      </c>
      <c r="D4201" s="2352" t="s">
        <v>17604</v>
      </c>
      <c r="E4201" s="355">
        <v>60</v>
      </c>
      <c r="F4201" s="1662">
        <v>40</v>
      </c>
    </row>
    <row r="4202" spans="1:6" ht="15" customHeight="1" x14ac:dyDescent="0.25">
      <c r="A4202" s="2352" t="s">
        <v>17605</v>
      </c>
      <c r="B4202" s="2352" t="s">
        <v>6410</v>
      </c>
      <c r="C4202" s="2352" t="s">
        <v>6410</v>
      </c>
      <c r="D4202" s="2352" t="s">
        <v>17606</v>
      </c>
      <c r="E4202" s="355">
        <v>160</v>
      </c>
      <c r="F4202" s="1662">
        <v>10</v>
      </c>
    </row>
    <row r="4203" spans="1:6" ht="15" customHeight="1" x14ac:dyDescent="0.25">
      <c r="A4203" s="2352" t="s">
        <v>17607</v>
      </c>
      <c r="B4203" s="2352" t="s">
        <v>6410</v>
      </c>
      <c r="C4203" s="2352" t="s">
        <v>6410</v>
      </c>
      <c r="D4203" s="2352" t="s">
        <v>17608</v>
      </c>
      <c r="E4203" s="355">
        <v>160</v>
      </c>
      <c r="F4203" s="1662">
        <v>20</v>
      </c>
    </row>
    <row r="4204" spans="1:6" ht="15" customHeight="1" x14ac:dyDescent="0.25">
      <c r="A4204" s="2352" t="s">
        <v>17609</v>
      </c>
      <c r="B4204" s="2352" t="s">
        <v>6410</v>
      </c>
      <c r="C4204" s="2352" t="s">
        <v>6410</v>
      </c>
      <c r="D4204" s="2352" t="s">
        <v>17610</v>
      </c>
      <c r="E4204" s="355">
        <v>400</v>
      </c>
      <c r="F4204" s="1662">
        <v>45</v>
      </c>
    </row>
    <row r="4205" spans="1:6" ht="15" customHeight="1" x14ac:dyDescent="0.25">
      <c r="A4205" s="2352" t="s">
        <v>17611</v>
      </c>
      <c r="B4205" s="2352" t="s">
        <v>6410</v>
      </c>
      <c r="C4205" s="2352" t="s">
        <v>6410</v>
      </c>
      <c r="D4205" s="2352" t="s">
        <v>17612</v>
      </c>
      <c r="E4205" s="355">
        <v>250</v>
      </c>
      <c r="F4205" s="1662">
        <v>15</v>
      </c>
    </row>
    <row r="4206" spans="1:6" ht="15" customHeight="1" x14ac:dyDescent="0.25">
      <c r="A4206" s="2352" t="s">
        <v>17613</v>
      </c>
      <c r="B4206" s="2352" t="s">
        <v>6410</v>
      </c>
      <c r="C4206" s="2352" t="s">
        <v>6410</v>
      </c>
      <c r="D4206" s="2352" t="s">
        <v>17614</v>
      </c>
      <c r="E4206" s="355">
        <v>63</v>
      </c>
      <c r="F4206" s="1662">
        <v>15</v>
      </c>
    </row>
    <row r="4207" spans="1:6" ht="15" customHeight="1" x14ac:dyDescent="0.25">
      <c r="A4207" s="2352" t="s">
        <v>17615</v>
      </c>
      <c r="B4207" s="2352" t="s">
        <v>6410</v>
      </c>
      <c r="C4207" s="2352" t="s">
        <v>6410</v>
      </c>
      <c r="D4207" s="2352" t="s">
        <v>17616</v>
      </c>
      <c r="E4207" s="355">
        <v>100</v>
      </c>
      <c r="F4207" s="1662">
        <v>15</v>
      </c>
    </row>
    <row r="4208" spans="1:6" ht="15" customHeight="1" x14ac:dyDescent="0.25">
      <c r="A4208" s="2352" t="s">
        <v>17617</v>
      </c>
      <c r="B4208" s="2352" t="s">
        <v>6410</v>
      </c>
      <c r="C4208" s="2352" t="s">
        <v>6410</v>
      </c>
      <c r="D4208" s="2352" t="s">
        <v>17618</v>
      </c>
      <c r="E4208" s="355">
        <v>63</v>
      </c>
      <c r="F4208" s="1662">
        <v>5</v>
      </c>
    </row>
    <row r="4209" spans="1:6" ht="15" customHeight="1" x14ac:dyDescent="0.25">
      <c r="A4209" s="2352" t="s">
        <v>17619</v>
      </c>
      <c r="B4209" s="2352" t="s">
        <v>6410</v>
      </c>
      <c r="C4209" s="2352" t="s">
        <v>6410</v>
      </c>
      <c r="D4209" s="2352" t="s">
        <v>17620</v>
      </c>
      <c r="E4209" s="355">
        <v>100</v>
      </c>
      <c r="F4209" s="1662">
        <v>65</v>
      </c>
    </row>
    <row r="4210" spans="1:6" ht="15" customHeight="1" x14ac:dyDescent="0.25">
      <c r="A4210" s="2352" t="s">
        <v>17621</v>
      </c>
      <c r="B4210" s="2352" t="s">
        <v>6410</v>
      </c>
      <c r="C4210" s="2352" t="s">
        <v>6410</v>
      </c>
      <c r="D4210" s="2352" t="s">
        <v>17622</v>
      </c>
      <c r="E4210" s="355">
        <v>160</v>
      </c>
      <c r="F4210" s="1662">
        <v>60</v>
      </c>
    </row>
    <row r="4211" spans="1:6" ht="15" customHeight="1" x14ac:dyDescent="0.25">
      <c r="A4211" s="2352" t="s">
        <v>17623</v>
      </c>
      <c r="B4211" s="2352" t="s">
        <v>6410</v>
      </c>
      <c r="C4211" s="2352" t="s">
        <v>6410</v>
      </c>
      <c r="D4211" s="2352" t="s">
        <v>17624</v>
      </c>
      <c r="E4211" s="355">
        <v>100</v>
      </c>
      <c r="F4211" s="1662">
        <v>20</v>
      </c>
    </row>
    <row r="4212" spans="1:6" ht="15" customHeight="1" x14ac:dyDescent="0.25">
      <c r="A4212" s="2352" t="s">
        <v>17625</v>
      </c>
      <c r="B4212" s="2352" t="s">
        <v>6410</v>
      </c>
      <c r="C4212" s="2352" t="s">
        <v>6410</v>
      </c>
      <c r="D4212" s="2352" t="s">
        <v>17626</v>
      </c>
      <c r="E4212" s="355">
        <v>250</v>
      </c>
      <c r="F4212" s="1662">
        <v>55</v>
      </c>
    </row>
    <row r="4213" spans="1:6" ht="15" customHeight="1" x14ac:dyDescent="0.25">
      <c r="A4213" s="2352" t="s">
        <v>17627</v>
      </c>
      <c r="B4213" s="2352" t="s">
        <v>6410</v>
      </c>
      <c r="C4213" s="2352" t="s">
        <v>6410</v>
      </c>
      <c r="D4213" s="2352" t="s">
        <v>17628</v>
      </c>
      <c r="E4213" s="355">
        <v>63</v>
      </c>
      <c r="F4213" s="1662">
        <v>25</v>
      </c>
    </row>
    <row r="4214" spans="1:6" ht="15" customHeight="1" x14ac:dyDescent="0.25">
      <c r="A4214" s="2352" t="s">
        <v>17629</v>
      </c>
      <c r="B4214" s="2352" t="s">
        <v>6410</v>
      </c>
      <c r="C4214" s="2352" t="s">
        <v>6410</v>
      </c>
      <c r="D4214" s="2352" t="s">
        <v>17630</v>
      </c>
      <c r="E4214" s="355">
        <v>160</v>
      </c>
      <c r="F4214" s="1662">
        <v>25</v>
      </c>
    </row>
    <row r="4215" spans="1:6" ht="15" customHeight="1" x14ac:dyDescent="0.25">
      <c r="A4215" s="2352" t="s">
        <v>17631</v>
      </c>
      <c r="B4215" s="2352" t="s">
        <v>6410</v>
      </c>
      <c r="C4215" s="2352" t="s">
        <v>6410</v>
      </c>
      <c r="D4215" s="2352" t="s">
        <v>17632</v>
      </c>
      <c r="E4215" s="355">
        <v>100</v>
      </c>
      <c r="F4215" s="1662">
        <v>10</v>
      </c>
    </row>
    <row r="4216" spans="1:6" ht="15" customHeight="1" x14ac:dyDescent="0.25">
      <c r="A4216" s="2352" t="s">
        <v>17633</v>
      </c>
      <c r="B4216" s="2352" t="s">
        <v>6410</v>
      </c>
      <c r="C4216" s="2352" t="s">
        <v>6410</v>
      </c>
      <c r="D4216" s="2352" t="s">
        <v>17634</v>
      </c>
      <c r="E4216" s="355">
        <v>60</v>
      </c>
      <c r="F4216" s="1662">
        <v>15</v>
      </c>
    </row>
    <row r="4217" spans="1:6" ht="15" customHeight="1" x14ac:dyDescent="0.25">
      <c r="A4217" s="2352" t="s">
        <v>17635</v>
      </c>
      <c r="B4217" s="2352" t="s">
        <v>6410</v>
      </c>
      <c r="C4217" s="2352" t="s">
        <v>6410</v>
      </c>
      <c r="D4217" s="2352" t="s">
        <v>17636</v>
      </c>
      <c r="E4217" s="355">
        <v>100</v>
      </c>
      <c r="F4217" s="1662">
        <v>10</v>
      </c>
    </row>
    <row r="4218" spans="1:6" ht="15" customHeight="1" x14ac:dyDescent="0.25">
      <c r="A4218" s="2352" t="s">
        <v>17637</v>
      </c>
      <c r="B4218" s="2352" t="s">
        <v>6410</v>
      </c>
      <c r="C4218" s="2352" t="s">
        <v>6410</v>
      </c>
      <c r="D4218" s="2352" t="s">
        <v>17638</v>
      </c>
      <c r="E4218" s="355">
        <v>30</v>
      </c>
      <c r="F4218" s="1662">
        <v>5</v>
      </c>
    </row>
    <row r="4219" spans="1:6" ht="15" customHeight="1" x14ac:dyDescent="0.25">
      <c r="A4219" s="2352" t="s">
        <v>17639</v>
      </c>
      <c r="B4219" s="2352" t="s">
        <v>6410</v>
      </c>
      <c r="C4219" s="2352" t="s">
        <v>6410</v>
      </c>
      <c r="D4219" s="2352" t="s">
        <v>17640</v>
      </c>
      <c r="E4219" s="355">
        <v>20</v>
      </c>
      <c r="F4219" s="1662">
        <v>10</v>
      </c>
    </row>
    <row r="4220" spans="1:6" ht="15" customHeight="1" x14ac:dyDescent="0.25">
      <c r="A4220" s="2352" t="s">
        <v>17641</v>
      </c>
      <c r="B4220" s="2352" t="s">
        <v>6410</v>
      </c>
      <c r="C4220" s="2352" t="s">
        <v>6410</v>
      </c>
      <c r="D4220" s="2352" t="s">
        <v>17642</v>
      </c>
      <c r="E4220" s="355">
        <v>160</v>
      </c>
      <c r="F4220" s="1662">
        <v>60</v>
      </c>
    </row>
    <row r="4221" spans="1:6" ht="15" customHeight="1" x14ac:dyDescent="0.25">
      <c r="A4221" s="2352" t="s">
        <v>17643</v>
      </c>
      <c r="B4221" s="2352" t="s">
        <v>6410</v>
      </c>
      <c r="C4221" s="2352" t="s">
        <v>6410</v>
      </c>
      <c r="D4221" s="2352" t="s">
        <v>17644</v>
      </c>
      <c r="E4221" s="355">
        <v>400</v>
      </c>
      <c r="F4221" s="1662">
        <v>80</v>
      </c>
    </row>
    <row r="4222" spans="1:6" ht="15" customHeight="1" x14ac:dyDescent="0.25">
      <c r="A4222" s="2352" t="s">
        <v>17645</v>
      </c>
      <c r="B4222" s="2352" t="s">
        <v>6410</v>
      </c>
      <c r="C4222" s="2352" t="s">
        <v>6410</v>
      </c>
      <c r="D4222" s="2352" t="s">
        <v>17646</v>
      </c>
      <c r="E4222" s="355">
        <v>250</v>
      </c>
      <c r="F4222" s="1662">
        <v>60</v>
      </c>
    </row>
    <row r="4223" spans="1:6" ht="15" customHeight="1" x14ac:dyDescent="0.25">
      <c r="A4223" s="2352" t="s">
        <v>17647</v>
      </c>
      <c r="B4223" s="2352" t="s">
        <v>6410</v>
      </c>
      <c r="C4223" s="2352" t="s">
        <v>6410</v>
      </c>
      <c r="D4223" s="2352" t="s">
        <v>17648</v>
      </c>
      <c r="E4223" s="355">
        <v>160</v>
      </c>
      <c r="F4223" s="1662">
        <v>25</v>
      </c>
    </row>
    <row r="4224" spans="1:6" ht="15" customHeight="1" x14ac:dyDescent="0.25">
      <c r="A4224" s="2352" t="s">
        <v>17649</v>
      </c>
      <c r="B4224" s="2352" t="s">
        <v>6410</v>
      </c>
      <c r="C4224" s="2352" t="s">
        <v>6410</v>
      </c>
      <c r="D4224" s="2352" t="s">
        <v>17650</v>
      </c>
      <c r="E4224" s="355">
        <v>250</v>
      </c>
      <c r="F4224" s="1662">
        <v>25</v>
      </c>
    </row>
    <row r="4225" spans="1:6" ht="15" customHeight="1" x14ac:dyDescent="0.25">
      <c r="A4225" s="2352" t="s">
        <v>17651</v>
      </c>
      <c r="B4225" s="2352" t="s">
        <v>6410</v>
      </c>
      <c r="C4225" s="2352" t="s">
        <v>6410</v>
      </c>
      <c r="D4225" s="2352" t="s">
        <v>17652</v>
      </c>
      <c r="E4225" s="355">
        <v>400</v>
      </c>
      <c r="F4225" s="1662">
        <v>30</v>
      </c>
    </row>
    <row r="4226" spans="1:6" ht="15" customHeight="1" x14ac:dyDescent="0.25">
      <c r="A4226" s="2352" t="s">
        <v>17653</v>
      </c>
      <c r="B4226" s="2352" t="s">
        <v>6410</v>
      </c>
      <c r="C4226" s="2352" t="s">
        <v>6410</v>
      </c>
      <c r="D4226" s="2352" t="s">
        <v>17654</v>
      </c>
      <c r="E4226" s="355">
        <v>60</v>
      </c>
      <c r="F4226" s="1662">
        <v>20</v>
      </c>
    </row>
    <row r="4227" spans="1:6" ht="15" customHeight="1" x14ac:dyDescent="0.25">
      <c r="A4227" s="2352" t="s">
        <v>17655</v>
      </c>
      <c r="B4227" s="2352" t="s">
        <v>6410</v>
      </c>
      <c r="C4227" s="2352" t="s">
        <v>6410</v>
      </c>
      <c r="D4227" s="2352" t="s">
        <v>17656</v>
      </c>
      <c r="E4227" s="355">
        <v>100</v>
      </c>
      <c r="F4227" s="1662">
        <v>5</v>
      </c>
    </row>
    <row r="4228" spans="1:6" ht="15" customHeight="1" x14ac:dyDescent="0.25">
      <c r="A4228" s="2352" t="s">
        <v>17657</v>
      </c>
      <c r="B4228" s="2352" t="s">
        <v>6410</v>
      </c>
      <c r="C4228" s="2352" t="s">
        <v>6410</v>
      </c>
      <c r="D4228" s="2352" t="s">
        <v>17658</v>
      </c>
      <c r="E4228" s="355">
        <v>100</v>
      </c>
      <c r="F4228" s="1662">
        <v>60</v>
      </c>
    </row>
    <row r="4229" spans="1:6" ht="15" customHeight="1" x14ac:dyDescent="0.25">
      <c r="A4229" s="2352" t="s">
        <v>17659</v>
      </c>
      <c r="B4229" s="2352" t="s">
        <v>6410</v>
      </c>
      <c r="C4229" s="2352" t="s">
        <v>6410</v>
      </c>
      <c r="D4229" s="2352" t="s">
        <v>17660</v>
      </c>
      <c r="E4229" s="355">
        <v>63</v>
      </c>
      <c r="F4229" s="1662">
        <v>5</v>
      </c>
    </row>
    <row r="4230" spans="1:6" ht="15" customHeight="1" x14ac:dyDescent="0.25">
      <c r="A4230" s="2352" t="s">
        <v>17661</v>
      </c>
      <c r="B4230" s="2352" t="s">
        <v>6410</v>
      </c>
      <c r="C4230" s="2352" t="s">
        <v>6410</v>
      </c>
      <c r="D4230" s="2352" t="s">
        <v>17662</v>
      </c>
      <c r="E4230" s="355">
        <v>100</v>
      </c>
      <c r="F4230" s="1662">
        <v>10</v>
      </c>
    </row>
    <row r="4231" spans="1:6" ht="15" customHeight="1" x14ac:dyDescent="0.25">
      <c r="A4231" s="2352" t="s">
        <v>17663</v>
      </c>
      <c r="B4231" s="2352" t="s">
        <v>6410</v>
      </c>
      <c r="C4231" s="2352" t="s">
        <v>6410</v>
      </c>
      <c r="D4231" s="2352" t="s">
        <v>17664</v>
      </c>
      <c r="E4231" s="355">
        <v>400</v>
      </c>
      <c r="F4231" s="1662">
        <v>100</v>
      </c>
    </row>
    <row r="4232" spans="1:6" ht="15" customHeight="1" x14ac:dyDescent="0.25">
      <c r="A4232" s="2352" t="s">
        <v>17665</v>
      </c>
      <c r="B4232" s="2352" t="s">
        <v>6410</v>
      </c>
      <c r="C4232" s="2352" t="s">
        <v>6410</v>
      </c>
      <c r="D4232" s="2352" t="s">
        <v>17666</v>
      </c>
      <c r="E4232" s="355">
        <v>400</v>
      </c>
      <c r="F4232" s="1662">
        <v>60</v>
      </c>
    </row>
    <row r="4233" spans="1:6" ht="15" customHeight="1" x14ac:dyDescent="0.25">
      <c r="A4233" s="2352" t="s">
        <v>17667</v>
      </c>
      <c r="B4233" s="2352" t="s">
        <v>6410</v>
      </c>
      <c r="C4233" s="2352" t="s">
        <v>6410</v>
      </c>
      <c r="D4233" s="2352" t="s">
        <v>17668</v>
      </c>
      <c r="E4233" s="355">
        <v>100</v>
      </c>
      <c r="F4233" s="1662">
        <v>2</v>
      </c>
    </row>
    <row r="4234" spans="1:6" ht="15" customHeight="1" x14ac:dyDescent="0.25">
      <c r="A4234" s="2352" t="s">
        <v>17669</v>
      </c>
      <c r="B4234" s="2352" t="s">
        <v>6410</v>
      </c>
      <c r="C4234" s="2352" t="s">
        <v>6410</v>
      </c>
      <c r="D4234" s="2352" t="s">
        <v>17670</v>
      </c>
      <c r="E4234" s="355">
        <v>100</v>
      </c>
      <c r="F4234" s="1662">
        <v>5</v>
      </c>
    </row>
    <row r="4235" spans="1:6" ht="15" customHeight="1" x14ac:dyDescent="0.25">
      <c r="A4235" s="2352" t="s">
        <v>17671</v>
      </c>
      <c r="B4235" s="2352" t="s">
        <v>6410</v>
      </c>
      <c r="C4235" s="2352" t="s">
        <v>6410</v>
      </c>
      <c r="D4235" s="2352" t="s">
        <v>17672</v>
      </c>
      <c r="E4235" s="355">
        <v>100</v>
      </c>
      <c r="F4235" s="1662">
        <v>5</v>
      </c>
    </row>
    <row r="4236" spans="1:6" ht="15" customHeight="1" x14ac:dyDescent="0.25">
      <c r="A4236" s="2352" t="s">
        <v>17673</v>
      </c>
      <c r="B4236" s="2352" t="s">
        <v>6410</v>
      </c>
      <c r="C4236" s="2352" t="s">
        <v>6410</v>
      </c>
      <c r="D4236" s="2352" t="s">
        <v>17674</v>
      </c>
      <c r="E4236" s="355">
        <v>100</v>
      </c>
      <c r="F4236" s="1662">
        <v>90</v>
      </c>
    </row>
    <row r="4237" spans="1:6" ht="15" customHeight="1" x14ac:dyDescent="0.25">
      <c r="A4237" s="2352" t="s">
        <v>17675</v>
      </c>
      <c r="B4237" s="2352" t="s">
        <v>6410</v>
      </c>
      <c r="C4237" s="2352" t="s">
        <v>6410</v>
      </c>
      <c r="D4237" s="2352" t="s">
        <v>17676</v>
      </c>
      <c r="E4237" s="355">
        <v>160</v>
      </c>
      <c r="F4237" s="1662">
        <v>150</v>
      </c>
    </row>
    <row r="4238" spans="1:6" ht="15" customHeight="1" x14ac:dyDescent="0.25">
      <c r="A4238" s="2352" t="s">
        <v>17677</v>
      </c>
      <c r="B4238" s="2352" t="s">
        <v>6410</v>
      </c>
      <c r="C4238" s="2352" t="s">
        <v>6410</v>
      </c>
      <c r="D4238" s="2352" t="s">
        <v>17678</v>
      </c>
      <c r="E4238" s="355">
        <v>100</v>
      </c>
      <c r="F4238" s="1662">
        <v>10</v>
      </c>
    </row>
    <row r="4239" spans="1:6" ht="15" customHeight="1" x14ac:dyDescent="0.25">
      <c r="A4239" s="2352" t="s">
        <v>17679</v>
      </c>
      <c r="B4239" s="2352" t="s">
        <v>6410</v>
      </c>
      <c r="C4239" s="2352" t="s">
        <v>6410</v>
      </c>
      <c r="D4239" s="2352" t="s">
        <v>17680</v>
      </c>
      <c r="E4239" s="355">
        <v>250</v>
      </c>
      <c r="F4239" s="1662">
        <v>20</v>
      </c>
    </row>
    <row r="4240" spans="1:6" ht="15" customHeight="1" x14ac:dyDescent="0.25">
      <c r="A4240" s="2352" t="s">
        <v>6428</v>
      </c>
      <c r="B4240" s="2352" t="s">
        <v>6410</v>
      </c>
      <c r="C4240" s="2352" t="s">
        <v>6410</v>
      </c>
      <c r="D4240" s="2352" t="s">
        <v>17681</v>
      </c>
      <c r="E4240" s="355">
        <v>30</v>
      </c>
      <c r="F4240" s="1662">
        <v>15</v>
      </c>
    </row>
    <row r="4241" spans="1:6" ht="15" customHeight="1" x14ac:dyDescent="0.25">
      <c r="A4241" s="2352" t="s">
        <v>6430</v>
      </c>
      <c r="B4241" s="2352" t="s">
        <v>6410</v>
      </c>
      <c r="C4241" s="2352" t="s">
        <v>6410</v>
      </c>
      <c r="D4241" s="2352" t="s">
        <v>17682</v>
      </c>
      <c r="E4241" s="355">
        <v>60</v>
      </c>
      <c r="F4241" s="1662">
        <v>40</v>
      </c>
    </row>
    <row r="4242" spans="1:6" ht="15" customHeight="1" x14ac:dyDescent="0.25">
      <c r="A4242" s="2352" t="s">
        <v>17683</v>
      </c>
      <c r="B4242" s="2352" t="s">
        <v>6410</v>
      </c>
      <c r="C4242" s="2352" t="s">
        <v>6410</v>
      </c>
      <c r="D4242" s="2352" t="s">
        <v>17684</v>
      </c>
      <c r="E4242" s="355">
        <v>250</v>
      </c>
      <c r="F4242" s="1662">
        <v>180</v>
      </c>
    </row>
    <row r="4243" spans="1:6" ht="15" customHeight="1" x14ac:dyDescent="0.25">
      <c r="A4243" s="2352" t="s">
        <v>17685</v>
      </c>
      <c r="B4243" s="2352" t="s">
        <v>6410</v>
      </c>
      <c r="C4243" s="2352" t="s">
        <v>6410</v>
      </c>
      <c r="D4243" s="2352" t="s">
        <v>17686</v>
      </c>
      <c r="E4243" s="355">
        <v>160</v>
      </c>
      <c r="F4243" s="1662">
        <v>40</v>
      </c>
    </row>
    <row r="4244" spans="1:6" ht="15" customHeight="1" x14ac:dyDescent="0.25">
      <c r="A4244" s="2352" t="s">
        <v>17687</v>
      </c>
      <c r="B4244" s="2352" t="s">
        <v>6410</v>
      </c>
      <c r="C4244" s="2352" t="s">
        <v>6410</v>
      </c>
      <c r="D4244" s="2352" t="s">
        <v>17688</v>
      </c>
      <c r="E4244" s="355">
        <v>100</v>
      </c>
      <c r="F4244" s="1662">
        <v>20</v>
      </c>
    </row>
    <row r="4245" spans="1:6" ht="15" customHeight="1" x14ac:dyDescent="0.25">
      <c r="A4245" s="2352" t="s">
        <v>6431</v>
      </c>
      <c r="B4245" s="2352" t="s">
        <v>6410</v>
      </c>
      <c r="C4245" s="2352" t="s">
        <v>6410</v>
      </c>
      <c r="D4245" s="2352" t="s">
        <v>17689</v>
      </c>
      <c r="E4245" s="355">
        <v>160</v>
      </c>
      <c r="F4245" s="1662">
        <v>10</v>
      </c>
    </row>
    <row r="4246" spans="1:6" ht="15" customHeight="1" x14ac:dyDescent="0.25">
      <c r="A4246" s="2352" t="s">
        <v>6432</v>
      </c>
      <c r="B4246" s="2352" t="s">
        <v>6410</v>
      </c>
      <c r="C4246" s="2352" t="s">
        <v>6410</v>
      </c>
      <c r="D4246" s="2352" t="s">
        <v>17690</v>
      </c>
      <c r="E4246" s="355">
        <v>100</v>
      </c>
      <c r="F4246" s="1662">
        <v>30</v>
      </c>
    </row>
    <row r="4247" spans="1:6" ht="15" customHeight="1" x14ac:dyDescent="0.25">
      <c r="A4247" s="2352" t="s">
        <v>6433</v>
      </c>
      <c r="B4247" s="2352" t="s">
        <v>6410</v>
      </c>
      <c r="C4247" s="2352" t="s">
        <v>6410</v>
      </c>
      <c r="D4247" s="2352" t="s">
        <v>17691</v>
      </c>
      <c r="E4247" s="355">
        <v>250</v>
      </c>
      <c r="F4247" s="1662">
        <v>20</v>
      </c>
    </row>
    <row r="4248" spans="1:6" ht="15" customHeight="1" x14ac:dyDescent="0.25">
      <c r="A4248" s="2352" t="s">
        <v>6434</v>
      </c>
      <c r="B4248" s="2352" t="s">
        <v>6410</v>
      </c>
      <c r="C4248" s="2352" t="s">
        <v>6410</v>
      </c>
      <c r="D4248" s="2352" t="s">
        <v>17692</v>
      </c>
      <c r="E4248" s="355">
        <v>25</v>
      </c>
      <c r="F4248" s="1662">
        <v>10</v>
      </c>
    </row>
    <row r="4249" spans="1:6" ht="15" customHeight="1" x14ac:dyDescent="0.25">
      <c r="A4249" s="2352" t="s">
        <v>6435</v>
      </c>
      <c r="B4249" s="2352" t="s">
        <v>6410</v>
      </c>
      <c r="C4249" s="2352" t="s">
        <v>6410</v>
      </c>
      <c r="D4249" s="2352" t="s">
        <v>17693</v>
      </c>
      <c r="E4249" s="355">
        <v>160</v>
      </c>
      <c r="F4249" s="1662">
        <v>30</v>
      </c>
    </row>
    <row r="4250" spans="1:6" ht="15" customHeight="1" x14ac:dyDescent="0.25">
      <c r="A4250" s="2352" t="s">
        <v>6436</v>
      </c>
      <c r="B4250" s="2352" t="s">
        <v>6410</v>
      </c>
      <c r="C4250" s="2352" t="s">
        <v>6410</v>
      </c>
      <c r="D4250" s="2352" t="s">
        <v>17694</v>
      </c>
      <c r="E4250" s="355">
        <v>160</v>
      </c>
      <c r="F4250" s="1662">
        <v>30</v>
      </c>
    </row>
    <row r="4251" spans="1:6" ht="15" customHeight="1" x14ac:dyDescent="0.25">
      <c r="A4251" s="2352" t="s">
        <v>17695</v>
      </c>
      <c r="B4251" s="2352" t="s">
        <v>6410</v>
      </c>
      <c r="C4251" s="2352" t="s">
        <v>6410</v>
      </c>
      <c r="D4251" s="2352" t="s">
        <v>17696</v>
      </c>
      <c r="E4251" s="355">
        <v>400</v>
      </c>
      <c r="F4251" s="1662">
        <v>100</v>
      </c>
    </row>
    <row r="4252" spans="1:6" ht="15" customHeight="1" x14ac:dyDescent="0.25">
      <c r="A4252" s="2352" t="s">
        <v>17697</v>
      </c>
      <c r="B4252" s="2352" t="s">
        <v>6410</v>
      </c>
      <c r="C4252" s="2352" t="s">
        <v>6410</v>
      </c>
      <c r="D4252" s="2352" t="s">
        <v>17698</v>
      </c>
      <c r="E4252" s="355">
        <v>250</v>
      </c>
      <c r="F4252" s="1662">
        <v>40</v>
      </c>
    </row>
    <row r="4253" spans="1:6" ht="15" customHeight="1" x14ac:dyDescent="0.25">
      <c r="A4253" s="2352" t="s">
        <v>6437</v>
      </c>
      <c r="B4253" s="2352" t="s">
        <v>6410</v>
      </c>
      <c r="C4253" s="2352" t="s">
        <v>6410</v>
      </c>
      <c r="D4253" s="2352" t="s">
        <v>17699</v>
      </c>
      <c r="E4253" s="355">
        <v>100</v>
      </c>
      <c r="F4253" s="1662">
        <v>30</v>
      </c>
    </row>
    <row r="4254" spans="1:6" ht="15" customHeight="1" x14ac:dyDescent="0.25">
      <c r="A4254" s="2352" t="s">
        <v>17700</v>
      </c>
      <c r="B4254" s="2352" t="s">
        <v>6410</v>
      </c>
      <c r="C4254" s="2352" t="s">
        <v>6410</v>
      </c>
      <c r="D4254" s="2352" t="s">
        <v>17701</v>
      </c>
      <c r="E4254" s="355">
        <v>100</v>
      </c>
      <c r="F4254" s="1662">
        <v>20</v>
      </c>
    </row>
    <row r="4255" spans="1:6" ht="15" customHeight="1" x14ac:dyDescent="0.25">
      <c r="A4255" s="2352" t="s">
        <v>6438</v>
      </c>
      <c r="B4255" s="2352" t="s">
        <v>6410</v>
      </c>
      <c r="C4255" s="2352" t="s">
        <v>6410</v>
      </c>
      <c r="D4255" s="2352" t="s">
        <v>17702</v>
      </c>
      <c r="E4255" s="355">
        <v>250</v>
      </c>
      <c r="F4255" s="1662">
        <v>10</v>
      </c>
    </row>
    <row r="4256" spans="1:6" ht="15" customHeight="1" x14ac:dyDescent="0.25">
      <c r="A4256" s="2352" t="s">
        <v>6439</v>
      </c>
      <c r="B4256" s="2352" t="s">
        <v>6410</v>
      </c>
      <c r="C4256" s="2352" t="s">
        <v>6410</v>
      </c>
      <c r="D4256" s="2352" t="s">
        <v>17703</v>
      </c>
      <c r="E4256" s="355">
        <v>100</v>
      </c>
      <c r="F4256" s="1662">
        <v>5</v>
      </c>
    </row>
    <row r="4257" spans="1:6" ht="15" customHeight="1" x14ac:dyDescent="0.25">
      <c r="A4257" s="2352" t="s">
        <v>6440</v>
      </c>
      <c r="B4257" s="2352" t="s">
        <v>6410</v>
      </c>
      <c r="C4257" s="2352" t="s">
        <v>6410</v>
      </c>
      <c r="D4257" s="2352" t="s">
        <v>17704</v>
      </c>
      <c r="E4257" s="355">
        <v>400</v>
      </c>
      <c r="F4257" s="1662">
        <v>5</v>
      </c>
    </row>
    <row r="4258" spans="1:6" ht="15" customHeight="1" x14ac:dyDescent="0.25">
      <c r="A4258" s="2352" t="s">
        <v>6441</v>
      </c>
      <c r="B4258" s="2352" t="s">
        <v>6410</v>
      </c>
      <c r="C4258" s="2352" t="s">
        <v>6410</v>
      </c>
      <c r="D4258" s="2352" t="s">
        <v>17705</v>
      </c>
      <c r="E4258" s="355">
        <v>100</v>
      </c>
      <c r="F4258" s="1662">
        <v>20</v>
      </c>
    </row>
    <row r="4259" spans="1:6" ht="15" customHeight="1" x14ac:dyDescent="0.25">
      <c r="A4259" s="2352" t="s">
        <v>6443</v>
      </c>
      <c r="B4259" s="2352" t="s">
        <v>6410</v>
      </c>
      <c r="C4259" s="2352" t="s">
        <v>6410</v>
      </c>
      <c r="D4259" s="2352" t="s">
        <v>17706</v>
      </c>
      <c r="E4259" s="355">
        <v>30</v>
      </c>
      <c r="F4259" s="1662">
        <v>15</v>
      </c>
    </row>
    <row r="4260" spans="1:6" ht="15" customHeight="1" x14ac:dyDescent="0.25">
      <c r="A4260" s="2352" t="s">
        <v>6445</v>
      </c>
      <c r="B4260" s="2352" t="s">
        <v>6410</v>
      </c>
      <c r="C4260" s="2352" t="s">
        <v>6410</v>
      </c>
      <c r="D4260" s="2352" t="s">
        <v>17707</v>
      </c>
      <c r="E4260" s="355">
        <v>100</v>
      </c>
      <c r="F4260" s="1662">
        <v>5</v>
      </c>
    </row>
    <row r="4261" spans="1:6" ht="15" customHeight="1" x14ac:dyDescent="0.25">
      <c r="A4261" s="2352" t="s">
        <v>6446</v>
      </c>
      <c r="B4261" s="2352" t="s">
        <v>6410</v>
      </c>
      <c r="C4261" s="2352" t="s">
        <v>6410</v>
      </c>
      <c r="D4261" s="2352" t="s">
        <v>17708</v>
      </c>
      <c r="E4261" s="355">
        <v>30</v>
      </c>
      <c r="F4261" s="1662">
        <v>15</v>
      </c>
    </row>
    <row r="4262" spans="1:6" ht="15" customHeight="1" x14ac:dyDescent="0.25">
      <c r="A4262" s="2352" t="s">
        <v>6448</v>
      </c>
      <c r="B4262" s="2352" t="s">
        <v>6410</v>
      </c>
      <c r="C4262" s="2352" t="s">
        <v>6410</v>
      </c>
      <c r="D4262" s="2352" t="s">
        <v>17709</v>
      </c>
      <c r="E4262" s="355">
        <v>60</v>
      </c>
      <c r="F4262" s="1662">
        <v>10</v>
      </c>
    </row>
    <row r="4263" spans="1:6" ht="15" customHeight="1" x14ac:dyDescent="0.25">
      <c r="A4263" s="2352" t="s">
        <v>6449</v>
      </c>
      <c r="B4263" s="2352" t="s">
        <v>6410</v>
      </c>
      <c r="C4263" s="2352" t="s">
        <v>6410</v>
      </c>
      <c r="D4263" s="2352" t="s">
        <v>17710</v>
      </c>
      <c r="E4263" s="355">
        <v>400</v>
      </c>
      <c r="F4263" s="1662">
        <v>150</v>
      </c>
    </row>
    <row r="4264" spans="1:6" ht="15" customHeight="1" x14ac:dyDescent="0.25">
      <c r="A4264" s="2352" t="s">
        <v>6450</v>
      </c>
      <c r="B4264" s="2352" t="s">
        <v>6410</v>
      </c>
      <c r="C4264" s="2352" t="s">
        <v>6410</v>
      </c>
      <c r="D4264" s="2352" t="s">
        <v>17711</v>
      </c>
      <c r="E4264" s="355">
        <v>100</v>
      </c>
      <c r="F4264" s="1662">
        <v>30</v>
      </c>
    </row>
    <row r="4265" spans="1:6" ht="15" customHeight="1" x14ac:dyDescent="0.25">
      <c r="A4265" s="2352" t="s">
        <v>6452</v>
      </c>
      <c r="B4265" s="2352" t="s">
        <v>6410</v>
      </c>
      <c r="C4265" s="2352" t="s">
        <v>6410</v>
      </c>
      <c r="D4265" s="2352" t="s">
        <v>17712</v>
      </c>
      <c r="E4265" s="355">
        <v>100</v>
      </c>
      <c r="F4265" s="1662">
        <v>20</v>
      </c>
    </row>
    <row r="4266" spans="1:6" ht="15" customHeight="1" x14ac:dyDescent="0.25">
      <c r="A4266" s="2352" t="s">
        <v>6453</v>
      </c>
      <c r="B4266" s="2352" t="s">
        <v>6410</v>
      </c>
      <c r="C4266" s="2352" t="s">
        <v>6410</v>
      </c>
      <c r="D4266" s="2352" t="s">
        <v>17713</v>
      </c>
      <c r="E4266" s="355">
        <v>100</v>
      </c>
      <c r="F4266" s="1662">
        <v>40</v>
      </c>
    </row>
    <row r="4267" spans="1:6" ht="15" customHeight="1" x14ac:dyDescent="0.25">
      <c r="A4267" s="2352" t="s">
        <v>6454</v>
      </c>
      <c r="B4267" s="2352" t="s">
        <v>6410</v>
      </c>
      <c r="C4267" s="2352" t="s">
        <v>6410</v>
      </c>
      <c r="D4267" s="2352" t="s">
        <v>17714</v>
      </c>
      <c r="E4267" s="355">
        <v>60</v>
      </c>
      <c r="F4267" s="1662">
        <v>35</v>
      </c>
    </row>
    <row r="4268" spans="1:6" ht="15" customHeight="1" x14ac:dyDescent="0.25">
      <c r="A4268" s="2352" t="s">
        <v>6455</v>
      </c>
      <c r="B4268" s="2352" t="s">
        <v>6410</v>
      </c>
      <c r="C4268" s="2352" t="s">
        <v>6410</v>
      </c>
      <c r="D4268" s="2352" t="s">
        <v>17715</v>
      </c>
      <c r="E4268" s="355">
        <v>160</v>
      </c>
      <c r="F4268" s="1662">
        <v>20</v>
      </c>
    </row>
    <row r="4269" spans="1:6" ht="15" customHeight="1" x14ac:dyDescent="0.25">
      <c r="A4269" s="2352" t="s">
        <v>6456</v>
      </c>
      <c r="B4269" s="2352" t="s">
        <v>6410</v>
      </c>
      <c r="C4269" s="2352" t="s">
        <v>6410</v>
      </c>
      <c r="D4269" s="2352" t="s">
        <v>17716</v>
      </c>
      <c r="E4269" s="355">
        <v>160</v>
      </c>
      <c r="F4269" s="1662">
        <v>10</v>
      </c>
    </row>
    <row r="4270" spans="1:6" ht="15" customHeight="1" x14ac:dyDescent="0.25">
      <c r="A4270" s="2352" t="s">
        <v>6457</v>
      </c>
      <c r="B4270" s="2352" t="s">
        <v>6410</v>
      </c>
      <c r="C4270" s="2352" t="s">
        <v>6410</v>
      </c>
      <c r="D4270" s="2352" t="s">
        <v>17717</v>
      </c>
      <c r="E4270" s="355">
        <v>60</v>
      </c>
      <c r="F4270" s="1662">
        <v>15</v>
      </c>
    </row>
    <row r="4271" spans="1:6" ht="15" customHeight="1" x14ac:dyDescent="0.25">
      <c r="A4271" s="2352" t="s">
        <v>6458</v>
      </c>
      <c r="B4271" s="2352" t="s">
        <v>6410</v>
      </c>
      <c r="C4271" s="2352" t="s">
        <v>6410</v>
      </c>
      <c r="D4271" s="2352" t="s">
        <v>17718</v>
      </c>
      <c r="E4271" s="355">
        <v>250</v>
      </c>
      <c r="F4271" s="1662">
        <v>90</v>
      </c>
    </row>
    <row r="4272" spans="1:6" ht="15" customHeight="1" x14ac:dyDescent="0.25">
      <c r="A4272" s="2352" t="s">
        <v>6459</v>
      </c>
      <c r="B4272" s="2352" t="s">
        <v>6410</v>
      </c>
      <c r="C4272" s="2352" t="s">
        <v>6410</v>
      </c>
      <c r="D4272" s="2352" t="s">
        <v>17719</v>
      </c>
      <c r="E4272" s="355">
        <v>100</v>
      </c>
      <c r="F4272" s="1662">
        <v>20</v>
      </c>
    </row>
    <row r="4273" spans="1:6" ht="15" customHeight="1" x14ac:dyDescent="0.25">
      <c r="A4273" s="2352" t="s">
        <v>6461</v>
      </c>
      <c r="B4273" s="2352" t="s">
        <v>6410</v>
      </c>
      <c r="C4273" s="2352" t="s">
        <v>6410</v>
      </c>
      <c r="D4273" s="2352" t="s">
        <v>17720</v>
      </c>
      <c r="E4273" s="355">
        <v>63</v>
      </c>
      <c r="F4273" s="1662">
        <v>20</v>
      </c>
    </row>
    <row r="4274" spans="1:6" ht="15" customHeight="1" x14ac:dyDescent="0.25">
      <c r="A4274" s="2352" t="s">
        <v>6463</v>
      </c>
      <c r="B4274" s="2352" t="s">
        <v>6410</v>
      </c>
      <c r="C4274" s="2352" t="s">
        <v>6410</v>
      </c>
      <c r="D4274" s="2352" t="s">
        <v>17721</v>
      </c>
      <c r="E4274" s="355">
        <v>250</v>
      </c>
      <c r="F4274" s="1662">
        <v>100</v>
      </c>
    </row>
    <row r="4275" spans="1:6" ht="15" customHeight="1" x14ac:dyDescent="0.25">
      <c r="A4275" s="2352" t="s">
        <v>6464</v>
      </c>
      <c r="B4275" s="2352" t="s">
        <v>6410</v>
      </c>
      <c r="C4275" s="2352" t="s">
        <v>6410</v>
      </c>
      <c r="D4275" s="2352" t="s">
        <v>17722</v>
      </c>
      <c r="E4275" s="355">
        <v>40</v>
      </c>
      <c r="F4275" s="1662">
        <v>20</v>
      </c>
    </row>
    <row r="4276" spans="1:6" ht="15" customHeight="1" x14ac:dyDescent="0.25">
      <c r="A4276" s="2352" t="s">
        <v>6465</v>
      </c>
      <c r="B4276" s="2352" t="s">
        <v>6410</v>
      </c>
      <c r="C4276" s="2352" t="s">
        <v>6410</v>
      </c>
      <c r="D4276" s="2352" t="s">
        <v>17723</v>
      </c>
      <c r="E4276" s="355">
        <v>40</v>
      </c>
      <c r="F4276" s="1662">
        <v>5</v>
      </c>
    </row>
    <row r="4277" spans="1:6" ht="15" customHeight="1" x14ac:dyDescent="0.25">
      <c r="A4277" s="2352" t="s">
        <v>6467</v>
      </c>
      <c r="B4277" s="2352" t="s">
        <v>6410</v>
      </c>
      <c r="C4277" s="2352" t="s">
        <v>6410</v>
      </c>
      <c r="D4277" s="2352" t="s">
        <v>17724</v>
      </c>
      <c r="E4277" s="355">
        <v>60</v>
      </c>
      <c r="F4277" s="1662">
        <v>50</v>
      </c>
    </row>
    <row r="4278" spans="1:6" ht="15" customHeight="1" x14ac:dyDescent="0.25">
      <c r="A4278" s="2352" t="s">
        <v>6468</v>
      </c>
      <c r="B4278" s="2352" t="s">
        <v>6410</v>
      </c>
      <c r="C4278" s="2352" t="s">
        <v>6410</v>
      </c>
      <c r="D4278" s="2352" t="s">
        <v>17725</v>
      </c>
      <c r="E4278" s="355">
        <v>10</v>
      </c>
      <c r="F4278" s="1662">
        <v>1</v>
      </c>
    </row>
    <row r="4279" spans="1:6" ht="15" customHeight="1" x14ac:dyDescent="0.25">
      <c r="A4279" s="2352" t="s">
        <v>6469</v>
      </c>
      <c r="B4279" s="2352" t="s">
        <v>6410</v>
      </c>
      <c r="C4279" s="2352" t="s">
        <v>6410</v>
      </c>
      <c r="D4279" s="2352" t="s">
        <v>17726</v>
      </c>
      <c r="E4279" s="355">
        <v>63</v>
      </c>
      <c r="F4279" s="1662">
        <v>40</v>
      </c>
    </row>
    <row r="4280" spans="1:6" ht="15" customHeight="1" x14ac:dyDescent="0.25">
      <c r="A4280" s="2352" t="s">
        <v>6470</v>
      </c>
      <c r="B4280" s="2352" t="s">
        <v>6410</v>
      </c>
      <c r="C4280" s="2352" t="s">
        <v>6410</v>
      </c>
      <c r="D4280" s="2352" t="s">
        <v>17727</v>
      </c>
      <c r="E4280" s="355">
        <v>100</v>
      </c>
      <c r="F4280" s="1662">
        <v>60</v>
      </c>
    </row>
    <row r="4281" spans="1:6" ht="15" customHeight="1" x14ac:dyDescent="0.25">
      <c r="A4281" s="2352" t="s">
        <v>6472</v>
      </c>
      <c r="B4281" s="2352" t="s">
        <v>6410</v>
      </c>
      <c r="C4281" s="2352" t="s">
        <v>6410</v>
      </c>
      <c r="D4281" s="2352" t="s">
        <v>17728</v>
      </c>
      <c r="E4281" s="355">
        <v>250</v>
      </c>
      <c r="F4281" s="1662">
        <v>200</v>
      </c>
    </row>
    <row r="4282" spans="1:6" ht="15" customHeight="1" x14ac:dyDescent="0.25">
      <c r="A4282" s="2352" t="s">
        <v>6473</v>
      </c>
      <c r="B4282" s="2352" t="s">
        <v>6410</v>
      </c>
      <c r="C4282" s="2352" t="s">
        <v>6410</v>
      </c>
      <c r="D4282" s="2352" t="s">
        <v>17729</v>
      </c>
      <c r="E4282" s="355">
        <v>100</v>
      </c>
      <c r="F4282" s="1662">
        <v>40</v>
      </c>
    </row>
    <row r="4283" spans="1:6" ht="15" customHeight="1" x14ac:dyDescent="0.25">
      <c r="A4283" s="2352" t="s">
        <v>6475</v>
      </c>
      <c r="B4283" s="2352" t="s">
        <v>6410</v>
      </c>
      <c r="C4283" s="2352" t="s">
        <v>6410</v>
      </c>
      <c r="D4283" s="2352" t="s">
        <v>17730</v>
      </c>
      <c r="E4283" s="355">
        <v>63</v>
      </c>
      <c r="F4283" s="1662">
        <v>40</v>
      </c>
    </row>
    <row r="4284" spans="1:6" ht="15" customHeight="1" x14ac:dyDescent="0.25">
      <c r="A4284" s="2352" t="s">
        <v>17731</v>
      </c>
      <c r="B4284" s="2352" t="s">
        <v>6410</v>
      </c>
      <c r="C4284" s="2352" t="s">
        <v>6410</v>
      </c>
      <c r="D4284" s="2352" t="s">
        <v>17732</v>
      </c>
      <c r="E4284" s="355">
        <v>100</v>
      </c>
      <c r="F4284" s="1662">
        <v>90</v>
      </c>
    </row>
    <row r="4285" spans="1:6" ht="15" customHeight="1" x14ac:dyDescent="0.25">
      <c r="A4285" s="2352" t="s">
        <v>6477</v>
      </c>
      <c r="B4285" s="2352" t="s">
        <v>6410</v>
      </c>
      <c r="C4285" s="2352" t="s">
        <v>6410</v>
      </c>
      <c r="D4285" s="2352" t="s">
        <v>17733</v>
      </c>
      <c r="E4285" s="355">
        <v>250</v>
      </c>
      <c r="F4285" s="1662">
        <v>10</v>
      </c>
    </row>
    <row r="4286" spans="1:6" ht="15" customHeight="1" x14ac:dyDescent="0.25">
      <c r="A4286" s="2352" t="s">
        <v>6478</v>
      </c>
      <c r="B4286" s="2352" t="s">
        <v>6410</v>
      </c>
      <c r="C4286" s="2352" t="s">
        <v>6410</v>
      </c>
      <c r="D4286" s="2352" t="s">
        <v>17734</v>
      </c>
      <c r="E4286" s="355">
        <v>100</v>
      </c>
      <c r="F4286" s="1662">
        <v>5</v>
      </c>
    </row>
    <row r="4287" spans="1:6" ht="15" customHeight="1" x14ac:dyDescent="0.25">
      <c r="A4287" s="2352" t="s">
        <v>6480</v>
      </c>
      <c r="B4287" s="2352" t="s">
        <v>6410</v>
      </c>
      <c r="C4287" s="2352" t="s">
        <v>6410</v>
      </c>
      <c r="D4287" s="2352" t="s">
        <v>17735</v>
      </c>
      <c r="E4287" s="355">
        <v>30</v>
      </c>
      <c r="F4287" s="1662">
        <v>20</v>
      </c>
    </row>
    <row r="4288" spans="1:6" ht="15" customHeight="1" x14ac:dyDescent="0.25">
      <c r="A4288" s="2352" t="s">
        <v>6481</v>
      </c>
      <c r="B4288" s="2352" t="s">
        <v>6410</v>
      </c>
      <c r="C4288" s="2352" t="s">
        <v>6410</v>
      </c>
      <c r="D4288" s="2352" t="s">
        <v>17736</v>
      </c>
      <c r="E4288" s="355">
        <v>60</v>
      </c>
      <c r="F4288" s="1662">
        <v>40</v>
      </c>
    </row>
    <row r="4289" spans="1:6" ht="15" customHeight="1" x14ac:dyDescent="0.25">
      <c r="A4289" s="2352" t="s">
        <v>17737</v>
      </c>
      <c r="B4289" s="2352" t="s">
        <v>6410</v>
      </c>
      <c r="C4289" s="2352" t="s">
        <v>6410</v>
      </c>
      <c r="D4289" s="2352" t="s">
        <v>17738</v>
      </c>
      <c r="E4289" s="355">
        <v>100</v>
      </c>
      <c r="F4289" s="1662">
        <v>50</v>
      </c>
    </row>
    <row r="4290" spans="1:6" ht="15" customHeight="1" x14ac:dyDescent="0.25">
      <c r="A4290" s="2352" t="s">
        <v>17739</v>
      </c>
      <c r="B4290" s="2352" t="s">
        <v>6410</v>
      </c>
      <c r="C4290" s="2352" t="s">
        <v>6410</v>
      </c>
      <c r="D4290" s="2352" t="s">
        <v>17740</v>
      </c>
      <c r="E4290" s="355">
        <v>40</v>
      </c>
      <c r="F4290" s="1662">
        <v>5</v>
      </c>
    </row>
    <row r="4291" spans="1:6" ht="15" customHeight="1" x14ac:dyDescent="0.25">
      <c r="A4291" s="2352" t="s">
        <v>6205</v>
      </c>
      <c r="B4291" s="2352" t="s">
        <v>6410</v>
      </c>
      <c r="C4291" s="2352" t="s">
        <v>6410</v>
      </c>
      <c r="D4291" s="2352" t="s">
        <v>17741</v>
      </c>
      <c r="E4291" s="355">
        <v>25</v>
      </c>
      <c r="F4291" s="1662">
        <v>5</v>
      </c>
    </row>
    <row r="4292" spans="1:6" ht="15" customHeight="1" x14ac:dyDescent="0.25">
      <c r="A4292" s="2352" t="s">
        <v>6484</v>
      </c>
      <c r="B4292" s="2352" t="s">
        <v>6410</v>
      </c>
      <c r="C4292" s="2352" t="s">
        <v>6410</v>
      </c>
      <c r="D4292" s="2352" t="s">
        <v>17742</v>
      </c>
      <c r="E4292" s="355">
        <v>60</v>
      </c>
      <c r="F4292" s="1662">
        <v>5</v>
      </c>
    </row>
    <row r="4293" spans="1:6" ht="15" customHeight="1" x14ac:dyDescent="0.25">
      <c r="A4293" s="2352" t="s">
        <v>17743</v>
      </c>
      <c r="B4293" s="2352" t="s">
        <v>6410</v>
      </c>
      <c r="C4293" s="2352" t="s">
        <v>6410</v>
      </c>
      <c r="D4293" s="2352" t="s">
        <v>17744</v>
      </c>
      <c r="E4293" s="355">
        <v>250</v>
      </c>
      <c r="F4293" s="1662">
        <v>200</v>
      </c>
    </row>
    <row r="4294" spans="1:6" ht="15" customHeight="1" x14ac:dyDescent="0.25">
      <c r="A4294" s="2352" t="s">
        <v>6485</v>
      </c>
      <c r="B4294" s="2352" t="s">
        <v>6410</v>
      </c>
      <c r="C4294" s="2352" t="s">
        <v>6410</v>
      </c>
      <c r="D4294" s="2352" t="s">
        <v>17745</v>
      </c>
      <c r="E4294" s="355">
        <v>100</v>
      </c>
      <c r="F4294" s="1662">
        <v>10</v>
      </c>
    </row>
    <row r="4295" spans="1:6" ht="15" customHeight="1" x14ac:dyDescent="0.25">
      <c r="A4295" s="2352" t="s">
        <v>17746</v>
      </c>
      <c r="B4295" s="2352" t="s">
        <v>6410</v>
      </c>
      <c r="C4295" s="2352" t="s">
        <v>6410</v>
      </c>
      <c r="D4295" s="2352" t="s">
        <v>17747</v>
      </c>
      <c r="E4295" s="355">
        <v>63</v>
      </c>
      <c r="F4295" s="1662">
        <v>30</v>
      </c>
    </row>
    <row r="4296" spans="1:6" ht="15" customHeight="1" x14ac:dyDescent="0.25">
      <c r="A4296" s="2352" t="s">
        <v>17748</v>
      </c>
      <c r="B4296" s="2352" t="s">
        <v>6410</v>
      </c>
      <c r="C4296" s="2352" t="s">
        <v>6410</v>
      </c>
      <c r="D4296" s="2352" t="s">
        <v>17749</v>
      </c>
      <c r="E4296" s="355">
        <v>100</v>
      </c>
      <c r="F4296" s="1662">
        <v>20</v>
      </c>
    </row>
    <row r="4297" spans="1:6" ht="15" customHeight="1" x14ac:dyDescent="0.25">
      <c r="A4297" s="2352" t="s">
        <v>6486</v>
      </c>
      <c r="B4297" s="2352" t="s">
        <v>6410</v>
      </c>
      <c r="C4297" s="2352" t="s">
        <v>6410</v>
      </c>
      <c r="D4297" s="2352" t="s">
        <v>17750</v>
      </c>
      <c r="E4297" s="355">
        <v>100</v>
      </c>
      <c r="F4297" s="1662">
        <v>20</v>
      </c>
    </row>
    <row r="4298" spans="1:6" ht="15" customHeight="1" x14ac:dyDescent="0.25">
      <c r="A4298" s="2352" t="s">
        <v>17751</v>
      </c>
      <c r="B4298" s="2352" t="s">
        <v>6410</v>
      </c>
      <c r="C4298" s="2352" t="s">
        <v>6410</v>
      </c>
      <c r="D4298" s="2352" t="s">
        <v>17752</v>
      </c>
      <c r="E4298" s="355">
        <v>100</v>
      </c>
      <c r="F4298" s="1662">
        <v>30</v>
      </c>
    </row>
    <row r="4299" spans="1:6" ht="15" customHeight="1" x14ac:dyDescent="0.25">
      <c r="A4299" s="2352" t="s">
        <v>6488</v>
      </c>
      <c r="B4299" s="2352" t="s">
        <v>6410</v>
      </c>
      <c r="C4299" s="2352" t="s">
        <v>6410</v>
      </c>
      <c r="D4299" s="2352" t="s">
        <v>17753</v>
      </c>
      <c r="E4299" s="355">
        <v>63</v>
      </c>
      <c r="F4299" s="1662">
        <v>5</v>
      </c>
    </row>
    <row r="4300" spans="1:6" ht="15" customHeight="1" x14ac:dyDescent="0.25">
      <c r="A4300" s="2352" t="s">
        <v>6489</v>
      </c>
      <c r="B4300" s="2352" t="s">
        <v>6410</v>
      </c>
      <c r="C4300" s="2352" t="s">
        <v>6410</v>
      </c>
      <c r="D4300" s="2352" t="s">
        <v>17754</v>
      </c>
      <c r="E4300" s="355">
        <v>60</v>
      </c>
      <c r="F4300" s="1662">
        <v>15</v>
      </c>
    </row>
    <row r="4301" spans="1:6" ht="15" customHeight="1" x14ac:dyDescent="0.25">
      <c r="A4301" s="2352" t="s">
        <v>6491</v>
      </c>
      <c r="B4301" s="2352" t="s">
        <v>6410</v>
      </c>
      <c r="C4301" s="2352" t="s">
        <v>6410</v>
      </c>
      <c r="D4301" s="2352" t="s">
        <v>17755</v>
      </c>
      <c r="E4301" s="355">
        <v>63</v>
      </c>
      <c r="F4301" s="1662">
        <v>20</v>
      </c>
    </row>
    <row r="4302" spans="1:6" ht="15" customHeight="1" x14ac:dyDescent="0.25">
      <c r="A4302" s="2352" t="s">
        <v>6492</v>
      </c>
      <c r="B4302" s="2352" t="s">
        <v>6410</v>
      </c>
      <c r="C4302" s="2352" t="s">
        <v>6410</v>
      </c>
      <c r="D4302" s="2352" t="s">
        <v>17756</v>
      </c>
      <c r="E4302" s="355">
        <v>400</v>
      </c>
      <c r="F4302" s="1662">
        <v>150</v>
      </c>
    </row>
    <row r="4303" spans="1:6" ht="15" customHeight="1" x14ac:dyDescent="0.25">
      <c r="A4303" s="2352" t="s">
        <v>6493</v>
      </c>
      <c r="B4303" s="2352" t="s">
        <v>6410</v>
      </c>
      <c r="C4303" s="2352" t="s">
        <v>6410</v>
      </c>
      <c r="D4303" s="2352" t="s">
        <v>17757</v>
      </c>
      <c r="E4303" s="355">
        <v>100</v>
      </c>
      <c r="F4303" s="1662">
        <v>90</v>
      </c>
    </row>
    <row r="4304" spans="1:6" ht="15" customHeight="1" x14ac:dyDescent="0.25">
      <c r="A4304" s="2352" t="s">
        <v>6494</v>
      </c>
      <c r="B4304" s="2352" t="s">
        <v>6410</v>
      </c>
      <c r="C4304" s="2352" t="s">
        <v>6410</v>
      </c>
      <c r="D4304" s="2352" t="s">
        <v>17758</v>
      </c>
      <c r="E4304" s="355">
        <v>160</v>
      </c>
      <c r="F4304" s="1662">
        <v>10</v>
      </c>
    </row>
    <row r="4305" spans="1:6" ht="15" customHeight="1" x14ac:dyDescent="0.25">
      <c r="A4305" s="2352" t="s">
        <v>6495</v>
      </c>
      <c r="B4305" s="2352" t="s">
        <v>6410</v>
      </c>
      <c r="C4305" s="2352" t="s">
        <v>6410</v>
      </c>
      <c r="D4305" s="2352" t="s">
        <v>17759</v>
      </c>
      <c r="E4305" s="355">
        <v>30</v>
      </c>
      <c r="F4305" s="1662">
        <v>10</v>
      </c>
    </row>
    <row r="4306" spans="1:6" ht="15" customHeight="1" x14ac:dyDescent="0.25">
      <c r="A4306" s="2352" t="s">
        <v>6497</v>
      </c>
      <c r="B4306" s="2352" t="s">
        <v>6410</v>
      </c>
      <c r="C4306" s="2352" t="s">
        <v>6410</v>
      </c>
      <c r="D4306" s="2352" t="s">
        <v>17760</v>
      </c>
      <c r="E4306" s="355">
        <v>100</v>
      </c>
      <c r="F4306" s="1662">
        <v>10</v>
      </c>
    </row>
    <row r="4307" spans="1:6" ht="15" customHeight="1" x14ac:dyDescent="0.25">
      <c r="A4307" s="2352" t="s">
        <v>6498</v>
      </c>
      <c r="B4307" s="2352" t="s">
        <v>6410</v>
      </c>
      <c r="C4307" s="2352" t="s">
        <v>6410</v>
      </c>
      <c r="D4307" s="2352" t="s">
        <v>17761</v>
      </c>
      <c r="E4307" s="355">
        <v>40</v>
      </c>
      <c r="F4307" s="1662">
        <v>10</v>
      </c>
    </row>
    <row r="4308" spans="1:6" ht="15" customHeight="1" x14ac:dyDescent="0.25">
      <c r="A4308" s="2352" t="s">
        <v>6499</v>
      </c>
      <c r="B4308" s="2352" t="s">
        <v>6410</v>
      </c>
      <c r="C4308" s="2352" t="s">
        <v>6410</v>
      </c>
      <c r="D4308" s="2352" t="s">
        <v>17762</v>
      </c>
      <c r="E4308" s="355">
        <v>63</v>
      </c>
      <c r="F4308" s="1662">
        <v>5</v>
      </c>
    </row>
    <row r="4309" spans="1:6" ht="15" customHeight="1" x14ac:dyDescent="0.25">
      <c r="A4309" s="2352" t="s">
        <v>6500</v>
      </c>
      <c r="B4309" s="2352" t="s">
        <v>6410</v>
      </c>
      <c r="C4309" s="2352" t="s">
        <v>6410</v>
      </c>
      <c r="D4309" s="2352" t="s">
        <v>17763</v>
      </c>
      <c r="E4309" s="355">
        <v>400</v>
      </c>
      <c r="F4309" s="1662">
        <v>70</v>
      </c>
    </row>
    <row r="4310" spans="1:6" ht="15" customHeight="1" x14ac:dyDescent="0.25">
      <c r="A4310" s="2352" t="s">
        <v>6501</v>
      </c>
      <c r="B4310" s="2352" t="s">
        <v>6410</v>
      </c>
      <c r="C4310" s="2352" t="s">
        <v>6410</v>
      </c>
      <c r="D4310" s="2352" t="s">
        <v>17764</v>
      </c>
      <c r="E4310" s="355">
        <v>160</v>
      </c>
      <c r="F4310" s="1662">
        <v>5</v>
      </c>
    </row>
    <row r="4311" spans="1:6" ht="15" customHeight="1" x14ac:dyDescent="0.25">
      <c r="A4311" s="2352" t="s">
        <v>6502</v>
      </c>
      <c r="B4311" s="2352" t="s">
        <v>6410</v>
      </c>
      <c r="C4311" s="2352" t="s">
        <v>6410</v>
      </c>
      <c r="D4311" s="2352" t="s">
        <v>17765</v>
      </c>
      <c r="E4311" s="355">
        <v>63</v>
      </c>
      <c r="F4311" s="1662">
        <v>5</v>
      </c>
    </row>
    <row r="4312" spans="1:6" ht="15" customHeight="1" x14ac:dyDescent="0.25">
      <c r="A4312" s="2352" t="s">
        <v>6503</v>
      </c>
      <c r="B4312" s="2352" t="s">
        <v>6410</v>
      </c>
      <c r="C4312" s="2352" t="s">
        <v>6410</v>
      </c>
      <c r="D4312" s="2352" t="s">
        <v>17766</v>
      </c>
      <c r="E4312" s="355">
        <v>250</v>
      </c>
      <c r="F4312" s="1662">
        <v>50</v>
      </c>
    </row>
    <row r="4313" spans="1:6" ht="15" customHeight="1" x14ac:dyDescent="0.25">
      <c r="A4313" s="2352" t="s">
        <v>6504</v>
      </c>
      <c r="B4313" s="2352" t="s">
        <v>6410</v>
      </c>
      <c r="C4313" s="2352" t="s">
        <v>6410</v>
      </c>
      <c r="D4313" s="2352" t="s">
        <v>17767</v>
      </c>
      <c r="E4313" s="355">
        <v>100</v>
      </c>
      <c r="F4313" s="1662">
        <v>10</v>
      </c>
    </row>
    <row r="4314" spans="1:6" ht="15" customHeight="1" x14ac:dyDescent="0.25">
      <c r="A4314" s="2352" t="s">
        <v>6505</v>
      </c>
      <c r="B4314" s="2352" t="s">
        <v>6410</v>
      </c>
      <c r="C4314" s="2352" t="s">
        <v>6410</v>
      </c>
      <c r="D4314" s="2352" t="s">
        <v>17768</v>
      </c>
      <c r="E4314" s="355">
        <v>60</v>
      </c>
      <c r="F4314" s="1662">
        <v>60</v>
      </c>
    </row>
    <row r="4315" spans="1:6" ht="15" customHeight="1" x14ac:dyDescent="0.25">
      <c r="A4315" s="2352" t="s">
        <v>6507</v>
      </c>
      <c r="B4315" s="2352" t="s">
        <v>6410</v>
      </c>
      <c r="C4315" s="2352" t="s">
        <v>6410</v>
      </c>
      <c r="D4315" s="2352" t="s">
        <v>17769</v>
      </c>
      <c r="E4315" s="355">
        <v>63</v>
      </c>
      <c r="F4315" s="1662">
        <v>20</v>
      </c>
    </row>
    <row r="4316" spans="1:6" ht="15" customHeight="1" x14ac:dyDescent="0.25">
      <c r="A4316" s="2352" t="s">
        <v>6509</v>
      </c>
      <c r="B4316" s="2352" t="s">
        <v>6410</v>
      </c>
      <c r="C4316" s="2352" t="s">
        <v>6410</v>
      </c>
      <c r="D4316" s="2352" t="s">
        <v>17770</v>
      </c>
      <c r="E4316" s="355">
        <v>10</v>
      </c>
      <c r="F4316" s="1662">
        <v>1</v>
      </c>
    </row>
    <row r="4317" spans="1:6" ht="15" customHeight="1" x14ac:dyDescent="0.25">
      <c r="A4317" s="2352" t="s">
        <v>6511</v>
      </c>
      <c r="B4317" s="2352" t="s">
        <v>6410</v>
      </c>
      <c r="C4317" s="2352" t="s">
        <v>6410</v>
      </c>
      <c r="D4317" s="2352" t="s">
        <v>17771</v>
      </c>
      <c r="E4317" s="355">
        <v>160</v>
      </c>
      <c r="F4317" s="1662">
        <v>60</v>
      </c>
    </row>
    <row r="4318" spans="1:6" ht="15" customHeight="1" x14ac:dyDescent="0.25">
      <c r="A4318" s="2352" t="s">
        <v>6513</v>
      </c>
      <c r="B4318" s="2352" t="s">
        <v>6410</v>
      </c>
      <c r="C4318" s="2352" t="s">
        <v>6410</v>
      </c>
      <c r="D4318" s="2352" t="s">
        <v>17772</v>
      </c>
      <c r="E4318" s="355">
        <v>100</v>
      </c>
      <c r="F4318" s="1662">
        <v>60</v>
      </c>
    </row>
    <row r="4319" spans="1:6" ht="15" customHeight="1" x14ac:dyDescent="0.25">
      <c r="A4319" s="2352" t="s">
        <v>17773</v>
      </c>
      <c r="B4319" s="2352" t="s">
        <v>6410</v>
      </c>
      <c r="C4319" s="2352" t="s">
        <v>6410</v>
      </c>
      <c r="D4319" s="2352" t="s">
        <v>17774</v>
      </c>
      <c r="E4319" s="355">
        <v>100</v>
      </c>
      <c r="F4319" s="1662">
        <v>20</v>
      </c>
    </row>
    <row r="4320" spans="1:6" ht="15" customHeight="1" x14ac:dyDescent="0.25">
      <c r="A4320" s="2352" t="s">
        <v>6515</v>
      </c>
      <c r="B4320" s="2352" t="s">
        <v>6410</v>
      </c>
      <c r="C4320" s="2352" t="s">
        <v>6410</v>
      </c>
      <c r="D4320" s="2352" t="s">
        <v>17775</v>
      </c>
      <c r="E4320" s="355">
        <v>100</v>
      </c>
      <c r="F4320" s="1662">
        <v>20</v>
      </c>
    </row>
    <row r="4321" spans="1:6" ht="15" customHeight="1" x14ac:dyDescent="0.25">
      <c r="A4321" s="2352" t="s">
        <v>6516</v>
      </c>
      <c r="B4321" s="2352" t="s">
        <v>6410</v>
      </c>
      <c r="C4321" s="2352" t="s">
        <v>6410</v>
      </c>
      <c r="D4321" s="2352" t="s">
        <v>17776</v>
      </c>
      <c r="E4321" s="355">
        <v>10</v>
      </c>
      <c r="F4321" s="1662">
        <v>1</v>
      </c>
    </row>
    <row r="4322" spans="1:6" ht="15" customHeight="1" x14ac:dyDescent="0.25">
      <c r="A4322" s="2352" t="s">
        <v>6518</v>
      </c>
      <c r="B4322" s="2352" t="s">
        <v>6410</v>
      </c>
      <c r="C4322" s="2352" t="s">
        <v>6410</v>
      </c>
      <c r="D4322" s="2352" t="s">
        <v>17777</v>
      </c>
      <c r="E4322" s="355">
        <v>63</v>
      </c>
      <c r="F4322" s="1662">
        <v>15</v>
      </c>
    </row>
    <row r="4323" spans="1:6" ht="15" customHeight="1" x14ac:dyDescent="0.25">
      <c r="A4323" s="2352" t="s">
        <v>6519</v>
      </c>
      <c r="B4323" s="2352" t="s">
        <v>6410</v>
      </c>
      <c r="C4323" s="2352" t="s">
        <v>6410</v>
      </c>
      <c r="D4323" s="2352" t="s">
        <v>17778</v>
      </c>
      <c r="E4323" s="355">
        <v>60</v>
      </c>
      <c r="F4323" s="1662">
        <v>40</v>
      </c>
    </row>
    <row r="4324" spans="1:6" ht="15" customHeight="1" x14ac:dyDescent="0.25">
      <c r="A4324" s="2352" t="s">
        <v>6521</v>
      </c>
      <c r="B4324" s="2352" t="s">
        <v>6410</v>
      </c>
      <c r="C4324" s="2352" t="s">
        <v>6410</v>
      </c>
      <c r="D4324" s="2352" t="s">
        <v>17779</v>
      </c>
      <c r="E4324" s="355">
        <v>60</v>
      </c>
      <c r="F4324" s="1662">
        <v>5</v>
      </c>
    </row>
    <row r="4325" spans="1:6" ht="15" customHeight="1" x14ac:dyDescent="0.25">
      <c r="A4325" s="2352" t="s">
        <v>6522</v>
      </c>
      <c r="B4325" s="2352" t="s">
        <v>6410</v>
      </c>
      <c r="C4325" s="2352" t="s">
        <v>6410</v>
      </c>
      <c r="D4325" s="2352" t="s">
        <v>17780</v>
      </c>
      <c r="E4325" s="355">
        <v>100</v>
      </c>
      <c r="F4325" s="1662">
        <v>40</v>
      </c>
    </row>
    <row r="4326" spans="1:6" ht="15" customHeight="1" x14ac:dyDescent="0.25">
      <c r="A4326" s="2352" t="s">
        <v>6523</v>
      </c>
      <c r="B4326" s="2352" t="s">
        <v>6410</v>
      </c>
      <c r="C4326" s="2352" t="s">
        <v>6410</v>
      </c>
      <c r="D4326" s="2352" t="s">
        <v>17781</v>
      </c>
      <c r="E4326" s="355">
        <v>160</v>
      </c>
      <c r="F4326" s="1662">
        <v>5</v>
      </c>
    </row>
    <row r="4327" spans="1:6" ht="15" customHeight="1" x14ac:dyDescent="0.25">
      <c r="A4327" s="2352" t="s">
        <v>17782</v>
      </c>
      <c r="B4327" s="2352" t="s">
        <v>6410</v>
      </c>
      <c r="C4327" s="2352" t="s">
        <v>6410</v>
      </c>
      <c r="D4327" s="2352" t="s">
        <v>17783</v>
      </c>
      <c r="E4327" s="355">
        <v>160</v>
      </c>
      <c r="F4327" s="1662">
        <v>60</v>
      </c>
    </row>
    <row r="4328" spans="1:6" ht="15" customHeight="1" x14ac:dyDescent="0.25">
      <c r="A4328" s="2352" t="s">
        <v>6526</v>
      </c>
      <c r="B4328" s="2352" t="s">
        <v>6410</v>
      </c>
      <c r="C4328" s="2352" t="s">
        <v>6410</v>
      </c>
      <c r="D4328" s="2352" t="s">
        <v>17784</v>
      </c>
      <c r="E4328" s="355">
        <v>400</v>
      </c>
      <c r="F4328" s="1662">
        <v>80</v>
      </c>
    </row>
    <row r="4329" spans="1:6" ht="15" customHeight="1" x14ac:dyDescent="0.25">
      <c r="A4329" s="2352" t="s">
        <v>17785</v>
      </c>
      <c r="B4329" s="2352" t="s">
        <v>6410</v>
      </c>
      <c r="C4329" s="2352" t="s">
        <v>6410</v>
      </c>
      <c r="D4329" s="2352" t="s">
        <v>17786</v>
      </c>
      <c r="E4329" s="355">
        <v>160</v>
      </c>
      <c r="F4329" s="1662">
        <v>60</v>
      </c>
    </row>
    <row r="4330" spans="1:6" ht="15" customHeight="1" x14ac:dyDescent="0.25">
      <c r="A4330" s="2352" t="s">
        <v>17787</v>
      </c>
      <c r="B4330" s="2352" t="s">
        <v>6410</v>
      </c>
      <c r="C4330" s="2352" t="s">
        <v>6410</v>
      </c>
      <c r="D4330" s="2352" t="s">
        <v>17788</v>
      </c>
      <c r="E4330" s="355">
        <v>63</v>
      </c>
      <c r="F4330" s="1662">
        <v>10</v>
      </c>
    </row>
    <row r="4331" spans="1:6" ht="15" customHeight="1" x14ac:dyDescent="0.25">
      <c r="A4331" s="2352" t="s">
        <v>17789</v>
      </c>
      <c r="B4331" s="2352" t="s">
        <v>6410</v>
      </c>
      <c r="C4331" s="2352" t="s">
        <v>6410</v>
      </c>
      <c r="D4331" s="2352" t="s">
        <v>17790</v>
      </c>
      <c r="E4331" s="355">
        <v>250</v>
      </c>
      <c r="F4331" s="1662">
        <v>100</v>
      </c>
    </row>
    <row r="4332" spans="1:6" ht="15" customHeight="1" x14ac:dyDescent="0.25">
      <c r="A4332" s="2352" t="s">
        <v>17791</v>
      </c>
      <c r="B4332" s="2352" t="s">
        <v>6410</v>
      </c>
      <c r="C4332" s="2352" t="s">
        <v>6410</v>
      </c>
      <c r="D4332" s="2352" t="s">
        <v>17792</v>
      </c>
      <c r="E4332" s="355">
        <v>400</v>
      </c>
      <c r="F4332" s="1662">
        <v>5</v>
      </c>
    </row>
    <row r="4333" spans="1:6" ht="15" customHeight="1" x14ac:dyDescent="0.25">
      <c r="A4333" s="2352" t="s">
        <v>17793</v>
      </c>
      <c r="B4333" s="2352" t="s">
        <v>6410</v>
      </c>
      <c r="C4333" s="2352" t="s">
        <v>6410</v>
      </c>
      <c r="D4333" s="2352" t="s">
        <v>17794</v>
      </c>
      <c r="E4333" s="355">
        <v>160</v>
      </c>
      <c r="F4333" s="1662">
        <v>5</v>
      </c>
    </row>
    <row r="4334" spans="1:6" ht="15" customHeight="1" x14ac:dyDescent="0.25">
      <c r="A4334" s="2352" t="s">
        <v>17795</v>
      </c>
      <c r="B4334" s="2352" t="s">
        <v>6410</v>
      </c>
      <c r="C4334" s="2352" t="s">
        <v>6410</v>
      </c>
      <c r="D4334" s="2352" t="s">
        <v>17796</v>
      </c>
      <c r="E4334" s="355">
        <v>100</v>
      </c>
      <c r="F4334" s="1662">
        <v>30</v>
      </c>
    </row>
    <row r="4335" spans="1:6" ht="15" customHeight="1" x14ac:dyDescent="0.25">
      <c r="A4335" s="2352" t="s">
        <v>17797</v>
      </c>
      <c r="B4335" s="2352" t="s">
        <v>6410</v>
      </c>
      <c r="C4335" s="2352" t="s">
        <v>6410</v>
      </c>
      <c r="D4335" s="2352" t="s">
        <v>17798</v>
      </c>
      <c r="E4335" s="355">
        <v>60</v>
      </c>
      <c r="F4335" s="1662">
        <v>10</v>
      </c>
    </row>
    <row r="4336" spans="1:6" ht="15" customHeight="1" x14ac:dyDescent="0.25">
      <c r="A4336" s="2352" t="s">
        <v>17799</v>
      </c>
      <c r="B4336" s="2352" t="s">
        <v>6410</v>
      </c>
      <c r="C4336" s="2352" t="s">
        <v>6410</v>
      </c>
      <c r="D4336" s="2352" t="s">
        <v>17800</v>
      </c>
      <c r="E4336" s="355">
        <v>100</v>
      </c>
      <c r="F4336" s="1662">
        <v>60</v>
      </c>
    </row>
    <row r="4337" spans="1:6" ht="15" customHeight="1" x14ac:dyDescent="0.25">
      <c r="A4337" s="2352" t="s">
        <v>6529</v>
      </c>
      <c r="B4337" s="2352" t="s">
        <v>6410</v>
      </c>
      <c r="C4337" s="2352" t="s">
        <v>6410</v>
      </c>
      <c r="D4337" s="2352" t="s">
        <v>17801</v>
      </c>
      <c r="E4337" s="355">
        <v>100</v>
      </c>
      <c r="F4337" s="1662">
        <v>60</v>
      </c>
    </row>
    <row r="4338" spans="1:6" ht="15" customHeight="1" x14ac:dyDescent="0.25">
      <c r="A4338" s="2352" t="s">
        <v>6530</v>
      </c>
      <c r="B4338" s="2352" t="s">
        <v>6410</v>
      </c>
      <c r="C4338" s="2352" t="s">
        <v>6410</v>
      </c>
      <c r="D4338" s="2352" t="s">
        <v>17802</v>
      </c>
      <c r="E4338" s="355">
        <v>30</v>
      </c>
      <c r="F4338" s="1662">
        <v>10</v>
      </c>
    </row>
    <row r="4339" spans="1:6" ht="15" customHeight="1" x14ac:dyDescent="0.25">
      <c r="A4339" s="2352" t="s">
        <v>17803</v>
      </c>
      <c r="B4339" s="2352" t="s">
        <v>6410</v>
      </c>
      <c r="C4339" s="2352" t="s">
        <v>6410</v>
      </c>
      <c r="D4339" s="2352" t="s">
        <v>17804</v>
      </c>
      <c r="E4339" s="355">
        <v>63</v>
      </c>
      <c r="F4339" s="1662">
        <v>10</v>
      </c>
    </row>
    <row r="4340" spans="1:6" ht="15" customHeight="1" x14ac:dyDescent="0.25">
      <c r="A4340" s="2352" t="s">
        <v>17805</v>
      </c>
      <c r="B4340" s="2352" t="s">
        <v>6410</v>
      </c>
      <c r="C4340" s="2352" t="s">
        <v>6410</v>
      </c>
      <c r="D4340" s="2352" t="s">
        <v>17806</v>
      </c>
      <c r="E4340" s="355">
        <v>60</v>
      </c>
      <c r="F4340" s="1662">
        <v>20</v>
      </c>
    </row>
    <row r="4341" spans="1:6" ht="15" customHeight="1" x14ac:dyDescent="0.25">
      <c r="A4341" s="2352" t="s">
        <v>6531</v>
      </c>
      <c r="B4341" s="2352" t="s">
        <v>6410</v>
      </c>
      <c r="C4341" s="2352" t="s">
        <v>6410</v>
      </c>
      <c r="D4341" s="2352" t="s">
        <v>17807</v>
      </c>
      <c r="E4341" s="355">
        <v>100</v>
      </c>
      <c r="F4341" s="1662">
        <v>30</v>
      </c>
    </row>
    <row r="4342" spans="1:6" ht="15" customHeight="1" x14ac:dyDescent="0.25">
      <c r="A4342" s="2352" t="s">
        <v>17808</v>
      </c>
      <c r="B4342" s="2352" t="s">
        <v>6410</v>
      </c>
      <c r="C4342" s="2352" t="s">
        <v>6410</v>
      </c>
      <c r="D4342" s="2352" t="s">
        <v>17809</v>
      </c>
      <c r="E4342" s="355">
        <v>160</v>
      </c>
      <c r="F4342" s="1662">
        <v>20</v>
      </c>
    </row>
    <row r="4343" spans="1:6" ht="15" customHeight="1" x14ac:dyDescent="0.25">
      <c r="A4343" s="2352" t="s">
        <v>6532</v>
      </c>
      <c r="B4343" s="2352" t="s">
        <v>6410</v>
      </c>
      <c r="C4343" s="2352" t="s">
        <v>6410</v>
      </c>
      <c r="D4343" s="2352" t="s">
        <v>17810</v>
      </c>
      <c r="E4343" s="355">
        <v>60</v>
      </c>
      <c r="F4343" s="1662">
        <v>10</v>
      </c>
    </row>
    <row r="4344" spans="1:6" ht="15" customHeight="1" x14ac:dyDescent="0.25">
      <c r="A4344" s="2352" t="s">
        <v>6533</v>
      </c>
      <c r="B4344" s="2352" t="s">
        <v>6410</v>
      </c>
      <c r="C4344" s="2352" t="s">
        <v>6410</v>
      </c>
      <c r="D4344" s="2352" t="s">
        <v>17811</v>
      </c>
      <c r="E4344" s="355">
        <v>100</v>
      </c>
      <c r="F4344" s="1662">
        <v>5</v>
      </c>
    </row>
    <row r="4345" spans="1:6" ht="15" customHeight="1" x14ac:dyDescent="0.25">
      <c r="A4345" s="2352" t="s">
        <v>17812</v>
      </c>
      <c r="B4345" s="2352" t="s">
        <v>6410</v>
      </c>
      <c r="C4345" s="2352" t="s">
        <v>6410</v>
      </c>
      <c r="D4345" s="2352" t="s">
        <v>17813</v>
      </c>
      <c r="E4345" s="355">
        <v>10</v>
      </c>
      <c r="F4345" s="1662">
        <v>5</v>
      </c>
    </row>
    <row r="4346" spans="1:6" ht="15" customHeight="1" x14ac:dyDescent="0.25">
      <c r="A4346" s="2352" t="s">
        <v>6534</v>
      </c>
      <c r="B4346" s="2352" t="s">
        <v>6410</v>
      </c>
      <c r="C4346" s="2352" t="s">
        <v>6410</v>
      </c>
      <c r="D4346" s="2352" t="s">
        <v>17814</v>
      </c>
      <c r="E4346" s="355">
        <v>100</v>
      </c>
      <c r="F4346" s="1662">
        <v>20</v>
      </c>
    </row>
    <row r="4347" spans="1:6" ht="15" customHeight="1" x14ac:dyDescent="0.25">
      <c r="A4347" s="2352" t="s">
        <v>17815</v>
      </c>
      <c r="B4347" s="2352" t="s">
        <v>6410</v>
      </c>
      <c r="C4347" s="2352" t="s">
        <v>6410</v>
      </c>
      <c r="D4347" s="2352" t="s">
        <v>17816</v>
      </c>
      <c r="E4347" s="355">
        <v>250</v>
      </c>
      <c r="F4347" s="1662">
        <v>40</v>
      </c>
    </row>
    <row r="4348" spans="1:6" ht="15" customHeight="1" x14ac:dyDescent="0.25">
      <c r="A4348" s="2352" t="s">
        <v>6535</v>
      </c>
      <c r="B4348" s="2352" t="s">
        <v>6410</v>
      </c>
      <c r="C4348" s="2352" t="s">
        <v>6410</v>
      </c>
      <c r="D4348" s="2352" t="s">
        <v>17817</v>
      </c>
      <c r="E4348" s="355">
        <v>60</v>
      </c>
      <c r="F4348" s="1662">
        <v>10</v>
      </c>
    </row>
    <row r="4349" spans="1:6" ht="15" customHeight="1" x14ac:dyDescent="0.25">
      <c r="A4349" s="2352" t="s">
        <v>6536</v>
      </c>
      <c r="B4349" s="2352" t="s">
        <v>6410</v>
      </c>
      <c r="C4349" s="2352" t="s">
        <v>6410</v>
      </c>
      <c r="D4349" s="2352" t="s">
        <v>17818</v>
      </c>
      <c r="E4349" s="355">
        <v>30</v>
      </c>
      <c r="F4349" s="1662">
        <v>5</v>
      </c>
    </row>
    <row r="4350" spans="1:6" ht="15" customHeight="1" x14ac:dyDescent="0.25">
      <c r="A4350" s="2352" t="s">
        <v>17819</v>
      </c>
      <c r="B4350" s="2352" t="s">
        <v>6410</v>
      </c>
      <c r="C4350" s="2352" t="s">
        <v>6410</v>
      </c>
      <c r="D4350" s="2352" t="s">
        <v>17820</v>
      </c>
      <c r="E4350" s="355">
        <v>100</v>
      </c>
      <c r="F4350" s="1662">
        <v>20</v>
      </c>
    </row>
    <row r="4351" spans="1:6" ht="15" customHeight="1" x14ac:dyDescent="0.25">
      <c r="A4351" s="2352" t="s">
        <v>17821</v>
      </c>
      <c r="B4351" s="2352" t="s">
        <v>6410</v>
      </c>
      <c r="C4351" s="2352" t="s">
        <v>6410</v>
      </c>
      <c r="D4351" s="2352" t="s">
        <v>17822</v>
      </c>
      <c r="E4351" s="355">
        <v>30</v>
      </c>
      <c r="F4351" s="1662">
        <v>5</v>
      </c>
    </row>
    <row r="4352" spans="1:6" ht="15" customHeight="1" x14ac:dyDescent="0.25">
      <c r="A4352" s="2352" t="s">
        <v>6537</v>
      </c>
      <c r="B4352" s="2352" t="s">
        <v>6410</v>
      </c>
      <c r="C4352" s="2352" t="s">
        <v>6410</v>
      </c>
      <c r="D4352" s="2352" t="s">
        <v>17823</v>
      </c>
      <c r="E4352" s="355">
        <v>30</v>
      </c>
      <c r="F4352" s="1662">
        <v>10</v>
      </c>
    </row>
    <row r="4353" spans="1:6" ht="15" customHeight="1" x14ac:dyDescent="0.25">
      <c r="A4353" s="2352" t="s">
        <v>17824</v>
      </c>
      <c r="B4353" s="2352" t="s">
        <v>6410</v>
      </c>
      <c r="C4353" s="2352" t="s">
        <v>6410</v>
      </c>
      <c r="D4353" s="2352" t="s">
        <v>17825</v>
      </c>
      <c r="E4353" s="355">
        <v>100</v>
      </c>
      <c r="F4353" s="1662">
        <v>25</v>
      </c>
    </row>
    <row r="4354" spans="1:6" ht="15" customHeight="1" x14ac:dyDescent="0.25">
      <c r="A4354" s="2352" t="s">
        <v>17826</v>
      </c>
      <c r="B4354" s="2352" t="s">
        <v>6410</v>
      </c>
      <c r="C4354" s="2352" t="s">
        <v>6410</v>
      </c>
      <c r="D4354" s="2352" t="s">
        <v>17827</v>
      </c>
      <c r="E4354" s="355">
        <v>100</v>
      </c>
      <c r="F4354" s="1662">
        <v>25</v>
      </c>
    </row>
    <row r="4355" spans="1:6" ht="15" customHeight="1" x14ac:dyDescent="0.25">
      <c r="A4355" s="2352" t="s">
        <v>17828</v>
      </c>
      <c r="B4355" s="2352" t="s">
        <v>6410</v>
      </c>
      <c r="C4355" s="2352" t="s">
        <v>6410</v>
      </c>
      <c r="D4355" s="2352" t="s">
        <v>17829</v>
      </c>
      <c r="E4355" s="355">
        <v>160</v>
      </c>
      <c r="F4355" s="1662">
        <v>30</v>
      </c>
    </row>
    <row r="4356" spans="1:6" ht="15" customHeight="1" x14ac:dyDescent="0.25">
      <c r="A4356" s="2352" t="s">
        <v>17830</v>
      </c>
      <c r="B4356" s="2352" t="s">
        <v>6410</v>
      </c>
      <c r="C4356" s="2352" t="s">
        <v>6410</v>
      </c>
      <c r="D4356" s="2352" t="s">
        <v>17831</v>
      </c>
      <c r="E4356" s="355">
        <v>60</v>
      </c>
      <c r="F4356" s="1662">
        <v>15</v>
      </c>
    </row>
    <row r="4357" spans="1:6" ht="15" customHeight="1" x14ac:dyDescent="0.25">
      <c r="A4357" s="2352" t="s">
        <v>6539</v>
      </c>
      <c r="B4357" s="2352" t="s">
        <v>6410</v>
      </c>
      <c r="C4357" s="2352" t="s">
        <v>6410</v>
      </c>
      <c r="D4357" s="2352" t="s">
        <v>17832</v>
      </c>
      <c r="E4357" s="355">
        <v>30</v>
      </c>
      <c r="F4357" s="1662">
        <v>10</v>
      </c>
    </row>
    <row r="4358" spans="1:6" ht="15" customHeight="1" x14ac:dyDescent="0.25">
      <c r="A4358" s="2352" t="s">
        <v>6123</v>
      </c>
      <c r="B4358" s="2352" t="s">
        <v>6410</v>
      </c>
      <c r="C4358" s="2352" t="s">
        <v>6410</v>
      </c>
      <c r="D4358" s="2352" t="s">
        <v>17833</v>
      </c>
      <c r="E4358" s="355">
        <v>100</v>
      </c>
      <c r="F4358" s="1662">
        <v>35</v>
      </c>
    </row>
    <row r="4359" spans="1:6" ht="15" customHeight="1" x14ac:dyDescent="0.25">
      <c r="A4359" s="2352" t="s">
        <v>10504</v>
      </c>
      <c r="B4359" s="2352" t="s">
        <v>10505</v>
      </c>
      <c r="C4359" s="2352" t="s">
        <v>10505</v>
      </c>
      <c r="D4359" s="2352" t="s">
        <v>10506</v>
      </c>
      <c r="E4359" s="355">
        <v>100</v>
      </c>
      <c r="F4359" s="1662">
        <v>15</v>
      </c>
    </row>
    <row r="4360" spans="1:6" ht="15" customHeight="1" x14ac:dyDescent="0.25">
      <c r="A4360" s="2352" t="s">
        <v>10504</v>
      </c>
      <c r="B4360" s="2352" t="s">
        <v>10505</v>
      </c>
      <c r="C4360" s="2352" t="s">
        <v>10505</v>
      </c>
      <c r="D4360" s="2352" t="s">
        <v>10508</v>
      </c>
      <c r="E4360" s="355">
        <v>400</v>
      </c>
      <c r="F4360" s="1662">
        <v>270</v>
      </c>
    </row>
    <row r="4361" spans="1:6" ht="15" customHeight="1" x14ac:dyDescent="0.25">
      <c r="A4361" s="2352" t="s">
        <v>7875</v>
      </c>
      <c r="B4361" s="2352" t="s">
        <v>10505</v>
      </c>
      <c r="C4361" s="2352" t="s">
        <v>10505</v>
      </c>
      <c r="D4361" s="2352" t="s">
        <v>10510</v>
      </c>
      <c r="E4361" s="355">
        <v>60</v>
      </c>
      <c r="F4361" s="1662">
        <v>13</v>
      </c>
    </row>
    <row r="4362" spans="1:6" ht="15" customHeight="1" x14ac:dyDescent="0.25">
      <c r="A4362" s="2352" t="s">
        <v>9072</v>
      </c>
      <c r="B4362" s="2352" t="s">
        <v>10505</v>
      </c>
      <c r="C4362" s="2352" t="s">
        <v>10505</v>
      </c>
      <c r="D4362" s="2352" t="s">
        <v>10512</v>
      </c>
      <c r="E4362" s="355">
        <v>100</v>
      </c>
      <c r="F4362" s="1662">
        <v>25</v>
      </c>
    </row>
    <row r="4363" spans="1:6" ht="15" customHeight="1" x14ac:dyDescent="0.25">
      <c r="A4363" s="2352" t="s">
        <v>10513</v>
      </c>
      <c r="B4363" s="2352" t="s">
        <v>10505</v>
      </c>
      <c r="C4363" s="2352" t="s">
        <v>10505</v>
      </c>
      <c r="D4363" s="2352" t="s">
        <v>10514</v>
      </c>
      <c r="E4363" s="355">
        <v>100</v>
      </c>
      <c r="F4363" s="1662">
        <v>5</v>
      </c>
    </row>
    <row r="4364" spans="1:6" ht="15" customHeight="1" x14ac:dyDescent="0.25">
      <c r="A4364" s="2352" t="s">
        <v>10515</v>
      </c>
      <c r="B4364" s="2352" t="s">
        <v>10505</v>
      </c>
      <c r="C4364" s="2352" t="s">
        <v>10505</v>
      </c>
      <c r="D4364" s="2352" t="s">
        <v>10516</v>
      </c>
      <c r="E4364" s="355">
        <v>63</v>
      </c>
      <c r="F4364" s="1662">
        <v>30</v>
      </c>
    </row>
    <row r="4365" spans="1:6" ht="15" customHeight="1" x14ac:dyDescent="0.25">
      <c r="A4365" s="2352" t="s">
        <v>10518</v>
      </c>
      <c r="B4365" s="2352" t="s">
        <v>10505</v>
      </c>
      <c r="C4365" s="2352" t="s">
        <v>10505</v>
      </c>
      <c r="D4365" s="2352" t="s">
        <v>10519</v>
      </c>
      <c r="E4365" s="355">
        <v>40</v>
      </c>
      <c r="F4365" s="1662">
        <v>7</v>
      </c>
    </row>
    <row r="4366" spans="1:6" ht="15" customHeight="1" x14ac:dyDescent="0.25">
      <c r="A4366" s="2352" t="s">
        <v>10521</v>
      </c>
      <c r="B4366" s="2352" t="s">
        <v>10505</v>
      </c>
      <c r="C4366" s="2352" t="s">
        <v>10505</v>
      </c>
      <c r="D4366" s="2352" t="s">
        <v>10522</v>
      </c>
      <c r="E4366" s="355">
        <v>63</v>
      </c>
      <c r="F4366" s="1662">
        <v>10</v>
      </c>
    </row>
    <row r="4367" spans="1:6" ht="15" customHeight="1" x14ac:dyDescent="0.25">
      <c r="A4367" s="2352" t="s">
        <v>10523</v>
      </c>
      <c r="B4367" s="2352" t="s">
        <v>10505</v>
      </c>
      <c r="C4367" s="2352" t="s">
        <v>10505</v>
      </c>
      <c r="D4367" s="2352" t="s">
        <v>10524</v>
      </c>
      <c r="E4367" s="355">
        <v>63</v>
      </c>
      <c r="F4367" s="1662">
        <v>18</v>
      </c>
    </row>
    <row r="4368" spans="1:6" ht="15" customHeight="1" x14ac:dyDescent="0.25">
      <c r="A4368" s="2352" t="s">
        <v>14938</v>
      </c>
      <c r="B4368" s="2352" t="s">
        <v>10505</v>
      </c>
      <c r="C4368" s="2352" t="s">
        <v>10505</v>
      </c>
      <c r="D4368" s="2352" t="s">
        <v>10525</v>
      </c>
      <c r="E4368" s="355">
        <v>63</v>
      </c>
      <c r="F4368" s="1662">
        <v>19</v>
      </c>
    </row>
    <row r="4369" spans="1:6" ht="15" customHeight="1" x14ac:dyDescent="0.25">
      <c r="A4369" s="2352" t="s">
        <v>10526</v>
      </c>
      <c r="B4369" s="2352" t="s">
        <v>10505</v>
      </c>
      <c r="C4369" s="2352" t="s">
        <v>10505</v>
      </c>
      <c r="D4369" s="2352" t="s">
        <v>10527</v>
      </c>
      <c r="E4369" s="355">
        <v>60</v>
      </c>
      <c r="F4369" s="1662">
        <v>24</v>
      </c>
    </row>
    <row r="4370" spans="1:6" ht="15" customHeight="1" x14ac:dyDescent="0.25">
      <c r="A4370" s="2352" t="s">
        <v>14939</v>
      </c>
      <c r="B4370" s="2352" t="s">
        <v>10505</v>
      </c>
      <c r="C4370" s="2352" t="s">
        <v>10505</v>
      </c>
      <c r="D4370" s="2352" t="s">
        <v>10528</v>
      </c>
      <c r="E4370" s="355">
        <v>40</v>
      </c>
      <c r="F4370" s="1662">
        <v>30</v>
      </c>
    </row>
    <row r="4371" spans="1:6" ht="15" customHeight="1" x14ac:dyDescent="0.25">
      <c r="A4371" s="2352" t="s">
        <v>10521</v>
      </c>
      <c r="B4371" s="2352" t="s">
        <v>10505</v>
      </c>
      <c r="C4371" s="2352" t="s">
        <v>10505</v>
      </c>
      <c r="D4371" s="2352" t="s">
        <v>10529</v>
      </c>
      <c r="E4371" s="355">
        <v>250</v>
      </c>
      <c r="F4371" s="1662">
        <v>120</v>
      </c>
    </row>
    <row r="4372" spans="1:6" ht="15" customHeight="1" x14ac:dyDescent="0.25">
      <c r="A4372" s="2352" t="s">
        <v>10504</v>
      </c>
      <c r="B4372" s="2352" t="s">
        <v>10505</v>
      </c>
      <c r="C4372" s="2352" t="s">
        <v>10505</v>
      </c>
      <c r="D4372" s="2352" t="s">
        <v>10531</v>
      </c>
      <c r="E4372" s="355">
        <v>250</v>
      </c>
      <c r="F4372" s="1662">
        <v>44</v>
      </c>
    </row>
    <row r="4373" spans="1:6" ht="15" customHeight="1" x14ac:dyDescent="0.25">
      <c r="A4373" s="2352" t="s">
        <v>10532</v>
      </c>
      <c r="B4373" s="2352" t="s">
        <v>10505</v>
      </c>
      <c r="C4373" s="2352" t="s">
        <v>10505</v>
      </c>
      <c r="D4373" s="2352" t="s">
        <v>10533</v>
      </c>
      <c r="E4373" s="355">
        <v>160</v>
      </c>
      <c r="F4373" s="1662">
        <v>30</v>
      </c>
    </row>
    <row r="4374" spans="1:6" ht="15" customHeight="1" x14ac:dyDescent="0.25">
      <c r="A4374" s="2352" t="s">
        <v>7792</v>
      </c>
      <c r="B4374" s="2352" t="s">
        <v>10505</v>
      </c>
      <c r="C4374" s="2352" t="s">
        <v>10505</v>
      </c>
      <c r="D4374" s="2352" t="s">
        <v>10535</v>
      </c>
      <c r="E4374" s="355">
        <v>30</v>
      </c>
      <c r="F4374" s="1662">
        <v>5</v>
      </c>
    </row>
    <row r="4375" spans="1:6" ht="15" customHeight="1" x14ac:dyDescent="0.25">
      <c r="A4375" s="2352" t="s">
        <v>10537</v>
      </c>
      <c r="B4375" s="2352" t="s">
        <v>10505</v>
      </c>
      <c r="C4375" s="2352" t="s">
        <v>10505</v>
      </c>
      <c r="D4375" s="2352" t="s">
        <v>10538</v>
      </c>
      <c r="E4375" s="355">
        <v>63</v>
      </c>
      <c r="F4375" s="1662">
        <v>32</v>
      </c>
    </row>
    <row r="4376" spans="1:6" ht="15" customHeight="1" x14ac:dyDescent="0.25">
      <c r="A4376" s="2352" t="s">
        <v>10539</v>
      </c>
      <c r="B4376" s="2352" t="s">
        <v>10505</v>
      </c>
      <c r="C4376" s="2352" t="s">
        <v>10505</v>
      </c>
      <c r="D4376" s="2352" t="s">
        <v>10540</v>
      </c>
      <c r="E4376" s="355">
        <v>40</v>
      </c>
      <c r="F4376" s="1662">
        <v>3</v>
      </c>
    </row>
    <row r="4377" spans="1:6" ht="15" customHeight="1" x14ac:dyDescent="0.25">
      <c r="A4377" s="2352" t="s">
        <v>10541</v>
      </c>
      <c r="B4377" s="2352" t="s">
        <v>10505</v>
      </c>
      <c r="C4377" s="2352" t="s">
        <v>10505</v>
      </c>
      <c r="D4377" s="2352" t="s">
        <v>10542</v>
      </c>
      <c r="E4377" s="355">
        <v>63</v>
      </c>
      <c r="F4377" s="1662">
        <v>20</v>
      </c>
    </row>
    <row r="4378" spans="1:6" ht="15" customHeight="1" x14ac:dyDescent="0.25">
      <c r="A4378" s="2352" t="s">
        <v>10539</v>
      </c>
      <c r="B4378" s="2352" t="s">
        <v>10505</v>
      </c>
      <c r="C4378" s="2352" t="s">
        <v>10505</v>
      </c>
      <c r="D4378" s="2352" t="s">
        <v>10543</v>
      </c>
      <c r="E4378" s="355">
        <v>160</v>
      </c>
      <c r="F4378" s="1662">
        <v>20</v>
      </c>
    </row>
    <row r="4379" spans="1:6" ht="15" customHeight="1" x14ac:dyDescent="0.25">
      <c r="A4379" s="2352" t="s">
        <v>10544</v>
      </c>
      <c r="B4379" s="2352" t="s">
        <v>10505</v>
      </c>
      <c r="C4379" s="2352" t="s">
        <v>10505</v>
      </c>
      <c r="D4379" s="2352" t="s">
        <v>10545</v>
      </c>
      <c r="E4379" s="355">
        <v>100</v>
      </c>
      <c r="F4379" s="1662">
        <v>38</v>
      </c>
    </row>
    <row r="4380" spans="1:6" ht="15" customHeight="1" x14ac:dyDescent="0.25">
      <c r="A4380" s="2352" t="s">
        <v>10546</v>
      </c>
      <c r="B4380" s="2352" t="s">
        <v>10505</v>
      </c>
      <c r="C4380" s="2352" t="s">
        <v>10505</v>
      </c>
      <c r="D4380" s="2352" t="s">
        <v>10547</v>
      </c>
      <c r="E4380" s="355">
        <v>160</v>
      </c>
      <c r="F4380" s="1662">
        <v>60</v>
      </c>
    </row>
    <row r="4381" spans="1:6" ht="15" customHeight="1" x14ac:dyDescent="0.25">
      <c r="A4381" s="2352" t="s">
        <v>10548</v>
      </c>
      <c r="B4381" s="2352" t="s">
        <v>10505</v>
      </c>
      <c r="C4381" s="2352" t="s">
        <v>10505</v>
      </c>
      <c r="D4381" s="2352" t="s">
        <v>10549</v>
      </c>
      <c r="E4381" s="355">
        <v>60</v>
      </c>
      <c r="F4381" s="1662">
        <v>25</v>
      </c>
    </row>
    <row r="4382" spans="1:6" ht="15" customHeight="1" x14ac:dyDescent="0.25">
      <c r="A4382" s="2352" t="s">
        <v>10550</v>
      </c>
      <c r="B4382" s="2352" t="s">
        <v>10505</v>
      </c>
      <c r="C4382" s="2352" t="s">
        <v>10505</v>
      </c>
      <c r="D4382" s="2352" t="s">
        <v>10551</v>
      </c>
      <c r="E4382" s="355">
        <v>30</v>
      </c>
      <c r="F4382" s="1662">
        <v>10</v>
      </c>
    </row>
    <row r="4383" spans="1:6" ht="15" customHeight="1" x14ac:dyDescent="0.25">
      <c r="A4383" s="2352" t="s">
        <v>10546</v>
      </c>
      <c r="B4383" s="2352" t="s">
        <v>10505</v>
      </c>
      <c r="C4383" s="2352" t="s">
        <v>10505</v>
      </c>
      <c r="D4383" s="2352" t="s">
        <v>10552</v>
      </c>
      <c r="E4383" s="355">
        <v>100</v>
      </c>
      <c r="F4383" s="1662">
        <v>30</v>
      </c>
    </row>
    <row r="4384" spans="1:6" ht="15" customHeight="1" x14ac:dyDescent="0.25">
      <c r="A4384" s="2352" t="s">
        <v>10553</v>
      </c>
      <c r="B4384" s="2352" t="s">
        <v>10505</v>
      </c>
      <c r="C4384" s="2352" t="s">
        <v>10505</v>
      </c>
      <c r="D4384" s="2352" t="s">
        <v>10554</v>
      </c>
      <c r="E4384" s="355">
        <v>30</v>
      </c>
      <c r="F4384" s="1662">
        <v>15</v>
      </c>
    </row>
    <row r="4385" spans="1:6" ht="15" customHeight="1" x14ac:dyDescent="0.25">
      <c r="A4385" s="2352" t="s">
        <v>10555</v>
      </c>
      <c r="B4385" s="2352" t="s">
        <v>10505</v>
      </c>
      <c r="C4385" s="2352" t="s">
        <v>10505</v>
      </c>
      <c r="D4385" s="2352" t="s">
        <v>10556</v>
      </c>
      <c r="E4385" s="355">
        <v>250</v>
      </c>
      <c r="F4385" s="1662">
        <v>50</v>
      </c>
    </row>
    <row r="4386" spans="1:6" ht="15" customHeight="1" x14ac:dyDescent="0.25">
      <c r="A4386" s="2352" t="s">
        <v>4609</v>
      </c>
      <c r="B4386" s="2352" t="s">
        <v>10505</v>
      </c>
      <c r="C4386" s="2352" t="s">
        <v>10505</v>
      </c>
      <c r="D4386" s="2352" t="s">
        <v>10557</v>
      </c>
      <c r="E4386" s="355">
        <v>30</v>
      </c>
      <c r="F4386" s="1662">
        <v>8</v>
      </c>
    </row>
    <row r="4387" spans="1:6" ht="15" customHeight="1" x14ac:dyDescent="0.25">
      <c r="A4387" s="2352" t="s">
        <v>10558</v>
      </c>
      <c r="B4387" s="2352" t="s">
        <v>10505</v>
      </c>
      <c r="C4387" s="2352" t="s">
        <v>10505</v>
      </c>
      <c r="D4387" s="2352" t="s">
        <v>10559</v>
      </c>
      <c r="E4387" s="355">
        <v>63</v>
      </c>
      <c r="F4387" s="1662">
        <v>20</v>
      </c>
    </row>
    <row r="4388" spans="1:6" ht="15" customHeight="1" x14ac:dyDescent="0.25">
      <c r="A4388" s="2352" t="s">
        <v>10560</v>
      </c>
      <c r="B4388" s="2352" t="s">
        <v>10505</v>
      </c>
      <c r="C4388" s="2352" t="s">
        <v>10505</v>
      </c>
      <c r="D4388" s="2352" t="s">
        <v>10561</v>
      </c>
      <c r="E4388" s="355">
        <v>60</v>
      </c>
      <c r="F4388" s="1662">
        <v>15</v>
      </c>
    </row>
    <row r="4389" spans="1:6" ht="15" customHeight="1" x14ac:dyDescent="0.25">
      <c r="A4389" s="2352" t="s">
        <v>10562</v>
      </c>
      <c r="B4389" s="2352" t="s">
        <v>10505</v>
      </c>
      <c r="C4389" s="2352" t="s">
        <v>10505</v>
      </c>
      <c r="D4389" s="2352" t="s">
        <v>10563</v>
      </c>
      <c r="E4389" s="355">
        <v>60</v>
      </c>
      <c r="F4389" s="1662">
        <v>18</v>
      </c>
    </row>
    <row r="4390" spans="1:6" ht="15" customHeight="1" x14ac:dyDescent="0.25">
      <c r="A4390" s="2352" t="s">
        <v>10564</v>
      </c>
      <c r="B4390" s="2352" t="s">
        <v>10505</v>
      </c>
      <c r="C4390" s="2352" t="s">
        <v>10505</v>
      </c>
      <c r="D4390" s="2352" t="s">
        <v>10565</v>
      </c>
      <c r="E4390" s="355">
        <v>100</v>
      </c>
      <c r="F4390" s="1662">
        <v>9</v>
      </c>
    </row>
    <row r="4391" spans="1:6" ht="15" customHeight="1" x14ac:dyDescent="0.25">
      <c r="A4391" s="2352" t="s">
        <v>10566</v>
      </c>
      <c r="B4391" s="2352" t="s">
        <v>10505</v>
      </c>
      <c r="C4391" s="2352" t="s">
        <v>10505</v>
      </c>
      <c r="D4391" s="2352" t="s">
        <v>10567</v>
      </c>
      <c r="E4391" s="355">
        <v>40</v>
      </c>
      <c r="F4391" s="1662">
        <v>17</v>
      </c>
    </row>
    <row r="4392" spans="1:6" ht="15" customHeight="1" x14ac:dyDescent="0.25">
      <c r="A4392" s="2352" t="s">
        <v>10568</v>
      </c>
      <c r="B4392" s="2352" t="s">
        <v>10505</v>
      </c>
      <c r="C4392" s="2352" t="s">
        <v>10505</v>
      </c>
      <c r="D4392" s="2352" t="s">
        <v>10569</v>
      </c>
      <c r="E4392" s="355">
        <v>250</v>
      </c>
      <c r="F4392" s="1662">
        <v>70</v>
      </c>
    </row>
    <row r="4393" spans="1:6" ht="15" customHeight="1" x14ac:dyDescent="0.25">
      <c r="A4393" s="2352" t="s">
        <v>10568</v>
      </c>
      <c r="B4393" s="2352" t="s">
        <v>10505</v>
      </c>
      <c r="C4393" s="2352" t="s">
        <v>10505</v>
      </c>
      <c r="D4393" s="2352" t="s">
        <v>10570</v>
      </c>
      <c r="E4393" s="355">
        <v>100</v>
      </c>
      <c r="F4393" s="1662">
        <v>10</v>
      </c>
    </row>
    <row r="4394" spans="1:6" ht="15" customHeight="1" x14ac:dyDescent="0.25">
      <c r="A4394" s="2352" t="s">
        <v>10571</v>
      </c>
      <c r="B4394" s="2352" t="s">
        <v>10505</v>
      </c>
      <c r="C4394" s="2352" t="s">
        <v>10505</v>
      </c>
      <c r="D4394" s="2352" t="s">
        <v>10572</v>
      </c>
      <c r="E4394" s="355">
        <v>25</v>
      </c>
      <c r="F4394" s="1662">
        <v>5</v>
      </c>
    </row>
    <row r="4395" spans="1:6" ht="15" customHeight="1" x14ac:dyDescent="0.25">
      <c r="A4395" s="2352" t="s">
        <v>10573</v>
      </c>
      <c r="B4395" s="2352" t="s">
        <v>10505</v>
      </c>
      <c r="C4395" s="2352" t="s">
        <v>10505</v>
      </c>
      <c r="D4395" s="2352" t="s">
        <v>10574</v>
      </c>
      <c r="E4395" s="355">
        <v>63</v>
      </c>
      <c r="F4395" s="1662">
        <v>8</v>
      </c>
    </row>
    <row r="4396" spans="1:6" ht="15" customHeight="1" x14ac:dyDescent="0.25">
      <c r="A4396" s="2352" t="s">
        <v>10575</v>
      </c>
      <c r="B4396" s="2352" t="s">
        <v>10505</v>
      </c>
      <c r="C4396" s="2352" t="s">
        <v>10505</v>
      </c>
      <c r="D4396" s="2352" t="s">
        <v>10576</v>
      </c>
      <c r="E4396" s="355">
        <v>30</v>
      </c>
      <c r="F4396" s="1662">
        <v>6</v>
      </c>
    </row>
    <row r="4397" spans="1:6" ht="15" customHeight="1" x14ac:dyDescent="0.25">
      <c r="A4397" s="2352" t="s">
        <v>10577</v>
      </c>
      <c r="B4397" s="2352" t="s">
        <v>10505</v>
      </c>
      <c r="C4397" s="2352" t="s">
        <v>10505</v>
      </c>
      <c r="D4397" s="2352" t="s">
        <v>10578</v>
      </c>
      <c r="E4397" s="355">
        <v>63</v>
      </c>
      <c r="F4397" s="1662">
        <v>7</v>
      </c>
    </row>
    <row r="4398" spans="1:6" ht="15" customHeight="1" x14ac:dyDescent="0.25">
      <c r="A4398" s="2352" t="s">
        <v>10579</v>
      </c>
      <c r="B4398" s="2352" t="s">
        <v>10505</v>
      </c>
      <c r="C4398" s="2352" t="s">
        <v>10505</v>
      </c>
      <c r="D4398" s="2352" t="s">
        <v>10580</v>
      </c>
      <c r="E4398" s="355">
        <v>20</v>
      </c>
      <c r="F4398" s="1662">
        <v>5</v>
      </c>
    </row>
    <row r="4399" spans="1:6" ht="15" customHeight="1" x14ac:dyDescent="0.25">
      <c r="A4399" s="2352" t="s">
        <v>10568</v>
      </c>
      <c r="B4399" s="2352" t="s">
        <v>10505</v>
      </c>
      <c r="C4399" s="2352" t="s">
        <v>10505</v>
      </c>
      <c r="D4399" s="2352" t="s">
        <v>10582</v>
      </c>
      <c r="E4399" s="355">
        <v>100</v>
      </c>
      <c r="F4399" s="1662">
        <v>50</v>
      </c>
    </row>
    <row r="4400" spans="1:6" ht="15" customHeight="1" x14ac:dyDescent="0.25">
      <c r="A4400" s="2352" t="s">
        <v>10568</v>
      </c>
      <c r="B4400" s="2352" t="s">
        <v>10505</v>
      </c>
      <c r="C4400" s="2352" t="s">
        <v>10505</v>
      </c>
      <c r="D4400" s="2352" t="s">
        <v>10583</v>
      </c>
      <c r="E4400" s="355">
        <v>100</v>
      </c>
      <c r="F4400" s="1662">
        <v>8</v>
      </c>
    </row>
    <row r="4401" spans="1:6" ht="15" customHeight="1" x14ac:dyDescent="0.25">
      <c r="A4401" s="2352" t="s">
        <v>10584</v>
      </c>
      <c r="B4401" s="2352" t="s">
        <v>10505</v>
      </c>
      <c r="C4401" s="2352" t="s">
        <v>10505</v>
      </c>
      <c r="D4401" s="2352" t="s">
        <v>10585</v>
      </c>
      <c r="E4401" s="355">
        <v>250</v>
      </c>
      <c r="F4401" s="1662">
        <v>24</v>
      </c>
    </row>
    <row r="4402" spans="1:6" ht="15" customHeight="1" x14ac:dyDescent="0.25">
      <c r="A4402" s="2352" t="s">
        <v>10584</v>
      </c>
      <c r="B4402" s="2352" t="s">
        <v>10505</v>
      </c>
      <c r="C4402" s="2352" t="s">
        <v>10505</v>
      </c>
      <c r="D4402" s="2352" t="s">
        <v>10586</v>
      </c>
      <c r="E4402" s="355">
        <v>100</v>
      </c>
      <c r="F4402" s="1662">
        <v>44</v>
      </c>
    </row>
    <row r="4403" spans="1:6" ht="15" customHeight="1" x14ac:dyDescent="0.25">
      <c r="A4403" s="2352" t="s">
        <v>10587</v>
      </c>
      <c r="B4403" s="2352" t="s">
        <v>10505</v>
      </c>
      <c r="C4403" s="2352" t="s">
        <v>10505</v>
      </c>
      <c r="D4403" s="2352" t="s">
        <v>10588</v>
      </c>
      <c r="E4403" s="355">
        <v>60</v>
      </c>
      <c r="F4403" s="1662">
        <v>10</v>
      </c>
    </row>
    <row r="4404" spans="1:6" ht="15" customHeight="1" x14ac:dyDescent="0.25">
      <c r="A4404" s="2352" t="s">
        <v>10589</v>
      </c>
      <c r="B4404" s="2352" t="s">
        <v>10505</v>
      </c>
      <c r="C4404" s="2352" t="s">
        <v>10505</v>
      </c>
      <c r="D4404" s="2352" t="s">
        <v>10590</v>
      </c>
      <c r="E4404" s="355">
        <v>40</v>
      </c>
      <c r="F4404" s="1662">
        <v>15</v>
      </c>
    </row>
    <row r="4405" spans="1:6" ht="15" customHeight="1" x14ac:dyDescent="0.25">
      <c r="A4405" s="2352" t="s">
        <v>10591</v>
      </c>
      <c r="B4405" s="2352" t="s">
        <v>10505</v>
      </c>
      <c r="C4405" s="2352" t="s">
        <v>10505</v>
      </c>
      <c r="D4405" s="2352" t="s">
        <v>10592</v>
      </c>
      <c r="E4405" s="355">
        <v>10</v>
      </c>
      <c r="F4405" s="1662">
        <v>6</v>
      </c>
    </row>
    <row r="4406" spans="1:6" ht="15" customHeight="1" x14ac:dyDescent="0.25">
      <c r="A4406" s="2352" t="s">
        <v>10593</v>
      </c>
      <c r="B4406" s="2352" t="s">
        <v>10505</v>
      </c>
      <c r="C4406" s="2352" t="s">
        <v>10505</v>
      </c>
      <c r="D4406" s="2352" t="s">
        <v>10594</v>
      </c>
      <c r="E4406" s="355">
        <v>60</v>
      </c>
      <c r="F4406" s="1662">
        <v>13</v>
      </c>
    </row>
    <row r="4407" spans="1:6" ht="15" customHeight="1" x14ac:dyDescent="0.25">
      <c r="A4407" s="2352" t="s">
        <v>10595</v>
      </c>
      <c r="B4407" s="2352" t="s">
        <v>10505</v>
      </c>
      <c r="C4407" s="2352" t="s">
        <v>10505</v>
      </c>
      <c r="D4407" s="2352" t="s">
        <v>10596</v>
      </c>
      <c r="E4407" s="355">
        <v>10</v>
      </c>
      <c r="F4407" s="1662">
        <v>3</v>
      </c>
    </row>
    <row r="4408" spans="1:6" ht="15" customHeight="1" x14ac:dyDescent="0.25">
      <c r="A4408" s="2352" t="s">
        <v>10587</v>
      </c>
      <c r="B4408" s="2352" t="s">
        <v>10505</v>
      </c>
      <c r="C4408" s="2352" t="s">
        <v>10505</v>
      </c>
      <c r="D4408" s="2352" t="s">
        <v>10597</v>
      </c>
      <c r="E4408" s="355">
        <v>20</v>
      </c>
      <c r="F4408" s="1662">
        <v>3</v>
      </c>
    </row>
    <row r="4409" spans="1:6" ht="15" customHeight="1" x14ac:dyDescent="0.25">
      <c r="A4409" s="2352" t="s">
        <v>10598</v>
      </c>
      <c r="B4409" s="2352" t="s">
        <v>10505</v>
      </c>
      <c r="C4409" s="2352" t="s">
        <v>10505</v>
      </c>
      <c r="D4409" s="2352" t="s">
        <v>10599</v>
      </c>
      <c r="E4409" s="355">
        <v>10</v>
      </c>
      <c r="F4409" s="1662">
        <v>2</v>
      </c>
    </row>
    <row r="4410" spans="1:6" ht="15" customHeight="1" x14ac:dyDescent="0.25">
      <c r="A4410" s="2352" t="s">
        <v>8690</v>
      </c>
      <c r="B4410" s="2352" t="s">
        <v>10505</v>
      </c>
      <c r="C4410" s="2352" t="s">
        <v>10505</v>
      </c>
      <c r="D4410" s="2352" t="s">
        <v>10600</v>
      </c>
      <c r="E4410" s="355">
        <v>160</v>
      </c>
      <c r="F4410" s="1662">
        <v>18</v>
      </c>
    </row>
    <row r="4411" spans="1:6" ht="15" customHeight="1" x14ac:dyDescent="0.25">
      <c r="A4411" s="2352" t="s">
        <v>4904</v>
      </c>
      <c r="B4411" s="2352" t="s">
        <v>10505</v>
      </c>
      <c r="C4411" s="2352" t="s">
        <v>10505</v>
      </c>
      <c r="D4411" s="2352" t="s">
        <v>10601</v>
      </c>
      <c r="E4411" s="355">
        <v>160</v>
      </c>
      <c r="F4411" s="1662">
        <v>15</v>
      </c>
    </row>
    <row r="4412" spans="1:6" ht="15" customHeight="1" x14ac:dyDescent="0.25">
      <c r="A4412" s="2352" t="s">
        <v>10602</v>
      </c>
      <c r="B4412" s="2352" t="s">
        <v>10505</v>
      </c>
      <c r="C4412" s="2352" t="s">
        <v>10505</v>
      </c>
      <c r="D4412" s="2352" t="s">
        <v>10603</v>
      </c>
      <c r="E4412" s="355">
        <v>100</v>
      </c>
      <c r="F4412" s="1662">
        <v>23</v>
      </c>
    </row>
    <row r="4413" spans="1:6" ht="15" customHeight="1" x14ac:dyDescent="0.25">
      <c r="A4413" s="2352" t="s">
        <v>10604</v>
      </c>
      <c r="B4413" s="2352" t="s">
        <v>10505</v>
      </c>
      <c r="C4413" s="2352" t="s">
        <v>10505</v>
      </c>
      <c r="D4413" s="2352" t="s">
        <v>10605</v>
      </c>
      <c r="E4413" s="355">
        <v>100</v>
      </c>
      <c r="F4413" s="1662">
        <v>6</v>
      </c>
    </row>
    <row r="4414" spans="1:6" ht="15" customHeight="1" x14ac:dyDescent="0.25">
      <c r="A4414" s="2352" t="s">
        <v>10604</v>
      </c>
      <c r="B4414" s="2352" t="s">
        <v>10505</v>
      </c>
      <c r="C4414" s="2352" t="s">
        <v>10505</v>
      </c>
      <c r="D4414" s="2352" t="s">
        <v>10606</v>
      </c>
      <c r="E4414" s="355">
        <v>100</v>
      </c>
      <c r="F4414" s="1662">
        <v>50</v>
      </c>
    </row>
    <row r="4415" spans="1:6" ht="15" customHeight="1" x14ac:dyDescent="0.25">
      <c r="A4415" s="2352" t="s">
        <v>10604</v>
      </c>
      <c r="B4415" s="2352" t="s">
        <v>10505</v>
      </c>
      <c r="C4415" s="2352" t="s">
        <v>10505</v>
      </c>
      <c r="D4415" s="2352" t="s">
        <v>10607</v>
      </c>
      <c r="E4415" s="355">
        <v>160</v>
      </c>
      <c r="F4415" s="1662">
        <v>20</v>
      </c>
    </row>
    <row r="4416" spans="1:6" ht="15" customHeight="1" x14ac:dyDescent="0.25">
      <c r="A4416" s="2352" t="s">
        <v>10608</v>
      </c>
      <c r="B4416" s="2352" t="s">
        <v>10505</v>
      </c>
      <c r="C4416" s="2352" t="s">
        <v>10505</v>
      </c>
      <c r="D4416" s="2352" t="s">
        <v>10609</v>
      </c>
      <c r="E4416" s="355">
        <v>30</v>
      </c>
      <c r="F4416" s="1662">
        <v>10</v>
      </c>
    </row>
    <row r="4417" spans="1:6" ht="15" customHeight="1" x14ac:dyDescent="0.25">
      <c r="A4417" s="2352" t="s">
        <v>10610</v>
      </c>
      <c r="B4417" s="2352" t="s">
        <v>10505</v>
      </c>
      <c r="C4417" s="2352" t="s">
        <v>10505</v>
      </c>
      <c r="D4417" s="2352" t="s">
        <v>10611</v>
      </c>
      <c r="E4417" s="355">
        <v>20</v>
      </c>
      <c r="F4417" s="1662">
        <v>3</v>
      </c>
    </row>
    <row r="4418" spans="1:6" ht="15" customHeight="1" x14ac:dyDescent="0.25">
      <c r="A4418" s="2352" t="s">
        <v>10612</v>
      </c>
      <c r="B4418" s="2352" t="s">
        <v>10505</v>
      </c>
      <c r="C4418" s="2352" t="s">
        <v>10505</v>
      </c>
      <c r="D4418" s="2352" t="s">
        <v>10613</v>
      </c>
      <c r="E4418" s="355">
        <v>250</v>
      </c>
      <c r="F4418" s="1662">
        <v>30</v>
      </c>
    </row>
    <row r="4419" spans="1:6" ht="15" customHeight="1" x14ac:dyDescent="0.25">
      <c r="A4419" s="2352" t="s">
        <v>10614</v>
      </c>
      <c r="B4419" s="2352" t="s">
        <v>10505</v>
      </c>
      <c r="C4419" s="2352" t="s">
        <v>10505</v>
      </c>
      <c r="D4419" s="2352" t="s">
        <v>10615</v>
      </c>
      <c r="E4419" s="355">
        <v>30</v>
      </c>
      <c r="F4419" s="1662">
        <v>12</v>
      </c>
    </row>
    <row r="4420" spans="1:6" ht="15" customHeight="1" x14ac:dyDescent="0.25">
      <c r="A4420" s="2352" t="s">
        <v>10616</v>
      </c>
      <c r="B4420" s="2352" t="s">
        <v>10505</v>
      </c>
      <c r="C4420" s="2352" t="s">
        <v>10505</v>
      </c>
      <c r="D4420" s="2352" t="s">
        <v>10617</v>
      </c>
      <c r="E4420" s="355">
        <v>30</v>
      </c>
      <c r="F4420" s="1662">
        <v>10</v>
      </c>
    </row>
    <row r="4421" spans="1:6" ht="15" customHeight="1" x14ac:dyDescent="0.25">
      <c r="A4421" s="2352" t="s">
        <v>10618</v>
      </c>
      <c r="B4421" s="2352" t="s">
        <v>10505</v>
      </c>
      <c r="C4421" s="2352" t="s">
        <v>10505</v>
      </c>
      <c r="D4421" s="2352" t="s">
        <v>10619</v>
      </c>
      <c r="E4421" s="355">
        <v>60</v>
      </c>
      <c r="F4421" s="1662">
        <v>15</v>
      </c>
    </row>
    <row r="4422" spans="1:6" ht="15" customHeight="1" x14ac:dyDescent="0.25">
      <c r="A4422" s="2352" t="s">
        <v>10620</v>
      </c>
      <c r="B4422" s="2352" t="s">
        <v>10505</v>
      </c>
      <c r="C4422" s="2352" t="s">
        <v>10505</v>
      </c>
      <c r="D4422" s="2352" t="s">
        <v>10621</v>
      </c>
      <c r="E4422" s="355">
        <v>50</v>
      </c>
      <c r="F4422" s="1662">
        <v>18</v>
      </c>
    </row>
    <row r="4423" spans="1:6" ht="15" customHeight="1" x14ac:dyDescent="0.25">
      <c r="A4423" s="2352" t="s">
        <v>4413</v>
      </c>
      <c r="B4423" s="2352" t="s">
        <v>10505</v>
      </c>
      <c r="C4423" s="2352" t="s">
        <v>10505</v>
      </c>
      <c r="D4423" s="2352" t="s">
        <v>10623</v>
      </c>
      <c r="E4423" s="355">
        <v>40</v>
      </c>
      <c r="F4423" s="1662">
        <v>10</v>
      </c>
    </row>
    <row r="4424" spans="1:6" ht="15" customHeight="1" x14ac:dyDescent="0.25">
      <c r="A4424" s="2352" t="s">
        <v>7429</v>
      </c>
      <c r="B4424" s="2352" t="s">
        <v>10505</v>
      </c>
      <c r="C4424" s="2352" t="s">
        <v>10505</v>
      </c>
      <c r="D4424" s="2352" t="s">
        <v>10624</v>
      </c>
      <c r="E4424" s="355">
        <v>60</v>
      </c>
      <c r="F4424" s="1662">
        <v>15</v>
      </c>
    </row>
    <row r="4425" spans="1:6" ht="15" customHeight="1" x14ac:dyDescent="0.25">
      <c r="A4425" s="2352" t="s">
        <v>10625</v>
      </c>
      <c r="B4425" s="2352" t="s">
        <v>10505</v>
      </c>
      <c r="C4425" s="2352" t="s">
        <v>10505</v>
      </c>
      <c r="D4425" s="2352" t="s">
        <v>10626</v>
      </c>
      <c r="E4425" s="355">
        <v>100</v>
      </c>
      <c r="F4425" s="1662">
        <v>40</v>
      </c>
    </row>
    <row r="4426" spans="1:6" ht="15" customHeight="1" x14ac:dyDescent="0.25">
      <c r="A4426" s="2352" t="s">
        <v>10627</v>
      </c>
      <c r="B4426" s="2352" t="s">
        <v>10505</v>
      </c>
      <c r="C4426" s="2352" t="s">
        <v>10505</v>
      </c>
      <c r="D4426" s="2352" t="s">
        <v>10628</v>
      </c>
      <c r="E4426" s="355">
        <v>40</v>
      </c>
      <c r="F4426" s="1662">
        <v>15</v>
      </c>
    </row>
    <row r="4427" spans="1:6" ht="15" customHeight="1" x14ac:dyDescent="0.25">
      <c r="A4427" s="2352" t="s">
        <v>10629</v>
      </c>
      <c r="B4427" s="2352" t="s">
        <v>10505</v>
      </c>
      <c r="C4427" s="2352" t="s">
        <v>10505</v>
      </c>
      <c r="D4427" s="2352" t="s">
        <v>10630</v>
      </c>
      <c r="E4427" s="355">
        <v>60</v>
      </c>
      <c r="F4427" s="1662">
        <v>10</v>
      </c>
    </row>
    <row r="4428" spans="1:6" ht="15" customHeight="1" x14ac:dyDescent="0.25">
      <c r="A4428" s="2352" t="s">
        <v>10631</v>
      </c>
      <c r="B4428" s="2352" t="s">
        <v>10505</v>
      </c>
      <c r="C4428" s="2352" t="s">
        <v>10505</v>
      </c>
      <c r="D4428" s="2352" t="s">
        <v>10632</v>
      </c>
      <c r="E4428" s="355">
        <v>40</v>
      </c>
      <c r="F4428" s="1662">
        <v>13</v>
      </c>
    </row>
    <row r="4429" spans="1:6" ht="15" customHeight="1" x14ac:dyDescent="0.25">
      <c r="A4429" s="2352" t="s">
        <v>10633</v>
      </c>
      <c r="B4429" s="2352" t="s">
        <v>10505</v>
      </c>
      <c r="C4429" s="2352" t="s">
        <v>10505</v>
      </c>
      <c r="D4429" s="2352" t="s">
        <v>10634</v>
      </c>
      <c r="E4429" s="355">
        <v>30</v>
      </c>
      <c r="F4429" s="1662">
        <v>7</v>
      </c>
    </row>
    <row r="4430" spans="1:6" ht="15" customHeight="1" x14ac:dyDescent="0.25">
      <c r="A4430" s="2352" t="s">
        <v>10635</v>
      </c>
      <c r="B4430" s="2352" t="s">
        <v>10505</v>
      </c>
      <c r="C4430" s="2352" t="s">
        <v>10505</v>
      </c>
      <c r="D4430" s="2352" t="s">
        <v>10636</v>
      </c>
      <c r="E4430" s="355">
        <v>63</v>
      </c>
      <c r="F4430" s="1662">
        <v>10</v>
      </c>
    </row>
    <row r="4431" spans="1:6" ht="15" customHeight="1" x14ac:dyDescent="0.25">
      <c r="A4431" s="2352" t="s">
        <v>10635</v>
      </c>
      <c r="B4431" s="2352" t="s">
        <v>10505</v>
      </c>
      <c r="C4431" s="2352" t="s">
        <v>10505</v>
      </c>
      <c r="D4431" s="2352" t="s">
        <v>10637</v>
      </c>
      <c r="E4431" s="355">
        <v>25</v>
      </c>
      <c r="F4431" s="1662">
        <v>5</v>
      </c>
    </row>
    <row r="4432" spans="1:6" ht="15" customHeight="1" x14ac:dyDescent="0.25">
      <c r="A4432" s="2352" t="s">
        <v>10521</v>
      </c>
      <c r="B4432" s="2352" t="s">
        <v>10505</v>
      </c>
      <c r="C4432" s="2352" t="s">
        <v>10505</v>
      </c>
      <c r="D4432" s="2352" t="s">
        <v>10638</v>
      </c>
      <c r="E4432" s="355">
        <v>100</v>
      </c>
      <c r="F4432" s="1662">
        <v>17</v>
      </c>
    </row>
    <row r="4433" spans="1:6" ht="15" customHeight="1" x14ac:dyDescent="0.25">
      <c r="A4433" s="2352" t="s">
        <v>10639</v>
      </c>
      <c r="B4433" s="2352" t="s">
        <v>10505</v>
      </c>
      <c r="C4433" s="2352" t="s">
        <v>10505</v>
      </c>
      <c r="D4433" s="2352" t="s">
        <v>10640</v>
      </c>
      <c r="E4433" s="355">
        <v>30</v>
      </c>
      <c r="F4433" s="1662">
        <v>5</v>
      </c>
    </row>
    <row r="4434" spans="1:6" ht="15" customHeight="1" x14ac:dyDescent="0.25">
      <c r="A4434" s="2352" t="s">
        <v>6426</v>
      </c>
      <c r="B4434" s="2352" t="s">
        <v>10505</v>
      </c>
      <c r="C4434" s="2352" t="s">
        <v>10505</v>
      </c>
      <c r="D4434" s="2352" t="s">
        <v>10641</v>
      </c>
      <c r="E4434" s="355">
        <v>40</v>
      </c>
      <c r="F4434" s="1662">
        <v>20</v>
      </c>
    </row>
    <row r="4435" spans="1:6" ht="15" customHeight="1" x14ac:dyDescent="0.25">
      <c r="A4435" s="2352" t="s">
        <v>10642</v>
      </c>
      <c r="B4435" s="2352" t="s">
        <v>10505</v>
      </c>
      <c r="C4435" s="2352" t="s">
        <v>10505</v>
      </c>
      <c r="D4435" s="2352" t="s">
        <v>10643</v>
      </c>
      <c r="E4435" s="355">
        <v>40</v>
      </c>
      <c r="F4435" s="1662">
        <v>10</v>
      </c>
    </row>
    <row r="4436" spans="1:6" ht="15" customHeight="1" x14ac:dyDescent="0.25">
      <c r="A4436" s="2352" t="s">
        <v>10644</v>
      </c>
      <c r="B4436" s="2352" t="s">
        <v>10505</v>
      </c>
      <c r="C4436" s="2352" t="s">
        <v>10505</v>
      </c>
      <c r="D4436" s="2352" t="s">
        <v>10645</v>
      </c>
      <c r="E4436" s="355">
        <v>25</v>
      </c>
      <c r="F4436" s="1662">
        <v>5</v>
      </c>
    </row>
    <row r="4437" spans="1:6" ht="15" customHeight="1" x14ac:dyDescent="0.25">
      <c r="A4437" s="2352" t="s">
        <v>7882</v>
      </c>
      <c r="B4437" s="2352" t="s">
        <v>10505</v>
      </c>
      <c r="C4437" s="2352" t="s">
        <v>10505</v>
      </c>
      <c r="D4437" s="2352" t="s">
        <v>10646</v>
      </c>
      <c r="E4437" s="355">
        <v>30</v>
      </c>
      <c r="F4437" s="1662">
        <v>15</v>
      </c>
    </row>
    <row r="4438" spans="1:6" ht="15" customHeight="1" x14ac:dyDescent="0.25">
      <c r="A4438" s="2352" t="s">
        <v>10647</v>
      </c>
      <c r="B4438" s="2352" t="s">
        <v>10505</v>
      </c>
      <c r="C4438" s="2352" t="s">
        <v>10505</v>
      </c>
      <c r="D4438" s="2352" t="s">
        <v>10648</v>
      </c>
      <c r="E4438" s="355">
        <v>20</v>
      </c>
      <c r="F4438" s="1662">
        <v>12</v>
      </c>
    </row>
    <row r="4439" spans="1:6" ht="15" customHeight="1" x14ac:dyDescent="0.25">
      <c r="A4439" s="2352" t="s">
        <v>10649</v>
      </c>
      <c r="B4439" s="2352" t="s">
        <v>10505</v>
      </c>
      <c r="C4439" s="2352" t="s">
        <v>10505</v>
      </c>
      <c r="D4439" s="2352" t="s">
        <v>10650</v>
      </c>
      <c r="E4439" s="355">
        <v>25</v>
      </c>
      <c r="F4439" s="1662">
        <v>15</v>
      </c>
    </row>
    <row r="4440" spans="1:6" ht="15" customHeight="1" x14ac:dyDescent="0.25">
      <c r="A4440" s="2352" t="s">
        <v>10651</v>
      </c>
      <c r="B4440" s="2352" t="s">
        <v>10505</v>
      </c>
      <c r="C4440" s="2352" t="s">
        <v>10505</v>
      </c>
      <c r="D4440" s="2352" t="s">
        <v>10652</v>
      </c>
      <c r="E4440" s="355">
        <v>20</v>
      </c>
      <c r="F4440" s="1662">
        <v>15</v>
      </c>
    </row>
    <row r="4441" spans="1:6" ht="15" customHeight="1" x14ac:dyDescent="0.25">
      <c r="A4441" s="2352" t="s">
        <v>10653</v>
      </c>
      <c r="B4441" s="2352" t="s">
        <v>10505</v>
      </c>
      <c r="C4441" s="2352" t="s">
        <v>10505</v>
      </c>
      <c r="D4441" s="2352" t="s">
        <v>10654</v>
      </c>
      <c r="E4441" s="355">
        <v>100</v>
      </c>
      <c r="F4441" s="1662">
        <v>18</v>
      </c>
    </row>
    <row r="4442" spans="1:6" ht="15" customHeight="1" x14ac:dyDescent="0.25">
      <c r="A4442" s="2352" t="s">
        <v>4402</v>
      </c>
      <c r="B4442" s="2352" t="s">
        <v>10505</v>
      </c>
      <c r="C4442" s="2352" t="s">
        <v>10505</v>
      </c>
      <c r="D4442" s="2352" t="s">
        <v>4898</v>
      </c>
      <c r="E4442" s="355">
        <v>40</v>
      </c>
      <c r="F4442" s="1662">
        <v>22</v>
      </c>
    </row>
    <row r="4443" spans="1:6" ht="15" customHeight="1" x14ac:dyDescent="0.25">
      <c r="A4443" s="2352" t="s">
        <v>7425</v>
      </c>
      <c r="B4443" s="2352" t="s">
        <v>10505</v>
      </c>
      <c r="C4443" s="2352" t="s">
        <v>10505</v>
      </c>
      <c r="D4443" s="2352" t="s">
        <v>10655</v>
      </c>
      <c r="E4443" s="355">
        <v>100</v>
      </c>
      <c r="F4443" s="1662">
        <v>44</v>
      </c>
    </row>
    <row r="4444" spans="1:6" ht="15" customHeight="1" x14ac:dyDescent="0.25">
      <c r="A4444" s="2352" t="s">
        <v>10656</v>
      </c>
      <c r="B4444" s="2352" t="s">
        <v>10505</v>
      </c>
      <c r="C4444" s="2352" t="s">
        <v>10505</v>
      </c>
      <c r="D4444" s="2352" t="s">
        <v>10657</v>
      </c>
      <c r="E4444" s="355">
        <v>50</v>
      </c>
      <c r="F4444" s="1662">
        <v>15</v>
      </c>
    </row>
    <row r="4445" spans="1:6" ht="15" customHeight="1" x14ac:dyDescent="0.25">
      <c r="A4445" s="2352" t="s">
        <v>10653</v>
      </c>
      <c r="B4445" s="2352" t="s">
        <v>10505</v>
      </c>
      <c r="C4445" s="2352" t="s">
        <v>10505</v>
      </c>
      <c r="D4445" s="2352" t="s">
        <v>10658</v>
      </c>
      <c r="E4445" s="355">
        <v>100</v>
      </c>
      <c r="F4445" s="1662">
        <v>20</v>
      </c>
    </row>
    <row r="4446" spans="1:6" ht="15" customHeight="1" x14ac:dyDescent="0.25">
      <c r="A4446" s="2352" t="s">
        <v>8690</v>
      </c>
      <c r="B4446" s="2352" t="s">
        <v>10505</v>
      </c>
      <c r="C4446" s="2352" t="s">
        <v>10505</v>
      </c>
      <c r="D4446" s="2352" t="s">
        <v>10659</v>
      </c>
      <c r="E4446" s="355">
        <v>50</v>
      </c>
      <c r="F4446" s="1662">
        <v>25</v>
      </c>
    </row>
    <row r="4447" spans="1:6" ht="15" customHeight="1" x14ac:dyDescent="0.25">
      <c r="A4447" s="2352" t="s">
        <v>4413</v>
      </c>
      <c r="B4447" s="2352" t="s">
        <v>10505</v>
      </c>
      <c r="C4447" s="2352" t="s">
        <v>10505</v>
      </c>
      <c r="D4447" s="2352" t="s">
        <v>10660</v>
      </c>
      <c r="E4447" s="355">
        <v>100</v>
      </c>
      <c r="F4447" s="1662">
        <v>33</v>
      </c>
    </row>
    <row r="4448" spans="1:6" ht="15" customHeight="1" x14ac:dyDescent="0.25">
      <c r="A4448" s="2352" t="s">
        <v>10661</v>
      </c>
      <c r="B4448" s="2352" t="s">
        <v>10505</v>
      </c>
      <c r="C4448" s="2352" t="s">
        <v>10505</v>
      </c>
      <c r="D4448" s="2352" t="s">
        <v>10662</v>
      </c>
      <c r="E4448" s="355">
        <v>10</v>
      </c>
      <c r="F4448" s="1662">
        <v>3</v>
      </c>
    </row>
    <row r="4449" spans="1:6" ht="15" customHeight="1" x14ac:dyDescent="0.25">
      <c r="A4449" s="2352" t="s">
        <v>3956</v>
      </c>
      <c r="B4449" s="2352" t="s">
        <v>10505</v>
      </c>
      <c r="C4449" s="2352" t="s">
        <v>10505</v>
      </c>
      <c r="D4449" s="2352" t="s">
        <v>10663</v>
      </c>
      <c r="E4449" s="355">
        <v>30</v>
      </c>
      <c r="F4449" s="1662">
        <v>5</v>
      </c>
    </row>
    <row r="4450" spans="1:6" ht="15" customHeight="1" x14ac:dyDescent="0.25">
      <c r="A4450" s="2352" t="s">
        <v>10635</v>
      </c>
      <c r="B4450" s="2352" t="s">
        <v>10505</v>
      </c>
      <c r="C4450" s="2352" t="s">
        <v>10505</v>
      </c>
      <c r="D4450" s="2352" t="s">
        <v>10664</v>
      </c>
      <c r="E4450" s="355">
        <v>63</v>
      </c>
      <c r="F4450" s="1662">
        <v>15</v>
      </c>
    </row>
    <row r="4451" spans="1:6" ht="15" customHeight="1" x14ac:dyDescent="0.25">
      <c r="A4451" s="2352" t="s">
        <v>10635</v>
      </c>
      <c r="B4451" s="2352" t="s">
        <v>10505</v>
      </c>
      <c r="C4451" s="2352" t="s">
        <v>10505</v>
      </c>
      <c r="D4451" s="2352" t="s">
        <v>10665</v>
      </c>
      <c r="E4451" s="355">
        <v>63</v>
      </c>
      <c r="F4451" s="1662">
        <v>18</v>
      </c>
    </row>
    <row r="4452" spans="1:6" ht="15" customHeight="1" x14ac:dyDescent="0.25">
      <c r="A4452" s="2352" t="s">
        <v>10635</v>
      </c>
      <c r="B4452" s="2352" t="s">
        <v>10505</v>
      </c>
      <c r="C4452" s="2352" t="s">
        <v>10505</v>
      </c>
      <c r="D4452" s="2352" t="s">
        <v>10666</v>
      </c>
      <c r="E4452" s="355">
        <v>160</v>
      </c>
      <c r="F4452" s="1662">
        <v>40</v>
      </c>
    </row>
    <row r="4453" spans="1:6" ht="15" customHeight="1" x14ac:dyDescent="0.25">
      <c r="A4453" s="2352" t="s">
        <v>10555</v>
      </c>
      <c r="B4453" s="2352" t="s">
        <v>10505</v>
      </c>
      <c r="C4453" s="2352" t="s">
        <v>10505</v>
      </c>
      <c r="D4453" s="2352" t="s">
        <v>16738</v>
      </c>
      <c r="E4453" s="355">
        <v>400</v>
      </c>
      <c r="F4453" s="1662">
        <v>140</v>
      </c>
    </row>
    <row r="4454" spans="1:6" ht="15" customHeight="1" x14ac:dyDescent="0.25">
      <c r="A4454" s="2352" t="s">
        <v>10667</v>
      </c>
      <c r="B4454" s="2352" t="s">
        <v>10505</v>
      </c>
      <c r="C4454" s="2352" t="s">
        <v>10505</v>
      </c>
      <c r="D4454" s="2352" t="s">
        <v>10668</v>
      </c>
      <c r="E4454" s="355">
        <v>160</v>
      </c>
      <c r="F4454" s="1662">
        <v>20</v>
      </c>
    </row>
    <row r="4455" spans="1:6" ht="15" customHeight="1" x14ac:dyDescent="0.25">
      <c r="A4455" s="2352" t="s">
        <v>10568</v>
      </c>
      <c r="B4455" s="2352" t="s">
        <v>10505</v>
      </c>
      <c r="C4455" s="2352" t="s">
        <v>10505</v>
      </c>
      <c r="D4455" s="2352" t="s">
        <v>10669</v>
      </c>
      <c r="E4455" s="355">
        <v>400</v>
      </c>
      <c r="F4455" s="1662">
        <v>75</v>
      </c>
    </row>
    <row r="4456" spans="1:6" ht="15" customHeight="1" x14ac:dyDescent="0.25">
      <c r="A4456" s="2352" t="s">
        <v>10604</v>
      </c>
      <c r="B4456" s="2352" t="s">
        <v>10505</v>
      </c>
      <c r="C4456" s="2352" t="s">
        <v>10505</v>
      </c>
      <c r="D4456" s="2352" t="s">
        <v>10670</v>
      </c>
      <c r="E4456" s="355">
        <v>250</v>
      </c>
      <c r="F4456" s="1662">
        <v>100</v>
      </c>
    </row>
    <row r="4457" spans="1:6" ht="15" customHeight="1" x14ac:dyDescent="0.25">
      <c r="A4457" s="2352" t="s">
        <v>4124</v>
      </c>
      <c r="B4457" s="2352" t="s">
        <v>10505</v>
      </c>
      <c r="C4457" s="2352" t="s">
        <v>10505</v>
      </c>
      <c r="D4457" s="2352" t="s">
        <v>10671</v>
      </c>
      <c r="E4457" s="355">
        <v>30</v>
      </c>
      <c r="F4457" s="1662">
        <v>20</v>
      </c>
    </row>
    <row r="4458" spans="1:6" ht="15" customHeight="1" x14ac:dyDescent="0.25">
      <c r="A4458" s="2352" t="s">
        <v>4124</v>
      </c>
      <c r="B4458" s="2352" t="s">
        <v>10505</v>
      </c>
      <c r="C4458" s="2352" t="s">
        <v>10505</v>
      </c>
      <c r="D4458" s="2352" t="s">
        <v>10672</v>
      </c>
      <c r="E4458" s="355">
        <v>100</v>
      </c>
      <c r="F4458" s="1662">
        <v>32</v>
      </c>
    </row>
    <row r="4459" spans="1:6" ht="15" customHeight="1" x14ac:dyDescent="0.25">
      <c r="A4459" s="2352" t="s">
        <v>6650</v>
      </c>
      <c r="B4459" s="2352" t="s">
        <v>10505</v>
      </c>
      <c r="C4459" s="2352" t="s">
        <v>10505</v>
      </c>
      <c r="D4459" s="2352" t="s">
        <v>10673</v>
      </c>
      <c r="E4459" s="355">
        <v>60</v>
      </c>
      <c r="F4459" s="1662">
        <v>14</v>
      </c>
    </row>
    <row r="4460" spans="1:6" ht="15" customHeight="1" x14ac:dyDescent="0.25">
      <c r="A4460" s="2352" t="s">
        <v>6650</v>
      </c>
      <c r="B4460" s="2352" t="s">
        <v>10505</v>
      </c>
      <c r="C4460" s="2352" t="s">
        <v>10505</v>
      </c>
      <c r="D4460" s="2352" t="s">
        <v>10674</v>
      </c>
      <c r="E4460" s="355">
        <v>100</v>
      </c>
      <c r="F4460" s="1662">
        <v>25</v>
      </c>
    </row>
    <row r="4461" spans="1:6" ht="15" customHeight="1" x14ac:dyDescent="0.25">
      <c r="A4461" s="2352" t="s">
        <v>3783</v>
      </c>
      <c r="B4461" s="2352" t="s">
        <v>10505</v>
      </c>
      <c r="C4461" s="2352" t="s">
        <v>10505</v>
      </c>
      <c r="D4461" s="2352" t="s">
        <v>10675</v>
      </c>
      <c r="E4461" s="355">
        <v>100</v>
      </c>
      <c r="F4461" s="1662">
        <v>50</v>
      </c>
    </row>
    <row r="4462" spans="1:6" ht="15" customHeight="1" x14ac:dyDescent="0.25">
      <c r="A4462" s="2352" t="s">
        <v>4892</v>
      </c>
      <c r="B4462" s="2352" t="s">
        <v>10505</v>
      </c>
      <c r="C4462" s="2352" t="s">
        <v>10505</v>
      </c>
      <c r="D4462" s="2352" t="s">
        <v>10676</v>
      </c>
      <c r="E4462" s="355">
        <v>63</v>
      </c>
      <c r="F4462" s="1662">
        <v>20</v>
      </c>
    </row>
    <row r="4463" spans="1:6" ht="15" customHeight="1" x14ac:dyDescent="0.25">
      <c r="A4463" s="2352" t="s">
        <v>10571</v>
      </c>
      <c r="B4463" s="2352" t="s">
        <v>10505</v>
      </c>
      <c r="C4463" s="2352" t="s">
        <v>10505</v>
      </c>
      <c r="D4463" s="2352" t="s">
        <v>10677</v>
      </c>
      <c r="E4463" s="355">
        <v>25</v>
      </c>
      <c r="F4463" s="1662">
        <v>12</v>
      </c>
    </row>
    <row r="4464" spans="1:6" ht="15" customHeight="1" x14ac:dyDescent="0.25">
      <c r="A4464" s="2352" t="s">
        <v>10539</v>
      </c>
      <c r="B4464" s="2352" t="s">
        <v>10505</v>
      </c>
      <c r="C4464" s="2352" t="s">
        <v>10505</v>
      </c>
      <c r="D4464" s="2352" t="s">
        <v>10678</v>
      </c>
      <c r="E4464" s="355">
        <v>100</v>
      </c>
      <c r="F4464" s="1662">
        <v>60</v>
      </c>
    </row>
    <row r="4465" spans="1:6" ht="15" customHeight="1" x14ac:dyDescent="0.25">
      <c r="A4465" s="2352" t="s">
        <v>10679</v>
      </c>
      <c r="B4465" s="2352" t="s">
        <v>10505</v>
      </c>
      <c r="C4465" s="2352" t="s">
        <v>10505</v>
      </c>
      <c r="D4465" s="2352" t="s">
        <v>10680</v>
      </c>
      <c r="E4465" s="355">
        <v>40</v>
      </c>
      <c r="F4465" s="1662">
        <v>10</v>
      </c>
    </row>
    <row r="4466" spans="1:6" ht="15" customHeight="1" x14ac:dyDescent="0.25">
      <c r="A4466" s="2352" t="s">
        <v>10681</v>
      </c>
      <c r="B4466" s="2352" t="s">
        <v>10505</v>
      </c>
      <c r="C4466" s="2352" t="s">
        <v>10505</v>
      </c>
      <c r="D4466" s="2352" t="s">
        <v>10682</v>
      </c>
      <c r="E4466" s="355">
        <v>30</v>
      </c>
      <c r="F4466" s="1662">
        <v>15</v>
      </c>
    </row>
    <row r="4467" spans="1:6" ht="15" customHeight="1" x14ac:dyDescent="0.25">
      <c r="A4467" s="2352" t="s">
        <v>3988</v>
      </c>
      <c r="B4467" s="2352" t="s">
        <v>10505</v>
      </c>
      <c r="C4467" s="2352" t="s">
        <v>10505</v>
      </c>
      <c r="D4467" s="2352" t="s">
        <v>4924</v>
      </c>
      <c r="E4467" s="355">
        <v>30</v>
      </c>
      <c r="F4467" s="1662">
        <v>18</v>
      </c>
    </row>
    <row r="4468" spans="1:6" ht="15" customHeight="1" x14ac:dyDescent="0.25">
      <c r="A4468" s="2352" t="s">
        <v>10683</v>
      </c>
      <c r="B4468" s="2352" t="s">
        <v>10505</v>
      </c>
      <c r="C4468" s="2352" t="s">
        <v>10505</v>
      </c>
      <c r="D4468" s="2352" t="s">
        <v>10684</v>
      </c>
      <c r="E4468" s="355">
        <v>30</v>
      </c>
      <c r="F4468" s="1662">
        <v>19</v>
      </c>
    </row>
    <row r="4469" spans="1:6" ht="15" customHeight="1" x14ac:dyDescent="0.25">
      <c r="A4469" s="2352" t="s">
        <v>10685</v>
      </c>
      <c r="B4469" s="2352" t="s">
        <v>10505</v>
      </c>
      <c r="C4469" s="2352" t="s">
        <v>10505</v>
      </c>
      <c r="D4469" s="2352" t="s">
        <v>10686</v>
      </c>
      <c r="E4469" s="355">
        <v>100</v>
      </c>
      <c r="F4469" s="1662">
        <v>20</v>
      </c>
    </row>
    <row r="4470" spans="1:6" ht="15" customHeight="1" x14ac:dyDescent="0.25">
      <c r="A4470" s="2352" t="s">
        <v>10687</v>
      </c>
      <c r="B4470" s="2352" t="s">
        <v>10505</v>
      </c>
      <c r="C4470" s="2352" t="s">
        <v>10505</v>
      </c>
      <c r="D4470" s="2352" t="s">
        <v>10688</v>
      </c>
      <c r="E4470" s="355">
        <v>160</v>
      </c>
      <c r="F4470" s="1662">
        <v>15</v>
      </c>
    </row>
    <row r="4471" spans="1:6" ht="15" customHeight="1" x14ac:dyDescent="0.25">
      <c r="A4471" s="2352" t="s">
        <v>8130</v>
      </c>
      <c r="B4471" s="2352" t="s">
        <v>10505</v>
      </c>
      <c r="C4471" s="2352" t="s">
        <v>10505</v>
      </c>
      <c r="D4471" s="2352" t="s">
        <v>10689</v>
      </c>
      <c r="E4471" s="355">
        <v>60</v>
      </c>
      <c r="F4471" s="1662">
        <v>20</v>
      </c>
    </row>
    <row r="4472" spans="1:6" ht="15" customHeight="1" x14ac:dyDescent="0.25">
      <c r="A4472" s="2352" t="s">
        <v>10635</v>
      </c>
      <c r="B4472" s="2352" t="s">
        <v>10505</v>
      </c>
      <c r="C4472" s="2352" t="s">
        <v>10505</v>
      </c>
      <c r="D4472" s="2352" t="s">
        <v>10690</v>
      </c>
      <c r="E4472" s="355">
        <v>250</v>
      </c>
      <c r="F4472" s="1662">
        <v>20</v>
      </c>
    </row>
    <row r="4473" spans="1:6" ht="15" customHeight="1" x14ac:dyDescent="0.25">
      <c r="A4473" s="2352" t="s">
        <v>4413</v>
      </c>
      <c r="B4473" s="2352" t="s">
        <v>10505</v>
      </c>
      <c r="C4473" s="2352" t="s">
        <v>10505</v>
      </c>
      <c r="D4473" s="2352" t="s">
        <v>10691</v>
      </c>
      <c r="E4473" s="355">
        <v>63</v>
      </c>
      <c r="F4473" s="1662">
        <v>11</v>
      </c>
    </row>
    <row r="4474" spans="1:6" ht="15" customHeight="1" x14ac:dyDescent="0.25">
      <c r="A4474" s="2352" t="s">
        <v>10604</v>
      </c>
      <c r="B4474" s="2352" t="s">
        <v>10505</v>
      </c>
      <c r="C4474" s="2352" t="s">
        <v>10505</v>
      </c>
      <c r="D4474" s="2352" t="s">
        <v>10692</v>
      </c>
      <c r="E4474" s="355">
        <v>250</v>
      </c>
      <c r="F4474" s="1662">
        <v>110</v>
      </c>
    </row>
    <row r="4475" spans="1:6" ht="15" customHeight="1" x14ac:dyDescent="0.25">
      <c r="A4475" s="2352" t="s">
        <v>10584</v>
      </c>
      <c r="B4475" s="2352" t="s">
        <v>10505</v>
      </c>
      <c r="C4475" s="2352" t="s">
        <v>10505</v>
      </c>
      <c r="D4475" s="2352" t="s">
        <v>10693</v>
      </c>
      <c r="E4475" s="355">
        <v>250</v>
      </c>
      <c r="F4475" s="1662">
        <v>55</v>
      </c>
    </row>
    <row r="4476" spans="1:6" ht="15" customHeight="1" x14ac:dyDescent="0.25">
      <c r="A4476" s="2352" t="s">
        <v>10521</v>
      </c>
      <c r="B4476" s="2352" t="s">
        <v>10505</v>
      </c>
      <c r="C4476" s="2352" t="s">
        <v>10505</v>
      </c>
      <c r="D4476" s="2352" t="s">
        <v>10694</v>
      </c>
      <c r="E4476" s="355">
        <v>160</v>
      </c>
      <c r="F4476" s="1662">
        <v>60</v>
      </c>
    </row>
    <row r="4477" spans="1:6" ht="15" customHeight="1" x14ac:dyDescent="0.25">
      <c r="A4477" s="2352" t="s">
        <v>10695</v>
      </c>
      <c r="B4477" s="2352" t="s">
        <v>10505</v>
      </c>
      <c r="C4477" s="2352" t="s">
        <v>10505</v>
      </c>
      <c r="D4477" s="2352" t="s">
        <v>10696</v>
      </c>
      <c r="E4477" s="355">
        <v>20</v>
      </c>
      <c r="F4477" s="1662">
        <v>10</v>
      </c>
    </row>
    <row r="4478" spans="1:6" ht="15" customHeight="1" x14ac:dyDescent="0.25">
      <c r="A4478" s="2352" t="s">
        <v>10697</v>
      </c>
      <c r="B4478" s="2352" t="s">
        <v>10505</v>
      </c>
      <c r="C4478" s="2352" t="s">
        <v>10505</v>
      </c>
      <c r="D4478" s="2352" t="s">
        <v>10698</v>
      </c>
      <c r="E4478" s="355">
        <v>60</v>
      </c>
      <c r="F4478" s="1662">
        <v>25</v>
      </c>
    </row>
    <row r="4479" spans="1:6" ht="15" customHeight="1" x14ac:dyDescent="0.25">
      <c r="A4479" s="2352" t="s">
        <v>10699</v>
      </c>
      <c r="B4479" s="2352" t="s">
        <v>10505</v>
      </c>
      <c r="C4479" s="2352" t="s">
        <v>10505</v>
      </c>
      <c r="D4479" s="2352" t="s">
        <v>10700</v>
      </c>
      <c r="E4479" s="355">
        <v>30</v>
      </c>
      <c r="F4479" s="1662">
        <v>15</v>
      </c>
    </row>
    <row r="4480" spans="1:6" ht="15" customHeight="1" x14ac:dyDescent="0.25">
      <c r="A4480" s="2352" t="s">
        <v>10701</v>
      </c>
      <c r="B4480" s="2352" t="s">
        <v>10505</v>
      </c>
      <c r="C4480" s="2352" t="s">
        <v>10505</v>
      </c>
      <c r="D4480" s="2352" t="s">
        <v>10702</v>
      </c>
      <c r="E4480" s="355">
        <v>30</v>
      </c>
      <c r="F4480" s="1662">
        <v>7</v>
      </c>
    </row>
    <row r="4481" spans="1:6" ht="15" customHeight="1" x14ac:dyDescent="0.25">
      <c r="A4481" s="2352" t="s">
        <v>10703</v>
      </c>
      <c r="B4481" s="2352" t="s">
        <v>10505</v>
      </c>
      <c r="C4481" s="2352" t="s">
        <v>10505</v>
      </c>
      <c r="D4481" s="2352" t="s">
        <v>10704</v>
      </c>
      <c r="E4481" s="355">
        <v>30</v>
      </c>
      <c r="F4481" s="1662">
        <v>15</v>
      </c>
    </row>
    <row r="4482" spans="1:6" ht="15" customHeight="1" x14ac:dyDescent="0.25">
      <c r="A4482" s="2352" t="s">
        <v>10555</v>
      </c>
      <c r="B4482" s="2352" t="s">
        <v>10505</v>
      </c>
      <c r="C4482" s="2352" t="s">
        <v>10505</v>
      </c>
      <c r="D4482" s="2352" t="s">
        <v>10705</v>
      </c>
      <c r="E4482" s="355">
        <v>250</v>
      </c>
      <c r="F4482" s="1662">
        <v>85</v>
      </c>
    </row>
    <row r="4483" spans="1:6" ht="15" customHeight="1" x14ac:dyDescent="0.25">
      <c r="A4483" s="2352" t="s">
        <v>10504</v>
      </c>
      <c r="B4483" s="2352" t="s">
        <v>10505</v>
      </c>
      <c r="C4483" s="2352" t="s">
        <v>10505</v>
      </c>
      <c r="D4483" s="2352" t="s">
        <v>10706</v>
      </c>
      <c r="E4483" s="355">
        <v>100</v>
      </c>
      <c r="F4483" s="1662">
        <v>10</v>
      </c>
    </row>
    <row r="4484" spans="1:6" ht="15" customHeight="1" x14ac:dyDescent="0.25">
      <c r="A4484" s="2352" t="s">
        <v>10521</v>
      </c>
      <c r="B4484" s="2352" t="s">
        <v>10505</v>
      </c>
      <c r="C4484" s="2352" t="s">
        <v>10505</v>
      </c>
      <c r="D4484" s="2352" t="s">
        <v>10707</v>
      </c>
      <c r="E4484" s="355">
        <v>160</v>
      </c>
      <c r="F4484" s="1662">
        <v>30</v>
      </c>
    </row>
    <row r="4485" spans="1:6" ht="15" customHeight="1" x14ac:dyDescent="0.25">
      <c r="A4485" s="2352" t="s">
        <v>4413</v>
      </c>
      <c r="B4485" s="2352" t="s">
        <v>10505</v>
      </c>
      <c r="C4485" s="2352" t="s">
        <v>10505</v>
      </c>
      <c r="D4485" s="2352" t="s">
        <v>10708</v>
      </c>
      <c r="E4485" s="355">
        <v>60</v>
      </c>
      <c r="F4485" s="1662">
        <v>30</v>
      </c>
    </row>
    <row r="4486" spans="1:6" ht="15" customHeight="1" x14ac:dyDescent="0.25">
      <c r="A4486" s="2352" t="s">
        <v>10667</v>
      </c>
      <c r="B4486" s="2352" t="s">
        <v>10505</v>
      </c>
      <c r="C4486" s="2352" t="s">
        <v>10505</v>
      </c>
      <c r="D4486" s="2352" t="s">
        <v>10709</v>
      </c>
      <c r="E4486" s="355">
        <v>250</v>
      </c>
      <c r="F4486" s="1662">
        <v>50</v>
      </c>
    </row>
    <row r="4487" spans="1:6" ht="15" customHeight="1" x14ac:dyDescent="0.25">
      <c r="A4487" s="2352" t="s">
        <v>4124</v>
      </c>
      <c r="B4487" s="2352" t="s">
        <v>10505</v>
      </c>
      <c r="C4487" s="2352" t="s">
        <v>10505</v>
      </c>
      <c r="D4487" s="2352" t="s">
        <v>10710</v>
      </c>
      <c r="E4487" s="355">
        <v>100</v>
      </c>
      <c r="F4487" s="1662">
        <v>55</v>
      </c>
    </row>
    <row r="4488" spans="1:6" ht="15" customHeight="1" x14ac:dyDescent="0.25">
      <c r="A4488" s="2352" t="s">
        <v>10711</v>
      </c>
      <c r="B4488" s="2352" t="s">
        <v>10505</v>
      </c>
      <c r="C4488" s="2352" t="s">
        <v>10505</v>
      </c>
      <c r="D4488" s="2352" t="s">
        <v>10712</v>
      </c>
      <c r="E4488" s="355">
        <v>30</v>
      </c>
      <c r="F4488" s="1662">
        <v>3</v>
      </c>
    </row>
    <row r="4489" spans="1:6" ht="15" customHeight="1" x14ac:dyDescent="0.25">
      <c r="A4489" s="2352" t="s">
        <v>10713</v>
      </c>
      <c r="B4489" s="2352" t="s">
        <v>10505</v>
      </c>
      <c r="C4489" s="2352" t="s">
        <v>10505</v>
      </c>
      <c r="D4489" s="2352" t="s">
        <v>10714</v>
      </c>
      <c r="E4489" s="355">
        <v>30</v>
      </c>
      <c r="F4489" s="1662">
        <v>5</v>
      </c>
    </row>
    <row r="4490" spans="1:6" ht="15" customHeight="1" x14ac:dyDescent="0.25">
      <c r="A4490" s="2352" t="s">
        <v>4124</v>
      </c>
      <c r="B4490" s="2352" t="s">
        <v>10505</v>
      </c>
      <c r="C4490" s="2352" t="s">
        <v>10505</v>
      </c>
      <c r="D4490" s="2352" t="s">
        <v>10715</v>
      </c>
      <c r="E4490" s="355">
        <v>160</v>
      </c>
      <c r="F4490" s="1662">
        <v>120</v>
      </c>
    </row>
    <row r="4491" spans="1:6" ht="15" customHeight="1" x14ac:dyDescent="0.25">
      <c r="A4491" s="2352" t="s">
        <v>10513</v>
      </c>
      <c r="B4491" s="2352" t="s">
        <v>10505</v>
      </c>
      <c r="C4491" s="2352" t="s">
        <v>10505</v>
      </c>
      <c r="D4491" s="2352" t="s">
        <v>10716</v>
      </c>
      <c r="E4491" s="355">
        <v>63</v>
      </c>
      <c r="F4491" s="1662">
        <v>30</v>
      </c>
    </row>
    <row r="4492" spans="1:6" ht="15" customHeight="1" x14ac:dyDescent="0.25">
      <c r="A4492" s="2352" t="s">
        <v>10539</v>
      </c>
      <c r="B4492" s="2352" t="s">
        <v>10505</v>
      </c>
      <c r="C4492" s="2352" t="s">
        <v>10505</v>
      </c>
      <c r="D4492" s="2352" t="s">
        <v>10717</v>
      </c>
      <c r="E4492" s="355">
        <v>400</v>
      </c>
      <c r="F4492" s="1662">
        <v>300</v>
      </c>
    </row>
    <row r="4493" spans="1:6" ht="15" customHeight="1" x14ac:dyDescent="0.25">
      <c r="A4493" s="2352" t="s">
        <v>3964</v>
      </c>
      <c r="B4493" s="2352" t="s">
        <v>10505</v>
      </c>
      <c r="C4493" s="2352" t="s">
        <v>10505</v>
      </c>
      <c r="D4493" s="2352" t="s">
        <v>10718</v>
      </c>
      <c r="E4493" s="355">
        <v>100</v>
      </c>
      <c r="F4493" s="1662">
        <v>20</v>
      </c>
    </row>
    <row r="4494" spans="1:6" ht="15" customHeight="1" x14ac:dyDescent="0.25">
      <c r="A4494" s="2352" t="s">
        <v>10584</v>
      </c>
      <c r="B4494" s="2352" t="s">
        <v>10505</v>
      </c>
      <c r="C4494" s="2352" t="s">
        <v>10505</v>
      </c>
      <c r="D4494" s="2352" t="s">
        <v>10719</v>
      </c>
      <c r="E4494" s="355">
        <v>100</v>
      </c>
      <c r="F4494" s="1662">
        <v>54</v>
      </c>
    </row>
    <row r="4495" spans="1:6" ht="15" customHeight="1" x14ac:dyDescent="0.25">
      <c r="A4495" s="2352" t="s">
        <v>10584</v>
      </c>
      <c r="B4495" s="2352" t="s">
        <v>10505</v>
      </c>
      <c r="C4495" s="2352" t="s">
        <v>10505</v>
      </c>
      <c r="D4495" s="2352" t="s">
        <v>10720</v>
      </c>
      <c r="E4495" s="355">
        <v>250</v>
      </c>
      <c r="F4495" s="1662">
        <v>47</v>
      </c>
    </row>
    <row r="4496" spans="1:6" ht="15" customHeight="1" x14ac:dyDescent="0.25">
      <c r="A4496" s="2352" t="s">
        <v>4834</v>
      </c>
      <c r="B4496" s="2352" t="s">
        <v>10505</v>
      </c>
      <c r="C4496" s="2352" t="s">
        <v>10505</v>
      </c>
      <c r="D4496" s="2352" t="s">
        <v>10721</v>
      </c>
      <c r="E4496" s="355">
        <v>20</v>
      </c>
      <c r="F4496" s="1662">
        <v>3</v>
      </c>
    </row>
    <row r="4497" spans="1:6" ht="15" customHeight="1" x14ac:dyDescent="0.25">
      <c r="A4497" s="2352" t="s">
        <v>10722</v>
      </c>
      <c r="B4497" s="2352" t="s">
        <v>10505</v>
      </c>
      <c r="C4497" s="2352" t="s">
        <v>10505</v>
      </c>
      <c r="D4497" s="2352" t="s">
        <v>10723</v>
      </c>
      <c r="E4497" s="355">
        <v>40</v>
      </c>
      <c r="F4497" s="1662">
        <v>10</v>
      </c>
    </row>
    <row r="4498" spans="1:6" ht="15" customHeight="1" x14ac:dyDescent="0.25">
      <c r="A4498" s="2352" t="s">
        <v>10635</v>
      </c>
      <c r="B4498" s="2352" t="s">
        <v>10505</v>
      </c>
      <c r="C4498" s="2352" t="s">
        <v>10505</v>
      </c>
      <c r="D4498" s="2352" t="s">
        <v>10724</v>
      </c>
      <c r="E4498" s="355">
        <v>160</v>
      </c>
      <c r="F4498" s="1662">
        <v>20</v>
      </c>
    </row>
    <row r="4499" spans="1:6" ht="15" customHeight="1" x14ac:dyDescent="0.25">
      <c r="A4499" s="2352" t="s">
        <v>10725</v>
      </c>
      <c r="B4499" s="2352" t="s">
        <v>10505</v>
      </c>
      <c r="C4499" s="2352" t="s">
        <v>10505</v>
      </c>
      <c r="D4499" s="2352" t="s">
        <v>10726</v>
      </c>
      <c r="E4499" s="355">
        <v>20</v>
      </c>
      <c r="F4499" s="1662">
        <v>5</v>
      </c>
    </row>
    <row r="4500" spans="1:6" ht="15" customHeight="1" x14ac:dyDescent="0.25">
      <c r="A4500" s="2352" t="s">
        <v>3891</v>
      </c>
      <c r="B4500" s="2352" t="s">
        <v>10505</v>
      </c>
      <c r="C4500" s="2352" t="s">
        <v>10505</v>
      </c>
      <c r="D4500" s="2352" t="s">
        <v>10727</v>
      </c>
      <c r="E4500" s="355">
        <v>63</v>
      </c>
      <c r="F4500" s="1662">
        <v>25</v>
      </c>
    </row>
    <row r="4501" spans="1:6" ht="15" customHeight="1" x14ac:dyDescent="0.25">
      <c r="A4501" s="2352" t="s">
        <v>10728</v>
      </c>
      <c r="B4501" s="2352" t="s">
        <v>10505</v>
      </c>
      <c r="C4501" s="2352" t="s">
        <v>10505</v>
      </c>
      <c r="D4501" s="2352" t="s">
        <v>10729</v>
      </c>
      <c r="E4501" s="355">
        <v>60</v>
      </c>
      <c r="F4501" s="1662">
        <v>25</v>
      </c>
    </row>
    <row r="4502" spans="1:6" ht="15" customHeight="1" x14ac:dyDescent="0.25">
      <c r="A4502" s="2352" t="s">
        <v>8087</v>
      </c>
      <c r="B4502" s="2352" t="s">
        <v>10505</v>
      </c>
      <c r="C4502" s="2352" t="s">
        <v>10505</v>
      </c>
      <c r="D4502" s="2352" t="s">
        <v>10730</v>
      </c>
      <c r="E4502" s="355">
        <v>30</v>
      </c>
      <c r="F4502" s="1662">
        <v>8</v>
      </c>
    </row>
    <row r="4503" spans="1:6" ht="15" customHeight="1" x14ac:dyDescent="0.25">
      <c r="A4503" s="2352" t="s">
        <v>10731</v>
      </c>
      <c r="B4503" s="2352" t="s">
        <v>10505</v>
      </c>
      <c r="C4503" s="2352" t="s">
        <v>10505</v>
      </c>
      <c r="D4503" s="2352" t="s">
        <v>10732</v>
      </c>
      <c r="E4503" s="355">
        <v>160</v>
      </c>
      <c r="F4503" s="1662">
        <v>100</v>
      </c>
    </row>
    <row r="4504" spans="1:6" ht="15" customHeight="1" x14ac:dyDescent="0.25">
      <c r="A4504" s="2352" t="s">
        <v>10733</v>
      </c>
      <c r="B4504" s="2352" t="s">
        <v>10505</v>
      </c>
      <c r="C4504" s="2352" t="s">
        <v>10505</v>
      </c>
      <c r="D4504" s="2352" t="s">
        <v>10734</v>
      </c>
      <c r="E4504" s="355">
        <v>160</v>
      </c>
      <c r="F4504" s="1662">
        <v>20</v>
      </c>
    </row>
    <row r="4505" spans="1:6" ht="15" customHeight="1" x14ac:dyDescent="0.25">
      <c r="A4505" s="2352" t="s">
        <v>10735</v>
      </c>
      <c r="B4505" s="2352" t="s">
        <v>10505</v>
      </c>
      <c r="C4505" s="2352" t="s">
        <v>10505</v>
      </c>
      <c r="D4505" s="2352" t="s">
        <v>10736</v>
      </c>
      <c r="E4505" s="355">
        <v>250</v>
      </c>
      <c r="F4505" s="1662">
        <v>130</v>
      </c>
    </row>
    <row r="4506" spans="1:6" ht="15" customHeight="1" x14ac:dyDescent="0.25">
      <c r="A4506" s="2352" t="s">
        <v>10504</v>
      </c>
      <c r="B4506" s="2352" t="s">
        <v>10505</v>
      </c>
      <c r="C4506" s="2352" t="s">
        <v>10505</v>
      </c>
      <c r="D4506" s="2352" t="s">
        <v>10737</v>
      </c>
      <c r="E4506" s="355">
        <v>250</v>
      </c>
      <c r="F4506" s="1662">
        <v>60</v>
      </c>
    </row>
    <row r="4507" spans="1:6" ht="15" customHeight="1" x14ac:dyDescent="0.25">
      <c r="A4507" s="2352" t="s">
        <v>4904</v>
      </c>
      <c r="B4507" s="2352" t="s">
        <v>10505</v>
      </c>
      <c r="C4507" s="2352" t="s">
        <v>10505</v>
      </c>
      <c r="D4507" s="2352" t="s">
        <v>10738</v>
      </c>
      <c r="E4507" s="355">
        <v>250</v>
      </c>
      <c r="F4507" s="1662">
        <v>200</v>
      </c>
    </row>
    <row r="4508" spans="1:6" ht="15" customHeight="1" x14ac:dyDescent="0.25">
      <c r="A4508" s="2352" t="s">
        <v>8690</v>
      </c>
      <c r="B4508" s="2352" t="s">
        <v>10505</v>
      </c>
      <c r="C4508" s="2352" t="s">
        <v>10505</v>
      </c>
      <c r="D4508" s="2352" t="s">
        <v>10739</v>
      </c>
      <c r="E4508" s="355">
        <v>250</v>
      </c>
      <c r="F4508" s="1662">
        <v>50</v>
      </c>
    </row>
    <row r="4509" spans="1:6" ht="15" customHeight="1" x14ac:dyDescent="0.25">
      <c r="A4509" s="2352" t="s">
        <v>10573</v>
      </c>
      <c r="B4509" s="2352" t="s">
        <v>10505</v>
      </c>
      <c r="C4509" s="2352" t="s">
        <v>10505</v>
      </c>
      <c r="D4509" s="2352" t="s">
        <v>10740</v>
      </c>
      <c r="E4509" s="355">
        <v>160</v>
      </c>
      <c r="F4509" s="1662">
        <v>100</v>
      </c>
    </row>
    <row r="4510" spans="1:6" ht="15" customHeight="1" x14ac:dyDescent="0.25">
      <c r="A4510" s="2352" t="s">
        <v>4433</v>
      </c>
      <c r="B4510" s="2352" t="s">
        <v>10505</v>
      </c>
      <c r="C4510" s="2352" t="s">
        <v>10505</v>
      </c>
      <c r="D4510" s="2352" t="s">
        <v>10741</v>
      </c>
      <c r="E4510" s="355">
        <v>100</v>
      </c>
      <c r="F4510" s="1662">
        <v>17</v>
      </c>
    </row>
    <row r="4511" spans="1:6" ht="15" customHeight="1" x14ac:dyDescent="0.25">
      <c r="A4511" s="2352" t="s">
        <v>10504</v>
      </c>
      <c r="B4511" s="2352" t="s">
        <v>10505</v>
      </c>
      <c r="C4511" s="2352" t="s">
        <v>10505</v>
      </c>
      <c r="D4511" s="2352" t="s">
        <v>10742</v>
      </c>
      <c r="E4511" s="355">
        <v>160</v>
      </c>
      <c r="F4511" s="1662">
        <v>110</v>
      </c>
    </row>
    <row r="4512" spans="1:6" ht="15" customHeight="1" x14ac:dyDescent="0.25">
      <c r="A4512" s="2352" t="s">
        <v>10743</v>
      </c>
      <c r="B4512" s="2352" t="s">
        <v>10505</v>
      </c>
      <c r="C4512" s="2352" t="s">
        <v>10505</v>
      </c>
      <c r="D4512" s="2352" t="s">
        <v>10744</v>
      </c>
      <c r="E4512" s="355">
        <v>400</v>
      </c>
      <c r="F4512" s="1662">
        <v>300</v>
      </c>
    </row>
    <row r="4513" spans="1:6" ht="15" customHeight="1" x14ac:dyDescent="0.25">
      <c r="A4513" s="2352" t="s">
        <v>10743</v>
      </c>
      <c r="B4513" s="2352" t="s">
        <v>10505</v>
      </c>
      <c r="C4513" s="2352" t="s">
        <v>10505</v>
      </c>
      <c r="D4513" s="2352" t="s">
        <v>10745</v>
      </c>
      <c r="E4513" s="355">
        <v>60</v>
      </c>
      <c r="F4513" s="1662">
        <v>20</v>
      </c>
    </row>
    <row r="4514" spans="1:6" ht="15" customHeight="1" x14ac:dyDescent="0.25">
      <c r="A4514" s="2352" t="s">
        <v>10731</v>
      </c>
      <c r="B4514" s="2352" t="s">
        <v>10505</v>
      </c>
      <c r="C4514" s="2352" t="s">
        <v>10505</v>
      </c>
      <c r="D4514" s="2352" t="s">
        <v>10746</v>
      </c>
      <c r="E4514" s="355">
        <v>50</v>
      </c>
      <c r="F4514" s="1662">
        <v>30</v>
      </c>
    </row>
    <row r="4515" spans="1:6" ht="15" customHeight="1" x14ac:dyDescent="0.25">
      <c r="A4515" s="2352" t="s">
        <v>7882</v>
      </c>
      <c r="B4515" s="2352" t="s">
        <v>10505</v>
      </c>
      <c r="C4515" s="2352" t="s">
        <v>10505</v>
      </c>
      <c r="D4515" s="2352" t="s">
        <v>10747</v>
      </c>
      <c r="E4515" s="355">
        <v>10</v>
      </c>
      <c r="F4515" s="1662">
        <v>2</v>
      </c>
    </row>
    <row r="4516" spans="1:6" ht="15" customHeight="1" x14ac:dyDescent="0.25">
      <c r="A4516" s="2352" t="s">
        <v>10722</v>
      </c>
      <c r="B4516" s="2352" t="s">
        <v>10505</v>
      </c>
      <c r="C4516" s="2352" t="s">
        <v>10505</v>
      </c>
      <c r="D4516" s="2352" t="s">
        <v>10748</v>
      </c>
      <c r="E4516" s="355">
        <v>100</v>
      </c>
      <c r="F4516" s="1662">
        <v>50</v>
      </c>
    </row>
    <row r="4517" spans="1:6" ht="15" customHeight="1" x14ac:dyDescent="0.25">
      <c r="A4517" s="2352" t="s">
        <v>10733</v>
      </c>
      <c r="B4517" s="2352" t="s">
        <v>10505</v>
      </c>
      <c r="C4517" s="2352" t="s">
        <v>10505</v>
      </c>
      <c r="D4517" s="2352" t="s">
        <v>10749</v>
      </c>
      <c r="E4517" s="355">
        <v>100</v>
      </c>
      <c r="F4517" s="1662">
        <v>20</v>
      </c>
    </row>
    <row r="4518" spans="1:6" ht="15" customHeight="1" x14ac:dyDescent="0.25">
      <c r="A4518" s="2352" t="s">
        <v>10513</v>
      </c>
      <c r="B4518" s="2352" t="s">
        <v>10505</v>
      </c>
      <c r="C4518" s="2352" t="s">
        <v>10505</v>
      </c>
      <c r="D4518" s="2352" t="s">
        <v>10750</v>
      </c>
      <c r="E4518" s="355">
        <v>20</v>
      </c>
      <c r="F4518" s="1662">
        <v>3</v>
      </c>
    </row>
    <row r="4519" spans="1:6" ht="15" customHeight="1" x14ac:dyDescent="0.25">
      <c r="A4519" s="2352" t="s">
        <v>10751</v>
      </c>
      <c r="B4519" s="2352" t="s">
        <v>10505</v>
      </c>
      <c r="C4519" s="2352" t="s">
        <v>10505</v>
      </c>
      <c r="D4519" s="2352" t="s">
        <v>10752</v>
      </c>
      <c r="E4519" s="355">
        <v>30</v>
      </c>
      <c r="F4519" s="1662">
        <v>20</v>
      </c>
    </row>
    <row r="4520" spans="1:6" ht="15" customHeight="1" x14ac:dyDescent="0.25">
      <c r="A4520" s="2352" t="s">
        <v>10753</v>
      </c>
      <c r="B4520" s="2352" t="s">
        <v>10505</v>
      </c>
      <c r="C4520" s="2352" t="s">
        <v>10505</v>
      </c>
      <c r="D4520" s="2352" t="s">
        <v>10754</v>
      </c>
      <c r="E4520" s="355">
        <v>100</v>
      </c>
      <c r="F4520" s="1662">
        <v>65</v>
      </c>
    </row>
    <row r="4521" spans="1:6" ht="15" customHeight="1" x14ac:dyDescent="0.25">
      <c r="A4521" s="2352" t="s">
        <v>14940</v>
      </c>
      <c r="B4521" s="2352" t="s">
        <v>10505</v>
      </c>
      <c r="C4521" s="2352" t="s">
        <v>10505</v>
      </c>
      <c r="D4521" s="2352" t="s">
        <v>10755</v>
      </c>
      <c r="E4521" s="355">
        <v>160</v>
      </c>
      <c r="F4521" s="1662">
        <v>25</v>
      </c>
    </row>
    <row r="4522" spans="1:6" ht="15" customHeight="1" x14ac:dyDescent="0.25">
      <c r="A4522" s="2352" t="s">
        <v>10756</v>
      </c>
      <c r="B4522" s="2352" t="s">
        <v>10505</v>
      </c>
      <c r="C4522" s="2352" t="s">
        <v>10505</v>
      </c>
      <c r="D4522" s="2352" t="s">
        <v>10757</v>
      </c>
      <c r="E4522" s="355">
        <v>250</v>
      </c>
      <c r="F4522" s="1662">
        <v>50</v>
      </c>
    </row>
    <row r="4523" spans="1:6" ht="15" customHeight="1" x14ac:dyDescent="0.25">
      <c r="A4523" s="2352" t="s">
        <v>10756</v>
      </c>
      <c r="B4523" s="2352" t="s">
        <v>10505</v>
      </c>
      <c r="C4523" s="2352" t="s">
        <v>10505</v>
      </c>
      <c r="D4523" s="2352" t="s">
        <v>10758</v>
      </c>
      <c r="E4523" s="355">
        <v>160</v>
      </c>
      <c r="F4523" s="1662">
        <v>30</v>
      </c>
    </row>
    <row r="4524" spans="1:6" ht="15" customHeight="1" x14ac:dyDescent="0.25">
      <c r="A4524" s="2352" t="s">
        <v>10756</v>
      </c>
      <c r="B4524" s="2352" t="s">
        <v>10505</v>
      </c>
      <c r="C4524" s="2352" t="s">
        <v>10505</v>
      </c>
      <c r="D4524" s="2352" t="s">
        <v>10759</v>
      </c>
      <c r="E4524" s="355">
        <v>320</v>
      </c>
      <c r="F4524" s="1662">
        <v>100</v>
      </c>
    </row>
    <row r="4525" spans="1:6" ht="15" customHeight="1" x14ac:dyDescent="0.25">
      <c r="A4525" s="2352" t="s">
        <v>10504</v>
      </c>
      <c r="B4525" s="2352" t="s">
        <v>10505</v>
      </c>
      <c r="C4525" s="2352" t="s">
        <v>10505</v>
      </c>
      <c r="D4525" s="2352" t="s">
        <v>10760</v>
      </c>
      <c r="E4525" s="355">
        <v>100</v>
      </c>
      <c r="F4525" s="1662">
        <v>50</v>
      </c>
    </row>
    <row r="4526" spans="1:6" ht="15" customHeight="1" x14ac:dyDescent="0.25">
      <c r="A4526" s="2352" t="s">
        <v>10761</v>
      </c>
      <c r="B4526" s="2352" t="s">
        <v>10505</v>
      </c>
      <c r="C4526" s="2352" t="s">
        <v>10505</v>
      </c>
      <c r="D4526" s="2352" t="s">
        <v>10762</v>
      </c>
      <c r="E4526" s="355">
        <v>160</v>
      </c>
      <c r="F4526" s="1662">
        <v>35</v>
      </c>
    </row>
    <row r="4527" spans="1:6" ht="15" customHeight="1" x14ac:dyDescent="0.25">
      <c r="A4527" s="2352" t="s">
        <v>10761</v>
      </c>
      <c r="B4527" s="2352" t="s">
        <v>10505</v>
      </c>
      <c r="C4527" s="2352" t="s">
        <v>10505</v>
      </c>
      <c r="D4527" s="2352" t="s">
        <v>10763</v>
      </c>
      <c r="E4527" s="355">
        <v>100</v>
      </c>
      <c r="F4527" s="1662">
        <v>60</v>
      </c>
    </row>
    <row r="4528" spans="1:6" ht="15" customHeight="1" x14ac:dyDescent="0.25">
      <c r="A4528" s="2352" t="s">
        <v>10667</v>
      </c>
      <c r="B4528" s="2352" t="s">
        <v>10505</v>
      </c>
      <c r="C4528" s="2352" t="s">
        <v>10505</v>
      </c>
      <c r="D4528" s="2352" t="s">
        <v>10764</v>
      </c>
      <c r="E4528" s="355">
        <v>160</v>
      </c>
      <c r="F4528" s="1662">
        <v>30</v>
      </c>
    </row>
    <row r="4529" spans="1:6" ht="15" customHeight="1" x14ac:dyDescent="0.25">
      <c r="A4529" s="2352" t="s">
        <v>10546</v>
      </c>
      <c r="B4529" s="2352" t="s">
        <v>10505</v>
      </c>
      <c r="C4529" s="2352" t="s">
        <v>10505</v>
      </c>
      <c r="D4529" s="2352" t="s">
        <v>10765</v>
      </c>
      <c r="E4529" s="355">
        <v>250</v>
      </c>
      <c r="F4529" s="1662">
        <v>200</v>
      </c>
    </row>
    <row r="4530" spans="1:6" ht="15" customHeight="1" x14ac:dyDescent="0.25">
      <c r="A4530" s="2352" t="s">
        <v>10546</v>
      </c>
      <c r="B4530" s="2352" t="s">
        <v>10505</v>
      </c>
      <c r="C4530" s="2352" t="s">
        <v>10505</v>
      </c>
      <c r="D4530" s="2352" t="s">
        <v>10766</v>
      </c>
      <c r="E4530" s="355">
        <v>250</v>
      </c>
      <c r="F4530" s="1662">
        <v>180</v>
      </c>
    </row>
    <row r="4531" spans="1:6" ht="15" customHeight="1" x14ac:dyDescent="0.25">
      <c r="A4531" s="2352" t="s">
        <v>10767</v>
      </c>
      <c r="B4531" s="2352" t="s">
        <v>10505</v>
      </c>
      <c r="C4531" s="2352" t="s">
        <v>10505</v>
      </c>
      <c r="D4531" s="2352" t="s">
        <v>10768</v>
      </c>
      <c r="E4531" s="355">
        <v>40</v>
      </c>
      <c r="F4531" s="1662">
        <v>10</v>
      </c>
    </row>
    <row r="4532" spans="1:6" ht="15" customHeight="1" x14ac:dyDescent="0.25">
      <c r="A4532" s="2352" t="s">
        <v>10604</v>
      </c>
      <c r="B4532" s="2352" t="s">
        <v>10505</v>
      </c>
      <c r="C4532" s="2352" t="s">
        <v>10505</v>
      </c>
      <c r="D4532" s="2352" t="s">
        <v>10769</v>
      </c>
      <c r="E4532" s="355">
        <v>400</v>
      </c>
      <c r="F4532" s="1662">
        <v>300</v>
      </c>
    </row>
    <row r="4533" spans="1:6" ht="15" customHeight="1" x14ac:dyDescent="0.25">
      <c r="A4533" s="2352" t="s">
        <v>10770</v>
      </c>
      <c r="B4533" s="2352" t="s">
        <v>10505</v>
      </c>
      <c r="C4533" s="2352" t="s">
        <v>10505</v>
      </c>
      <c r="D4533" s="2352" t="s">
        <v>10771</v>
      </c>
      <c r="E4533" s="355">
        <v>30</v>
      </c>
      <c r="F4533" s="1662">
        <v>5</v>
      </c>
    </row>
    <row r="4534" spans="1:6" ht="15" customHeight="1" x14ac:dyDescent="0.25">
      <c r="A4534" s="2352" t="s">
        <v>10772</v>
      </c>
      <c r="B4534" s="2352" t="s">
        <v>10505</v>
      </c>
      <c r="C4534" s="2352" t="s">
        <v>10505</v>
      </c>
      <c r="D4534" s="2352" t="s">
        <v>10773</v>
      </c>
      <c r="E4534" s="355">
        <v>30</v>
      </c>
      <c r="F4534" s="1662">
        <v>17</v>
      </c>
    </row>
    <row r="4535" spans="1:6" ht="15" customHeight="1" x14ac:dyDescent="0.25">
      <c r="A4535" s="2352" t="s">
        <v>10774</v>
      </c>
      <c r="B4535" s="2352" t="s">
        <v>10505</v>
      </c>
      <c r="C4535" s="2352" t="s">
        <v>10505</v>
      </c>
      <c r="D4535" s="2352" t="s">
        <v>10775</v>
      </c>
      <c r="E4535" s="355">
        <v>100</v>
      </c>
      <c r="F4535" s="1662">
        <v>25</v>
      </c>
    </row>
    <row r="4536" spans="1:6" ht="15" customHeight="1" x14ac:dyDescent="0.25">
      <c r="A4536" s="2352" t="s">
        <v>10776</v>
      </c>
      <c r="B4536" s="2352" t="s">
        <v>10505</v>
      </c>
      <c r="C4536" s="2352" t="s">
        <v>10505</v>
      </c>
      <c r="D4536" s="2352" t="s">
        <v>10777</v>
      </c>
      <c r="E4536" s="355">
        <v>100</v>
      </c>
      <c r="F4536" s="1662">
        <v>20</v>
      </c>
    </row>
    <row r="4537" spans="1:6" ht="15" customHeight="1" x14ac:dyDescent="0.25">
      <c r="A4537" s="2352" t="s">
        <v>10778</v>
      </c>
      <c r="B4537" s="2352" t="s">
        <v>10505</v>
      </c>
      <c r="C4537" s="2352" t="s">
        <v>10505</v>
      </c>
      <c r="D4537" s="2352" t="s">
        <v>10779</v>
      </c>
      <c r="E4537" s="355">
        <v>30</v>
      </c>
      <c r="F4537" s="1662">
        <v>5</v>
      </c>
    </row>
    <row r="4538" spans="1:6" ht="15" customHeight="1" x14ac:dyDescent="0.25">
      <c r="A4538" s="2352" t="s">
        <v>10635</v>
      </c>
      <c r="B4538" s="2352" t="s">
        <v>10505</v>
      </c>
      <c r="C4538" s="2352" t="s">
        <v>10505</v>
      </c>
      <c r="D4538" s="2352" t="s">
        <v>10780</v>
      </c>
      <c r="E4538" s="355">
        <v>100</v>
      </c>
      <c r="F4538" s="1662">
        <v>90</v>
      </c>
    </row>
    <row r="4539" spans="1:6" ht="15" customHeight="1" x14ac:dyDescent="0.25">
      <c r="A4539" s="2352" t="s">
        <v>17834</v>
      </c>
      <c r="B4539" s="2352" t="s">
        <v>17835</v>
      </c>
      <c r="C4539" s="2352" t="s">
        <v>17835</v>
      </c>
      <c r="D4539" s="2352" t="s">
        <v>17836</v>
      </c>
      <c r="E4539" s="355">
        <v>10</v>
      </c>
      <c r="F4539" s="1662">
        <v>1</v>
      </c>
    </row>
    <row r="4540" spans="1:6" ht="15" customHeight="1" x14ac:dyDescent="0.25">
      <c r="A4540" s="2352" t="s">
        <v>17837</v>
      </c>
      <c r="B4540" s="2352" t="s">
        <v>17835</v>
      </c>
      <c r="C4540" s="2352" t="s">
        <v>17835</v>
      </c>
      <c r="D4540" s="2352" t="s">
        <v>17838</v>
      </c>
      <c r="E4540" s="355" t="s">
        <v>17105</v>
      </c>
      <c r="F4540" s="1662">
        <v>20</v>
      </c>
    </row>
    <row r="4541" spans="1:6" ht="15" customHeight="1" x14ac:dyDescent="0.25">
      <c r="A4541" s="2352" t="s">
        <v>17839</v>
      </c>
      <c r="B4541" s="2352" t="s">
        <v>17835</v>
      </c>
      <c r="C4541" s="2352" t="s">
        <v>17835</v>
      </c>
      <c r="D4541" s="2352" t="s">
        <v>17840</v>
      </c>
      <c r="E4541" s="355" t="s">
        <v>17097</v>
      </c>
      <c r="F4541" s="1662">
        <v>20</v>
      </c>
    </row>
    <row r="4542" spans="1:6" ht="15" customHeight="1" x14ac:dyDescent="0.25">
      <c r="A4542" s="2352" t="s">
        <v>17841</v>
      </c>
      <c r="B4542" s="2352" t="s">
        <v>17835</v>
      </c>
      <c r="C4542" s="2352" t="s">
        <v>17835</v>
      </c>
      <c r="D4542" s="2352" t="s">
        <v>17842</v>
      </c>
      <c r="E4542" s="355" t="s">
        <v>17095</v>
      </c>
      <c r="F4542" s="1662">
        <v>200</v>
      </c>
    </row>
    <row r="4543" spans="1:6" ht="15" customHeight="1" x14ac:dyDescent="0.25">
      <c r="A4543" s="2352" t="s">
        <v>17843</v>
      </c>
      <c r="B4543" s="2352" t="s">
        <v>17835</v>
      </c>
      <c r="C4543" s="2352" t="s">
        <v>17835</v>
      </c>
      <c r="D4543" s="2352" t="s">
        <v>17844</v>
      </c>
      <c r="E4543" s="355" t="s">
        <v>17096</v>
      </c>
      <c r="F4543" s="1662">
        <v>300</v>
      </c>
    </row>
    <row r="4544" spans="1:6" ht="15" customHeight="1" x14ac:dyDescent="0.25">
      <c r="A4544" s="2352" t="s">
        <v>17843</v>
      </c>
      <c r="B4544" s="2352" t="s">
        <v>17835</v>
      </c>
      <c r="C4544" s="2352" t="s">
        <v>17835</v>
      </c>
      <c r="D4544" s="2352" t="s">
        <v>17845</v>
      </c>
      <c r="E4544" s="355" t="s">
        <v>17099</v>
      </c>
      <c r="F4544" s="1662">
        <v>10</v>
      </c>
    </row>
    <row r="4545" spans="1:6" ht="15" customHeight="1" x14ac:dyDescent="0.25">
      <c r="A4545" s="2352" t="s">
        <v>17843</v>
      </c>
      <c r="B4545" s="2352" t="s">
        <v>17835</v>
      </c>
      <c r="C4545" s="2352" t="s">
        <v>17835</v>
      </c>
      <c r="D4545" s="2352" t="s">
        <v>17846</v>
      </c>
      <c r="E4545" s="355" t="s">
        <v>17095</v>
      </c>
      <c r="F4545" s="1662">
        <v>150</v>
      </c>
    </row>
    <row r="4546" spans="1:6" ht="15" customHeight="1" x14ac:dyDescent="0.25">
      <c r="A4546" s="2352" t="s">
        <v>17847</v>
      </c>
      <c r="B4546" s="2352" t="s">
        <v>17835</v>
      </c>
      <c r="C4546" s="2352" t="s">
        <v>17835</v>
      </c>
      <c r="D4546" s="2352" t="s">
        <v>17848</v>
      </c>
      <c r="E4546" s="355" t="s">
        <v>17105</v>
      </c>
      <c r="F4546" s="1662">
        <v>30</v>
      </c>
    </row>
    <row r="4547" spans="1:6" ht="15" customHeight="1" x14ac:dyDescent="0.25">
      <c r="A4547" s="2352" t="s">
        <v>17849</v>
      </c>
      <c r="B4547" s="2352" t="s">
        <v>17835</v>
      </c>
      <c r="C4547" s="2352" t="s">
        <v>17835</v>
      </c>
      <c r="D4547" s="2352" t="s">
        <v>17850</v>
      </c>
      <c r="E4547" s="355" t="s">
        <v>17100</v>
      </c>
      <c r="F4547" s="1662">
        <v>1</v>
      </c>
    </row>
    <row r="4548" spans="1:6" ht="15" customHeight="1" x14ac:dyDescent="0.25">
      <c r="A4548" s="2352" t="s">
        <v>17851</v>
      </c>
      <c r="B4548" s="2352" t="s">
        <v>17835</v>
      </c>
      <c r="C4548" s="2352" t="s">
        <v>17835</v>
      </c>
      <c r="D4548" s="2352" t="s">
        <v>17852</v>
      </c>
      <c r="E4548" s="355" t="s">
        <v>17105</v>
      </c>
      <c r="F4548" s="1662">
        <v>5</v>
      </c>
    </row>
    <row r="4549" spans="1:6" ht="15" customHeight="1" x14ac:dyDescent="0.25">
      <c r="A4549" s="2352" t="s">
        <v>17853</v>
      </c>
      <c r="B4549" s="2352" t="s">
        <v>17835</v>
      </c>
      <c r="C4549" s="2352" t="s">
        <v>17835</v>
      </c>
      <c r="D4549" s="2352" t="s">
        <v>17854</v>
      </c>
      <c r="E4549" s="355" t="s">
        <v>17097</v>
      </c>
      <c r="F4549" s="1662">
        <v>30</v>
      </c>
    </row>
    <row r="4550" spans="1:6" ht="15" customHeight="1" x14ac:dyDescent="0.25">
      <c r="A4550" s="2352" t="s">
        <v>17855</v>
      </c>
      <c r="B4550" s="2352" t="s">
        <v>17835</v>
      </c>
      <c r="C4550" s="2352" t="s">
        <v>17835</v>
      </c>
      <c r="D4550" s="2352" t="s">
        <v>17856</v>
      </c>
      <c r="E4550" s="355" t="s">
        <v>17099</v>
      </c>
      <c r="F4550" s="1662">
        <v>20</v>
      </c>
    </row>
    <row r="4551" spans="1:6" ht="15" customHeight="1" x14ac:dyDescent="0.25">
      <c r="A4551" s="2352" t="s">
        <v>17164</v>
      </c>
      <c r="B4551" s="2352" t="s">
        <v>17835</v>
      </c>
      <c r="C4551" s="2352" t="s">
        <v>17835</v>
      </c>
      <c r="D4551" s="2352" t="s">
        <v>17857</v>
      </c>
      <c r="E4551" s="355" t="s">
        <v>17099</v>
      </c>
      <c r="F4551" s="1662">
        <v>10</v>
      </c>
    </row>
    <row r="4552" spans="1:6" ht="15" customHeight="1" x14ac:dyDescent="0.25">
      <c r="A4552" s="2352" t="s">
        <v>17164</v>
      </c>
      <c r="B4552" s="2352" t="s">
        <v>17835</v>
      </c>
      <c r="C4552" s="2352" t="s">
        <v>17835</v>
      </c>
      <c r="D4552" s="2352" t="s">
        <v>17858</v>
      </c>
      <c r="E4552" s="355" t="s">
        <v>17095</v>
      </c>
      <c r="F4552" s="1662">
        <v>150</v>
      </c>
    </row>
    <row r="4553" spans="1:6" ht="15" customHeight="1" x14ac:dyDescent="0.25">
      <c r="A4553" s="2352" t="s">
        <v>17164</v>
      </c>
      <c r="B4553" s="2352" t="s">
        <v>17835</v>
      </c>
      <c r="C4553" s="2352" t="s">
        <v>17835</v>
      </c>
      <c r="D4553" s="2352" t="s">
        <v>17859</v>
      </c>
      <c r="E4553" s="355" t="s">
        <v>17102</v>
      </c>
      <c r="F4553" s="1662">
        <v>60</v>
      </c>
    </row>
    <row r="4554" spans="1:6" ht="15" customHeight="1" x14ac:dyDescent="0.25">
      <c r="A4554" s="2352" t="s">
        <v>17164</v>
      </c>
      <c r="B4554" s="2352" t="s">
        <v>17835</v>
      </c>
      <c r="C4554" s="2352" t="s">
        <v>17835</v>
      </c>
      <c r="D4554" s="2352" t="s">
        <v>17860</v>
      </c>
      <c r="E4554" s="355" t="s">
        <v>17096</v>
      </c>
      <c r="F4554" s="1662">
        <v>250</v>
      </c>
    </row>
    <row r="4555" spans="1:6" ht="15" customHeight="1" x14ac:dyDescent="0.25">
      <c r="A4555" s="2352" t="s">
        <v>17861</v>
      </c>
      <c r="B4555" s="2352" t="s">
        <v>17835</v>
      </c>
      <c r="C4555" s="2352" t="s">
        <v>17835</v>
      </c>
      <c r="D4555" s="2352" t="s">
        <v>17862</v>
      </c>
      <c r="E4555" s="355" t="s">
        <v>17104</v>
      </c>
      <c r="F4555" s="1662">
        <v>20</v>
      </c>
    </row>
    <row r="4556" spans="1:6" ht="15" customHeight="1" x14ac:dyDescent="0.25">
      <c r="A4556" s="2352" t="s">
        <v>17863</v>
      </c>
      <c r="B4556" s="2352" t="s">
        <v>17835</v>
      </c>
      <c r="C4556" s="2352" t="s">
        <v>17835</v>
      </c>
      <c r="D4556" s="2352" t="s">
        <v>17864</v>
      </c>
      <c r="E4556" s="355" t="s">
        <v>17099</v>
      </c>
      <c r="F4556" s="1662">
        <v>20</v>
      </c>
    </row>
    <row r="4557" spans="1:6" ht="15" customHeight="1" x14ac:dyDescent="0.25">
      <c r="A4557" s="2352" t="s">
        <v>17865</v>
      </c>
      <c r="B4557" s="2352" t="s">
        <v>17835</v>
      </c>
      <c r="C4557" s="2352" t="s">
        <v>17835</v>
      </c>
      <c r="D4557" s="2352" t="s">
        <v>17866</v>
      </c>
      <c r="E4557" s="355" t="s">
        <v>17097</v>
      </c>
      <c r="F4557" s="1662">
        <v>30</v>
      </c>
    </row>
    <row r="4558" spans="1:6" ht="15" customHeight="1" x14ac:dyDescent="0.25">
      <c r="A4558" s="2352" t="s">
        <v>17867</v>
      </c>
      <c r="B4558" s="2352" t="s">
        <v>17835</v>
      </c>
      <c r="C4558" s="2352" t="s">
        <v>17835</v>
      </c>
      <c r="D4558" s="2352" t="s">
        <v>17868</v>
      </c>
      <c r="E4558" s="355" t="s">
        <v>17105</v>
      </c>
      <c r="F4558" s="1662">
        <v>5</v>
      </c>
    </row>
    <row r="4559" spans="1:6" ht="15" customHeight="1" x14ac:dyDescent="0.25">
      <c r="A4559" s="2352" t="s">
        <v>17869</v>
      </c>
      <c r="B4559" s="2352" t="s">
        <v>17835</v>
      </c>
      <c r="C4559" s="2352" t="s">
        <v>17835</v>
      </c>
      <c r="D4559" s="2352" t="s">
        <v>17870</v>
      </c>
      <c r="E4559" s="355" t="s">
        <v>17104</v>
      </c>
      <c r="F4559" s="1662">
        <v>20</v>
      </c>
    </row>
    <row r="4560" spans="1:6" ht="15" customHeight="1" x14ac:dyDescent="0.25">
      <c r="A4560" s="2352" t="s">
        <v>17871</v>
      </c>
      <c r="B4560" s="2352" t="s">
        <v>17835</v>
      </c>
      <c r="C4560" s="2352" t="s">
        <v>17835</v>
      </c>
      <c r="D4560" s="2352" t="s">
        <v>17872</v>
      </c>
      <c r="E4560" s="355" t="s">
        <v>17111</v>
      </c>
      <c r="F4560" s="1662">
        <v>40</v>
      </c>
    </row>
    <row r="4561" spans="1:6" ht="15" customHeight="1" x14ac:dyDescent="0.25">
      <c r="A4561" s="2352" t="s">
        <v>17873</v>
      </c>
      <c r="B4561" s="2352" t="s">
        <v>17835</v>
      </c>
      <c r="C4561" s="2352" t="s">
        <v>17835</v>
      </c>
      <c r="D4561" s="2352" t="s">
        <v>17874</v>
      </c>
      <c r="E4561" s="355" t="s">
        <v>17105</v>
      </c>
      <c r="F4561" s="1662">
        <v>10</v>
      </c>
    </row>
    <row r="4562" spans="1:6" ht="15" customHeight="1" x14ac:dyDescent="0.25">
      <c r="A4562" s="2352" t="s">
        <v>17875</v>
      </c>
      <c r="B4562" s="2352" t="s">
        <v>17835</v>
      </c>
      <c r="C4562" s="2352" t="s">
        <v>17835</v>
      </c>
      <c r="D4562" s="2352" t="s">
        <v>17876</v>
      </c>
      <c r="E4562" s="355" t="s">
        <v>17099</v>
      </c>
      <c r="F4562" s="1662">
        <v>70</v>
      </c>
    </row>
    <row r="4563" spans="1:6" ht="15" customHeight="1" x14ac:dyDescent="0.25">
      <c r="A4563" s="2352" t="s">
        <v>17877</v>
      </c>
      <c r="B4563" s="2352" t="s">
        <v>17835</v>
      </c>
      <c r="C4563" s="2352" t="s">
        <v>17835</v>
      </c>
      <c r="D4563" s="2352" t="s">
        <v>17878</v>
      </c>
      <c r="E4563" s="355" t="s">
        <v>17103</v>
      </c>
      <c r="F4563" s="1662">
        <v>15</v>
      </c>
    </row>
    <row r="4564" spans="1:6" ht="15" customHeight="1" x14ac:dyDescent="0.25">
      <c r="A4564" s="2352" t="s">
        <v>17879</v>
      </c>
      <c r="B4564" s="2352" t="s">
        <v>17835</v>
      </c>
      <c r="C4564" s="2352" t="s">
        <v>17835</v>
      </c>
      <c r="D4564" s="2352" t="s">
        <v>17880</v>
      </c>
      <c r="E4564" s="355" t="s">
        <v>17103</v>
      </c>
      <c r="F4564" s="1662">
        <v>12</v>
      </c>
    </row>
    <row r="4565" spans="1:6" ht="15" customHeight="1" x14ac:dyDescent="0.25">
      <c r="A4565" s="2352" t="s">
        <v>17881</v>
      </c>
      <c r="B4565" s="2352" t="s">
        <v>17835</v>
      </c>
      <c r="C4565" s="2352" t="s">
        <v>17835</v>
      </c>
      <c r="D4565" s="2352" t="s">
        <v>17882</v>
      </c>
      <c r="E4565" s="355" t="s">
        <v>17099</v>
      </c>
      <c r="F4565" s="1662">
        <v>25</v>
      </c>
    </row>
    <row r="4566" spans="1:6" ht="15" customHeight="1" x14ac:dyDescent="0.25">
      <c r="A4566" s="2352" t="s">
        <v>17881</v>
      </c>
      <c r="B4566" s="2352" t="s">
        <v>17835</v>
      </c>
      <c r="C4566" s="2352" t="s">
        <v>17835</v>
      </c>
      <c r="D4566" s="2352" t="s">
        <v>17883</v>
      </c>
      <c r="E4566" s="355" t="s">
        <v>17096</v>
      </c>
      <c r="F4566" s="1662">
        <v>300</v>
      </c>
    </row>
    <row r="4567" spans="1:6" ht="15" customHeight="1" x14ac:dyDescent="0.25">
      <c r="A4567" s="2352" t="s">
        <v>17884</v>
      </c>
      <c r="B4567" s="2352" t="s">
        <v>17835</v>
      </c>
      <c r="C4567" s="2352" t="s">
        <v>17835</v>
      </c>
      <c r="D4567" s="2352" t="s">
        <v>17885</v>
      </c>
      <c r="E4567" s="355" t="s">
        <v>17099</v>
      </c>
      <c r="F4567" s="1662">
        <v>20</v>
      </c>
    </row>
    <row r="4568" spans="1:6" ht="15" customHeight="1" x14ac:dyDescent="0.25">
      <c r="A4568" s="2352" t="s">
        <v>17884</v>
      </c>
      <c r="B4568" s="2352" t="s">
        <v>17835</v>
      </c>
      <c r="C4568" s="2352" t="s">
        <v>17835</v>
      </c>
      <c r="D4568" s="2352" t="s">
        <v>17886</v>
      </c>
      <c r="E4568" s="355" t="s">
        <v>17104</v>
      </c>
      <c r="F4568" s="1662">
        <v>10</v>
      </c>
    </row>
    <row r="4569" spans="1:6" ht="15" customHeight="1" x14ac:dyDescent="0.25">
      <c r="A4569" s="2352" t="s">
        <v>17884</v>
      </c>
      <c r="B4569" s="2352" t="s">
        <v>17835</v>
      </c>
      <c r="C4569" s="2352" t="s">
        <v>17835</v>
      </c>
      <c r="D4569" s="2352" t="s">
        <v>17887</v>
      </c>
      <c r="E4569" s="355" t="s">
        <v>17095</v>
      </c>
      <c r="F4569" s="1662">
        <v>100</v>
      </c>
    </row>
    <row r="4570" spans="1:6" ht="15" customHeight="1" x14ac:dyDescent="0.25">
      <c r="A4570" s="2352" t="s">
        <v>17877</v>
      </c>
      <c r="B4570" s="2352" t="s">
        <v>17835</v>
      </c>
      <c r="C4570" s="2352" t="s">
        <v>17835</v>
      </c>
      <c r="D4570" s="2352" t="s">
        <v>17888</v>
      </c>
      <c r="E4570" s="355" t="s">
        <v>17099</v>
      </c>
      <c r="F4570" s="1662">
        <v>15</v>
      </c>
    </row>
    <row r="4571" spans="1:6" ht="15" customHeight="1" x14ac:dyDescent="0.25">
      <c r="A4571" s="2352" t="s">
        <v>17877</v>
      </c>
      <c r="B4571" s="2352" t="s">
        <v>17835</v>
      </c>
      <c r="C4571" s="2352" t="s">
        <v>17835</v>
      </c>
      <c r="D4571" s="2352" t="s">
        <v>17889</v>
      </c>
      <c r="E4571" s="355" t="s">
        <v>17096</v>
      </c>
      <c r="F4571" s="1662">
        <v>300</v>
      </c>
    </row>
    <row r="4572" spans="1:6" ht="15" customHeight="1" x14ac:dyDescent="0.25">
      <c r="A4572" s="2352" t="s">
        <v>17877</v>
      </c>
      <c r="B4572" s="2352" t="s">
        <v>17835</v>
      </c>
      <c r="C4572" s="2352" t="s">
        <v>17835</v>
      </c>
      <c r="D4572" s="2352" t="s">
        <v>17890</v>
      </c>
      <c r="E4572" s="355" t="s">
        <v>17096</v>
      </c>
      <c r="F4572" s="1662">
        <v>50</v>
      </c>
    </row>
    <row r="4573" spans="1:6" ht="15" customHeight="1" x14ac:dyDescent="0.25">
      <c r="A4573" s="2352" t="s">
        <v>17877</v>
      </c>
      <c r="B4573" s="2352" t="s">
        <v>17835</v>
      </c>
      <c r="C4573" s="2352" t="s">
        <v>17835</v>
      </c>
      <c r="D4573" s="2352" t="s">
        <v>17891</v>
      </c>
      <c r="E4573" s="355" t="s">
        <v>17104</v>
      </c>
      <c r="F4573" s="1662">
        <v>12</v>
      </c>
    </row>
    <row r="4574" spans="1:6" ht="15" customHeight="1" x14ac:dyDescent="0.25">
      <c r="A4574" s="2352" t="s">
        <v>17877</v>
      </c>
      <c r="B4574" s="2352" t="s">
        <v>17835</v>
      </c>
      <c r="C4574" s="2352" t="s">
        <v>17835</v>
      </c>
      <c r="D4574" s="2352" t="s">
        <v>17892</v>
      </c>
      <c r="E4574" s="355">
        <v>100</v>
      </c>
      <c r="F4574" s="1662">
        <v>40</v>
      </c>
    </row>
    <row r="4575" spans="1:6" ht="15" customHeight="1" x14ac:dyDescent="0.25">
      <c r="A4575" s="2352" t="s">
        <v>17877</v>
      </c>
      <c r="B4575" s="2352" t="s">
        <v>17835</v>
      </c>
      <c r="C4575" s="2352" t="s">
        <v>17835</v>
      </c>
      <c r="D4575" s="2352" t="s">
        <v>17893</v>
      </c>
      <c r="E4575" s="355" t="s">
        <v>17099</v>
      </c>
      <c r="F4575" s="1662">
        <v>15</v>
      </c>
    </row>
    <row r="4576" spans="1:6" ht="15" customHeight="1" x14ac:dyDescent="0.25">
      <c r="A4576" s="2352" t="s">
        <v>6462</v>
      </c>
      <c r="B4576" s="2352" t="s">
        <v>17835</v>
      </c>
      <c r="C4576" s="2352" t="s">
        <v>17835</v>
      </c>
      <c r="D4576" s="2352" t="s">
        <v>17894</v>
      </c>
      <c r="E4576" s="355" t="s">
        <v>17099</v>
      </c>
      <c r="F4576" s="1662">
        <v>10</v>
      </c>
    </row>
    <row r="4577" spans="1:6" ht="15" customHeight="1" x14ac:dyDescent="0.25">
      <c r="A4577" s="2352" t="s">
        <v>6462</v>
      </c>
      <c r="B4577" s="2352" t="s">
        <v>17835</v>
      </c>
      <c r="C4577" s="2352" t="s">
        <v>17835</v>
      </c>
      <c r="D4577" s="2352" t="s">
        <v>17895</v>
      </c>
      <c r="E4577" s="355" t="s">
        <v>17102</v>
      </c>
      <c r="F4577" s="1662">
        <v>100</v>
      </c>
    </row>
    <row r="4578" spans="1:6" ht="15" customHeight="1" x14ac:dyDescent="0.25">
      <c r="A4578" s="2352" t="s">
        <v>17877</v>
      </c>
      <c r="B4578" s="2352" t="s">
        <v>17835</v>
      </c>
      <c r="C4578" s="2352" t="s">
        <v>17835</v>
      </c>
      <c r="D4578" s="2352" t="s">
        <v>17896</v>
      </c>
      <c r="E4578" s="355" t="s">
        <v>17096</v>
      </c>
      <c r="F4578" s="1662">
        <v>40</v>
      </c>
    </row>
    <row r="4579" spans="1:6" ht="15" customHeight="1" x14ac:dyDescent="0.25">
      <c r="A4579" s="2352" t="s">
        <v>17877</v>
      </c>
      <c r="B4579" s="2352" t="s">
        <v>17835</v>
      </c>
      <c r="C4579" s="2352" t="s">
        <v>17835</v>
      </c>
      <c r="D4579" s="2352" t="s">
        <v>17897</v>
      </c>
      <c r="E4579" s="355" t="s">
        <v>17102</v>
      </c>
      <c r="F4579" s="1662">
        <v>35</v>
      </c>
    </row>
    <row r="4580" spans="1:6" ht="15" customHeight="1" x14ac:dyDescent="0.25">
      <c r="A4580" s="2352" t="s">
        <v>17877</v>
      </c>
      <c r="B4580" s="2352" t="s">
        <v>17835</v>
      </c>
      <c r="C4580" s="2352" t="s">
        <v>17835</v>
      </c>
      <c r="D4580" s="2352" t="s">
        <v>17898</v>
      </c>
      <c r="E4580" s="355" t="s">
        <v>17099</v>
      </c>
      <c r="F4580" s="1662">
        <v>65</v>
      </c>
    </row>
    <row r="4581" spans="1:6" ht="15" customHeight="1" x14ac:dyDescent="0.25">
      <c r="A4581" s="2352" t="s">
        <v>17877</v>
      </c>
      <c r="B4581" s="2352" t="s">
        <v>17835</v>
      </c>
      <c r="C4581" s="2352" t="s">
        <v>17835</v>
      </c>
      <c r="D4581" s="2352" t="s">
        <v>17899</v>
      </c>
      <c r="E4581" s="355" t="s">
        <v>17095</v>
      </c>
      <c r="F4581" s="1662">
        <v>50</v>
      </c>
    </row>
    <row r="4582" spans="1:6" ht="15" customHeight="1" x14ac:dyDescent="0.25">
      <c r="A4582" s="2352" t="s">
        <v>17877</v>
      </c>
      <c r="B4582" s="2352" t="s">
        <v>17835</v>
      </c>
      <c r="C4582" s="2352" t="s">
        <v>17835</v>
      </c>
      <c r="D4582" s="2352" t="s">
        <v>17900</v>
      </c>
      <c r="E4582" s="355" t="s">
        <v>17095</v>
      </c>
      <c r="F4582" s="1662">
        <v>30</v>
      </c>
    </row>
    <row r="4583" spans="1:6" ht="15" customHeight="1" x14ac:dyDescent="0.25">
      <c r="A4583" s="2352" t="s">
        <v>17877</v>
      </c>
      <c r="B4583" s="2352" t="s">
        <v>17835</v>
      </c>
      <c r="C4583" s="2352" t="s">
        <v>17835</v>
      </c>
      <c r="D4583" s="2352" t="s">
        <v>17901</v>
      </c>
      <c r="E4583" s="355" t="s">
        <v>17096</v>
      </c>
      <c r="F4583" s="1662">
        <v>350</v>
      </c>
    </row>
    <row r="4584" spans="1:6" ht="15" customHeight="1" x14ac:dyDescent="0.25">
      <c r="A4584" s="2352" t="s">
        <v>17877</v>
      </c>
      <c r="B4584" s="2352" t="s">
        <v>17835</v>
      </c>
      <c r="C4584" s="2352" t="s">
        <v>17835</v>
      </c>
      <c r="D4584" s="2352" t="s">
        <v>17902</v>
      </c>
      <c r="E4584" s="355" t="s">
        <v>17097</v>
      </c>
      <c r="F4584" s="1662">
        <v>13</v>
      </c>
    </row>
    <row r="4585" spans="1:6" ht="15" customHeight="1" x14ac:dyDescent="0.25">
      <c r="A4585" s="2352" t="s">
        <v>17903</v>
      </c>
      <c r="B4585" s="2352" t="s">
        <v>17835</v>
      </c>
      <c r="C4585" s="2352" t="s">
        <v>17835</v>
      </c>
      <c r="D4585" s="2352" t="s">
        <v>17904</v>
      </c>
      <c r="E4585" s="355" t="s">
        <v>17095</v>
      </c>
      <c r="F4585" s="1662">
        <v>50</v>
      </c>
    </row>
    <row r="4586" spans="1:6" ht="15" customHeight="1" x14ac:dyDescent="0.25">
      <c r="A4586" s="2352" t="s">
        <v>17903</v>
      </c>
      <c r="B4586" s="2352" t="s">
        <v>17835</v>
      </c>
      <c r="C4586" s="2352" t="s">
        <v>17835</v>
      </c>
      <c r="D4586" s="2352" t="s">
        <v>17905</v>
      </c>
      <c r="E4586" s="355" t="s">
        <v>17111</v>
      </c>
      <c r="F4586" s="1662">
        <v>8</v>
      </c>
    </row>
    <row r="4587" spans="1:6" ht="15" customHeight="1" x14ac:dyDescent="0.25">
      <c r="A4587" s="2352" t="s">
        <v>17903</v>
      </c>
      <c r="B4587" s="2352" t="s">
        <v>17835</v>
      </c>
      <c r="C4587" s="2352" t="s">
        <v>17835</v>
      </c>
      <c r="D4587" s="2352" t="s">
        <v>17906</v>
      </c>
      <c r="E4587" s="355" t="s">
        <v>17097</v>
      </c>
      <c r="F4587" s="1662">
        <v>10</v>
      </c>
    </row>
    <row r="4588" spans="1:6" ht="15" customHeight="1" x14ac:dyDescent="0.25">
      <c r="A4588" s="2352" t="s">
        <v>17903</v>
      </c>
      <c r="B4588" s="2352" t="s">
        <v>17835</v>
      </c>
      <c r="C4588" s="2352" t="s">
        <v>17835</v>
      </c>
      <c r="D4588" s="2352" t="s">
        <v>17907</v>
      </c>
      <c r="E4588" s="355" t="s">
        <v>17102</v>
      </c>
      <c r="F4588" s="1662">
        <v>50</v>
      </c>
    </row>
    <row r="4589" spans="1:6" ht="15" customHeight="1" x14ac:dyDescent="0.25">
      <c r="A4589" s="2352" t="s">
        <v>17873</v>
      </c>
      <c r="B4589" s="2352" t="s">
        <v>17835</v>
      </c>
      <c r="C4589" s="2352" t="s">
        <v>17835</v>
      </c>
      <c r="D4589" s="2352" t="s">
        <v>17908</v>
      </c>
      <c r="E4589" s="355" t="s">
        <v>17095</v>
      </c>
      <c r="F4589" s="1662">
        <v>50</v>
      </c>
    </row>
    <row r="4590" spans="1:6" ht="15" customHeight="1" x14ac:dyDescent="0.25">
      <c r="A4590" s="2352" t="s">
        <v>17873</v>
      </c>
      <c r="B4590" s="2352" t="s">
        <v>17835</v>
      </c>
      <c r="C4590" s="2352" t="s">
        <v>17835</v>
      </c>
      <c r="D4590" s="2352" t="s">
        <v>17909</v>
      </c>
      <c r="E4590" s="355" t="s">
        <v>17097</v>
      </c>
      <c r="F4590" s="1662">
        <v>10</v>
      </c>
    </row>
    <row r="4591" spans="1:6" ht="15" customHeight="1" x14ac:dyDescent="0.25">
      <c r="A4591" s="2352" t="s">
        <v>17873</v>
      </c>
      <c r="B4591" s="2352" t="s">
        <v>17835</v>
      </c>
      <c r="C4591" s="2352" t="s">
        <v>17835</v>
      </c>
      <c r="D4591" s="2352" t="s">
        <v>17910</v>
      </c>
      <c r="E4591" s="355" t="s">
        <v>17095</v>
      </c>
      <c r="F4591" s="1662">
        <v>100</v>
      </c>
    </row>
    <row r="4592" spans="1:6" ht="15" customHeight="1" x14ac:dyDescent="0.25">
      <c r="A4592" s="2352" t="s">
        <v>17911</v>
      </c>
      <c r="B4592" s="2352" t="s">
        <v>17835</v>
      </c>
      <c r="C4592" s="2352" t="s">
        <v>17835</v>
      </c>
      <c r="D4592" s="2352" t="s">
        <v>17912</v>
      </c>
      <c r="E4592" s="355" t="s">
        <v>17105</v>
      </c>
      <c r="F4592" s="1662">
        <v>2</v>
      </c>
    </row>
    <row r="4593" spans="1:6" ht="15" customHeight="1" x14ac:dyDescent="0.25">
      <c r="A4593" s="2352" t="s">
        <v>17911</v>
      </c>
      <c r="B4593" s="2352" t="s">
        <v>17835</v>
      </c>
      <c r="C4593" s="2352" t="s">
        <v>17835</v>
      </c>
      <c r="D4593" s="2352" t="s">
        <v>17913</v>
      </c>
      <c r="E4593" s="355" t="s">
        <v>17099</v>
      </c>
      <c r="F4593" s="1662">
        <v>80</v>
      </c>
    </row>
    <row r="4594" spans="1:6" ht="15" customHeight="1" x14ac:dyDescent="0.25">
      <c r="A4594" s="2352" t="s">
        <v>17877</v>
      </c>
      <c r="B4594" s="2352" t="s">
        <v>17835</v>
      </c>
      <c r="C4594" s="2352" t="s">
        <v>17835</v>
      </c>
      <c r="D4594" s="2352" t="s">
        <v>17914</v>
      </c>
      <c r="E4594" s="355" t="s">
        <v>17102</v>
      </c>
      <c r="F4594" s="1662">
        <v>30</v>
      </c>
    </row>
    <row r="4595" spans="1:6" ht="15" customHeight="1" x14ac:dyDescent="0.25">
      <c r="A4595" s="2352" t="s">
        <v>17915</v>
      </c>
      <c r="B4595" s="2352" t="s">
        <v>17835</v>
      </c>
      <c r="C4595" s="2352" t="s">
        <v>17835</v>
      </c>
      <c r="D4595" s="2352" t="s">
        <v>17916</v>
      </c>
      <c r="E4595" s="355" t="s">
        <v>17100</v>
      </c>
      <c r="F4595" s="1662">
        <v>5</v>
      </c>
    </row>
    <row r="4596" spans="1:6" ht="15" customHeight="1" x14ac:dyDescent="0.25">
      <c r="A4596" s="2352" t="s">
        <v>17917</v>
      </c>
      <c r="B4596" s="2352" t="s">
        <v>17835</v>
      </c>
      <c r="C4596" s="2352" t="s">
        <v>17835</v>
      </c>
      <c r="D4596" s="2352" t="s">
        <v>17918</v>
      </c>
      <c r="E4596" s="355" t="s">
        <v>17099</v>
      </c>
      <c r="F4596" s="1662">
        <v>15</v>
      </c>
    </row>
    <row r="4597" spans="1:6" ht="15" customHeight="1" x14ac:dyDescent="0.25">
      <c r="A4597" s="2352" t="s">
        <v>17917</v>
      </c>
      <c r="B4597" s="2352" t="s">
        <v>17835</v>
      </c>
      <c r="C4597" s="2352" t="s">
        <v>17835</v>
      </c>
      <c r="D4597" s="2352" t="s">
        <v>17919</v>
      </c>
      <c r="E4597" s="355" t="s">
        <v>17102</v>
      </c>
      <c r="F4597" s="1662">
        <v>100</v>
      </c>
    </row>
    <row r="4598" spans="1:6" ht="15" customHeight="1" x14ac:dyDescent="0.25">
      <c r="A4598" s="2352" t="s">
        <v>17920</v>
      </c>
      <c r="B4598" s="2352" t="s">
        <v>17835</v>
      </c>
      <c r="C4598" s="2352" t="s">
        <v>17835</v>
      </c>
      <c r="D4598" s="2352" t="s">
        <v>17921</v>
      </c>
      <c r="E4598" s="355" t="s">
        <v>17104</v>
      </c>
      <c r="F4598" s="1662">
        <v>20</v>
      </c>
    </row>
    <row r="4599" spans="1:6" ht="15" customHeight="1" x14ac:dyDescent="0.25">
      <c r="A4599" s="2352" t="s">
        <v>17922</v>
      </c>
      <c r="B4599" s="2352" t="s">
        <v>17835</v>
      </c>
      <c r="C4599" s="2352" t="s">
        <v>17835</v>
      </c>
      <c r="D4599" s="2352" t="s">
        <v>17923</v>
      </c>
      <c r="E4599" s="355" t="s">
        <v>17104</v>
      </c>
      <c r="F4599" s="1662">
        <v>20</v>
      </c>
    </row>
    <row r="4600" spans="1:6" ht="15" customHeight="1" x14ac:dyDescent="0.25">
      <c r="A4600" s="2352" t="s">
        <v>17917</v>
      </c>
      <c r="B4600" s="2352" t="s">
        <v>17835</v>
      </c>
      <c r="C4600" s="2352" t="s">
        <v>17835</v>
      </c>
      <c r="D4600" s="2352" t="s">
        <v>17924</v>
      </c>
      <c r="E4600" s="355" t="s">
        <v>17095</v>
      </c>
      <c r="F4600" s="1662">
        <v>200</v>
      </c>
    </row>
    <row r="4601" spans="1:6" ht="15" customHeight="1" x14ac:dyDescent="0.25">
      <c r="A4601" s="2352" t="s">
        <v>17917</v>
      </c>
      <c r="B4601" s="2352" t="s">
        <v>17835</v>
      </c>
      <c r="C4601" s="2352" t="s">
        <v>17835</v>
      </c>
      <c r="D4601" s="2352" t="s">
        <v>17925</v>
      </c>
      <c r="E4601" s="355" t="s">
        <v>17099</v>
      </c>
      <c r="F4601" s="1662">
        <v>20</v>
      </c>
    </row>
    <row r="4602" spans="1:6" ht="15" customHeight="1" x14ac:dyDescent="0.25">
      <c r="A4602" s="2352" t="s">
        <v>17926</v>
      </c>
      <c r="B4602" s="2352" t="s">
        <v>17835</v>
      </c>
      <c r="C4602" s="2352" t="s">
        <v>17835</v>
      </c>
      <c r="D4602" s="2352" t="s">
        <v>17927</v>
      </c>
      <c r="E4602" s="355" t="s">
        <v>17100</v>
      </c>
      <c r="F4602" s="1662">
        <v>2</v>
      </c>
    </row>
    <row r="4603" spans="1:6" ht="15" customHeight="1" x14ac:dyDescent="0.25">
      <c r="A4603" s="2352" t="s">
        <v>17928</v>
      </c>
      <c r="B4603" s="2352" t="s">
        <v>17835</v>
      </c>
      <c r="C4603" s="2352" t="s">
        <v>17835</v>
      </c>
      <c r="D4603" s="2352" t="s">
        <v>17929</v>
      </c>
      <c r="E4603" s="355" t="s">
        <v>17104</v>
      </c>
      <c r="F4603" s="1662">
        <v>20</v>
      </c>
    </row>
    <row r="4604" spans="1:6" ht="15" customHeight="1" x14ac:dyDescent="0.25">
      <c r="A4604" s="2352" t="s">
        <v>17930</v>
      </c>
      <c r="B4604" s="2352" t="s">
        <v>17835</v>
      </c>
      <c r="C4604" s="2352" t="s">
        <v>17835</v>
      </c>
      <c r="D4604" s="2352" t="s">
        <v>17931</v>
      </c>
      <c r="E4604" s="355" t="s">
        <v>17104</v>
      </c>
      <c r="F4604" s="1662">
        <v>8</v>
      </c>
    </row>
    <row r="4605" spans="1:6" ht="15" customHeight="1" x14ac:dyDescent="0.25">
      <c r="A4605" s="2352" t="s">
        <v>17930</v>
      </c>
      <c r="B4605" s="2352" t="s">
        <v>17835</v>
      </c>
      <c r="C4605" s="2352" t="s">
        <v>17835</v>
      </c>
      <c r="D4605" s="2352" t="s">
        <v>17932</v>
      </c>
      <c r="E4605" s="355" t="s">
        <v>17102</v>
      </c>
      <c r="F4605" s="1662">
        <v>110</v>
      </c>
    </row>
    <row r="4606" spans="1:6" ht="15" customHeight="1" x14ac:dyDescent="0.25">
      <c r="A4606" s="2352" t="s">
        <v>17877</v>
      </c>
      <c r="B4606" s="2352" t="s">
        <v>17835</v>
      </c>
      <c r="C4606" s="2352" t="s">
        <v>17835</v>
      </c>
      <c r="D4606" s="2352" t="s">
        <v>17933</v>
      </c>
      <c r="E4606" s="355" t="s">
        <v>17099</v>
      </c>
      <c r="F4606" s="1662">
        <v>70</v>
      </c>
    </row>
    <row r="4607" spans="1:6" ht="15" customHeight="1" x14ac:dyDescent="0.25">
      <c r="A4607" s="2352" t="s">
        <v>17877</v>
      </c>
      <c r="B4607" s="2352" t="s">
        <v>17835</v>
      </c>
      <c r="C4607" s="2352" t="s">
        <v>17835</v>
      </c>
      <c r="D4607" s="2352" t="s">
        <v>17934</v>
      </c>
      <c r="E4607" s="355" t="s">
        <v>17102</v>
      </c>
      <c r="F4607" s="1662">
        <v>60</v>
      </c>
    </row>
    <row r="4608" spans="1:6" ht="15" customHeight="1" x14ac:dyDescent="0.25">
      <c r="A4608" s="2352" t="s">
        <v>17877</v>
      </c>
      <c r="B4608" s="2352" t="s">
        <v>17835</v>
      </c>
      <c r="C4608" s="2352" t="s">
        <v>17835</v>
      </c>
      <c r="D4608" s="2352" t="s">
        <v>17935</v>
      </c>
      <c r="E4608" s="355" t="s">
        <v>17095</v>
      </c>
      <c r="F4608" s="1662">
        <v>200</v>
      </c>
    </row>
    <row r="4609" spans="1:6" ht="15" customHeight="1" x14ac:dyDescent="0.25">
      <c r="A4609" s="2352" t="s">
        <v>17936</v>
      </c>
      <c r="B4609" s="2352" t="s">
        <v>17835</v>
      </c>
      <c r="C4609" s="2352" t="s">
        <v>17835</v>
      </c>
      <c r="D4609" s="2352" t="s">
        <v>17937</v>
      </c>
      <c r="E4609" s="355" t="s">
        <v>17099</v>
      </c>
      <c r="F4609" s="1662">
        <v>20</v>
      </c>
    </row>
    <row r="4610" spans="1:6" ht="15" customHeight="1" x14ac:dyDescent="0.25">
      <c r="A4610" s="2352" t="s">
        <v>17938</v>
      </c>
      <c r="B4610" s="2352" t="s">
        <v>17835</v>
      </c>
      <c r="C4610" s="2352" t="s">
        <v>17835</v>
      </c>
      <c r="D4610" s="2352" t="s">
        <v>17939</v>
      </c>
      <c r="E4610" s="355" t="s">
        <v>17104</v>
      </c>
      <c r="F4610" s="1662">
        <v>20</v>
      </c>
    </row>
    <row r="4611" spans="1:6" ht="15" customHeight="1" x14ac:dyDescent="0.25">
      <c r="A4611" s="2352" t="s">
        <v>17940</v>
      </c>
      <c r="B4611" s="2352" t="s">
        <v>17835</v>
      </c>
      <c r="C4611" s="2352" t="s">
        <v>17835</v>
      </c>
      <c r="D4611" s="2352" t="s">
        <v>17941</v>
      </c>
      <c r="E4611" s="355" t="s">
        <v>17097</v>
      </c>
      <c r="F4611" s="1662">
        <v>35</v>
      </c>
    </row>
    <row r="4612" spans="1:6" ht="15" customHeight="1" x14ac:dyDescent="0.25">
      <c r="A4612" s="2352" t="s">
        <v>17942</v>
      </c>
      <c r="B4612" s="2352" t="s">
        <v>17835</v>
      </c>
      <c r="C4612" s="2352" t="s">
        <v>17835</v>
      </c>
      <c r="D4612" s="2352" t="s">
        <v>17943</v>
      </c>
      <c r="E4612" s="355" t="s">
        <v>17103</v>
      </c>
      <c r="F4612" s="1662">
        <v>15</v>
      </c>
    </row>
    <row r="4613" spans="1:6" ht="15" customHeight="1" x14ac:dyDescent="0.25">
      <c r="A4613" s="2352" t="s">
        <v>17944</v>
      </c>
      <c r="B4613" s="2352" t="s">
        <v>17835</v>
      </c>
      <c r="C4613" s="2352" t="s">
        <v>17835</v>
      </c>
      <c r="D4613" s="2352" t="s">
        <v>17945</v>
      </c>
      <c r="E4613" s="355" t="s">
        <v>17105</v>
      </c>
      <c r="F4613" s="1662">
        <v>25</v>
      </c>
    </row>
    <row r="4614" spans="1:6" ht="15" customHeight="1" x14ac:dyDescent="0.25">
      <c r="A4614" s="2352" t="s">
        <v>17946</v>
      </c>
      <c r="B4614" s="2352" t="s">
        <v>17835</v>
      </c>
      <c r="C4614" s="2352" t="s">
        <v>17835</v>
      </c>
      <c r="D4614" s="2352" t="s">
        <v>17947</v>
      </c>
      <c r="E4614" s="355" t="s">
        <v>17100</v>
      </c>
      <c r="F4614" s="1662">
        <v>3</v>
      </c>
    </row>
    <row r="4615" spans="1:6" ht="15" customHeight="1" x14ac:dyDescent="0.25">
      <c r="A4615" s="2352" t="s">
        <v>17948</v>
      </c>
      <c r="B4615" s="2352" t="s">
        <v>17835</v>
      </c>
      <c r="C4615" s="2352" t="s">
        <v>17835</v>
      </c>
      <c r="D4615" s="2352" t="s">
        <v>17949</v>
      </c>
      <c r="E4615" s="355" t="s">
        <v>17102</v>
      </c>
      <c r="F4615" s="1662">
        <v>40</v>
      </c>
    </row>
    <row r="4616" spans="1:6" ht="15" customHeight="1" x14ac:dyDescent="0.25">
      <c r="A4616" s="2352" t="s">
        <v>17948</v>
      </c>
      <c r="B4616" s="2352" t="s">
        <v>17835</v>
      </c>
      <c r="C4616" s="2352" t="s">
        <v>17835</v>
      </c>
      <c r="D4616" s="2352" t="s">
        <v>17950</v>
      </c>
      <c r="E4616" s="355" t="s">
        <v>17095</v>
      </c>
      <c r="F4616" s="1662">
        <v>210</v>
      </c>
    </row>
    <row r="4617" spans="1:6" ht="15" customHeight="1" x14ac:dyDescent="0.25">
      <c r="A4617" s="2352" t="s">
        <v>17948</v>
      </c>
      <c r="B4617" s="2352" t="s">
        <v>17835</v>
      </c>
      <c r="C4617" s="2352" t="s">
        <v>17835</v>
      </c>
      <c r="D4617" s="2352" t="s">
        <v>17951</v>
      </c>
      <c r="E4617" s="355" t="s">
        <v>17095</v>
      </c>
      <c r="F4617" s="1662">
        <v>110</v>
      </c>
    </row>
    <row r="4618" spans="1:6" ht="15" customHeight="1" x14ac:dyDescent="0.25">
      <c r="A4618" s="2352" t="s">
        <v>17952</v>
      </c>
      <c r="B4618" s="2352" t="s">
        <v>17835</v>
      </c>
      <c r="C4618" s="2352" t="s">
        <v>17835</v>
      </c>
      <c r="D4618" s="2352" t="s">
        <v>17953</v>
      </c>
      <c r="E4618" s="355" t="s">
        <v>17111</v>
      </c>
      <c r="F4618" s="1662">
        <v>50</v>
      </c>
    </row>
    <row r="4619" spans="1:6" ht="15" customHeight="1" x14ac:dyDescent="0.25">
      <c r="A4619" s="2352" t="s">
        <v>17954</v>
      </c>
      <c r="B4619" s="2352" t="s">
        <v>17835</v>
      </c>
      <c r="C4619" s="2352" t="s">
        <v>17835</v>
      </c>
      <c r="D4619" s="2352" t="s">
        <v>17955</v>
      </c>
      <c r="E4619" s="355" t="s">
        <v>17104</v>
      </c>
      <c r="F4619" s="1662">
        <v>20</v>
      </c>
    </row>
    <row r="4620" spans="1:6" ht="15" customHeight="1" x14ac:dyDescent="0.25">
      <c r="A4620" s="2352" t="s">
        <v>17956</v>
      </c>
      <c r="B4620" s="2352" t="s">
        <v>17835</v>
      </c>
      <c r="C4620" s="2352" t="s">
        <v>17835</v>
      </c>
      <c r="D4620" s="2352" t="s">
        <v>17957</v>
      </c>
      <c r="E4620" s="355" t="s">
        <v>17100</v>
      </c>
      <c r="F4620" s="1662">
        <v>4</v>
      </c>
    </row>
    <row r="4621" spans="1:6" ht="15" customHeight="1" x14ac:dyDescent="0.25">
      <c r="A4621" s="2352" t="s">
        <v>17958</v>
      </c>
      <c r="B4621" s="2352" t="s">
        <v>17835</v>
      </c>
      <c r="C4621" s="2352" t="s">
        <v>17835</v>
      </c>
      <c r="D4621" s="2352" t="s">
        <v>17959</v>
      </c>
      <c r="E4621" s="355" t="s">
        <v>17097</v>
      </c>
      <c r="F4621" s="1662">
        <v>15</v>
      </c>
    </row>
    <row r="4622" spans="1:6" ht="15" customHeight="1" x14ac:dyDescent="0.25">
      <c r="A4622" s="2352" t="s">
        <v>17960</v>
      </c>
      <c r="B4622" s="2352" t="s">
        <v>17835</v>
      </c>
      <c r="C4622" s="2352" t="s">
        <v>17835</v>
      </c>
      <c r="D4622" s="2352" t="s">
        <v>17961</v>
      </c>
      <c r="E4622" s="355" t="s">
        <v>17102</v>
      </c>
      <c r="F4622" s="1662">
        <v>140</v>
      </c>
    </row>
    <row r="4623" spans="1:6" ht="15" customHeight="1" x14ac:dyDescent="0.25">
      <c r="A4623" s="2352" t="s">
        <v>17962</v>
      </c>
      <c r="B4623" s="2352" t="s">
        <v>17835</v>
      </c>
      <c r="C4623" s="2352" t="s">
        <v>17835</v>
      </c>
      <c r="D4623" s="2352" t="s">
        <v>17963</v>
      </c>
      <c r="E4623" s="355" t="s">
        <v>17103</v>
      </c>
      <c r="F4623" s="1662">
        <v>15</v>
      </c>
    </row>
    <row r="4624" spans="1:6" ht="15" customHeight="1" x14ac:dyDescent="0.25">
      <c r="A4624" s="2352" t="s">
        <v>17877</v>
      </c>
      <c r="B4624" s="2352" t="s">
        <v>17835</v>
      </c>
      <c r="C4624" s="2352" t="s">
        <v>17835</v>
      </c>
      <c r="D4624" s="2352" t="s">
        <v>17964</v>
      </c>
      <c r="E4624" s="355" t="s">
        <v>17099</v>
      </c>
      <c r="F4624" s="1662">
        <v>40</v>
      </c>
    </row>
    <row r="4625" spans="1:6" ht="15" customHeight="1" x14ac:dyDescent="0.25">
      <c r="A4625" s="2352" t="s">
        <v>17877</v>
      </c>
      <c r="B4625" s="2352" t="s">
        <v>17835</v>
      </c>
      <c r="C4625" s="2352" t="s">
        <v>17835</v>
      </c>
      <c r="D4625" s="2352" t="s">
        <v>17965</v>
      </c>
      <c r="E4625" s="355" t="s">
        <v>17097</v>
      </c>
      <c r="F4625" s="1662">
        <v>10</v>
      </c>
    </row>
    <row r="4626" spans="1:6" ht="15" customHeight="1" x14ac:dyDescent="0.25">
      <c r="A4626" s="2352" t="s">
        <v>17877</v>
      </c>
      <c r="B4626" s="2352" t="s">
        <v>17835</v>
      </c>
      <c r="C4626" s="2352" t="s">
        <v>17835</v>
      </c>
      <c r="D4626" s="2352" t="s">
        <v>17966</v>
      </c>
      <c r="E4626" s="355" t="s">
        <v>17099</v>
      </c>
      <c r="F4626" s="1662">
        <v>12</v>
      </c>
    </row>
    <row r="4627" spans="1:6" ht="15" customHeight="1" x14ac:dyDescent="0.25">
      <c r="A4627" s="2352" t="s">
        <v>17877</v>
      </c>
      <c r="B4627" s="2352" t="s">
        <v>17835</v>
      </c>
      <c r="C4627" s="2352" t="s">
        <v>17835</v>
      </c>
      <c r="D4627" s="2352" t="s">
        <v>17967</v>
      </c>
      <c r="E4627" s="355" t="s">
        <v>17099</v>
      </c>
      <c r="F4627" s="1662">
        <v>10</v>
      </c>
    </row>
    <row r="4628" spans="1:6" ht="15" customHeight="1" x14ac:dyDescent="0.25">
      <c r="A4628" s="2352" t="s">
        <v>17968</v>
      </c>
      <c r="B4628" s="2352" t="s">
        <v>17835</v>
      </c>
      <c r="C4628" s="2352" t="s">
        <v>17835</v>
      </c>
      <c r="D4628" s="2352" t="s">
        <v>17969</v>
      </c>
      <c r="E4628" s="355" t="s">
        <v>17099</v>
      </c>
      <c r="F4628" s="1662">
        <v>15</v>
      </c>
    </row>
    <row r="4629" spans="1:6" ht="15" customHeight="1" x14ac:dyDescent="0.25">
      <c r="A4629" s="2352" t="s">
        <v>17968</v>
      </c>
      <c r="B4629" s="2352" t="s">
        <v>17835</v>
      </c>
      <c r="C4629" s="2352" t="s">
        <v>17835</v>
      </c>
      <c r="D4629" s="2352" t="s">
        <v>17970</v>
      </c>
      <c r="E4629" s="355" t="s">
        <v>17102</v>
      </c>
      <c r="F4629" s="1662">
        <v>100</v>
      </c>
    </row>
    <row r="4630" spans="1:6" ht="15" customHeight="1" x14ac:dyDescent="0.25">
      <c r="A4630" s="2352" t="s">
        <v>17968</v>
      </c>
      <c r="B4630" s="2352" t="s">
        <v>17835</v>
      </c>
      <c r="C4630" s="2352" t="s">
        <v>17835</v>
      </c>
      <c r="D4630" s="2352" t="s">
        <v>17971</v>
      </c>
      <c r="E4630" s="355" t="s">
        <v>17096</v>
      </c>
      <c r="F4630" s="1662">
        <v>350</v>
      </c>
    </row>
    <row r="4631" spans="1:6" ht="15" customHeight="1" x14ac:dyDescent="0.25">
      <c r="A4631" s="2352" t="s">
        <v>17972</v>
      </c>
      <c r="B4631" s="2352" t="s">
        <v>17835</v>
      </c>
      <c r="C4631" s="2352" t="s">
        <v>17835</v>
      </c>
      <c r="D4631" s="2352" t="s">
        <v>17973</v>
      </c>
      <c r="E4631" s="355" t="s">
        <v>17100</v>
      </c>
      <c r="F4631" s="1662">
        <v>0</v>
      </c>
    </row>
    <row r="4632" spans="1:6" ht="15" customHeight="1" x14ac:dyDescent="0.25">
      <c r="A4632" s="2352" t="s">
        <v>17974</v>
      </c>
      <c r="B4632" s="2352" t="s">
        <v>17835</v>
      </c>
      <c r="C4632" s="2352" t="s">
        <v>17835</v>
      </c>
      <c r="D4632" s="2352" t="s">
        <v>17975</v>
      </c>
      <c r="E4632" s="355" t="s">
        <v>17099</v>
      </c>
      <c r="F4632" s="1662">
        <v>25</v>
      </c>
    </row>
    <row r="4633" spans="1:6" ht="15" customHeight="1" x14ac:dyDescent="0.25">
      <c r="A4633" s="2352" t="s">
        <v>17974</v>
      </c>
      <c r="B4633" s="2352" t="s">
        <v>17835</v>
      </c>
      <c r="C4633" s="2352" t="s">
        <v>17835</v>
      </c>
      <c r="D4633" s="2352" t="s">
        <v>17976</v>
      </c>
      <c r="E4633" s="355" t="s">
        <v>17097</v>
      </c>
      <c r="F4633" s="1662">
        <v>15</v>
      </c>
    </row>
    <row r="4634" spans="1:6" ht="15" customHeight="1" x14ac:dyDescent="0.25">
      <c r="A4634" s="2352" t="s">
        <v>17974</v>
      </c>
      <c r="B4634" s="2352" t="s">
        <v>17835</v>
      </c>
      <c r="C4634" s="2352" t="s">
        <v>17835</v>
      </c>
      <c r="D4634" s="2352" t="s">
        <v>17977</v>
      </c>
      <c r="E4634" s="355" t="s">
        <v>17100</v>
      </c>
      <c r="F4634" s="1662">
        <v>3</v>
      </c>
    </row>
    <row r="4635" spans="1:6" ht="15" customHeight="1" x14ac:dyDescent="0.25">
      <c r="A4635" s="2352" t="s">
        <v>17978</v>
      </c>
      <c r="B4635" s="2352" t="s">
        <v>17835</v>
      </c>
      <c r="C4635" s="2352" t="s">
        <v>17835</v>
      </c>
      <c r="D4635" s="2352" t="s">
        <v>17979</v>
      </c>
      <c r="E4635" s="355" t="s">
        <v>17102</v>
      </c>
      <c r="F4635" s="1662">
        <v>60</v>
      </c>
    </row>
    <row r="4636" spans="1:6" ht="15" customHeight="1" x14ac:dyDescent="0.25">
      <c r="A4636" s="2352" t="s">
        <v>17978</v>
      </c>
      <c r="B4636" s="2352" t="s">
        <v>17835</v>
      </c>
      <c r="C4636" s="2352" t="s">
        <v>17835</v>
      </c>
      <c r="D4636" s="2352" t="s">
        <v>17980</v>
      </c>
      <c r="E4636" s="355" t="s">
        <v>17103</v>
      </c>
      <c r="F4636" s="1662">
        <v>5</v>
      </c>
    </row>
    <row r="4637" spans="1:6" ht="15" customHeight="1" x14ac:dyDescent="0.25">
      <c r="A4637" s="2352" t="s">
        <v>17978</v>
      </c>
      <c r="B4637" s="2352" t="s">
        <v>17835</v>
      </c>
      <c r="C4637" s="2352" t="s">
        <v>17835</v>
      </c>
      <c r="D4637" s="2352" t="s">
        <v>17981</v>
      </c>
      <c r="E4637" s="355" t="s">
        <v>17103</v>
      </c>
      <c r="F4637" s="1662">
        <v>10</v>
      </c>
    </row>
    <row r="4638" spans="1:6" ht="15" customHeight="1" x14ac:dyDescent="0.25">
      <c r="A4638" s="2352" t="s">
        <v>17982</v>
      </c>
      <c r="B4638" s="2352" t="s">
        <v>17835</v>
      </c>
      <c r="C4638" s="2352" t="s">
        <v>17835</v>
      </c>
      <c r="D4638" s="2352" t="s">
        <v>17983</v>
      </c>
      <c r="E4638" s="355" t="s">
        <v>17104</v>
      </c>
      <c r="F4638" s="1662">
        <v>20</v>
      </c>
    </row>
    <row r="4639" spans="1:6" ht="15" customHeight="1" x14ac:dyDescent="0.25">
      <c r="A4639" s="2352" t="s">
        <v>17984</v>
      </c>
      <c r="B4639" s="2352" t="s">
        <v>17835</v>
      </c>
      <c r="C4639" s="2352" t="s">
        <v>17835</v>
      </c>
      <c r="D4639" s="2352" t="s">
        <v>17985</v>
      </c>
      <c r="E4639" s="355" t="s">
        <v>17096</v>
      </c>
      <c r="F4639" s="1662">
        <v>350</v>
      </c>
    </row>
    <row r="4640" spans="1:6" ht="15" customHeight="1" x14ac:dyDescent="0.25">
      <c r="A4640" s="2352" t="s">
        <v>17984</v>
      </c>
      <c r="B4640" s="2352" t="s">
        <v>17835</v>
      </c>
      <c r="C4640" s="2352" t="s">
        <v>17835</v>
      </c>
      <c r="D4640" s="2352" t="s">
        <v>17986</v>
      </c>
      <c r="E4640" s="355" t="s">
        <v>17099</v>
      </c>
      <c r="F4640" s="1662">
        <v>20</v>
      </c>
    </row>
    <row r="4641" spans="1:6" ht="15" customHeight="1" x14ac:dyDescent="0.25">
      <c r="A4641" s="2352" t="s">
        <v>17987</v>
      </c>
      <c r="B4641" s="2352" t="s">
        <v>17835</v>
      </c>
      <c r="C4641" s="2352" t="s">
        <v>17835</v>
      </c>
      <c r="D4641" s="2352" t="s">
        <v>17988</v>
      </c>
      <c r="E4641" s="355" t="s">
        <v>17100</v>
      </c>
      <c r="F4641" s="1662">
        <v>5</v>
      </c>
    </row>
    <row r="4642" spans="1:6" ht="15" customHeight="1" x14ac:dyDescent="0.25">
      <c r="A4642" s="2352" t="s">
        <v>17989</v>
      </c>
      <c r="B4642" s="2352" t="s">
        <v>17835</v>
      </c>
      <c r="C4642" s="2352" t="s">
        <v>17835</v>
      </c>
      <c r="D4642" s="2352" t="s">
        <v>17990</v>
      </c>
      <c r="E4642" s="355" t="s">
        <v>17100</v>
      </c>
      <c r="F4642" s="1662">
        <v>5</v>
      </c>
    </row>
    <row r="4643" spans="1:6" ht="15" customHeight="1" x14ac:dyDescent="0.25">
      <c r="A4643" s="2352" t="s">
        <v>17991</v>
      </c>
      <c r="B4643" s="2352" t="s">
        <v>17835</v>
      </c>
      <c r="C4643" s="2352" t="s">
        <v>17835</v>
      </c>
      <c r="D4643" s="2352" t="s">
        <v>17992</v>
      </c>
      <c r="E4643" s="355" t="s">
        <v>17105</v>
      </c>
      <c r="F4643" s="1662">
        <v>40</v>
      </c>
    </row>
    <row r="4644" spans="1:6" ht="15" customHeight="1" x14ac:dyDescent="0.25">
      <c r="A4644" s="2352" t="s">
        <v>17991</v>
      </c>
      <c r="B4644" s="2352" t="s">
        <v>17835</v>
      </c>
      <c r="C4644" s="2352" t="s">
        <v>17835</v>
      </c>
      <c r="D4644" s="2352" t="s">
        <v>17993</v>
      </c>
      <c r="E4644" s="355" t="s">
        <v>17102</v>
      </c>
      <c r="F4644" s="1662">
        <v>80</v>
      </c>
    </row>
    <row r="4645" spans="1:6" ht="15" customHeight="1" x14ac:dyDescent="0.25">
      <c r="A4645" s="2352" t="s">
        <v>17991</v>
      </c>
      <c r="B4645" s="2352" t="s">
        <v>17835</v>
      </c>
      <c r="C4645" s="2352" t="s">
        <v>17835</v>
      </c>
      <c r="D4645" s="2352" t="s">
        <v>17994</v>
      </c>
      <c r="E4645" s="355" t="s">
        <v>17095</v>
      </c>
      <c r="F4645" s="1662">
        <v>200</v>
      </c>
    </row>
    <row r="4646" spans="1:6" ht="15" customHeight="1" x14ac:dyDescent="0.25">
      <c r="A4646" s="2352" t="s">
        <v>17991</v>
      </c>
      <c r="B4646" s="2352" t="s">
        <v>17835</v>
      </c>
      <c r="C4646" s="2352" t="s">
        <v>17835</v>
      </c>
      <c r="D4646" s="2352" t="s">
        <v>17995</v>
      </c>
      <c r="E4646" s="355" t="s">
        <v>17099</v>
      </c>
      <c r="F4646" s="1662">
        <v>20</v>
      </c>
    </row>
    <row r="4647" spans="1:6" ht="15" customHeight="1" x14ac:dyDescent="0.25">
      <c r="A4647" s="2352" t="s">
        <v>17996</v>
      </c>
      <c r="B4647" s="2352" t="s">
        <v>17835</v>
      </c>
      <c r="C4647" s="2352" t="s">
        <v>17835</v>
      </c>
      <c r="D4647" s="2352" t="s">
        <v>17997</v>
      </c>
      <c r="E4647" s="355" t="s">
        <v>17104</v>
      </c>
      <c r="F4647" s="1662">
        <v>10</v>
      </c>
    </row>
    <row r="4648" spans="1:6" ht="15" customHeight="1" x14ac:dyDescent="0.25">
      <c r="A4648" s="2352" t="s">
        <v>17998</v>
      </c>
      <c r="B4648" s="2352" t="s">
        <v>17835</v>
      </c>
      <c r="C4648" s="2352" t="s">
        <v>17835</v>
      </c>
      <c r="D4648" s="2352" t="s">
        <v>17999</v>
      </c>
      <c r="E4648" s="355" t="s">
        <v>17100</v>
      </c>
      <c r="F4648" s="1662">
        <v>5</v>
      </c>
    </row>
    <row r="4649" spans="1:6" ht="15" customHeight="1" x14ac:dyDescent="0.25">
      <c r="A4649" s="2352" t="s">
        <v>18000</v>
      </c>
      <c r="B4649" s="2352" t="s">
        <v>17835</v>
      </c>
      <c r="C4649" s="2352" t="s">
        <v>17835</v>
      </c>
      <c r="D4649" s="2352" t="s">
        <v>18001</v>
      </c>
      <c r="E4649" s="355" t="s">
        <v>17104</v>
      </c>
      <c r="F4649" s="1662">
        <v>15</v>
      </c>
    </row>
    <row r="4650" spans="1:6" ht="15" customHeight="1" x14ac:dyDescent="0.25">
      <c r="A4650" s="2352" t="s">
        <v>18002</v>
      </c>
      <c r="B4650" s="2352" t="s">
        <v>17835</v>
      </c>
      <c r="C4650" s="2352" t="s">
        <v>17835</v>
      </c>
      <c r="D4650" s="2352" t="s">
        <v>18003</v>
      </c>
      <c r="E4650" s="355" t="s">
        <v>17100</v>
      </c>
      <c r="F4650" s="1662">
        <v>5</v>
      </c>
    </row>
    <row r="4651" spans="1:6" ht="15" customHeight="1" x14ac:dyDescent="0.25">
      <c r="A4651" s="2352" t="s">
        <v>18004</v>
      </c>
      <c r="B4651" s="2352" t="s">
        <v>17835</v>
      </c>
      <c r="C4651" s="2352" t="s">
        <v>17835</v>
      </c>
      <c r="D4651" s="2352" t="s">
        <v>18005</v>
      </c>
      <c r="E4651" s="355" t="s">
        <v>17100</v>
      </c>
      <c r="F4651" s="1662">
        <v>5</v>
      </c>
    </row>
    <row r="4652" spans="1:6" ht="15" customHeight="1" x14ac:dyDescent="0.25">
      <c r="A4652" s="2352" t="s">
        <v>18006</v>
      </c>
      <c r="B4652" s="2352" t="s">
        <v>17835</v>
      </c>
      <c r="C4652" s="2352" t="s">
        <v>17835</v>
      </c>
      <c r="D4652" s="2352" t="s">
        <v>18007</v>
      </c>
      <c r="E4652" s="355" t="s">
        <v>17099</v>
      </c>
      <c r="F4652" s="1662">
        <v>50</v>
      </c>
    </row>
    <row r="4653" spans="1:6" ht="15" customHeight="1" x14ac:dyDescent="0.25">
      <c r="A4653" s="2352" t="s">
        <v>18008</v>
      </c>
      <c r="B4653" s="2352" t="s">
        <v>17835</v>
      </c>
      <c r="C4653" s="2352" t="s">
        <v>17835</v>
      </c>
      <c r="D4653" s="2352" t="s">
        <v>18009</v>
      </c>
      <c r="E4653" s="355" t="s">
        <v>17105</v>
      </c>
      <c r="F4653" s="1662">
        <v>10</v>
      </c>
    </row>
    <row r="4654" spans="1:6" ht="15" customHeight="1" x14ac:dyDescent="0.25">
      <c r="A4654" s="2352" t="s">
        <v>18010</v>
      </c>
      <c r="B4654" s="2352" t="s">
        <v>17835</v>
      </c>
      <c r="C4654" s="2352" t="s">
        <v>17835</v>
      </c>
      <c r="D4654" s="2352" t="s">
        <v>18011</v>
      </c>
      <c r="E4654" s="355" t="s">
        <v>17100</v>
      </c>
      <c r="F4654" s="1662">
        <v>5</v>
      </c>
    </row>
    <row r="4655" spans="1:6" ht="15" customHeight="1" x14ac:dyDescent="0.25">
      <c r="A4655" s="2352" t="s">
        <v>17991</v>
      </c>
      <c r="B4655" s="2352" t="s">
        <v>17835</v>
      </c>
      <c r="C4655" s="2352" t="s">
        <v>17835</v>
      </c>
      <c r="D4655" s="2352" t="s">
        <v>18012</v>
      </c>
      <c r="E4655" s="355" t="s">
        <v>17103</v>
      </c>
      <c r="F4655" s="1662">
        <v>10</v>
      </c>
    </row>
    <row r="4656" spans="1:6" ht="15" customHeight="1" x14ac:dyDescent="0.25">
      <c r="A4656" s="2352" t="s">
        <v>18013</v>
      </c>
      <c r="B4656" s="2352" t="s">
        <v>17835</v>
      </c>
      <c r="C4656" s="2352" t="s">
        <v>17835</v>
      </c>
      <c r="D4656" s="2352" t="s">
        <v>18014</v>
      </c>
      <c r="E4656" s="355" t="s">
        <v>17097</v>
      </c>
      <c r="F4656" s="1662">
        <v>8</v>
      </c>
    </row>
    <row r="4657" spans="1:6" ht="15" customHeight="1" x14ac:dyDescent="0.25">
      <c r="A4657" s="2352" t="s">
        <v>18015</v>
      </c>
      <c r="B4657" s="2352" t="s">
        <v>17835</v>
      </c>
      <c r="C4657" s="2352" t="s">
        <v>17835</v>
      </c>
      <c r="D4657" s="2352" t="s">
        <v>18016</v>
      </c>
      <c r="E4657" s="355" t="s">
        <v>17105</v>
      </c>
      <c r="F4657" s="1662">
        <v>5</v>
      </c>
    </row>
    <row r="4658" spans="1:6" ht="15" customHeight="1" x14ac:dyDescent="0.25">
      <c r="A4658" s="2352" t="s">
        <v>18017</v>
      </c>
      <c r="B4658" s="2352" t="s">
        <v>17835</v>
      </c>
      <c r="C4658" s="2352" t="s">
        <v>17835</v>
      </c>
      <c r="D4658" s="2352" t="s">
        <v>18018</v>
      </c>
      <c r="E4658" s="355" t="s">
        <v>17095</v>
      </c>
      <c r="F4658" s="1662">
        <v>150</v>
      </c>
    </row>
    <row r="4659" spans="1:6" ht="15" customHeight="1" x14ac:dyDescent="0.25">
      <c r="A4659" s="2352" t="s">
        <v>18017</v>
      </c>
      <c r="B4659" s="2352" t="s">
        <v>17835</v>
      </c>
      <c r="C4659" s="2352" t="s">
        <v>17835</v>
      </c>
      <c r="D4659" s="2352" t="s">
        <v>18019</v>
      </c>
      <c r="E4659" s="355" t="s">
        <v>17096</v>
      </c>
      <c r="F4659" s="1662">
        <v>210</v>
      </c>
    </row>
    <row r="4660" spans="1:6" ht="15" customHeight="1" x14ac:dyDescent="0.25">
      <c r="A4660" s="2352" t="s">
        <v>18020</v>
      </c>
      <c r="B4660" s="2352" t="s">
        <v>17835</v>
      </c>
      <c r="C4660" s="2352" t="s">
        <v>17835</v>
      </c>
      <c r="D4660" s="2352" t="s">
        <v>18021</v>
      </c>
      <c r="E4660" s="355" t="s">
        <v>17095</v>
      </c>
      <c r="F4660" s="1662">
        <v>100</v>
      </c>
    </row>
    <row r="4661" spans="1:6" ht="15" customHeight="1" x14ac:dyDescent="0.25">
      <c r="A4661" s="2352" t="s">
        <v>18022</v>
      </c>
      <c r="B4661" s="2352" t="s">
        <v>17835</v>
      </c>
      <c r="C4661" s="2352" t="s">
        <v>17835</v>
      </c>
      <c r="D4661" s="2352" t="s">
        <v>18023</v>
      </c>
      <c r="E4661" s="355" t="s">
        <v>17111</v>
      </c>
      <c r="F4661" s="1662">
        <v>10</v>
      </c>
    </row>
    <row r="4662" spans="1:6" ht="15" customHeight="1" x14ac:dyDescent="0.25">
      <c r="A4662" s="2352" t="s">
        <v>18024</v>
      </c>
      <c r="B4662" s="2352" t="s">
        <v>17835</v>
      </c>
      <c r="C4662" s="2352" t="s">
        <v>17835</v>
      </c>
      <c r="D4662" s="2352" t="s">
        <v>18025</v>
      </c>
      <c r="E4662" s="355" t="s">
        <v>17097</v>
      </c>
      <c r="F4662" s="1662">
        <v>12</v>
      </c>
    </row>
    <row r="4663" spans="1:6" ht="15" customHeight="1" x14ac:dyDescent="0.25">
      <c r="A4663" s="2352" t="s">
        <v>18024</v>
      </c>
      <c r="B4663" s="2352" t="s">
        <v>17835</v>
      </c>
      <c r="C4663" s="2352" t="s">
        <v>17835</v>
      </c>
      <c r="D4663" s="2352" t="s">
        <v>18026</v>
      </c>
      <c r="E4663" s="355" t="s">
        <v>17095</v>
      </c>
      <c r="F4663" s="1662">
        <v>100</v>
      </c>
    </row>
    <row r="4664" spans="1:6" ht="15" customHeight="1" x14ac:dyDescent="0.25">
      <c r="A4664" s="2352" t="s">
        <v>18024</v>
      </c>
      <c r="B4664" s="2352" t="s">
        <v>17835</v>
      </c>
      <c r="C4664" s="2352" t="s">
        <v>17835</v>
      </c>
      <c r="D4664" s="2352" t="s">
        <v>18027</v>
      </c>
      <c r="E4664" s="355" t="s">
        <v>17099</v>
      </c>
      <c r="F4664" s="1662">
        <v>30</v>
      </c>
    </row>
    <row r="4665" spans="1:6" ht="15" customHeight="1" x14ac:dyDescent="0.25">
      <c r="A4665" s="2352" t="s">
        <v>18024</v>
      </c>
      <c r="B4665" s="2352" t="s">
        <v>17835</v>
      </c>
      <c r="C4665" s="2352" t="s">
        <v>17835</v>
      </c>
      <c r="D4665" s="2352" t="s">
        <v>18028</v>
      </c>
      <c r="E4665" s="355" t="s">
        <v>17102</v>
      </c>
      <c r="F4665" s="1662">
        <v>30</v>
      </c>
    </row>
    <row r="4666" spans="1:6" ht="15" customHeight="1" x14ac:dyDescent="0.25">
      <c r="A4666" s="2352" t="s">
        <v>18024</v>
      </c>
      <c r="B4666" s="2352" t="s">
        <v>17835</v>
      </c>
      <c r="C4666" s="2352" t="s">
        <v>17835</v>
      </c>
      <c r="D4666" s="2352" t="s">
        <v>18029</v>
      </c>
      <c r="E4666" s="355" t="s">
        <v>17099</v>
      </c>
      <c r="F4666" s="1662">
        <v>60</v>
      </c>
    </row>
    <row r="4667" spans="1:6" ht="15" customHeight="1" x14ac:dyDescent="0.25">
      <c r="A4667" s="2352" t="s">
        <v>18030</v>
      </c>
      <c r="B4667" s="2352" t="s">
        <v>17835</v>
      </c>
      <c r="C4667" s="2352" t="s">
        <v>17835</v>
      </c>
      <c r="D4667" s="2352" t="s">
        <v>18031</v>
      </c>
      <c r="E4667" s="355" t="s">
        <v>17100</v>
      </c>
      <c r="F4667" s="1662">
        <v>2</v>
      </c>
    </row>
    <row r="4668" spans="1:6" ht="15" customHeight="1" x14ac:dyDescent="0.25">
      <c r="A4668" s="2352" t="s">
        <v>18024</v>
      </c>
      <c r="B4668" s="2352" t="s">
        <v>17835</v>
      </c>
      <c r="C4668" s="2352" t="s">
        <v>17835</v>
      </c>
      <c r="D4668" s="2352" t="s">
        <v>18032</v>
      </c>
      <c r="E4668" s="355" t="s">
        <v>17102</v>
      </c>
      <c r="F4668" s="1662">
        <v>120</v>
      </c>
    </row>
    <row r="4669" spans="1:6" ht="15" customHeight="1" x14ac:dyDescent="0.25">
      <c r="A4669" s="2352" t="s">
        <v>18033</v>
      </c>
      <c r="B4669" s="2352" t="s">
        <v>17835</v>
      </c>
      <c r="C4669" s="2352" t="s">
        <v>17835</v>
      </c>
      <c r="D4669" s="2352" t="s">
        <v>18034</v>
      </c>
      <c r="E4669" s="355" t="s">
        <v>17099</v>
      </c>
      <c r="F4669" s="1662">
        <v>25</v>
      </c>
    </row>
    <row r="4670" spans="1:6" ht="15" customHeight="1" x14ac:dyDescent="0.25">
      <c r="A4670" s="2352" t="s">
        <v>18033</v>
      </c>
      <c r="B4670" s="2352" t="s">
        <v>17835</v>
      </c>
      <c r="C4670" s="2352" t="s">
        <v>17835</v>
      </c>
      <c r="D4670" s="2352" t="s">
        <v>18035</v>
      </c>
      <c r="E4670" s="355" t="s">
        <v>17099</v>
      </c>
      <c r="F4670" s="1662">
        <v>60</v>
      </c>
    </row>
    <row r="4671" spans="1:6" ht="15" customHeight="1" x14ac:dyDescent="0.25">
      <c r="A4671" s="2352" t="s">
        <v>18036</v>
      </c>
      <c r="B4671" s="2352" t="s">
        <v>17835</v>
      </c>
      <c r="C4671" s="2352" t="s">
        <v>17835</v>
      </c>
      <c r="D4671" s="2352" t="s">
        <v>18037</v>
      </c>
      <c r="E4671" s="355" t="s">
        <v>17104</v>
      </c>
      <c r="F4671" s="1662">
        <v>15</v>
      </c>
    </row>
    <row r="4672" spans="1:6" ht="15" customHeight="1" x14ac:dyDescent="0.25">
      <c r="A4672" s="2352" t="s">
        <v>18038</v>
      </c>
      <c r="B4672" s="2352" t="s">
        <v>17835</v>
      </c>
      <c r="C4672" s="2352" t="s">
        <v>17835</v>
      </c>
      <c r="D4672" s="2352" t="s">
        <v>18039</v>
      </c>
      <c r="E4672" s="355" t="s">
        <v>17099</v>
      </c>
      <c r="F4672" s="1662">
        <v>60</v>
      </c>
    </row>
    <row r="4673" spans="1:6" ht="15" customHeight="1" x14ac:dyDescent="0.25">
      <c r="A4673" s="2352" t="s">
        <v>18038</v>
      </c>
      <c r="B4673" s="2352" t="s">
        <v>17835</v>
      </c>
      <c r="C4673" s="2352" t="s">
        <v>17835</v>
      </c>
      <c r="D4673" s="2352" t="s">
        <v>18040</v>
      </c>
      <c r="E4673" s="355" t="s">
        <v>17099</v>
      </c>
      <c r="F4673" s="1662">
        <v>25</v>
      </c>
    </row>
    <row r="4674" spans="1:6" ht="15" customHeight="1" x14ac:dyDescent="0.25">
      <c r="A4674" s="2352" t="s">
        <v>18041</v>
      </c>
      <c r="B4674" s="2352" t="s">
        <v>17835</v>
      </c>
      <c r="C4674" s="2352" t="s">
        <v>17835</v>
      </c>
      <c r="D4674" s="2352" t="s">
        <v>18042</v>
      </c>
      <c r="E4674" s="355" t="s">
        <v>17103</v>
      </c>
      <c r="F4674" s="1662">
        <v>10</v>
      </c>
    </row>
    <row r="4675" spans="1:6" ht="15" customHeight="1" x14ac:dyDescent="0.25">
      <c r="A4675" s="2352" t="s">
        <v>18043</v>
      </c>
      <c r="B4675" s="2352" t="s">
        <v>17835</v>
      </c>
      <c r="C4675" s="2352" t="s">
        <v>17835</v>
      </c>
      <c r="D4675" s="2352" t="s">
        <v>18044</v>
      </c>
      <c r="E4675" s="355" t="s">
        <v>17102</v>
      </c>
      <c r="F4675" s="1662">
        <v>50</v>
      </c>
    </row>
    <row r="4676" spans="1:6" ht="15" customHeight="1" x14ac:dyDescent="0.25">
      <c r="A4676" s="2352" t="s">
        <v>18043</v>
      </c>
      <c r="B4676" s="2352" t="s">
        <v>17835</v>
      </c>
      <c r="C4676" s="2352" t="s">
        <v>17835</v>
      </c>
      <c r="D4676" s="2352" t="s">
        <v>18045</v>
      </c>
      <c r="E4676" s="355" t="s">
        <v>17097</v>
      </c>
      <c r="F4676" s="1662">
        <v>10</v>
      </c>
    </row>
    <row r="4677" spans="1:6" ht="15" customHeight="1" x14ac:dyDescent="0.25">
      <c r="A4677" s="2352" t="s">
        <v>18046</v>
      </c>
      <c r="B4677" s="2352" t="s">
        <v>17835</v>
      </c>
      <c r="C4677" s="2352" t="s">
        <v>17835</v>
      </c>
      <c r="D4677" s="2352" t="s">
        <v>18047</v>
      </c>
      <c r="E4677" s="355" t="s">
        <v>17105</v>
      </c>
      <c r="F4677" s="1662">
        <v>35</v>
      </c>
    </row>
    <row r="4678" spans="1:6" ht="15" customHeight="1" x14ac:dyDescent="0.25">
      <c r="A4678" s="2352" t="s">
        <v>18048</v>
      </c>
      <c r="B4678" s="2352" t="s">
        <v>17835</v>
      </c>
      <c r="C4678" s="2352" t="s">
        <v>17835</v>
      </c>
      <c r="D4678" s="2352" t="s">
        <v>18049</v>
      </c>
      <c r="E4678" s="355" t="s">
        <v>17103</v>
      </c>
      <c r="F4678" s="1662">
        <v>15</v>
      </c>
    </row>
    <row r="4679" spans="1:6" ht="15" customHeight="1" x14ac:dyDescent="0.25">
      <c r="A4679" s="2352" t="s">
        <v>18050</v>
      </c>
      <c r="B4679" s="2352" t="s">
        <v>17835</v>
      </c>
      <c r="C4679" s="2352" t="s">
        <v>17835</v>
      </c>
      <c r="D4679" s="2352" t="s">
        <v>18051</v>
      </c>
      <c r="E4679" s="355" t="s">
        <v>17104</v>
      </c>
      <c r="F4679" s="1662">
        <v>15</v>
      </c>
    </row>
    <row r="4680" spans="1:6" ht="15" customHeight="1" x14ac:dyDescent="0.25">
      <c r="A4680" s="2352" t="s">
        <v>18052</v>
      </c>
      <c r="B4680" s="2352" t="s">
        <v>17835</v>
      </c>
      <c r="C4680" s="2352" t="s">
        <v>17835</v>
      </c>
      <c r="D4680" s="2352" t="s">
        <v>18053</v>
      </c>
      <c r="E4680" s="355" t="s">
        <v>17104</v>
      </c>
      <c r="F4680" s="1662">
        <v>10</v>
      </c>
    </row>
    <row r="4681" spans="1:6" ht="15" customHeight="1" x14ac:dyDescent="0.25">
      <c r="A4681" s="2352" t="s">
        <v>18054</v>
      </c>
      <c r="B4681" s="2352" t="s">
        <v>17835</v>
      </c>
      <c r="C4681" s="2352" t="s">
        <v>17835</v>
      </c>
      <c r="D4681" s="2352" t="s">
        <v>18055</v>
      </c>
      <c r="E4681" s="355" t="s">
        <v>17097</v>
      </c>
      <c r="F4681" s="1662">
        <v>50</v>
      </c>
    </row>
    <row r="4682" spans="1:6" ht="15" customHeight="1" x14ac:dyDescent="0.25">
      <c r="A4682" s="2352" t="s">
        <v>18056</v>
      </c>
      <c r="B4682" s="2352" t="s">
        <v>17835</v>
      </c>
      <c r="C4682" s="2352" t="s">
        <v>17835</v>
      </c>
      <c r="D4682" s="2352" t="s">
        <v>18057</v>
      </c>
      <c r="E4682" s="355" t="s">
        <v>17100</v>
      </c>
      <c r="F4682" s="1662">
        <v>0</v>
      </c>
    </row>
    <row r="4683" spans="1:6" ht="15" customHeight="1" x14ac:dyDescent="0.25">
      <c r="A4683" s="2352" t="s">
        <v>18058</v>
      </c>
      <c r="B4683" s="2352" t="s">
        <v>17835</v>
      </c>
      <c r="C4683" s="2352" t="s">
        <v>17835</v>
      </c>
      <c r="D4683" s="2352" t="s">
        <v>18059</v>
      </c>
      <c r="E4683" s="355" t="s">
        <v>17100</v>
      </c>
      <c r="F4683" s="1662">
        <v>0</v>
      </c>
    </row>
    <row r="4684" spans="1:6" ht="15" customHeight="1" x14ac:dyDescent="0.25">
      <c r="A4684" s="2352" t="s">
        <v>18060</v>
      </c>
      <c r="B4684" s="2352" t="s">
        <v>17835</v>
      </c>
      <c r="C4684" s="2352" t="s">
        <v>17835</v>
      </c>
      <c r="D4684" s="2352" t="s">
        <v>9133</v>
      </c>
      <c r="E4684" s="355" t="s">
        <v>17103</v>
      </c>
      <c r="F4684" s="1662">
        <v>15</v>
      </c>
    </row>
    <row r="4685" spans="1:6" ht="15" customHeight="1" x14ac:dyDescent="0.25">
      <c r="A4685" s="2352" t="s">
        <v>18061</v>
      </c>
      <c r="B4685" s="2352" t="s">
        <v>17835</v>
      </c>
      <c r="C4685" s="2352" t="s">
        <v>17835</v>
      </c>
      <c r="D4685" s="2352" t="s">
        <v>18062</v>
      </c>
      <c r="E4685" s="355" t="s">
        <v>17099</v>
      </c>
      <c r="F4685" s="1662">
        <v>0</v>
      </c>
    </row>
    <row r="4686" spans="1:6" ht="15" customHeight="1" x14ac:dyDescent="0.25">
      <c r="A4686" s="2352" t="s">
        <v>18063</v>
      </c>
      <c r="B4686" s="2352" t="s">
        <v>17835</v>
      </c>
      <c r="C4686" s="2352" t="s">
        <v>17835</v>
      </c>
      <c r="D4686" s="2352" t="s">
        <v>18064</v>
      </c>
      <c r="E4686" s="355" t="s">
        <v>17099</v>
      </c>
      <c r="F4686" s="1662">
        <v>30</v>
      </c>
    </row>
    <row r="4687" spans="1:6" ht="15" customHeight="1" x14ac:dyDescent="0.25">
      <c r="A4687" s="2352" t="s">
        <v>18065</v>
      </c>
      <c r="B4687" s="2352" t="s">
        <v>17835</v>
      </c>
      <c r="C4687" s="2352" t="s">
        <v>17835</v>
      </c>
      <c r="D4687" s="2352" t="s">
        <v>18066</v>
      </c>
      <c r="E4687" s="355" t="s">
        <v>17097</v>
      </c>
      <c r="F4687" s="1662">
        <v>13</v>
      </c>
    </row>
    <row r="4688" spans="1:6" ht="15" customHeight="1" x14ac:dyDescent="0.25">
      <c r="A4688" s="2352" t="s">
        <v>18067</v>
      </c>
      <c r="B4688" s="2352" t="s">
        <v>17835</v>
      </c>
      <c r="C4688" s="2352" t="s">
        <v>17835</v>
      </c>
      <c r="D4688" s="2352" t="s">
        <v>18068</v>
      </c>
      <c r="E4688" s="355" t="s">
        <v>17104</v>
      </c>
      <c r="F4688" s="1662">
        <v>10</v>
      </c>
    </row>
    <row r="4689" spans="1:6" ht="15" customHeight="1" x14ac:dyDescent="0.25">
      <c r="A4689" s="2352" t="s">
        <v>18069</v>
      </c>
      <c r="B4689" s="2352" t="s">
        <v>17835</v>
      </c>
      <c r="C4689" s="2352" t="s">
        <v>17835</v>
      </c>
      <c r="D4689" s="2352" t="s">
        <v>18070</v>
      </c>
      <c r="E4689" s="355" t="s">
        <v>17105</v>
      </c>
      <c r="F4689" s="1662">
        <v>15</v>
      </c>
    </row>
    <row r="4690" spans="1:6" ht="15" customHeight="1" x14ac:dyDescent="0.25">
      <c r="A4690" s="2352" t="s">
        <v>18071</v>
      </c>
      <c r="B4690" s="2352" t="s">
        <v>17835</v>
      </c>
      <c r="C4690" s="2352" t="s">
        <v>17835</v>
      </c>
      <c r="D4690" s="2352" t="s">
        <v>18072</v>
      </c>
      <c r="E4690" s="355" t="s">
        <v>17100</v>
      </c>
      <c r="F4690" s="1662">
        <v>3</v>
      </c>
    </row>
    <row r="4691" spans="1:6" ht="15" customHeight="1" x14ac:dyDescent="0.25">
      <c r="A4691" s="2352" t="s">
        <v>18073</v>
      </c>
      <c r="B4691" s="2352" t="s">
        <v>17835</v>
      </c>
      <c r="C4691" s="2352" t="s">
        <v>17835</v>
      </c>
      <c r="D4691" s="2352" t="s">
        <v>18074</v>
      </c>
      <c r="E4691" s="355" t="s">
        <v>17100</v>
      </c>
      <c r="F4691" s="1662">
        <v>3</v>
      </c>
    </row>
    <row r="4692" spans="1:6" ht="15" customHeight="1" x14ac:dyDescent="0.25">
      <c r="A4692" s="2352" t="s">
        <v>18075</v>
      </c>
      <c r="B4692" s="2352" t="s">
        <v>17835</v>
      </c>
      <c r="C4692" s="2352" t="s">
        <v>17835</v>
      </c>
      <c r="D4692" s="2352" t="s">
        <v>18076</v>
      </c>
      <c r="E4692" s="355" t="s">
        <v>17099</v>
      </c>
      <c r="F4692" s="1662">
        <v>20</v>
      </c>
    </row>
    <row r="4693" spans="1:6" ht="15" customHeight="1" x14ac:dyDescent="0.25">
      <c r="A4693" s="2352" t="s">
        <v>18075</v>
      </c>
      <c r="B4693" s="2352" t="s">
        <v>17835</v>
      </c>
      <c r="C4693" s="2352" t="s">
        <v>17835</v>
      </c>
      <c r="D4693" s="2352" t="s">
        <v>18077</v>
      </c>
      <c r="E4693" s="355" t="s">
        <v>17095</v>
      </c>
      <c r="F4693" s="1662">
        <v>200</v>
      </c>
    </row>
    <row r="4694" spans="1:6" ht="15" customHeight="1" x14ac:dyDescent="0.25">
      <c r="A4694" s="2352" t="s">
        <v>18078</v>
      </c>
      <c r="B4694" s="2352" t="s">
        <v>17835</v>
      </c>
      <c r="C4694" s="2352" t="s">
        <v>17835</v>
      </c>
      <c r="D4694" s="2352" t="s">
        <v>18079</v>
      </c>
      <c r="E4694" s="355" t="s">
        <v>17097</v>
      </c>
      <c r="F4694" s="1662">
        <v>10</v>
      </c>
    </row>
    <row r="4695" spans="1:6" ht="15" customHeight="1" x14ac:dyDescent="0.25">
      <c r="A4695" s="2352" t="s">
        <v>18080</v>
      </c>
      <c r="B4695" s="2352" t="s">
        <v>17835</v>
      </c>
      <c r="C4695" s="2352" t="s">
        <v>17835</v>
      </c>
      <c r="D4695" s="2352" t="s">
        <v>18081</v>
      </c>
      <c r="E4695" s="355" t="s">
        <v>17105</v>
      </c>
      <c r="F4695" s="1662">
        <v>30</v>
      </c>
    </row>
    <row r="4696" spans="1:6" ht="15" customHeight="1" x14ac:dyDescent="0.25">
      <c r="A4696" s="2352" t="s">
        <v>18082</v>
      </c>
      <c r="B4696" s="2352" t="s">
        <v>17835</v>
      </c>
      <c r="C4696" s="2352" t="s">
        <v>17835</v>
      </c>
      <c r="D4696" s="2352" t="s">
        <v>18083</v>
      </c>
      <c r="E4696" s="355" t="s">
        <v>17105</v>
      </c>
      <c r="F4696" s="1662">
        <v>20</v>
      </c>
    </row>
    <row r="4697" spans="1:6" ht="15" customHeight="1" x14ac:dyDescent="0.25">
      <c r="A4697" s="2352" t="s">
        <v>18084</v>
      </c>
      <c r="B4697" s="2352" t="s">
        <v>17835</v>
      </c>
      <c r="C4697" s="2352" t="s">
        <v>17835</v>
      </c>
      <c r="D4697" s="2352" t="s">
        <v>18085</v>
      </c>
      <c r="E4697" s="355" t="s">
        <v>17105</v>
      </c>
      <c r="F4697" s="1662">
        <v>10</v>
      </c>
    </row>
    <row r="4698" spans="1:6" ht="15" customHeight="1" x14ac:dyDescent="0.25">
      <c r="A4698" s="2352" t="s">
        <v>18086</v>
      </c>
      <c r="B4698" s="2352" t="s">
        <v>17835</v>
      </c>
      <c r="C4698" s="2352" t="s">
        <v>17835</v>
      </c>
      <c r="D4698" s="2352" t="s">
        <v>18087</v>
      </c>
      <c r="E4698" s="355" t="s">
        <v>17099</v>
      </c>
      <c r="F4698" s="1662">
        <v>40</v>
      </c>
    </row>
    <row r="4699" spans="1:6" ht="15" customHeight="1" x14ac:dyDescent="0.25">
      <c r="A4699" s="2352" t="s">
        <v>18088</v>
      </c>
      <c r="B4699" s="2352" t="s">
        <v>17835</v>
      </c>
      <c r="C4699" s="2352" t="s">
        <v>17835</v>
      </c>
      <c r="D4699" s="2352" t="s">
        <v>18089</v>
      </c>
      <c r="E4699" s="355" t="s">
        <v>17104</v>
      </c>
      <c r="F4699" s="1662">
        <v>0</v>
      </c>
    </row>
    <row r="4700" spans="1:6" ht="15" customHeight="1" x14ac:dyDescent="0.25">
      <c r="A4700" s="2352" t="s">
        <v>18090</v>
      </c>
      <c r="B4700" s="2352" t="s">
        <v>17835</v>
      </c>
      <c r="C4700" s="2352" t="s">
        <v>17835</v>
      </c>
      <c r="D4700" s="2352" t="s">
        <v>18091</v>
      </c>
      <c r="E4700" s="355" t="s">
        <v>17102</v>
      </c>
      <c r="F4700" s="1662">
        <v>60</v>
      </c>
    </row>
    <row r="4701" spans="1:6" ht="15" customHeight="1" x14ac:dyDescent="0.25">
      <c r="A4701" s="2352" t="s">
        <v>18092</v>
      </c>
      <c r="B4701" s="2352" t="s">
        <v>17835</v>
      </c>
      <c r="C4701" s="2352" t="s">
        <v>17835</v>
      </c>
      <c r="D4701" s="2352" t="s">
        <v>18093</v>
      </c>
      <c r="E4701" s="355" t="s">
        <v>17099</v>
      </c>
      <c r="F4701" s="1662">
        <v>60</v>
      </c>
    </row>
    <row r="4702" spans="1:6" ht="15" customHeight="1" x14ac:dyDescent="0.25">
      <c r="A4702" s="2352" t="s">
        <v>18092</v>
      </c>
      <c r="B4702" s="2352" t="s">
        <v>17835</v>
      </c>
      <c r="C4702" s="2352" t="s">
        <v>17835</v>
      </c>
      <c r="D4702" s="2352" t="s">
        <v>18094</v>
      </c>
      <c r="E4702" s="355" t="s">
        <v>17095</v>
      </c>
      <c r="F4702" s="1662">
        <v>80</v>
      </c>
    </row>
    <row r="4703" spans="1:6" ht="15" customHeight="1" x14ac:dyDescent="0.25">
      <c r="A4703" s="2352" t="s">
        <v>20102</v>
      </c>
      <c r="B4703" s="2352" t="s">
        <v>13665</v>
      </c>
      <c r="C4703" s="2352" t="s">
        <v>13665</v>
      </c>
      <c r="D4703" s="2352" t="s">
        <v>13666</v>
      </c>
      <c r="E4703" s="355" t="s">
        <v>17104</v>
      </c>
      <c r="F4703" s="1662" t="s">
        <v>20103</v>
      </c>
    </row>
    <row r="4704" spans="1:6" ht="15" customHeight="1" x14ac:dyDescent="0.25">
      <c r="A4704" s="2352" t="s">
        <v>13667</v>
      </c>
      <c r="B4704" s="2352" t="s">
        <v>13665</v>
      </c>
      <c r="C4704" s="2352" t="s">
        <v>13665</v>
      </c>
      <c r="D4704" s="2352" t="s">
        <v>13668</v>
      </c>
      <c r="E4704" s="355" t="s">
        <v>17104</v>
      </c>
      <c r="F4704" s="1662" t="s">
        <v>3223</v>
      </c>
    </row>
    <row r="4705" spans="1:6" ht="15" customHeight="1" x14ac:dyDescent="0.25">
      <c r="A4705" s="2352" t="s">
        <v>13669</v>
      </c>
      <c r="B4705" s="2352" t="s">
        <v>13665</v>
      </c>
      <c r="C4705" s="2352" t="s">
        <v>13665</v>
      </c>
      <c r="D4705" s="2352" t="s">
        <v>13670</v>
      </c>
      <c r="E4705" s="355" t="s">
        <v>17104</v>
      </c>
      <c r="F4705" s="1662" t="s">
        <v>3652</v>
      </c>
    </row>
    <row r="4706" spans="1:6" ht="15" customHeight="1" x14ac:dyDescent="0.25">
      <c r="A4706" s="2352" t="s">
        <v>8644</v>
      </c>
      <c r="B4706" s="2352" t="s">
        <v>13665</v>
      </c>
      <c r="C4706" s="2352" t="s">
        <v>13665</v>
      </c>
      <c r="D4706" s="2352" t="s">
        <v>13671</v>
      </c>
      <c r="E4706" s="355" t="s">
        <v>17102</v>
      </c>
      <c r="F4706" s="1662" t="s">
        <v>20104</v>
      </c>
    </row>
    <row r="4707" spans="1:6" ht="15" customHeight="1" x14ac:dyDescent="0.25">
      <c r="A4707" s="2352" t="s">
        <v>8065</v>
      </c>
      <c r="B4707" s="2352" t="s">
        <v>13665</v>
      </c>
      <c r="C4707" s="2352" t="s">
        <v>13665</v>
      </c>
      <c r="D4707" s="2352" t="s">
        <v>13672</v>
      </c>
      <c r="E4707" s="355" t="s">
        <v>17100</v>
      </c>
      <c r="F4707" s="1662" t="s">
        <v>20105</v>
      </c>
    </row>
    <row r="4708" spans="1:6" ht="15" customHeight="1" x14ac:dyDescent="0.25">
      <c r="A4708" s="2352" t="s">
        <v>13673</v>
      </c>
      <c r="B4708" s="2352" t="s">
        <v>13665</v>
      </c>
      <c r="C4708" s="2352" t="s">
        <v>13665</v>
      </c>
      <c r="D4708" s="2352" t="s">
        <v>13674</v>
      </c>
      <c r="E4708" s="355" t="s">
        <v>17097</v>
      </c>
      <c r="F4708" s="1662" t="s">
        <v>3226</v>
      </c>
    </row>
    <row r="4709" spans="1:6" ht="15" customHeight="1" x14ac:dyDescent="0.25">
      <c r="A4709" s="2352" t="s">
        <v>4601</v>
      </c>
      <c r="B4709" s="2352" t="s">
        <v>13665</v>
      </c>
      <c r="C4709" s="2352" t="s">
        <v>13665</v>
      </c>
      <c r="D4709" s="2352" t="s">
        <v>13675</v>
      </c>
      <c r="E4709" s="355" t="s">
        <v>17102</v>
      </c>
      <c r="F4709" s="1662" t="s">
        <v>20106</v>
      </c>
    </row>
    <row r="4710" spans="1:6" ht="15" customHeight="1" x14ac:dyDescent="0.25">
      <c r="A4710" s="2352" t="s">
        <v>4601</v>
      </c>
      <c r="B4710" s="2352" t="s">
        <v>13665</v>
      </c>
      <c r="C4710" s="2352" t="s">
        <v>13665</v>
      </c>
      <c r="D4710" s="2352" t="s">
        <v>13676</v>
      </c>
      <c r="E4710" s="355" t="s">
        <v>17095</v>
      </c>
      <c r="F4710" s="1662" t="s">
        <v>13677</v>
      </c>
    </row>
    <row r="4711" spans="1:6" ht="15" customHeight="1" x14ac:dyDescent="0.25">
      <c r="A4711" s="2352" t="s">
        <v>13678</v>
      </c>
      <c r="B4711" s="2352" t="s">
        <v>13665</v>
      </c>
      <c r="C4711" s="2352" t="s">
        <v>13665</v>
      </c>
      <c r="D4711" s="2352" t="s">
        <v>13679</v>
      </c>
      <c r="E4711" s="355" t="s">
        <v>17097</v>
      </c>
      <c r="F4711" s="1662" t="s">
        <v>20107</v>
      </c>
    </row>
    <row r="4712" spans="1:6" ht="15" customHeight="1" x14ac:dyDescent="0.25">
      <c r="A4712" s="2352" t="s">
        <v>4601</v>
      </c>
      <c r="B4712" s="2352" t="s">
        <v>13665</v>
      </c>
      <c r="C4712" s="2352" t="s">
        <v>13665</v>
      </c>
      <c r="D4712" s="2352" t="s">
        <v>13680</v>
      </c>
      <c r="E4712" s="355" t="s">
        <v>17097</v>
      </c>
      <c r="F4712" s="1662" t="s">
        <v>3226</v>
      </c>
    </row>
    <row r="4713" spans="1:6" ht="15" customHeight="1" x14ac:dyDescent="0.25">
      <c r="A4713" s="2352" t="s">
        <v>13681</v>
      </c>
      <c r="B4713" s="2352" t="s">
        <v>13665</v>
      </c>
      <c r="C4713" s="2352" t="s">
        <v>13665</v>
      </c>
      <c r="D4713" s="2352" t="s">
        <v>13682</v>
      </c>
      <c r="E4713" s="355" t="s">
        <v>17095</v>
      </c>
      <c r="F4713" s="1662" t="s">
        <v>20108</v>
      </c>
    </row>
    <row r="4714" spans="1:6" ht="15" customHeight="1" x14ac:dyDescent="0.25">
      <c r="A4714" s="2352" t="s">
        <v>15755</v>
      </c>
      <c r="B4714" s="2352" t="s">
        <v>13665</v>
      </c>
      <c r="C4714" s="2352" t="s">
        <v>13665</v>
      </c>
      <c r="D4714" s="2352" t="s">
        <v>13683</v>
      </c>
      <c r="E4714" s="355" t="s">
        <v>17102</v>
      </c>
      <c r="F4714" s="1662" t="s">
        <v>20109</v>
      </c>
    </row>
    <row r="4715" spans="1:6" ht="15" customHeight="1" x14ac:dyDescent="0.25">
      <c r="A4715" s="2352" t="s">
        <v>15755</v>
      </c>
      <c r="B4715" s="2352" t="s">
        <v>13665</v>
      </c>
      <c r="C4715" s="2352" t="s">
        <v>13665</v>
      </c>
      <c r="D4715" s="2352" t="s">
        <v>13684</v>
      </c>
      <c r="E4715" s="355" t="s">
        <v>17102</v>
      </c>
      <c r="F4715" s="1662" t="s">
        <v>20110</v>
      </c>
    </row>
    <row r="4716" spans="1:6" ht="15" customHeight="1" x14ac:dyDescent="0.25">
      <c r="A4716" s="2352" t="s">
        <v>15755</v>
      </c>
      <c r="B4716" s="2352" t="s">
        <v>13665</v>
      </c>
      <c r="C4716" s="2352" t="s">
        <v>13665</v>
      </c>
      <c r="D4716" s="2352" t="s">
        <v>13685</v>
      </c>
      <c r="E4716" s="355" t="s">
        <v>17095</v>
      </c>
      <c r="F4716" s="1662" t="s">
        <v>20111</v>
      </c>
    </row>
    <row r="4717" spans="1:6" ht="15" customHeight="1" x14ac:dyDescent="0.25">
      <c r="A4717" s="2352" t="s">
        <v>18714</v>
      </c>
      <c r="B4717" s="2352" t="s">
        <v>13665</v>
      </c>
      <c r="C4717" s="2352" t="s">
        <v>13665</v>
      </c>
      <c r="D4717" s="2352" t="s">
        <v>13686</v>
      </c>
      <c r="E4717" s="355" t="s">
        <v>17097</v>
      </c>
      <c r="F4717" s="1662" t="s">
        <v>20112</v>
      </c>
    </row>
    <row r="4718" spans="1:6" ht="15" customHeight="1" x14ac:dyDescent="0.25">
      <c r="A4718" s="2352" t="s">
        <v>20113</v>
      </c>
      <c r="B4718" s="2352" t="s">
        <v>13665</v>
      </c>
      <c r="C4718" s="2352" t="s">
        <v>13665</v>
      </c>
      <c r="D4718" s="2352" t="s">
        <v>13687</v>
      </c>
      <c r="E4718" s="355" t="s">
        <v>17097</v>
      </c>
      <c r="F4718" s="1662" t="s">
        <v>3225</v>
      </c>
    </row>
    <row r="4719" spans="1:6" ht="15" customHeight="1" x14ac:dyDescent="0.25">
      <c r="A4719" s="2352" t="s">
        <v>13688</v>
      </c>
      <c r="B4719" s="2352" t="s">
        <v>13665</v>
      </c>
      <c r="C4719" s="2352" t="s">
        <v>13665</v>
      </c>
      <c r="D4719" s="2352" t="s">
        <v>13687</v>
      </c>
      <c r="E4719" s="355" t="s">
        <v>17097</v>
      </c>
      <c r="F4719" s="1662" t="s">
        <v>3225</v>
      </c>
    </row>
    <row r="4720" spans="1:6" ht="15" customHeight="1" x14ac:dyDescent="0.25">
      <c r="A4720" s="2352" t="s">
        <v>13689</v>
      </c>
      <c r="B4720" s="2352" t="s">
        <v>13665</v>
      </c>
      <c r="C4720" s="2352" t="s">
        <v>13665</v>
      </c>
      <c r="D4720" s="2352" t="s">
        <v>13690</v>
      </c>
      <c r="E4720" s="355" t="s">
        <v>17099</v>
      </c>
      <c r="F4720" s="1662" t="s">
        <v>20114</v>
      </c>
    </row>
    <row r="4721" spans="1:6" ht="15" customHeight="1" x14ac:dyDescent="0.25">
      <c r="A4721" s="2352" t="s">
        <v>13689</v>
      </c>
      <c r="B4721" s="2352" t="s">
        <v>13665</v>
      </c>
      <c r="C4721" s="2352" t="s">
        <v>13665</v>
      </c>
      <c r="D4721" s="2352" t="s">
        <v>13691</v>
      </c>
      <c r="E4721" s="355" t="s">
        <v>17095</v>
      </c>
      <c r="F4721" s="1662" t="s">
        <v>20115</v>
      </c>
    </row>
    <row r="4722" spans="1:6" ht="15" customHeight="1" x14ac:dyDescent="0.25">
      <c r="A4722" s="2352" t="s">
        <v>13689</v>
      </c>
      <c r="B4722" s="2352" t="s">
        <v>13665</v>
      </c>
      <c r="C4722" s="2352" t="s">
        <v>13665</v>
      </c>
      <c r="D4722" s="2352" t="s">
        <v>13692</v>
      </c>
      <c r="E4722" s="355" t="s">
        <v>17095</v>
      </c>
      <c r="F4722" s="1662" t="s">
        <v>20108</v>
      </c>
    </row>
    <row r="4723" spans="1:6" ht="15" customHeight="1" x14ac:dyDescent="0.25">
      <c r="A4723" s="2352" t="s">
        <v>4731</v>
      </c>
      <c r="B4723" s="2352" t="s">
        <v>13665</v>
      </c>
      <c r="C4723" s="2352" t="s">
        <v>13665</v>
      </c>
      <c r="D4723" s="2352" t="s">
        <v>13693</v>
      </c>
      <c r="E4723" s="355" t="s">
        <v>17098</v>
      </c>
      <c r="F4723" s="1662" t="s">
        <v>20103</v>
      </c>
    </row>
    <row r="4724" spans="1:6" ht="15" customHeight="1" x14ac:dyDescent="0.25">
      <c r="A4724" s="2352" t="s">
        <v>13694</v>
      </c>
      <c r="B4724" s="2352" t="s">
        <v>13665</v>
      </c>
      <c r="C4724" s="2352" t="s">
        <v>13665</v>
      </c>
      <c r="D4724" s="2352" t="s">
        <v>13695</v>
      </c>
      <c r="E4724" s="355" t="s">
        <v>17096</v>
      </c>
      <c r="F4724" s="1662" t="s">
        <v>20116</v>
      </c>
    </row>
    <row r="4725" spans="1:6" ht="15" customHeight="1" x14ac:dyDescent="0.25">
      <c r="A4725" s="2352" t="s">
        <v>13694</v>
      </c>
      <c r="B4725" s="2352" t="s">
        <v>13665</v>
      </c>
      <c r="C4725" s="2352" t="s">
        <v>13665</v>
      </c>
      <c r="D4725" s="2352" t="s">
        <v>13696</v>
      </c>
      <c r="E4725" s="355" t="s">
        <v>17097</v>
      </c>
      <c r="F4725" s="1662" t="s">
        <v>20117</v>
      </c>
    </row>
    <row r="4726" spans="1:6" ht="15" customHeight="1" x14ac:dyDescent="0.25">
      <c r="A4726" s="2352" t="s">
        <v>13694</v>
      </c>
      <c r="B4726" s="2352" t="s">
        <v>13665</v>
      </c>
      <c r="C4726" s="2352" t="s">
        <v>13665</v>
      </c>
      <c r="D4726" s="2352" t="s">
        <v>13697</v>
      </c>
      <c r="E4726" s="355" t="s">
        <v>17097</v>
      </c>
      <c r="F4726" s="1662" t="s">
        <v>20118</v>
      </c>
    </row>
    <row r="4727" spans="1:6" ht="15" customHeight="1" x14ac:dyDescent="0.25">
      <c r="A4727" s="2352" t="s">
        <v>13698</v>
      </c>
      <c r="B4727" s="2352" t="s">
        <v>13665</v>
      </c>
      <c r="C4727" s="2352" t="s">
        <v>13665</v>
      </c>
      <c r="D4727" s="2352" t="s">
        <v>13699</v>
      </c>
      <c r="E4727" s="355" t="s">
        <v>17099</v>
      </c>
      <c r="F4727" s="1662" t="s">
        <v>20119</v>
      </c>
    </row>
    <row r="4728" spans="1:6" ht="15" customHeight="1" x14ac:dyDescent="0.25">
      <c r="A4728" s="2352" t="s">
        <v>13700</v>
      </c>
      <c r="B4728" s="2352" t="s">
        <v>13665</v>
      </c>
      <c r="C4728" s="2352" t="s">
        <v>13665</v>
      </c>
      <c r="D4728" s="2352" t="s">
        <v>13701</v>
      </c>
      <c r="E4728" s="355" t="s">
        <v>17100</v>
      </c>
      <c r="F4728" s="1662" t="s">
        <v>20105</v>
      </c>
    </row>
    <row r="4729" spans="1:6" ht="15" customHeight="1" x14ac:dyDescent="0.25">
      <c r="A4729" s="2352" t="s">
        <v>13702</v>
      </c>
      <c r="B4729" s="2352" t="s">
        <v>13665</v>
      </c>
      <c r="C4729" s="2352" t="s">
        <v>13665</v>
      </c>
      <c r="D4729" s="2352" t="s">
        <v>13703</v>
      </c>
      <c r="E4729" s="355" t="s">
        <v>17097</v>
      </c>
      <c r="F4729" s="1662" t="s">
        <v>20107</v>
      </c>
    </row>
    <row r="4730" spans="1:6" ht="15" customHeight="1" x14ac:dyDescent="0.25">
      <c r="A4730" s="2352" t="s">
        <v>20120</v>
      </c>
      <c r="B4730" s="2352" t="s">
        <v>13665</v>
      </c>
      <c r="C4730" s="2352" t="s">
        <v>13665</v>
      </c>
      <c r="D4730" s="2352" t="s">
        <v>13703</v>
      </c>
      <c r="E4730" s="355" t="s">
        <v>17097</v>
      </c>
      <c r="F4730" s="1662" t="s">
        <v>20107</v>
      </c>
    </row>
    <row r="4731" spans="1:6" ht="15" customHeight="1" x14ac:dyDescent="0.25">
      <c r="A4731" s="2352" t="s">
        <v>20121</v>
      </c>
      <c r="B4731" s="2352" t="s">
        <v>13665</v>
      </c>
      <c r="C4731" s="2352" t="s">
        <v>13665</v>
      </c>
      <c r="D4731" s="2352" t="s">
        <v>13704</v>
      </c>
      <c r="E4731" s="355" t="s">
        <v>17102</v>
      </c>
      <c r="F4731" s="1662" t="s">
        <v>20122</v>
      </c>
    </row>
    <row r="4732" spans="1:6" ht="15" customHeight="1" x14ac:dyDescent="0.25">
      <c r="A4732" s="2352" t="s">
        <v>13705</v>
      </c>
      <c r="B4732" s="2352" t="s">
        <v>13665</v>
      </c>
      <c r="C4732" s="2352" t="s">
        <v>13665</v>
      </c>
      <c r="D4732" s="2352" t="s">
        <v>13706</v>
      </c>
      <c r="E4732" s="355" t="s">
        <v>17095</v>
      </c>
      <c r="F4732" s="1662" t="s">
        <v>20123</v>
      </c>
    </row>
    <row r="4733" spans="1:6" ht="15" customHeight="1" x14ac:dyDescent="0.25">
      <c r="A4733" s="2352" t="s">
        <v>13707</v>
      </c>
      <c r="B4733" s="2352" t="s">
        <v>13665</v>
      </c>
      <c r="C4733" s="2352" t="s">
        <v>13665</v>
      </c>
      <c r="D4733" s="2352" t="s">
        <v>13708</v>
      </c>
      <c r="E4733" s="355" t="s">
        <v>17097</v>
      </c>
      <c r="F4733" s="1662" t="s">
        <v>8651</v>
      </c>
    </row>
    <row r="4734" spans="1:6" ht="15" customHeight="1" x14ac:dyDescent="0.25">
      <c r="A4734" s="2352" t="s">
        <v>13709</v>
      </c>
      <c r="B4734" s="2352" t="s">
        <v>13665</v>
      </c>
      <c r="C4734" s="2352" t="s">
        <v>13665</v>
      </c>
      <c r="D4734" s="2352" t="s">
        <v>13710</v>
      </c>
      <c r="E4734" s="355" t="s">
        <v>17097</v>
      </c>
      <c r="F4734" s="1662" t="s">
        <v>20124</v>
      </c>
    </row>
    <row r="4735" spans="1:6" ht="15" customHeight="1" x14ac:dyDescent="0.25">
      <c r="A4735" s="2352" t="s">
        <v>13711</v>
      </c>
      <c r="B4735" s="2352" t="s">
        <v>13665</v>
      </c>
      <c r="C4735" s="2352" t="s">
        <v>13665</v>
      </c>
      <c r="D4735" s="2352" t="s">
        <v>13712</v>
      </c>
      <c r="E4735" s="355" t="s">
        <v>17102</v>
      </c>
      <c r="F4735" s="1662" t="s">
        <v>20125</v>
      </c>
    </row>
    <row r="4736" spans="1:6" ht="15" customHeight="1" x14ac:dyDescent="0.25">
      <c r="A4736" s="2352" t="s">
        <v>8146</v>
      </c>
      <c r="B4736" s="2352" t="s">
        <v>13665</v>
      </c>
      <c r="C4736" s="2352" t="s">
        <v>13665</v>
      </c>
      <c r="D4736" s="2352" t="s">
        <v>13713</v>
      </c>
      <c r="E4736" s="355" t="s">
        <v>17102</v>
      </c>
      <c r="F4736" s="1662" t="s">
        <v>20126</v>
      </c>
    </row>
    <row r="4737" spans="1:6" ht="15" customHeight="1" x14ac:dyDescent="0.25">
      <c r="A4737" s="2352" t="s">
        <v>13705</v>
      </c>
      <c r="B4737" s="2352" t="s">
        <v>13665</v>
      </c>
      <c r="C4737" s="2352" t="s">
        <v>13665</v>
      </c>
      <c r="D4737" s="2352" t="s">
        <v>13714</v>
      </c>
      <c r="E4737" s="355" t="s">
        <v>17095</v>
      </c>
      <c r="F4737" s="1662" t="s">
        <v>20127</v>
      </c>
    </row>
    <row r="4738" spans="1:6" ht="15" customHeight="1" x14ac:dyDescent="0.25">
      <c r="A4738" s="2352" t="s">
        <v>13705</v>
      </c>
      <c r="B4738" s="2352" t="s">
        <v>13665</v>
      </c>
      <c r="C4738" s="2352" t="s">
        <v>13665</v>
      </c>
      <c r="D4738" s="2352" t="s">
        <v>13715</v>
      </c>
      <c r="E4738" s="355" t="s">
        <v>17095</v>
      </c>
      <c r="F4738" s="1662" t="s">
        <v>20128</v>
      </c>
    </row>
    <row r="4739" spans="1:6" ht="15" customHeight="1" x14ac:dyDescent="0.25">
      <c r="A4739" s="2352" t="s">
        <v>13705</v>
      </c>
      <c r="B4739" s="2352" t="s">
        <v>13665</v>
      </c>
      <c r="C4739" s="2352" t="s">
        <v>13665</v>
      </c>
      <c r="D4739" s="2352" t="s">
        <v>13716</v>
      </c>
      <c r="E4739" s="355" t="s">
        <v>17102</v>
      </c>
      <c r="F4739" s="1662" t="s">
        <v>20129</v>
      </c>
    </row>
    <row r="4740" spans="1:6" ht="15" customHeight="1" x14ac:dyDescent="0.25">
      <c r="A4740" s="2352" t="s">
        <v>13717</v>
      </c>
      <c r="B4740" s="2352" t="s">
        <v>13665</v>
      </c>
      <c r="C4740" s="2352" t="s">
        <v>13665</v>
      </c>
      <c r="D4740" s="2352" t="s">
        <v>13718</v>
      </c>
      <c r="E4740" s="355" t="s">
        <v>17097</v>
      </c>
      <c r="F4740" s="1662" t="s">
        <v>20123</v>
      </c>
    </row>
    <row r="4741" spans="1:6" ht="15" customHeight="1" x14ac:dyDescent="0.25">
      <c r="A4741" s="2352" t="s">
        <v>13719</v>
      </c>
      <c r="B4741" s="2352" t="s">
        <v>13665</v>
      </c>
      <c r="C4741" s="2352" t="s">
        <v>13665</v>
      </c>
      <c r="D4741" s="2352" t="s">
        <v>13720</v>
      </c>
      <c r="E4741" s="355" t="s">
        <v>17099</v>
      </c>
      <c r="F4741" s="1662" t="s">
        <v>20130</v>
      </c>
    </row>
    <row r="4742" spans="1:6" ht="15" customHeight="1" x14ac:dyDescent="0.25">
      <c r="A4742" s="2352" t="s">
        <v>11587</v>
      </c>
      <c r="B4742" s="2352" t="s">
        <v>13665</v>
      </c>
      <c r="C4742" s="2352" t="s">
        <v>13665</v>
      </c>
      <c r="D4742" s="2352" t="s">
        <v>13721</v>
      </c>
      <c r="E4742" s="355" t="s">
        <v>17097</v>
      </c>
      <c r="F4742" s="1662" t="s">
        <v>20131</v>
      </c>
    </row>
    <row r="4743" spans="1:6" ht="15" customHeight="1" x14ac:dyDescent="0.25">
      <c r="A4743" s="2352" t="s">
        <v>13722</v>
      </c>
      <c r="B4743" s="2352" t="s">
        <v>13665</v>
      </c>
      <c r="C4743" s="2352" t="s">
        <v>13665</v>
      </c>
      <c r="D4743" s="2352" t="s">
        <v>13723</v>
      </c>
      <c r="E4743" s="355" t="s">
        <v>17097</v>
      </c>
      <c r="F4743" s="1662" t="s">
        <v>20132</v>
      </c>
    </row>
    <row r="4744" spans="1:6" ht="15" customHeight="1" x14ac:dyDescent="0.25">
      <c r="A4744" s="2352" t="s">
        <v>13724</v>
      </c>
      <c r="B4744" s="2352" t="s">
        <v>13665</v>
      </c>
      <c r="C4744" s="2352" t="s">
        <v>13665</v>
      </c>
      <c r="D4744" s="2352" t="s">
        <v>13725</v>
      </c>
      <c r="E4744" s="355" t="s">
        <v>17097</v>
      </c>
      <c r="F4744" s="1662" t="s">
        <v>20133</v>
      </c>
    </row>
    <row r="4745" spans="1:6" ht="15" customHeight="1" x14ac:dyDescent="0.25">
      <c r="A4745" s="2352" t="s">
        <v>20134</v>
      </c>
      <c r="B4745" s="2352" t="s">
        <v>13665</v>
      </c>
      <c r="C4745" s="2352" t="s">
        <v>13665</v>
      </c>
      <c r="D4745" s="2352" t="s">
        <v>13726</v>
      </c>
      <c r="E4745" s="355" t="s">
        <v>17104</v>
      </c>
      <c r="F4745" s="1662" t="s">
        <v>3654</v>
      </c>
    </row>
    <row r="4746" spans="1:6" ht="15" customHeight="1" x14ac:dyDescent="0.25">
      <c r="A4746" s="2352" t="s">
        <v>13727</v>
      </c>
      <c r="B4746" s="2352" t="s">
        <v>13665</v>
      </c>
      <c r="C4746" s="2352" t="s">
        <v>13665</v>
      </c>
      <c r="D4746" s="2352" t="s">
        <v>13728</v>
      </c>
      <c r="E4746" s="355" t="s">
        <v>17104</v>
      </c>
      <c r="F4746" s="1662" t="s">
        <v>3225</v>
      </c>
    </row>
    <row r="4747" spans="1:6" ht="15" customHeight="1" x14ac:dyDescent="0.25">
      <c r="A4747" s="2352" t="s">
        <v>20135</v>
      </c>
      <c r="B4747" s="2352" t="s">
        <v>13665</v>
      </c>
      <c r="C4747" s="2352" t="s">
        <v>13665</v>
      </c>
      <c r="D4747" s="2352" t="s">
        <v>13729</v>
      </c>
      <c r="E4747" s="355" t="s">
        <v>17095</v>
      </c>
      <c r="F4747" s="1662" t="s">
        <v>20136</v>
      </c>
    </row>
    <row r="4748" spans="1:6" ht="15" customHeight="1" x14ac:dyDescent="0.25">
      <c r="A4748" s="2352" t="s">
        <v>20135</v>
      </c>
      <c r="B4748" s="2352" t="s">
        <v>13665</v>
      </c>
      <c r="C4748" s="2352" t="s">
        <v>13665</v>
      </c>
      <c r="D4748" s="2352" t="s">
        <v>13730</v>
      </c>
      <c r="E4748" s="355" t="s">
        <v>17097</v>
      </c>
      <c r="F4748" s="1662" t="s">
        <v>20114</v>
      </c>
    </row>
    <row r="4749" spans="1:6" ht="15" customHeight="1" x14ac:dyDescent="0.25">
      <c r="A4749" s="2352" t="s">
        <v>11708</v>
      </c>
      <c r="B4749" s="2352" t="s">
        <v>13665</v>
      </c>
      <c r="C4749" s="2352" t="s">
        <v>13665</v>
      </c>
      <c r="D4749" s="2352" t="s">
        <v>13731</v>
      </c>
      <c r="E4749" s="355" t="s">
        <v>17104</v>
      </c>
      <c r="F4749" s="1662" t="s">
        <v>3652</v>
      </c>
    </row>
    <row r="4750" spans="1:6" ht="15" customHeight="1" x14ac:dyDescent="0.25">
      <c r="A4750" s="2352" t="s">
        <v>4459</v>
      </c>
      <c r="B4750" s="2352" t="s">
        <v>13665</v>
      </c>
      <c r="C4750" s="2352" t="s">
        <v>13665</v>
      </c>
      <c r="D4750" s="2352" t="s">
        <v>13732</v>
      </c>
      <c r="E4750" s="355" t="s">
        <v>17095</v>
      </c>
      <c r="F4750" s="1662" t="s">
        <v>20137</v>
      </c>
    </row>
    <row r="4751" spans="1:6" ht="15" customHeight="1" x14ac:dyDescent="0.25">
      <c r="A4751" s="2352" t="s">
        <v>13733</v>
      </c>
      <c r="B4751" s="2352" t="s">
        <v>13665</v>
      </c>
      <c r="C4751" s="2352" t="s">
        <v>13665</v>
      </c>
      <c r="D4751" s="2352" t="s">
        <v>13734</v>
      </c>
      <c r="E4751" s="355" t="s">
        <v>17095</v>
      </c>
      <c r="F4751" s="1662" t="s">
        <v>20138</v>
      </c>
    </row>
    <row r="4752" spans="1:6" ht="15" customHeight="1" x14ac:dyDescent="0.25">
      <c r="A4752" s="2352" t="s">
        <v>13735</v>
      </c>
      <c r="B4752" s="2352" t="s">
        <v>13665</v>
      </c>
      <c r="C4752" s="2352" t="s">
        <v>13665</v>
      </c>
      <c r="D4752" s="2352" t="s">
        <v>13736</v>
      </c>
      <c r="E4752" s="355" t="s">
        <v>17097</v>
      </c>
      <c r="F4752" s="1662" t="s">
        <v>20139</v>
      </c>
    </row>
    <row r="4753" spans="1:6" ht="15" customHeight="1" x14ac:dyDescent="0.25">
      <c r="A4753" s="2352" t="s">
        <v>4802</v>
      </c>
      <c r="B4753" s="2352" t="s">
        <v>13665</v>
      </c>
      <c r="C4753" s="2352" t="s">
        <v>13665</v>
      </c>
      <c r="D4753" s="2352" t="s">
        <v>13737</v>
      </c>
      <c r="E4753" s="355" t="s">
        <v>17104</v>
      </c>
      <c r="F4753" s="1662" t="s">
        <v>20107</v>
      </c>
    </row>
    <row r="4754" spans="1:6" ht="15" customHeight="1" x14ac:dyDescent="0.25">
      <c r="A4754" s="2352" t="s">
        <v>13738</v>
      </c>
      <c r="B4754" s="2352" t="s">
        <v>13665</v>
      </c>
      <c r="C4754" s="2352" t="s">
        <v>13665</v>
      </c>
      <c r="D4754" s="2352" t="s">
        <v>13739</v>
      </c>
      <c r="E4754" s="355" t="s">
        <v>17099</v>
      </c>
      <c r="F4754" s="1662" t="s">
        <v>20140</v>
      </c>
    </row>
    <row r="4755" spans="1:6" ht="15" customHeight="1" x14ac:dyDescent="0.25">
      <c r="A4755" s="2352" t="s">
        <v>13740</v>
      </c>
      <c r="B4755" s="2352" t="s">
        <v>13665</v>
      </c>
      <c r="C4755" s="2352" t="s">
        <v>13665</v>
      </c>
      <c r="D4755" s="2352" t="s">
        <v>13741</v>
      </c>
      <c r="E4755" s="355" t="s">
        <v>17095</v>
      </c>
      <c r="F4755" s="1662" t="s">
        <v>20141</v>
      </c>
    </row>
    <row r="4756" spans="1:6" ht="15" customHeight="1" x14ac:dyDescent="0.25">
      <c r="A4756" s="2352" t="s">
        <v>13742</v>
      </c>
      <c r="B4756" s="2352" t="s">
        <v>13665</v>
      </c>
      <c r="C4756" s="2352" t="s">
        <v>13665</v>
      </c>
      <c r="D4756" s="2352" t="s">
        <v>13743</v>
      </c>
      <c r="E4756" s="355" t="s">
        <v>17104</v>
      </c>
      <c r="F4756" s="1662" t="s">
        <v>20117</v>
      </c>
    </row>
    <row r="4757" spans="1:6" ht="15" customHeight="1" x14ac:dyDescent="0.25">
      <c r="A4757" s="2352" t="s">
        <v>13744</v>
      </c>
      <c r="B4757" s="2352" t="s">
        <v>13665</v>
      </c>
      <c r="C4757" s="2352" t="s">
        <v>13665</v>
      </c>
      <c r="D4757" s="2352" t="s">
        <v>13745</v>
      </c>
      <c r="E4757" s="355" t="s">
        <v>17095</v>
      </c>
      <c r="F4757" s="1662" t="s">
        <v>20137</v>
      </c>
    </row>
    <row r="4758" spans="1:6" ht="15" customHeight="1" x14ac:dyDescent="0.25">
      <c r="A4758" s="2352" t="s">
        <v>7491</v>
      </c>
      <c r="B4758" s="2352" t="s">
        <v>13665</v>
      </c>
      <c r="C4758" s="2352" t="s">
        <v>13665</v>
      </c>
      <c r="D4758" s="2352" t="s">
        <v>13746</v>
      </c>
      <c r="E4758" s="355" t="s">
        <v>17100</v>
      </c>
      <c r="F4758" s="1662" t="s">
        <v>20105</v>
      </c>
    </row>
    <row r="4759" spans="1:6" ht="15" customHeight="1" x14ac:dyDescent="0.25">
      <c r="A4759" s="2352" t="s">
        <v>13747</v>
      </c>
      <c r="B4759" s="2352" t="s">
        <v>13665</v>
      </c>
      <c r="C4759" s="2352" t="s">
        <v>13665</v>
      </c>
      <c r="D4759" s="2352" t="s">
        <v>13748</v>
      </c>
      <c r="E4759" s="355" t="s">
        <v>17099</v>
      </c>
      <c r="F4759" s="1662" t="s">
        <v>20112</v>
      </c>
    </row>
    <row r="4760" spans="1:6" ht="15" customHeight="1" x14ac:dyDescent="0.25">
      <c r="A4760" s="2352" t="s">
        <v>4916</v>
      </c>
      <c r="B4760" s="2352" t="s">
        <v>13665</v>
      </c>
      <c r="C4760" s="2352" t="s">
        <v>13665</v>
      </c>
      <c r="D4760" s="2352" t="s">
        <v>13749</v>
      </c>
      <c r="E4760" s="355" t="s">
        <v>17104</v>
      </c>
      <c r="F4760" s="1662" t="s">
        <v>20142</v>
      </c>
    </row>
    <row r="4761" spans="1:6" ht="15" customHeight="1" x14ac:dyDescent="0.25">
      <c r="A4761" s="2352" t="s">
        <v>3756</v>
      </c>
      <c r="B4761" s="2352" t="s">
        <v>13665</v>
      </c>
      <c r="C4761" s="2352" t="s">
        <v>13665</v>
      </c>
      <c r="D4761" s="2352" t="s">
        <v>13749</v>
      </c>
      <c r="E4761" s="355" t="s">
        <v>17104</v>
      </c>
      <c r="F4761" s="1662" t="s">
        <v>20142</v>
      </c>
    </row>
    <row r="4762" spans="1:6" ht="15" customHeight="1" x14ac:dyDescent="0.25">
      <c r="A4762" s="2352" t="s">
        <v>13750</v>
      </c>
      <c r="B4762" s="2352" t="s">
        <v>13665</v>
      </c>
      <c r="C4762" s="2352" t="s">
        <v>13665</v>
      </c>
      <c r="D4762" s="2352" t="s">
        <v>13751</v>
      </c>
      <c r="E4762" s="355" t="s">
        <v>17097</v>
      </c>
      <c r="F4762" s="1662" t="s">
        <v>20140</v>
      </c>
    </row>
    <row r="4763" spans="1:6" ht="15" customHeight="1" x14ac:dyDescent="0.25">
      <c r="A4763" s="2352" t="s">
        <v>13752</v>
      </c>
      <c r="B4763" s="2352" t="s">
        <v>13665</v>
      </c>
      <c r="C4763" s="2352" t="s">
        <v>13665</v>
      </c>
      <c r="D4763" s="2352" t="s">
        <v>13753</v>
      </c>
      <c r="E4763" s="355" t="s">
        <v>17104</v>
      </c>
      <c r="F4763" s="1662" t="s">
        <v>20117</v>
      </c>
    </row>
    <row r="4764" spans="1:6" ht="15" customHeight="1" x14ac:dyDescent="0.25">
      <c r="A4764" s="2352" t="s">
        <v>13754</v>
      </c>
      <c r="B4764" s="2352" t="s">
        <v>13665</v>
      </c>
      <c r="C4764" s="2352" t="s">
        <v>13665</v>
      </c>
      <c r="D4764" s="2352" t="s">
        <v>13753</v>
      </c>
      <c r="E4764" s="355" t="s">
        <v>17104</v>
      </c>
      <c r="F4764" s="1662" t="s">
        <v>20117</v>
      </c>
    </row>
    <row r="4765" spans="1:6" ht="15" customHeight="1" x14ac:dyDescent="0.25">
      <c r="A4765" s="2352" t="s">
        <v>4383</v>
      </c>
      <c r="B4765" s="2352" t="s">
        <v>13665</v>
      </c>
      <c r="C4765" s="2352" t="s">
        <v>13665</v>
      </c>
      <c r="D4765" s="2352" t="s">
        <v>13755</v>
      </c>
      <c r="E4765" s="355" t="s">
        <v>17099</v>
      </c>
      <c r="F4765" s="1662" t="s">
        <v>20107</v>
      </c>
    </row>
    <row r="4766" spans="1:6" ht="15" customHeight="1" x14ac:dyDescent="0.25">
      <c r="A4766" s="2352" t="s">
        <v>13756</v>
      </c>
      <c r="B4766" s="2352" t="s">
        <v>13665</v>
      </c>
      <c r="C4766" s="2352" t="s">
        <v>13665</v>
      </c>
      <c r="D4766" s="2352" t="s">
        <v>13757</v>
      </c>
      <c r="E4766" s="355" t="s">
        <v>17104</v>
      </c>
      <c r="F4766" s="1662" t="s">
        <v>3225</v>
      </c>
    </row>
    <row r="4767" spans="1:6" ht="15" customHeight="1" x14ac:dyDescent="0.25">
      <c r="A4767" s="2352" t="s">
        <v>10681</v>
      </c>
      <c r="B4767" s="2352" t="s">
        <v>13665</v>
      </c>
      <c r="C4767" s="2352" t="s">
        <v>13665</v>
      </c>
      <c r="D4767" s="2352" t="s">
        <v>13758</v>
      </c>
      <c r="E4767" s="355" t="s">
        <v>17104</v>
      </c>
      <c r="F4767" s="1662" t="s">
        <v>20117</v>
      </c>
    </row>
    <row r="4768" spans="1:6" ht="15" customHeight="1" x14ac:dyDescent="0.25">
      <c r="A4768" s="2352" t="s">
        <v>13759</v>
      </c>
      <c r="B4768" s="2352" t="s">
        <v>13665</v>
      </c>
      <c r="C4768" s="2352" t="s">
        <v>13665</v>
      </c>
      <c r="D4768" s="2352" t="s">
        <v>13760</v>
      </c>
      <c r="E4768" s="355" t="s">
        <v>17104</v>
      </c>
      <c r="F4768" s="1662" t="s">
        <v>20107</v>
      </c>
    </row>
    <row r="4769" spans="1:6" ht="15" customHeight="1" x14ac:dyDescent="0.25">
      <c r="A4769" s="2352" t="s">
        <v>4459</v>
      </c>
      <c r="B4769" s="2352" t="s">
        <v>13665</v>
      </c>
      <c r="C4769" s="2352" t="s">
        <v>13665</v>
      </c>
      <c r="D4769" s="2352" t="s">
        <v>13761</v>
      </c>
      <c r="E4769" s="355" t="s">
        <v>17102</v>
      </c>
      <c r="F4769" s="1662" t="s">
        <v>20133</v>
      </c>
    </row>
    <row r="4770" spans="1:6" ht="15" customHeight="1" x14ac:dyDescent="0.25">
      <c r="A4770" s="2352" t="s">
        <v>13762</v>
      </c>
      <c r="B4770" s="2352" t="s">
        <v>13665</v>
      </c>
      <c r="C4770" s="2352" t="s">
        <v>13665</v>
      </c>
      <c r="D4770" s="2352" t="s">
        <v>13763</v>
      </c>
      <c r="E4770" s="355" t="s">
        <v>17097</v>
      </c>
      <c r="F4770" s="1662" t="s">
        <v>20139</v>
      </c>
    </row>
    <row r="4771" spans="1:6" ht="15" customHeight="1" x14ac:dyDescent="0.25">
      <c r="A4771" s="2352" t="s">
        <v>13764</v>
      </c>
      <c r="B4771" s="2352" t="s">
        <v>13665</v>
      </c>
      <c r="C4771" s="2352" t="s">
        <v>13665</v>
      </c>
      <c r="D4771" s="2352" t="s">
        <v>13765</v>
      </c>
      <c r="E4771" s="355" t="s">
        <v>17104</v>
      </c>
      <c r="F4771" s="1662" t="s">
        <v>20107</v>
      </c>
    </row>
    <row r="4772" spans="1:6" ht="15" customHeight="1" x14ac:dyDescent="0.25">
      <c r="A4772" s="2352" t="s">
        <v>13766</v>
      </c>
      <c r="B4772" s="2352" t="s">
        <v>13665</v>
      </c>
      <c r="C4772" s="2352" t="s">
        <v>13665</v>
      </c>
      <c r="D4772" s="2352" t="s">
        <v>13767</v>
      </c>
      <c r="E4772" s="355" t="s">
        <v>17097</v>
      </c>
      <c r="F4772" s="1662" t="s">
        <v>20132</v>
      </c>
    </row>
    <row r="4773" spans="1:6" ht="15" customHeight="1" x14ac:dyDescent="0.25">
      <c r="A4773" s="2352" t="s">
        <v>13768</v>
      </c>
      <c r="B4773" s="2352" t="s">
        <v>13665</v>
      </c>
      <c r="C4773" s="2352" t="s">
        <v>13665</v>
      </c>
      <c r="D4773" s="2352" t="s">
        <v>13769</v>
      </c>
      <c r="E4773" s="355" t="s">
        <v>17095</v>
      </c>
      <c r="F4773" s="1662" t="s">
        <v>20143</v>
      </c>
    </row>
    <row r="4774" spans="1:6" ht="15" customHeight="1" x14ac:dyDescent="0.25">
      <c r="A4774" s="2352" t="s">
        <v>13770</v>
      </c>
      <c r="B4774" s="2352" t="s">
        <v>13665</v>
      </c>
      <c r="C4774" s="2352" t="s">
        <v>13665</v>
      </c>
      <c r="D4774" s="2352" t="s">
        <v>13771</v>
      </c>
      <c r="E4774" s="355" t="s">
        <v>17096</v>
      </c>
      <c r="F4774" s="1662" t="s">
        <v>20144</v>
      </c>
    </row>
    <row r="4775" spans="1:6" ht="15" customHeight="1" x14ac:dyDescent="0.25">
      <c r="A4775" s="2352" t="s">
        <v>13770</v>
      </c>
      <c r="B4775" s="2352" t="s">
        <v>13665</v>
      </c>
      <c r="C4775" s="2352" t="s">
        <v>13665</v>
      </c>
      <c r="D4775" s="2352" t="s">
        <v>13772</v>
      </c>
      <c r="E4775" s="355" t="s">
        <v>17099</v>
      </c>
      <c r="F4775" s="1662" t="s">
        <v>20145</v>
      </c>
    </row>
    <row r="4776" spans="1:6" ht="15" customHeight="1" x14ac:dyDescent="0.25">
      <c r="A4776" s="2352" t="s">
        <v>13773</v>
      </c>
      <c r="B4776" s="2352" t="s">
        <v>13665</v>
      </c>
      <c r="C4776" s="2352" t="s">
        <v>13665</v>
      </c>
      <c r="D4776" s="2352" t="s">
        <v>13774</v>
      </c>
      <c r="E4776" s="355" t="s">
        <v>17099</v>
      </c>
      <c r="F4776" s="1662" t="s">
        <v>20146</v>
      </c>
    </row>
    <row r="4777" spans="1:6" ht="15" customHeight="1" x14ac:dyDescent="0.25">
      <c r="A4777" s="2352" t="s">
        <v>13775</v>
      </c>
      <c r="B4777" s="2352" t="s">
        <v>13665</v>
      </c>
      <c r="C4777" s="2352" t="s">
        <v>13665</v>
      </c>
      <c r="D4777" s="2352" t="s">
        <v>13776</v>
      </c>
      <c r="E4777" s="355" t="s">
        <v>17097</v>
      </c>
      <c r="F4777" s="1662" t="s">
        <v>20132</v>
      </c>
    </row>
    <row r="4778" spans="1:6" ht="15" customHeight="1" x14ac:dyDescent="0.25">
      <c r="A4778" s="2352" t="s">
        <v>13777</v>
      </c>
      <c r="B4778" s="2352" t="s">
        <v>13665</v>
      </c>
      <c r="C4778" s="2352" t="s">
        <v>13665</v>
      </c>
      <c r="D4778" s="2352" t="s">
        <v>13778</v>
      </c>
      <c r="E4778" s="355" t="s">
        <v>17104</v>
      </c>
      <c r="F4778" s="1662" t="s">
        <v>3224</v>
      </c>
    </row>
    <row r="4779" spans="1:6" ht="15" customHeight="1" x14ac:dyDescent="0.25">
      <c r="A4779" s="2352" t="s">
        <v>13777</v>
      </c>
      <c r="B4779" s="2352" t="s">
        <v>13665</v>
      </c>
      <c r="C4779" s="2352" t="s">
        <v>13665</v>
      </c>
      <c r="D4779" s="2352" t="s">
        <v>13779</v>
      </c>
      <c r="E4779" s="355" t="s">
        <v>17095</v>
      </c>
      <c r="F4779" s="1662" t="s">
        <v>20137</v>
      </c>
    </row>
    <row r="4780" spans="1:6" ht="15" customHeight="1" x14ac:dyDescent="0.25">
      <c r="A4780" s="2352" t="s">
        <v>13777</v>
      </c>
      <c r="B4780" s="2352" t="s">
        <v>13665</v>
      </c>
      <c r="C4780" s="2352" t="s">
        <v>13665</v>
      </c>
      <c r="D4780" s="2352" t="s">
        <v>13780</v>
      </c>
      <c r="E4780" s="355" t="s">
        <v>17096</v>
      </c>
      <c r="F4780" s="1662" t="s">
        <v>20147</v>
      </c>
    </row>
    <row r="4781" spans="1:6" ht="15" customHeight="1" x14ac:dyDescent="0.25">
      <c r="A4781" s="2352" t="s">
        <v>13777</v>
      </c>
      <c r="B4781" s="2352" t="s">
        <v>13665</v>
      </c>
      <c r="C4781" s="2352" t="s">
        <v>13665</v>
      </c>
      <c r="D4781" s="2352" t="s">
        <v>13781</v>
      </c>
      <c r="E4781" s="355" t="s">
        <v>17096</v>
      </c>
      <c r="F4781" s="1662" t="s">
        <v>20148</v>
      </c>
    </row>
    <row r="4782" spans="1:6" ht="15" customHeight="1" x14ac:dyDescent="0.25">
      <c r="A4782" s="2352" t="s">
        <v>13777</v>
      </c>
      <c r="B4782" s="2352" t="s">
        <v>13665</v>
      </c>
      <c r="C4782" s="2352" t="s">
        <v>13665</v>
      </c>
      <c r="D4782" s="2352" t="s">
        <v>13782</v>
      </c>
      <c r="E4782" s="355" t="s">
        <v>17095</v>
      </c>
      <c r="F4782" s="1662" t="s">
        <v>20106</v>
      </c>
    </row>
    <row r="4783" spans="1:6" ht="15" customHeight="1" x14ac:dyDescent="0.25">
      <c r="A4783" s="2352" t="s">
        <v>13783</v>
      </c>
      <c r="B4783" s="2352" t="s">
        <v>13665</v>
      </c>
      <c r="C4783" s="2352" t="s">
        <v>13665</v>
      </c>
      <c r="D4783" s="2352" t="s">
        <v>13784</v>
      </c>
      <c r="E4783" s="355" t="s">
        <v>17099</v>
      </c>
      <c r="F4783" s="1662" t="s">
        <v>20133</v>
      </c>
    </row>
    <row r="4784" spans="1:6" ht="15" customHeight="1" x14ac:dyDescent="0.25">
      <c r="A4784" s="2352" t="s">
        <v>13785</v>
      </c>
      <c r="B4784" s="2352" t="s">
        <v>13665</v>
      </c>
      <c r="C4784" s="2352" t="s">
        <v>13665</v>
      </c>
      <c r="D4784" s="2352" t="s">
        <v>13786</v>
      </c>
      <c r="E4784" s="355" t="s">
        <v>17099</v>
      </c>
      <c r="F4784" s="1662" t="s">
        <v>20114</v>
      </c>
    </row>
    <row r="4785" spans="1:6" ht="15" customHeight="1" x14ac:dyDescent="0.25">
      <c r="A4785" s="2352" t="s">
        <v>3698</v>
      </c>
      <c r="B4785" s="2352" t="s">
        <v>13665</v>
      </c>
      <c r="C4785" s="2352" t="s">
        <v>13665</v>
      </c>
      <c r="D4785" s="2352" t="s">
        <v>13787</v>
      </c>
      <c r="E4785" s="355" t="s">
        <v>17105</v>
      </c>
      <c r="F4785" s="1662" t="s">
        <v>20107</v>
      </c>
    </row>
    <row r="4786" spans="1:6" ht="15" customHeight="1" x14ac:dyDescent="0.25">
      <c r="A4786" s="2352" t="s">
        <v>13391</v>
      </c>
      <c r="B4786" s="2352" t="s">
        <v>13665</v>
      </c>
      <c r="C4786" s="2352" t="s">
        <v>13665</v>
      </c>
      <c r="D4786" s="2352" t="s">
        <v>13788</v>
      </c>
      <c r="E4786" s="355" t="s">
        <v>17099</v>
      </c>
      <c r="F4786" s="1662" t="s">
        <v>20109</v>
      </c>
    </row>
    <row r="4787" spans="1:6" ht="15" customHeight="1" x14ac:dyDescent="0.25">
      <c r="A4787" s="2352" t="s">
        <v>4413</v>
      </c>
      <c r="B4787" s="2352" t="s">
        <v>13665</v>
      </c>
      <c r="C4787" s="2352" t="s">
        <v>13665</v>
      </c>
      <c r="D4787" s="2352" t="s">
        <v>13789</v>
      </c>
      <c r="E4787" s="355" t="s">
        <v>17111</v>
      </c>
      <c r="F4787" s="1662" t="s">
        <v>20132</v>
      </c>
    </row>
    <row r="4788" spans="1:6" ht="15" customHeight="1" x14ac:dyDescent="0.25">
      <c r="A4788" s="2352" t="s">
        <v>4630</v>
      </c>
      <c r="B4788" s="2352" t="s">
        <v>13665</v>
      </c>
      <c r="C4788" s="2352" t="s">
        <v>13665</v>
      </c>
      <c r="D4788" s="2352" t="s">
        <v>13790</v>
      </c>
      <c r="E4788" s="355" t="s">
        <v>17099</v>
      </c>
      <c r="F4788" s="1662" t="s">
        <v>20149</v>
      </c>
    </row>
    <row r="4789" spans="1:6" ht="15" customHeight="1" x14ac:dyDescent="0.25">
      <c r="A4789" s="2352" t="s">
        <v>4630</v>
      </c>
      <c r="B4789" s="2352" t="s">
        <v>13665</v>
      </c>
      <c r="C4789" s="2352" t="s">
        <v>13665</v>
      </c>
      <c r="D4789" s="2352" t="s">
        <v>13791</v>
      </c>
      <c r="E4789" s="355" t="s">
        <v>17102</v>
      </c>
      <c r="F4789" s="1662" t="s">
        <v>20106</v>
      </c>
    </row>
    <row r="4790" spans="1:6" ht="15" customHeight="1" x14ac:dyDescent="0.25">
      <c r="A4790" s="2352" t="s">
        <v>4630</v>
      </c>
      <c r="B4790" s="2352" t="s">
        <v>13665</v>
      </c>
      <c r="C4790" s="2352" t="s">
        <v>13665</v>
      </c>
      <c r="D4790" s="2352" t="s">
        <v>13792</v>
      </c>
      <c r="E4790" s="355" t="s">
        <v>17099</v>
      </c>
      <c r="F4790" s="1662" t="s">
        <v>20112</v>
      </c>
    </row>
    <row r="4791" spans="1:6" ht="15" customHeight="1" x14ac:dyDescent="0.25">
      <c r="A4791" s="2352" t="s">
        <v>13793</v>
      </c>
      <c r="B4791" s="2352" t="s">
        <v>13665</v>
      </c>
      <c r="C4791" s="2352" t="s">
        <v>13665</v>
      </c>
      <c r="D4791" s="2352" t="s">
        <v>13792</v>
      </c>
      <c r="E4791" s="355" t="s">
        <v>17099</v>
      </c>
      <c r="F4791" s="1662" t="s">
        <v>20112</v>
      </c>
    </row>
    <row r="4792" spans="1:6" ht="15" customHeight="1" x14ac:dyDescent="0.25">
      <c r="A4792" s="2352" t="s">
        <v>13794</v>
      </c>
      <c r="B4792" s="2352" t="s">
        <v>13665</v>
      </c>
      <c r="C4792" s="2352" t="s">
        <v>13665</v>
      </c>
      <c r="D4792" s="2352" t="s">
        <v>13795</v>
      </c>
      <c r="E4792" s="355" t="s">
        <v>17097</v>
      </c>
      <c r="F4792" s="1662" t="s">
        <v>20109</v>
      </c>
    </row>
    <row r="4793" spans="1:6" ht="15" customHeight="1" x14ac:dyDescent="0.25">
      <c r="A4793" s="2352" t="s">
        <v>13796</v>
      </c>
      <c r="B4793" s="2352" t="s">
        <v>13665</v>
      </c>
      <c r="C4793" s="2352" t="s">
        <v>13665</v>
      </c>
      <c r="D4793" s="2352" t="s">
        <v>13797</v>
      </c>
      <c r="E4793" s="355" t="s">
        <v>17097</v>
      </c>
      <c r="F4793" s="1662" t="s">
        <v>10536</v>
      </c>
    </row>
    <row r="4794" spans="1:6" ht="15" customHeight="1" x14ac:dyDescent="0.25">
      <c r="A4794" s="2352" t="s">
        <v>13798</v>
      </c>
      <c r="B4794" s="2352" t="s">
        <v>13665</v>
      </c>
      <c r="C4794" s="2352" t="s">
        <v>13665</v>
      </c>
      <c r="D4794" s="2352" t="s">
        <v>13799</v>
      </c>
      <c r="E4794" s="355" t="s">
        <v>17104</v>
      </c>
      <c r="F4794" s="1662" t="s">
        <v>20139</v>
      </c>
    </row>
    <row r="4795" spans="1:6" ht="15" customHeight="1" x14ac:dyDescent="0.25">
      <c r="A4795" s="2352" t="s">
        <v>10078</v>
      </c>
      <c r="B4795" s="2352" t="s">
        <v>13665</v>
      </c>
      <c r="C4795" s="2352" t="s">
        <v>13665</v>
      </c>
      <c r="D4795" s="2352" t="s">
        <v>13800</v>
      </c>
      <c r="E4795" s="355" t="s">
        <v>17097</v>
      </c>
      <c r="F4795" s="1662" t="s">
        <v>20131</v>
      </c>
    </row>
    <row r="4796" spans="1:6" ht="15" customHeight="1" x14ac:dyDescent="0.25">
      <c r="A4796" s="2352" t="s">
        <v>4244</v>
      </c>
      <c r="B4796" s="2352" t="s">
        <v>13665</v>
      </c>
      <c r="C4796" s="2352" t="s">
        <v>13665</v>
      </c>
      <c r="D4796" s="2352" t="s">
        <v>13801</v>
      </c>
      <c r="E4796" s="355" t="s">
        <v>17104</v>
      </c>
      <c r="F4796" s="1662" t="s">
        <v>3652</v>
      </c>
    </row>
    <row r="4797" spans="1:6" ht="15" customHeight="1" x14ac:dyDescent="0.25">
      <c r="A4797" s="2352" t="s">
        <v>4686</v>
      </c>
      <c r="B4797" s="2352" t="s">
        <v>13665</v>
      </c>
      <c r="C4797" s="2352" t="s">
        <v>13665</v>
      </c>
      <c r="D4797" s="2352" t="s">
        <v>13802</v>
      </c>
      <c r="E4797" s="355" t="s">
        <v>17099</v>
      </c>
      <c r="F4797" s="1662" t="s">
        <v>20150</v>
      </c>
    </row>
    <row r="4798" spans="1:6" ht="15" customHeight="1" x14ac:dyDescent="0.25">
      <c r="A4798" s="2352" t="s">
        <v>4889</v>
      </c>
      <c r="B4798" s="2352" t="s">
        <v>13665</v>
      </c>
      <c r="C4798" s="2352" t="s">
        <v>13665</v>
      </c>
      <c r="D4798" s="2352" t="s">
        <v>13803</v>
      </c>
      <c r="E4798" s="355" t="s">
        <v>17095</v>
      </c>
      <c r="F4798" s="1662" t="s">
        <v>20151</v>
      </c>
    </row>
    <row r="4799" spans="1:6" ht="15" customHeight="1" x14ac:dyDescent="0.25">
      <c r="A4799" s="2352" t="s">
        <v>4686</v>
      </c>
      <c r="B4799" s="2352" t="s">
        <v>13665</v>
      </c>
      <c r="C4799" s="2352" t="s">
        <v>13665</v>
      </c>
      <c r="D4799" s="2352" t="s">
        <v>13804</v>
      </c>
      <c r="E4799" s="355" t="s">
        <v>17096</v>
      </c>
      <c r="F4799" s="1662" t="s">
        <v>20152</v>
      </c>
    </row>
    <row r="4800" spans="1:6" ht="15" customHeight="1" x14ac:dyDescent="0.25">
      <c r="A4800" s="2352" t="s">
        <v>13805</v>
      </c>
      <c r="B4800" s="2352" t="s">
        <v>13665</v>
      </c>
      <c r="C4800" s="2352" t="s">
        <v>13665</v>
      </c>
      <c r="D4800" s="2352" t="s">
        <v>13806</v>
      </c>
      <c r="E4800" s="355" t="s">
        <v>17097</v>
      </c>
      <c r="F4800" s="1662" t="s">
        <v>20140</v>
      </c>
    </row>
    <row r="4801" spans="1:6" ht="15" customHeight="1" x14ac:dyDescent="0.25">
      <c r="A4801" s="2352" t="s">
        <v>13807</v>
      </c>
      <c r="B4801" s="2352" t="s">
        <v>13665</v>
      </c>
      <c r="C4801" s="2352" t="s">
        <v>13665</v>
      </c>
      <c r="D4801" s="2352" t="s">
        <v>13808</v>
      </c>
      <c r="E4801" s="355" t="s">
        <v>17097</v>
      </c>
      <c r="F4801" s="1662" t="s">
        <v>20109</v>
      </c>
    </row>
    <row r="4802" spans="1:6" ht="15" customHeight="1" x14ac:dyDescent="0.25">
      <c r="A4802" s="2352" t="s">
        <v>4383</v>
      </c>
      <c r="B4802" s="2352" t="s">
        <v>13665</v>
      </c>
      <c r="C4802" s="2352" t="s">
        <v>13665</v>
      </c>
      <c r="D4802" s="2352" t="s">
        <v>13809</v>
      </c>
      <c r="E4802" s="355" t="s">
        <v>17104</v>
      </c>
      <c r="F4802" s="1662" t="s">
        <v>20107</v>
      </c>
    </row>
    <row r="4803" spans="1:6" ht="15" customHeight="1" x14ac:dyDescent="0.25">
      <c r="A4803" s="2352" t="s">
        <v>6476</v>
      </c>
      <c r="B4803" s="2352" t="s">
        <v>13665</v>
      </c>
      <c r="C4803" s="2352" t="s">
        <v>13665</v>
      </c>
      <c r="D4803" s="2352" t="s">
        <v>13810</v>
      </c>
      <c r="E4803" s="355" t="s">
        <v>17097</v>
      </c>
      <c r="F4803" s="1662" t="s">
        <v>20117</v>
      </c>
    </row>
    <row r="4804" spans="1:6" ht="15" customHeight="1" x14ac:dyDescent="0.25">
      <c r="A4804" s="2352" t="s">
        <v>13811</v>
      </c>
      <c r="B4804" s="2352" t="s">
        <v>13665</v>
      </c>
      <c r="C4804" s="2352" t="s">
        <v>13665</v>
      </c>
      <c r="D4804" s="2352" t="s">
        <v>13812</v>
      </c>
      <c r="E4804" s="355" t="s">
        <v>17097</v>
      </c>
      <c r="F4804" s="1662" t="s">
        <v>20107</v>
      </c>
    </row>
    <row r="4805" spans="1:6" ht="15" customHeight="1" x14ac:dyDescent="0.25">
      <c r="A4805" s="2352" t="s">
        <v>10128</v>
      </c>
      <c r="B4805" s="2352" t="s">
        <v>13665</v>
      </c>
      <c r="C4805" s="2352" t="s">
        <v>13665</v>
      </c>
      <c r="D4805" s="2352" t="s">
        <v>13812</v>
      </c>
      <c r="E4805" s="355" t="s">
        <v>17097</v>
      </c>
      <c r="F4805" s="1662" t="s">
        <v>20107</v>
      </c>
    </row>
    <row r="4806" spans="1:6" ht="15" customHeight="1" x14ac:dyDescent="0.25">
      <c r="A4806" s="2352" t="s">
        <v>13813</v>
      </c>
      <c r="B4806" s="2352" t="s">
        <v>13665</v>
      </c>
      <c r="C4806" s="2352" t="s">
        <v>13665</v>
      </c>
      <c r="D4806" s="2352" t="s">
        <v>13814</v>
      </c>
      <c r="E4806" s="355" t="s">
        <v>17099</v>
      </c>
      <c r="F4806" s="1662" t="s">
        <v>20117</v>
      </c>
    </row>
    <row r="4807" spans="1:6" ht="15" customHeight="1" x14ac:dyDescent="0.25">
      <c r="A4807" s="2352" t="s">
        <v>4244</v>
      </c>
      <c r="B4807" s="2352" t="s">
        <v>13665</v>
      </c>
      <c r="C4807" s="2352" t="s">
        <v>13665</v>
      </c>
      <c r="D4807" s="2352" t="s">
        <v>13815</v>
      </c>
      <c r="E4807" s="355" t="s">
        <v>17104</v>
      </c>
      <c r="F4807" s="1662" t="s">
        <v>20118</v>
      </c>
    </row>
    <row r="4808" spans="1:6" ht="15" customHeight="1" x14ac:dyDescent="0.25">
      <c r="A4808" s="2352" t="s">
        <v>13816</v>
      </c>
      <c r="B4808" s="2352" t="s">
        <v>13665</v>
      </c>
      <c r="C4808" s="2352" t="s">
        <v>13665</v>
      </c>
      <c r="D4808" s="2352" t="s">
        <v>13817</v>
      </c>
      <c r="E4808" s="355" t="s">
        <v>17097</v>
      </c>
      <c r="F4808" s="1662" t="s">
        <v>20133</v>
      </c>
    </row>
    <row r="4809" spans="1:6" ht="15" customHeight="1" x14ac:dyDescent="0.25">
      <c r="A4809" s="2352" t="s">
        <v>13813</v>
      </c>
      <c r="B4809" s="2352" t="s">
        <v>13665</v>
      </c>
      <c r="C4809" s="2352" t="s">
        <v>13665</v>
      </c>
      <c r="D4809" s="2352" t="s">
        <v>13818</v>
      </c>
      <c r="E4809" s="355" t="s">
        <v>17097</v>
      </c>
      <c r="F4809" s="1662" t="s">
        <v>20114</v>
      </c>
    </row>
    <row r="4810" spans="1:6" ht="15" customHeight="1" x14ac:dyDescent="0.25">
      <c r="A4810" s="2352" t="s">
        <v>13813</v>
      </c>
      <c r="B4810" s="2352" t="s">
        <v>13665</v>
      </c>
      <c r="C4810" s="2352" t="s">
        <v>13665</v>
      </c>
      <c r="D4810" s="2352" t="s">
        <v>13819</v>
      </c>
      <c r="E4810" s="355" t="s">
        <v>17095</v>
      </c>
      <c r="F4810" s="1662" t="s">
        <v>20153</v>
      </c>
    </row>
    <row r="4811" spans="1:6" ht="15" customHeight="1" x14ac:dyDescent="0.25">
      <c r="A4811" s="2352" t="s">
        <v>13813</v>
      </c>
      <c r="B4811" s="2352" t="s">
        <v>13665</v>
      </c>
      <c r="C4811" s="2352" t="s">
        <v>13665</v>
      </c>
      <c r="D4811" s="2352" t="s">
        <v>13820</v>
      </c>
      <c r="E4811" s="355" t="s">
        <v>17095</v>
      </c>
      <c r="F4811" s="1662" t="s">
        <v>20154</v>
      </c>
    </row>
    <row r="4812" spans="1:6" ht="15" customHeight="1" x14ac:dyDescent="0.25">
      <c r="A4812" s="2352" t="s">
        <v>13821</v>
      </c>
      <c r="B4812" s="2352" t="s">
        <v>13665</v>
      </c>
      <c r="C4812" s="2352" t="s">
        <v>13665</v>
      </c>
      <c r="D4812" s="2352" t="s">
        <v>13822</v>
      </c>
      <c r="E4812" s="355" t="s">
        <v>17099</v>
      </c>
      <c r="F4812" s="1662" t="s">
        <v>20133</v>
      </c>
    </row>
    <row r="4813" spans="1:6" ht="15" customHeight="1" x14ac:dyDescent="0.25">
      <c r="A4813" s="2352" t="s">
        <v>13821</v>
      </c>
      <c r="B4813" s="2352" t="s">
        <v>13665</v>
      </c>
      <c r="C4813" s="2352" t="s">
        <v>13665</v>
      </c>
      <c r="D4813" s="2352" t="s">
        <v>13823</v>
      </c>
      <c r="E4813" s="355" t="s">
        <v>17095</v>
      </c>
      <c r="F4813" s="1662" t="s">
        <v>20155</v>
      </c>
    </row>
    <row r="4814" spans="1:6" ht="15" customHeight="1" x14ac:dyDescent="0.25">
      <c r="A4814" s="2352" t="s">
        <v>13824</v>
      </c>
      <c r="B4814" s="2352" t="s">
        <v>13665</v>
      </c>
      <c r="C4814" s="2352" t="s">
        <v>13665</v>
      </c>
      <c r="D4814" s="2352" t="s">
        <v>13825</v>
      </c>
      <c r="E4814" s="355" t="s">
        <v>17098</v>
      </c>
      <c r="F4814" s="1662" t="s">
        <v>20139</v>
      </c>
    </row>
    <row r="4815" spans="1:6" ht="15" customHeight="1" x14ac:dyDescent="0.25">
      <c r="A4815" s="2352" t="s">
        <v>13821</v>
      </c>
      <c r="B4815" s="2352" t="s">
        <v>13665</v>
      </c>
      <c r="C4815" s="2352" t="s">
        <v>13665</v>
      </c>
      <c r="D4815" s="2352" t="s">
        <v>13826</v>
      </c>
      <c r="E4815" s="355" t="s">
        <v>17099</v>
      </c>
      <c r="F4815" s="1662" t="s">
        <v>20149</v>
      </c>
    </row>
    <row r="4816" spans="1:6" ht="15" customHeight="1" x14ac:dyDescent="0.25">
      <c r="A4816" s="2352" t="s">
        <v>13827</v>
      </c>
      <c r="B4816" s="2352" t="s">
        <v>13665</v>
      </c>
      <c r="C4816" s="2352" t="s">
        <v>13665</v>
      </c>
      <c r="D4816" s="2352" t="s">
        <v>13828</v>
      </c>
      <c r="E4816" s="355" t="s">
        <v>17102</v>
      </c>
      <c r="F4816" s="1662" t="s">
        <v>20133</v>
      </c>
    </row>
    <row r="4817" spans="1:6" ht="15" customHeight="1" x14ac:dyDescent="0.25">
      <c r="A4817" s="2352" t="s">
        <v>13827</v>
      </c>
      <c r="B4817" s="2352" t="s">
        <v>13665</v>
      </c>
      <c r="C4817" s="2352" t="s">
        <v>13665</v>
      </c>
      <c r="D4817" s="2352" t="s">
        <v>13829</v>
      </c>
      <c r="E4817" s="355" t="s">
        <v>17096</v>
      </c>
      <c r="F4817" s="1662" t="s">
        <v>20156</v>
      </c>
    </row>
    <row r="4818" spans="1:6" ht="15" customHeight="1" x14ac:dyDescent="0.25">
      <c r="A4818" s="2352" t="s">
        <v>13830</v>
      </c>
      <c r="B4818" s="2352" t="s">
        <v>13665</v>
      </c>
      <c r="C4818" s="2352" t="s">
        <v>13665</v>
      </c>
      <c r="D4818" s="2352" t="s">
        <v>13831</v>
      </c>
      <c r="E4818" s="355" t="s">
        <v>17111</v>
      </c>
      <c r="F4818" s="1662" t="s">
        <v>20109</v>
      </c>
    </row>
    <row r="4819" spans="1:6" ht="15" customHeight="1" x14ac:dyDescent="0.25">
      <c r="A4819" s="2352" t="s">
        <v>13832</v>
      </c>
      <c r="B4819" s="2352" t="s">
        <v>13665</v>
      </c>
      <c r="C4819" s="2352" t="s">
        <v>13665</v>
      </c>
      <c r="D4819" s="2352" t="s">
        <v>13833</v>
      </c>
      <c r="E4819" s="355" t="s">
        <v>17097</v>
      </c>
      <c r="F4819" s="1662" t="s">
        <v>20114</v>
      </c>
    </row>
    <row r="4820" spans="1:6" ht="15" customHeight="1" x14ac:dyDescent="0.25">
      <c r="A4820" s="2352" t="s">
        <v>13834</v>
      </c>
      <c r="B4820" s="2352" t="s">
        <v>13665</v>
      </c>
      <c r="C4820" s="2352" t="s">
        <v>13665</v>
      </c>
      <c r="D4820" s="2352" t="s">
        <v>13835</v>
      </c>
      <c r="E4820" s="355" t="s">
        <v>17105</v>
      </c>
      <c r="F4820" s="1662" t="s">
        <v>20139</v>
      </c>
    </row>
    <row r="4821" spans="1:6" ht="15" customHeight="1" x14ac:dyDescent="0.25">
      <c r="A4821" s="2352" t="s">
        <v>5060</v>
      </c>
      <c r="B4821" s="2352" t="s">
        <v>13665</v>
      </c>
      <c r="C4821" s="2352" t="s">
        <v>13665</v>
      </c>
      <c r="D4821" s="2352" t="s">
        <v>13836</v>
      </c>
      <c r="E4821" s="355" t="s">
        <v>17100</v>
      </c>
      <c r="F4821" s="1662" t="s">
        <v>20105</v>
      </c>
    </row>
    <row r="4822" spans="1:6" ht="15" customHeight="1" x14ac:dyDescent="0.25">
      <c r="A4822" s="2352" t="s">
        <v>13837</v>
      </c>
      <c r="B4822" s="2352" t="s">
        <v>13665</v>
      </c>
      <c r="C4822" s="2352" t="s">
        <v>13665</v>
      </c>
      <c r="D4822" s="2352" t="s">
        <v>13838</v>
      </c>
      <c r="E4822" s="355" t="s">
        <v>17097</v>
      </c>
      <c r="F4822" s="1662" t="s">
        <v>20109</v>
      </c>
    </row>
    <row r="4823" spans="1:6" ht="15" customHeight="1" x14ac:dyDescent="0.25">
      <c r="A4823" s="2352" t="s">
        <v>13839</v>
      </c>
      <c r="B4823" s="2352" t="s">
        <v>13665</v>
      </c>
      <c r="C4823" s="2352" t="s">
        <v>13665</v>
      </c>
      <c r="D4823" s="2352" t="s">
        <v>13840</v>
      </c>
      <c r="E4823" s="355" t="s">
        <v>17104</v>
      </c>
      <c r="F4823" s="1662" t="s">
        <v>3652</v>
      </c>
    </row>
    <row r="4824" spans="1:6" ht="15" customHeight="1" x14ac:dyDescent="0.25">
      <c r="A4824" s="2352" t="s">
        <v>13841</v>
      </c>
      <c r="B4824" s="2352" t="s">
        <v>13665</v>
      </c>
      <c r="C4824" s="2352" t="s">
        <v>13665</v>
      </c>
      <c r="D4824" s="2352" t="s">
        <v>13842</v>
      </c>
      <c r="E4824" s="355" t="s">
        <v>17099</v>
      </c>
      <c r="F4824" s="1662" t="s">
        <v>20157</v>
      </c>
    </row>
    <row r="4825" spans="1:6" ht="15" customHeight="1" x14ac:dyDescent="0.25">
      <c r="A4825" s="2352" t="s">
        <v>4569</v>
      </c>
      <c r="B4825" s="2352" t="s">
        <v>13665</v>
      </c>
      <c r="C4825" s="2352" t="s">
        <v>13665</v>
      </c>
      <c r="D4825" s="2352" t="s">
        <v>13843</v>
      </c>
      <c r="E4825" s="355" t="s">
        <v>17104</v>
      </c>
      <c r="F4825" s="1662" t="s">
        <v>3652</v>
      </c>
    </row>
    <row r="4826" spans="1:6" ht="15" customHeight="1" x14ac:dyDescent="0.25">
      <c r="A4826" s="2352" t="s">
        <v>13827</v>
      </c>
      <c r="B4826" s="2352" t="s">
        <v>13665</v>
      </c>
      <c r="C4826" s="2352" t="s">
        <v>13665</v>
      </c>
      <c r="D4826" s="2352" t="s">
        <v>13844</v>
      </c>
      <c r="E4826" s="355" t="s">
        <v>17102</v>
      </c>
      <c r="F4826" s="1662" t="s">
        <v>20106</v>
      </c>
    </row>
    <row r="4827" spans="1:6" ht="15" customHeight="1" x14ac:dyDescent="0.25">
      <c r="A4827" s="2352" t="s">
        <v>13827</v>
      </c>
      <c r="B4827" s="2352" t="s">
        <v>13665</v>
      </c>
      <c r="C4827" s="2352" t="s">
        <v>13665</v>
      </c>
      <c r="D4827" s="2352" t="s">
        <v>13845</v>
      </c>
      <c r="E4827" s="355" t="s">
        <v>17102</v>
      </c>
      <c r="F4827" s="1662" t="s">
        <v>20158</v>
      </c>
    </row>
    <row r="4828" spans="1:6" ht="15" customHeight="1" x14ac:dyDescent="0.25">
      <c r="A4828" s="2352" t="s">
        <v>13827</v>
      </c>
      <c r="B4828" s="2352" t="s">
        <v>13665</v>
      </c>
      <c r="C4828" s="2352" t="s">
        <v>13665</v>
      </c>
      <c r="D4828" s="2352" t="s">
        <v>13846</v>
      </c>
      <c r="E4828" s="355" t="s">
        <v>17095</v>
      </c>
      <c r="F4828" s="1662" t="s">
        <v>20156</v>
      </c>
    </row>
    <row r="4829" spans="1:6" ht="15" customHeight="1" x14ac:dyDescent="0.25">
      <c r="A4829" s="2352" t="s">
        <v>13827</v>
      </c>
      <c r="B4829" s="2352" t="s">
        <v>13665</v>
      </c>
      <c r="C4829" s="2352" t="s">
        <v>13665</v>
      </c>
      <c r="D4829" s="2352" t="s">
        <v>13847</v>
      </c>
      <c r="E4829" s="355" t="s">
        <v>17099</v>
      </c>
      <c r="F4829" s="1662" t="s">
        <v>20133</v>
      </c>
    </row>
    <row r="4830" spans="1:6" ht="15" customHeight="1" x14ac:dyDescent="0.25">
      <c r="A4830" s="2352" t="s">
        <v>13827</v>
      </c>
      <c r="B4830" s="2352" t="s">
        <v>13665</v>
      </c>
      <c r="C4830" s="2352" t="s">
        <v>13665</v>
      </c>
      <c r="D4830" s="2352" t="s">
        <v>13848</v>
      </c>
      <c r="E4830" s="355" t="s">
        <v>17102</v>
      </c>
      <c r="F4830" s="1662" t="s">
        <v>20159</v>
      </c>
    </row>
    <row r="4831" spans="1:6" ht="15" customHeight="1" x14ac:dyDescent="0.25">
      <c r="A4831" s="2352" t="s">
        <v>13827</v>
      </c>
      <c r="B4831" s="2352" t="s">
        <v>13665</v>
      </c>
      <c r="C4831" s="2352" t="s">
        <v>13665</v>
      </c>
      <c r="D4831" s="2352" t="s">
        <v>13849</v>
      </c>
      <c r="E4831" s="355" t="s">
        <v>17095</v>
      </c>
      <c r="F4831" s="1662" t="s">
        <v>20145</v>
      </c>
    </row>
    <row r="4832" spans="1:6" ht="15" customHeight="1" x14ac:dyDescent="0.25">
      <c r="A4832" s="2352" t="s">
        <v>4147</v>
      </c>
      <c r="B4832" s="2352" t="s">
        <v>13665</v>
      </c>
      <c r="C4832" s="2352" t="s">
        <v>13665</v>
      </c>
      <c r="D4832" s="2352" t="s">
        <v>13850</v>
      </c>
      <c r="E4832" s="355" t="s">
        <v>17097</v>
      </c>
      <c r="F4832" s="1662" t="s">
        <v>8651</v>
      </c>
    </row>
    <row r="4833" spans="1:6" ht="15" customHeight="1" x14ac:dyDescent="0.25">
      <c r="A4833" s="2352" t="s">
        <v>13851</v>
      </c>
      <c r="B4833" s="2352" t="s">
        <v>13665</v>
      </c>
      <c r="C4833" s="2352" t="s">
        <v>13665</v>
      </c>
      <c r="D4833" s="2352" t="s">
        <v>13852</v>
      </c>
      <c r="E4833" s="355" t="s">
        <v>17102</v>
      </c>
      <c r="F4833" s="1662" t="s">
        <v>20141</v>
      </c>
    </row>
    <row r="4834" spans="1:6" ht="15" customHeight="1" x14ac:dyDescent="0.25">
      <c r="A4834" s="2352" t="s">
        <v>13851</v>
      </c>
      <c r="B4834" s="2352" t="s">
        <v>13665</v>
      </c>
      <c r="C4834" s="2352" t="s">
        <v>13665</v>
      </c>
      <c r="D4834" s="2352" t="s">
        <v>13853</v>
      </c>
      <c r="E4834" s="355" t="s">
        <v>17101</v>
      </c>
      <c r="F4834" s="1662" t="s">
        <v>20160</v>
      </c>
    </row>
    <row r="4835" spans="1:6" ht="15" customHeight="1" x14ac:dyDescent="0.25">
      <c r="A4835" s="2352" t="s">
        <v>9646</v>
      </c>
      <c r="B4835" s="2352" t="s">
        <v>13665</v>
      </c>
      <c r="C4835" s="2352" t="s">
        <v>13665</v>
      </c>
      <c r="D4835" s="2352" t="s">
        <v>13854</v>
      </c>
      <c r="E4835" s="355" t="s">
        <v>17098</v>
      </c>
      <c r="F4835" s="1662" t="s">
        <v>3225</v>
      </c>
    </row>
    <row r="4836" spans="1:6" ht="15" customHeight="1" x14ac:dyDescent="0.25">
      <c r="A4836" s="2352" t="s">
        <v>13851</v>
      </c>
      <c r="B4836" s="2352" t="s">
        <v>13665</v>
      </c>
      <c r="C4836" s="2352" t="s">
        <v>13665</v>
      </c>
      <c r="D4836" s="2352" t="s">
        <v>13855</v>
      </c>
      <c r="E4836" s="355" t="s">
        <v>17102</v>
      </c>
      <c r="F4836" s="1662" t="s">
        <v>20133</v>
      </c>
    </row>
    <row r="4837" spans="1:6" ht="15" customHeight="1" x14ac:dyDescent="0.25">
      <c r="A4837" s="2352" t="s">
        <v>13851</v>
      </c>
      <c r="B4837" s="2352" t="s">
        <v>13665</v>
      </c>
      <c r="C4837" s="2352" t="s">
        <v>13665</v>
      </c>
      <c r="D4837" s="2352" t="s">
        <v>13856</v>
      </c>
      <c r="E4837" s="355" t="s">
        <v>17095</v>
      </c>
      <c r="F4837" s="1662" t="s">
        <v>20161</v>
      </c>
    </row>
    <row r="4838" spans="1:6" ht="15" customHeight="1" x14ac:dyDescent="0.25">
      <c r="A4838" s="2352" t="s">
        <v>13857</v>
      </c>
      <c r="B4838" s="2352" t="s">
        <v>13665</v>
      </c>
      <c r="C4838" s="2352" t="s">
        <v>13665</v>
      </c>
      <c r="D4838" s="2352" t="s">
        <v>13858</v>
      </c>
      <c r="E4838" s="355" t="s">
        <v>17104</v>
      </c>
      <c r="F4838" s="1662" t="s">
        <v>20118</v>
      </c>
    </row>
    <row r="4839" spans="1:6" ht="15" customHeight="1" x14ac:dyDescent="0.25">
      <c r="A4839" s="2352" t="s">
        <v>10993</v>
      </c>
      <c r="B4839" s="2352" t="s">
        <v>13665</v>
      </c>
      <c r="C4839" s="2352" t="s">
        <v>13665</v>
      </c>
      <c r="D4839" s="2352" t="s">
        <v>13859</v>
      </c>
      <c r="E4839" s="355" t="s">
        <v>17104</v>
      </c>
      <c r="F4839" s="1662" t="s">
        <v>20132</v>
      </c>
    </row>
    <row r="4840" spans="1:6" ht="15" customHeight="1" x14ac:dyDescent="0.25">
      <c r="A4840" s="2352" t="s">
        <v>13785</v>
      </c>
      <c r="B4840" s="2352" t="s">
        <v>13665</v>
      </c>
      <c r="C4840" s="2352" t="s">
        <v>13665</v>
      </c>
      <c r="D4840" s="2352" t="s">
        <v>13860</v>
      </c>
      <c r="E4840" s="355" t="s">
        <v>17099</v>
      </c>
      <c r="F4840" s="1662" t="s">
        <v>20112</v>
      </c>
    </row>
    <row r="4841" spans="1:6" ht="15" customHeight="1" x14ac:dyDescent="0.25">
      <c r="A4841" s="2352" t="s">
        <v>13861</v>
      </c>
      <c r="B4841" s="2352" t="s">
        <v>13665</v>
      </c>
      <c r="C4841" s="2352" t="s">
        <v>13665</v>
      </c>
      <c r="D4841" s="2352" t="s">
        <v>13862</v>
      </c>
      <c r="E4841" s="355" t="s">
        <v>17097</v>
      </c>
      <c r="F4841" s="1662" t="s">
        <v>20149</v>
      </c>
    </row>
    <row r="4842" spans="1:6" ht="15" customHeight="1" x14ac:dyDescent="0.25">
      <c r="A4842" s="2352" t="s">
        <v>13863</v>
      </c>
      <c r="B4842" s="2352" t="s">
        <v>13665</v>
      </c>
      <c r="C4842" s="2352" t="s">
        <v>13665</v>
      </c>
      <c r="D4842" s="2352" t="s">
        <v>13864</v>
      </c>
      <c r="E4842" s="355" t="s">
        <v>17097</v>
      </c>
      <c r="F4842" s="1662" t="s">
        <v>20133</v>
      </c>
    </row>
    <row r="4843" spans="1:6" ht="15" customHeight="1" x14ac:dyDescent="0.25">
      <c r="A4843" s="2352" t="s">
        <v>13865</v>
      </c>
      <c r="B4843" s="2352" t="s">
        <v>13665</v>
      </c>
      <c r="C4843" s="2352" t="s">
        <v>13665</v>
      </c>
      <c r="D4843" s="2352" t="s">
        <v>13866</v>
      </c>
      <c r="E4843" s="355" t="s">
        <v>17103</v>
      </c>
      <c r="F4843" s="1662" t="s">
        <v>3652</v>
      </c>
    </row>
    <row r="4844" spans="1:6" ht="15" customHeight="1" x14ac:dyDescent="0.25">
      <c r="A4844" s="2352" t="s">
        <v>6552</v>
      </c>
      <c r="B4844" s="2352" t="s">
        <v>13665</v>
      </c>
      <c r="C4844" s="2352" t="s">
        <v>13665</v>
      </c>
      <c r="D4844" s="2352" t="s">
        <v>13867</v>
      </c>
      <c r="E4844" s="355" t="s">
        <v>17098</v>
      </c>
      <c r="F4844" s="1662" t="s">
        <v>20107</v>
      </c>
    </row>
    <row r="4845" spans="1:6" ht="15" customHeight="1" x14ac:dyDescent="0.25">
      <c r="A4845" s="2352" t="s">
        <v>6538</v>
      </c>
      <c r="B4845" s="2352" t="s">
        <v>13665</v>
      </c>
      <c r="C4845" s="2352" t="s">
        <v>13665</v>
      </c>
      <c r="D4845" s="2352" t="s">
        <v>13868</v>
      </c>
      <c r="E4845" s="355" t="s">
        <v>17102</v>
      </c>
      <c r="F4845" s="1662" t="s">
        <v>20162</v>
      </c>
    </row>
    <row r="4846" spans="1:6" ht="15" customHeight="1" x14ac:dyDescent="0.25">
      <c r="A4846" s="2352" t="s">
        <v>13869</v>
      </c>
      <c r="B4846" s="2352" t="s">
        <v>13665</v>
      </c>
      <c r="C4846" s="2352" t="s">
        <v>13665</v>
      </c>
      <c r="D4846" s="2352" t="s">
        <v>13870</v>
      </c>
      <c r="E4846" s="355" t="s">
        <v>17099</v>
      </c>
      <c r="F4846" s="1662" t="s">
        <v>20149</v>
      </c>
    </row>
    <row r="4847" spans="1:6" ht="15" customHeight="1" x14ac:dyDescent="0.25">
      <c r="A4847" s="2352" t="s">
        <v>13871</v>
      </c>
      <c r="B4847" s="2352" t="s">
        <v>13665</v>
      </c>
      <c r="C4847" s="2352" t="s">
        <v>13665</v>
      </c>
      <c r="D4847" s="2352" t="s">
        <v>13872</v>
      </c>
      <c r="E4847" s="355" t="s">
        <v>17104</v>
      </c>
      <c r="F4847" s="1662" t="s">
        <v>20117</v>
      </c>
    </row>
    <row r="4848" spans="1:6" ht="15" customHeight="1" x14ac:dyDescent="0.25">
      <c r="A4848" s="2352" t="s">
        <v>13873</v>
      </c>
      <c r="B4848" s="2352" t="s">
        <v>13665</v>
      </c>
      <c r="C4848" s="2352" t="s">
        <v>13665</v>
      </c>
      <c r="D4848" s="2352" t="s">
        <v>13874</v>
      </c>
      <c r="E4848" s="355" t="s">
        <v>17111</v>
      </c>
      <c r="F4848" s="1662" t="s">
        <v>20149</v>
      </c>
    </row>
    <row r="4849" spans="1:6" ht="15" customHeight="1" x14ac:dyDescent="0.25">
      <c r="A4849" s="2352" t="s">
        <v>13875</v>
      </c>
      <c r="B4849" s="2352" t="s">
        <v>13665</v>
      </c>
      <c r="C4849" s="2352" t="s">
        <v>13665</v>
      </c>
      <c r="D4849" s="2352" t="s">
        <v>13876</v>
      </c>
      <c r="E4849" s="355" t="s">
        <v>17104</v>
      </c>
      <c r="F4849" s="1662" t="s">
        <v>3654</v>
      </c>
    </row>
    <row r="4850" spans="1:6" ht="15" customHeight="1" x14ac:dyDescent="0.25">
      <c r="A4850" s="2352" t="s">
        <v>13830</v>
      </c>
      <c r="B4850" s="2352" t="s">
        <v>13665</v>
      </c>
      <c r="C4850" s="2352" t="s">
        <v>13665</v>
      </c>
      <c r="D4850" s="2352" t="s">
        <v>13877</v>
      </c>
      <c r="E4850" s="355" t="s">
        <v>17097</v>
      </c>
      <c r="F4850" s="1662" t="s">
        <v>20149</v>
      </c>
    </row>
    <row r="4851" spans="1:6" ht="15" customHeight="1" x14ac:dyDescent="0.25">
      <c r="A4851" s="2352" t="s">
        <v>13878</v>
      </c>
      <c r="B4851" s="2352" t="s">
        <v>13665</v>
      </c>
      <c r="C4851" s="2352" t="s">
        <v>13665</v>
      </c>
      <c r="D4851" s="2352" t="s">
        <v>13879</v>
      </c>
      <c r="E4851" s="355" t="s">
        <v>17097</v>
      </c>
      <c r="F4851" s="1662" t="s">
        <v>20150</v>
      </c>
    </row>
    <row r="4852" spans="1:6" ht="15" customHeight="1" x14ac:dyDescent="0.25">
      <c r="A4852" s="2352" t="s">
        <v>10541</v>
      </c>
      <c r="B4852" s="2352" t="s">
        <v>13665</v>
      </c>
      <c r="C4852" s="2352" t="s">
        <v>13665</v>
      </c>
      <c r="D4852" s="2352" t="s">
        <v>13880</v>
      </c>
      <c r="E4852" s="355" t="s">
        <v>17102</v>
      </c>
      <c r="F4852" s="1662" t="s">
        <v>20123</v>
      </c>
    </row>
    <row r="4853" spans="1:6" ht="15" customHeight="1" x14ac:dyDescent="0.25">
      <c r="A4853" s="2352" t="s">
        <v>3964</v>
      </c>
      <c r="B4853" s="2352" t="s">
        <v>13665</v>
      </c>
      <c r="C4853" s="2352" t="s">
        <v>13665</v>
      </c>
      <c r="D4853" s="2352" t="s">
        <v>13881</v>
      </c>
      <c r="E4853" s="355" t="s">
        <v>17102</v>
      </c>
      <c r="F4853" s="1662" t="s">
        <v>20163</v>
      </c>
    </row>
    <row r="4854" spans="1:6" ht="15" customHeight="1" x14ac:dyDescent="0.25">
      <c r="A4854" s="2352" t="s">
        <v>3718</v>
      </c>
      <c r="B4854" s="2352" t="s">
        <v>13665</v>
      </c>
      <c r="C4854" s="2352" t="s">
        <v>13665</v>
      </c>
      <c r="D4854" s="2352" t="s">
        <v>13882</v>
      </c>
      <c r="E4854" s="355" t="s">
        <v>17095</v>
      </c>
      <c r="F4854" s="1662" t="s">
        <v>20110</v>
      </c>
    </row>
    <row r="4855" spans="1:6" ht="15" customHeight="1" x14ac:dyDescent="0.25">
      <c r="A4855" s="2352" t="s">
        <v>3718</v>
      </c>
      <c r="B4855" s="2352" t="s">
        <v>13665</v>
      </c>
      <c r="C4855" s="2352" t="s">
        <v>13665</v>
      </c>
      <c r="D4855" s="2352" t="s">
        <v>13883</v>
      </c>
      <c r="E4855" s="355" t="s">
        <v>17095</v>
      </c>
      <c r="F4855" s="1662" t="s">
        <v>20164</v>
      </c>
    </row>
    <row r="4856" spans="1:6" ht="15" customHeight="1" x14ac:dyDescent="0.25">
      <c r="A4856" s="2352" t="s">
        <v>3718</v>
      </c>
      <c r="B4856" s="2352" t="s">
        <v>13665</v>
      </c>
      <c r="C4856" s="2352" t="s">
        <v>13665</v>
      </c>
      <c r="D4856" s="2352" t="s">
        <v>13884</v>
      </c>
      <c r="E4856" s="355" t="s">
        <v>17095</v>
      </c>
      <c r="F4856" s="1662" t="s">
        <v>20165</v>
      </c>
    </row>
    <row r="4857" spans="1:6" ht="15" customHeight="1" x14ac:dyDescent="0.25">
      <c r="A4857" s="2352" t="s">
        <v>13885</v>
      </c>
      <c r="B4857" s="2352" t="s">
        <v>13665</v>
      </c>
      <c r="C4857" s="2352" t="s">
        <v>13665</v>
      </c>
      <c r="D4857" s="2352" t="s">
        <v>13886</v>
      </c>
      <c r="E4857" s="355" t="s">
        <v>17098</v>
      </c>
      <c r="F4857" s="1662" t="s">
        <v>20117</v>
      </c>
    </row>
    <row r="4858" spans="1:6" ht="15" customHeight="1" x14ac:dyDescent="0.25">
      <c r="A4858" s="2352" t="s">
        <v>6638</v>
      </c>
      <c r="B4858" s="2352" t="s">
        <v>13665</v>
      </c>
      <c r="C4858" s="2352" t="s">
        <v>13665</v>
      </c>
      <c r="D4858" s="2352" t="s">
        <v>13887</v>
      </c>
      <c r="E4858" s="355" t="s">
        <v>17097</v>
      </c>
      <c r="F4858" s="1662" t="s">
        <v>20118</v>
      </c>
    </row>
    <row r="4859" spans="1:6" ht="15" customHeight="1" x14ac:dyDescent="0.25">
      <c r="A4859" s="2352" t="s">
        <v>4153</v>
      </c>
      <c r="B4859" s="2352" t="s">
        <v>13665</v>
      </c>
      <c r="C4859" s="2352" t="s">
        <v>13665</v>
      </c>
      <c r="D4859" s="2352" t="s">
        <v>13888</v>
      </c>
      <c r="E4859" s="355" t="s">
        <v>17102</v>
      </c>
      <c r="F4859" s="1662" t="s">
        <v>20133</v>
      </c>
    </row>
    <row r="4860" spans="1:6" ht="15" customHeight="1" x14ac:dyDescent="0.25">
      <c r="A4860" s="2352" t="s">
        <v>6541</v>
      </c>
      <c r="B4860" s="2352" t="s">
        <v>13665</v>
      </c>
      <c r="C4860" s="2352" t="s">
        <v>13665</v>
      </c>
      <c r="D4860" s="2352" t="s">
        <v>13889</v>
      </c>
      <c r="E4860" s="355" t="s">
        <v>17099</v>
      </c>
      <c r="F4860" s="1662" t="s">
        <v>20150</v>
      </c>
    </row>
    <row r="4861" spans="1:6" ht="15" customHeight="1" x14ac:dyDescent="0.25">
      <c r="A4861" s="2352" t="s">
        <v>13890</v>
      </c>
      <c r="B4861" s="2352" t="s">
        <v>13665</v>
      </c>
      <c r="C4861" s="2352" t="s">
        <v>13665</v>
      </c>
      <c r="D4861" s="2352" t="s">
        <v>13891</v>
      </c>
      <c r="E4861" s="355" t="s">
        <v>17095</v>
      </c>
      <c r="F4861" s="1662" t="s">
        <v>20166</v>
      </c>
    </row>
    <row r="4862" spans="1:6" ht="15" customHeight="1" x14ac:dyDescent="0.25">
      <c r="A4862" s="2352" t="s">
        <v>10790</v>
      </c>
      <c r="B4862" s="2352" t="s">
        <v>13665</v>
      </c>
      <c r="C4862" s="2352" t="s">
        <v>13665</v>
      </c>
      <c r="D4862" s="2352" t="s">
        <v>13892</v>
      </c>
      <c r="E4862" s="355" t="s">
        <v>17097</v>
      </c>
      <c r="F4862" s="1662" t="s">
        <v>20167</v>
      </c>
    </row>
    <row r="4863" spans="1:6" ht="15" customHeight="1" x14ac:dyDescent="0.25">
      <c r="A4863" s="2352" t="s">
        <v>13893</v>
      </c>
      <c r="B4863" s="2352" t="s">
        <v>13665</v>
      </c>
      <c r="C4863" s="2352" t="s">
        <v>13665</v>
      </c>
      <c r="D4863" s="2352" t="s">
        <v>13894</v>
      </c>
      <c r="E4863" s="355" t="s">
        <v>17104</v>
      </c>
      <c r="F4863" s="1662" t="s">
        <v>20168</v>
      </c>
    </row>
    <row r="4864" spans="1:6" ht="15" customHeight="1" x14ac:dyDescent="0.25">
      <c r="A4864" s="2352" t="s">
        <v>13895</v>
      </c>
      <c r="B4864" s="2352" t="s">
        <v>13665</v>
      </c>
      <c r="C4864" s="2352" t="s">
        <v>13665</v>
      </c>
      <c r="D4864" s="2352" t="s">
        <v>13896</v>
      </c>
      <c r="E4864" s="355" t="s">
        <v>17104</v>
      </c>
      <c r="F4864" s="1662" t="s">
        <v>20139</v>
      </c>
    </row>
    <row r="4865" spans="1:6" ht="15" customHeight="1" x14ac:dyDescent="0.25">
      <c r="A4865" s="2352" t="s">
        <v>13897</v>
      </c>
      <c r="B4865" s="2352" t="s">
        <v>13665</v>
      </c>
      <c r="C4865" s="2352" t="s">
        <v>13665</v>
      </c>
      <c r="D4865" s="2352" t="s">
        <v>13898</v>
      </c>
      <c r="E4865" s="355" t="s">
        <v>17099</v>
      </c>
      <c r="F4865" s="1662" t="s">
        <v>8651</v>
      </c>
    </row>
    <row r="4866" spans="1:6" ht="15" customHeight="1" x14ac:dyDescent="0.25">
      <c r="A4866" s="2352" t="s">
        <v>13899</v>
      </c>
      <c r="B4866" s="2352" t="s">
        <v>13665</v>
      </c>
      <c r="C4866" s="2352" t="s">
        <v>13665</v>
      </c>
      <c r="D4866" s="2352" t="s">
        <v>13898</v>
      </c>
      <c r="E4866" s="355" t="s">
        <v>17099</v>
      </c>
      <c r="F4866" s="1662">
        <v>25</v>
      </c>
    </row>
    <row r="4867" spans="1:6" ht="15" customHeight="1" x14ac:dyDescent="0.25">
      <c r="A4867" s="2352" t="s">
        <v>20169</v>
      </c>
      <c r="B4867" s="2352" t="s">
        <v>13665</v>
      </c>
      <c r="C4867" s="2352" t="s">
        <v>13665</v>
      </c>
      <c r="D4867" s="2352" t="s">
        <v>13900</v>
      </c>
      <c r="E4867" s="355" t="s">
        <v>17099</v>
      </c>
      <c r="F4867" s="1662" t="s">
        <v>20146</v>
      </c>
    </row>
    <row r="4868" spans="1:6" ht="15" customHeight="1" x14ac:dyDescent="0.25">
      <c r="A4868" s="2352" t="s">
        <v>20169</v>
      </c>
      <c r="B4868" s="2352" t="s">
        <v>13665</v>
      </c>
      <c r="C4868" s="2352" t="s">
        <v>13665</v>
      </c>
      <c r="D4868" s="2352" t="s">
        <v>13901</v>
      </c>
      <c r="E4868" s="355" t="s">
        <v>17102</v>
      </c>
      <c r="F4868" s="1662" t="s">
        <v>20170</v>
      </c>
    </row>
    <row r="4869" spans="1:6" ht="15" customHeight="1" x14ac:dyDescent="0.25">
      <c r="A4869" s="2352" t="s">
        <v>13902</v>
      </c>
      <c r="B4869" s="2352" t="s">
        <v>13665</v>
      </c>
      <c r="C4869" s="2352" t="s">
        <v>13665</v>
      </c>
      <c r="D4869" s="2352" t="s">
        <v>13903</v>
      </c>
      <c r="E4869" s="355" t="s">
        <v>17104</v>
      </c>
      <c r="F4869" s="1662" t="s">
        <v>20117</v>
      </c>
    </row>
    <row r="4870" spans="1:6" ht="15" customHeight="1" x14ac:dyDescent="0.25">
      <c r="A4870" s="2352" t="s">
        <v>13904</v>
      </c>
      <c r="B4870" s="2352" t="s">
        <v>13665</v>
      </c>
      <c r="C4870" s="2352" t="s">
        <v>13665</v>
      </c>
      <c r="D4870" s="2352" t="s">
        <v>13905</v>
      </c>
      <c r="E4870" s="355" t="s">
        <v>17099</v>
      </c>
      <c r="F4870" s="1662" t="s">
        <v>20140</v>
      </c>
    </row>
    <row r="4871" spans="1:6" ht="15" customHeight="1" x14ac:dyDescent="0.25">
      <c r="A4871" s="2352" t="s">
        <v>13906</v>
      </c>
      <c r="B4871" s="2352" t="s">
        <v>13665</v>
      </c>
      <c r="C4871" s="2352" t="s">
        <v>13665</v>
      </c>
      <c r="D4871" s="2352" t="s">
        <v>13907</v>
      </c>
      <c r="E4871" s="355" t="s">
        <v>17096</v>
      </c>
      <c r="F4871" s="1662" t="s">
        <v>20171</v>
      </c>
    </row>
    <row r="4872" spans="1:6" ht="15" customHeight="1" x14ac:dyDescent="0.25">
      <c r="A4872" s="2352" t="s">
        <v>13906</v>
      </c>
      <c r="B4872" s="2352" t="s">
        <v>13665</v>
      </c>
      <c r="C4872" s="2352" t="s">
        <v>13665</v>
      </c>
      <c r="D4872" s="2352" t="s">
        <v>13908</v>
      </c>
      <c r="E4872" s="355" t="s">
        <v>17095</v>
      </c>
      <c r="F4872" s="1662" t="s">
        <v>20172</v>
      </c>
    </row>
    <row r="4873" spans="1:6" ht="15" customHeight="1" x14ac:dyDescent="0.25">
      <c r="A4873" s="2352" t="s">
        <v>13906</v>
      </c>
      <c r="B4873" s="2352" t="s">
        <v>13665</v>
      </c>
      <c r="C4873" s="2352" t="s">
        <v>13665</v>
      </c>
      <c r="D4873" s="2352" t="s">
        <v>13909</v>
      </c>
      <c r="E4873" s="355" t="s">
        <v>17096</v>
      </c>
      <c r="F4873" s="1662" t="s">
        <v>20122</v>
      </c>
    </row>
    <row r="4874" spans="1:6" ht="15" customHeight="1" x14ac:dyDescent="0.25">
      <c r="A4874" s="2352" t="s">
        <v>15362</v>
      </c>
      <c r="B4874" s="2352" t="s">
        <v>13665</v>
      </c>
      <c r="C4874" s="2352" t="s">
        <v>13665</v>
      </c>
      <c r="D4874" s="2352" t="s">
        <v>13910</v>
      </c>
      <c r="E4874" s="355" t="s">
        <v>17104</v>
      </c>
      <c r="F4874" s="1662" t="s">
        <v>20117</v>
      </c>
    </row>
    <row r="4875" spans="1:6" ht="15" customHeight="1" x14ac:dyDescent="0.25">
      <c r="A4875" s="2352" t="s">
        <v>13911</v>
      </c>
      <c r="B4875" s="2352" t="s">
        <v>13665</v>
      </c>
      <c r="C4875" s="2352" t="s">
        <v>13665</v>
      </c>
      <c r="D4875" s="2352" t="s">
        <v>13912</v>
      </c>
      <c r="E4875" s="355" t="s">
        <v>17097</v>
      </c>
      <c r="F4875" s="1662" t="s">
        <v>20107</v>
      </c>
    </row>
    <row r="4876" spans="1:6" ht="15" customHeight="1" x14ac:dyDescent="0.25">
      <c r="A4876" s="2352" t="s">
        <v>13913</v>
      </c>
      <c r="B4876" s="2352" t="s">
        <v>13665</v>
      </c>
      <c r="C4876" s="2352" t="s">
        <v>13665</v>
      </c>
      <c r="D4876" s="2352" t="s">
        <v>13914</v>
      </c>
      <c r="E4876" s="355" t="s">
        <v>17097</v>
      </c>
      <c r="F4876" s="1662" t="s">
        <v>20140</v>
      </c>
    </row>
    <row r="4877" spans="1:6" ht="15" customHeight="1" x14ac:dyDescent="0.25">
      <c r="A4877" s="2352" t="s">
        <v>13913</v>
      </c>
      <c r="B4877" s="2352" t="s">
        <v>13665</v>
      </c>
      <c r="C4877" s="2352" t="s">
        <v>13665</v>
      </c>
      <c r="D4877" s="2352" t="s">
        <v>13915</v>
      </c>
      <c r="E4877" s="355" t="s">
        <v>17102</v>
      </c>
      <c r="F4877" s="1662" t="s">
        <v>20150</v>
      </c>
    </row>
    <row r="4878" spans="1:6" ht="15" customHeight="1" x14ac:dyDescent="0.25">
      <c r="A4878" s="2352" t="s">
        <v>13913</v>
      </c>
      <c r="B4878" s="2352" t="s">
        <v>13665</v>
      </c>
      <c r="C4878" s="2352" t="s">
        <v>13665</v>
      </c>
      <c r="D4878" s="2352" t="s">
        <v>13916</v>
      </c>
      <c r="E4878" s="355" t="s">
        <v>17102</v>
      </c>
      <c r="F4878" s="1662" t="s">
        <v>20109</v>
      </c>
    </row>
    <row r="4879" spans="1:6" ht="15" customHeight="1" x14ac:dyDescent="0.25">
      <c r="A4879" s="2352" t="s">
        <v>13913</v>
      </c>
      <c r="B4879" s="2352" t="s">
        <v>13665</v>
      </c>
      <c r="C4879" s="2352" t="s">
        <v>13665</v>
      </c>
      <c r="D4879" s="2352" t="s">
        <v>13917</v>
      </c>
      <c r="E4879" s="355" t="s">
        <v>17102</v>
      </c>
      <c r="F4879" s="1662" t="s">
        <v>20170</v>
      </c>
    </row>
    <row r="4880" spans="1:6" ht="15" customHeight="1" x14ac:dyDescent="0.25">
      <c r="A4880" s="2352" t="s">
        <v>13913</v>
      </c>
      <c r="B4880" s="2352" t="s">
        <v>13665</v>
      </c>
      <c r="C4880" s="2352" t="s">
        <v>13665</v>
      </c>
      <c r="D4880" s="2352" t="s">
        <v>13918</v>
      </c>
      <c r="E4880" s="355" t="s">
        <v>17099</v>
      </c>
      <c r="F4880" s="1662" t="s">
        <v>20137</v>
      </c>
    </row>
    <row r="4881" spans="1:6" ht="15" customHeight="1" x14ac:dyDescent="0.25">
      <c r="A4881" s="2352" t="s">
        <v>4528</v>
      </c>
      <c r="B4881" s="2352" t="s">
        <v>13665</v>
      </c>
      <c r="C4881" s="2352" t="s">
        <v>13665</v>
      </c>
      <c r="D4881" s="2352" t="s">
        <v>13919</v>
      </c>
      <c r="E4881" s="355" t="s">
        <v>17097</v>
      </c>
      <c r="F4881" s="1662" t="s">
        <v>20146</v>
      </c>
    </row>
    <row r="4882" spans="1:6" ht="15" customHeight="1" x14ac:dyDescent="0.25">
      <c r="A4882" s="2352" t="s">
        <v>7425</v>
      </c>
      <c r="B4882" s="2352" t="s">
        <v>13665</v>
      </c>
      <c r="C4882" s="2352" t="s">
        <v>13665</v>
      </c>
      <c r="D4882" s="2352" t="s">
        <v>13920</v>
      </c>
      <c r="E4882" s="355" t="s">
        <v>17099</v>
      </c>
      <c r="F4882" s="1662" t="s">
        <v>20133</v>
      </c>
    </row>
    <row r="4883" spans="1:6" ht="15" customHeight="1" x14ac:dyDescent="0.25">
      <c r="A4883" s="2352" t="s">
        <v>7222</v>
      </c>
      <c r="B4883" s="2352" t="s">
        <v>13665</v>
      </c>
      <c r="C4883" s="2352" t="s">
        <v>13665</v>
      </c>
      <c r="D4883" s="2352" t="s">
        <v>13921</v>
      </c>
      <c r="E4883" s="355" t="s">
        <v>17099</v>
      </c>
      <c r="F4883" s="1662" t="s">
        <v>20143</v>
      </c>
    </row>
    <row r="4884" spans="1:6" ht="15" customHeight="1" x14ac:dyDescent="0.25">
      <c r="A4884" s="2352" t="s">
        <v>13922</v>
      </c>
      <c r="B4884" s="2352" t="s">
        <v>13665</v>
      </c>
      <c r="C4884" s="2352" t="s">
        <v>13665</v>
      </c>
      <c r="D4884" s="2352" t="s">
        <v>13923</v>
      </c>
      <c r="E4884" s="355" t="s">
        <v>17104</v>
      </c>
      <c r="F4884" s="1662" t="s">
        <v>20107</v>
      </c>
    </row>
    <row r="4885" spans="1:6" ht="15" customHeight="1" x14ac:dyDescent="0.25">
      <c r="A4885" s="2352" t="s">
        <v>20173</v>
      </c>
      <c r="B4885" s="2352" t="s">
        <v>13665</v>
      </c>
      <c r="C4885" s="2352" t="s">
        <v>13665</v>
      </c>
      <c r="D4885" s="2352" t="s">
        <v>13924</v>
      </c>
      <c r="E4885" s="355" t="s">
        <v>17098</v>
      </c>
      <c r="F4885" s="1662" t="s">
        <v>20117</v>
      </c>
    </row>
    <row r="4886" spans="1:6" ht="15" customHeight="1" x14ac:dyDescent="0.25">
      <c r="A4886" s="2352" t="s">
        <v>9357</v>
      </c>
      <c r="B4886" s="2352" t="s">
        <v>13665</v>
      </c>
      <c r="C4886" s="2352" t="s">
        <v>13665</v>
      </c>
      <c r="D4886" s="2352" t="s">
        <v>13925</v>
      </c>
      <c r="E4886" s="355" t="s">
        <v>17104</v>
      </c>
      <c r="F4886" s="1662" t="s">
        <v>20107</v>
      </c>
    </row>
    <row r="4887" spans="1:6" ht="15" customHeight="1" x14ac:dyDescent="0.25">
      <c r="A4887" s="2352" t="s">
        <v>13926</v>
      </c>
      <c r="B4887" s="2352" t="s">
        <v>13665</v>
      </c>
      <c r="C4887" s="2352" t="s">
        <v>13665</v>
      </c>
      <c r="D4887" s="2352" t="s">
        <v>13927</v>
      </c>
      <c r="E4887" s="355" t="s">
        <v>17099</v>
      </c>
      <c r="F4887" s="1662" t="s">
        <v>20112</v>
      </c>
    </row>
    <row r="4888" spans="1:6" ht="15" customHeight="1" x14ac:dyDescent="0.25">
      <c r="A4888" s="2352" t="s">
        <v>4372</v>
      </c>
      <c r="B4888" s="2352" t="s">
        <v>13665</v>
      </c>
      <c r="C4888" s="2352" t="s">
        <v>13665</v>
      </c>
      <c r="D4888" s="2352" t="s">
        <v>13928</v>
      </c>
      <c r="E4888" s="355" t="s">
        <v>17097</v>
      </c>
      <c r="F4888" s="1662" t="s">
        <v>20149</v>
      </c>
    </row>
    <row r="4889" spans="1:6" ht="15" customHeight="1" x14ac:dyDescent="0.25">
      <c r="A4889" s="2352" t="s">
        <v>10896</v>
      </c>
      <c r="B4889" s="2352" t="s">
        <v>13665</v>
      </c>
      <c r="C4889" s="2352" t="s">
        <v>13665</v>
      </c>
      <c r="D4889" s="2352" t="s">
        <v>13929</v>
      </c>
      <c r="E4889" s="355" t="s">
        <v>17097</v>
      </c>
      <c r="F4889" s="1662" t="s">
        <v>20132</v>
      </c>
    </row>
    <row r="4890" spans="1:6" ht="15" customHeight="1" x14ac:dyDescent="0.25">
      <c r="A4890" s="2352" t="s">
        <v>13930</v>
      </c>
      <c r="B4890" s="2352" t="s">
        <v>13665</v>
      </c>
      <c r="C4890" s="2352" t="s">
        <v>13665</v>
      </c>
      <c r="D4890" s="2352" t="s">
        <v>13929</v>
      </c>
      <c r="E4890" s="355" t="s">
        <v>17097</v>
      </c>
      <c r="F4890" s="1662" t="s">
        <v>20132</v>
      </c>
    </row>
    <row r="4891" spans="1:6" ht="15" customHeight="1" x14ac:dyDescent="0.25">
      <c r="A4891" s="2352" t="s">
        <v>9487</v>
      </c>
      <c r="B4891" s="2352" t="s">
        <v>13665</v>
      </c>
      <c r="C4891" s="2352" t="s">
        <v>13665</v>
      </c>
      <c r="D4891" s="2352" t="s">
        <v>13931</v>
      </c>
      <c r="E4891" s="355" t="s">
        <v>17095</v>
      </c>
      <c r="F4891" s="1662" t="s">
        <v>20111</v>
      </c>
    </row>
    <row r="4892" spans="1:6" ht="15" customHeight="1" x14ac:dyDescent="0.25">
      <c r="A4892" s="2352" t="s">
        <v>13932</v>
      </c>
      <c r="B4892" s="2352" t="s">
        <v>13665</v>
      </c>
      <c r="C4892" s="2352" t="s">
        <v>13665</v>
      </c>
      <c r="D4892" s="2352" t="s">
        <v>13933</v>
      </c>
      <c r="E4892" s="355" t="s">
        <v>17099</v>
      </c>
      <c r="F4892" s="1662" t="s">
        <v>20149</v>
      </c>
    </row>
    <row r="4893" spans="1:6" ht="15" customHeight="1" x14ac:dyDescent="0.25">
      <c r="A4893" s="2352" t="s">
        <v>3918</v>
      </c>
      <c r="B4893" s="2352" t="s">
        <v>13665</v>
      </c>
      <c r="C4893" s="2352" t="s">
        <v>13665</v>
      </c>
      <c r="D4893" s="2352" t="s">
        <v>13934</v>
      </c>
      <c r="E4893" s="355" t="s">
        <v>17104</v>
      </c>
      <c r="F4893" s="1662" t="s">
        <v>20117</v>
      </c>
    </row>
    <row r="4894" spans="1:6" ht="15" customHeight="1" x14ac:dyDescent="0.25">
      <c r="A4894" s="2352" t="s">
        <v>13935</v>
      </c>
      <c r="B4894" s="2352" t="s">
        <v>13665</v>
      </c>
      <c r="C4894" s="2352" t="s">
        <v>13665</v>
      </c>
      <c r="D4894" s="2352" t="s">
        <v>13936</v>
      </c>
      <c r="E4894" s="355" t="s">
        <v>17099</v>
      </c>
      <c r="F4894" s="1662" t="s">
        <v>20133</v>
      </c>
    </row>
    <row r="4895" spans="1:6" ht="15" customHeight="1" x14ac:dyDescent="0.25">
      <c r="A4895" s="2352" t="s">
        <v>13937</v>
      </c>
      <c r="B4895" s="2352" t="s">
        <v>13665</v>
      </c>
      <c r="C4895" s="2352" t="s">
        <v>13665</v>
      </c>
      <c r="D4895" s="2352" t="s">
        <v>13938</v>
      </c>
      <c r="E4895" s="355" t="s">
        <v>17104</v>
      </c>
      <c r="F4895" s="1662" t="s">
        <v>20131</v>
      </c>
    </row>
    <row r="4896" spans="1:6" ht="15" customHeight="1" x14ac:dyDescent="0.25">
      <c r="A4896" s="2352" t="s">
        <v>10629</v>
      </c>
      <c r="B4896" s="2352" t="s">
        <v>13665</v>
      </c>
      <c r="C4896" s="2352" t="s">
        <v>13665</v>
      </c>
      <c r="D4896" s="2352" t="s">
        <v>13939</v>
      </c>
      <c r="E4896" s="355" t="s">
        <v>17097</v>
      </c>
      <c r="F4896" s="1662" t="s">
        <v>20174</v>
      </c>
    </row>
    <row r="4897" spans="1:6" ht="15" customHeight="1" x14ac:dyDescent="0.25">
      <c r="A4897" s="2352" t="s">
        <v>4630</v>
      </c>
      <c r="B4897" s="2352" t="s">
        <v>13665</v>
      </c>
      <c r="C4897" s="2352" t="s">
        <v>13665</v>
      </c>
      <c r="D4897" s="2352" t="s">
        <v>13940</v>
      </c>
      <c r="E4897" s="355" t="s">
        <v>17104</v>
      </c>
      <c r="F4897" s="1662" t="s">
        <v>3652</v>
      </c>
    </row>
    <row r="4898" spans="1:6" ht="15" customHeight="1" x14ac:dyDescent="0.25">
      <c r="A4898" s="2352" t="s">
        <v>13941</v>
      </c>
      <c r="B4898" s="2352" t="s">
        <v>13665</v>
      </c>
      <c r="C4898" s="2352" t="s">
        <v>13665</v>
      </c>
      <c r="D4898" s="2352" t="s">
        <v>13942</v>
      </c>
      <c r="E4898" s="355" t="s">
        <v>17097</v>
      </c>
      <c r="F4898" s="1662" t="s">
        <v>20149</v>
      </c>
    </row>
    <row r="4899" spans="1:6" ht="15" customHeight="1" x14ac:dyDescent="0.25">
      <c r="A4899" s="2352" t="s">
        <v>13673</v>
      </c>
      <c r="B4899" s="2352" t="s">
        <v>13665</v>
      </c>
      <c r="C4899" s="2352" t="s">
        <v>13665</v>
      </c>
      <c r="D4899" s="2352" t="s">
        <v>13943</v>
      </c>
      <c r="E4899" s="355" t="s">
        <v>17095</v>
      </c>
      <c r="F4899" s="1662" t="s">
        <v>20156</v>
      </c>
    </row>
    <row r="4900" spans="1:6" ht="15" customHeight="1" x14ac:dyDescent="0.25">
      <c r="A4900" s="2352" t="s">
        <v>13673</v>
      </c>
      <c r="B4900" s="2352" t="s">
        <v>13665</v>
      </c>
      <c r="C4900" s="2352" t="s">
        <v>13665</v>
      </c>
      <c r="D4900" s="2352" t="s">
        <v>13944</v>
      </c>
      <c r="E4900" s="355" t="s">
        <v>17099</v>
      </c>
      <c r="F4900" s="1662" t="s">
        <v>20109</v>
      </c>
    </row>
    <row r="4901" spans="1:6" ht="15" customHeight="1" x14ac:dyDescent="0.25">
      <c r="A4901" s="2352" t="s">
        <v>13673</v>
      </c>
      <c r="B4901" s="2352" t="s">
        <v>13665</v>
      </c>
      <c r="C4901" s="2352" t="s">
        <v>13665</v>
      </c>
      <c r="D4901" s="2352" t="s">
        <v>13945</v>
      </c>
      <c r="E4901" s="355" t="s">
        <v>17102</v>
      </c>
      <c r="F4901" s="1662" t="s">
        <v>20133</v>
      </c>
    </row>
    <row r="4902" spans="1:6" ht="15" customHeight="1" x14ac:dyDescent="0.25">
      <c r="A4902" s="2352" t="s">
        <v>13673</v>
      </c>
      <c r="B4902" s="2352" t="s">
        <v>13665</v>
      </c>
      <c r="C4902" s="2352" t="s">
        <v>13665</v>
      </c>
      <c r="D4902" s="2352" t="s">
        <v>13946</v>
      </c>
      <c r="E4902" s="355" t="s">
        <v>17102</v>
      </c>
      <c r="F4902" s="1662" t="s">
        <v>20130</v>
      </c>
    </row>
    <row r="4903" spans="1:6" ht="15" customHeight="1" x14ac:dyDescent="0.25">
      <c r="A4903" s="2352" t="s">
        <v>13673</v>
      </c>
      <c r="B4903" s="2352" t="s">
        <v>13665</v>
      </c>
      <c r="C4903" s="2352" t="s">
        <v>13665</v>
      </c>
      <c r="D4903" s="2352" t="s">
        <v>13947</v>
      </c>
      <c r="E4903" s="355" t="s">
        <v>17096</v>
      </c>
      <c r="F4903" s="1662" t="s">
        <v>20108</v>
      </c>
    </row>
    <row r="4904" spans="1:6" ht="15" customHeight="1" x14ac:dyDescent="0.25">
      <c r="A4904" s="2352" t="s">
        <v>13948</v>
      </c>
      <c r="B4904" s="2352" t="s">
        <v>13665</v>
      </c>
      <c r="C4904" s="2352" t="s">
        <v>13665</v>
      </c>
      <c r="D4904" s="2352" t="s">
        <v>13949</v>
      </c>
      <c r="E4904" s="355" t="s">
        <v>17099</v>
      </c>
      <c r="F4904" s="1662" t="s">
        <v>20175</v>
      </c>
    </row>
    <row r="4905" spans="1:6" ht="15" customHeight="1" x14ac:dyDescent="0.25">
      <c r="A4905" s="2352" t="s">
        <v>13950</v>
      </c>
      <c r="B4905" s="2352" t="s">
        <v>13665</v>
      </c>
      <c r="C4905" s="2352" t="s">
        <v>13665</v>
      </c>
      <c r="D4905" s="2352" t="s">
        <v>13951</v>
      </c>
      <c r="E4905" s="355" t="s">
        <v>17100</v>
      </c>
      <c r="F4905" s="1662" t="s">
        <v>3225</v>
      </c>
    </row>
    <row r="4906" spans="1:6" ht="15" customHeight="1" x14ac:dyDescent="0.25">
      <c r="A4906" s="2352" t="s">
        <v>13952</v>
      </c>
      <c r="B4906" s="2352" t="s">
        <v>13665</v>
      </c>
      <c r="C4906" s="2352" t="s">
        <v>13665</v>
      </c>
      <c r="D4906" s="2352" t="s">
        <v>13953</v>
      </c>
      <c r="E4906" s="355" t="s">
        <v>17097</v>
      </c>
      <c r="F4906" s="1662" t="s">
        <v>20132</v>
      </c>
    </row>
    <row r="4907" spans="1:6" ht="15" customHeight="1" x14ac:dyDescent="0.25">
      <c r="A4907" s="2352" t="s">
        <v>7928</v>
      </c>
      <c r="B4907" s="2352" t="s">
        <v>13665</v>
      </c>
      <c r="C4907" s="2352" t="s">
        <v>13665</v>
      </c>
      <c r="D4907" s="2352" t="s">
        <v>13954</v>
      </c>
      <c r="E4907" s="355" t="s">
        <v>17104</v>
      </c>
      <c r="F4907" s="1662" t="s">
        <v>20117</v>
      </c>
    </row>
    <row r="4908" spans="1:6" ht="15" customHeight="1" x14ac:dyDescent="0.25">
      <c r="A4908" s="2352" t="s">
        <v>13955</v>
      </c>
      <c r="B4908" s="2352" t="s">
        <v>13665</v>
      </c>
      <c r="C4908" s="2352" t="s">
        <v>13665</v>
      </c>
      <c r="D4908" s="2352" t="s">
        <v>13956</v>
      </c>
      <c r="E4908" s="355" t="s">
        <v>17097</v>
      </c>
      <c r="F4908" s="1662" t="s">
        <v>20149</v>
      </c>
    </row>
    <row r="4909" spans="1:6" ht="15" customHeight="1" x14ac:dyDescent="0.25">
      <c r="A4909" s="2352" t="s">
        <v>13957</v>
      </c>
      <c r="B4909" s="2352" t="s">
        <v>13665</v>
      </c>
      <c r="C4909" s="2352" t="s">
        <v>13665</v>
      </c>
      <c r="D4909" s="2352" t="s">
        <v>13958</v>
      </c>
      <c r="E4909" s="355" t="s">
        <v>17102</v>
      </c>
      <c r="F4909" s="1662" t="s">
        <v>20124</v>
      </c>
    </row>
    <row r="4910" spans="1:6" ht="15" customHeight="1" x14ac:dyDescent="0.25">
      <c r="A4910" s="2352" t="s">
        <v>13957</v>
      </c>
      <c r="B4910" s="2352" t="s">
        <v>13665</v>
      </c>
      <c r="C4910" s="2352" t="s">
        <v>13665</v>
      </c>
      <c r="D4910" s="2352" t="s">
        <v>13959</v>
      </c>
      <c r="E4910" s="355" t="s">
        <v>17102</v>
      </c>
      <c r="F4910" s="1662" t="s">
        <v>20133</v>
      </c>
    </row>
    <row r="4911" spans="1:6" ht="15" customHeight="1" x14ac:dyDescent="0.25">
      <c r="A4911" s="2352" t="s">
        <v>13957</v>
      </c>
      <c r="B4911" s="2352" t="s">
        <v>13665</v>
      </c>
      <c r="C4911" s="2352" t="s">
        <v>13665</v>
      </c>
      <c r="D4911" s="2352" t="s">
        <v>13960</v>
      </c>
      <c r="E4911" s="355" t="s">
        <v>17095</v>
      </c>
      <c r="F4911" s="1662" t="s">
        <v>20111</v>
      </c>
    </row>
    <row r="4912" spans="1:6" ht="15" customHeight="1" x14ac:dyDescent="0.25">
      <c r="A4912" s="2352" t="s">
        <v>13957</v>
      </c>
      <c r="B4912" s="2352" t="s">
        <v>13665</v>
      </c>
      <c r="C4912" s="2352" t="s">
        <v>13665</v>
      </c>
      <c r="D4912" s="2352" t="s">
        <v>13961</v>
      </c>
      <c r="E4912" s="355" t="s">
        <v>17099</v>
      </c>
      <c r="F4912" s="1662" t="s">
        <v>20131</v>
      </c>
    </row>
    <row r="4913" spans="1:6" ht="15" customHeight="1" x14ac:dyDescent="0.25">
      <c r="A4913" s="2352" t="s">
        <v>13957</v>
      </c>
      <c r="B4913" s="2352" t="s">
        <v>13665</v>
      </c>
      <c r="C4913" s="2352" t="s">
        <v>13665</v>
      </c>
      <c r="D4913" s="2352" t="s">
        <v>13962</v>
      </c>
      <c r="E4913" s="355" t="s">
        <v>17096</v>
      </c>
      <c r="F4913" s="1662" t="s">
        <v>20136</v>
      </c>
    </row>
    <row r="4914" spans="1:6" ht="15" customHeight="1" x14ac:dyDescent="0.25">
      <c r="A4914" s="2352" t="s">
        <v>13963</v>
      </c>
      <c r="B4914" s="2352" t="s">
        <v>13665</v>
      </c>
      <c r="C4914" s="2352" t="s">
        <v>13665</v>
      </c>
      <c r="D4914" s="2352" t="s">
        <v>13964</v>
      </c>
      <c r="E4914" s="355" t="s">
        <v>17104</v>
      </c>
      <c r="F4914" s="1662" t="s">
        <v>20118</v>
      </c>
    </row>
    <row r="4915" spans="1:6" ht="15" customHeight="1" x14ac:dyDescent="0.25">
      <c r="A4915" s="2352" t="s">
        <v>13965</v>
      </c>
      <c r="B4915" s="2352" t="s">
        <v>13665</v>
      </c>
      <c r="C4915" s="2352" t="s">
        <v>13665</v>
      </c>
      <c r="D4915" s="2352" t="s">
        <v>13966</v>
      </c>
      <c r="E4915" s="355" t="s">
        <v>17104</v>
      </c>
      <c r="F4915" s="1662" t="s">
        <v>20149</v>
      </c>
    </row>
    <row r="4916" spans="1:6" ht="15" customHeight="1" x14ac:dyDescent="0.25">
      <c r="A4916" s="2352" t="s">
        <v>13967</v>
      </c>
      <c r="B4916" s="2352" t="s">
        <v>13665</v>
      </c>
      <c r="C4916" s="2352" t="s">
        <v>13665</v>
      </c>
      <c r="D4916" s="2352" t="s">
        <v>13968</v>
      </c>
      <c r="E4916" s="355" t="s">
        <v>17111</v>
      </c>
      <c r="F4916" s="1662" t="s">
        <v>8651</v>
      </c>
    </row>
    <row r="4917" spans="1:6" ht="15" customHeight="1" x14ac:dyDescent="0.25">
      <c r="A4917" s="2352" t="s">
        <v>4391</v>
      </c>
      <c r="B4917" s="2352" t="s">
        <v>13665</v>
      </c>
      <c r="C4917" s="2352" t="s">
        <v>13665</v>
      </c>
      <c r="D4917" s="2352" t="s">
        <v>13969</v>
      </c>
      <c r="E4917" s="355" t="s">
        <v>17097</v>
      </c>
      <c r="F4917" s="1662" t="s">
        <v>20149</v>
      </c>
    </row>
    <row r="4918" spans="1:6" ht="15" customHeight="1" x14ac:dyDescent="0.25">
      <c r="A4918" s="2352" t="s">
        <v>3956</v>
      </c>
      <c r="B4918" s="2352" t="s">
        <v>13665</v>
      </c>
      <c r="C4918" s="2352" t="s">
        <v>13665</v>
      </c>
      <c r="D4918" s="2352" t="s">
        <v>13970</v>
      </c>
      <c r="E4918" s="355" t="s">
        <v>17105</v>
      </c>
      <c r="F4918" s="1662" t="s">
        <v>10581</v>
      </c>
    </row>
    <row r="4919" spans="1:6" ht="15" customHeight="1" x14ac:dyDescent="0.25">
      <c r="A4919" s="2352" t="s">
        <v>20176</v>
      </c>
      <c r="B4919" s="2352" t="s">
        <v>13665</v>
      </c>
      <c r="C4919" s="2352" t="s">
        <v>13665</v>
      </c>
      <c r="D4919" s="2352" t="s">
        <v>13971</v>
      </c>
      <c r="E4919" s="355" t="s">
        <v>17102</v>
      </c>
      <c r="F4919" s="1662" t="s">
        <v>20170</v>
      </c>
    </row>
    <row r="4920" spans="1:6" ht="15" customHeight="1" x14ac:dyDescent="0.25">
      <c r="A4920" s="2352" t="s">
        <v>13972</v>
      </c>
      <c r="B4920" s="2352" t="s">
        <v>13665</v>
      </c>
      <c r="C4920" s="2352" t="s">
        <v>13665</v>
      </c>
      <c r="D4920" s="2352" t="s">
        <v>13973</v>
      </c>
      <c r="E4920" s="355" t="s">
        <v>17095</v>
      </c>
      <c r="F4920" s="1662" t="s">
        <v>20177</v>
      </c>
    </row>
    <row r="4921" spans="1:6" ht="15" customHeight="1" x14ac:dyDescent="0.25">
      <c r="A4921" s="2352" t="s">
        <v>11585</v>
      </c>
      <c r="B4921" s="2352" t="s">
        <v>13665</v>
      </c>
      <c r="C4921" s="2352" t="s">
        <v>13665</v>
      </c>
      <c r="D4921" s="2352" t="s">
        <v>13974</v>
      </c>
      <c r="E4921" s="355" t="s">
        <v>17104</v>
      </c>
      <c r="F4921" s="1662" t="s">
        <v>3652</v>
      </c>
    </row>
    <row r="4922" spans="1:6" ht="15" customHeight="1" x14ac:dyDescent="0.25">
      <c r="A4922" s="2352" t="s">
        <v>13975</v>
      </c>
      <c r="B4922" s="2352" t="s">
        <v>13665</v>
      </c>
      <c r="C4922" s="2352" t="s">
        <v>13665</v>
      </c>
      <c r="D4922" s="2352" t="s">
        <v>13976</v>
      </c>
      <c r="E4922" s="355" t="s">
        <v>17104</v>
      </c>
      <c r="F4922" s="1662" t="s">
        <v>3224</v>
      </c>
    </row>
    <row r="4923" spans="1:6" ht="15" customHeight="1" x14ac:dyDescent="0.25">
      <c r="A4923" s="2352" t="s">
        <v>13977</v>
      </c>
      <c r="B4923" s="2352" t="s">
        <v>13665</v>
      </c>
      <c r="C4923" s="2352" t="s">
        <v>13665</v>
      </c>
      <c r="D4923" s="2352" t="s">
        <v>13976</v>
      </c>
      <c r="E4923" s="355" t="s">
        <v>17104</v>
      </c>
      <c r="F4923" s="1662">
        <v>6</v>
      </c>
    </row>
    <row r="4924" spans="1:6" ht="15" customHeight="1" x14ac:dyDescent="0.25">
      <c r="A4924" s="2352" t="s">
        <v>13978</v>
      </c>
      <c r="B4924" s="2352" t="s">
        <v>13665</v>
      </c>
      <c r="C4924" s="2352" t="s">
        <v>13665</v>
      </c>
      <c r="D4924" s="2352" t="s">
        <v>13979</v>
      </c>
      <c r="E4924" s="355" t="s">
        <v>17104</v>
      </c>
      <c r="F4924" s="1662" t="s">
        <v>20118</v>
      </c>
    </row>
    <row r="4925" spans="1:6" ht="15" customHeight="1" x14ac:dyDescent="0.25">
      <c r="A4925" s="2352" t="s">
        <v>13980</v>
      </c>
      <c r="B4925" s="2352" t="s">
        <v>13665</v>
      </c>
      <c r="C4925" s="2352" t="s">
        <v>13665</v>
      </c>
      <c r="D4925" s="2352" t="s">
        <v>13981</v>
      </c>
      <c r="E4925" s="355" t="s">
        <v>17099</v>
      </c>
      <c r="F4925" s="1662" t="s">
        <v>20150</v>
      </c>
    </row>
    <row r="4926" spans="1:6" ht="15" customHeight="1" x14ac:dyDescent="0.25">
      <c r="A4926" s="2352" t="s">
        <v>13980</v>
      </c>
      <c r="B4926" s="2352" t="s">
        <v>13665</v>
      </c>
      <c r="C4926" s="2352" t="s">
        <v>13665</v>
      </c>
      <c r="D4926" s="2352" t="s">
        <v>13982</v>
      </c>
      <c r="E4926" s="355" t="s">
        <v>17102</v>
      </c>
      <c r="F4926" s="1662" t="s">
        <v>20170</v>
      </c>
    </row>
    <row r="4927" spans="1:6" ht="15" customHeight="1" x14ac:dyDescent="0.25">
      <c r="A4927" s="2352" t="s">
        <v>13983</v>
      </c>
      <c r="B4927" s="2352" t="s">
        <v>13665</v>
      </c>
      <c r="C4927" s="2352" t="s">
        <v>13665</v>
      </c>
      <c r="D4927" s="2352" t="s">
        <v>13984</v>
      </c>
      <c r="E4927" s="355" t="s">
        <v>17097</v>
      </c>
      <c r="F4927" s="1662" t="s">
        <v>20149</v>
      </c>
    </row>
    <row r="4928" spans="1:6" ht="15" customHeight="1" x14ac:dyDescent="0.25">
      <c r="A4928" s="2352" t="s">
        <v>11768</v>
      </c>
      <c r="B4928" s="2352" t="s">
        <v>13665</v>
      </c>
      <c r="C4928" s="2352" t="s">
        <v>13665</v>
      </c>
      <c r="D4928" s="2352" t="s">
        <v>13985</v>
      </c>
      <c r="E4928" s="355" t="s">
        <v>17099</v>
      </c>
      <c r="F4928" s="1662" t="s">
        <v>20150</v>
      </c>
    </row>
    <row r="4929" spans="1:6" ht="15" customHeight="1" x14ac:dyDescent="0.25">
      <c r="A4929" s="2352" t="s">
        <v>11768</v>
      </c>
      <c r="B4929" s="2352" t="s">
        <v>13665</v>
      </c>
      <c r="C4929" s="2352" t="s">
        <v>13665</v>
      </c>
      <c r="D4929" s="2352" t="s">
        <v>13986</v>
      </c>
      <c r="E4929" s="355" t="s">
        <v>17102</v>
      </c>
      <c r="F4929" s="1662" t="s">
        <v>20156</v>
      </c>
    </row>
    <row r="4930" spans="1:6" ht="15" customHeight="1" x14ac:dyDescent="0.25">
      <c r="A4930" s="2352" t="s">
        <v>11768</v>
      </c>
      <c r="B4930" s="2352" t="s">
        <v>13665</v>
      </c>
      <c r="C4930" s="2352" t="s">
        <v>13665</v>
      </c>
      <c r="D4930" s="2352" t="s">
        <v>13987</v>
      </c>
      <c r="E4930" s="355" t="s">
        <v>17099</v>
      </c>
      <c r="F4930" s="1662" t="s">
        <v>8651</v>
      </c>
    </row>
    <row r="4931" spans="1:6" ht="15" customHeight="1" x14ac:dyDescent="0.25">
      <c r="A4931" s="2352" t="s">
        <v>13957</v>
      </c>
      <c r="B4931" s="2352" t="s">
        <v>13665</v>
      </c>
      <c r="C4931" s="2352" t="s">
        <v>13665</v>
      </c>
      <c r="D4931" s="2352" t="s">
        <v>13988</v>
      </c>
      <c r="E4931" s="355" t="s">
        <v>17099</v>
      </c>
      <c r="F4931" s="1662" t="s">
        <v>20112</v>
      </c>
    </row>
    <row r="4932" spans="1:6" ht="15" customHeight="1" x14ac:dyDescent="0.25">
      <c r="A4932" s="2352" t="s">
        <v>13989</v>
      </c>
      <c r="B4932" s="2352" t="s">
        <v>13665</v>
      </c>
      <c r="C4932" s="2352" t="s">
        <v>13665</v>
      </c>
      <c r="D4932" s="2352" t="s">
        <v>13990</v>
      </c>
      <c r="E4932" s="355" t="s">
        <v>17099</v>
      </c>
      <c r="F4932" s="1662" t="s">
        <v>20132</v>
      </c>
    </row>
    <row r="4933" spans="1:6" ht="15" customHeight="1" x14ac:dyDescent="0.25">
      <c r="A4933" s="2352" t="s">
        <v>13989</v>
      </c>
      <c r="B4933" s="2352" t="s">
        <v>13665</v>
      </c>
      <c r="C4933" s="2352" t="s">
        <v>13665</v>
      </c>
      <c r="D4933" s="2352" t="s">
        <v>13991</v>
      </c>
      <c r="E4933" s="355" t="s">
        <v>17099</v>
      </c>
      <c r="F4933" s="1662" t="s">
        <v>20131</v>
      </c>
    </row>
    <row r="4934" spans="1:6" ht="15" customHeight="1" x14ac:dyDescent="0.25">
      <c r="A4934" s="2352" t="s">
        <v>13989</v>
      </c>
      <c r="B4934" s="2352" t="s">
        <v>13665</v>
      </c>
      <c r="C4934" s="2352" t="s">
        <v>13665</v>
      </c>
      <c r="D4934" s="2352" t="s">
        <v>13992</v>
      </c>
      <c r="E4934" s="355" t="s">
        <v>17095</v>
      </c>
      <c r="F4934" s="1662" t="s">
        <v>20178</v>
      </c>
    </row>
    <row r="4935" spans="1:6" ht="15" customHeight="1" x14ac:dyDescent="0.25">
      <c r="A4935" s="2352" t="s">
        <v>13989</v>
      </c>
      <c r="B4935" s="2352" t="s">
        <v>13665</v>
      </c>
      <c r="C4935" s="2352" t="s">
        <v>13665</v>
      </c>
      <c r="D4935" s="2352" t="s">
        <v>13993</v>
      </c>
      <c r="E4935" s="355" t="s">
        <v>17095</v>
      </c>
      <c r="F4935" s="1662" t="s">
        <v>13677</v>
      </c>
    </row>
    <row r="4936" spans="1:6" ht="15" customHeight="1" x14ac:dyDescent="0.25">
      <c r="A4936" s="2352" t="s">
        <v>13989</v>
      </c>
      <c r="B4936" s="2352" t="s">
        <v>13665</v>
      </c>
      <c r="C4936" s="2352" t="s">
        <v>13665</v>
      </c>
      <c r="D4936" s="2352" t="s">
        <v>13994</v>
      </c>
      <c r="E4936" s="355" t="s">
        <v>17095</v>
      </c>
      <c r="F4936" s="1662" t="s">
        <v>10534</v>
      </c>
    </row>
    <row r="4937" spans="1:6" ht="15" customHeight="1" x14ac:dyDescent="0.25">
      <c r="A4937" s="2352" t="s">
        <v>13747</v>
      </c>
      <c r="B4937" s="2352" t="s">
        <v>13665</v>
      </c>
      <c r="C4937" s="2352" t="s">
        <v>13665</v>
      </c>
      <c r="D4937" s="2352" t="s">
        <v>13995</v>
      </c>
      <c r="E4937" s="355" t="s">
        <v>17103</v>
      </c>
      <c r="F4937" s="1662" t="s">
        <v>3223</v>
      </c>
    </row>
    <row r="4938" spans="1:6" ht="15" customHeight="1" x14ac:dyDescent="0.25">
      <c r="A4938" s="2352" t="s">
        <v>13996</v>
      </c>
      <c r="B4938" s="2352" t="s">
        <v>13665</v>
      </c>
      <c r="C4938" s="2352" t="s">
        <v>13665</v>
      </c>
      <c r="D4938" s="2352" t="s">
        <v>13997</v>
      </c>
      <c r="E4938" s="355" t="s">
        <v>17097</v>
      </c>
      <c r="F4938" s="1662" t="s">
        <v>8651</v>
      </c>
    </row>
    <row r="4939" spans="1:6" ht="15" customHeight="1" x14ac:dyDescent="0.25">
      <c r="A4939" s="2352" t="s">
        <v>13998</v>
      </c>
      <c r="B4939" s="2352" t="s">
        <v>13665</v>
      </c>
      <c r="C4939" s="2352" t="s">
        <v>13665</v>
      </c>
      <c r="D4939" s="2352" t="s">
        <v>13999</v>
      </c>
      <c r="E4939" s="355" t="s">
        <v>17097</v>
      </c>
      <c r="F4939" s="1662" t="s">
        <v>20131</v>
      </c>
    </row>
    <row r="4940" spans="1:6" ht="15" customHeight="1" x14ac:dyDescent="0.25">
      <c r="A4940" s="2352" t="s">
        <v>14000</v>
      </c>
      <c r="B4940" s="2352" t="s">
        <v>13665</v>
      </c>
      <c r="C4940" s="2352" t="s">
        <v>13665</v>
      </c>
      <c r="D4940" s="2352" t="s">
        <v>14001</v>
      </c>
      <c r="E4940" s="355" t="s">
        <v>17099</v>
      </c>
      <c r="F4940" s="1662" t="s">
        <v>8651</v>
      </c>
    </row>
    <row r="4941" spans="1:6" ht="15" customHeight="1" x14ac:dyDescent="0.25">
      <c r="A4941" s="2352" t="s">
        <v>14002</v>
      </c>
      <c r="B4941" s="2352" t="s">
        <v>13665</v>
      </c>
      <c r="C4941" s="2352" t="s">
        <v>13665</v>
      </c>
      <c r="D4941" s="2352" t="s">
        <v>14003</v>
      </c>
      <c r="E4941" s="355" t="s">
        <v>17111</v>
      </c>
      <c r="F4941" s="1662" t="s">
        <v>20112</v>
      </c>
    </row>
    <row r="4942" spans="1:6" ht="15" customHeight="1" x14ac:dyDescent="0.25">
      <c r="A4942" s="2352" t="s">
        <v>14004</v>
      </c>
      <c r="B4942" s="2352" t="s">
        <v>13665</v>
      </c>
      <c r="C4942" s="2352" t="s">
        <v>13665</v>
      </c>
      <c r="D4942" s="2352" t="s">
        <v>14005</v>
      </c>
      <c r="E4942" s="355" t="s">
        <v>17102</v>
      </c>
      <c r="F4942" s="1662" t="s">
        <v>20179</v>
      </c>
    </row>
    <row r="4943" spans="1:6" ht="15" customHeight="1" x14ac:dyDescent="0.25">
      <c r="A4943" s="2352" t="s">
        <v>14004</v>
      </c>
      <c r="B4943" s="2352" t="s">
        <v>13665</v>
      </c>
      <c r="C4943" s="2352" t="s">
        <v>13665</v>
      </c>
      <c r="D4943" s="2352" t="s">
        <v>14006</v>
      </c>
      <c r="E4943" s="355" t="s">
        <v>17099</v>
      </c>
      <c r="F4943" s="1662" t="s">
        <v>20124</v>
      </c>
    </row>
    <row r="4944" spans="1:6" ht="15" customHeight="1" x14ac:dyDescent="0.25">
      <c r="A4944" s="2352" t="s">
        <v>14004</v>
      </c>
      <c r="B4944" s="2352" t="s">
        <v>13665</v>
      </c>
      <c r="C4944" s="2352" t="s">
        <v>13665</v>
      </c>
      <c r="D4944" s="2352" t="s">
        <v>14007</v>
      </c>
      <c r="E4944" s="355" t="s">
        <v>17095</v>
      </c>
      <c r="F4944" s="1662" t="s">
        <v>20110</v>
      </c>
    </row>
    <row r="4945" spans="1:6" ht="15" customHeight="1" x14ac:dyDescent="0.25">
      <c r="A4945" s="2352" t="s">
        <v>20180</v>
      </c>
      <c r="B4945" s="2352" t="s">
        <v>13665</v>
      </c>
      <c r="C4945" s="2352" t="s">
        <v>13665</v>
      </c>
      <c r="D4945" s="2352" t="s">
        <v>14008</v>
      </c>
      <c r="E4945" s="355" t="s">
        <v>17095</v>
      </c>
      <c r="F4945" s="1662" t="s">
        <v>10507</v>
      </c>
    </row>
    <row r="4946" spans="1:6" ht="15" customHeight="1" x14ac:dyDescent="0.25">
      <c r="A4946" s="2352" t="s">
        <v>20181</v>
      </c>
      <c r="B4946" s="2352" t="s">
        <v>13665</v>
      </c>
      <c r="C4946" s="2352" t="s">
        <v>13665</v>
      </c>
      <c r="D4946" s="2352" t="s">
        <v>14009</v>
      </c>
      <c r="E4946" s="355" t="s">
        <v>17102</v>
      </c>
      <c r="F4946" s="1662" t="s">
        <v>10520</v>
      </c>
    </row>
    <row r="4947" spans="1:6" ht="15" customHeight="1" x14ac:dyDescent="0.25">
      <c r="A4947" s="2352" t="s">
        <v>7403</v>
      </c>
      <c r="B4947" s="2352" t="s">
        <v>13665</v>
      </c>
      <c r="C4947" s="2352" t="s">
        <v>13665</v>
      </c>
      <c r="D4947" s="2352" t="s">
        <v>14010</v>
      </c>
      <c r="E4947" s="355" t="s">
        <v>17111</v>
      </c>
      <c r="F4947" s="1662" t="s">
        <v>20133</v>
      </c>
    </row>
    <row r="4948" spans="1:6" ht="15" customHeight="1" x14ac:dyDescent="0.25">
      <c r="A4948" s="2352" t="s">
        <v>14011</v>
      </c>
      <c r="B4948" s="2352" t="s">
        <v>13665</v>
      </c>
      <c r="C4948" s="2352" t="s">
        <v>13665</v>
      </c>
      <c r="D4948" s="2352" t="s">
        <v>14012</v>
      </c>
      <c r="E4948" s="355" t="s">
        <v>17111</v>
      </c>
      <c r="F4948" s="1662" t="s">
        <v>20182</v>
      </c>
    </row>
    <row r="4949" spans="1:6" ht="15" customHeight="1" x14ac:dyDescent="0.25">
      <c r="A4949" s="2352" t="s">
        <v>15362</v>
      </c>
      <c r="B4949" s="2352" t="s">
        <v>13665</v>
      </c>
      <c r="C4949" s="2352" t="s">
        <v>13665</v>
      </c>
      <c r="D4949" s="2352" t="s">
        <v>14013</v>
      </c>
      <c r="E4949" s="355" t="s">
        <v>17104</v>
      </c>
      <c r="F4949" s="1662" t="s">
        <v>20107</v>
      </c>
    </row>
    <row r="4950" spans="1:6" ht="15" customHeight="1" x14ac:dyDescent="0.25">
      <c r="A4950" s="2352" t="s">
        <v>14014</v>
      </c>
      <c r="B4950" s="2352" t="s">
        <v>13665</v>
      </c>
      <c r="C4950" s="2352" t="s">
        <v>13665</v>
      </c>
      <c r="D4950" s="2352" t="s">
        <v>14015</v>
      </c>
      <c r="E4950" s="355" t="s">
        <v>17111</v>
      </c>
      <c r="F4950" s="1662" t="s">
        <v>20140</v>
      </c>
    </row>
    <row r="4951" spans="1:6" ht="15" customHeight="1" x14ac:dyDescent="0.25">
      <c r="A4951" s="2352" t="s">
        <v>14016</v>
      </c>
      <c r="B4951" s="2352" t="s">
        <v>13665</v>
      </c>
      <c r="C4951" s="2352" t="s">
        <v>13665</v>
      </c>
      <c r="D4951" s="2352" t="s">
        <v>14017</v>
      </c>
      <c r="E4951" s="355" t="s">
        <v>17097</v>
      </c>
      <c r="F4951" s="1662" t="s">
        <v>20150</v>
      </c>
    </row>
    <row r="4952" spans="1:6" ht="15" customHeight="1" x14ac:dyDescent="0.25">
      <c r="A4952" s="2352" t="s">
        <v>14018</v>
      </c>
      <c r="B4952" s="2352" t="s">
        <v>13665</v>
      </c>
      <c r="C4952" s="2352" t="s">
        <v>13665</v>
      </c>
      <c r="D4952" s="2352" t="s">
        <v>14019</v>
      </c>
      <c r="E4952" s="355" t="s">
        <v>17102</v>
      </c>
      <c r="F4952" s="1662" t="s">
        <v>20128</v>
      </c>
    </row>
    <row r="4953" spans="1:6" ht="15" customHeight="1" x14ac:dyDescent="0.25">
      <c r="A4953" s="2352" t="s">
        <v>7301</v>
      </c>
      <c r="B4953" s="2352" t="s">
        <v>13665</v>
      </c>
      <c r="C4953" s="2352" t="s">
        <v>13665</v>
      </c>
      <c r="D4953" s="2352" t="s">
        <v>14020</v>
      </c>
      <c r="E4953" s="355" t="s">
        <v>17099</v>
      </c>
      <c r="F4953" s="1662" t="s">
        <v>20167</v>
      </c>
    </row>
    <row r="4954" spans="1:6" ht="15" customHeight="1" x14ac:dyDescent="0.25">
      <c r="A4954" s="2352" t="s">
        <v>20181</v>
      </c>
      <c r="B4954" s="2352" t="s">
        <v>13665</v>
      </c>
      <c r="C4954" s="2352" t="s">
        <v>13665</v>
      </c>
      <c r="D4954" s="2352" t="s">
        <v>14021</v>
      </c>
      <c r="E4954" s="355" t="s">
        <v>17102</v>
      </c>
      <c r="F4954" s="1662" t="s">
        <v>20183</v>
      </c>
    </row>
    <row r="4955" spans="1:6" ht="15" customHeight="1" x14ac:dyDescent="0.25">
      <c r="A4955" s="2352" t="s">
        <v>20181</v>
      </c>
      <c r="B4955" s="2352" t="s">
        <v>13665</v>
      </c>
      <c r="C4955" s="2352" t="s">
        <v>13665</v>
      </c>
      <c r="D4955" s="2352" t="s">
        <v>14022</v>
      </c>
      <c r="E4955" s="355" t="s">
        <v>17095</v>
      </c>
      <c r="F4955" s="1662" t="s">
        <v>20184</v>
      </c>
    </row>
    <row r="4956" spans="1:6" ht="15" customHeight="1" x14ac:dyDescent="0.25">
      <c r="A4956" s="2352" t="s">
        <v>14023</v>
      </c>
      <c r="B4956" s="2352" t="s">
        <v>13665</v>
      </c>
      <c r="C4956" s="2352" t="s">
        <v>13665</v>
      </c>
      <c r="D4956" s="2352" t="s">
        <v>14024</v>
      </c>
      <c r="E4956" s="355" t="s">
        <v>17104</v>
      </c>
      <c r="F4956" s="1662" t="s">
        <v>20149</v>
      </c>
    </row>
    <row r="4957" spans="1:6" ht="15" customHeight="1" x14ac:dyDescent="0.25">
      <c r="A4957" s="2352" t="s">
        <v>6514</v>
      </c>
      <c r="B4957" s="2352" t="s">
        <v>13665</v>
      </c>
      <c r="C4957" s="2352" t="s">
        <v>13665</v>
      </c>
      <c r="D4957" s="2352" t="s">
        <v>14025</v>
      </c>
      <c r="E4957" s="355" t="s">
        <v>17112</v>
      </c>
      <c r="F4957" s="1662" t="s">
        <v>20159</v>
      </c>
    </row>
    <row r="4958" spans="1:6" ht="15" customHeight="1" x14ac:dyDescent="0.25">
      <c r="A4958" s="2352" t="s">
        <v>6514</v>
      </c>
      <c r="B4958" s="2352" t="s">
        <v>13665</v>
      </c>
      <c r="C4958" s="2352" t="s">
        <v>13665</v>
      </c>
      <c r="D4958" s="2352" t="s">
        <v>14026</v>
      </c>
      <c r="E4958" s="355" t="s">
        <v>17100</v>
      </c>
      <c r="F4958" s="1662" t="s">
        <v>20103</v>
      </c>
    </row>
    <row r="4959" spans="1:6" ht="15" customHeight="1" x14ac:dyDescent="0.25">
      <c r="A4959" s="2352" t="s">
        <v>4547</v>
      </c>
      <c r="B4959" s="2352" t="s">
        <v>13665</v>
      </c>
      <c r="C4959" s="2352" t="s">
        <v>13665</v>
      </c>
      <c r="D4959" s="2352" t="s">
        <v>14027</v>
      </c>
      <c r="E4959" s="355" t="s">
        <v>17104</v>
      </c>
      <c r="F4959" s="1662" t="s">
        <v>3223</v>
      </c>
    </row>
    <row r="4960" spans="1:6" ht="15" customHeight="1" x14ac:dyDescent="0.25">
      <c r="A4960" s="2352" t="s">
        <v>6638</v>
      </c>
      <c r="B4960" s="2352" t="s">
        <v>13665</v>
      </c>
      <c r="C4960" s="2352" t="s">
        <v>13665</v>
      </c>
      <c r="D4960" s="2352" t="s">
        <v>14027</v>
      </c>
      <c r="E4960" s="355" t="s">
        <v>17104</v>
      </c>
      <c r="F4960" s="1662" t="s">
        <v>3223</v>
      </c>
    </row>
    <row r="4961" spans="1:6" ht="15" customHeight="1" x14ac:dyDescent="0.25">
      <c r="A4961" s="2352" t="s">
        <v>14028</v>
      </c>
      <c r="B4961" s="2352" t="s">
        <v>13665</v>
      </c>
      <c r="C4961" s="2352" t="s">
        <v>13665</v>
      </c>
      <c r="D4961" s="2352" t="s">
        <v>14029</v>
      </c>
      <c r="E4961" s="355" t="s">
        <v>17104</v>
      </c>
      <c r="F4961" s="1662" t="s">
        <v>20117</v>
      </c>
    </row>
    <row r="4962" spans="1:6" ht="15" customHeight="1" x14ac:dyDescent="0.25">
      <c r="A4962" s="2352" t="s">
        <v>14030</v>
      </c>
      <c r="B4962" s="2352" t="s">
        <v>13665</v>
      </c>
      <c r="C4962" s="2352" t="s">
        <v>13665</v>
      </c>
      <c r="D4962" s="2352" t="s">
        <v>14031</v>
      </c>
      <c r="E4962" s="355" t="s">
        <v>17104</v>
      </c>
      <c r="F4962" s="1662" t="s">
        <v>3652</v>
      </c>
    </row>
    <row r="4963" spans="1:6" ht="15" customHeight="1" x14ac:dyDescent="0.25">
      <c r="A4963" s="2352" t="s">
        <v>14032</v>
      </c>
      <c r="B4963" s="2352" t="s">
        <v>13665</v>
      </c>
      <c r="C4963" s="2352" t="s">
        <v>13665</v>
      </c>
      <c r="D4963" s="2352" t="s">
        <v>14033</v>
      </c>
      <c r="E4963" s="355" t="s">
        <v>17097</v>
      </c>
      <c r="F4963" s="1662" t="s">
        <v>20117</v>
      </c>
    </row>
    <row r="4964" spans="1:6" ht="15" customHeight="1" x14ac:dyDescent="0.25">
      <c r="A4964" s="2352" t="s">
        <v>14034</v>
      </c>
      <c r="B4964" s="2352" t="s">
        <v>13665</v>
      </c>
      <c r="C4964" s="2352" t="s">
        <v>13665</v>
      </c>
      <c r="D4964" s="2352" t="s">
        <v>14035</v>
      </c>
      <c r="E4964" s="355" t="s">
        <v>17104</v>
      </c>
      <c r="F4964" s="1662" t="s">
        <v>20114</v>
      </c>
    </row>
    <row r="4965" spans="1:6" ht="15" customHeight="1" x14ac:dyDescent="0.25">
      <c r="A4965" s="2352" t="s">
        <v>13770</v>
      </c>
      <c r="B4965" s="2352" t="s">
        <v>13665</v>
      </c>
      <c r="C4965" s="2352" t="s">
        <v>13665</v>
      </c>
      <c r="D4965" s="2352" t="s">
        <v>14036</v>
      </c>
      <c r="E4965" s="355" t="s">
        <v>17104</v>
      </c>
      <c r="F4965" s="1662" t="s">
        <v>3652</v>
      </c>
    </row>
    <row r="4966" spans="1:6" ht="15" customHeight="1" x14ac:dyDescent="0.25">
      <c r="A4966" s="2352" t="s">
        <v>13770</v>
      </c>
      <c r="B4966" s="2352" t="s">
        <v>13665</v>
      </c>
      <c r="C4966" s="2352" t="s">
        <v>13665</v>
      </c>
      <c r="D4966" s="2352" t="s">
        <v>14037</v>
      </c>
      <c r="E4966" s="355" t="s">
        <v>17097</v>
      </c>
      <c r="F4966" s="1662" t="s">
        <v>20117</v>
      </c>
    </row>
    <row r="4967" spans="1:6" ht="15" customHeight="1" x14ac:dyDescent="0.25">
      <c r="A4967" s="2352" t="s">
        <v>13770</v>
      </c>
      <c r="B4967" s="2352" t="s">
        <v>13665</v>
      </c>
      <c r="C4967" s="2352" t="s">
        <v>13665</v>
      </c>
      <c r="D4967" s="2352" t="s">
        <v>14038</v>
      </c>
      <c r="E4967" s="355" t="s">
        <v>17096</v>
      </c>
      <c r="F4967" s="1662" t="s">
        <v>10517</v>
      </c>
    </row>
    <row r="4968" spans="1:6" ht="15" customHeight="1" x14ac:dyDescent="0.25">
      <c r="A4968" s="2352" t="s">
        <v>18095</v>
      </c>
      <c r="B4968" s="2352" t="s">
        <v>18096</v>
      </c>
      <c r="C4968" s="2352" t="s">
        <v>20083</v>
      </c>
      <c r="D4968" s="2352" t="s">
        <v>18097</v>
      </c>
      <c r="E4968" s="355">
        <v>30</v>
      </c>
      <c r="F4968" s="1662">
        <v>2</v>
      </c>
    </row>
    <row r="4969" spans="1:6" ht="15" customHeight="1" x14ac:dyDescent="0.25">
      <c r="A4969" s="2352" t="s">
        <v>18098</v>
      </c>
      <c r="B4969" s="2352" t="s">
        <v>18096</v>
      </c>
      <c r="C4969" s="2352" t="s">
        <v>20083</v>
      </c>
      <c r="D4969" s="2352" t="s">
        <v>18099</v>
      </c>
      <c r="E4969" s="355">
        <v>60</v>
      </c>
      <c r="F4969" s="1662">
        <v>43</v>
      </c>
    </row>
    <row r="4970" spans="1:6" ht="15" customHeight="1" x14ac:dyDescent="0.25">
      <c r="A4970" s="2352" t="s">
        <v>18100</v>
      </c>
      <c r="B4970" s="2352" t="s">
        <v>18096</v>
      </c>
      <c r="C4970" s="2352" t="s">
        <v>20083</v>
      </c>
      <c r="D4970" s="2352" t="s">
        <v>18101</v>
      </c>
      <c r="E4970" s="355">
        <v>60</v>
      </c>
      <c r="F4970" s="1662">
        <v>32</v>
      </c>
    </row>
    <row r="4971" spans="1:6" ht="15" customHeight="1" x14ac:dyDescent="0.25">
      <c r="A4971" s="2352" t="s">
        <v>18102</v>
      </c>
      <c r="B4971" s="2352" t="s">
        <v>18096</v>
      </c>
      <c r="C4971" s="2352" t="s">
        <v>20083</v>
      </c>
      <c r="D4971" s="2352" t="s">
        <v>18103</v>
      </c>
      <c r="E4971" s="355">
        <v>63</v>
      </c>
      <c r="F4971" s="1662">
        <v>48</v>
      </c>
    </row>
    <row r="4972" spans="1:6" ht="15" customHeight="1" x14ac:dyDescent="0.25">
      <c r="A4972" s="2352" t="s">
        <v>18104</v>
      </c>
      <c r="B4972" s="2352" t="s">
        <v>18096</v>
      </c>
      <c r="C4972" s="2352" t="s">
        <v>20083</v>
      </c>
      <c r="D4972" s="2352" t="s">
        <v>18105</v>
      </c>
      <c r="E4972" s="355">
        <v>100</v>
      </c>
      <c r="F4972" s="1662">
        <v>35</v>
      </c>
    </row>
    <row r="4973" spans="1:6" ht="15" customHeight="1" x14ac:dyDescent="0.25">
      <c r="A4973" s="2352" t="s">
        <v>18106</v>
      </c>
      <c r="B4973" s="2352" t="s">
        <v>18096</v>
      </c>
      <c r="C4973" s="2352" t="s">
        <v>20083</v>
      </c>
      <c r="D4973" s="2352" t="s">
        <v>18107</v>
      </c>
      <c r="E4973" s="355">
        <v>20</v>
      </c>
      <c r="F4973" s="1662">
        <v>6</v>
      </c>
    </row>
    <row r="4974" spans="1:6" ht="15" customHeight="1" x14ac:dyDescent="0.25">
      <c r="A4974" s="2352" t="s">
        <v>18108</v>
      </c>
      <c r="B4974" s="2352" t="s">
        <v>18096</v>
      </c>
      <c r="C4974" s="2352" t="s">
        <v>20083</v>
      </c>
      <c r="D4974" s="2352" t="s">
        <v>18109</v>
      </c>
      <c r="E4974" s="355">
        <v>10</v>
      </c>
      <c r="F4974" s="1662">
        <v>5</v>
      </c>
    </row>
    <row r="4975" spans="1:6" ht="15" customHeight="1" x14ac:dyDescent="0.25">
      <c r="A4975" s="2352" t="s">
        <v>18110</v>
      </c>
      <c r="B4975" s="2352" t="s">
        <v>18096</v>
      </c>
      <c r="C4975" s="2352" t="s">
        <v>20083</v>
      </c>
      <c r="D4975" s="2352" t="s">
        <v>18111</v>
      </c>
      <c r="E4975" s="355">
        <v>40</v>
      </c>
      <c r="F4975" s="1662">
        <v>16</v>
      </c>
    </row>
    <row r="4976" spans="1:6" ht="15" customHeight="1" x14ac:dyDescent="0.25">
      <c r="A4976" s="2352" t="s">
        <v>17164</v>
      </c>
      <c r="B4976" s="2352" t="s">
        <v>18096</v>
      </c>
      <c r="C4976" s="2352" t="s">
        <v>20083</v>
      </c>
      <c r="D4976" s="2352" t="s">
        <v>18112</v>
      </c>
      <c r="E4976" s="355">
        <v>40</v>
      </c>
      <c r="F4976" s="1662">
        <v>22</v>
      </c>
    </row>
    <row r="4977" spans="1:6" ht="15" customHeight="1" x14ac:dyDescent="0.25">
      <c r="A4977" s="2352" t="s">
        <v>18113</v>
      </c>
      <c r="B4977" s="2352" t="s">
        <v>18096</v>
      </c>
      <c r="C4977" s="2352" t="s">
        <v>20083</v>
      </c>
      <c r="D4977" s="2352" t="s">
        <v>18114</v>
      </c>
      <c r="E4977" s="355">
        <v>60</v>
      </c>
      <c r="F4977" s="1662">
        <v>26</v>
      </c>
    </row>
    <row r="4978" spans="1:6" ht="15" customHeight="1" x14ac:dyDescent="0.25">
      <c r="A4978" s="2352" t="s">
        <v>18115</v>
      </c>
      <c r="B4978" s="2352" t="s">
        <v>18096</v>
      </c>
      <c r="C4978" s="2352" t="s">
        <v>20083</v>
      </c>
      <c r="D4978" s="2352" t="s">
        <v>18116</v>
      </c>
      <c r="E4978" s="355">
        <v>63</v>
      </c>
      <c r="F4978" s="1662">
        <v>25</v>
      </c>
    </row>
    <row r="4979" spans="1:6" ht="15" customHeight="1" x14ac:dyDescent="0.25">
      <c r="A4979" s="2352" t="s">
        <v>18117</v>
      </c>
      <c r="B4979" s="2352" t="s">
        <v>18096</v>
      </c>
      <c r="C4979" s="2352" t="s">
        <v>20083</v>
      </c>
      <c r="D4979" s="2352" t="s">
        <v>18118</v>
      </c>
      <c r="E4979" s="355">
        <v>160</v>
      </c>
      <c r="F4979" s="1662">
        <v>91</v>
      </c>
    </row>
    <row r="4980" spans="1:6" ht="15" customHeight="1" x14ac:dyDescent="0.25">
      <c r="A4980" s="2352" t="s">
        <v>18119</v>
      </c>
      <c r="B4980" s="2352" t="s">
        <v>18096</v>
      </c>
      <c r="C4980" s="2352" t="s">
        <v>20083</v>
      </c>
      <c r="D4980" s="2352" t="s">
        <v>18120</v>
      </c>
      <c r="E4980" s="355">
        <v>63</v>
      </c>
      <c r="F4980" s="1662">
        <v>20</v>
      </c>
    </row>
    <row r="4981" spans="1:6" ht="15" customHeight="1" x14ac:dyDescent="0.25">
      <c r="A4981" s="2352" t="s">
        <v>18121</v>
      </c>
      <c r="B4981" s="2352" t="s">
        <v>18096</v>
      </c>
      <c r="C4981" s="2352" t="s">
        <v>20083</v>
      </c>
      <c r="D4981" s="2352" t="s">
        <v>18122</v>
      </c>
      <c r="E4981" s="355">
        <v>250</v>
      </c>
      <c r="F4981" s="1662">
        <v>193</v>
      </c>
    </row>
    <row r="4982" spans="1:6" ht="15" customHeight="1" x14ac:dyDescent="0.25">
      <c r="A4982" s="2352" t="s">
        <v>18121</v>
      </c>
      <c r="B4982" s="2352" t="s">
        <v>18096</v>
      </c>
      <c r="C4982" s="2352" t="s">
        <v>20083</v>
      </c>
      <c r="D4982" s="2352" t="s">
        <v>18123</v>
      </c>
      <c r="E4982" s="355">
        <v>250</v>
      </c>
      <c r="F4982" s="1662">
        <v>246</v>
      </c>
    </row>
    <row r="4983" spans="1:6" ht="15" customHeight="1" x14ac:dyDescent="0.25">
      <c r="A4983" s="2352" t="s">
        <v>18121</v>
      </c>
      <c r="B4983" s="2352" t="s">
        <v>18096</v>
      </c>
      <c r="C4983" s="2352" t="s">
        <v>20083</v>
      </c>
      <c r="D4983" s="2352" t="s">
        <v>18124</v>
      </c>
      <c r="E4983" s="355">
        <v>100</v>
      </c>
      <c r="F4983" s="1662">
        <v>68</v>
      </c>
    </row>
    <row r="4984" spans="1:6" ht="15" customHeight="1" x14ac:dyDescent="0.25">
      <c r="A4984" s="2352" t="s">
        <v>18121</v>
      </c>
      <c r="B4984" s="2352" t="s">
        <v>18096</v>
      </c>
      <c r="C4984" s="2352" t="s">
        <v>20083</v>
      </c>
      <c r="D4984" s="2352" t="s">
        <v>18125</v>
      </c>
      <c r="E4984" s="355">
        <v>160</v>
      </c>
      <c r="F4984" s="1662">
        <v>95</v>
      </c>
    </row>
    <row r="4985" spans="1:6" ht="15" customHeight="1" x14ac:dyDescent="0.25">
      <c r="A4985" s="2352" t="s">
        <v>18126</v>
      </c>
      <c r="B4985" s="2352" t="s">
        <v>18096</v>
      </c>
      <c r="C4985" s="2352" t="s">
        <v>20083</v>
      </c>
      <c r="D4985" s="2352" t="s">
        <v>18127</v>
      </c>
      <c r="E4985" s="355">
        <v>100</v>
      </c>
      <c r="F4985" s="1662">
        <v>71</v>
      </c>
    </row>
    <row r="4986" spans="1:6" ht="15" customHeight="1" x14ac:dyDescent="0.25">
      <c r="A4986" s="2352" t="s">
        <v>18128</v>
      </c>
      <c r="B4986" s="2352" t="s">
        <v>18096</v>
      </c>
      <c r="C4986" s="2352" t="s">
        <v>20083</v>
      </c>
      <c r="D4986" s="2352" t="s">
        <v>18129</v>
      </c>
      <c r="E4986" s="355">
        <v>30</v>
      </c>
      <c r="F4986" s="1662">
        <v>16</v>
      </c>
    </row>
    <row r="4987" spans="1:6" ht="15" customHeight="1" x14ac:dyDescent="0.25">
      <c r="A4987" s="2352" t="s">
        <v>18130</v>
      </c>
      <c r="B4987" s="2352" t="s">
        <v>18096</v>
      </c>
      <c r="C4987" s="2352" t="s">
        <v>20083</v>
      </c>
      <c r="D4987" s="2352" t="s">
        <v>18131</v>
      </c>
      <c r="E4987" s="355">
        <v>60</v>
      </c>
      <c r="F4987" s="1662">
        <v>27</v>
      </c>
    </row>
    <row r="4988" spans="1:6" ht="15" customHeight="1" x14ac:dyDescent="0.25">
      <c r="A4988" s="2352" t="s">
        <v>18132</v>
      </c>
      <c r="B4988" s="2352" t="s">
        <v>18096</v>
      </c>
      <c r="C4988" s="2352" t="s">
        <v>20083</v>
      </c>
      <c r="D4988" s="2352" t="s">
        <v>18133</v>
      </c>
      <c r="E4988" s="355">
        <v>20</v>
      </c>
      <c r="F4988" s="1662">
        <v>2</v>
      </c>
    </row>
    <row r="4989" spans="1:6" ht="15" customHeight="1" x14ac:dyDescent="0.25">
      <c r="A4989" s="2352" t="s">
        <v>18134</v>
      </c>
      <c r="B4989" s="2352" t="s">
        <v>18096</v>
      </c>
      <c r="C4989" s="2352" t="s">
        <v>20083</v>
      </c>
      <c r="D4989" s="2352" t="s">
        <v>18135</v>
      </c>
      <c r="E4989" s="355">
        <v>160</v>
      </c>
      <c r="F4989" s="1662">
        <v>135</v>
      </c>
    </row>
    <row r="4990" spans="1:6" ht="15" customHeight="1" x14ac:dyDescent="0.25">
      <c r="A4990" s="2352" t="s">
        <v>18136</v>
      </c>
      <c r="B4990" s="2352" t="s">
        <v>18096</v>
      </c>
      <c r="C4990" s="2352" t="s">
        <v>20083</v>
      </c>
      <c r="D4990" s="2352" t="s">
        <v>18137</v>
      </c>
      <c r="E4990" s="355">
        <v>30</v>
      </c>
      <c r="F4990" s="1662">
        <v>19</v>
      </c>
    </row>
    <row r="4991" spans="1:6" ht="15" customHeight="1" x14ac:dyDescent="0.25">
      <c r="A4991" s="2352" t="s">
        <v>18138</v>
      </c>
      <c r="B4991" s="2352" t="s">
        <v>18096</v>
      </c>
      <c r="C4991" s="2352" t="s">
        <v>20083</v>
      </c>
      <c r="D4991" s="2352" t="s">
        <v>18139</v>
      </c>
      <c r="E4991" s="355">
        <v>20</v>
      </c>
      <c r="F4991" s="1662">
        <v>15</v>
      </c>
    </row>
    <row r="4992" spans="1:6" ht="15" customHeight="1" x14ac:dyDescent="0.25">
      <c r="A4992" s="2352" t="s">
        <v>18140</v>
      </c>
      <c r="B4992" s="2352" t="s">
        <v>18096</v>
      </c>
      <c r="C4992" s="2352" t="s">
        <v>20083</v>
      </c>
      <c r="D4992" s="2352" t="s">
        <v>18141</v>
      </c>
      <c r="E4992" s="355">
        <v>100</v>
      </c>
      <c r="F4992" s="1662">
        <v>67</v>
      </c>
    </row>
    <row r="4993" spans="1:6" ht="15" customHeight="1" x14ac:dyDescent="0.25">
      <c r="A4993" s="2352" t="s">
        <v>18142</v>
      </c>
      <c r="B4993" s="2352" t="s">
        <v>18096</v>
      </c>
      <c r="C4993" s="2352" t="s">
        <v>20083</v>
      </c>
      <c r="D4993" s="2352" t="s">
        <v>18143</v>
      </c>
      <c r="E4993" s="355">
        <v>160</v>
      </c>
      <c r="F4993" s="1662">
        <v>131</v>
      </c>
    </row>
    <row r="4994" spans="1:6" ht="15" customHeight="1" x14ac:dyDescent="0.25">
      <c r="A4994" s="2352" t="s">
        <v>18142</v>
      </c>
      <c r="B4994" s="2352" t="s">
        <v>18096</v>
      </c>
      <c r="C4994" s="2352" t="s">
        <v>20083</v>
      </c>
      <c r="D4994" s="2352" t="s">
        <v>18144</v>
      </c>
      <c r="E4994" s="355">
        <v>160</v>
      </c>
      <c r="F4994" s="1662">
        <v>138</v>
      </c>
    </row>
    <row r="4995" spans="1:6" ht="15" customHeight="1" x14ac:dyDescent="0.25">
      <c r="A4995" s="2352" t="s">
        <v>18130</v>
      </c>
      <c r="B4995" s="2352" t="s">
        <v>18096</v>
      </c>
      <c r="C4995" s="2352" t="s">
        <v>20083</v>
      </c>
      <c r="D4995" s="2352" t="s">
        <v>18145</v>
      </c>
      <c r="E4995" s="355">
        <v>250</v>
      </c>
      <c r="F4995" s="1662">
        <v>246</v>
      </c>
    </row>
    <row r="4996" spans="1:6" ht="15" customHeight="1" x14ac:dyDescent="0.25">
      <c r="A4996" s="2352" t="s">
        <v>18146</v>
      </c>
      <c r="B4996" s="2352" t="s">
        <v>18096</v>
      </c>
      <c r="C4996" s="2352" t="s">
        <v>20083</v>
      </c>
      <c r="D4996" s="2352" t="s">
        <v>18147</v>
      </c>
      <c r="E4996" s="355">
        <v>160</v>
      </c>
      <c r="F4996" s="1662">
        <v>137</v>
      </c>
    </row>
    <row r="4997" spans="1:6" ht="15" customHeight="1" x14ac:dyDescent="0.25">
      <c r="A4997" s="2352" t="s">
        <v>18148</v>
      </c>
      <c r="B4997" s="2352" t="s">
        <v>18096</v>
      </c>
      <c r="C4997" s="2352" t="s">
        <v>20083</v>
      </c>
      <c r="D4997" s="2352" t="s">
        <v>18149</v>
      </c>
      <c r="E4997" s="355">
        <v>400</v>
      </c>
      <c r="F4997" s="1662">
        <v>326</v>
      </c>
    </row>
    <row r="4998" spans="1:6" ht="15" customHeight="1" x14ac:dyDescent="0.25">
      <c r="A4998" s="2352" t="s">
        <v>18150</v>
      </c>
      <c r="B4998" s="2352" t="s">
        <v>18096</v>
      </c>
      <c r="C4998" s="2352" t="s">
        <v>20083</v>
      </c>
      <c r="D4998" s="2352" t="s">
        <v>18151</v>
      </c>
      <c r="E4998" s="355">
        <v>60</v>
      </c>
      <c r="F4998" s="1662">
        <v>44</v>
      </c>
    </row>
    <row r="4999" spans="1:6" ht="15" customHeight="1" x14ac:dyDescent="0.25">
      <c r="A4999" s="2352" t="s">
        <v>18152</v>
      </c>
      <c r="B4999" s="2352" t="s">
        <v>18096</v>
      </c>
      <c r="C4999" s="2352" t="s">
        <v>20083</v>
      </c>
      <c r="D4999" s="2352" t="s">
        <v>18153</v>
      </c>
      <c r="E4999" s="355">
        <v>10</v>
      </c>
      <c r="F4999" s="1662">
        <v>1</v>
      </c>
    </row>
    <row r="5000" spans="1:6" ht="15" customHeight="1" x14ac:dyDescent="0.25">
      <c r="A5000" s="2352" t="s">
        <v>18154</v>
      </c>
      <c r="B5000" s="2352" t="s">
        <v>18096</v>
      </c>
      <c r="C5000" s="2352" t="s">
        <v>20083</v>
      </c>
      <c r="D5000" s="2352" t="s">
        <v>18155</v>
      </c>
      <c r="E5000" s="355">
        <v>60</v>
      </c>
      <c r="F5000" s="1662">
        <v>39</v>
      </c>
    </row>
    <row r="5001" spans="1:6" ht="15" customHeight="1" x14ac:dyDescent="0.25">
      <c r="A5001" s="2352" t="s">
        <v>18156</v>
      </c>
      <c r="B5001" s="2352" t="s">
        <v>18096</v>
      </c>
      <c r="C5001" s="2352" t="s">
        <v>20083</v>
      </c>
      <c r="D5001" s="2352" t="s">
        <v>18157</v>
      </c>
      <c r="E5001" s="355">
        <v>30</v>
      </c>
      <c r="F5001" s="1662">
        <v>26</v>
      </c>
    </row>
    <row r="5002" spans="1:6" ht="15" customHeight="1" x14ac:dyDescent="0.25">
      <c r="A5002" s="2352" t="s">
        <v>18158</v>
      </c>
      <c r="B5002" s="2352" t="s">
        <v>18096</v>
      </c>
      <c r="C5002" s="2352" t="s">
        <v>20083</v>
      </c>
      <c r="D5002" s="2352" t="s">
        <v>18159</v>
      </c>
      <c r="E5002" s="355">
        <v>160</v>
      </c>
      <c r="F5002" s="1662">
        <v>140</v>
      </c>
    </row>
    <row r="5003" spans="1:6" ht="15" customHeight="1" x14ac:dyDescent="0.25">
      <c r="A5003" s="2352" t="s">
        <v>18160</v>
      </c>
      <c r="B5003" s="2352" t="s">
        <v>18096</v>
      </c>
      <c r="C5003" s="2352" t="s">
        <v>20083</v>
      </c>
      <c r="D5003" s="2352" t="s">
        <v>18161</v>
      </c>
      <c r="E5003" s="355">
        <v>30</v>
      </c>
      <c r="F5003" s="1662">
        <v>22</v>
      </c>
    </row>
    <row r="5004" spans="1:6" ht="15" customHeight="1" x14ac:dyDescent="0.25">
      <c r="A5004" s="2352" t="s">
        <v>18162</v>
      </c>
      <c r="B5004" s="2352" t="s">
        <v>18096</v>
      </c>
      <c r="C5004" s="2352" t="s">
        <v>20083</v>
      </c>
      <c r="D5004" s="2352" t="s">
        <v>18163</v>
      </c>
      <c r="E5004" s="355">
        <v>160</v>
      </c>
      <c r="F5004" s="1662">
        <v>155</v>
      </c>
    </row>
    <row r="5005" spans="1:6" ht="15" customHeight="1" x14ac:dyDescent="0.25">
      <c r="A5005" s="2352" t="s">
        <v>18162</v>
      </c>
      <c r="B5005" s="2352" t="s">
        <v>18096</v>
      </c>
      <c r="C5005" s="2352" t="s">
        <v>20083</v>
      </c>
      <c r="D5005" s="2352" t="s">
        <v>18164</v>
      </c>
      <c r="E5005" s="355">
        <v>160</v>
      </c>
      <c r="F5005" s="1662">
        <v>105</v>
      </c>
    </row>
    <row r="5006" spans="1:6" ht="15" customHeight="1" x14ac:dyDescent="0.25">
      <c r="A5006" s="2352" t="s">
        <v>18162</v>
      </c>
      <c r="B5006" s="2352" t="s">
        <v>18096</v>
      </c>
      <c r="C5006" s="2352" t="s">
        <v>20083</v>
      </c>
      <c r="D5006" s="2352" t="s">
        <v>18165</v>
      </c>
      <c r="E5006" s="355">
        <v>400</v>
      </c>
      <c r="F5006" s="1662">
        <v>399</v>
      </c>
    </row>
    <row r="5007" spans="1:6" ht="15" customHeight="1" x14ac:dyDescent="0.25">
      <c r="A5007" s="2352" t="s">
        <v>18166</v>
      </c>
      <c r="B5007" s="2352" t="s">
        <v>18096</v>
      </c>
      <c r="C5007" s="2352" t="s">
        <v>20083</v>
      </c>
      <c r="D5007" s="2352" t="s">
        <v>18167</v>
      </c>
      <c r="E5007" s="355">
        <v>20</v>
      </c>
      <c r="F5007" s="1662">
        <v>19</v>
      </c>
    </row>
    <row r="5008" spans="1:6" ht="15" customHeight="1" x14ac:dyDescent="0.25">
      <c r="A5008" s="2352" t="s">
        <v>18168</v>
      </c>
      <c r="B5008" s="2352" t="s">
        <v>18096</v>
      </c>
      <c r="C5008" s="2352" t="s">
        <v>20083</v>
      </c>
      <c r="D5008" s="2352" t="s">
        <v>18169</v>
      </c>
      <c r="E5008" s="355">
        <v>160</v>
      </c>
      <c r="F5008" s="1662">
        <v>126</v>
      </c>
    </row>
    <row r="5009" spans="1:6" ht="15" customHeight="1" x14ac:dyDescent="0.25">
      <c r="A5009" s="2352" t="s">
        <v>18168</v>
      </c>
      <c r="B5009" s="2352" t="s">
        <v>18096</v>
      </c>
      <c r="C5009" s="2352" t="s">
        <v>20083</v>
      </c>
      <c r="D5009" s="2352" t="s">
        <v>18170</v>
      </c>
      <c r="E5009" s="355">
        <v>63</v>
      </c>
      <c r="F5009" s="1662">
        <v>25</v>
      </c>
    </row>
    <row r="5010" spans="1:6" ht="15" customHeight="1" x14ac:dyDescent="0.25">
      <c r="A5010" s="2352" t="s">
        <v>18168</v>
      </c>
      <c r="B5010" s="2352" t="s">
        <v>18096</v>
      </c>
      <c r="C5010" s="2352" t="s">
        <v>20083</v>
      </c>
      <c r="D5010" s="2352" t="s">
        <v>18171</v>
      </c>
      <c r="E5010" s="355">
        <v>400</v>
      </c>
      <c r="F5010" s="1662">
        <v>384</v>
      </c>
    </row>
    <row r="5011" spans="1:6" ht="15" customHeight="1" x14ac:dyDescent="0.25">
      <c r="A5011" s="2352" t="s">
        <v>18172</v>
      </c>
      <c r="B5011" s="2352" t="s">
        <v>18096</v>
      </c>
      <c r="C5011" s="2352" t="s">
        <v>20083</v>
      </c>
      <c r="D5011" s="2352" t="s">
        <v>18173</v>
      </c>
      <c r="E5011" s="355">
        <v>400</v>
      </c>
      <c r="F5011" s="1662">
        <v>373</v>
      </c>
    </row>
    <row r="5012" spans="1:6" ht="15" customHeight="1" x14ac:dyDescent="0.25">
      <c r="A5012" s="2352" t="s">
        <v>18172</v>
      </c>
      <c r="B5012" s="2352" t="s">
        <v>18096</v>
      </c>
      <c r="C5012" s="2352" t="s">
        <v>20083</v>
      </c>
      <c r="D5012" s="2352" t="s">
        <v>18174</v>
      </c>
      <c r="E5012" s="355">
        <v>160</v>
      </c>
      <c r="F5012" s="1662">
        <v>155</v>
      </c>
    </row>
    <row r="5013" spans="1:6" ht="15" customHeight="1" x14ac:dyDescent="0.25">
      <c r="A5013" s="2352" t="s">
        <v>18172</v>
      </c>
      <c r="B5013" s="2352" t="s">
        <v>18096</v>
      </c>
      <c r="C5013" s="2352" t="s">
        <v>20083</v>
      </c>
      <c r="D5013" s="2352" t="s">
        <v>18175</v>
      </c>
      <c r="E5013" s="355">
        <v>63</v>
      </c>
      <c r="F5013" s="1662">
        <v>54</v>
      </c>
    </row>
    <row r="5014" spans="1:6" ht="15" customHeight="1" x14ac:dyDescent="0.25">
      <c r="A5014" s="2352" t="s">
        <v>18172</v>
      </c>
      <c r="B5014" s="2352" t="s">
        <v>18096</v>
      </c>
      <c r="C5014" s="2352" t="s">
        <v>20083</v>
      </c>
      <c r="D5014" s="2352" t="s">
        <v>18176</v>
      </c>
      <c r="E5014" s="355">
        <v>160</v>
      </c>
      <c r="F5014" s="1662">
        <v>120</v>
      </c>
    </row>
    <row r="5015" spans="1:6" ht="15" customHeight="1" x14ac:dyDescent="0.25">
      <c r="A5015" s="2352" t="s">
        <v>18172</v>
      </c>
      <c r="B5015" s="2352" t="s">
        <v>18096</v>
      </c>
      <c r="C5015" s="2352" t="s">
        <v>20083</v>
      </c>
      <c r="D5015" s="2352" t="s">
        <v>18177</v>
      </c>
      <c r="E5015" s="355">
        <v>160</v>
      </c>
      <c r="F5015" s="1662">
        <v>116</v>
      </c>
    </row>
    <row r="5016" spans="1:6" ht="15" customHeight="1" x14ac:dyDescent="0.25">
      <c r="A5016" s="2352" t="s">
        <v>18178</v>
      </c>
      <c r="B5016" s="2352" t="s">
        <v>18096</v>
      </c>
      <c r="C5016" s="2352" t="s">
        <v>20083</v>
      </c>
      <c r="D5016" s="2352" t="s">
        <v>18179</v>
      </c>
      <c r="E5016" s="355">
        <v>100</v>
      </c>
      <c r="F5016" s="1662">
        <v>85</v>
      </c>
    </row>
    <row r="5017" spans="1:6" ht="15" customHeight="1" x14ac:dyDescent="0.25">
      <c r="A5017" s="2352" t="s">
        <v>18172</v>
      </c>
      <c r="B5017" s="2352" t="s">
        <v>18096</v>
      </c>
      <c r="C5017" s="2352" t="s">
        <v>20083</v>
      </c>
      <c r="D5017" s="2352" t="s">
        <v>18180</v>
      </c>
      <c r="E5017" s="355">
        <v>400</v>
      </c>
      <c r="F5017" s="1662">
        <v>360</v>
      </c>
    </row>
    <row r="5018" spans="1:6" ht="15" customHeight="1" x14ac:dyDescent="0.25">
      <c r="A5018" s="2352" t="s">
        <v>18181</v>
      </c>
      <c r="B5018" s="2352" t="s">
        <v>18096</v>
      </c>
      <c r="C5018" s="2352" t="s">
        <v>20083</v>
      </c>
      <c r="D5018" s="2352" t="s">
        <v>18182</v>
      </c>
      <c r="E5018" s="355">
        <v>60</v>
      </c>
      <c r="F5018" s="1662">
        <v>32</v>
      </c>
    </row>
    <row r="5019" spans="1:6" ht="15" customHeight="1" x14ac:dyDescent="0.25">
      <c r="A5019" s="2352" t="s">
        <v>18142</v>
      </c>
      <c r="B5019" s="2352" t="s">
        <v>18096</v>
      </c>
      <c r="C5019" s="2352" t="s">
        <v>20083</v>
      </c>
      <c r="D5019" s="2352" t="s">
        <v>18183</v>
      </c>
      <c r="E5019" s="355">
        <v>60</v>
      </c>
      <c r="F5019" s="1662">
        <v>46</v>
      </c>
    </row>
    <row r="5020" spans="1:6" ht="15" customHeight="1" x14ac:dyDescent="0.25">
      <c r="A5020" s="2352" t="s">
        <v>18184</v>
      </c>
      <c r="B5020" s="2352" t="s">
        <v>18096</v>
      </c>
      <c r="C5020" s="2352" t="s">
        <v>20083</v>
      </c>
      <c r="D5020" s="2352" t="s">
        <v>18185</v>
      </c>
      <c r="E5020" s="355">
        <v>100</v>
      </c>
      <c r="F5020" s="1662">
        <v>19</v>
      </c>
    </row>
    <row r="5021" spans="1:6" ht="15" customHeight="1" x14ac:dyDescent="0.25">
      <c r="A5021" s="2352" t="s">
        <v>18088</v>
      </c>
      <c r="B5021" s="2352" t="s">
        <v>18096</v>
      </c>
      <c r="C5021" s="2352" t="s">
        <v>20083</v>
      </c>
      <c r="D5021" s="2352" t="s">
        <v>18186</v>
      </c>
      <c r="E5021" s="355">
        <v>400</v>
      </c>
      <c r="F5021" s="1662">
        <v>395</v>
      </c>
    </row>
    <row r="5022" spans="1:6" ht="15" customHeight="1" x14ac:dyDescent="0.25">
      <c r="A5022" s="2352" t="s">
        <v>18088</v>
      </c>
      <c r="B5022" s="2352" t="s">
        <v>18096</v>
      </c>
      <c r="C5022" s="2352" t="s">
        <v>20083</v>
      </c>
      <c r="D5022" s="2352" t="s">
        <v>18187</v>
      </c>
      <c r="E5022" s="355">
        <v>160</v>
      </c>
      <c r="F5022" s="1662">
        <v>156</v>
      </c>
    </row>
    <row r="5023" spans="1:6" ht="15" customHeight="1" x14ac:dyDescent="0.25">
      <c r="A5023" s="2352" t="s">
        <v>18088</v>
      </c>
      <c r="B5023" s="2352" t="s">
        <v>18096</v>
      </c>
      <c r="C5023" s="2352" t="s">
        <v>20083</v>
      </c>
      <c r="D5023" s="2352" t="s">
        <v>18188</v>
      </c>
      <c r="E5023" s="355">
        <v>160</v>
      </c>
      <c r="F5023" s="1662">
        <v>106</v>
      </c>
    </row>
    <row r="5024" spans="1:6" ht="15" customHeight="1" x14ac:dyDescent="0.25">
      <c r="A5024" s="2352" t="s">
        <v>18088</v>
      </c>
      <c r="B5024" s="2352" t="s">
        <v>18096</v>
      </c>
      <c r="C5024" s="2352" t="s">
        <v>20083</v>
      </c>
      <c r="D5024" s="2352" t="s">
        <v>18189</v>
      </c>
      <c r="E5024" s="355">
        <v>250</v>
      </c>
      <c r="F5024" s="1662">
        <v>249</v>
      </c>
    </row>
    <row r="5025" spans="1:6" ht="15" customHeight="1" x14ac:dyDescent="0.25">
      <c r="A5025" s="2352" t="s">
        <v>18190</v>
      </c>
      <c r="B5025" s="2352" t="s">
        <v>18096</v>
      </c>
      <c r="C5025" s="2352" t="s">
        <v>20083</v>
      </c>
      <c r="D5025" s="2352" t="s">
        <v>18191</v>
      </c>
      <c r="E5025" s="355">
        <v>60</v>
      </c>
      <c r="F5025" s="1662">
        <v>15</v>
      </c>
    </row>
    <row r="5026" spans="1:6" ht="15" customHeight="1" x14ac:dyDescent="0.25">
      <c r="A5026" s="2352" t="s">
        <v>18192</v>
      </c>
      <c r="B5026" s="2352" t="s">
        <v>18096</v>
      </c>
      <c r="C5026" s="2352" t="s">
        <v>20083</v>
      </c>
      <c r="D5026" s="2352" t="s">
        <v>18193</v>
      </c>
      <c r="E5026" s="355">
        <v>40</v>
      </c>
      <c r="F5026" s="1662">
        <v>3</v>
      </c>
    </row>
    <row r="5027" spans="1:6" ht="15" customHeight="1" x14ac:dyDescent="0.25">
      <c r="A5027" s="2352" t="s">
        <v>18194</v>
      </c>
      <c r="B5027" s="2352" t="s">
        <v>18096</v>
      </c>
      <c r="C5027" s="2352" t="s">
        <v>20083</v>
      </c>
      <c r="D5027" s="2352" t="s">
        <v>18195</v>
      </c>
      <c r="E5027" s="355">
        <v>160</v>
      </c>
      <c r="F5027" s="1662">
        <v>135</v>
      </c>
    </row>
    <row r="5028" spans="1:6" ht="15" customHeight="1" x14ac:dyDescent="0.25">
      <c r="A5028" s="2352" t="s">
        <v>18196</v>
      </c>
      <c r="B5028" s="2352" t="s">
        <v>18096</v>
      </c>
      <c r="C5028" s="2352" t="s">
        <v>20083</v>
      </c>
      <c r="D5028" s="2352" t="s">
        <v>18197</v>
      </c>
      <c r="E5028" s="355">
        <v>160</v>
      </c>
      <c r="F5028" s="1662">
        <v>135</v>
      </c>
    </row>
    <row r="5029" spans="1:6" ht="15" customHeight="1" x14ac:dyDescent="0.25">
      <c r="A5029" s="2352" t="s">
        <v>18198</v>
      </c>
      <c r="B5029" s="2352" t="s">
        <v>18096</v>
      </c>
      <c r="C5029" s="2352" t="s">
        <v>20083</v>
      </c>
      <c r="D5029" s="2352" t="s">
        <v>18199</v>
      </c>
      <c r="E5029" s="355">
        <v>160</v>
      </c>
      <c r="F5029" s="1662">
        <v>149</v>
      </c>
    </row>
    <row r="5030" spans="1:6" ht="15" customHeight="1" x14ac:dyDescent="0.25">
      <c r="A5030" s="2352" t="s">
        <v>18198</v>
      </c>
      <c r="B5030" s="2352" t="s">
        <v>18096</v>
      </c>
      <c r="C5030" s="2352" t="s">
        <v>20083</v>
      </c>
      <c r="D5030" s="2352" t="s">
        <v>18200</v>
      </c>
      <c r="E5030" s="355">
        <v>160</v>
      </c>
      <c r="F5030" s="1662">
        <v>125</v>
      </c>
    </row>
    <row r="5031" spans="1:6" ht="15" customHeight="1" x14ac:dyDescent="0.25">
      <c r="A5031" s="2352" t="s">
        <v>18201</v>
      </c>
      <c r="B5031" s="2352" t="s">
        <v>18096</v>
      </c>
      <c r="C5031" s="2352" t="s">
        <v>20083</v>
      </c>
      <c r="D5031" s="2352" t="s">
        <v>18202</v>
      </c>
      <c r="E5031" s="355">
        <v>100</v>
      </c>
      <c r="F5031" s="1662">
        <v>59</v>
      </c>
    </row>
    <row r="5032" spans="1:6" ht="15" customHeight="1" x14ac:dyDescent="0.25">
      <c r="A5032" s="2352" t="s">
        <v>18201</v>
      </c>
      <c r="B5032" s="2352" t="s">
        <v>18096</v>
      </c>
      <c r="C5032" s="2352" t="s">
        <v>20083</v>
      </c>
      <c r="D5032" s="2352" t="s">
        <v>18203</v>
      </c>
      <c r="E5032" s="355">
        <v>63</v>
      </c>
      <c r="F5032" s="1662">
        <v>23</v>
      </c>
    </row>
    <row r="5033" spans="1:6" ht="15" customHeight="1" x14ac:dyDescent="0.25">
      <c r="A5033" s="2352" t="s">
        <v>18201</v>
      </c>
      <c r="B5033" s="2352" t="s">
        <v>18096</v>
      </c>
      <c r="C5033" s="2352" t="s">
        <v>20083</v>
      </c>
      <c r="D5033" s="2352" t="s">
        <v>18204</v>
      </c>
      <c r="E5033" s="355">
        <v>250</v>
      </c>
      <c r="F5033" s="1662">
        <v>235</v>
      </c>
    </row>
    <row r="5034" spans="1:6" ht="15" customHeight="1" x14ac:dyDescent="0.25">
      <c r="A5034" s="2352" t="s">
        <v>18205</v>
      </c>
      <c r="B5034" s="2352" t="s">
        <v>18096</v>
      </c>
      <c r="C5034" s="2352" t="s">
        <v>20083</v>
      </c>
      <c r="D5034" s="2352" t="s">
        <v>18206</v>
      </c>
      <c r="E5034" s="355">
        <v>100</v>
      </c>
      <c r="F5034" s="1662">
        <v>73</v>
      </c>
    </row>
    <row r="5035" spans="1:6" ht="15" customHeight="1" x14ac:dyDescent="0.25">
      <c r="A5035" s="2352" t="s">
        <v>18207</v>
      </c>
      <c r="B5035" s="2352" t="s">
        <v>18096</v>
      </c>
      <c r="C5035" s="2352" t="s">
        <v>20083</v>
      </c>
      <c r="D5035" s="2352" t="s">
        <v>18208</v>
      </c>
      <c r="E5035" s="355">
        <v>63</v>
      </c>
      <c r="F5035" s="1662">
        <v>40</v>
      </c>
    </row>
    <row r="5036" spans="1:6" ht="15" customHeight="1" x14ac:dyDescent="0.25">
      <c r="A5036" s="2352" t="s">
        <v>18209</v>
      </c>
      <c r="B5036" s="2352" t="s">
        <v>18096</v>
      </c>
      <c r="C5036" s="2352" t="s">
        <v>20083</v>
      </c>
      <c r="D5036" s="2352" t="s">
        <v>18210</v>
      </c>
      <c r="E5036" s="355">
        <v>160</v>
      </c>
      <c r="F5036" s="1662">
        <v>145</v>
      </c>
    </row>
    <row r="5037" spans="1:6" ht="15" customHeight="1" x14ac:dyDescent="0.25">
      <c r="A5037" s="2352" t="s">
        <v>18209</v>
      </c>
      <c r="B5037" s="2352" t="s">
        <v>18096</v>
      </c>
      <c r="C5037" s="2352" t="s">
        <v>20083</v>
      </c>
      <c r="D5037" s="2352" t="s">
        <v>18211</v>
      </c>
      <c r="E5037" s="355">
        <v>100</v>
      </c>
      <c r="F5037" s="1662">
        <v>88</v>
      </c>
    </row>
    <row r="5038" spans="1:6" ht="15" customHeight="1" x14ac:dyDescent="0.25">
      <c r="A5038" s="2352" t="s">
        <v>18212</v>
      </c>
      <c r="B5038" s="2352" t="s">
        <v>18096</v>
      </c>
      <c r="C5038" s="2352" t="s">
        <v>20083</v>
      </c>
      <c r="D5038" s="2352" t="s">
        <v>18213</v>
      </c>
      <c r="E5038" s="355">
        <v>100</v>
      </c>
      <c r="F5038" s="1662">
        <v>63</v>
      </c>
    </row>
    <row r="5039" spans="1:6" ht="15" customHeight="1" x14ac:dyDescent="0.25">
      <c r="A5039" s="2352" t="s">
        <v>18214</v>
      </c>
      <c r="B5039" s="2352" t="s">
        <v>18096</v>
      </c>
      <c r="C5039" s="2352" t="s">
        <v>20083</v>
      </c>
      <c r="D5039" s="2352" t="s">
        <v>18215</v>
      </c>
      <c r="E5039" s="355">
        <v>30</v>
      </c>
      <c r="F5039" s="1662">
        <v>15</v>
      </c>
    </row>
    <row r="5040" spans="1:6" ht="15" customHeight="1" x14ac:dyDescent="0.25">
      <c r="A5040" s="2352" t="s">
        <v>18216</v>
      </c>
      <c r="B5040" s="2352" t="s">
        <v>18096</v>
      </c>
      <c r="C5040" s="2352" t="s">
        <v>20083</v>
      </c>
      <c r="D5040" s="2352" t="s">
        <v>18217</v>
      </c>
      <c r="E5040" s="355">
        <v>100</v>
      </c>
      <c r="F5040" s="1662">
        <v>38</v>
      </c>
    </row>
    <row r="5041" spans="1:6" ht="15" customHeight="1" x14ac:dyDescent="0.25">
      <c r="A5041" s="2352" t="s">
        <v>18218</v>
      </c>
      <c r="B5041" s="2352" t="s">
        <v>18096</v>
      </c>
      <c r="C5041" s="2352" t="s">
        <v>20083</v>
      </c>
      <c r="D5041" s="2352" t="s">
        <v>18219</v>
      </c>
      <c r="E5041" s="355">
        <v>100</v>
      </c>
      <c r="F5041" s="1662">
        <v>46</v>
      </c>
    </row>
    <row r="5042" spans="1:6" ht="15" customHeight="1" x14ac:dyDescent="0.25">
      <c r="A5042" s="2352" t="s">
        <v>18218</v>
      </c>
      <c r="B5042" s="2352" t="s">
        <v>18096</v>
      </c>
      <c r="C5042" s="2352" t="s">
        <v>20083</v>
      </c>
      <c r="D5042" s="2352" t="s">
        <v>18220</v>
      </c>
      <c r="E5042" s="355">
        <v>100</v>
      </c>
      <c r="F5042" s="1662">
        <v>87</v>
      </c>
    </row>
    <row r="5043" spans="1:6" ht="15" customHeight="1" x14ac:dyDescent="0.25">
      <c r="A5043" s="2352" t="s">
        <v>18218</v>
      </c>
      <c r="B5043" s="2352" t="s">
        <v>18096</v>
      </c>
      <c r="C5043" s="2352" t="s">
        <v>20083</v>
      </c>
      <c r="D5043" s="2352" t="s">
        <v>18221</v>
      </c>
      <c r="E5043" s="355">
        <v>250</v>
      </c>
      <c r="F5043" s="1662">
        <v>235</v>
      </c>
    </row>
    <row r="5044" spans="1:6" ht="15" customHeight="1" x14ac:dyDescent="0.25">
      <c r="A5044" s="2352" t="s">
        <v>18218</v>
      </c>
      <c r="B5044" s="2352" t="s">
        <v>18096</v>
      </c>
      <c r="C5044" s="2352" t="s">
        <v>20083</v>
      </c>
      <c r="D5044" s="2352" t="s">
        <v>18222</v>
      </c>
      <c r="E5044" s="355">
        <v>400</v>
      </c>
      <c r="F5044" s="1662">
        <v>389</v>
      </c>
    </row>
    <row r="5045" spans="1:6" ht="15" customHeight="1" x14ac:dyDescent="0.25">
      <c r="A5045" s="2352" t="s">
        <v>18218</v>
      </c>
      <c r="B5045" s="2352" t="s">
        <v>18096</v>
      </c>
      <c r="C5045" s="2352" t="s">
        <v>20083</v>
      </c>
      <c r="D5045" s="2352" t="s">
        <v>18223</v>
      </c>
      <c r="E5045" s="355">
        <v>100</v>
      </c>
      <c r="F5045" s="1662">
        <v>65</v>
      </c>
    </row>
    <row r="5046" spans="1:6" ht="15" customHeight="1" x14ac:dyDescent="0.25">
      <c r="A5046" s="2352" t="s">
        <v>18218</v>
      </c>
      <c r="B5046" s="2352" t="s">
        <v>18096</v>
      </c>
      <c r="C5046" s="2352" t="s">
        <v>20083</v>
      </c>
      <c r="D5046" s="2352" t="s">
        <v>18224</v>
      </c>
      <c r="E5046" s="355">
        <v>250</v>
      </c>
      <c r="F5046" s="1662">
        <v>200</v>
      </c>
    </row>
    <row r="5047" spans="1:6" ht="15" customHeight="1" x14ac:dyDescent="0.25">
      <c r="A5047" s="2352" t="s">
        <v>18225</v>
      </c>
      <c r="B5047" s="2352" t="s">
        <v>18096</v>
      </c>
      <c r="C5047" s="2352" t="s">
        <v>20083</v>
      </c>
      <c r="D5047" s="2352" t="s">
        <v>18226</v>
      </c>
      <c r="E5047" s="355">
        <v>100</v>
      </c>
      <c r="F5047" s="1662">
        <v>68</v>
      </c>
    </row>
    <row r="5048" spans="1:6" ht="15" customHeight="1" x14ac:dyDescent="0.25">
      <c r="A5048" s="2352" t="s">
        <v>18225</v>
      </c>
      <c r="B5048" s="2352" t="s">
        <v>18096</v>
      </c>
      <c r="C5048" s="2352" t="s">
        <v>20083</v>
      </c>
      <c r="D5048" s="2352" t="s">
        <v>18227</v>
      </c>
      <c r="E5048" s="355">
        <v>160</v>
      </c>
      <c r="F5048" s="1662">
        <v>157</v>
      </c>
    </row>
    <row r="5049" spans="1:6" ht="15" customHeight="1" x14ac:dyDescent="0.25">
      <c r="A5049" s="2352" t="s">
        <v>18228</v>
      </c>
      <c r="B5049" s="2352" t="s">
        <v>18096</v>
      </c>
      <c r="C5049" s="2352" t="s">
        <v>20083</v>
      </c>
      <c r="D5049" s="2352" t="s">
        <v>18229</v>
      </c>
      <c r="E5049" s="355">
        <v>100</v>
      </c>
      <c r="F5049" s="1662">
        <v>55</v>
      </c>
    </row>
    <row r="5050" spans="1:6" ht="15" customHeight="1" x14ac:dyDescent="0.25">
      <c r="A5050" s="2352" t="s">
        <v>18230</v>
      </c>
      <c r="B5050" s="2352" t="s">
        <v>18096</v>
      </c>
      <c r="C5050" s="2352" t="s">
        <v>20083</v>
      </c>
      <c r="D5050" s="2352" t="s">
        <v>18231</v>
      </c>
      <c r="E5050" s="355">
        <v>100</v>
      </c>
      <c r="F5050" s="1662">
        <v>65</v>
      </c>
    </row>
    <row r="5051" spans="1:6" ht="15" customHeight="1" x14ac:dyDescent="0.25">
      <c r="A5051" s="2352" t="s">
        <v>18232</v>
      </c>
      <c r="B5051" s="2352" t="s">
        <v>18096</v>
      </c>
      <c r="C5051" s="2352" t="s">
        <v>20083</v>
      </c>
      <c r="D5051" s="2352" t="s">
        <v>18233</v>
      </c>
      <c r="E5051" s="355">
        <v>60</v>
      </c>
      <c r="F5051" s="1662">
        <v>50</v>
      </c>
    </row>
    <row r="5052" spans="1:6" ht="15" customHeight="1" x14ac:dyDescent="0.25">
      <c r="A5052" s="2352" t="s">
        <v>18234</v>
      </c>
      <c r="B5052" s="2352" t="s">
        <v>18096</v>
      </c>
      <c r="C5052" s="2352" t="s">
        <v>20083</v>
      </c>
      <c r="D5052" s="2352" t="s">
        <v>18235</v>
      </c>
      <c r="E5052" s="355">
        <v>250</v>
      </c>
      <c r="F5052" s="1662">
        <v>214</v>
      </c>
    </row>
    <row r="5053" spans="1:6" ht="15" customHeight="1" x14ac:dyDescent="0.25">
      <c r="A5053" s="2352" t="s">
        <v>18234</v>
      </c>
      <c r="B5053" s="2352" t="s">
        <v>18096</v>
      </c>
      <c r="C5053" s="2352" t="s">
        <v>20083</v>
      </c>
      <c r="D5053" s="2352" t="s">
        <v>18236</v>
      </c>
      <c r="E5053" s="355">
        <v>250</v>
      </c>
      <c r="F5053" s="1662">
        <v>223</v>
      </c>
    </row>
    <row r="5054" spans="1:6" ht="15" customHeight="1" x14ac:dyDescent="0.25">
      <c r="A5054" s="2352" t="s">
        <v>18234</v>
      </c>
      <c r="B5054" s="2352" t="s">
        <v>18096</v>
      </c>
      <c r="C5054" s="2352" t="s">
        <v>20083</v>
      </c>
      <c r="D5054" s="2352" t="s">
        <v>18237</v>
      </c>
      <c r="E5054" s="355">
        <v>160</v>
      </c>
      <c r="F5054" s="1662">
        <v>150</v>
      </c>
    </row>
    <row r="5055" spans="1:6" ht="15" customHeight="1" x14ac:dyDescent="0.25">
      <c r="A5055" s="2352" t="s">
        <v>18234</v>
      </c>
      <c r="B5055" s="2352" t="s">
        <v>18096</v>
      </c>
      <c r="C5055" s="2352" t="s">
        <v>20083</v>
      </c>
      <c r="D5055" s="2352" t="s">
        <v>18238</v>
      </c>
      <c r="E5055" s="355">
        <v>160</v>
      </c>
      <c r="F5055" s="1662">
        <v>125</v>
      </c>
    </row>
    <row r="5056" spans="1:6" ht="15" customHeight="1" x14ac:dyDescent="0.25">
      <c r="A5056" s="2352" t="s">
        <v>18234</v>
      </c>
      <c r="B5056" s="2352" t="s">
        <v>18096</v>
      </c>
      <c r="C5056" s="2352" t="s">
        <v>20083</v>
      </c>
      <c r="D5056" s="2352" t="s">
        <v>18239</v>
      </c>
      <c r="E5056" s="355">
        <v>160</v>
      </c>
      <c r="F5056" s="1662">
        <v>66</v>
      </c>
    </row>
    <row r="5057" spans="1:6" ht="15" customHeight="1" x14ac:dyDescent="0.25">
      <c r="A5057" s="2352" t="s">
        <v>18234</v>
      </c>
      <c r="B5057" s="2352" t="s">
        <v>18096</v>
      </c>
      <c r="C5057" s="2352" t="s">
        <v>20083</v>
      </c>
      <c r="D5057" s="2352" t="s">
        <v>18240</v>
      </c>
      <c r="E5057" s="355" t="s">
        <v>18241</v>
      </c>
      <c r="F5057" s="1662"/>
    </row>
    <row r="5058" spans="1:6" ht="15" customHeight="1" x14ac:dyDescent="0.25">
      <c r="A5058" s="2352" t="s">
        <v>18242</v>
      </c>
      <c r="B5058" s="2352" t="s">
        <v>18096</v>
      </c>
      <c r="C5058" s="2352" t="s">
        <v>20083</v>
      </c>
      <c r="D5058" s="2352" t="s">
        <v>18243</v>
      </c>
      <c r="E5058" s="355">
        <v>100</v>
      </c>
      <c r="F5058" s="1662">
        <v>12</v>
      </c>
    </row>
    <row r="5059" spans="1:6" ht="15" customHeight="1" x14ac:dyDescent="0.25">
      <c r="A5059" s="2352" t="s">
        <v>18244</v>
      </c>
      <c r="B5059" s="2352" t="s">
        <v>18096</v>
      </c>
      <c r="C5059" s="2352" t="s">
        <v>20083</v>
      </c>
      <c r="D5059" s="2352" t="s">
        <v>18245</v>
      </c>
      <c r="E5059" s="355">
        <v>160</v>
      </c>
      <c r="F5059" s="1662">
        <v>43</v>
      </c>
    </row>
    <row r="5060" spans="1:6" ht="15" customHeight="1" x14ac:dyDescent="0.25">
      <c r="A5060" s="2352" t="s">
        <v>18246</v>
      </c>
      <c r="B5060" s="2352" t="s">
        <v>18096</v>
      </c>
      <c r="C5060" s="2352" t="s">
        <v>20083</v>
      </c>
      <c r="D5060" s="2352" t="s">
        <v>18247</v>
      </c>
      <c r="E5060" s="355">
        <v>30</v>
      </c>
      <c r="F5060" s="1662">
        <v>13</v>
      </c>
    </row>
    <row r="5061" spans="1:6" ht="15" customHeight="1" x14ac:dyDescent="0.25">
      <c r="A5061" s="2352" t="s">
        <v>18248</v>
      </c>
      <c r="B5061" s="2352" t="s">
        <v>18096</v>
      </c>
      <c r="C5061" s="2352" t="s">
        <v>20083</v>
      </c>
      <c r="D5061" s="2352" t="s">
        <v>18249</v>
      </c>
      <c r="E5061" s="355">
        <v>60</v>
      </c>
      <c r="F5061" s="1662">
        <v>30</v>
      </c>
    </row>
    <row r="5062" spans="1:6" ht="15" customHeight="1" x14ac:dyDescent="0.25">
      <c r="A5062" s="2352" t="s">
        <v>18250</v>
      </c>
      <c r="B5062" s="2352" t="s">
        <v>18096</v>
      </c>
      <c r="C5062" s="2352" t="s">
        <v>20083</v>
      </c>
      <c r="D5062" s="2352" t="s">
        <v>18251</v>
      </c>
      <c r="E5062" s="355">
        <v>160</v>
      </c>
      <c r="F5062" s="1662">
        <v>139</v>
      </c>
    </row>
    <row r="5063" spans="1:6" ht="15" customHeight="1" x14ac:dyDescent="0.25">
      <c r="A5063" s="2352" t="s">
        <v>18244</v>
      </c>
      <c r="B5063" s="2352" t="s">
        <v>18096</v>
      </c>
      <c r="C5063" s="2352" t="s">
        <v>20083</v>
      </c>
      <c r="D5063" s="2352" t="s">
        <v>18252</v>
      </c>
      <c r="E5063" s="355">
        <v>250</v>
      </c>
      <c r="F5063" s="1662">
        <v>248</v>
      </c>
    </row>
    <row r="5064" spans="1:6" ht="15" customHeight="1" x14ac:dyDescent="0.25">
      <c r="A5064" s="2352" t="s">
        <v>18248</v>
      </c>
      <c r="B5064" s="2352" t="s">
        <v>18096</v>
      </c>
      <c r="C5064" s="2352" t="s">
        <v>20083</v>
      </c>
      <c r="D5064" s="2352" t="s">
        <v>18253</v>
      </c>
      <c r="E5064" s="355">
        <v>160</v>
      </c>
      <c r="F5064" s="1662">
        <v>155</v>
      </c>
    </row>
    <row r="5065" spans="1:6" ht="15" customHeight="1" x14ac:dyDescent="0.25">
      <c r="A5065" s="2352" t="s">
        <v>18244</v>
      </c>
      <c r="B5065" s="2352" t="s">
        <v>18096</v>
      </c>
      <c r="C5065" s="2352" t="s">
        <v>20083</v>
      </c>
      <c r="D5065" s="2352" t="s">
        <v>18254</v>
      </c>
      <c r="E5065" s="355">
        <v>250</v>
      </c>
      <c r="F5065" s="1662">
        <v>223</v>
      </c>
    </row>
    <row r="5066" spans="1:6" ht="15" customHeight="1" x14ac:dyDescent="0.25">
      <c r="A5066" s="2352" t="s">
        <v>18255</v>
      </c>
      <c r="B5066" s="2352" t="s">
        <v>18096</v>
      </c>
      <c r="C5066" s="2352" t="s">
        <v>20083</v>
      </c>
      <c r="D5066" s="2352" t="s">
        <v>18256</v>
      </c>
      <c r="E5066" s="355">
        <v>100</v>
      </c>
      <c r="F5066" s="1662">
        <v>67</v>
      </c>
    </row>
    <row r="5067" spans="1:6" ht="15" customHeight="1" x14ac:dyDescent="0.25">
      <c r="A5067" s="2352" t="s">
        <v>18257</v>
      </c>
      <c r="B5067" s="2352" t="s">
        <v>18096</v>
      </c>
      <c r="C5067" s="2352" t="s">
        <v>20083</v>
      </c>
      <c r="D5067" s="2352" t="s">
        <v>18258</v>
      </c>
      <c r="E5067" s="355">
        <v>60</v>
      </c>
      <c r="F5067" s="1662">
        <v>49</v>
      </c>
    </row>
    <row r="5068" spans="1:6" ht="15" customHeight="1" x14ac:dyDescent="0.25">
      <c r="A5068" s="2352" t="s">
        <v>18259</v>
      </c>
      <c r="B5068" s="2352" t="s">
        <v>18096</v>
      </c>
      <c r="C5068" s="2352" t="s">
        <v>20083</v>
      </c>
      <c r="D5068" s="2352" t="s">
        <v>18260</v>
      </c>
      <c r="E5068" s="355">
        <v>30</v>
      </c>
      <c r="F5068" s="1662">
        <v>14</v>
      </c>
    </row>
    <row r="5069" spans="1:6" ht="15" customHeight="1" x14ac:dyDescent="0.25">
      <c r="A5069" s="2352" t="s">
        <v>18261</v>
      </c>
      <c r="B5069" s="2352" t="s">
        <v>18096</v>
      </c>
      <c r="C5069" s="2352" t="s">
        <v>20083</v>
      </c>
      <c r="D5069" s="2352" t="s">
        <v>18262</v>
      </c>
      <c r="E5069" s="355">
        <v>10</v>
      </c>
      <c r="F5069" s="1662">
        <v>7</v>
      </c>
    </row>
    <row r="5070" spans="1:6" ht="15" customHeight="1" x14ac:dyDescent="0.25">
      <c r="A5070" s="2352" t="s">
        <v>18263</v>
      </c>
      <c r="B5070" s="2352" t="s">
        <v>18096</v>
      </c>
      <c r="C5070" s="2352" t="s">
        <v>20083</v>
      </c>
      <c r="D5070" s="2352" t="s">
        <v>18264</v>
      </c>
      <c r="E5070" s="355">
        <v>60</v>
      </c>
      <c r="F5070" s="1662">
        <v>48</v>
      </c>
    </row>
    <row r="5071" spans="1:6" ht="15" customHeight="1" x14ac:dyDescent="0.25">
      <c r="A5071" s="2352" t="s">
        <v>18265</v>
      </c>
      <c r="B5071" s="2352" t="s">
        <v>18096</v>
      </c>
      <c r="C5071" s="2352" t="s">
        <v>20083</v>
      </c>
      <c r="D5071" s="2352" t="s">
        <v>18266</v>
      </c>
      <c r="E5071" s="355">
        <v>100</v>
      </c>
      <c r="F5071" s="1662">
        <v>87</v>
      </c>
    </row>
    <row r="5072" spans="1:6" ht="15" customHeight="1" x14ac:dyDescent="0.25">
      <c r="A5072" s="2352" t="s">
        <v>18265</v>
      </c>
      <c r="B5072" s="2352" t="s">
        <v>18096</v>
      </c>
      <c r="C5072" s="2352" t="s">
        <v>20083</v>
      </c>
      <c r="D5072" s="2352" t="s">
        <v>18267</v>
      </c>
      <c r="E5072" s="355">
        <v>63</v>
      </c>
      <c r="F5072" s="1662">
        <v>34</v>
      </c>
    </row>
    <row r="5073" spans="1:6" ht="15" customHeight="1" x14ac:dyDescent="0.25">
      <c r="A5073" s="2352" t="s">
        <v>18268</v>
      </c>
      <c r="B5073" s="2352" t="s">
        <v>18096</v>
      </c>
      <c r="C5073" s="2352" t="s">
        <v>20083</v>
      </c>
      <c r="D5073" s="2352" t="s">
        <v>18269</v>
      </c>
      <c r="E5073" s="355">
        <v>160</v>
      </c>
      <c r="F5073" s="1662">
        <v>108</v>
      </c>
    </row>
    <row r="5074" spans="1:6" ht="15" customHeight="1" x14ac:dyDescent="0.25">
      <c r="A5074" s="2352" t="s">
        <v>18265</v>
      </c>
      <c r="B5074" s="2352" t="s">
        <v>18096</v>
      </c>
      <c r="C5074" s="2352" t="s">
        <v>20083</v>
      </c>
      <c r="D5074" s="2352" t="s">
        <v>18270</v>
      </c>
      <c r="E5074" s="355">
        <v>63</v>
      </c>
      <c r="F5074" s="1662">
        <v>35</v>
      </c>
    </row>
    <row r="5075" spans="1:6" ht="15" customHeight="1" x14ac:dyDescent="0.25">
      <c r="A5075" s="2352" t="s">
        <v>18265</v>
      </c>
      <c r="B5075" s="2352" t="s">
        <v>18096</v>
      </c>
      <c r="C5075" s="2352" t="s">
        <v>20083</v>
      </c>
      <c r="D5075" s="2352" t="s">
        <v>18271</v>
      </c>
      <c r="E5075" s="355">
        <v>160</v>
      </c>
      <c r="F5075" s="1662">
        <v>108</v>
      </c>
    </row>
    <row r="5076" spans="1:6" ht="15" customHeight="1" x14ac:dyDescent="0.25">
      <c r="A5076" s="2352" t="s">
        <v>18265</v>
      </c>
      <c r="B5076" s="2352" t="s">
        <v>18096</v>
      </c>
      <c r="C5076" s="2352" t="s">
        <v>20083</v>
      </c>
      <c r="D5076" s="2352" t="s">
        <v>18272</v>
      </c>
      <c r="E5076" s="355">
        <v>160</v>
      </c>
      <c r="F5076" s="1662">
        <v>89</v>
      </c>
    </row>
    <row r="5077" spans="1:6" ht="15" customHeight="1" x14ac:dyDescent="0.25">
      <c r="A5077" s="2352" t="s">
        <v>18265</v>
      </c>
      <c r="B5077" s="2352" t="s">
        <v>18096</v>
      </c>
      <c r="C5077" s="2352" t="s">
        <v>20083</v>
      </c>
      <c r="D5077" s="2352" t="s">
        <v>18273</v>
      </c>
      <c r="E5077" s="355">
        <v>160</v>
      </c>
      <c r="F5077" s="1662">
        <v>157</v>
      </c>
    </row>
    <row r="5078" spans="1:6" ht="15" customHeight="1" x14ac:dyDescent="0.25">
      <c r="A5078" s="2352" t="s">
        <v>18274</v>
      </c>
      <c r="B5078" s="2352" t="s">
        <v>18096</v>
      </c>
      <c r="C5078" s="2352" t="s">
        <v>20083</v>
      </c>
      <c r="D5078" s="2352" t="s">
        <v>18275</v>
      </c>
      <c r="E5078" s="355">
        <v>160</v>
      </c>
      <c r="F5078" s="1662">
        <v>125</v>
      </c>
    </row>
    <row r="5079" spans="1:6" ht="15" customHeight="1" x14ac:dyDescent="0.25">
      <c r="A5079" s="2352" t="s">
        <v>18276</v>
      </c>
      <c r="B5079" s="2352" t="s">
        <v>18096</v>
      </c>
      <c r="C5079" s="2352" t="s">
        <v>20083</v>
      </c>
      <c r="D5079" s="2352" t="s">
        <v>18277</v>
      </c>
      <c r="E5079" s="355">
        <v>100</v>
      </c>
      <c r="F5079" s="1662">
        <v>59</v>
      </c>
    </row>
    <row r="5080" spans="1:6" ht="15" customHeight="1" x14ac:dyDescent="0.25">
      <c r="A5080" s="2352" t="s">
        <v>18278</v>
      </c>
      <c r="B5080" s="2352" t="s">
        <v>18096</v>
      </c>
      <c r="C5080" s="2352" t="s">
        <v>20083</v>
      </c>
      <c r="D5080" s="2352" t="s">
        <v>18279</v>
      </c>
      <c r="E5080" s="355">
        <v>160</v>
      </c>
      <c r="F5080" s="1662">
        <v>93</v>
      </c>
    </row>
    <row r="5081" spans="1:6" ht="15" customHeight="1" x14ac:dyDescent="0.25">
      <c r="A5081" s="2352" t="s">
        <v>18278</v>
      </c>
      <c r="B5081" s="2352" t="s">
        <v>18096</v>
      </c>
      <c r="C5081" s="2352" t="s">
        <v>20083</v>
      </c>
      <c r="D5081" s="2352" t="s">
        <v>18280</v>
      </c>
      <c r="E5081" s="355">
        <v>160</v>
      </c>
      <c r="F5081" s="1662">
        <v>156</v>
      </c>
    </row>
    <row r="5082" spans="1:6" ht="15" customHeight="1" x14ac:dyDescent="0.25">
      <c r="A5082" s="2352" t="s">
        <v>18281</v>
      </c>
      <c r="B5082" s="2352" t="s">
        <v>18096</v>
      </c>
      <c r="C5082" s="2352" t="s">
        <v>20083</v>
      </c>
      <c r="D5082" s="2352" t="s">
        <v>18282</v>
      </c>
      <c r="E5082" s="355">
        <v>160</v>
      </c>
      <c r="F5082" s="1662">
        <v>143</v>
      </c>
    </row>
    <row r="5083" spans="1:6" ht="15" customHeight="1" x14ac:dyDescent="0.25">
      <c r="A5083" s="2352" t="s">
        <v>18283</v>
      </c>
      <c r="B5083" s="2352" t="s">
        <v>18096</v>
      </c>
      <c r="C5083" s="2352" t="s">
        <v>20083</v>
      </c>
      <c r="D5083" s="2352" t="s">
        <v>18284</v>
      </c>
      <c r="E5083" s="355">
        <v>63</v>
      </c>
      <c r="F5083" s="1662">
        <v>47</v>
      </c>
    </row>
    <row r="5084" spans="1:6" ht="15" customHeight="1" x14ac:dyDescent="0.25">
      <c r="A5084" s="2352" t="s">
        <v>18285</v>
      </c>
      <c r="B5084" s="2352" t="s">
        <v>18096</v>
      </c>
      <c r="C5084" s="2352" t="s">
        <v>20083</v>
      </c>
      <c r="D5084" s="2352" t="s">
        <v>18286</v>
      </c>
      <c r="E5084" s="355">
        <v>160</v>
      </c>
      <c r="F5084" s="1662">
        <v>122</v>
      </c>
    </row>
    <row r="5085" spans="1:6" ht="15" customHeight="1" x14ac:dyDescent="0.25">
      <c r="A5085" s="2352" t="s">
        <v>18285</v>
      </c>
      <c r="B5085" s="2352" t="s">
        <v>18096</v>
      </c>
      <c r="C5085" s="2352" t="s">
        <v>20083</v>
      </c>
      <c r="D5085" s="2352" t="s">
        <v>18287</v>
      </c>
      <c r="E5085" s="355">
        <v>100</v>
      </c>
      <c r="F5085" s="1662">
        <v>85</v>
      </c>
    </row>
    <row r="5086" spans="1:6" ht="15" customHeight="1" x14ac:dyDescent="0.25">
      <c r="A5086" s="2352" t="s">
        <v>18288</v>
      </c>
      <c r="B5086" s="2352" t="s">
        <v>18096</v>
      </c>
      <c r="C5086" s="2352" t="s">
        <v>20083</v>
      </c>
      <c r="D5086" s="2352" t="s">
        <v>18289</v>
      </c>
      <c r="E5086" s="355">
        <v>100</v>
      </c>
      <c r="F5086" s="1662">
        <v>80</v>
      </c>
    </row>
    <row r="5087" spans="1:6" ht="15" customHeight="1" x14ac:dyDescent="0.25">
      <c r="A5087" s="2352" t="s">
        <v>18290</v>
      </c>
      <c r="B5087" s="2352" t="s">
        <v>18096</v>
      </c>
      <c r="C5087" s="2352" t="s">
        <v>20083</v>
      </c>
      <c r="D5087" s="2352" t="s">
        <v>18291</v>
      </c>
      <c r="E5087" s="355">
        <v>30</v>
      </c>
      <c r="F5087" s="1662">
        <v>16</v>
      </c>
    </row>
    <row r="5088" spans="1:6" ht="15" customHeight="1" x14ac:dyDescent="0.25">
      <c r="A5088" s="2352" t="s">
        <v>18292</v>
      </c>
      <c r="B5088" s="2352" t="s">
        <v>18096</v>
      </c>
      <c r="C5088" s="2352" t="s">
        <v>20083</v>
      </c>
      <c r="D5088" s="2352" t="s">
        <v>18293</v>
      </c>
      <c r="E5088" s="355">
        <v>20</v>
      </c>
      <c r="F5088" s="1662">
        <v>13</v>
      </c>
    </row>
    <row r="5089" spans="1:6" ht="15" customHeight="1" x14ac:dyDescent="0.25">
      <c r="A5089" s="2352" t="s">
        <v>18294</v>
      </c>
      <c r="B5089" s="2352" t="s">
        <v>18096</v>
      </c>
      <c r="C5089" s="2352" t="s">
        <v>20083</v>
      </c>
      <c r="D5089" s="2352" t="s">
        <v>18295</v>
      </c>
      <c r="E5089" s="355">
        <v>160</v>
      </c>
      <c r="F5089" s="1662">
        <v>140</v>
      </c>
    </row>
    <row r="5090" spans="1:6" ht="15" customHeight="1" x14ac:dyDescent="0.25">
      <c r="A5090" s="2352" t="s">
        <v>18296</v>
      </c>
      <c r="B5090" s="2352" t="s">
        <v>18096</v>
      </c>
      <c r="C5090" s="2352" t="s">
        <v>20083</v>
      </c>
      <c r="D5090" s="2352" t="s">
        <v>18297</v>
      </c>
      <c r="E5090" s="355">
        <v>25</v>
      </c>
      <c r="F5090" s="1662">
        <v>20</v>
      </c>
    </row>
    <row r="5091" spans="1:6" ht="15" customHeight="1" x14ac:dyDescent="0.25">
      <c r="A5091" s="2352" t="s">
        <v>18298</v>
      </c>
      <c r="B5091" s="2352" t="s">
        <v>18096</v>
      </c>
      <c r="C5091" s="2352" t="s">
        <v>20083</v>
      </c>
      <c r="D5091" s="2352" t="s">
        <v>18299</v>
      </c>
      <c r="E5091" s="355">
        <v>60</v>
      </c>
      <c r="F5091" s="1662">
        <v>41</v>
      </c>
    </row>
    <row r="5092" spans="1:6" ht="15" customHeight="1" x14ac:dyDescent="0.25">
      <c r="A5092" s="2352" t="s">
        <v>18300</v>
      </c>
      <c r="B5092" s="2352" t="s">
        <v>18096</v>
      </c>
      <c r="C5092" s="2352" t="s">
        <v>20083</v>
      </c>
      <c r="D5092" s="2352" t="s">
        <v>18301</v>
      </c>
      <c r="E5092" s="355">
        <v>400</v>
      </c>
      <c r="F5092" s="1662">
        <v>389</v>
      </c>
    </row>
    <row r="5093" spans="1:6" ht="15" customHeight="1" x14ac:dyDescent="0.25">
      <c r="A5093" s="2352" t="s">
        <v>18302</v>
      </c>
      <c r="B5093" s="2352" t="s">
        <v>18096</v>
      </c>
      <c r="C5093" s="2352" t="s">
        <v>20083</v>
      </c>
      <c r="D5093" s="2352" t="s">
        <v>18303</v>
      </c>
      <c r="E5093" s="355">
        <v>160</v>
      </c>
      <c r="F5093" s="1662">
        <v>139</v>
      </c>
    </row>
    <row r="5094" spans="1:6" ht="15" customHeight="1" x14ac:dyDescent="0.25">
      <c r="A5094" s="2352" t="s">
        <v>18304</v>
      </c>
      <c r="B5094" s="2352" t="s">
        <v>18096</v>
      </c>
      <c r="C5094" s="2352" t="s">
        <v>20083</v>
      </c>
      <c r="D5094" s="2352" t="s">
        <v>18305</v>
      </c>
      <c r="E5094" s="355">
        <v>160</v>
      </c>
      <c r="F5094" s="1662">
        <v>75</v>
      </c>
    </row>
    <row r="5095" spans="1:6" ht="15" customHeight="1" x14ac:dyDescent="0.25">
      <c r="A5095" s="2352" t="s">
        <v>18304</v>
      </c>
      <c r="B5095" s="2352" t="s">
        <v>18096</v>
      </c>
      <c r="C5095" s="2352" t="s">
        <v>20083</v>
      </c>
      <c r="D5095" s="2352" t="s">
        <v>18306</v>
      </c>
      <c r="E5095" s="355">
        <v>160</v>
      </c>
      <c r="F5095" s="1662">
        <v>94</v>
      </c>
    </row>
    <row r="5096" spans="1:6" ht="15" customHeight="1" x14ac:dyDescent="0.25">
      <c r="A5096" s="2352" t="s">
        <v>18304</v>
      </c>
      <c r="B5096" s="2352" t="s">
        <v>18096</v>
      </c>
      <c r="C5096" s="2352" t="s">
        <v>20083</v>
      </c>
      <c r="D5096" s="2352" t="s">
        <v>18307</v>
      </c>
      <c r="E5096" s="355">
        <v>160</v>
      </c>
      <c r="F5096" s="1662">
        <v>98</v>
      </c>
    </row>
    <row r="5097" spans="1:6" ht="15" customHeight="1" x14ac:dyDescent="0.25">
      <c r="A5097" s="2352" t="s">
        <v>18308</v>
      </c>
      <c r="B5097" s="2352" t="s">
        <v>18096</v>
      </c>
      <c r="C5097" s="2352" t="s">
        <v>20083</v>
      </c>
      <c r="D5097" s="2352" t="s">
        <v>18309</v>
      </c>
      <c r="E5097" s="355">
        <v>100</v>
      </c>
      <c r="F5097" s="1662">
        <v>53</v>
      </c>
    </row>
    <row r="5098" spans="1:6" ht="15" customHeight="1" x14ac:dyDescent="0.25">
      <c r="A5098" s="2352" t="s">
        <v>18212</v>
      </c>
      <c r="B5098" s="2352" t="s">
        <v>18096</v>
      </c>
      <c r="C5098" s="2352" t="s">
        <v>20083</v>
      </c>
      <c r="D5098" s="2352" t="s">
        <v>18310</v>
      </c>
      <c r="E5098" s="355">
        <v>30</v>
      </c>
      <c r="F5098" s="1662">
        <v>22</v>
      </c>
    </row>
    <row r="5099" spans="1:6" ht="15" customHeight="1" x14ac:dyDescent="0.25">
      <c r="A5099" s="2352" t="s">
        <v>18311</v>
      </c>
      <c r="B5099" s="2352" t="s">
        <v>18096</v>
      </c>
      <c r="C5099" s="2352" t="s">
        <v>20083</v>
      </c>
      <c r="D5099" s="2352" t="s">
        <v>18312</v>
      </c>
      <c r="E5099" s="355">
        <v>60</v>
      </c>
      <c r="F5099" s="1662">
        <v>60</v>
      </c>
    </row>
    <row r="5100" spans="1:6" ht="15" customHeight="1" x14ac:dyDescent="0.25">
      <c r="A5100" s="2352" t="s">
        <v>18294</v>
      </c>
      <c r="B5100" s="2352" t="s">
        <v>18096</v>
      </c>
      <c r="C5100" s="2352" t="s">
        <v>20083</v>
      </c>
      <c r="D5100" s="2352" t="s">
        <v>18313</v>
      </c>
      <c r="E5100" s="355">
        <v>60</v>
      </c>
      <c r="F5100" s="1662">
        <v>33</v>
      </c>
    </row>
    <row r="5101" spans="1:6" ht="15" customHeight="1" x14ac:dyDescent="0.25">
      <c r="A5101" s="2352" t="s">
        <v>18314</v>
      </c>
      <c r="B5101" s="2352" t="s">
        <v>18096</v>
      </c>
      <c r="C5101" s="2352" t="s">
        <v>20083</v>
      </c>
      <c r="D5101" s="2352" t="s">
        <v>18315</v>
      </c>
      <c r="E5101" s="355">
        <v>30</v>
      </c>
      <c r="F5101" s="1662">
        <v>2</v>
      </c>
    </row>
    <row r="5102" spans="1:6" ht="15" customHeight="1" x14ac:dyDescent="0.25">
      <c r="A5102" s="2352" t="s">
        <v>18316</v>
      </c>
      <c r="B5102" s="2352" t="s">
        <v>18096</v>
      </c>
      <c r="C5102" s="2352" t="s">
        <v>20083</v>
      </c>
      <c r="D5102" s="2352" t="s">
        <v>18317</v>
      </c>
      <c r="E5102" s="355">
        <v>100</v>
      </c>
      <c r="F5102" s="1662">
        <v>64</v>
      </c>
    </row>
    <row r="5103" spans="1:6" ht="15" customHeight="1" x14ac:dyDescent="0.25">
      <c r="A5103" s="2352" t="s">
        <v>18311</v>
      </c>
      <c r="B5103" s="2352" t="s">
        <v>18096</v>
      </c>
      <c r="C5103" s="2352" t="s">
        <v>20083</v>
      </c>
      <c r="D5103" s="2352" t="s">
        <v>18318</v>
      </c>
      <c r="E5103" s="355">
        <v>250</v>
      </c>
      <c r="F5103" s="1662">
        <v>232</v>
      </c>
    </row>
    <row r="5104" spans="1:6" ht="15" customHeight="1" x14ac:dyDescent="0.25">
      <c r="A5104" s="2352" t="s">
        <v>18311</v>
      </c>
      <c r="B5104" s="2352" t="s">
        <v>18096</v>
      </c>
      <c r="C5104" s="2352" t="s">
        <v>20083</v>
      </c>
      <c r="D5104" s="2352" t="s">
        <v>18319</v>
      </c>
      <c r="E5104" s="355">
        <v>250</v>
      </c>
      <c r="F5104" s="1662">
        <v>236</v>
      </c>
    </row>
    <row r="5105" spans="1:6" ht="15" customHeight="1" x14ac:dyDescent="0.25">
      <c r="A5105" s="2352" t="s">
        <v>18311</v>
      </c>
      <c r="B5105" s="2352" t="s">
        <v>18096</v>
      </c>
      <c r="C5105" s="2352" t="s">
        <v>20083</v>
      </c>
      <c r="D5105" s="2352" t="s">
        <v>18320</v>
      </c>
      <c r="E5105" s="355">
        <v>400</v>
      </c>
      <c r="F5105" s="1662">
        <v>383</v>
      </c>
    </row>
    <row r="5106" spans="1:6" ht="15" customHeight="1" x14ac:dyDescent="0.25">
      <c r="A5106" s="2352" t="s">
        <v>18321</v>
      </c>
      <c r="B5106" s="2352" t="s">
        <v>18096</v>
      </c>
      <c r="C5106" s="2352" t="s">
        <v>20083</v>
      </c>
      <c r="D5106" s="2352" t="s">
        <v>18322</v>
      </c>
      <c r="E5106" s="355">
        <v>100</v>
      </c>
      <c r="F5106" s="1662">
        <v>45</v>
      </c>
    </row>
    <row r="5107" spans="1:6" ht="15" customHeight="1" x14ac:dyDescent="0.25">
      <c r="A5107" s="2352" t="s">
        <v>18323</v>
      </c>
      <c r="B5107" s="2352" t="s">
        <v>18096</v>
      </c>
      <c r="C5107" s="2352" t="s">
        <v>20083</v>
      </c>
      <c r="D5107" s="2352" t="s">
        <v>18324</v>
      </c>
      <c r="E5107" s="355">
        <v>30</v>
      </c>
      <c r="F5107" s="1662">
        <v>22</v>
      </c>
    </row>
    <row r="5108" spans="1:6" ht="15" customHeight="1" x14ac:dyDescent="0.25">
      <c r="A5108" s="2352" t="s">
        <v>18325</v>
      </c>
      <c r="B5108" s="2352" t="s">
        <v>18096</v>
      </c>
      <c r="C5108" s="2352" t="s">
        <v>20083</v>
      </c>
      <c r="D5108" s="2352" t="s">
        <v>18326</v>
      </c>
      <c r="E5108" s="355">
        <v>60</v>
      </c>
      <c r="F5108" s="1662">
        <v>59</v>
      </c>
    </row>
    <row r="5109" spans="1:6" ht="15" customHeight="1" x14ac:dyDescent="0.25">
      <c r="A5109" s="2352" t="s">
        <v>18327</v>
      </c>
      <c r="B5109" s="2352" t="s">
        <v>18096</v>
      </c>
      <c r="C5109" s="2352" t="s">
        <v>20083</v>
      </c>
      <c r="D5109" s="2352" t="s">
        <v>18328</v>
      </c>
      <c r="E5109" s="355">
        <v>65</v>
      </c>
      <c r="F5109" s="1662">
        <v>45</v>
      </c>
    </row>
    <row r="5110" spans="1:6" ht="15" customHeight="1" x14ac:dyDescent="0.25">
      <c r="A5110" s="2352" t="s">
        <v>18329</v>
      </c>
      <c r="B5110" s="2352" t="s">
        <v>18096</v>
      </c>
      <c r="C5110" s="2352" t="s">
        <v>20083</v>
      </c>
      <c r="D5110" s="2352" t="s">
        <v>18330</v>
      </c>
      <c r="E5110" s="355">
        <v>30</v>
      </c>
      <c r="F5110" s="1662">
        <v>16</v>
      </c>
    </row>
    <row r="5111" spans="1:6" ht="15" customHeight="1" x14ac:dyDescent="0.25">
      <c r="A5111" s="2352" t="s">
        <v>18331</v>
      </c>
      <c r="B5111" s="2352" t="s">
        <v>18096</v>
      </c>
      <c r="C5111" s="2352" t="s">
        <v>20083</v>
      </c>
      <c r="D5111" s="2352" t="s">
        <v>18332</v>
      </c>
      <c r="E5111" s="355">
        <v>250</v>
      </c>
      <c r="F5111" s="1662">
        <v>208</v>
      </c>
    </row>
    <row r="5112" spans="1:6" ht="15" customHeight="1" x14ac:dyDescent="0.25">
      <c r="A5112" s="2352" t="s">
        <v>18331</v>
      </c>
      <c r="B5112" s="2352" t="s">
        <v>18096</v>
      </c>
      <c r="C5112" s="2352" t="s">
        <v>20083</v>
      </c>
      <c r="D5112" s="2352" t="s">
        <v>18333</v>
      </c>
      <c r="E5112" s="355">
        <v>160</v>
      </c>
      <c r="F5112" s="1662">
        <v>130</v>
      </c>
    </row>
    <row r="5113" spans="1:6" ht="15" customHeight="1" x14ac:dyDescent="0.25">
      <c r="A5113" s="2352" t="s">
        <v>18088</v>
      </c>
      <c r="B5113" s="2352" t="s">
        <v>18096</v>
      </c>
      <c r="C5113" s="2352" t="s">
        <v>20083</v>
      </c>
      <c r="D5113" s="2352" t="s">
        <v>18334</v>
      </c>
      <c r="E5113" s="355">
        <v>160</v>
      </c>
      <c r="F5113" s="1662">
        <v>146</v>
      </c>
    </row>
    <row r="5114" spans="1:6" ht="15" customHeight="1" x14ac:dyDescent="0.25">
      <c r="A5114" s="2352" t="s">
        <v>18335</v>
      </c>
      <c r="B5114" s="2352" t="s">
        <v>18096</v>
      </c>
      <c r="C5114" s="2352" t="s">
        <v>20083</v>
      </c>
      <c r="D5114" s="2352" t="s">
        <v>18336</v>
      </c>
      <c r="E5114" s="355">
        <v>30</v>
      </c>
      <c r="F5114" s="1662">
        <v>30</v>
      </c>
    </row>
    <row r="5115" spans="1:6" ht="15" customHeight="1" x14ac:dyDescent="0.25">
      <c r="A5115" s="2352" t="s">
        <v>18331</v>
      </c>
      <c r="B5115" s="2352" t="s">
        <v>18096</v>
      </c>
      <c r="C5115" s="2352" t="s">
        <v>20083</v>
      </c>
      <c r="D5115" s="2352" t="s">
        <v>18337</v>
      </c>
      <c r="E5115" s="355">
        <v>400</v>
      </c>
      <c r="F5115" s="1662">
        <v>361</v>
      </c>
    </row>
    <row r="5116" spans="1:6" ht="15" customHeight="1" x14ac:dyDescent="0.25">
      <c r="A5116" s="2352" t="s">
        <v>18331</v>
      </c>
      <c r="B5116" s="2352" t="s">
        <v>18096</v>
      </c>
      <c r="C5116" s="2352" t="s">
        <v>20083</v>
      </c>
      <c r="D5116" s="2352" t="s">
        <v>18338</v>
      </c>
      <c r="E5116" s="355">
        <v>160</v>
      </c>
      <c r="F5116" s="1662">
        <v>140</v>
      </c>
    </row>
    <row r="5117" spans="1:6" ht="15" customHeight="1" x14ac:dyDescent="0.25">
      <c r="A5117" s="2352" t="s">
        <v>18339</v>
      </c>
      <c r="B5117" s="2352" t="s">
        <v>18096</v>
      </c>
      <c r="C5117" s="2352" t="s">
        <v>20083</v>
      </c>
      <c r="D5117" s="2352" t="s">
        <v>18340</v>
      </c>
      <c r="E5117" s="355">
        <v>63</v>
      </c>
      <c r="F5117" s="1662">
        <v>56</v>
      </c>
    </row>
    <row r="5118" spans="1:6" ht="15" customHeight="1" x14ac:dyDescent="0.25">
      <c r="A5118" s="2352" t="s">
        <v>18341</v>
      </c>
      <c r="B5118" s="2352" t="s">
        <v>18096</v>
      </c>
      <c r="C5118" s="2352" t="s">
        <v>20083</v>
      </c>
      <c r="D5118" s="2352" t="s">
        <v>18342</v>
      </c>
      <c r="E5118" s="355">
        <v>100</v>
      </c>
      <c r="F5118" s="1662">
        <v>99</v>
      </c>
    </row>
    <row r="5119" spans="1:6" ht="15" customHeight="1" x14ac:dyDescent="0.25">
      <c r="A5119" s="2352" t="s">
        <v>18341</v>
      </c>
      <c r="B5119" s="2352" t="s">
        <v>18096</v>
      </c>
      <c r="C5119" s="2352" t="s">
        <v>20083</v>
      </c>
      <c r="D5119" s="2352" t="s">
        <v>18343</v>
      </c>
      <c r="E5119" s="355">
        <v>160</v>
      </c>
      <c r="F5119" s="1662">
        <v>149</v>
      </c>
    </row>
    <row r="5120" spans="1:6" ht="15" customHeight="1" x14ac:dyDescent="0.25">
      <c r="A5120" s="2352" t="s">
        <v>18344</v>
      </c>
      <c r="B5120" s="2352" t="s">
        <v>18096</v>
      </c>
      <c r="C5120" s="2352" t="s">
        <v>20083</v>
      </c>
      <c r="D5120" s="2352" t="s">
        <v>18345</v>
      </c>
      <c r="E5120" s="355">
        <v>63</v>
      </c>
      <c r="F5120" s="1662">
        <v>14</v>
      </c>
    </row>
    <row r="5121" spans="1:6" ht="15" customHeight="1" x14ac:dyDescent="0.25">
      <c r="A5121" s="2352" t="s">
        <v>18346</v>
      </c>
      <c r="B5121" s="2352" t="s">
        <v>18096</v>
      </c>
      <c r="C5121" s="2352" t="s">
        <v>20083</v>
      </c>
      <c r="D5121" s="2352" t="s">
        <v>18347</v>
      </c>
      <c r="E5121" s="355">
        <v>25</v>
      </c>
      <c r="F5121" s="1662">
        <v>21</v>
      </c>
    </row>
    <row r="5122" spans="1:6" ht="15" customHeight="1" x14ac:dyDescent="0.25">
      <c r="A5122" s="2352" t="s">
        <v>18348</v>
      </c>
      <c r="B5122" s="2352" t="s">
        <v>18096</v>
      </c>
      <c r="C5122" s="2352" t="s">
        <v>20083</v>
      </c>
      <c r="D5122" s="2352" t="s">
        <v>18349</v>
      </c>
      <c r="E5122" s="355">
        <v>60</v>
      </c>
      <c r="F5122" s="1662">
        <v>34</v>
      </c>
    </row>
    <row r="5123" spans="1:6" ht="15" customHeight="1" x14ac:dyDescent="0.25">
      <c r="A5123" s="2352" t="s">
        <v>18350</v>
      </c>
      <c r="B5123" s="2352" t="s">
        <v>18096</v>
      </c>
      <c r="C5123" s="2352" t="s">
        <v>20083</v>
      </c>
      <c r="D5123" s="2352" t="s">
        <v>18351</v>
      </c>
      <c r="E5123" s="355">
        <v>60</v>
      </c>
      <c r="F5123" s="1662">
        <v>44</v>
      </c>
    </row>
    <row r="5124" spans="1:6" ht="15" customHeight="1" x14ac:dyDescent="0.25">
      <c r="A5124" s="2352" t="s">
        <v>18352</v>
      </c>
      <c r="B5124" s="2352" t="s">
        <v>18096</v>
      </c>
      <c r="C5124" s="2352" t="s">
        <v>20083</v>
      </c>
      <c r="D5124" s="2352" t="s">
        <v>18353</v>
      </c>
      <c r="E5124" s="355">
        <v>63</v>
      </c>
      <c r="F5124" s="1662">
        <v>52</v>
      </c>
    </row>
    <row r="5125" spans="1:6" ht="15" customHeight="1" x14ac:dyDescent="0.25">
      <c r="A5125" s="2352" t="s">
        <v>18354</v>
      </c>
      <c r="B5125" s="2352" t="s">
        <v>18096</v>
      </c>
      <c r="C5125" s="2352" t="s">
        <v>20083</v>
      </c>
      <c r="D5125" s="2352" t="s">
        <v>18355</v>
      </c>
      <c r="E5125" s="355">
        <v>60</v>
      </c>
      <c r="F5125" s="1662">
        <v>44</v>
      </c>
    </row>
    <row r="5126" spans="1:6" ht="15" customHeight="1" x14ac:dyDescent="0.25">
      <c r="A5126" s="2352" t="s">
        <v>18354</v>
      </c>
      <c r="B5126" s="2352" t="s">
        <v>18096</v>
      </c>
      <c r="C5126" s="2352" t="s">
        <v>20083</v>
      </c>
      <c r="D5126" s="2352" t="s">
        <v>20084</v>
      </c>
      <c r="E5126" s="355">
        <v>63</v>
      </c>
      <c r="F5126" s="1662">
        <v>30</v>
      </c>
    </row>
    <row r="5127" spans="1:6" ht="15" customHeight="1" x14ac:dyDescent="0.25">
      <c r="A5127" s="2352" t="s">
        <v>18354</v>
      </c>
      <c r="B5127" s="2352" t="s">
        <v>18096</v>
      </c>
      <c r="C5127" s="2352" t="s">
        <v>20083</v>
      </c>
      <c r="D5127" s="2352" t="s">
        <v>20085</v>
      </c>
      <c r="E5127" s="355">
        <v>63</v>
      </c>
      <c r="F5127" s="1662">
        <v>30</v>
      </c>
    </row>
    <row r="5128" spans="1:6" ht="15" customHeight="1" x14ac:dyDescent="0.25">
      <c r="A5128" s="2352" t="s">
        <v>18354</v>
      </c>
      <c r="B5128" s="2352" t="s">
        <v>18096</v>
      </c>
      <c r="C5128" s="2352" t="s">
        <v>20083</v>
      </c>
      <c r="D5128" s="2352" t="s">
        <v>20086</v>
      </c>
      <c r="E5128" s="355">
        <v>40</v>
      </c>
      <c r="F5128" s="1662">
        <v>20</v>
      </c>
    </row>
    <row r="5129" spans="1:6" ht="15" customHeight="1" x14ac:dyDescent="0.25">
      <c r="A5129" s="2352" t="s">
        <v>18354</v>
      </c>
      <c r="B5129" s="2352" t="s">
        <v>18096</v>
      </c>
      <c r="C5129" s="2352" t="s">
        <v>20083</v>
      </c>
      <c r="D5129" s="2352" t="s">
        <v>20087</v>
      </c>
      <c r="E5129" s="355">
        <v>63</v>
      </c>
      <c r="F5129" s="1662">
        <v>63</v>
      </c>
    </row>
    <row r="5130" spans="1:6" ht="15" customHeight="1" x14ac:dyDescent="0.25">
      <c r="A5130" s="2352" t="s">
        <v>18354</v>
      </c>
      <c r="B5130" s="2352" t="s">
        <v>18096</v>
      </c>
      <c r="C5130" s="2352" t="s">
        <v>20083</v>
      </c>
      <c r="D5130" s="2352" t="s">
        <v>20088</v>
      </c>
      <c r="E5130" s="355">
        <v>100</v>
      </c>
      <c r="F5130" s="1662">
        <v>50</v>
      </c>
    </row>
    <row r="5131" spans="1:6" ht="15" customHeight="1" x14ac:dyDescent="0.25">
      <c r="A5131" s="2352" t="s">
        <v>18354</v>
      </c>
      <c r="B5131" s="2352" t="s">
        <v>18096</v>
      </c>
      <c r="C5131" s="2352" t="s">
        <v>20083</v>
      </c>
      <c r="D5131" s="2352" t="s">
        <v>20089</v>
      </c>
      <c r="E5131" s="355">
        <v>63</v>
      </c>
      <c r="F5131" s="1662">
        <v>30</v>
      </c>
    </row>
    <row r="5132" spans="1:6" ht="15" customHeight="1" x14ac:dyDescent="0.25">
      <c r="A5132" s="2352" t="s">
        <v>18354</v>
      </c>
      <c r="B5132" s="2352" t="s">
        <v>18096</v>
      </c>
      <c r="C5132" s="2352" t="s">
        <v>20083</v>
      </c>
      <c r="D5132" s="2352" t="s">
        <v>20090</v>
      </c>
      <c r="E5132" s="355">
        <v>40</v>
      </c>
      <c r="F5132" s="1662">
        <v>20</v>
      </c>
    </row>
    <row r="5133" spans="1:6" ht="15" customHeight="1" x14ac:dyDescent="0.25">
      <c r="A5133" s="2352" t="s">
        <v>18354</v>
      </c>
      <c r="B5133" s="2352" t="s">
        <v>18096</v>
      </c>
      <c r="C5133" s="2352" t="s">
        <v>20083</v>
      </c>
      <c r="D5133" s="2352" t="s">
        <v>20091</v>
      </c>
      <c r="E5133" s="355">
        <v>100</v>
      </c>
      <c r="F5133" s="1662">
        <v>50</v>
      </c>
    </row>
    <row r="5134" spans="1:6" ht="15" customHeight="1" x14ac:dyDescent="0.25">
      <c r="A5134" s="2352" t="s">
        <v>18356</v>
      </c>
      <c r="B5134" s="2352" t="s">
        <v>18096</v>
      </c>
      <c r="C5134" s="2352" t="s">
        <v>20083</v>
      </c>
      <c r="D5134" s="2352" t="s">
        <v>18357</v>
      </c>
      <c r="E5134" s="355">
        <v>100</v>
      </c>
      <c r="F5134" s="1662">
        <v>50</v>
      </c>
    </row>
    <row r="5135" spans="1:6" ht="15" customHeight="1" x14ac:dyDescent="0.25">
      <c r="A5135" s="2352" t="s">
        <v>18285</v>
      </c>
      <c r="B5135" s="2352" t="s">
        <v>18096</v>
      </c>
      <c r="C5135" s="2352" t="s">
        <v>20083</v>
      </c>
      <c r="D5135" s="2352" t="s">
        <v>18358</v>
      </c>
      <c r="E5135" s="355">
        <v>10</v>
      </c>
      <c r="F5135" s="1662">
        <v>6</v>
      </c>
    </row>
    <row r="5136" spans="1:6" ht="15" customHeight="1" x14ac:dyDescent="0.25">
      <c r="A5136" s="2352" t="s">
        <v>18359</v>
      </c>
      <c r="B5136" s="2352" t="s">
        <v>18096</v>
      </c>
      <c r="C5136" s="2352" t="s">
        <v>20083</v>
      </c>
      <c r="D5136" s="2352" t="s">
        <v>18360</v>
      </c>
      <c r="E5136" s="355">
        <v>100</v>
      </c>
      <c r="F5136" s="1662">
        <v>68</v>
      </c>
    </row>
    <row r="5137" spans="1:6" ht="15" customHeight="1" x14ac:dyDescent="0.25">
      <c r="A5137" s="2352" t="s">
        <v>18361</v>
      </c>
      <c r="B5137" s="2352" t="s">
        <v>18096</v>
      </c>
      <c r="C5137" s="2352" t="s">
        <v>20083</v>
      </c>
      <c r="D5137" s="2352" t="s">
        <v>18362</v>
      </c>
      <c r="E5137" s="355">
        <v>10</v>
      </c>
      <c r="F5137" s="1662">
        <v>1</v>
      </c>
    </row>
    <row r="5138" spans="1:6" ht="15" customHeight="1" x14ac:dyDescent="0.25">
      <c r="A5138" s="2352" t="s">
        <v>18363</v>
      </c>
      <c r="B5138" s="2352" t="s">
        <v>18096</v>
      </c>
      <c r="C5138" s="2352" t="s">
        <v>20083</v>
      </c>
      <c r="D5138" s="2352" t="s">
        <v>18364</v>
      </c>
      <c r="E5138" s="355">
        <v>250</v>
      </c>
      <c r="F5138" s="1662">
        <v>188</v>
      </c>
    </row>
    <row r="5139" spans="1:6" ht="15" customHeight="1" x14ac:dyDescent="0.25">
      <c r="A5139" s="2352" t="s">
        <v>18365</v>
      </c>
      <c r="B5139" s="2352" t="s">
        <v>18096</v>
      </c>
      <c r="C5139" s="2352" t="s">
        <v>20083</v>
      </c>
      <c r="D5139" s="2352" t="s">
        <v>18366</v>
      </c>
      <c r="E5139" s="355">
        <v>30</v>
      </c>
      <c r="F5139" s="1662">
        <v>8</v>
      </c>
    </row>
    <row r="5140" spans="1:6" ht="15" customHeight="1" x14ac:dyDescent="0.25">
      <c r="A5140" s="2352" t="s">
        <v>18367</v>
      </c>
      <c r="B5140" s="2352" t="s">
        <v>18096</v>
      </c>
      <c r="C5140" s="2352" t="s">
        <v>20083</v>
      </c>
      <c r="D5140" s="2352" t="s">
        <v>18368</v>
      </c>
      <c r="E5140" s="355">
        <v>63</v>
      </c>
      <c r="F5140" s="1662">
        <v>36</v>
      </c>
    </row>
    <row r="5141" spans="1:6" ht="15" customHeight="1" x14ac:dyDescent="0.25">
      <c r="A5141" s="2352" t="s">
        <v>18369</v>
      </c>
      <c r="B5141" s="2352" t="s">
        <v>18096</v>
      </c>
      <c r="C5141" s="2352" t="s">
        <v>20083</v>
      </c>
      <c r="D5141" s="2352" t="s">
        <v>18370</v>
      </c>
      <c r="E5141" s="355">
        <v>25</v>
      </c>
      <c r="F5141" s="1662">
        <v>7</v>
      </c>
    </row>
    <row r="5142" spans="1:6" ht="15" customHeight="1" x14ac:dyDescent="0.25">
      <c r="A5142" s="2352" t="s">
        <v>18371</v>
      </c>
      <c r="B5142" s="2352" t="s">
        <v>18096</v>
      </c>
      <c r="C5142" s="2352" t="s">
        <v>20083</v>
      </c>
      <c r="D5142" s="2352" t="s">
        <v>18372</v>
      </c>
      <c r="E5142" s="355">
        <v>30</v>
      </c>
      <c r="F5142" s="1662">
        <v>7</v>
      </c>
    </row>
    <row r="5143" spans="1:6" ht="15" customHeight="1" x14ac:dyDescent="0.25">
      <c r="A5143" s="2352" t="s">
        <v>18373</v>
      </c>
      <c r="B5143" s="2352" t="s">
        <v>18096</v>
      </c>
      <c r="C5143" s="2352" t="s">
        <v>20083</v>
      </c>
      <c r="D5143" s="2352" t="s">
        <v>18374</v>
      </c>
      <c r="E5143" s="355">
        <v>30</v>
      </c>
      <c r="F5143" s="1662">
        <v>16</v>
      </c>
    </row>
    <row r="5144" spans="1:6" ht="15" customHeight="1" x14ac:dyDescent="0.25">
      <c r="A5144" s="2352" t="s">
        <v>18375</v>
      </c>
      <c r="B5144" s="2352" t="s">
        <v>18096</v>
      </c>
      <c r="C5144" s="2352" t="s">
        <v>20083</v>
      </c>
      <c r="D5144" s="2352" t="s">
        <v>18376</v>
      </c>
      <c r="E5144" s="355">
        <v>400</v>
      </c>
      <c r="F5144" s="1662">
        <v>395</v>
      </c>
    </row>
    <row r="5145" spans="1:6" ht="15" customHeight="1" x14ac:dyDescent="0.25">
      <c r="A5145" s="2352" t="s">
        <v>18375</v>
      </c>
      <c r="B5145" s="2352" t="s">
        <v>18096</v>
      </c>
      <c r="C5145" s="2352" t="s">
        <v>20083</v>
      </c>
      <c r="D5145" s="2352" t="s">
        <v>18377</v>
      </c>
      <c r="E5145" s="355">
        <v>250</v>
      </c>
      <c r="F5145" s="1662">
        <v>186</v>
      </c>
    </row>
    <row r="5146" spans="1:6" ht="15" customHeight="1" x14ac:dyDescent="0.25">
      <c r="A5146" s="2352" t="s">
        <v>18378</v>
      </c>
      <c r="B5146" s="2352" t="s">
        <v>18096</v>
      </c>
      <c r="C5146" s="2352" t="s">
        <v>20083</v>
      </c>
      <c r="D5146" s="2352" t="s">
        <v>18379</v>
      </c>
      <c r="E5146" s="355">
        <v>25</v>
      </c>
      <c r="F5146" s="1662">
        <v>22</v>
      </c>
    </row>
    <row r="5147" spans="1:6" ht="15" customHeight="1" x14ac:dyDescent="0.25">
      <c r="A5147" s="2352" t="s">
        <v>18380</v>
      </c>
      <c r="B5147" s="2352" t="s">
        <v>18096</v>
      </c>
      <c r="C5147" s="2352" t="s">
        <v>20083</v>
      </c>
      <c r="D5147" s="2352" t="s">
        <v>18381</v>
      </c>
      <c r="E5147" s="355">
        <v>100</v>
      </c>
      <c r="F5147" s="1662">
        <v>91</v>
      </c>
    </row>
    <row r="5148" spans="1:6" ht="15" customHeight="1" x14ac:dyDescent="0.25">
      <c r="A5148" s="2352" t="s">
        <v>18382</v>
      </c>
      <c r="B5148" s="2352" t="s">
        <v>18096</v>
      </c>
      <c r="C5148" s="2352" t="s">
        <v>20083</v>
      </c>
      <c r="D5148" s="2352" t="s">
        <v>18383</v>
      </c>
      <c r="E5148" s="355">
        <v>30</v>
      </c>
      <c r="F5148" s="1662">
        <v>20</v>
      </c>
    </row>
    <row r="5149" spans="1:6" ht="15" customHeight="1" x14ac:dyDescent="0.25">
      <c r="A5149" s="2352" t="s">
        <v>18363</v>
      </c>
      <c r="B5149" s="2352" t="s">
        <v>18096</v>
      </c>
      <c r="C5149" s="2352" t="s">
        <v>20083</v>
      </c>
      <c r="D5149" s="2352" t="s">
        <v>18384</v>
      </c>
      <c r="E5149" s="355">
        <v>160</v>
      </c>
      <c r="F5149" s="1662">
        <v>102</v>
      </c>
    </row>
    <row r="5150" spans="1:6" ht="15" customHeight="1" x14ac:dyDescent="0.25">
      <c r="A5150" s="2352" t="s">
        <v>18385</v>
      </c>
      <c r="B5150" s="2352" t="s">
        <v>18096</v>
      </c>
      <c r="C5150" s="2352" t="s">
        <v>20083</v>
      </c>
      <c r="D5150" s="2352" t="s">
        <v>18386</v>
      </c>
      <c r="E5150" s="355">
        <v>100</v>
      </c>
      <c r="F5150" s="1662">
        <v>74</v>
      </c>
    </row>
    <row r="5151" spans="1:6" ht="15" customHeight="1" x14ac:dyDescent="0.25">
      <c r="A5151" s="2352" t="s">
        <v>18387</v>
      </c>
      <c r="B5151" s="2352" t="s">
        <v>18096</v>
      </c>
      <c r="C5151" s="2352" t="s">
        <v>20083</v>
      </c>
      <c r="D5151" s="2352" t="s">
        <v>18388</v>
      </c>
      <c r="E5151" s="355">
        <v>30</v>
      </c>
      <c r="F5151" s="1662">
        <v>8</v>
      </c>
    </row>
    <row r="5152" spans="1:6" ht="15" customHeight="1" x14ac:dyDescent="0.25">
      <c r="A5152" s="2352" t="s">
        <v>18363</v>
      </c>
      <c r="B5152" s="2352" t="s">
        <v>18096</v>
      </c>
      <c r="C5152" s="2352" t="s">
        <v>20083</v>
      </c>
      <c r="D5152" s="2352" t="s">
        <v>18389</v>
      </c>
      <c r="E5152" s="355">
        <v>160</v>
      </c>
      <c r="F5152" s="1662">
        <v>155</v>
      </c>
    </row>
    <row r="5153" spans="1:6" ht="15" customHeight="1" x14ac:dyDescent="0.25">
      <c r="A5153" s="2352" t="s">
        <v>18390</v>
      </c>
      <c r="B5153" s="2352" t="s">
        <v>18096</v>
      </c>
      <c r="C5153" s="2352" t="s">
        <v>20083</v>
      </c>
      <c r="D5153" s="2352" t="s">
        <v>18391</v>
      </c>
      <c r="E5153" s="355">
        <v>400</v>
      </c>
      <c r="F5153" s="1662">
        <v>370</v>
      </c>
    </row>
    <row r="5154" spans="1:6" ht="15" customHeight="1" x14ac:dyDescent="0.25">
      <c r="A5154" s="2352" t="s">
        <v>18390</v>
      </c>
      <c r="B5154" s="2352" t="s">
        <v>18096</v>
      </c>
      <c r="C5154" s="2352" t="s">
        <v>20083</v>
      </c>
      <c r="D5154" s="2352" t="s">
        <v>18392</v>
      </c>
      <c r="E5154" s="355">
        <v>250</v>
      </c>
      <c r="F5154" s="1662">
        <v>216</v>
      </c>
    </row>
    <row r="5155" spans="1:6" ht="15" customHeight="1" x14ac:dyDescent="0.25">
      <c r="A5155" s="2352" t="s">
        <v>18390</v>
      </c>
      <c r="B5155" s="2352" t="s">
        <v>18096</v>
      </c>
      <c r="C5155" s="2352" t="s">
        <v>20083</v>
      </c>
      <c r="D5155" s="2352" t="s">
        <v>18393</v>
      </c>
      <c r="E5155" s="355">
        <v>160</v>
      </c>
      <c r="F5155" s="1662">
        <v>103</v>
      </c>
    </row>
    <row r="5156" spans="1:6" ht="15" customHeight="1" x14ac:dyDescent="0.25">
      <c r="A5156" s="2352" t="s">
        <v>18394</v>
      </c>
      <c r="B5156" s="2352" t="s">
        <v>18096</v>
      </c>
      <c r="C5156" s="2352" t="s">
        <v>20083</v>
      </c>
      <c r="D5156" s="2352" t="s">
        <v>18395</v>
      </c>
      <c r="E5156" s="355">
        <v>100</v>
      </c>
      <c r="F5156" s="1662">
        <v>100</v>
      </c>
    </row>
    <row r="5157" spans="1:6" ht="15" customHeight="1" x14ac:dyDescent="0.25">
      <c r="A5157" s="2352" t="s">
        <v>18394</v>
      </c>
      <c r="B5157" s="2352" t="s">
        <v>18096</v>
      </c>
      <c r="C5157" s="2352" t="s">
        <v>20083</v>
      </c>
      <c r="D5157" s="2352" t="s">
        <v>18396</v>
      </c>
      <c r="E5157" s="355">
        <v>100</v>
      </c>
      <c r="F5157" s="1662">
        <v>11</v>
      </c>
    </row>
    <row r="5158" spans="1:6" ht="15" customHeight="1" x14ac:dyDescent="0.25">
      <c r="A5158" s="2352" t="s">
        <v>18397</v>
      </c>
      <c r="B5158" s="2352" t="s">
        <v>18096</v>
      </c>
      <c r="C5158" s="2352" t="s">
        <v>20083</v>
      </c>
      <c r="D5158" s="2352" t="s">
        <v>18398</v>
      </c>
      <c r="E5158" s="355">
        <v>100</v>
      </c>
      <c r="F5158" s="1662">
        <v>55</v>
      </c>
    </row>
    <row r="5159" spans="1:6" ht="15" customHeight="1" x14ac:dyDescent="0.25">
      <c r="A5159" s="2352" t="s">
        <v>18399</v>
      </c>
      <c r="B5159" s="2352" t="s">
        <v>18096</v>
      </c>
      <c r="C5159" s="2352" t="s">
        <v>20083</v>
      </c>
      <c r="D5159" s="2352" t="s">
        <v>18400</v>
      </c>
      <c r="E5159" s="355">
        <v>160</v>
      </c>
      <c r="F5159" s="1662">
        <v>126</v>
      </c>
    </row>
    <row r="5160" spans="1:6" ht="15" customHeight="1" x14ac:dyDescent="0.25">
      <c r="A5160" s="2352" t="s">
        <v>18401</v>
      </c>
      <c r="B5160" s="2352" t="s">
        <v>18096</v>
      </c>
      <c r="C5160" s="2352" t="s">
        <v>20083</v>
      </c>
      <c r="D5160" s="2352" t="s">
        <v>18402</v>
      </c>
      <c r="E5160" s="355">
        <v>60</v>
      </c>
      <c r="F5160" s="1662">
        <v>60</v>
      </c>
    </row>
    <row r="5161" spans="1:6" ht="15" customHeight="1" x14ac:dyDescent="0.25">
      <c r="A5161" s="2352" t="s">
        <v>18403</v>
      </c>
      <c r="B5161" s="2352" t="s">
        <v>18096</v>
      </c>
      <c r="C5161" s="2352" t="s">
        <v>20083</v>
      </c>
      <c r="D5161" s="2352" t="s">
        <v>18404</v>
      </c>
      <c r="E5161" s="355">
        <v>250</v>
      </c>
      <c r="F5161" s="1662">
        <v>214</v>
      </c>
    </row>
    <row r="5162" spans="1:6" ht="15" customHeight="1" x14ac:dyDescent="0.25">
      <c r="A5162" s="2352" t="s">
        <v>18405</v>
      </c>
      <c r="B5162" s="2352" t="s">
        <v>18096</v>
      </c>
      <c r="C5162" s="2352" t="s">
        <v>20083</v>
      </c>
      <c r="D5162" s="2352" t="s">
        <v>18406</v>
      </c>
      <c r="E5162" s="355">
        <v>63</v>
      </c>
      <c r="F5162" s="1662">
        <v>3</v>
      </c>
    </row>
    <row r="5163" spans="1:6" ht="15" customHeight="1" x14ac:dyDescent="0.25">
      <c r="A5163" s="2352" t="s">
        <v>18407</v>
      </c>
      <c r="B5163" s="2352" t="s">
        <v>18096</v>
      </c>
      <c r="C5163" s="2352" t="s">
        <v>20083</v>
      </c>
      <c r="D5163" s="2352" t="s">
        <v>18408</v>
      </c>
      <c r="E5163" s="355">
        <v>63</v>
      </c>
      <c r="F5163" s="1662">
        <v>29</v>
      </c>
    </row>
    <row r="5164" spans="1:6" ht="15" customHeight="1" x14ac:dyDescent="0.25">
      <c r="A5164" s="2352" t="s">
        <v>18394</v>
      </c>
      <c r="B5164" s="2352" t="s">
        <v>18096</v>
      </c>
      <c r="C5164" s="2352" t="s">
        <v>20083</v>
      </c>
      <c r="D5164" s="2352" t="s">
        <v>18409</v>
      </c>
      <c r="E5164" s="355">
        <v>400</v>
      </c>
      <c r="F5164" s="1662">
        <v>371</v>
      </c>
    </row>
    <row r="5165" spans="1:6" ht="15" customHeight="1" x14ac:dyDescent="0.25">
      <c r="A5165" s="2352" t="s">
        <v>18394</v>
      </c>
      <c r="B5165" s="2352" t="s">
        <v>18096</v>
      </c>
      <c r="C5165" s="2352" t="s">
        <v>20083</v>
      </c>
      <c r="D5165" s="2352" t="s">
        <v>18410</v>
      </c>
      <c r="E5165" s="355">
        <v>400</v>
      </c>
      <c r="F5165" s="1662">
        <v>375</v>
      </c>
    </row>
    <row r="5166" spans="1:6" ht="15" customHeight="1" x14ac:dyDescent="0.25">
      <c r="A5166" s="2352" t="s">
        <v>18394</v>
      </c>
      <c r="B5166" s="2352" t="s">
        <v>18096</v>
      </c>
      <c r="C5166" s="2352" t="s">
        <v>20083</v>
      </c>
      <c r="D5166" s="2352" t="s">
        <v>18411</v>
      </c>
      <c r="E5166" s="355">
        <v>250</v>
      </c>
      <c r="F5166" s="1662">
        <v>217</v>
      </c>
    </row>
    <row r="5167" spans="1:6" ht="15" customHeight="1" x14ac:dyDescent="0.25">
      <c r="A5167" s="2352" t="s">
        <v>18412</v>
      </c>
      <c r="B5167" s="2352" t="s">
        <v>18096</v>
      </c>
      <c r="C5167" s="2352" t="s">
        <v>20083</v>
      </c>
      <c r="D5167" s="2352" t="s">
        <v>18413</v>
      </c>
      <c r="E5167" s="355">
        <v>100</v>
      </c>
      <c r="F5167" s="1662">
        <v>69</v>
      </c>
    </row>
    <row r="5168" spans="1:6" ht="15" customHeight="1" x14ac:dyDescent="0.25">
      <c r="A5168" s="2352" t="s">
        <v>18397</v>
      </c>
      <c r="B5168" s="2352" t="s">
        <v>18096</v>
      </c>
      <c r="C5168" s="2352" t="s">
        <v>20083</v>
      </c>
      <c r="D5168" s="2352" t="s">
        <v>18414</v>
      </c>
      <c r="E5168" s="355">
        <v>400</v>
      </c>
      <c r="F5168" s="1662">
        <v>362</v>
      </c>
    </row>
    <row r="5169" spans="1:6" ht="15" customHeight="1" x14ac:dyDescent="0.25">
      <c r="A5169" s="2352" t="s">
        <v>18397</v>
      </c>
      <c r="B5169" s="2352" t="s">
        <v>18096</v>
      </c>
      <c r="C5169" s="2352" t="s">
        <v>20083</v>
      </c>
      <c r="D5169" s="2352" t="s">
        <v>18415</v>
      </c>
      <c r="E5169" s="355">
        <v>100</v>
      </c>
      <c r="F5169" s="1662">
        <v>75</v>
      </c>
    </row>
    <row r="5170" spans="1:6" ht="15" customHeight="1" x14ac:dyDescent="0.25">
      <c r="A5170" s="2352" t="s">
        <v>18416</v>
      </c>
      <c r="B5170" s="2352" t="s">
        <v>18096</v>
      </c>
      <c r="C5170" s="2352" t="s">
        <v>20083</v>
      </c>
      <c r="D5170" s="2352" t="s">
        <v>18417</v>
      </c>
      <c r="E5170" s="355">
        <v>400</v>
      </c>
      <c r="F5170" s="1662">
        <v>357</v>
      </c>
    </row>
    <row r="5171" spans="1:6" ht="15" customHeight="1" x14ac:dyDescent="0.25">
      <c r="A5171" s="2352" t="s">
        <v>18416</v>
      </c>
      <c r="B5171" s="2352" t="s">
        <v>18096</v>
      </c>
      <c r="C5171" s="2352" t="s">
        <v>20083</v>
      </c>
      <c r="D5171" s="2352" t="s">
        <v>18418</v>
      </c>
      <c r="E5171" s="355">
        <v>160</v>
      </c>
      <c r="F5171" s="1662">
        <v>131</v>
      </c>
    </row>
    <row r="5172" spans="1:6" ht="15" customHeight="1" x14ac:dyDescent="0.25">
      <c r="A5172" s="2352" t="s">
        <v>18419</v>
      </c>
      <c r="B5172" s="2352" t="s">
        <v>18096</v>
      </c>
      <c r="C5172" s="2352" t="s">
        <v>20083</v>
      </c>
      <c r="D5172" s="2352" t="s">
        <v>18420</v>
      </c>
      <c r="E5172" s="355">
        <v>100</v>
      </c>
      <c r="F5172" s="1662">
        <v>85</v>
      </c>
    </row>
    <row r="5173" spans="1:6" ht="15" customHeight="1" x14ac:dyDescent="0.25">
      <c r="A5173" s="2352" t="s">
        <v>18354</v>
      </c>
      <c r="B5173" s="2352" t="s">
        <v>18096</v>
      </c>
      <c r="C5173" s="2352" t="s">
        <v>20083</v>
      </c>
      <c r="D5173" s="2352" t="s">
        <v>18421</v>
      </c>
      <c r="E5173" s="355">
        <v>60</v>
      </c>
      <c r="F5173" s="1662">
        <v>35</v>
      </c>
    </row>
    <row r="5174" spans="1:6" ht="15" customHeight="1" x14ac:dyDescent="0.25">
      <c r="A5174" s="2352" t="s">
        <v>18354</v>
      </c>
      <c r="B5174" s="2352" t="s">
        <v>18096</v>
      </c>
      <c r="C5174" s="2352" t="s">
        <v>20083</v>
      </c>
      <c r="D5174" s="2352" t="s">
        <v>18422</v>
      </c>
      <c r="E5174" s="355">
        <v>160</v>
      </c>
      <c r="F5174" s="1662">
        <v>58</v>
      </c>
    </row>
    <row r="5175" spans="1:6" ht="15" customHeight="1" x14ac:dyDescent="0.25">
      <c r="A5175" s="2352" t="s">
        <v>18423</v>
      </c>
      <c r="B5175" s="2352" t="s">
        <v>18096</v>
      </c>
      <c r="C5175" s="2352" t="s">
        <v>20083</v>
      </c>
      <c r="D5175" s="2352" t="s">
        <v>18424</v>
      </c>
      <c r="E5175" s="355">
        <v>63</v>
      </c>
      <c r="F5175" s="1662">
        <v>35</v>
      </c>
    </row>
    <row r="5176" spans="1:6" ht="15" customHeight="1" x14ac:dyDescent="0.25">
      <c r="A5176" s="2352" t="s">
        <v>18425</v>
      </c>
      <c r="B5176" s="2352" t="s">
        <v>18096</v>
      </c>
      <c r="C5176" s="2352" t="s">
        <v>20083</v>
      </c>
      <c r="D5176" s="2352" t="s">
        <v>18426</v>
      </c>
      <c r="E5176" s="355">
        <v>30</v>
      </c>
      <c r="F5176" s="1662">
        <v>13</v>
      </c>
    </row>
    <row r="5177" spans="1:6" ht="15" customHeight="1" x14ac:dyDescent="0.25">
      <c r="A5177" s="2352" t="s">
        <v>18427</v>
      </c>
      <c r="B5177" s="2352" t="s">
        <v>18096</v>
      </c>
      <c r="C5177" s="2352" t="s">
        <v>20083</v>
      </c>
      <c r="D5177" s="2352" t="s">
        <v>18428</v>
      </c>
      <c r="E5177" s="355">
        <v>30</v>
      </c>
      <c r="F5177" s="1662">
        <v>20</v>
      </c>
    </row>
    <row r="5178" spans="1:6" ht="15" customHeight="1" x14ac:dyDescent="0.25">
      <c r="A5178" s="2352" t="s">
        <v>18429</v>
      </c>
      <c r="B5178" s="2352" t="s">
        <v>18096</v>
      </c>
      <c r="C5178" s="2352" t="s">
        <v>20083</v>
      </c>
      <c r="D5178" s="2352" t="s">
        <v>18430</v>
      </c>
      <c r="E5178" s="355">
        <v>30</v>
      </c>
      <c r="F5178" s="1662">
        <v>8</v>
      </c>
    </row>
    <row r="5179" spans="1:6" ht="15" customHeight="1" x14ac:dyDescent="0.25">
      <c r="A5179" s="2352" t="s">
        <v>18431</v>
      </c>
      <c r="B5179" s="2352" t="s">
        <v>18096</v>
      </c>
      <c r="C5179" s="2352" t="s">
        <v>20083</v>
      </c>
      <c r="D5179" s="2352" t="s">
        <v>18432</v>
      </c>
      <c r="E5179" s="355">
        <v>30</v>
      </c>
      <c r="F5179" s="1662">
        <v>16</v>
      </c>
    </row>
    <row r="5180" spans="1:6" ht="15" customHeight="1" x14ac:dyDescent="0.25">
      <c r="A5180" s="2352" t="s">
        <v>18433</v>
      </c>
      <c r="B5180" s="2352" t="s">
        <v>18096</v>
      </c>
      <c r="C5180" s="2352" t="s">
        <v>20083</v>
      </c>
      <c r="D5180" s="2352" t="s">
        <v>18434</v>
      </c>
      <c r="E5180" s="355">
        <v>100</v>
      </c>
      <c r="F5180" s="1662">
        <v>33</v>
      </c>
    </row>
    <row r="5181" spans="1:6" ht="15" customHeight="1" x14ac:dyDescent="0.25">
      <c r="A5181" s="2352" t="s">
        <v>18433</v>
      </c>
      <c r="B5181" s="2352" t="s">
        <v>18096</v>
      </c>
      <c r="C5181" s="2352" t="s">
        <v>20083</v>
      </c>
      <c r="D5181" s="2352" t="s">
        <v>18435</v>
      </c>
      <c r="E5181" s="355">
        <v>100</v>
      </c>
      <c r="F5181" s="1662">
        <v>62</v>
      </c>
    </row>
    <row r="5182" spans="1:6" ht="15" customHeight="1" x14ac:dyDescent="0.25">
      <c r="A5182" s="2352" t="s">
        <v>18433</v>
      </c>
      <c r="B5182" s="2352" t="s">
        <v>18096</v>
      </c>
      <c r="C5182" s="2352" t="s">
        <v>20083</v>
      </c>
      <c r="D5182" s="2352" t="s">
        <v>18436</v>
      </c>
      <c r="E5182" s="355">
        <v>100</v>
      </c>
      <c r="F5182" s="1662">
        <v>67</v>
      </c>
    </row>
    <row r="5183" spans="1:6" ht="15" customHeight="1" x14ac:dyDescent="0.25">
      <c r="A5183" s="2352" t="s">
        <v>18433</v>
      </c>
      <c r="B5183" s="2352" t="s">
        <v>18096</v>
      </c>
      <c r="C5183" s="2352" t="s">
        <v>20083</v>
      </c>
      <c r="D5183" s="2352" t="s">
        <v>18437</v>
      </c>
      <c r="E5183" s="355">
        <v>250</v>
      </c>
      <c r="F5183" s="1662">
        <v>99</v>
      </c>
    </row>
    <row r="5184" spans="1:6" ht="15" customHeight="1" x14ac:dyDescent="0.25">
      <c r="A5184" s="2352" t="s">
        <v>18433</v>
      </c>
      <c r="B5184" s="2352" t="s">
        <v>18096</v>
      </c>
      <c r="C5184" s="2352" t="s">
        <v>20083</v>
      </c>
      <c r="D5184" s="2352" t="s">
        <v>18438</v>
      </c>
      <c r="E5184" s="355">
        <v>100</v>
      </c>
      <c r="F5184" s="1662">
        <v>69</v>
      </c>
    </row>
    <row r="5185" spans="1:6" ht="15" customHeight="1" x14ac:dyDescent="0.25">
      <c r="A5185" s="2352" t="s">
        <v>18433</v>
      </c>
      <c r="B5185" s="2352" t="s">
        <v>18096</v>
      </c>
      <c r="C5185" s="2352" t="s">
        <v>20083</v>
      </c>
      <c r="D5185" s="2352" t="s">
        <v>18439</v>
      </c>
      <c r="E5185" s="355">
        <v>250</v>
      </c>
      <c r="F5185" s="1662">
        <v>217</v>
      </c>
    </row>
    <row r="5186" spans="1:6" ht="15" customHeight="1" x14ac:dyDescent="0.25">
      <c r="A5186" s="2352" t="s">
        <v>18431</v>
      </c>
      <c r="B5186" s="2352" t="s">
        <v>18096</v>
      </c>
      <c r="C5186" s="2352" t="s">
        <v>20083</v>
      </c>
      <c r="D5186" s="2352" t="s">
        <v>18440</v>
      </c>
      <c r="E5186" s="355">
        <v>250</v>
      </c>
      <c r="F5186" s="1662">
        <v>235</v>
      </c>
    </row>
    <row r="5187" spans="1:6" ht="15" customHeight="1" x14ac:dyDescent="0.25">
      <c r="A5187" s="2352" t="s">
        <v>18441</v>
      </c>
      <c r="B5187" s="2352" t="s">
        <v>18096</v>
      </c>
      <c r="C5187" s="2352" t="s">
        <v>20083</v>
      </c>
      <c r="D5187" s="2352" t="s">
        <v>18442</v>
      </c>
      <c r="E5187" s="355">
        <v>250</v>
      </c>
      <c r="F5187" s="1662">
        <v>235</v>
      </c>
    </row>
    <row r="5188" spans="1:6" ht="15" customHeight="1" x14ac:dyDescent="0.25">
      <c r="A5188" s="2352" t="s">
        <v>18441</v>
      </c>
      <c r="B5188" s="2352" t="s">
        <v>18096</v>
      </c>
      <c r="C5188" s="2352" t="s">
        <v>20083</v>
      </c>
      <c r="D5188" s="2352" t="s">
        <v>18443</v>
      </c>
      <c r="E5188" s="355">
        <v>160</v>
      </c>
      <c r="F5188" s="1662">
        <v>152</v>
      </c>
    </row>
    <row r="5189" spans="1:6" ht="15" customHeight="1" x14ac:dyDescent="0.25">
      <c r="A5189" s="2352" t="s">
        <v>18441</v>
      </c>
      <c r="B5189" s="2352" t="s">
        <v>18096</v>
      </c>
      <c r="C5189" s="2352" t="s">
        <v>20083</v>
      </c>
      <c r="D5189" s="2352" t="s">
        <v>18444</v>
      </c>
      <c r="E5189" s="355">
        <v>250</v>
      </c>
      <c r="F5189" s="1662">
        <v>242</v>
      </c>
    </row>
    <row r="5190" spans="1:6" ht="15" customHeight="1" x14ac:dyDescent="0.25">
      <c r="A5190" s="2352" t="s">
        <v>18441</v>
      </c>
      <c r="B5190" s="2352" t="s">
        <v>18096</v>
      </c>
      <c r="C5190" s="2352" t="s">
        <v>20083</v>
      </c>
      <c r="D5190" s="2352" t="s">
        <v>18445</v>
      </c>
      <c r="E5190" s="355">
        <v>630</v>
      </c>
      <c r="F5190" s="1662">
        <v>625</v>
      </c>
    </row>
    <row r="5191" spans="1:6" ht="15" customHeight="1" x14ac:dyDescent="0.25">
      <c r="A5191" s="2352" t="s">
        <v>18441</v>
      </c>
      <c r="B5191" s="2352" t="s">
        <v>18096</v>
      </c>
      <c r="C5191" s="2352" t="s">
        <v>20083</v>
      </c>
      <c r="D5191" s="2352" t="s">
        <v>18446</v>
      </c>
      <c r="E5191" s="355">
        <v>400</v>
      </c>
      <c r="F5191" s="1662">
        <v>390</v>
      </c>
    </row>
    <row r="5192" spans="1:6" ht="15" customHeight="1" x14ac:dyDescent="0.25">
      <c r="A5192" s="2352" t="s">
        <v>18441</v>
      </c>
      <c r="B5192" s="2352" t="s">
        <v>18096</v>
      </c>
      <c r="C5192" s="2352" t="s">
        <v>20083</v>
      </c>
      <c r="D5192" s="2352" t="s">
        <v>18447</v>
      </c>
      <c r="E5192" s="355">
        <v>100</v>
      </c>
      <c r="F5192" s="1662">
        <v>71</v>
      </c>
    </row>
    <row r="5193" spans="1:6" ht="15" customHeight="1" x14ac:dyDescent="0.25">
      <c r="A5193" s="2352" t="s">
        <v>18441</v>
      </c>
      <c r="B5193" s="2352" t="s">
        <v>18096</v>
      </c>
      <c r="C5193" s="2352" t="s">
        <v>20083</v>
      </c>
      <c r="D5193" s="2352" t="s">
        <v>18448</v>
      </c>
      <c r="E5193" s="355">
        <v>100</v>
      </c>
      <c r="F5193" s="1662">
        <v>76</v>
      </c>
    </row>
    <row r="5194" spans="1:6" ht="15" customHeight="1" x14ac:dyDescent="0.25">
      <c r="A5194" s="2352" t="s">
        <v>18449</v>
      </c>
      <c r="B5194" s="2352" t="s">
        <v>18096</v>
      </c>
      <c r="C5194" s="2352" t="s">
        <v>20083</v>
      </c>
      <c r="D5194" s="2352" t="s">
        <v>18450</v>
      </c>
      <c r="E5194" s="355">
        <v>250</v>
      </c>
      <c r="F5194" s="1662">
        <v>170</v>
      </c>
    </row>
    <row r="5195" spans="1:6" ht="15" customHeight="1" x14ac:dyDescent="0.25">
      <c r="A5195" s="2352" t="s">
        <v>18441</v>
      </c>
      <c r="B5195" s="2352" t="s">
        <v>18096</v>
      </c>
      <c r="C5195" s="2352" t="s">
        <v>20083</v>
      </c>
      <c r="D5195" s="2352" t="s">
        <v>18451</v>
      </c>
      <c r="E5195" s="355">
        <v>250</v>
      </c>
      <c r="F5195" s="1662">
        <v>189</v>
      </c>
    </row>
    <row r="5196" spans="1:6" ht="15" customHeight="1" x14ac:dyDescent="0.25">
      <c r="A5196" s="2352" t="s">
        <v>18452</v>
      </c>
      <c r="B5196" s="2352" t="s">
        <v>18096</v>
      </c>
      <c r="C5196" s="2352" t="s">
        <v>20083</v>
      </c>
      <c r="D5196" s="2352" t="s">
        <v>18453</v>
      </c>
      <c r="E5196" s="355">
        <v>60</v>
      </c>
      <c r="F5196" s="1662">
        <v>26</v>
      </c>
    </row>
    <row r="5197" spans="1:6" ht="15" customHeight="1" x14ac:dyDescent="0.25">
      <c r="A5197" s="2352" t="s">
        <v>18454</v>
      </c>
      <c r="B5197" s="2352" t="s">
        <v>18096</v>
      </c>
      <c r="C5197" s="2352" t="s">
        <v>20083</v>
      </c>
      <c r="D5197" s="2352" t="s">
        <v>18455</v>
      </c>
      <c r="E5197" s="355">
        <v>30</v>
      </c>
      <c r="F5197" s="1662">
        <v>14</v>
      </c>
    </row>
    <row r="5198" spans="1:6" ht="15" customHeight="1" x14ac:dyDescent="0.25">
      <c r="A5198" s="2352" t="s">
        <v>18456</v>
      </c>
      <c r="B5198" s="2352" t="s">
        <v>18096</v>
      </c>
      <c r="C5198" s="2352" t="s">
        <v>20083</v>
      </c>
      <c r="D5198" s="2352" t="s">
        <v>18457</v>
      </c>
      <c r="E5198" s="355">
        <v>250</v>
      </c>
      <c r="F5198" s="1662">
        <v>195</v>
      </c>
    </row>
    <row r="5199" spans="1:6" ht="15" customHeight="1" x14ac:dyDescent="0.25">
      <c r="A5199" s="2352" t="s">
        <v>18458</v>
      </c>
      <c r="B5199" s="2352" t="s">
        <v>18096</v>
      </c>
      <c r="C5199" s="2352" t="s">
        <v>20083</v>
      </c>
      <c r="D5199" s="2352" t="s">
        <v>18459</v>
      </c>
      <c r="E5199" s="355">
        <v>160</v>
      </c>
      <c r="F5199" s="1662">
        <v>126</v>
      </c>
    </row>
    <row r="5200" spans="1:6" ht="15" customHeight="1" x14ac:dyDescent="0.25">
      <c r="A5200" s="2352" t="s">
        <v>18460</v>
      </c>
      <c r="B5200" s="2352" t="s">
        <v>18096</v>
      </c>
      <c r="C5200" s="2352" t="s">
        <v>20083</v>
      </c>
      <c r="D5200" s="2352" t="s">
        <v>18461</v>
      </c>
      <c r="E5200" s="355">
        <v>100</v>
      </c>
      <c r="F5200" s="1662">
        <v>76</v>
      </c>
    </row>
    <row r="5201" spans="1:6" ht="15" customHeight="1" x14ac:dyDescent="0.25">
      <c r="A5201" s="2352" t="s">
        <v>18462</v>
      </c>
      <c r="B5201" s="2352" t="s">
        <v>18096</v>
      </c>
      <c r="C5201" s="2352" t="s">
        <v>20083</v>
      </c>
      <c r="D5201" s="2352" t="s">
        <v>18463</v>
      </c>
      <c r="E5201" s="355">
        <v>100</v>
      </c>
      <c r="F5201" s="1662">
        <v>93</v>
      </c>
    </row>
    <row r="5202" spans="1:6" ht="15" customHeight="1" x14ac:dyDescent="0.25">
      <c r="A5202" s="2352" t="s">
        <v>18464</v>
      </c>
      <c r="B5202" s="2352" t="s">
        <v>18096</v>
      </c>
      <c r="C5202" s="2352" t="s">
        <v>20083</v>
      </c>
      <c r="D5202" s="2352" t="s">
        <v>18465</v>
      </c>
      <c r="E5202" s="355">
        <v>160</v>
      </c>
      <c r="F5202" s="1662">
        <v>99</v>
      </c>
    </row>
    <row r="5203" spans="1:6" ht="15" customHeight="1" x14ac:dyDescent="0.25">
      <c r="A5203" s="2352" t="s">
        <v>18464</v>
      </c>
      <c r="B5203" s="2352" t="s">
        <v>18096</v>
      </c>
      <c r="C5203" s="2352" t="s">
        <v>20083</v>
      </c>
      <c r="D5203" s="2352" t="s">
        <v>18466</v>
      </c>
      <c r="E5203" s="355">
        <v>400</v>
      </c>
      <c r="F5203" s="1662">
        <v>395</v>
      </c>
    </row>
    <row r="5204" spans="1:6" ht="15" customHeight="1" x14ac:dyDescent="0.25">
      <c r="A5204" s="2352" t="s">
        <v>18467</v>
      </c>
      <c r="B5204" s="2352" t="s">
        <v>18096</v>
      </c>
      <c r="C5204" s="2352" t="s">
        <v>20083</v>
      </c>
      <c r="D5204" s="2352" t="s">
        <v>18468</v>
      </c>
      <c r="E5204" s="355">
        <v>400</v>
      </c>
      <c r="F5204" s="1662">
        <v>398</v>
      </c>
    </row>
    <row r="5205" spans="1:6" ht="15" customHeight="1" x14ac:dyDescent="0.25">
      <c r="A5205" s="2352" t="s">
        <v>18467</v>
      </c>
      <c r="B5205" s="2352" t="s">
        <v>18096</v>
      </c>
      <c r="C5205" s="2352" t="s">
        <v>20083</v>
      </c>
      <c r="D5205" s="2352" t="s">
        <v>18469</v>
      </c>
      <c r="E5205" s="355">
        <v>400</v>
      </c>
      <c r="F5205" s="1662">
        <v>393</v>
      </c>
    </row>
    <row r="5206" spans="1:6" ht="15" customHeight="1" x14ac:dyDescent="0.25">
      <c r="A5206" s="2352" t="s">
        <v>18467</v>
      </c>
      <c r="B5206" s="2352" t="s">
        <v>18096</v>
      </c>
      <c r="C5206" s="2352" t="s">
        <v>20083</v>
      </c>
      <c r="D5206" s="2352" t="s">
        <v>18470</v>
      </c>
      <c r="E5206" s="355">
        <v>160</v>
      </c>
      <c r="F5206" s="1662">
        <v>130</v>
      </c>
    </row>
    <row r="5207" spans="1:6" ht="15" customHeight="1" x14ac:dyDescent="0.25">
      <c r="A5207" s="2352" t="s">
        <v>18471</v>
      </c>
      <c r="B5207" s="2352" t="s">
        <v>18096</v>
      </c>
      <c r="C5207" s="2352" t="s">
        <v>20083</v>
      </c>
      <c r="D5207" s="2352" t="s">
        <v>18472</v>
      </c>
      <c r="E5207" s="355">
        <v>100</v>
      </c>
      <c r="F5207" s="1662">
        <v>89</v>
      </c>
    </row>
    <row r="5208" spans="1:6" ht="15" customHeight="1" x14ac:dyDescent="0.25">
      <c r="A5208" s="2352" t="s">
        <v>18467</v>
      </c>
      <c r="B5208" s="2352" t="s">
        <v>18096</v>
      </c>
      <c r="C5208" s="2352" t="s">
        <v>20083</v>
      </c>
      <c r="D5208" s="2352" t="s">
        <v>18473</v>
      </c>
      <c r="E5208" s="355">
        <v>250</v>
      </c>
      <c r="F5208" s="1662">
        <v>221</v>
      </c>
    </row>
    <row r="5209" spans="1:6" ht="15" customHeight="1" x14ac:dyDescent="0.25">
      <c r="A5209" s="2352" t="s">
        <v>18474</v>
      </c>
      <c r="B5209" s="2352" t="s">
        <v>18096</v>
      </c>
      <c r="C5209" s="2352" t="s">
        <v>20083</v>
      </c>
      <c r="D5209" s="2352" t="s">
        <v>18475</v>
      </c>
      <c r="E5209" s="355">
        <v>30</v>
      </c>
      <c r="F5209" s="1662">
        <v>17</v>
      </c>
    </row>
    <row r="5210" spans="1:6" ht="15" customHeight="1" x14ac:dyDescent="0.25">
      <c r="A5210" s="2352" t="s">
        <v>18476</v>
      </c>
      <c r="B5210" s="2352" t="s">
        <v>18096</v>
      </c>
      <c r="C5210" s="2352" t="s">
        <v>20083</v>
      </c>
      <c r="D5210" s="2352" t="s">
        <v>18477</v>
      </c>
      <c r="E5210" s="355">
        <v>30</v>
      </c>
      <c r="F5210" s="1662">
        <v>7</v>
      </c>
    </row>
    <row r="5211" spans="1:6" ht="15" customHeight="1" x14ac:dyDescent="0.25">
      <c r="A5211" s="2352" t="s">
        <v>18478</v>
      </c>
      <c r="B5211" s="2352" t="s">
        <v>18096</v>
      </c>
      <c r="C5211" s="2352" t="s">
        <v>20083</v>
      </c>
      <c r="D5211" s="2352" t="s">
        <v>18479</v>
      </c>
      <c r="E5211" s="355">
        <v>100</v>
      </c>
      <c r="F5211" s="1662">
        <v>97</v>
      </c>
    </row>
    <row r="5212" spans="1:6" ht="15" customHeight="1" x14ac:dyDescent="0.25">
      <c r="A5212" s="2352" t="s">
        <v>18480</v>
      </c>
      <c r="B5212" s="2352" t="s">
        <v>18096</v>
      </c>
      <c r="C5212" s="2352" t="s">
        <v>20083</v>
      </c>
      <c r="D5212" s="2352" t="s">
        <v>18481</v>
      </c>
      <c r="E5212" s="355">
        <v>160</v>
      </c>
      <c r="F5212" s="1662">
        <v>115</v>
      </c>
    </row>
    <row r="5213" spans="1:6" ht="15" customHeight="1" x14ac:dyDescent="0.25">
      <c r="A5213" s="2352" t="s">
        <v>18482</v>
      </c>
      <c r="B5213" s="2352" t="s">
        <v>18096</v>
      </c>
      <c r="C5213" s="2352" t="s">
        <v>20083</v>
      </c>
      <c r="D5213" s="2352" t="s">
        <v>18483</v>
      </c>
      <c r="E5213" s="355">
        <v>30</v>
      </c>
      <c r="F5213" s="1662">
        <v>18</v>
      </c>
    </row>
    <row r="5214" spans="1:6" ht="15" customHeight="1" x14ac:dyDescent="0.25">
      <c r="A5214" s="2352" t="s">
        <v>18484</v>
      </c>
      <c r="B5214" s="2352" t="s">
        <v>18096</v>
      </c>
      <c r="C5214" s="2352" t="s">
        <v>20083</v>
      </c>
      <c r="D5214" s="2352" t="s">
        <v>18485</v>
      </c>
      <c r="E5214" s="355">
        <v>160</v>
      </c>
      <c r="F5214" s="1662">
        <v>146</v>
      </c>
    </row>
    <row r="5215" spans="1:6" ht="15" customHeight="1" x14ac:dyDescent="0.25">
      <c r="A5215" s="2352" t="s">
        <v>18486</v>
      </c>
      <c r="B5215" s="2352" t="s">
        <v>18096</v>
      </c>
      <c r="C5215" s="2352" t="s">
        <v>20083</v>
      </c>
      <c r="D5215" s="2352" t="s">
        <v>18487</v>
      </c>
      <c r="E5215" s="355">
        <v>60</v>
      </c>
      <c r="F5215" s="1662">
        <v>36</v>
      </c>
    </row>
    <row r="5216" spans="1:6" ht="15" customHeight="1" x14ac:dyDescent="0.25">
      <c r="A5216" s="2352" t="s">
        <v>18433</v>
      </c>
      <c r="B5216" s="2352" t="s">
        <v>18096</v>
      </c>
      <c r="C5216" s="2352" t="s">
        <v>20083</v>
      </c>
      <c r="D5216" s="2352" t="s">
        <v>18488</v>
      </c>
      <c r="E5216" s="355">
        <v>100</v>
      </c>
      <c r="F5216" s="1662">
        <v>95</v>
      </c>
    </row>
    <row r="5217" spans="1:6" ht="15" customHeight="1" x14ac:dyDescent="0.25">
      <c r="A5217" s="2352" t="s">
        <v>18489</v>
      </c>
      <c r="B5217" s="2352" t="s">
        <v>18096</v>
      </c>
      <c r="C5217" s="2352" t="s">
        <v>20083</v>
      </c>
      <c r="D5217" s="2352" t="s">
        <v>18490</v>
      </c>
      <c r="E5217" s="355">
        <v>160</v>
      </c>
      <c r="F5217" s="1662">
        <v>137</v>
      </c>
    </row>
    <row r="5218" spans="1:6" ht="15" customHeight="1" x14ac:dyDescent="0.25">
      <c r="A5218" s="2352" t="s">
        <v>18491</v>
      </c>
      <c r="B5218" s="2352" t="s">
        <v>18096</v>
      </c>
      <c r="C5218" s="2352" t="s">
        <v>20083</v>
      </c>
      <c r="D5218" s="2352" t="s">
        <v>18492</v>
      </c>
      <c r="E5218" s="355">
        <v>60</v>
      </c>
      <c r="F5218" s="1662">
        <v>24</v>
      </c>
    </row>
    <row r="5219" spans="1:6" ht="15" customHeight="1" x14ac:dyDescent="0.25">
      <c r="A5219" s="2352" t="s">
        <v>18493</v>
      </c>
      <c r="B5219" s="2352" t="s">
        <v>18096</v>
      </c>
      <c r="C5219" s="2352" t="s">
        <v>20083</v>
      </c>
      <c r="D5219" s="2352" t="s">
        <v>18494</v>
      </c>
      <c r="E5219" s="355">
        <v>250</v>
      </c>
      <c r="F5219" s="1662">
        <v>245</v>
      </c>
    </row>
    <row r="5220" spans="1:6" ht="15" customHeight="1" x14ac:dyDescent="0.25">
      <c r="A5220" s="2352" t="s">
        <v>18495</v>
      </c>
      <c r="B5220" s="2352" t="s">
        <v>18096</v>
      </c>
      <c r="C5220" s="2352" t="s">
        <v>20083</v>
      </c>
      <c r="D5220" s="2352" t="s">
        <v>18496</v>
      </c>
      <c r="E5220" s="355">
        <v>160</v>
      </c>
      <c r="F5220" s="1662">
        <v>155.4</v>
      </c>
    </row>
    <row r="5221" spans="1:6" ht="15" customHeight="1" x14ac:dyDescent="0.25">
      <c r="A5221" s="2352" t="s">
        <v>18495</v>
      </c>
      <c r="B5221" s="2352" t="s">
        <v>18096</v>
      </c>
      <c r="C5221" s="2352" t="s">
        <v>20083</v>
      </c>
      <c r="D5221" s="2352" t="s">
        <v>18497</v>
      </c>
      <c r="E5221" s="355">
        <v>100</v>
      </c>
      <c r="F5221" s="1662">
        <v>56</v>
      </c>
    </row>
    <row r="5222" spans="1:6" ht="15" customHeight="1" x14ac:dyDescent="0.25">
      <c r="A5222" s="2352" t="s">
        <v>18433</v>
      </c>
      <c r="B5222" s="2352" t="s">
        <v>18096</v>
      </c>
      <c r="C5222" s="2352" t="s">
        <v>20083</v>
      </c>
      <c r="D5222" s="2352" t="s">
        <v>18498</v>
      </c>
      <c r="E5222" s="355">
        <v>250</v>
      </c>
      <c r="F5222" s="1662">
        <v>209</v>
      </c>
    </row>
    <row r="5223" spans="1:6" ht="15" customHeight="1" x14ac:dyDescent="0.25">
      <c r="A5223" s="2352" t="s">
        <v>18499</v>
      </c>
      <c r="B5223" s="2352" t="s">
        <v>18096</v>
      </c>
      <c r="C5223" s="2352" t="s">
        <v>20083</v>
      </c>
      <c r="D5223" s="2352" t="s">
        <v>18500</v>
      </c>
      <c r="E5223" s="355">
        <v>400</v>
      </c>
      <c r="F5223" s="1662">
        <v>395</v>
      </c>
    </row>
    <row r="5224" spans="1:6" ht="15" customHeight="1" x14ac:dyDescent="0.25">
      <c r="A5224" s="2352" t="s">
        <v>18499</v>
      </c>
      <c r="B5224" s="2352" t="s">
        <v>18096</v>
      </c>
      <c r="C5224" s="2352" t="s">
        <v>20083</v>
      </c>
      <c r="D5224" s="2352" t="s">
        <v>18501</v>
      </c>
      <c r="E5224" s="355">
        <v>250</v>
      </c>
      <c r="F5224" s="1662">
        <v>228</v>
      </c>
    </row>
    <row r="5225" spans="1:6" ht="15" customHeight="1" x14ac:dyDescent="0.25">
      <c r="A5225" s="2352" t="s">
        <v>18499</v>
      </c>
      <c r="B5225" s="2352" t="s">
        <v>18096</v>
      </c>
      <c r="C5225" s="2352" t="s">
        <v>20083</v>
      </c>
      <c r="D5225" s="2352" t="s">
        <v>18502</v>
      </c>
      <c r="E5225" s="355">
        <v>250</v>
      </c>
      <c r="F5225" s="1662">
        <v>145</v>
      </c>
    </row>
    <row r="5226" spans="1:6" ht="15" customHeight="1" x14ac:dyDescent="0.25">
      <c r="A5226" s="2352" t="s">
        <v>18503</v>
      </c>
      <c r="B5226" s="2352" t="s">
        <v>18096</v>
      </c>
      <c r="C5226" s="2352" t="s">
        <v>20083</v>
      </c>
      <c r="D5226" s="2352" t="s">
        <v>18504</v>
      </c>
      <c r="E5226" s="355">
        <v>60</v>
      </c>
      <c r="F5226" s="1662">
        <v>15</v>
      </c>
    </row>
    <row r="5227" spans="1:6" ht="15" customHeight="1" x14ac:dyDescent="0.25">
      <c r="A5227" s="2352" t="s">
        <v>18505</v>
      </c>
      <c r="B5227" s="2352" t="s">
        <v>18096</v>
      </c>
      <c r="C5227" s="2352" t="s">
        <v>20083</v>
      </c>
      <c r="D5227" s="2352" t="s">
        <v>18506</v>
      </c>
      <c r="E5227" s="355">
        <v>60</v>
      </c>
      <c r="F5227" s="1662">
        <v>32</v>
      </c>
    </row>
    <row r="5228" spans="1:6" ht="15" customHeight="1" x14ac:dyDescent="0.25">
      <c r="A5228" s="2352" t="s">
        <v>18507</v>
      </c>
      <c r="B5228" s="2352" t="s">
        <v>18096</v>
      </c>
      <c r="C5228" s="2352" t="s">
        <v>20083</v>
      </c>
      <c r="D5228" s="2352" t="s">
        <v>18508</v>
      </c>
      <c r="E5228" s="355">
        <v>60</v>
      </c>
      <c r="F5228" s="1662">
        <v>60</v>
      </c>
    </row>
    <row r="5229" spans="1:6" ht="15" customHeight="1" x14ac:dyDescent="0.25">
      <c r="A5229" s="2352" t="s">
        <v>18509</v>
      </c>
      <c r="B5229" s="2352" t="s">
        <v>18096</v>
      </c>
      <c r="C5229" s="2352" t="s">
        <v>20083</v>
      </c>
      <c r="D5229" s="2352" t="s">
        <v>18510</v>
      </c>
      <c r="E5229" s="355">
        <v>100</v>
      </c>
      <c r="F5229" s="1662">
        <v>60</v>
      </c>
    </row>
    <row r="5230" spans="1:6" ht="15" customHeight="1" x14ac:dyDescent="0.25">
      <c r="A5230" s="2352" t="s">
        <v>18511</v>
      </c>
      <c r="B5230" s="2352" t="s">
        <v>18096</v>
      </c>
      <c r="C5230" s="2352" t="s">
        <v>20083</v>
      </c>
      <c r="D5230" s="2352" t="s">
        <v>18512</v>
      </c>
      <c r="E5230" s="355">
        <v>30</v>
      </c>
      <c r="F5230" s="1662">
        <v>12</v>
      </c>
    </row>
    <row r="5231" spans="1:6" ht="15" customHeight="1" x14ac:dyDescent="0.25">
      <c r="A5231" s="2352" t="s">
        <v>18513</v>
      </c>
      <c r="B5231" s="2352" t="s">
        <v>18096</v>
      </c>
      <c r="C5231" s="2352" t="s">
        <v>20083</v>
      </c>
      <c r="D5231" s="2352" t="s">
        <v>18514</v>
      </c>
      <c r="E5231" s="355">
        <v>160</v>
      </c>
      <c r="F5231" s="1662">
        <v>144</v>
      </c>
    </row>
    <row r="5232" spans="1:6" ht="15" customHeight="1" x14ac:dyDescent="0.25">
      <c r="A5232" s="2352" t="s">
        <v>18515</v>
      </c>
      <c r="B5232" s="2352" t="s">
        <v>18096</v>
      </c>
      <c r="C5232" s="2352" t="s">
        <v>20083</v>
      </c>
      <c r="D5232" s="2352" t="s">
        <v>18516</v>
      </c>
      <c r="E5232" s="355">
        <v>60</v>
      </c>
      <c r="F5232" s="1662">
        <v>27</v>
      </c>
    </row>
    <row r="5233" spans="1:6" ht="15" customHeight="1" x14ac:dyDescent="0.25">
      <c r="A5233" s="2352" t="s">
        <v>18517</v>
      </c>
      <c r="B5233" s="2352" t="s">
        <v>18096</v>
      </c>
      <c r="C5233" s="2352" t="s">
        <v>20083</v>
      </c>
      <c r="D5233" s="2352" t="s">
        <v>18518</v>
      </c>
      <c r="E5233" s="355">
        <v>40</v>
      </c>
      <c r="F5233" s="1662">
        <v>31</v>
      </c>
    </row>
    <row r="5234" spans="1:6" ht="15" customHeight="1" x14ac:dyDescent="0.25">
      <c r="A5234" s="2352" t="s">
        <v>18519</v>
      </c>
      <c r="B5234" s="2352" t="s">
        <v>18096</v>
      </c>
      <c r="C5234" s="2352" t="s">
        <v>20083</v>
      </c>
      <c r="D5234" s="2352" t="s">
        <v>18520</v>
      </c>
      <c r="E5234" s="355">
        <v>30</v>
      </c>
      <c r="F5234" s="1662">
        <v>15</v>
      </c>
    </row>
    <row r="5235" spans="1:6" ht="15" customHeight="1" x14ac:dyDescent="0.25">
      <c r="A5235" s="2352" t="s">
        <v>18521</v>
      </c>
      <c r="B5235" s="2352" t="s">
        <v>18096</v>
      </c>
      <c r="C5235" s="2352" t="s">
        <v>20083</v>
      </c>
      <c r="D5235" s="2352" t="s">
        <v>18522</v>
      </c>
      <c r="E5235" s="355">
        <v>60</v>
      </c>
      <c r="F5235" s="1662">
        <v>55</v>
      </c>
    </row>
    <row r="5236" spans="1:6" ht="15" customHeight="1" x14ac:dyDescent="0.25">
      <c r="A5236" s="2352" t="s">
        <v>18523</v>
      </c>
      <c r="B5236" s="2352" t="s">
        <v>18096</v>
      </c>
      <c r="C5236" s="2352" t="s">
        <v>20083</v>
      </c>
      <c r="D5236" s="2352" t="s">
        <v>18524</v>
      </c>
      <c r="E5236" s="355">
        <v>60</v>
      </c>
      <c r="F5236" s="1662">
        <v>56</v>
      </c>
    </row>
    <row r="5237" spans="1:6" ht="15" customHeight="1" x14ac:dyDescent="0.25">
      <c r="A5237" s="2352" t="s">
        <v>18525</v>
      </c>
      <c r="B5237" s="2352" t="s">
        <v>18096</v>
      </c>
      <c r="C5237" s="2352" t="s">
        <v>20083</v>
      </c>
      <c r="D5237" s="2352" t="s">
        <v>18526</v>
      </c>
      <c r="E5237" s="355">
        <v>60</v>
      </c>
      <c r="F5237" s="1662">
        <v>43</v>
      </c>
    </row>
    <row r="5238" spans="1:6" ht="15" customHeight="1" x14ac:dyDescent="0.25">
      <c r="A5238" s="2352" t="s">
        <v>18527</v>
      </c>
      <c r="B5238" s="2352" t="s">
        <v>18096</v>
      </c>
      <c r="C5238" s="2352" t="s">
        <v>20083</v>
      </c>
      <c r="D5238" s="2352" t="s">
        <v>18528</v>
      </c>
      <c r="E5238" s="355">
        <v>400</v>
      </c>
      <c r="F5238" s="1662">
        <v>394</v>
      </c>
    </row>
    <row r="5239" spans="1:6" ht="15" customHeight="1" x14ac:dyDescent="0.25">
      <c r="A5239" s="2352" t="s">
        <v>18527</v>
      </c>
      <c r="B5239" s="2352" t="s">
        <v>18096</v>
      </c>
      <c r="C5239" s="2352" t="s">
        <v>20083</v>
      </c>
      <c r="D5239" s="2352" t="s">
        <v>18529</v>
      </c>
      <c r="E5239" s="355">
        <v>160</v>
      </c>
      <c r="F5239" s="1662">
        <v>79</v>
      </c>
    </row>
    <row r="5240" spans="1:6" ht="15" customHeight="1" x14ac:dyDescent="0.25">
      <c r="A5240" s="2352" t="s">
        <v>18527</v>
      </c>
      <c r="B5240" s="2352" t="s">
        <v>18096</v>
      </c>
      <c r="C5240" s="2352" t="s">
        <v>20083</v>
      </c>
      <c r="D5240" s="2352" t="s">
        <v>18530</v>
      </c>
      <c r="E5240" s="355">
        <v>160</v>
      </c>
      <c r="F5240" s="1662">
        <v>132</v>
      </c>
    </row>
    <row r="5241" spans="1:6" ht="15" customHeight="1" x14ac:dyDescent="0.25">
      <c r="A5241" s="2352" t="s">
        <v>18527</v>
      </c>
      <c r="B5241" s="2352" t="s">
        <v>18096</v>
      </c>
      <c r="C5241" s="2352" t="s">
        <v>20083</v>
      </c>
      <c r="D5241" s="2352" t="s">
        <v>18531</v>
      </c>
      <c r="E5241" s="355">
        <v>250</v>
      </c>
      <c r="F5241" s="1662">
        <v>240</v>
      </c>
    </row>
    <row r="5242" spans="1:6" ht="15" customHeight="1" x14ac:dyDescent="0.25">
      <c r="A5242" s="2352" t="s">
        <v>18499</v>
      </c>
      <c r="B5242" s="2352" t="s">
        <v>18096</v>
      </c>
      <c r="C5242" s="2352" t="s">
        <v>20083</v>
      </c>
      <c r="D5242" s="2352" t="s">
        <v>18532</v>
      </c>
      <c r="E5242" s="355">
        <v>160</v>
      </c>
      <c r="F5242" s="1662">
        <v>107</v>
      </c>
    </row>
    <row r="5243" spans="1:6" ht="15" customHeight="1" x14ac:dyDescent="0.25">
      <c r="A5243" s="2352" t="s">
        <v>18499</v>
      </c>
      <c r="B5243" s="2352" t="s">
        <v>18096</v>
      </c>
      <c r="C5243" s="2352" t="s">
        <v>20083</v>
      </c>
      <c r="D5243" s="2352" t="s">
        <v>18533</v>
      </c>
      <c r="E5243" s="355">
        <v>250</v>
      </c>
      <c r="F5243" s="1662">
        <v>221</v>
      </c>
    </row>
    <row r="5244" spans="1:6" ht="15" customHeight="1" x14ac:dyDescent="0.25">
      <c r="A5244" s="2352" t="s">
        <v>18534</v>
      </c>
      <c r="B5244" s="2352" t="s">
        <v>18096</v>
      </c>
      <c r="C5244" s="2352" t="s">
        <v>20083</v>
      </c>
      <c r="D5244" s="2352" t="s">
        <v>18535</v>
      </c>
      <c r="E5244" s="355">
        <v>160</v>
      </c>
      <c r="F5244" s="1662">
        <v>147</v>
      </c>
    </row>
    <row r="5245" spans="1:6" ht="15" customHeight="1" x14ac:dyDescent="0.25">
      <c r="A5245" s="2352" t="s">
        <v>18536</v>
      </c>
      <c r="B5245" s="2352" t="s">
        <v>18096</v>
      </c>
      <c r="C5245" s="2352" t="s">
        <v>20083</v>
      </c>
      <c r="D5245" s="2352" t="s">
        <v>18537</v>
      </c>
      <c r="E5245" s="355">
        <v>100</v>
      </c>
      <c r="F5245" s="1662">
        <v>71</v>
      </c>
    </row>
    <row r="5246" spans="1:6" ht="15" customHeight="1" x14ac:dyDescent="0.25">
      <c r="A5246" s="2352" t="s">
        <v>18538</v>
      </c>
      <c r="B5246" s="2352" t="s">
        <v>18096</v>
      </c>
      <c r="C5246" s="2352" t="s">
        <v>20083</v>
      </c>
      <c r="D5246" s="2352" t="s">
        <v>18539</v>
      </c>
      <c r="E5246" s="355">
        <v>250</v>
      </c>
      <c r="F5246" s="1662">
        <v>185</v>
      </c>
    </row>
    <row r="5247" spans="1:6" ht="15" customHeight="1" x14ac:dyDescent="0.25">
      <c r="A5247" s="2352" t="s">
        <v>18134</v>
      </c>
      <c r="B5247" s="2352" t="s">
        <v>18096</v>
      </c>
      <c r="C5247" s="2352" t="s">
        <v>20083</v>
      </c>
      <c r="D5247" s="2352" t="s">
        <v>18540</v>
      </c>
      <c r="E5247" s="355">
        <v>250</v>
      </c>
      <c r="F5247" s="1662">
        <v>139</v>
      </c>
    </row>
    <row r="5248" spans="1:6" ht="15" customHeight="1" x14ac:dyDescent="0.25">
      <c r="A5248" s="2352" t="s">
        <v>18134</v>
      </c>
      <c r="B5248" s="2352" t="s">
        <v>18096</v>
      </c>
      <c r="C5248" s="2352" t="s">
        <v>20083</v>
      </c>
      <c r="D5248" s="2352" t="s">
        <v>18541</v>
      </c>
      <c r="E5248" s="355">
        <v>400</v>
      </c>
      <c r="F5248" s="1662">
        <v>367</v>
      </c>
    </row>
    <row r="5249" spans="1:6" ht="15" customHeight="1" x14ac:dyDescent="0.25">
      <c r="A5249" s="2352" t="s">
        <v>18134</v>
      </c>
      <c r="B5249" s="2352" t="s">
        <v>18096</v>
      </c>
      <c r="C5249" s="2352" t="s">
        <v>20083</v>
      </c>
      <c r="D5249" s="2352" t="s">
        <v>18542</v>
      </c>
      <c r="E5249" s="355">
        <v>160</v>
      </c>
      <c r="F5249" s="1662">
        <v>155</v>
      </c>
    </row>
    <row r="5250" spans="1:6" ht="15" customHeight="1" x14ac:dyDescent="0.25">
      <c r="A5250" s="2352" t="s">
        <v>18134</v>
      </c>
      <c r="B5250" s="2352" t="s">
        <v>18096</v>
      </c>
      <c r="C5250" s="2352" t="s">
        <v>20083</v>
      </c>
      <c r="D5250" s="2352" t="s">
        <v>18543</v>
      </c>
      <c r="E5250" s="355">
        <v>100</v>
      </c>
      <c r="F5250" s="1662">
        <v>75</v>
      </c>
    </row>
    <row r="5251" spans="1:6" ht="15" customHeight="1" x14ac:dyDescent="0.25">
      <c r="A5251" s="2352" t="s">
        <v>18134</v>
      </c>
      <c r="B5251" s="2352" t="s">
        <v>18096</v>
      </c>
      <c r="C5251" s="2352" t="s">
        <v>20083</v>
      </c>
      <c r="D5251" s="2352" t="s">
        <v>18544</v>
      </c>
      <c r="E5251" s="355">
        <v>400</v>
      </c>
      <c r="F5251" s="1662">
        <v>385</v>
      </c>
    </row>
    <row r="5252" spans="1:6" ht="15" customHeight="1" x14ac:dyDescent="0.25">
      <c r="A5252" s="2352" t="s">
        <v>18134</v>
      </c>
      <c r="B5252" s="2352" t="s">
        <v>18096</v>
      </c>
      <c r="C5252" s="2352" t="s">
        <v>20083</v>
      </c>
      <c r="D5252" s="2352" t="s">
        <v>18545</v>
      </c>
      <c r="E5252" s="355">
        <v>400</v>
      </c>
      <c r="F5252" s="1662">
        <v>384</v>
      </c>
    </row>
    <row r="5253" spans="1:6" ht="15" customHeight="1" x14ac:dyDescent="0.25">
      <c r="A5253" s="2352" t="s">
        <v>18546</v>
      </c>
      <c r="B5253" s="2352" t="s">
        <v>18096</v>
      </c>
      <c r="C5253" s="2352" t="s">
        <v>20083</v>
      </c>
      <c r="D5253" s="2352" t="s">
        <v>18547</v>
      </c>
      <c r="E5253" s="355">
        <v>160</v>
      </c>
      <c r="F5253" s="1662">
        <v>69</v>
      </c>
    </row>
    <row r="5254" spans="1:6" ht="15" customHeight="1" x14ac:dyDescent="0.25">
      <c r="A5254" s="2352" t="s">
        <v>18548</v>
      </c>
      <c r="B5254" s="2352" t="s">
        <v>18096</v>
      </c>
      <c r="C5254" s="2352" t="s">
        <v>20083</v>
      </c>
      <c r="D5254" s="2352" t="s">
        <v>18549</v>
      </c>
      <c r="E5254" s="355">
        <v>30</v>
      </c>
      <c r="F5254" s="1662">
        <v>23</v>
      </c>
    </row>
    <row r="5255" spans="1:6" ht="15" customHeight="1" x14ac:dyDescent="0.25">
      <c r="A5255" s="2352" t="s">
        <v>18550</v>
      </c>
      <c r="B5255" s="2352" t="s">
        <v>18096</v>
      </c>
      <c r="C5255" s="2352" t="s">
        <v>20083</v>
      </c>
      <c r="D5255" s="2352" t="s">
        <v>18551</v>
      </c>
      <c r="E5255" s="355">
        <v>30</v>
      </c>
      <c r="F5255" s="1662">
        <v>10</v>
      </c>
    </row>
    <row r="5256" spans="1:6" ht="15" customHeight="1" x14ac:dyDescent="0.25">
      <c r="A5256" s="2352" t="s">
        <v>18550</v>
      </c>
      <c r="B5256" s="2352" t="s">
        <v>18096</v>
      </c>
      <c r="C5256" s="2352" t="s">
        <v>20083</v>
      </c>
      <c r="D5256" s="2352" t="s">
        <v>20092</v>
      </c>
      <c r="E5256" s="355">
        <v>63</v>
      </c>
      <c r="F5256" s="1662">
        <v>30</v>
      </c>
    </row>
    <row r="5257" spans="1:6" ht="15" customHeight="1" x14ac:dyDescent="0.25">
      <c r="A5257" s="2352" t="s">
        <v>18552</v>
      </c>
      <c r="B5257" s="2352" t="s">
        <v>18096</v>
      </c>
      <c r="C5257" s="2352" t="s">
        <v>20083</v>
      </c>
      <c r="D5257" s="2352" t="s">
        <v>18553</v>
      </c>
      <c r="E5257" s="355">
        <v>60</v>
      </c>
      <c r="F5257" s="1662">
        <v>5</v>
      </c>
    </row>
    <row r="5258" spans="1:6" ht="15" customHeight="1" x14ac:dyDescent="0.25">
      <c r="A5258" s="2352" t="s">
        <v>18554</v>
      </c>
      <c r="B5258" s="2352" t="s">
        <v>18096</v>
      </c>
      <c r="C5258" s="2352" t="s">
        <v>20083</v>
      </c>
      <c r="D5258" s="2352" t="s">
        <v>18555</v>
      </c>
      <c r="E5258" s="355">
        <v>250</v>
      </c>
      <c r="F5258" s="1662">
        <v>217</v>
      </c>
    </row>
    <row r="5259" spans="1:6" ht="15" customHeight="1" x14ac:dyDescent="0.25">
      <c r="A5259" s="2352" t="s">
        <v>18554</v>
      </c>
      <c r="B5259" s="2352" t="s">
        <v>18096</v>
      </c>
      <c r="C5259" s="2352" t="s">
        <v>20083</v>
      </c>
      <c r="D5259" s="2352" t="s">
        <v>18556</v>
      </c>
      <c r="E5259" s="355">
        <v>100</v>
      </c>
      <c r="F5259" s="1662">
        <v>61</v>
      </c>
    </row>
    <row r="5260" spans="1:6" ht="15" customHeight="1" x14ac:dyDescent="0.25">
      <c r="A5260" s="2352" t="s">
        <v>18557</v>
      </c>
      <c r="B5260" s="2352" t="s">
        <v>18096</v>
      </c>
      <c r="C5260" s="2352" t="s">
        <v>20083</v>
      </c>
      <c r="D5260" s="2352" t="s">
        <v>18558</v>
      </c>
      <c r="E5260" s="355">
        <v>60</v>
      </c>
      <c r="F5260" s="1662">
        <v>35</v>
      </c>
    </row>
    <row r="5261" spans="1:6" ht="15" customHeight="1" x14ac:dyDescent="0.25">
      <c r="A5261" s="2352" t="s">
        <v>18546</v>
      </c>
      <c r="B5261" s="2352" t="s">
        <v>18096</v>
      </c>
      <c r="C5261" s="2352" t="s">
        <v>20083</v>
      </c>
      <c r="D5261" s="2352" t="s">
        <v>18559</v>
      </c>
      <c r="E5261" s="355">
        <v>160</v>
      </c>
      <c r="F5261" s="1662">
        <v>91</v>
      </c>
    </row>
    <row r="5262" spans="1:6" ht="15" customHeight="1" x14ac:dyDescent="0.25">
      <c r="A5262" s="2352" t="s">
        <v>18546</v>
      </c>
      <c r="B5262" s="2352" t="s">
        <v>18096</v>
      </c>
      <c r="C5262" s="2352" t="s">
        <v>20083</v>
      </c>
      <c r="D5262" s="2352" t="s">
        <v>18560</v>
      </c>
      <c r="E5262" s="355">
        <v>160</v>
      </c>
      <c r="F5262" s="1662">
        <v>73</v>
      </c>
    </row>
    <row r="5263" spans="1:6" ht="15" customHeight="1" x14ac:dyDescent="0.25">
      <c r="A5263" s="2352" t="s">
        <v>18546</v>
      </c>
      <c r="B5263" s="2352" t="s">
        <v>18096</v>
      </c>
      <c r="C5263" s="2352" t="s">
        <v>20083</v>
      </c>
      <c r="D5263" s="2352" t="s">
        <v>18561</v>
      </c>
      <c r="E5263" s="355">
        <v>160</v>
      </c>
      <c r="F5263" s="1662">
        <v>109</v>
      </c>
    </row>
    <row r="5264" spans="1:6" ht="15" customHeight="1" x14ac:dyDescent="0.25">
      <c r="A5264" s="2352" t="s">
        <v>18546</v>
      </c>
      <c r="B5264" s="2352" t="s">
        <v>18096</v>
      </c>
      <c r="C5264" s="2352" t="s">
        <v>20083</v>
      </c>
      <c r="D5264" s="2352" t="s">
        <v>18562</v>
      </c>
      <c r="E5264" s="355">
        <v>160</v>
      </c>
      <c r="F5264" s="1662">
        <v>111</v>
      </c>
    </row>
    <row r="5265" spans="1:6" ht="15" customHeight="1" x14ac:dyDescent="0.25">
      <c r="A5265" s="2352" t="s">
        <v>18563</v>
      </c>
      <c r="B5265" s="2352" t="s">
        <v>18096</v>
      </c>
      <c r="C5265" s="2352" t="s">
        <v>20083</v>
      </c>
      <c r="D5265" s="2352" t="s">
        <v>18564</v>
      </c>
      <c r="E5265" s="355">
        <v>160</v>
      </c>
      <c r="F5265" s="1662">
        <v>102</v>
      </c>
    </row>
    <row r="5266" spans="1:6" ht="15" customHeight="1" x14ac:dyDescent="0.25">
      <c r="A5266" s="2352" t="s">
        <v>18565</v>
      </c>
      <c r="B5266" s="2352" t="s">
        <v>18096</v>
      </c>
      <c r="C5266" s="2352" t="s">
        <v>20083</v>
      </c>
      <c r="D5266" s="2352" t="s">
        <v>18566</v>
      </c>
      <c r="E5266" s="355">
        <v>250</v>
      </c>
      <c r="F5266" s="1662">
        <v>215</v>
      </c>
    </row>
    <row r="5267" spans="1:6" ht="15" customHeight="1" x14ac:dyDescent="0.25">
      <c r="A5267" s="2352" t="s">
        <v>18565</v>
      </c>
      <c r="B5267" s="2352" t="s">
        <v>18096</v>
      </c>
      <c r="C5267" s="2352" t="s">
        <v>20083</v>
      </c>
      <c r="D5267" s="2352" t="s">
        <v>18567</v>
      </c>
      <c r="E5267" s="355">
        <v>250</v>
      </c>
      <c r="F5267" s="1662">
        <v>241</v>
      </c>
    </row>
    <row r="5268" spans="1:6" ht="15" customHeight="1" x14ac:dyDescent="0.25">
      <c r="A5268" s="2352" t="s">
        <v>18565</v>
      </c>
      <c r="B5268" s="2352" t="s">
        <v>18096</v>
      </c>
      <c r="C5268" s="2352" t="s">
        <v>20083</v>
      </c>
      <c r="D5268" s="2352" t="s">
        <v>18568</v>
      </c>
      <c r="E5268" s="355">
        <v>250</v>
      </c>
      <c r="F5268" s="1662">
        <v>247</v>
      </c>
    </row>
    <row r="5269" spans="1:6" ht="15" customHeight="1" x14ac:dyDescent="0.25">
      <c r="A5269" s="2352" t="s">
        <v>18565</v>
      </c>
      <c r="B5269" s="2352" t="s">
        <v>18096</v>
      </c>
      <c r="C5269" s="2352" t="s">
        <v>20083</v>
      </c>
      <c r="D5269" s="2352" t="s">
        <v>18569</v>
      </c>
      <c r="E5269" s="355">
        <v>400</v>
      </c>
      <c r="F5269" s="1662">
        <v>391</v>
      </c>
    </row>
    <row r="5270" spans="1:6" ht="15" customHeight="1" x14ac:dyDescent="0.25">
      <c r="A5270" s="2352" t="s">
        <v>18565</v>
      </c>
      <c r="B5270" s="2352" t="s">
        <v>18096</v>
      </c>
      <c r="C5270" s="2352" t="s">
        <v>20083</v>
      </c>
      <c r="D5270" s="2352" t="s">
        <v>18570</v>
      </c>
      <c r="E5270" s="355">
        <v>250</v>
      </c>
      <c r="F5270" s="1662">
        <v>248</v>
      </c>
    </row>
    <row r="5271" spans="1:6" ht="15" customHeight="1" x14ac:dyDescent="0.25">
      <c r="A5271" s="2352" t="s">
        <v>18565</v>
      </c>
      <c r="B5271" s="2352" t="s">
        <v>18096</v>
      </c>
      <c r="C5271" s="2352" t="s">
        <v>20083</v>
      </c>
      <c r="D5271" s="2352" t="s">
        <v>18571</v>
      </c>
      <c r="E5271" s="355">
        <v>160</v>
      </c>
      <c r="F5271" s="1662">
        <v>145</v>
      </c>
    </row>
    <row r="5272" spans="1:6" ht="15" customHeight="1" x14ac:dyDescent="0.25">
      <c r="A5272" s="2352" t="s">
        <v>18565</v>
      </c>
      <c r="B5272" s="2352" t="s">
        <v>18096</v>
      </c>
      <c r="C5272" s="2352" t="s">
        <v>20083</v>
      </c>
      <c r="D5272" s="2352" t="s">
        <v>18572</v>
      </c>
      <c r="E5272" s="355">
        <v>160</v>
      </c>
      <c r="F5272" s="1662">
        <v>90</v>
      </c>
    </row>
    <row r="5273" spans="1:6" ht="15" customHeight="1" x14ac:dyDescent="0.25">
      <c r="A5273" s="2352" t="s">
        <v>18573</v>
      </c>
      <c r="B5273" s="2352" t="s">
        <v>18096</v>
      </c>
      <c r="C5273" s="2352" t="s">
        <v>20083</v>
      </c>
      <c r="D5273" s="2352" t="s">
        <v>18574</v>
      </c>
      <c r="E5273" s="355">
        <v>160</v>
      </c>
      <c r="F5273" s="1662">
        <v>112</v>
      </c>
    </row>
    <row r="5274" spans="1:6" ht="15" customHeight="1" x14ac:dyDescent="0.25">
      <c r="A5274" s="2352" t="s">
        <v>18575</v>
      </c>
      <c r="B5274" s="2352" t="s">
        <v>18096</v>
      </c>
      <c r="C5274" s="2352" t="s">
        <v>20083</v>
      </c>
      <c r="D5274" s="2352" t="s">
        <v>18576</v>
      </c>
      <c r="E5274" s="355">
        <v>100</v>
      </c>
      <c r="F5274" s="1662">
        <v>44</v>
      </c>
    </row>
    <row r="5275" spans="1:6" ht="15" customHeight="1" x14ac:dyDescent="0.25">
      <c r="A5275" s="2352" t="s">
        <v>18552</v>
      </c>
      <c r="B5275" s="2352" t="s">
        <v>18096</v>
      </c>
      <c r="C5275" s="2352" t="s">
        <v>20083</v>
      </c>
      <c r="D5275" s="2352" t="s">
        <v>18577</v>
      </c>
      <c r="E5275" s="355">
        <v>250</v>
      </c>
      <c r="F5275" s="1662">
        <v>185</v>
      </c>
    </row>
    <row r="5276" spans="1:6" ht="15" customHeight="1" x14ac:dyDescent="0.25">
      <c r="A5276" s="2352" t="s">
        <v>18552</v>
      </c>
      <c r="B5276" s="2352" t="s">
        <v>18096</v>
      </c>
      <c r="C5276" s="2352" t="s">
        <v>20083</v>
      </c>
      <c r="D5276" s="2352" t="s">
        <v>18553</v>
      </c>
      <c r="E5276" s="355">
        <v>100</v>
      </c>
      <c r="F5276" s="1662">
        <v>73</v>
      </c>
    </row>
    <row r="5277" spans="1:6" ht="15" customHeight="1" x14ac:dyDescent="0.25">
      <c r="A5277" s="2352" t="s">
        <v>18578</v>
      </c>
      <c r="B5277" s="2352" t="s">
        <v>18096</v>
      </c>
      <c r="C5277" s="2352" t="s">
        <v>20083</v>
      </c>
      <c r="D5277" s="2352" t="s">
        <v>18579</v>
      </c>
      <c r="E5277" s="355">
        <v>40</v>
      </c>
      <c r="F5277" s="1662">
        <v>30</v>
      </c>
    </row>
    <row r="5278" spans="1:6" ht="15" customHeight="1" x14ac:dyDescent="0.25">
      <c r="A5278" s="2352" t="s">
        <v>18580</v>
      </c>
      <c r="B5278" s="2352" t="s">
        <v>18096</v>
      </c>
      <c r="C5278" s="2352" t="s">
        <v>20083</v>
      </c>
      <c r="D5278" s="2352" t="s">
        <v>18581</v>
      </c>
      <c r="E5278" s="355">
        <v>60</v>
      </c>
      <c r="F5278" s="1662">
        <v>51</v>
      </c>
    </row>
    <row r="5279" spans="1:6" ht="15" customHeight="1" x14ac:dyDescent="0.25">
      <c r="A5279" s="2352" t="s">
        <v>17383</v>
      </c>
      <c r="B5279" s="2352" t="s">
        <v>18096</v>
      </c>
      <c r="C5279" s="2352" t="s">
        <v>20083</v>
      </c>
      <c r="D5279" s="2352" t="s">
        <v>18582</v>
      </c>
      <c r="E5279" s="355">
        <v>30</v>
      </c>
      <c r="F5279" s="1662">
        <v>6</v>
      </c>
    </row>
    <row r="5280" spans="1:6" ht="15" customHeight="1" x14ac:dyDescent="0.25">
      <c r="A5280" s="2352" t="s">
        <v>18583</v>
      </c>
      <c r="B5280" s="2352" t="s">
        <v>18096</v>
      </c>
      <c r="C5280" s="2352" t="s">
        <v>20083</v>
      </c>
      <c r="D5280" s="2352" t="s">
        <v>18584</v>
      </c>
      <c r="E5280" s="355">
        <v>160</v>
      </c>
      <c r="F5280" s="1662">
        <v>85</v>
      </c>
    </row>
    <row r="5281" spans="1:6" ht="15" customHeight="1" x14ac:dyDescent="0.25">
      <c r="A5281" s="2352" t="s">
        <v>18585</v>
      </c>
      <c r="B5281" s="2352" t="s">
        <v>18096</v>
      </c>
      <c r="C5281" s="2352" t="s">
        <v>20083</v>
      </c>
      <c r="D5281" s="2352" t="s">
        <v>18586</v>
      </c>
      <c r="E5281" s="355">
        <v>400</v>
      </c>
      <c r="F5281" s="1662">
        <v>235</v>
      </c>
    </row>
    <row r="5282" spans="1:6" ht="15" customHeight="1" x14ac:dyDescent="0.25">
      <c r="A5282" s="2352" t="s">
        <v>18585</v>
      </c>
      <c r="B5282" s="2352" t="s">
        <v>18096</v>
      </c>
      <c r="C5282" s="2352" t="s">
        <v>20083</v>
      </c>
      <c r="D5282" s="2352" t="s">
        <v>18587</v>
      </c>
      <c r="E5282" s="355">
        <v>250</v>
      </c>
      <c r="F5282" s="1662">
        <v>121</v>
      </c>
    </row>
    <row r="5283" spans="1:6" ht="15" customHeight="1" x14ac:dyDescent="0.25">
      <c r="A5283" s="2352" t="s">
        <v>18585</v>
      </c>
      <c r="B5283" s="2352" t="s">
        <v>18096</v>
      </c>
      <c r="C5283" s="2352" t="s">
        <v>20083</v>
      </c>
      <c r="D5283" s="2352" t="s">
        <v>18588</v>
      </c>
      <c r="E5283" s="355">
        <v>250</v>
      </c>
      <c r="F5283" s="1662">
        <v>218</v>
      </c>
    </row>
    <row r="5284" spans="1:6" ht="15" customHeight="1" x14ac:dyDescent="0.25">
      <c r="A5284" s="2352" t="s">
        <v>18585</v>
      </c>
      <c r="B5284" s="2352" t="s">
        <v>18096</v>
      </c>
      <c r="C5284" s="2352" t="s">
        <v>20083</v>
      </c>
      <c r="D5284" s="2352" t="s">
        <v>18589</v>
      </c>
      <c r="E5284" s="355">
        <v>400</v>
      </c>
      <c r="F5284" s="1662">
        <v>280</v>
      </c>
    </row>
    <row r="5285" spans="1:6" ht="15" customHeight="1" x14ac:dyDescent="0.25">
      <c r="A5285" s="2352" t="s">
        <v>18585</v>
      </c>
      <c r="B5285" s="2352" t="s">
        <v>18096</v>
      </c>
      <c r="C5285" s="2352" t="s">
        <v>20083</v>
      </c>
      <c r="D5285" s="2352" t="s">
        <v>18590</v>
      </c>
      <c r="E5285" s="355">
        <v>250</v>
      </c>
      <c r="F5285" s="1662">
        <v>197</v>
      </c>
    </row>
    <row r="5286" spans="1:6" ht="15" customHeight="1" x14ac:dyDescent="0.25">
      <c r="A5286" s="2352" t="s">
        <v>18585</v>
      </c>
      <c r="B5286" s="2352" t="s">
        <v>18096</v>
      </c>
      <c r="C5286" s="2352" t="s">
        <v>20083</v>
      </c>
      <c r="D5286" s="2352" t="s">
        <v>18591</v>
      </c>
      <c r="E5286" s="355">
        <v>400</v>
      </c>
      <c r="F5286" s="1662">
        <v>263</v>
      </c>
    </row>
    <row r="5287" spans="1:6" ht="15" customHeight="1" x14ac:dyDescent="0.25">
      <c r="A5287" s="2352" t="s">
        <v>18585</v>
      </c>
      <c r="B5287" s="2352" t="s">
        <v>18096</v>
      </c>
      <c r="C5287" s="2352" t="s">
        <v>20083</v>
      </c>
      <c r="D5287" s="2352" t="s">
        <v>20093</v>
      </c>
      <c r="E5287" s="355" t="s">
        <v>18241</v>
      </c>
      <c r="F5287" s="1662"/>
    </row>
    <row r="5288" spans="1:6" ht="15" customHeight="1" x14ac:dyDescent="0.25">
      <c r="A5288" s="2352" t="s">
        <v>18585</v>
      </c>
      <c r="B5288" s="2352" t="s">
        <v>18096</v>
      </c>
      <c r="C5288" s="2352" t="s">
        <v>20083</v>
      </c>
      <c r="D5288" s="2352" t="s">
        <v>18592</v>
      </c>
      <c r="E5288" s="355">
        <v>400</v>
      </c>
      <c r="F5288" s="1662">
        <v>260</v>
      </c>
    </row>
    <row r="5289" spans="1:6" ht="15" customHeight="1" x14ac:dyDescent="0.25">
      <c r="A5289" s="2352" t="s">
        <v>18585</v>
      </c>
      <c r="B5289" s="2352" t="s">
        <v>18096</v>
      </c>
      <c r="C5289" s="2352" t="s">
        <v>20083</v>
      </c>
      <c r="D5289" s="2352" t="s">
        <v>18593</v>
      </c>
      <c r="E5289" s="355">
        <v>250</v>
      </c>
      <c r="F5289" s="1662">
        <v>0</v>
      </c>
    </row>
    <row r="5290" spans="1:6" ht="15" customHeight="1" x14ac:dyDescent="0.25">
      <c r="A5290" s="2352" t="s">
        <v>18585</v>
      </c>
      <c r="B5290" s="2352" t="s">
        <v>18096</v>
      </c>
      <c r="C5290" s="2352" t="s">
        <v>20083</v>
      </c>
      <c r="D5290" s="2352" t="s">
        <v>20094</v>
      </c>
      <c r="E5290" s="355">
        <v>100</v>
      </c>
      <c r="F5290" s="1662">
        <v>20</v>
      </c>
    </row>
    <row r="5291" spans="1:6" ht="15" customHeight="1" x14ac:dyDescent="0.25">
      <c r="A5291" s="2352" t="s">
        <v>18585</v>
      </c>
      <c r="B5291" s="2352" t="s">
        <v>18096</v>
      </c>
      <c r="C5291" s="2352" t="s">
        <v>20083</v>
      </c>
      <c r="D5291" s="2352" t="s">
        <v>20095</v>
      </c>
      <c r="E5291" s="355" t="s">
        <v>18241</v>
      </c>
      <c r="F5291" s="1662"/>
    </row>
    <row r="5292" spans="1:6" ht="15" customHeight="1" x14ac:dyDescent="0.25">
      <c r="A5292" s="2352" t="s">
        <v>18585</v>
      </c>
      <c r="B5292" s="2352" t="s">
        <v>18096</v>
      </c>
      <c r="C5292" s="2352" t="s">
        <v>20083</v>
      </c>
      <c r="D5292" s="2352" t="s">
        <v>18594</v>
      </c>
      <c r="E5292" s="355">
        <v>250</v>
      </c>
      <c r="F5292" s="1662">
        <v>243</v>
      </c>
    </row>
    <row r="5293" spans="1:6" ht="15" customHeight="1" x14ac:dyDescent="0.25">
      <c r="A5293" s="2352" t="s">
        <v>18585</v>
      </c>
      <c r="B5293" s="2352" t="s">
        <v>18096</v>
      </c>
      <c r="C5293" s="2352" t="s">
        <v>20083</v>
      </c>
      <c r="D5293" s="2352" t="s">
        <v>18595</v>
      </c>
      <c r="E5293" s="355">
        <v>160</v>
      </c>
      <c r="F5293" s="1662">
        <v>85</v>
      </c>
    </row>
    <row r="5294" spans="1:6" ht="15" customHeight="1" x14ac:dyDescent="0.25">
      <c r="A5294" s="2352" t="s">
        <v>18585</v>
      </c>
      <c r="B5294" s="2352" t="s">
        <v>18096</v>
      </c>
      <c r="C5294" s="2352" t="s">
        <v>20083</v>
      </c>
      <c r="D5294" s="2352" t="s">
        <v>18596</v>
      </c>
      <c r="E5294" s="355">
        <v>250</v>
      </c>
      <c r="F5294" s="1662">
        <v>88</v>
      </c>
    </row>
    <row r="5295" spans="1:6" ht="15" customHeight="1" x14ac:dyDescent="0.25">
      <c r="A5295" s="2352" t="s">
        <v>18585</v>
      </c>
      <c r="B5295" s="2352" t="s">
        <v>18096</v>
      </c>
      <c r="C5295" s="2352" t="s">
        <v>20083</v>
      </c>
      <c r="D5295" s="2352" t="s">
        <v>18597</v>
      </c>
      <c r="E5295" s="355">
        <v>630</v>
      </c>
      <c r="F5295" s="1662">
        <v>589</v>
      </c>
    </row>
    <row r="5296" spans="1:6" ht="15" customHeight="1" x14ac:dyDescent="0.25">
      <c r="A5296" s="2352" t="s">
        <v>18585</v>
      </c>
      <c r="B5296" s="2352" t="s">
        <v>18096</v>
      </c>
      <c r="C5296" s="2352" t="s">
        <v>20083</v>
      </c>
      <c r="D5296" s="2352" t="s">
        <v>18598</v>
      </c>
      <c r="E5296" s="355">
        <v>400</v>
      </c>
      <c r="F5296" s="1662">
        <v>144</v>
      </c>
    </row>
    <row r="5297" spans="1:6" ht="15" customHeight="1" x14ac:dyDescent="0.25">
      <c r="A5297" s="2352" t="s">
        <v>18585</v>
      </c>
      <c r="B5297" s="2352" t="s">
        <v>18096</v>
      </c>
      <c r="C5297" s="2352" t="s">
        <v>20083</v>
      </c>
      <c r="D5297" s="2352" t="s">
        <v>20096</v>
      </c>
      <c r="E5297" s="355" t="s">
        <v>18241</v>
      </c>
      <c r="F5297" s="1662"/>
    </row>
    <row r="5298" spans="1:6" ht="15" customHeight="1" x14ac:dyDescent="0.25">
      <c r="A5298" s="2352" t="s">
        <v>18585</v>
      </c>
      <c r="B5298" s="2352" t="s">
        <v>18096</v>
      </c>
      <c r="C5298" s="2352" t="s">
        <v>20083</v>
      </c>
      <c r="D5298" s="2352" t="s">
        <v>18599</v>
      </c>
      <c r="E5298" s="355">
        <v>250</v>
      </c>
      <c r="F5298" s="1662">
        <v>105</v>
      </c>
    </row>
    <row r="5299" spans="1:6" ht="15" customHeight="1" x14ac:dyDescent="0.25">
      <c r="A5299" s="2352" t="s">
        <v>18585</v>
      </c>
      <c r="B5299" s="2352" t="s">
        <v>18096</v>
      </c>
      <c r="C5299" s="2352" t="s">
        <v>20083</v>
      </c>
      <c r="D5299" s="2352" t="s">
        <v>20097</v>
      </c>
      <c r="E5299" s="355" t="s">
        <v>18241</v>
      </c>
      <c r="F5299" s="1662"/>
    </row>
    <row r="5300" spans="1:6" ht="15" customHeight="1" x14ac:dyDescent="0.25">
      <c r="A5300" s="2352" t="s">
        <v>18585</v>
      </c>
      <c r="B5300" s="2352" t="s">
        <v>18096</v>
      </c>
      <c r="C5300" s="2352" t="s">
        <v>20083</v>
      </c>
      <c r="D5300" s="2352" t="s">
        <v>20098</v>
      </c>
      <c r="E5300" s="355" t="s">
        <v>20099</v>
      </c>
      <c r="F5300" s="1662"/>
    </row>
    <row r="5301" spans="1:6" ht="15" customHeight="1" x14ac:dyDescent="0.25">
      <c r="A5301" s="2352" t="s">
        <v>18585</v>
      </c>
      <c r="B5301" s="2352" t="s">
        <v>18096</v>
      </c>
      <c r="C5301" s="2352" t="s">
        <v>20083</v>
      </c>
      <c r="D5301" s="2352" t="s">
        <v>18600</v>
      </c>
      <c r="E5301" s="355">
        <v>400</v>
      </c>
      <c r="F5301" s="1662">
        <v>244</v>
      </c>
    </row>
    <row r="5302" spans="1:6" ht="15" customHeight="1" x14ac:dyDescent="0.25">
      <c r="A5302" s="2352" t="s">
        <v>18585</v>
      </c>
      <c r="B5302" s="2352" t="s">
        <v>18096</v>
      </c>
      <c r="C5302" s="2352" t="s">
        <v>20083</v>
      </c>
      <c r="D5302" s="2352" t="s">
        <v>18601</v>
      </c>
      <c r="E5302" s="355">
        <v>400</v>
      </c>
      <c r="F5302" s="1662">
        <v>300</v>
      </c>
    </row>
    <row r="5303" spans="1:6" ht="15" customHeight="1" x14ac:dyDescent="0.25">
      <c r="A5303" s="2352" t="s">
        <v>18585</v>
      </c>
      <c r="B5303" s="2352" t="s">
        <v>18096</v>
      </c>
      <c r="C5303" s="2352" t="s">
        <v>20083</v>
      </c>
      <c r="D5303" s="2352" t="s">
        <v>18602</v>
      </c>
      <c r="E5303" s="355">
        <v>400</v>
      </c>
      <c r="F5303" s="1662">
        <v>380</v>
      </c>
    </row>
    <row r="5304" spans="1:6" ht="15" customHeight="1" x14ac:dyDescent="0.25">
      <c r="A5304" s="2352" t="s">
        <v>18585</v>
      </c>
      <c r="B5304" s="2352" t="s">
        <v>18096</v>
      </c>
      <c r="C5304" s="2352" t="s">
        <v>20083</v>
      </c>
      <c r="D5304" s="2352" t="s">
        <v>18603</v>
      </c>
      <c r="E5304" s="355">
        <v>400</v>
      </c>
      <c r="F5304" s="1662">
        <v>239</v>
      </c>
    </row>
    <row r="5305" spans="1:6" ht="15" customHeight="1" x14ac:dyDescent="0.25">
      <c r="A5305" s="2352" t="s">
        <v>18585</v>
      </c>
      <c r="B5305" s="2352" t="s">
        <v>18096</v>
      </c>
      <c r="C5305" s="2352" t="s">
        <v>20083</v>
      </c>
      <c r="D5305" s="2352" t="s">
        <v>18604</v>
      </c>
      <c r="E5305" s="355">
        <v>250</v>
      </c>
      <c r="F5305" s="1662">
        <v>125</v>
      </c>
    </row>
    <row r="5306" spans="1:6" ht="15" customHeight="1" x14ac:dyDescent="0.25">
      <c r="A5306" s="2352" t="s">
        <v>18585</v>
      </c>
      <c r="B5306" s="2352" t="s">
        <v>18096</v>
      </c>
      <c r="C5306" s="2352" t="s">
        <v>20083</v>
      </c>
      <c r="D5306" s="2352" t="s">
        <v>18605</v>
      </c>
      <c r="E5306" s="355">
        <v>250</v>
      </c>
      <c r="F5306" s="1662">
        <v>141</v>
      </c>
    </row>
    <row r="5307" spans="1:6" ht="15" customHeight="1" x14ac:dyDescent="0.25">
      <c r="A5307" s="2352" t="s">
        <v>18585</v>
      </c>
      <c r="B5307" s="2352" t="s">
        <v>18096</v>
      </c>
      <c r="C5307" s="2352" t="s">
        <v>20083</v>
      </c>
      <c r="D5307" s="2352" t="s">
        <v>18606</v>
      </c>
      <c r="E5307" s="355">
        <v>250</v>
      </c>
      <c r="F5307" s="1662">
        <v>100</v>
      </c>
    </row>
    <row r="5308" spans="1:6" ht="15" customHeight="1" x14ac:dyDescent="0.25">
      <c r="A5308" s="2352" t="s">
        <v>18585</v>
      </c>
      <c r="B5308" s="2352" t="s">
        <v>18096</v>
      </c>
      <c r="C5308" s="2352" t="s">
        <v>20083</v>
      </c>
      <c r="D5308" s="2352" t="s">
        <v>18607</v>
      </c>
      <c r="E5308" s="355">
        <v>160</v>
      </c>
      <c r="F5308" s="1662">
        <v>130</v>
      </c>
    </row>
    <row r="5309" spans="1:6" ht="15" customHeight="1" x14ac:dyDescent="0.25">
      <c r="A5309" s="2352" t="s">
        <v>18585</v>
      </c>
      <c r="B5309" s="2352" t="s">
        <v>18096</v>
      </c>
      <c r="C5309" s="2352" t="s">
        <v>20083</v>
      </c>
      <c r="D5309" s="2352" t="s">
        <v>18608</v>
      </c>
      <c r="E5309" s="355">
        <v>250</v>
      </c>
      <c r="F5309" s="1662">
        <v>149</v>
      </c>
    </row>
    <row r="5310" spans="1:6" ht="15" customHeight="1" x14ac:dyDescent="0.25">
      <c r="A5310" s="2352" t="s">
        <v>18585</v>
      </c>
      <c r="B5310" s="2352" t="s">
        <v>18096</v>
      </c>
      <c r="C5310" s="2352" t="s">
        <v>20083</v>
      </c>
      <c r="D5310" s="2352" t="s">
        <v>18609</v>
      </c>
      <c r="E5310" s="355">
        <v>400</v>
      </c>
      <c r="F5310" s="1662">
        <v>280</v>
      </c>
    </row>
    <row r="5311" spans="1:6" ht="15" customHeight="1" x14ac:dyDescent="0.25">
      <c r="A5311" s="2352" t="s">
        <v>18585</v>
      </c>
      <c r="B5311" s="2352" t="s">
        <v>18096</v>
      </c>
      <c r="C5311" s="2352" t="s">
        <v>20083</v>
      </c>
      <c r="D5311" s="2352" t="s">
        <v>18610</v>
      </c>
      <c r="E5311" s="355">
        <v>400</v>
      </c>
      <c r="F5311" s="1662">
        <v>196</v>
      </c>
    </row>
    <row r="5312" spans="1:6" ht="15" customHeight="1" x14ac:dyDescent="0.25">
      <c r="A5312" s="2352" t="s">
        <v>18585</v>
      </c>
      <c r="B5312" s="2352" t="s">
        <v>18096</v>
      </c>
      <c r="C5312" s="2352" t="s">
        <v>20083</v>
      </c>
      <c r="D5312" s="2352" t="s">
        <v>18611</v>
      </c>
      <c r="E5312" s="355">
        <v>400</v>
      </c>
      <c r="F5312" s="1662">
        <v>244</v>
      </c>
    </row>
    <row r="5313" spans="1:6" ht="15" customHeight="1" x14ac:dyDescent="0.25">
      <c r="A5313" s="2352" t="s">
        <v>18585</v>
      </c>
      <c r="B5313" s="2352" t="s">
        <v>18096</v>
      </c>
      <c r="C5313" s="2352" t="s">
        <v>20083</v>
      </c>
      <c r="D5313" s="2352" t="s">
        <v>18612</v>
      </c>
      <c r="E5313" s="355">
        <v>200</v>
      </c>
      <c r="F5313" s="1662">
        <v>152</v>
      </c>
    </row>
    <row r="5314" spans="1:6" ht="15" customHeight="1" x14ac:dyDescent="0.25">
      <c r="A5314" s="2352" t="s">
        <v>18585</v>
      </c>
      <c r="B5314" s="2352" t="s">
        <v>18096</v>
      </c>
      <c r="C5314" s="2352" t="s">
        <v>20083</v>
      </c>
      <c r="D5314" s="2352" t="s">
        <v>18613</v>
      </c>
      <c r="E5314" s="355">
        <v>100</v>
      </c>
      <c r="F5314" s="1662">
        <v>55</v>
      </c>
    </row>
    <row r="5315" spans="1:6" ht="15" customHeight="1" x14ac:dyDescent="0.25">
      <c r="A5315" s="2352" t="s">
        <v>6541</v>
      </c>
      <c r="B5315" s="2352" t="s">
        <v>6542</v>
      </c>
      <c r="C5315" s="2352" t="s">
        <v>6542</v>
      </c>
      <c r="D5315" s="2352" t="s">
        <v>6543</v>
      </c>
      <c r="E5315" s="355" t="s">
        <v>17123</v>
      </c>
      <c r="F5315" s="1662">
        <v>32</v>
      </c>
    </row>
    <row r="5316" spans="1:6" ht="15" customHeight="1" x14ac:dyDescent="0.25">
      <c r="A5316" s="2352" t="s">
        <v>4235</v>
      </c>
      <c r="B5316" s="2352" t="s">
        <v>6542</v>
      </c>
      <c r="C5316" s="2352" t="s">
        <v>6542</v>
      </c>
      <c r="D5316" s="2352" t="s">
        <v>6544</v>
      </c>
      <c r="E5316" s="355" t="s">
        <v>17127</v>
      </c>
      <c r="F5316" s="1662">
        <v>26</v>
      </c>
    </row>
    <row r="5317" spans="1:6" ht="15" customHeight="1" x14ac:dyDescent="0.25">
      <c r="A5317" s="2352" t="s">
        <v>3938</v>
      </c>
      <c r="B5317" s="2352" t="s">
        <v>6542</v>
      </c>
      <c r="C5317" s="2352" t="s">
        <v>6542</v>
      </c>
      <c r="D5317" s="2352" t="s">
        <v>6545</v>
      </c>
      <c r="E5317" s="355" t="s">
        <v>17127</v>
      </c>
      <c r="F5317" s="1662">
        <v>36</v>
      </c>
    </row>
    <row r="5318" spans="1:6" ht="15" customHeight="1" x14ac:dyDescent="0.25">
      <c r="A5318" s="2352" t="s">
        <v>6546</v>
      </c>
      <c r="B5318" s="2352" t="s">
        <v>6542</v>
      </c>
      <c r="C5318" s="2352" t="s">
        <v>6542</v>
      </c>
      <c r="D5318" s="2352" t="s">
        <v>6547</v>
      </c>
      <c r="E5318" s="355" t="s">
        <v>17123</v>
      </c>
      <c r="F5318" s="1662">
        <v>12</v>
      </c>
    </row>
    <row r="5319" spans="1:6" ht="15" customHeight="1" x14ac:dyDescent="0.25">
      <c r="A5319" s="2352" t="s">
        <v>6548</v>
      </c>
      <c r="B5319" s="2352" t="s">
        <v>6542</v>
      </c>
      <c r="C5319" s="2352" t="s">
        <v>6542</v>
      </c>
      <c r="D5319" s="2352" t="s">
        <v>6549</v>
      </c>
      <c r="E5319" s="355" t="s">
        <v>17127</v>
      </c>
      <c r="F5319" s="1662">
        <v>25</v>
      </c>
    </row>
    <row r="5320" spans="1:6" ht="15" customHeight="1" x14ac:dyDescent="0.25">
      <c r="A5320" s="2352" t="s">
        <v>6550</v>
      </c>
      <c r="B5320" s="2352" t="s">
        <v>6542</v>
      </c>
      <c r="C5320" s="2352" t="s">
        <v>6542</v>
      </c>
      <c r="D5320" s="2352" t="s">
        <v>6551</v>
      </c>
      <c r="E5320" s="355" t="s">
        <v>17137</v>
      </c>
      <c r="F5320" s="1662">
        <v>1</v>
      </c>
    </row>
    <row r="5321" spans="1:6" ht="15" customHeight="1" x14ac:dyDescent="0.25">
      <c r="A5321" s="2352" t="s">
        <v>6552</v>
      </c>
      <c r="B5321" s="2352" t="s">
        <v>6542</v>
      </c>
      <c r="C5321" s="2352" t="s">
        <v>6542</v>
      </c>
      <c r="D5321" s="2352" t="s">
        <v>6553</v>
      </c>
      <c r="E5321" s="355" t="s">
        <v>17136</v>
      </c>
      <c r="F5321" s="1662">
        <v>8</v>
      </c>
    </row>
    <row r="5322" spans="1:6" ht="15" customHeight="1" x14ac:dyDescent="0.25">
      <c r="A5322" s="2352" t="s">
        <v>6554</v>
      </c>
      <c r="B5322" s="2352" t="s">
        <v>6542</v>
      </c>
      <c r="C5322" s="2352" t="s">
        <v>6542</v>
      </c>
      <c r="D5322" s="2352" t="s">
        <v>6555</v>
      </c>
      <c r="E5322" s="355" t="s">
        <v>17136</v>
      </c>
      <c r="F5322" s="1662">
        <v>5</v>
      </c>
    </row>
    <row r="5323" spans="1:6" ht="15" customHeight="1" x14ac:dyDescent="0.25">
      <c r="A5323" s="2352" t="s">
        <v>6556</v>
      </c>
      <c r="B5323" s="2352" t="s">
        <v>6542</v>
      </c>
      <c r="C5323" s="2352" t="s">
        <v>6542</v>
      </c>
      <c r="D5323" s="2352" t="s">
        <v>6557</v>
      </c>
      <c r="E5323" s="355" t="s">
        <v>17127</v>
      </c>
      <c r="F5323" s="1662">
        <v>10</v>
      </c>
    </row>
    <row r="5324" spans="1:6" ht="15" customHeight="1" x14ac:dyDescent="0.25">
      <c r="A5324" s="2352" t="s">
        <v>6556</v>
      </c>
      <c r="B5324" s="2352" t="s">
        <v>6542</v>
      </c>
      <c r="C5324" s="2352" t="s">
        <v>6542</v>
      </c>
      <c r="D5324" s="2352" t="s">
        <v>6558</v>
      </c>
      <c r="E5324" s="355" t="s">
        <v>17136</v>
      </c>
      <c r="F5324" s="1662">
        <v>9</v>
      </c>
    </row>
    <row r="5325" spans="1:6" ht="15" customHeight="1" x14ac:dyDescent="0.25">
      <c r="A5325" s="2352" t="s">
        <v>6556</v>
      </c>
      <c r="B5325" s="2352" t="s">
        <v>6542</v>
      </c>
      <c r="C5325" s="2352" t="s">
        <v>6542</v>
      </c>
      <c r="D5325" s="2352" t="s">
        <v>6559</v>
      </c>
      <c r="E5325" s="355" t="s">
        <v>17123</v>
      </c>
      <c r="F5325" s="1662">
        <v>35</v>
      </c>
    </row>
    <row r="5326" spans="1:6" ht="15" customHeight="1" x14ac:dyDescent="0.25">
      <c r="A5326" s="2352" t="s">
        <v>6560</v>
      </c>
      <c r="B5326" s="2352" t="s">
        <v>6542</v>
      </c>
      <c r="C5326" s="2352" t="s">
        <v>6542</v>
      </c>
      <c r="D5326" s="2352" t="s">
        <v>6561</v>
      </c>
      <c r="E5326" s="355" t="s">
        <v>17130</v>
      </c>
      <c r="F5326" s="1662">
        <v>100</v>
      </c>
    </row>
    <row r="5327" spans="1:6" ht="15" customHeight="1" x14ac:dyDescent="0.25">
      <c r="A5327" s="2352" t="s">
        <v>6562</v>
      </c>
      <c r="B5327" s="2352" t="s">
        <v>6542</v>
      </c>
      <c r="C5327" s="2352" t="s">
        <v>6542</v>
      </c>
      <c r="D5327" s="2352" t="s">
        <v>6563</v>
      </c>
      <c r="E5327" s="355" t="s">
        <v>17123</v>
      </c>
      <c r="F5327" s="1662">
        <v>35</v>
      </c>
    </row>
    <row r="5328" spans="1:6" ht="15" customHeight="1" x14ac:dyDescent="0.25">
      <c r="A5328" s="2352" t="s">
        <v>6564</v>
      </c>
      <c r="B5328" s="2352" t="s">
        <v>6542</v>
      </c>
      <c r="C5328" s="2352" t="s">
        <v>6542</v>
      </c>
      <c r="D5328" s="2352" t="s">
        <v>6565</v>
      </c>
      <c r="E5328" s="355" t="s">
        <v>17138</v>
      </c>
      <c r="F5328" s="1662">
        <v>9</v>
      </c>
    </row>
    <row r="5329" spans="1:6" ht="15" customHeight="1" x14ac:dyDescent="0.25">
      <c r="A5329" s="2352" t="s">
        <v>6566</v>
      </c>
      <c r="B5329" s="2352" t="s">
        <v>6542</v>
      </c>
      <c r="C5329" s="2352" t="s">
        <v>6542</v>
      </c>
      <c r="D5329" s="2352" t="s">
        <v>6567</v>
      </c>
      <c r="E5329" s="355" t="s">
        <v>17127</v>
      </c>
      <c r="F5329" s="1662">
        <v>10</v>
      </c>
    </row>
    <row r="5330" spans="1:6" ht="15" customHeight="1" x14ac:dyDescent="0.25">
      <c r="A5330" s="2352" t="s">
        <v>6568</v>
      </c>
      <c r="B5330" s="2352" t="s">
        <v>6542</v>
      </c>
      <c r="C5330" s="2352" t="s">
        <v>6542</v>
      </c>
      <c r="D5330" s="2352" t="s">
        <v>6569</v>
      </c>
      <c r="E5330" s="355" t="s">
        <v>17136</v>
      </c>
      <c r="F5330" s="1662">
        <v>10</v>
      </c>
    </row>
    <row r="5331" spans="1:6" ht="15" customHeight="1" x14ac:dyDescent="0.25">
      <c r="A5331" s="2352" t="s">
        <v>6570</v>
      </c>
      <c r="B5331" s="2352" t="s">
        <v>6542</v>
      </c>
      <c r="C5331" s="2352" t="s">
        <v>6542</v>
      </c>
      <c r="D5331" s="2352" t="s">
        <v>6571</v>
      </c>
      <c r="E5331" s="355" t="s">
        <v>17127</v>
      </c>
      <c r="F5331" s="1662">
        <v>30</v>
      </c>
    </row>
    <row r="5332" spans="1:6" ht="15" customHeight="1" x14ac:dyDescent="0.25">
      <c r="A5332" s="2352" t="s">
        <v>6572</v>
      </c>
      <c r="B5332" s="2352" t="s">
        <v>6542</v>
      </c>
      <c r="C5332" s="2352" t="s">
        <v>6542</v>
      </c>
      <c r="D5332" s="2352" t="s">
        <v>6573</v>
      </c>
      <c r="E5332" s="355" t="s">
        <v>17127</v>
      </c>
      <c r="F5332" s="1662">
        <v>30</v>
      </c>
    </row>
    <row r="5333" spans="1:6" ht="15" customHeight="1" x14ac:dyDescent="0.25">
      <c r="A5333" s="2352" t="s">
        <v>4764</v>
      </c>
      <c r="B5333" s="2352" t="s">
        <v>6542</v>
      </c>
      <c r="C5333" s="2352" t="s">
        <v>6542</v>
      </c>
      <c r="D5333" s="2352" t="s">
        <v>6574</v>
      </c>
      <c r="E5333" s="355" t="s">
        <v>17127</v>
      </c>
      <c r="F5333" s="1662">
        <v>30</v>
      </c>
    </row>
    <row r="5334" spans="1:6" ht="15" customHeight="1" x14ac:dyDescent="0.25">
      <c r="A5334" s="2352" t="s">
        <v>6575</v>
      </c>
      <c r="B5334" s="2352" t="s">
        <v>6542</v>
      </c>
      <c r="C5334" s="2352" t="s">
        <v>6542</v>
      </c>
      <c r="D5334" s="2352" t="s">
        <v>6576</v>
      </c>
      <c r="E5334" s="355" t="s">
        <v>17130</v>
      </c>
      <c r="F5334" s="1662">
        <v>150</v>
      </c>
    </row>
    <row r="5335" spans="1:6" ht="15" customHeight="1" x14ac:dyDescent="0.25">
      <c r="A5335" s="2352" t="s">
        <v>6577</v>
      </c>
      <c r="B5335" s="2352" t="s">
        <v>6542</v>
      </c>
      <c r="C5335" s="2352" t="s">
        <v>6542</v>
      </c>
      <c r="D5335" s="2352" t="s">
        <v>6578</v>
      </c>
      <c r="E5335" s="355" t="s">
        <v>17130</v>
      </c>
      <c r="F5335" s="1662">
        <v>100</v>
      </c>
    </row>
    <row r="5336" spans="1:6" ht="15" customHeight="1" x14ac:dyDescent="0.25">
      <c r="A5336" s="2352" t="s">
        <v>6579</v>
      </c>
      <c r="B5336" s="2352" t="s">
        <v>6542</v>
      </c>
      <c r="C5336" s="2352" t="s">
        <v>6542</v>
      </c>
      <c r="D5336" s="2352" t="s">
        <v>6580</v>
      </c>
      <c r="E5336" s="355" t="s">
        <v>17117</v>
      </c>
      <c r="F5336" s="1662">
        <v>100</v>
      </c>
    </row>
    <row r="5337" spans="1:6" ht="15" customHeight="1" x14ac:dyDescent="0.25">
      <c r="A5337" s="2352" t="s">
        <v>6581</v>
      </c>
      <c r="B5337" s="2352" t="s">
        <v>6542</v>
      </c>
      <c r="C5337" s="2352" t="s">
        <v>6542</v>
      </c>
      <c r="D5337" s="2352" t="s">
        <v>6582</v>
      </c>
      <c r="E5337" s="355" t="s">
        <v>17117</v>
      </c>
      <c r="F5337" s="1662">
        <v>50</v>
      </c>
    </row>
    <row r="5338" spans="1:6" ht="15" customHeight="1" x14ac:dyDescent="0.25">
      <c r="A5338" s="2352" t="s">
        <v>6583</v>
      </c>
      <c r="B5338" s="2352" t="s">
        <v>6542</v>
      </c>
      <c r="C5338" s="2352" t="s">
        <v>6542</v>
      </c>
      <c r="D5338" s="2352" t="s">
        <v>6584</v>
      </c>
      <c r="E5338" s="355" t="s">
        <v>17135</v>
      </c>
      <c r="F5338" s="1662">
        <v>5</v>
      </c>
    </row>
    <row r="5339" spans="1:6" ht="15" customHeight="1" x14ac:dyDescent="0.25">
      <c r="A5339" s="2352" t="s">
        <v>6585</v>
      </c>
      <c r="B5339" s="2352" t="s">
        <v>6542</v>
      </c>
      <c r="C5339" s="2352" t="s">
        <v>6542</v>
      </c>
      <c r="D5339" s="2352" t="s">
        <v>6586</v>
      </c>
      <c r="E5339" s="355" t="s">
        <v>17136</v>
      </c>
      <c r="F5339" s="1662">
        <v>5</v>
      </c>
    </row>
    <row r="5340" spans="1:6" ht="15" customHeight="1" x14ac:dyDescent="0.25">
      <c r="A5340" s="2352" t="s">
        <v>6587</v>
      </c>
      <c r="B5340" s="2352" t="s">
        <v>6542</v>
      </c>
      <c r="C5340" s="2352" t="s">
        <v>6542</v>
      </c>
      <c r="D5340" s="2352" t="s">
        <v>6588</v>
      </c>
      <c r="E5340" s="355" t="s">
        <v>17123</v>
      </c>
      <c r="F5340" s="1662">
        <v>30</v>
      </c>
    </row>
    <row r="5341" spans="1:6" ht="15" customHeight="1" x14ac:dyDescent="0.25">
      <c r="A5341" s="2352" t="s">
        <v>6589</v>
      </c>
      <c r="B5341" s="2352" t="s">
        <v>6542</v>
      </c>
      <c r="C5341" s="2352" t="s">
        <v>6542</v>
      </c>
      <c r="D5341" s="2352" t="s">
        <v>6590</v>
      </c>
      <c r="E5341" s="355" t="s">
        <v>17123</v>
      </c>
      <c r="F5341" s="1662">
        <v>10</v>
      </c>
    </row>
    <row r="5342" spans="1:6" ht="15" customHeight="1" x14ac:dyDescent="0.25">
      <c r="A5342" s="2352" t="s">
        <v>6589</v>
      </c>
      <c r="B5342" s="2352" t="s">
        <v>6542</v>
      </c>
      <c r="C5342" s="2352" t="s">
        <v>6542</v>
      </c>
      <c r="D5342" s="2352" t="s">
        <v>6591</v>
      </c>
      <c r="E5342" s="355" t="s">
        <v>17121</v>
      </c>
      <c r="F5342" s="1662">
        <v>200</v>
      </c>
    </row>
    <row r="5343" spans="1:6" ht="15" customHeight="1" x14ac:dyDescent="0.25">
      <c r="A5343" s="2352" t="s">
        <v>6589</v>
      </c>
      <c r="B5343" s="2352" t="s">
        <v>6542</v>
      </c>
      <c r="C5343" s="2352" t="s">
        <v>6542</v>
      </c>
      <c r="D5343" s="2352" t="s">
        <v>6592</v>
      </c>
      <c r="E5343" s="355" t="s">
        <v>17117</v>
      </c>
      <c r="F5343" s="1662">
        <v>80</v>
      </c>
    </row>
    <row r="5344" spans="1:6" ht="15" customHeight="1" x14ac:dyDescent="0.25">
      <c r="A5344" s="2352" t="s">
        <v>3812</v>
      </c>
      <c r="B5344" s="2352" t="s">
        <v>6542</v>
      </c>
      <c r="C5344" s="2352" t="s">
        <v>6542</v>
      </c>
      <c r="D5344" s="2352" t="s">
        <v>6593</v>
      </c>
      <c r="E5344" s="355" t="s">
        <v>17127</v>
      </c>
      <c r="F5344" s="1662">
        <v>20</v>
      </c>
    </row>
    <row r="5345" spans="1:6" ht="15" customHeight="1" x14ac:dyDescent="0.25">
      <c r="A5345" s="2352" t="s">
        <v>6594</v>
      </c>
      <c r="B5345" s="2352" t="s">
        <v>6542</v>
      </c>
      <c r="C5345" s="2352" t="s">
        <v>6542</v>
      </c>
      <c r="D5345" s="2352" t="s">
        <v>6595</v>
      </c>
      <c r="E5345" s="355" t="s">
        <v>17136</v>
      </c>
      <c r="F5345" s="1662">
        <v>10</v>
      </c>
    </row>
    <row r="5346" spans="1:6" ht="15" customHeight="1" x14ac:dyDescent="0.25">
      <c r="A5346" s="2352" t="s">
        <v>6596</v>
      </c>
      <c r="B5346" s="2352" t="s">
        <v>6542</v>
      </c>
      <c r="C5346" s="2352" t="s">
        <v>6542</v>
      </c>
      <c r="D5346" s="2352" t="s">
        <v>6597</v>
      </c>
      <c r="E5346" s="355" t="s">
        <v>17123</v>
      </c>
      <c r="F5346" s="1662">
        <v>20</v>
      </c>
    </row>
    <row r="5347" spans="1:6" ht="15" customHeight="1" x14ac:dyDescent="0.25">
      <c r="A5347" s="2352" t="s">
        <v>6598</v>
      </c>
      <c r="B5347" s="2352" t="s">
        <v>6542</v>
      </c>
      <c r="C5347" s="2352" t="s">
        <v>6542</v>
      </c>
      <c r="D5347" s="2352" t="s">
        <v>6599</v>
      </c>
      <c r="E5347" s="355" t="s">
        <v>17138</v>
      </c>
      <c r="F5347" s="1662">
        <v>5</v>
      </c>
    </row>
    <row r="5348" spans="1:6" ht="15" customHeight="1" x14ac:dyDescent="0.25">
      <c r="A5348" s="2352" t="s">
        <v>3783</v>
      </c>
      <c r="B5348" s="2352" t="s">
        <v>6542</v>
      </c>
      <c r="C5348" s="2352" t="s">
        <v>6542</v>
      </c>
      <c r="D5348" s="2352" t="s">
        <v>6600</v>
      </c>
      <c r="E5348" s="355" t="s">
        <v>17117</v>
      </c>
      <c r="F5348" s="1662">
        <v>60</v>
      </c>
    </row>
    <row r="5349" spans="1:6" ht="15" customHeight="1" x14ac:dyDescent="0.25">
      <c r="A5349" s="2352" t="s">
        <v>3783</v>
      </c>
      <c r="B5349" s="2352" t="s">
        <v>6542</v>
      </c>
      <c r="C5349" s="2352" t="s">
        <v>6542</v>
      </c>
      <c r="D5349" s="2352" t="s">
        <v>6601</v>
      </c>
      <c r="E5349" s="355" t="s">
        <v>17123</v>
      </c>
      <c r="F5349" s="1662">
        <v>20</v>
      </c>
    </row>
    <row r="5350" spans="1:6" ht="15" customHeight="1" x14ac:dyDescent="0.25">
      <c r="A5350" s="2352" t="s">
        <v>4153</v>
      </c>
      <c r="B5350" s="2352" t="s">
        <v>6542</v>
      </c>
      <c r="C5350" s="2352" t="s">
        <v>6542</v>
      </c>
      <c r="D5350" s="2352" t="s">
        <v>6602</v>
      </c>
      <c r="E5350" s="355" t="s">
        <v>18614</v>
      </c>
      <c r="F5350" s="1662">
        <v>450</v>
      </c>
    </row>
    <row r="5351" spans="1:6" ht="15" customHeight="1" x14ac:dyDescent="0.25">
      <c r="A5351" s="2352" t="s">
        <v>4153</v>
      </c>
      <c r="B5351" s="2352" t="s">
        <v>6542</v>
      </c>
      <c r="C5351" s="2352" t="s">
        <v>6542</v>
      </c>
      <c r="D5351" s="2352" t="s">
        <v>6603</v>
      </c>
      <c r="E5351" s="355" t="s">
        <v>17117</v>
      </c>
      <c r="F5351" s="1662">
        <v>30</v>
      </c>
    </row>
    <row r="5352" spans="1:6" ht="15" customHeight="1" x14ac:dyDescent="0.25">
      <c r="A5352" s="2352" t="s">
        <v>6604</v>
      </c>
      <c r="B5352" s="2352" t="s">
        <v>6542</v>
      </c>
      <c r="C5352" s="2352" t="s">
        <v>6542</v>
      </c>
      <c r="D5352" s="2352" t="s">
        <v>6605</v>
      </c>
      <c r="E5352" s="355" t="s">
        <v>17130</v>
      </c>
      <c r="F5352" s="1662">
        <v>100</v>
      </c>
    </row>
    <row r="5353" spans="1:6" ht="15" customHeight="1" x14ac:dyDescent="0.25">
      <c r="A5353" s="2352" t="s">
        <v>6604</v>
      </c>
      <c r="B5353" s="2352" t="s">
        <v>6542</v>
      </c>
      <c r="C5353" s="2352" t="s">
        <v>6542</v>
      </c>
      <c r="D5353" s="2352" t="s">
        <v>6606</v>
      </c>
      <c r="E5353" s="355" t="s">
        <v>17130</v>
      </c>
      <c r="F5353" s="1662">
        <v>100</v>
      </c>
    </row>
    <row r="5354" spans="1:6" ht="15" customHeight="1" x14ac:dyDescent="0.25">
      <c r="A5354" s="2352" t="s">
        <v>6607</v>
      </c>
      <c r="B5354" s="2352" t="s">
        <v>6542</v>
      </c>
      <c r="C5354" s="2352" t="s">
        <v>6542</v>
      </c>
      <c r="D5354" s="2352" t="s">
        <v>6608</v>
      </c>
      <c r="E5354" s="355" t="s">
        <v>17136</v>
      </c>
      <c r="F5354" s="1662">
        <v>5</v>
      </c>
    </row>
    <row r="5355" spans="1:6" ht="15" customHeight="1" x14ac:dyDescent="0.25">
      <c r="A5355" s="2352" t="s">
        <v>6609</v>
      </c>
      <c r="B5355" s="2352" t="s">
        <v>6542</v>
      </c>
      <c r="C5355" s="2352" t="s">
        <v>6542</v>
      </c>
      <c r="D5355" s="2352" t="s">
        <v>6610</v>
      </c>
      <c r="E5355" s="355" t="s">
        <v>17136</v>
      </c>
      <c r="F5355" s="1662">
        <v>5</v>
      </c>
    </row>
    <row r="5356" spans="1:6" ht="15" customHeight="1" x14ac:dyDescent="0.25">
      <c r="A5356" s="2352" t="s">
        <v>6611</v>
      </c>
      <c r="B5356" s="2352" t="s">
        <v>6542</v>
      </c>
      <c r="C5356" s="2352" t="s">
        <v>6542</v>
      </c>
      <c r="D5356" s="2352" t="s">
        <v>6612</v>
      </c>
      <c r="E5356" s="355" t="s">
        <v>17127</v>
      </c>
      <c r="F5356" s="1662">
        <v>20</v>
      </c>
    </row>
    <row r="5357" spans="1:6" ht="15" customHeight="1" x14ac:dyDescent="0.25">
      <c r="A5357" s="2352" t="s">
        <v>6613</v>
      </c>
      <c r="B5357" s="2352" t="s">
        <v>6542</v>
      </c>
      <c r="C5357" s="2352" t="s">
        <v>6542</v>
      </c>
      <c r="D5357" s="2352" t="s">
        <v>6614</v>
      </c>
      <c r="E5357" s="355" t="s">
        <v>17123</v>
      </c>
      <c r="F5357" s="1662">
        <v>45</v>
      </c>
    </row>
    <row r="5358" spans="1:6" ht="15" customHeight="1" x14ac:dyDescent="0.25">
      <c r="A5358" s="2352" t="s">
        <v>6615</v>
      </c>
      <c r="B5358" s="2352" t="s">
        <v>6542</v>
      </c>
      <c r="C5358" s="2352" t="s">
        <v>6542</v>
      </c>
      <c r="D5358" s="2352" t="s">
        <v>6616</v>
      </c>
      <c r="E5358" s="355" t="s">
        <v>17130</v>
      </c>
      <c r="F5358" s="1662">
        <v>150</v>
      </c>
    </row>
    <row r="5359" spans="1:6" ht="15" customHeight="1" x14ac:dyDescent="0.25">
      <c r="A5359" s="2352" t="s">
        <v>6617</v>
      </c>
      <c r="B5359" s="2352" t="s">
        <v>6542</v>
      </c>
      <c r="C5359" s="2352" t="s">
        <v>6542</v>
      </c>
      <c r="D5359" s="2352" t="s">
        <v>6618</v>
      </c>
      <c r="E5359" s="355" t="s">
        <v>17123</v>
      </c>
      <c r="F5359" s="1662">
        <v>20</v>
      </c>
    </row>
    <row r="5360" spans="1:6" ht="15" customHeight="1" x14ac:dyDescent="0.25">
      <c r="A5360" s="2352" t="s">
        <v>6617</v>
      </c>
      <c r="B5360" s="2352" t="s">
        <v>6542</v>
      </c>
      <c r="C5360" s="2352" t="s">
        <v>6542</v>
      </c>
      <c r="D5360" s="2352" t="s">
        <v>6619</v>
      </c>
      <c r="E5360" s="355" t="s">
        <v>17119</v>
      </c>
      <c r="F5360" s="1662">
        <v>15</v>
      </c>
    </row>
    <row r="5361" spans="1:6" ht="15" customHeight="1" x14ac:dyDescent="0.25">
      <c r="A5361" s="2352" t="s">
        <v>6617</v>
      </c>
      <c r="B5361" s="2352" t="s">
        <v>6542</v>
      </c>
      <c r="C5361" s="2352" t="s">
        <v>6542</v>
      </c>
      <c r="D5361" s="2352" t="s">
        <v>6620</v>
      </c>
      <c r="E5361" s="355" t="s">
        <v>17123</v>
      </c>
      <c r="F5361" s="1662">
        <v>60</v>
      </c>
    </row>
    <row r="5362" spans="1:6" ht="15" customHeight="1" x14ac:dyDescent="0.25">
      <c r="A5362" s="2352" t="s">
        <v>6617</v>
      </c>
      <c r="B5362" s="2352" t="s">
        <v>6542</v>
      </c>
      <c r="C5362" s="2352" t="s">
        <v>6542</v>
      </c>
      <c r="D5362" s="2352" t="s">
        <v>6621</v>
      </c>
      <c r="E5362" s="355" t="s">
        <v>17119</v>
      </c>
      <c r="F5362" s="1662">
        <v>20</v>
      </c>
    </row>
    <row r="5363" spans="1:6" ht="15" customHeight="1" x14ac:dyDescent="0.25">
      <c r="A5363" s="2352" t="s">
        <v>6622</v>
      </c>
      <c r="B5363" s="2352" t="s">
        <v>6542</v>
      </c>
      <c r="C5363" s="2352" t="s">
        <v>6542</v>
      </c>
      <c r="D5363" s="2352" t="s">
        <v>6623</v>
      </c>
      <c r="E5363" s="355" t="s">
        <v>17123</v>
      </c>
      <c r="F5363" s="1662">
        <v>40</v>
      </c>
    </row>
    <row r="5364" spans="1:6" ht="15" customHeight="1" x14ac:dyDescent="0.25">
      <c r="A5364" s="2352" t="s">
        <v>6624</v>
      </c>
      <c r="B5364" s="2352" t="s">
        <v>6542</v>
      </c>
      <c r="C5364" s="2352" t="s">
        <v>6542</v>
      </c>
      <c r="D5364" s="2352" t="s">
        <v>6625</v>
      </c>
      <c r="E5364" s="355" t="s">
        <v>17136</v>
      </c>
      <c r="F5364" s="1662">
        <v>5</v>
      </c>
    </row>
    <row r="5365" spans="1:6" ht="15" customHeight="1" x14ac:dyDescent="0.25">
      <c r="A5365" s="2352" t="s">
        <v>6626</v>
      </c>
      <c r="B5365" s="2352" t="s">
        <v>6542</v>
      </c>
      <c r="C5365" s="2352" t="s">
        <v>6542</v>
      </c>
      <c r="D5365" s="2352" t="s">
        <v>6627</v>
      </c>
      <c r="E5365" s="355" t="s">
        <v>17123</v>
      </c>
      <c r="F5365" s="1662">
        <v>20</v>
      </c>
    </row>
    <row r="5366" spans="1:6" ht="15" customHeight="1" x14ac:dyDescent="0.25">
      <c r="A5366" s="2352" t="s">
        <v>6628</v>
      </c>
      <c r="B5366" s="2352" t="s">
        <v>6542</v>
      </c>
      <c r="C5366" s="2352" t="s">
        <v>6542</v>
      </c>
      <c r="D5366" s="2352" t="s">
        <v>6629</v>
      </c>
      <c r="E5366" s="355" t="s">
        <v>17123</v>
      </c>
      <c r="F5366" s="1662">
        <v>30</v>
      </c>
    </row>
    <row r="5367" spans="1:6" ht="15" customHeight="1" x14ac:dyDescent="0.25">
      <c r="A5367" s="2352" t="s">
        <v>6630</v>
      </c>
      <c r="B5367" s="2352" t="s">
        <v>6542</v>
      </c>
      <c r="C5367" s="2352" t="s">
        <v>6542</v>
      </c>
      <c r="D5367" s="2352" t="s">
        <v>6631</v>
      </c>
      <c r="E5367" s="355" t="s">
        <v>17138</v>
      </c>
      <c r="F5367" s="1662">
        <v>5</v>
      </c>
    </row>
    <row r="5368" spans="1:6" ht="15" customHeight="1" x14ac:dyDescent="0.25">
      <c r="A5368" s="2352" t="s">
        <v>6554</v>
      </c>
      <c r="B5368" s="2352" t="s">
        <v>6542</v>
      </c>
      <c r="C5368" s="2352" t="s">
        <v>6542</v>
      </c>
      <c r="D5368" s="2352" t="s">
        <v>6632</v>
      </c>
      <c r="E5368" s="355" t="s">
        <v>17119</v>
      </c>
      <c r="F5368" s="1662">
        <v>30</v>
      </c>
    </row>
    <row r="5369" spans="1:6" ht="15" customHeight="1" x14ac:dyDescent="0.25">
      <c r="A5369" s="2352" t="s">
        <v>6633</v>
      </c>
      <c r="B5369" s="2352" t="s">
        <v>6542</v>
      </c>
      <c r="C5369" s="2352" t="s">
        <v>6542</v>
      </c>
      <c r="D5369" s="2352" t="s">
        <v>6634</v>
      </c>
      <c r="E5369" s="355" t="s">
        <v>17130</v>
      </c>
      <c r="F5369" s="1662">
        <v>20</v>
      </c>
    </row>
    <row r="5370" spans="1:6" ht="15" customHeight="1" x14ac:dyDescent="0.25">
      <c r="A5370" s="2352" t="s">
        <v>4632</v>
      </c>
      <c r="B5370" s="2352" t="s">
        <v>6542</v>
      </c>
      <c r="C5370" s="2352" t="s">
        <v>6542</v>
      </c>
      <c r="D5370" s="2352" t="s">
        <v>6635</v>
      </c>
      <c r="E5370" s="355" t="s">
        <v>17130</v>
      </c>
      <c r="F5370" s="1662">
        <v>150</v>
      </c>
    </row>
    <row r="5371" spans="1:6" ht="15" customHeight="1" x14ac:dyDescent="0.25">
      <c r="A5371" s="2352" t="s">
        <v>6636</v>
      </c>
      <c r="B5371" s="2352" t="s">
        <v>6542</v>
      </c>
      <c r="C5371" s="2352" t="s">
        <v>6542</v>
      </c>
      <c r="D5371" s="2352" t="s">
        <v>6637</v>
      </c>
      <c r="E5371" s="355" t="s">
        <v>17127</v>
      </c>
      <c r="F5371" s="1662">
        <v>20</v>
      </c>
    </row>
    <row r="5372" spans="1:6" ht="15" customHeight="1" x14ac:dyDescent="0.25">
      <c r="A5372" s="2352" t="s">
        <v>6638</v>
      </c>
      <c r="B5372" s="2352" t="s">
        <v>6542</v>
      </c>
      <c r="C5372" s="2352" t="s">
        <v>6542</v>
      </c>
      <c r="D5372" s="2352" t="s">
        <v>6639</v>
      </c>
      <c r="E5372" s="355" t="s">
        <v>17130</v>
      </c>
      <c r="F5372" s="1662">
        <v>150</v>
      </c>
    </row>
    <row r="5373" spans="1:6" ht="15" customHeight="1" x14ac:dyDescent="0.25">
      <c r="A5373" s="2352" t="s">
        <v>6640</v>
      </c>
      <c r="B5373" s="2352" t="s">
        <v>6542</v>
      </c>
      <c r="C5373" s="2352" t="s">
        <v>6542</v>
      </c>
      <c r="D5373" s="2352" t="s">
        <v>6641</v>
      </c>
      <c r="E5373" s="355" t="s">
        <v>17136</v>
      </c>
      <c r="F5373" s="1662">
        <v>10</v>
      </c>
    </row>
    <row r="5374" spans="1:6" ht="15" customHeight="1" x14ac:dyDescent="0.25">
      <c r="A5374" s="2352" t="s">
        <v>6642</v>
      </c>
      <c r="B5374" s="2352" t="s">
        <v>6542</v>
      </c>
      <c r="C5374" s="2352" t="s">
        <v>6542</v>
      </c>
      <c r="D5374" s="2352" t="s">
        <v>6643</v>
      </c>
      <c r="E5374" s="355" t="s">
        <v>17127</v>
      </c>
      <c r="F5374" s="1662">
        <v>20</v>
      </c>
    </row>
    <row r="5375" spans="1:6" ht="15" customHeight="1" x14ac:dyDescent="0.25">
      <c r="A5375" s="2352" t="s">
        <v>6644</v>
      </c>
      <c r="B5375" s="2352" t="s">
        <v>6542</v>
      </c>
      <c r="C5375" s="2352" t="s">
        <v>6542</v>
      </c>
      <c r="D5375" s="2352" t="s">
        <v>6645</v>
      </c>
      <c r="E5375" s="355" t="s">
        <v>17130</v>
      </c>
      <c r="F5375" s="1662">
        <v>100</v>
      </c>
    </row>
    <row r="5376" spans="1:6" ht="15" customHeight="1" x14ac:dyDescent="0.25">
      <c r="A5376" s="2352" t="s">
        <v>6644</v>
      </c>
      <c r="B5376" s="2352" t="s">
        <v>6542</v>
      </c>
      <c r="C5376" s="2352" t="s">
        <v>6542</v>
      </c>
      <c r="D5376" s="2352" t="s">
        <v>6646</v>
      </c>
      <c r="E5376" s="355" t="s">
        <v>17119</v>
      </c>
      <c r="F5376" s="1662">
        <v>10</v>
      </c>
    </row>
    <row r="5377" spans="1:6" ht="15" customHeight="1" x14ac:dyDescent="0.25">
      <c r="A5377" s="2352" t="s">
        <v>6644</v>
      </c>
      <c r="B5377" s="2352" t="s">
        <v>6542</v>
      </c>
      <c r="C5377" s="2352" t="s">
        <v>6542</v>
      </c>
      <c r="D5377" s="2352" t="s">
        <v>6647</v>
      </c>
      <c r="E5377" s="355" t="s">
        <v>17121</v>
      </c>
      <c r="F5377" s="1662">
        <v>100</v>
      </c>
    </row>
    <row r="5378" spans="1:6" ht="15" customHeight="1" x14ac:dyDescent="0.25">
      <c r="A5378" s="2352" t="s">
        <v>6644</v>
      </c>
      <c r="B5378" s="2352" t="s">
        <v>6542</v>
      </c>
      <c r="C5378" s="2352" t="s">
        <v>6542</v>
      </c>
      <c r="D5378" s="2352" t="s">
        <v>6648</v>
      </c>
      <c r="E5378" s="355" t="s">
        <v>17119</v>
      </c>
      <c r="F5378" s="1662">
        <v>10</v>
      </c>
    </row>
    <row r="5379" spans="1:6" ht="15" customHeight="1" x14ac:dyDescent="0.25">
      <c r="A5379" s="2352" t="s">
        <v>6644</v>
      </c>
      <c r="B5379" s="2352" t="s">
        <v>6542</v>
      </c>
      <c r="C5379" s="2352" t="s">
        <v>6542</v>
      </c>
      <c r="D5379" s="2352" t="s">
        <v>6649</v>
      </c>
      <c r="E5379" s="355" t="s">
        <v>17121</v>
      </c>
      <c r="F5379" s="1662">
        <v>350</v>
      </c>
    </row>
    <row r="5380" spans="1:6" ht="15" customHeight="1" x14ac:dyDescent="0.25">
      <c r="A5380" s="2352" t="s">
        <v>6650</v>
      </c>
      <c r="B5380" s="2352" t="s">
        <v>6542</v>
      </c>
      <c r="C5380" s="2352" t="s">
        <v>6542</v>
      </c>
      <c r="D5380" s="2352" t="s">
        <v>6651</v>
      </c>
      <c r="E5380" s="355" t="s">
        <v>17136</v>
      </c>
      <c r="F5380" s="1662">
        <v>5</v>
      </c>
    </row>
    <row r="5381" spans="1:6" ht="15" customHeight="1" x14ac:dyDescent="0.25">
      <c r="A5381" s="2352" t="s">
        <v>6556</v>
      </c>
      <c r="B5381" s="2352" t="s">
        <v>6542</v>
      </c>
      <c r="C5381" s="2352" t="s">
        <v>6542</v>
      </c>
      <c r="D5381" s="2352" t="s">
        <v>6652</v>
      </c>
      <c r="E5381" s="355" t="s">
        <v>17123</v>
      </c>
      <c r="F5381" s="1662">
        <v>40</v>
      </c>
    </row>
    <row r="5382" spans="1:6" ht="15" customHeight="1" x14ac:dyDescent="0.25">
      <c r="A5382" s="2352" t="s">
        <v>6556</v>
      </c>
      <c r="B5382" s="2352" t="s">
        <v>6542</v>
      </c>
      <c r="C5382" s="2352" t="s">
        <v>6542</v>
      </c>
      <c r="D5382" s="2352" t="s">
        <v>6653</v>
      </c>
      <c r="E5382" s="355" t="s">
        <v>17121</v>
      </c>
      <c r="F5382" s="1662">
        <v>100</v>
      </c>
    </row>
    <row r="5383" spans="1:6" ht="15" customHeight="1" x14ac:dyDescent="0.25">
      <c r="A5383" s="2352" t="s">
        <v>6556</v>
      </c>
      <c r="B5383" s="2352" t="s">
        <v>6542</v>
      </c>
      <c r="C5383" s="2352" t="s">
        <v>6542</v>
      </c>
      <c r="D5383" s="2352" t="s">
        <v>6654</v>
      </c>
      <c r="E5383" s="355" t="s">
        <v>17123</v>
      </c>
      <c r="F5383" s="1662">
        <v>25</v>
      </c>
    </row>
    <row r="5384" spans="1:6" ht="15" customHeight="1" x14ac:dyDescent="0.25">
      <c r="A5384" s="2352" t="s">
        <v>6615</v>
      </c>
      <c r="B5384" s="2352" t="s">
        <v>6542</v>
      </c>
      <c r="C5384" s="2352" t="s">
        <v>6542</v>
      </c>
      <c r="D5384" s="2352" t="s">
        <v>6655</v>
      </c>
      <c r="E5384" s="355" t="s">
        <v>17130</v>
      </c>
      <c r="F5384" s="1662">
        <v>50</v>
      </c>
    </row>
    <row r="5385" spans="1:6" ht="15" customHeight="1" x14ac:dyDescent="0.25">
      <c r="A5385" s="2352" t="s">
        <v>6615</v>
      </c>
      <c r="B5385" s="2352" t="s">
        <v>6542</v>
      </c>
      <c r="C5385" s="2352" t="s">
        <v>6542</v>
      </c>
      <c r="D5385" s="2352" t="s">
        <v>6656</v>
      </c>
      <c r="E5385" s="355" t="s">
        <v>6657</v>
      </c>
      <c r="F5385" s="1662">
        <v>5</v>
      </c>
    </row>
    <row r="5386" spans="1:6" ht="15" customHeight="1" x14ac:dyDescent="0.25">
      <c r="A5386" s="2352" t="s">
        <v>6615</v>
      </c>
      <c r="B5386" s="2352" t="s">
        <v>6542</v>
      </c>
      <c r="C5386" s="2352" t="s">
        <v>6542</v>
      </c>
      <c r="D5386" s="2352" t="s">
        <v>6658</v>
      </c>
      <c r="E5386" s="355" t="s">
        <v>17121</v>
      </c>
      <c r="F5386" s="1662">
        <v>100</v>
      </c>
    </row>
    <row r="5387" spans="1:6" ht="15" customHeight="1" x14ac:dyDescent="0.25">
      <c r="A5387" s="2352" t="s">
        <v>6615</v>
      </c>
      <c r="B5387" s="2352" t="s">
        <v>6542</v>
      </c>
      <c r="C5387" s="2352" t="s">
        <v>6542</v>
      </c>
      <c r="D5387" s="2352" t="s">
        <v>6659</v>
      </c>
      <c r="E5387" s="355" t="s">
        <v>17130</v>
      </c>
      <c r="F5387" s="1662">
        <v>50</v>
      </c>
    </row>
    <row r="5388" spans="1:6" ht="15" customHeight="1" x14ac:dyDescent="0.25">
      <c r="A5388" s="2352" t="s">
        <v>6615</v>
      </c>
      <c r="B5388" s="2352" t="s">
        <v>6542</v>
      </c>
      <c r="C5388" s="2352" t="s">
        <v>6542</v>
      </c>
      <c r="D5388" s="2352" t="s">
        <v>6660</v>
      </c>
      <c r="E5388" s="355" t="s">
        <v>17123</v>
      </c>
      <c r="F5388" s="1662">
        <v>10</v>
      </c>
    </row>
    <row r="5389" spans="1:6" ht="15" customHeight="1" x14ac:dyDescent="0.25">
      <c r="A5389" s="2352" t="s">
        <v>6615</v>
      </c>
      <c r="B5389" s="2352" t="s">
        <v>6542</v>
      </c>
      <c r="C5389" s="2352" t="s">
        <v>6542</v>
      </c>
      <c r="D5389" s="2352" t="s">
        <v>6661</v>
      </c>
      <c r="E5389" s="355" t="s">
        <v>17117</v>
      </c>
      <c r="F5389" s="1662">
        <v>50</v>
      </c>
    </row>
    <row r="5390" spans="1:6" ht="15" customHeight="1" x14ac:dyDescent="0.25">
      <c r="A5390" s="2352" t="s">
        <v>6615</v>
      </c>
      <c r="B5390" s="2352" t="s">
        <v>6542</v>
      </c>
      <c r="C5390" s="2352" t="s">
        <v>6542</v>
      </c>
      <c r="D5390" s="2352" t="s">
        <v>6662</v>
      </c>
      <c r="E5390" s="355" t="s">
        <v>17123</v>
      </c>
      <c r="F5390" s="1662">
        <v>10</v>
      </c>
    </row>
    <row r="5391" spans="1:6" ht="15" customHeight="1" x14ac:dyDescent="0.25">
      <c r="A5391" s="2352" t="s">
        <v>6615</v>
      </c>
      <c r="B5391" s="2352" t="s">
        <v>6542</v>
      </c>
      <c r="C5391" s="2352" t="s">
        <v>6542</v>
      </c>
      <c r="D5391" s="2352" t="s">
        <v>6663</v>
      </c>
      <c r="E5391" s="355" t="s">
        <v>17117</v>
      </c>
      <c r="F5391" s="1662">
        <v>60</v>
      </c>
    </row>
    <row r="5392" spans="1:6" ht="15" customHeight="1" x14ac:dyDescent="0.25">
      <c r="A5392" s="2352" t="s">
        <v>6615</v>
      </c>
      <c r="B5392" s="2352" t="s">
        <v>6542</v>
      </c>
      <c r="C5392" s="2352" t="s">
        <v>6542</v>
      </c>
      <c r="D5392" s="2352" t="s">
        <v>6664</v>
      </c>
      <c r="E5392" s="355" t="s">
        <v>17117</v>
      </c>
      <c r="F5392" s="1662">
        <v>50</v>
      </c>
    </row>
    <row r="5393" spans="1:6" ht="15" customHeight="1" x14ac:dyDescent="0.25">
      <c r="A5393" s="2352" t="s">
        <v>6615</v>
      </c>
      <c r="B5393" s="2352" t="s">
        <v>6542</v>
      </c>
      <c r="C5393" s="2352" t="s">
        <v>6542</v>
      </c>
      <c r="D5393" s="2352" t="s">
        <v>6665</v>
      </c>
      <c r="E5393" s="355" t="s">
        <v>17130</v>
      </c>
      <c r="F5393" s="1662">
        <v>100</v>
      </c>
    </row>
    <row r="5394" spans="1:6" ht="15" customHeight="1" x14ac:dyDescent="0.25">
      <c r="A5394" s="2352" t="s">
        <v>6615</v>
      </c>
      <c r="B5394" s="2352" t="s">
        <v>6542</v>
      </c>
      <c r="C5394" s="2352" t="s">
        <v>6542</v>
      </c>
      <c r="D5394" s="2352" t="s">
        <v>6666</v>
      </c>
      <c r="E5394" s="355" t="s">
        <v>17117</v>
      </c>
      <c r="F5394" s="1662">
        <v>60</v>
      </c>
    </row>
    <row r="5395" spans="1:6" ht="15" customHeight="1" x14ac:dyDescent="0.25">
      <c r="A5395" s="2352" t="s">
        <v>6615</v>
      </c>
      <c r="B5395" s="2352" t="s">
        <v>6542</v>
      </c>
      <c r="C5395" s="2352" t="s">
        <v>6542</v>
      </c>
      <c r="D5395" s="2352" t="s">
        <v>6667</v>
      </c>
      <c r="E5395" s="355" t="s">
        <v>17121</v>
      </c>
      <c r="F5395" s="1662">
        <v>50</v>
      </c>
    </row>
    <row r="5396" spans="1:6" ht="15" customHeight="1" x14ac:dyDescent="0.25">
      <c r="A5396" s="2352" t="s">
        <v>6615</v>
      </c>
      <c r="B5396" s="2352" t="s">
        <v>6542</v>
      </c>
      <c r="C5396" s="2352" t="s">
        <v>6542</v>
      </c>
      <c r="D5396" s="2352" t="s">
        <v>6668</v>
      </c>
      <c r="E5396" s="355" t="s">
        <v>17123</v>
      </c>
      <c r="F5396" s="1662">
        <v>20</v>
      </c>
    </row>
    <row r="5397" spans="1:6" ht="15" customHeight="1" x14ac:dyDescent="0.25">
      <c r="A5397" s="2352" t="s">
        <v>6669</v>
      </c>
      <c r="B5397" s="2352" t="s">
        <v>6542</v>
      </c>
      <c r="C5397" s="2352" t="s">
        <v>6542</v>
      </c>
      <c r="D5397" s="2352" t="s">
        <v>6670</v>
      </c>
      <c r="E5397" s="355" t="s">
        <v>17130</v>
      </c>
      <c r="F5397" s="1662">
        <v>100</v>
      </c>
    </row>
    <row r="5398" spans="1:6" ht="15" customHeight="1" x14ac:dyDescent="0.25">
      <c r="A5398" s="2352" t="s">
        <v>6669</v>
      </c>
      <c r="B5398" s="2352" t="s">
        <v>6542</v>
      </c>
      <c r="C5398" s="2352" t="s">
        <v>6542</v>
      </c>
      <c r="D5398" s="2352" t="s">
        <v>6671</v>
      </c>
      <c r="E5398" s="355" t="s">
        <v>17130</v>
      </c>
      <c r="F5398" s="1662">
        <v>100</v>
      </c>
    </row>
    <row r="5399" spans="1:6" ht="15" customHeight="1" x14ac:dyDescent="0.25">
      <c r="A5399" s="2352" t="s">
        <v>6672</v>
      </c>
      <c r="B5399" s="2352" t="s">
        <v>6542</v>
      </c>
      <c r="C5399" s="2352" t="s">
        <v>6542</v>
      </c>
      <c r="D5399" s="2352" t="s">
        <v>6673</v>
      </c>
      <c r="E5399" s="355" t="s">
        <v>17138</v>
      </c>
      <c r="F5399" s="1662">
        <v>5</v>
      </c>
    </row>
    <row r="5400" spans="1:6" ht="15" customHeight="1" x14ac:dyDescent="0.25">
      <c r="A5400" s="2352" t="s">
        <v>6615</v>
      </c>
      <c r="B5400" s="2352" t="s">
        <v>6542</v>
      </c>
      <c r="C5400" s="2352" t="s">
        <v>6542</v>
      </c>
      <c r="D5400" s="2352" t="s">
        <v>6674</v>
      </c>
      <c r="E5400" s="355" t="s">
        <v>17121</v>
      </c>
      <c r="F5400" s="1662">
        <v>250</v>
      </c>
    </row>
    <row r="5401" spans="1:6" ht="15" customHeight="1" x14ac:dyDescent="0.25">
      <c r="A5401" s="2352" t="s">
        <v>6675</v>
      </c>
      <c r="B5401" s="2352" t="s">
        <v>6542</v>
      </c>
      <c r="C5401" s="2352" t="s">
        <v>6542</v>
      </c>
      <c r="D5401" s="2352" t="s">
        <v>6676</v>
      </c>
      <c r="E5401" s="355" t="s">
        <v>17138</v>
      </c>
      <c r="F5401" s="1662">
        <v>5</v>
      </c>
    </row>
    <row r="5402" spans="1:6" ht="15" customHeight="1" x14ac:dyDescent="0.25">
      <c r="A5402" s="2352" t="s">
        <v>6615</v>
      </c>
      <c r="B5402" s="2352" t="s">
        <v>6542</v>
      </c>
      <c r="C5402" s="2352" t="s">
        <v>6542</v>
      </c>
      <c r="D5402" s="2352" t="s">
        <v>6677</v>
      </c>
      <c r="E5402" s="355" t="s">
        <v>17117</v>
      </c>
      <c r="F5402" s="1662">
        <v>60</v>
      </c>
    </row>
    <row r="5403" spans="1:6" ht="15" customHeight="1" x14ac:dyDescent="0.25">
      <c r="A5403" s="2352" t="s">
        <v>6615</v>
      </c>
      <c r="B5403" s="2352" t="s">
        <v>6542</v>
      </c>
      <c r="C5403" s="2352" t="s">
        <v>6542</v>
      </c>
      <c r="D5403" s="2352" t="s">
        <v>6678</v>
      </c>
      <c r="E5403" s="355" t="s">
        <v>17130</v>
      </c>
      <c r="F5403" s="1662">
        <v>50</v>
      </c>
    </row>
    <row r="5404" spans="1:6" ht="15" customHeight="1" x14ac:dyDescent="0.25">
      <c r="A5404" s="2352" t="s">
        <v>6615</v>
      </c>
      <c r="B5404" s="2352" t="s">
        <v>6542</v>
      </c>
      <c r="C5404" s="2352" t="s">
        <v>6542</v>
      </c>
      <c r="D5404" s="2352" t="s">
        <v>6679</v>
      </c>
      <c r="E5404" s="355" t="s">
        <v>17123</v>
      </c>
      <c r="F5404" s="1662">
        <v>15</v>
      </c>
    </row>
    <row r="5405" spans="1:6" ht="15" customHeight="1" x14ac:dyDescent="0.25">
      <c r="A5405" s="2352" t="s">
        <v>6615</v>
      </c>
      <c r="B5405" s="2352" t="s">
        <v>6542</v>
      </c>
      <c r="C5405" s="2352" t="s">
        <v>6542</v>
      </c>
      <c r="D5405" s="2352" t="s">
        <v>6680</v>
      </c>
      <c r="E5405" s="355" t="s">
        <v>17130</v>
      </c>
      <c r="F5405" s="1662">
        <v>70</v>
      </c>
    </row>
    <row r="5406" spans="1:6" ht="15" customHeight="1" x14ac:dyDescent="0.25">
      <c r="A5406" s="2352" t="s">
        <v>6615</v>
      </c>
      <c r="B5406" s="2352" t="s">
        <v>6542</v>
      </c>
      <c r="C5406" s="2352" t="s">
        <v>6542</v>
      </c>
      <c r="D5406" s="2352" t="s">
        <v>6681</v>
      </c>
      <c r="E5406" s="355" t="s">
        <v>17117</v>
      </c>
      <c r="F5406" s="1662">
        <v>60</v>
      </c>
    </row>
    <row r="5407" spans="1:6" ht="15" customHeight="1" x14ac:dyDescent="0.25">
      <c r="A5407" s="2352" t="s">
        <v>6615</v>
      </c>
      <c r="B5407" s="2352" t="s">
        <v>6542</v>
      </c>
      <c r="C5407" s="2352" t="s">
        <v>6542</v>
      </c>
      <c r="D5407" s="2352" t="s">
        <v>6682</v>
      </c>
      <c r="E5407" s="355" t="s">
        <v>17130</v>
      </c>
      <c r="F5407" s="1662">
        <v>50</v>
      </c>
    </row>
    <row r="5408" spans="1:6" ht="15" customHeight="1" x14ac:dyDescent="0.25">
      <c r="A5408" s="2352" t="s">
        <v>6615</v>
      </c>
      <c r="B5408" s="2352" t="s">
        <v>6542</v>
      </c>
      <c r="C5408" s="2352" t="s">
        <v>6542</v>
      </c>
      <c r="D5408" s="2352" t="s">
        <v>6683</v>
      </c>
      <c r="E5408" s="355" t="s">
        <v>17130</v>
      </c>
      <c r="F5408" s="1662">
        <v>30</v>
      </c>
    </row>
    <row r="5409" spans="1:6" ht="15" customHeight="1" x14ac:dyDescent="0.25">
      <c r="A5409" s="2352" t="s">
        <v>6615</v>
      </c>
      <c r="B5409" s="2352" t="s">
        <v>6542</v>
      </c>
      <c r="C5409" s="2352" t="s">
        <v>6542</v>
      </c>
      <c r="D5409" s="2352" t="s">
        <v>6684</v>
      </c>
      <c r="E5409" s="355" t="s">
        <v>17117</v>
      </c>
      <c r="F5409" s="1662">
        <v>40</v>
      </c>
    </row>
    <row r="5410" spans="1:6" ht="15" customHeight="1" x14ac:dyDescent="0.25">
      <c r="A5410" s="2352" t="s">
        <v>6615</v>
      </c>
      <c r="B5410" s="2352" t="s">
        <v>6542</v>
      </c>
      <c r="C5410" s="2352" t="s">
        <v>6542</v>
      </c>
      <c r="D5410" s="2352" t="s">
        <v>6685</v>
      </c>
      <c r="E5410" s="355" t="s">
        <v>17117</v>
      </c>
      <c r="F5410" s="1662">
        <v>60</v>
      </c>
    </row>
    <row r="5411" spans="1:6" ht="15" customHeight="1" x14ac:dyDescent="0.25">
      <c r="A5411" s="2352" t="s">
        <v>6615</v>
      </c>
      <c r="B5411" s="2352" t="s">
        <v>6542</v>
      </c>
      <c r="C5411" s="2352" t="s">
        <v>6542</v>
      </c>
      <c r="D5411" s="2352" t="s">
        <v>6686</v>
      </c>
      <c r="E5411" s="355" t="s">
        <v>17123</v>
      </c>
      <c r="F5411" s="1662">
        <v>25</v>
      </c>
    </row>
    <row r="5412" spans="1:6" ht="15" customHeight="1" x14ac:dyDescent="0.25">
      <c r="A5412" s="2352" t="s">
        <v>6615</v>
      </c>
      <c r="B5412" s="2352" t="s">
        <v>6542</v>
      </c>
      <c r="C5412" s="2352" t="s">
        <v>6542</v>
      </c>
      <c r="D5412" s="2352" t="s">
        <v>6687</v>
      </c>
      <c r="E5412" s="355" t="s">
        <v>17117</v>
      </c>
      <c r="F5412" s="1662">
        <v>29.5</v>
      </c>
    </row>
    <row r="5413" spans="1:6" ht="15" customHeight="1" x14ac:dyDescent="0.25">
      <c r="A5413" s="2352" t="s">
        <v>6615</v>
      </c>
      <c r="B5413" s="2352" t="s">
        <v>6542</v>
      </c>
      <c r="C5413" s="2352" t="s">
        <v>6542</v>
      </c>
      <c r="D5413" s="2352" t="s">
        <v>6688</v>
      </c>
      <c r="E5413" s="355" t="s">
        <v>17117</v>
      </c>
      <c r="F5413" s="1662">
        <v>20</v>
      </c>
    </row>
    <row r="5414" spans="1:6" ht="15" customHeight="1" x14ac:dyDescent="0.25">
      <c r="A5414" s="2352" t="s">
        <v>6615</v>
      </c>
      <c r="B5414" s="2352" t="s">
        <v>6542</v>
      </c>
      <c r="C5414" s="2352" t="s">
        <v>6542</v>
      </c>
      <c r="D5414" s="2352" t="s">
        <v>6689</v>
      </c>
      <c r="E5414" s="355" t="s">
        <v>17117</v>
      </c>
      <c r="F5414" s="1662">
        <v>60</v>
      </c>
    </row>
    <row r="5415" spans="1:6" ht="15" customHeight="1" x14ac:dyDescent="0.25">
      <c r="A5415" s="2352" t="s">
        <v>6615</v>
      </c>
      <c r="B5415" s="2352" t="s">
        <v>6542</v>
      </c>
      <c r="C5415" s="2352" t="s">
        <v>6542</v>
      </c>
      <c r="D5415" s="2352" t="s">
        <v>6690</v>
      </c>
      <c r="E5415" s="355" t="s">
        <v>17123</v>
      </c>
      <c r="F5415" s="1662">
        <v>60</v>
      </c>
    </row>
    <row r="5416" spans="1:6" ht="15" customHeight="1" x14ac:dyDescent="0.25">
      <c r="A5416" s="2352" t="s">
        <v>6691</v>
      </c>
      <c r="B5416" s="2352" t="s">
        <v>6542</v>
      </c>
      <c r="C5416" s="2352" t="s">
        <v>6542</v>
      </c>
      <c r="D5416" s="2352" t="s">
        <v>6692</v>
      </c>
      <c r="E5416" s="355" t="s">
        <v>17138</v>
      </c>
      <c r="F5416" s="1662">
        <v>5</v>
      </c>
    </row>
    <row r="5417" spans="1:6" ht="15" customHeight="1" x14ac:dyDescent="0.25">
      <c r="A5417" s="2352" t="s">
        <v>6693</v>
      </c>
      <c r="B5417" s="2352" t="s">
        <v>6542</v>
      </c>
      <c r="C5417" s="2352" t="s">
        <v>6542</v>
      </c>
      <c r="D5417" s="2352" t="s">
        <v>6694</v>
      </c>
      <c r="E5417" s="355" t="s">
        <v>17127</v>
      </c>
      <c r="F5417" s="1662">
        <v>30</v>
      </c>
    </row>
    <row r="5418" spans="1:6" ht="15" customHeight="1" x14ac:dyDescent="0.25">
      <c r="A5418" s="2352" t="s">
        <v>6695</v>
      </c>
      <c r="B5418" s="2352" t="s">
        <v>6542</v>
      </c>
      <c r="C5418" s="2352" t="s">
        <v>6542</v>
      </c>
      <c r="D5418" s="2352" t="s">
        <v>6696</v>
      </c>
      <c r="E5418" s="355" t="s">
        <v>17123</v>
      </c>
      <c r="F5418" s="1662">
        <v>20</v>
      </c>
    </row>
    <row r="5419" spans="1:6" ht="15" customHeight="1" x14ac:dyDescent="0.25">
      <c r="A5419" s="2352" t="s">
        <v>6695</v>
      </c>
      <c r="B5419" s="2352" t="s">
        <v>6542</v>
      </c>
      <c r="C5419" s="2352" t="s">
        <v>6542</v>
      </c>
      <c r="D5419" s="2352" t="s">
        <v>6697</v>
      </c>
      <c r="E5419" s="355" t="s">
        <v>17117</v>
      </c>
      <c r="F5419" s="1662">
        <v>60</v>
      </c>
    </row>
    <row r="5420" spans="1:6" ht="15" customHeight="1" x14ac:dyDescent="0.25">
      <c r="A5420" s="2352" t="s">
        <v>6698</v>
      </c>
      <c r="B5420" s="2352" t="s">
        <v>6542</v>
      </c>
      <c r="C5420" s="2352" t="s">
        <v>6542</v>
      </c>
      <c r="D5420" s="2352" t="s">
        <v>6699</v>
      </c>
      <c r="E5420" s="355" t="s">
        <v>17136</v>
      </c>
      <c r="F5420" s="1662">
        <v>5</v>
      </c>
    </row>
    <row r="5421" spans="1:6" ht="15" customHeight="1" x14ac:dyDescent="0.25">
      <c r="A5421" s="2352" t="s">
        <v>6698</v>
      </c>
      <c r="B5421" s="2352" t="s">
        <v>6542</v>
      </c>
      <c r="C5421" s="2352" t="s">
        <v>6542</v>
      </c>
      <c r="D5421" s="2352" t="s">
        <v>6700</v>
      </c>
      <c r="E5421" s="355" t="s">
        <v>17119</v>
      </c>
      <c r="F5421" s="1662">
        <v>30</v>
      </c>
    </row>
    <row r="5422" spans="1:6" ht="15" customHeight="1" x14ac:dyDescent="0.25">
      <c r="A5422" s="2352" t="s">
        <v>6701</v>
      </c>
      <c r="B5422" s="2352" t="s">
        <v>6542</v>
      </c>
      <c r="C5422" s="2352" t="s">
        <v>6542</v>
      </c>
      <c r="D5422" s="2352" t="s">
        <v>6702</v>
      </c>
      <c r="E5422" s="355" t="s">
        <v>17137</v>
      </c>
      <c r="F5422" s="1662">
        <v>2</v>
      </c>
    </row>
    <row r="5423" spans="1:6" ht="15" customHeight="1" x14ac:dyDescent="0.25">
      <c r="A5423" s="2352" t="s">
        <v>6703</v>
      </c>
      <c r="B5423" s="2352" t="s">
        <v>6542</v>
      </c>
      <c r="C5423" s="2352" t="s">
        <v>6542</v>
      </c>
      <c r="D5423" s="2352" t="s">
        <v>6704</v>
      </c>
      <c r="E5423" s="355" t="s">
        <v>17127</v>
      </c>
      <c r="F5423" s="1662">
        <v>20</v>
      </c>
    </row>
    <row r="5424" spans="1:6" ht="15" customHeight="1" x14ac:dyDescent="0.25">
      <c r="A5424" s="2352" t="s">
        <v>6705</v>
      </c>
      <c r="B5424" s="2352" t="s">
        <v>6542</v>
      </c>
      <c r="C5424" s="2352" t="s">
        <v>6542</v>
      </c>
      <c r="D5424" s="2352" t="s">
        <v>6706</v>
      </c>
      <c r="E5424" s="355" t="s">
        <v>17130</v>
      </c>
      <c r="F5424" s="1662">
        <v>40</v>
      </c>
    </row>
    <row r="5425" spans="1:6" ht="15" customHeight="1" x14ac:dyDescent="0.25">
      <c r="A5425" s="2352" t="s">
        <v>6705</v>
      </c>
      <c r="B5425" s="2352" t="s">
        <v>6542</v>
      </c>
      <c r="C5425" s="2352" t="s">
        <v>6542</v>
      </c>
      <c r="D5425" s="2352" t="s">
        <v>6707</v>
      </c>
      <c r="E5425" s="355" t="s">
        <v>17119</v>
      </c>
      <c r="F5425" s="1662">
        <v>25</v>
      </c>
    </row>
    <row r="5426" spans="1:6" ht="15" customHeight="1" x14ac:dyDescent="0.25">
      <c r="A5426" s="2352" t="s">
        <v>6708</v>
      </c>
      <c r="B5426" s="2352" t="s">
        <v>6542</v>
      </c>
      <c r="C5426" s="2352" t="s">
        <v>6542</v>
      </c>
      <c r="D5426" s="2352" t="s">
        <v>6709</v>
      </c>
      <c r="E5426" s="355" t="s">
        <v>17127</v>
      </c>
      <c r="F5426" s="1662">
        <v>20</v>
      </c>
    </row>
    <row r="5427" spans="1:6" ht="15" customHeight="1" x14ac:dyDescent="0.25">
      <c r="A5427" s="2352" t="s">
        <v>6710</v>
      </c>
      <c r="B5427" s="2352" t="s">
        <v>6542</v>
      </c>
      <c r="C5427" s="2352" t="s">
        <v>6542</v>
      </c>
      <c r="D5427" s="2352" t="s">
        <v>6711</v>
      </c>
      <c r="E5427" s="355" t="s">
        <v>17139</v>
      </c>
      <c r="F5427" s="1662">
        <v>10</v>
      </c>
    </row>
    <row r="5428" spans="1:6" ht="15" customHeight="1" x14ac:dyDescent="0.25">
      <c r="A5428" s="2352" t="s">
        <v>6712</v>
      </c>
      <c r="B5428" s="2352" t="s">
        <v>6542</v>
      </c>
      <c r="C5428" s="2352" t="s">
        <v>6542</v>
      </c>
      <c r="D5428" s="2352" t="s">
        <v>6713</v>
      </c>
      <c r="E5428" s="355" t="s">
        <v>17139</v>
      </c>
      <c r="F5428" s="1662">
        <v>10</v>
      </c>
    </row>
    <row r="5429" spans="1:6" ht="15" customHeight="1" x14ac:dyDescent="0.25">
      <c r="A5429" s="2352" t="s">
        <v>6714</v>
      </c>
      <c r="B5429" s="2352" t="s">
        <v>6542</v>
      </c>
      <c r="C5429" s="2352" t="s">
        <v>6542</v>
      </c>
      <c r="D5429" s="2352" t="s">
        <v>6715</v>
      </c>
      <c r="E5429" s="355" t="s">
        <v>17139</v>
      </c>
      <c r="F5429" s="1662">
        <v>12</v>
      </c>
    </row>
    <row r="5430" spans="1:6" ht="15" customHeight="1" x14ac:dyDescent="0.25">
      <c r="A5430" s="2352" t="s">
        <v>6716</v>
      </c>
      <c r="B5430" s="2352" t="s">
        <v>6542</v>
      </c>
      <c r="C5430" s="2352" t="s">
        <v>6542</v>
      </c>
      <c r="D5430" s="2352" t="s">
        <v>6717</v>
      </c>
      <c r="E5430" s="355" t="s">
        <v>17136</v>
      </c>
      <c r="F5430" s="1662">
        <v>9</v>
      </c>
    </row>
    <row r="5431" spans="1:6" ht="15" customHeight="1" x14ac:dyDescent="0.25">
      <c r="A5431" s="2352" t="s">
        <v>6718</v>
      </c>
      <c r="B5431" s="2352" t="s">
        <v>6542</v>
      </c>
      <c r="C5431" s="2352" t="s">
        <v>6542</v>
      </c>
      <c r="D5431" s="2352" t="s">
        <v>6719</v>
      </c>
      <c r="E5431" s="355" t="s">
        <v>17135</v>
      </c>
      <c r="F5431" s="1662">
        <v>5</v>
      </c>
    </row>
    <row r="5432" spans="1:6" ht="15" customHeight="1" x14ac:dyDescent="0.25">
      <c r="A5432" s="2352" t="s">
        <v>6720</v>
      </c>
      <c r="B5432" s="2352" t="s">
        <v>6542</v>
      </c>
      <c r="C5432" s="2352" t="s">
        <v>6542</v>
      </c>
      <c r="D5432" s="2352" t="s">
        <v>6721</v>
      </c>
      <c r="E5432" s="355" t="s">
        <v>17117</v>
      </c>
      <c r="F5432" s="1662">
        <v>60</v>
      </c>
    </row>
    <row r="5433" spans="1:6" ht="15" customHeight="1" x14ac:dyDescent="0.25">
      <c r="A5433" s="2352" t="s">
        <v>6722</v>
      </c>
      <c r="B5433" s="2352" t="s">
        <v>6542</v>
      </c>
      <c r="C5433" s="2352" t="s">
        <v>6542</v>
      </c>
      <c r="D5433" s="2352" t="s">
        <v>6723</v>
      </c>
      <c r="E5433" s="355" t="s">
        <v>17123</v>
      </c>
      <c r="F5433" s="1662">
        <v>30</v>
      </c>
    </row>
    <row r="5434" spans="1:6" ht="15" customHeight="1" x14ac:dyDescent="0.25">
      <c r="A5434" s="2352" t="s">
        <v>6724</v>
      </c>
      <c r="B5434" s="2352" t="s">
        <v>6542</v>
      </c>
      <c r="C5434" s="2352" t="s">
        <v>6542</v>
      </c>
      <c r="D5434" s="2352" t="s">
        <v>6725</v>
      </c>
      <c r="E5434" s="355" t="s">
        <v>17136</v>
      </c>
      <c r="F5434" s="1662">
        <v>5</v>
      </c>
    </row>
    <row r="5435" spans="1:6" ht="15" customHeight="1" x14ac:dyDescent="0.25">
      <c r="A5435" s="2352" t="s">
        <v>6726</v>
      </c>
      <c r="B5435" s="2352" t="s">
        <v>6542</v>
      </c>
      <c r="C5435" s="2352" t="s">
        <v>6542</v>
      </c>
      <c r="D5435" s="2352" t="s">
        <v>6727</v>
      </c>
      <c r="E5435" s="355" t="s">
        <v>17127</v>
      </c>
      <c r="F5435" s="1662">
        <v>40</v>
      </c>
    </row>
    <row r="5436" spans="1:6" ht="15" customHeight="1" x14ac:dyDescent="0.25">
      <c r="A5436" s="2352" t="s">
        <v>6728</v>
      </c>
      <c r="B5436" s="2352" t="s">
        <v>6542</v>
      </c>
      <c r="C5436" s="2352" t="s">
        <v>6542</v>
      </c>
      <c r="D5436" s="2352" t="s">
        <v>6729</v>
      </c>
      <c r="E5436" s="355" t="s">
        <v>17130</v>
      </c>
      <c r="F5436" s="1662">
        <v>50</v>
      </c>
    </row>
    <row r="5437" spans="1:6" ht="15" customHeight="1" x14ac:dyDescent="0.25">
      <c r="A5437" s="2352" t="s">
        <v>6730</v>
      </c>
      <c r="B5437" s="2352" t="s">
        <v>6542</v>
      </c>
      <c r="C5437" s="2352" t="s">
        <v>6542</v>
      </c>
      <c r="D5437" s="2352" t="s">
        <v>6731</v>
      </c>
      <c r="E5437" s="355" t="s">
        <v>17117</v>
      </c>
      <c r="F5437" s="1662">
        <v>60</v>
      </c>
    </row>
    <row r="5438" spans="1:6" ht="15" customHeight="1" x14ac:dyDescent="0.25">
      <c r="A5438" s="2352" t="s">
        <v>6730</v>
      </c>
      <c r="B5438" s="2352" t="s">
        <v>6542</v>
      </c>
      <c r="C5438" s="2352" t="s">
        <v>6542</v>
      </c>
      <c r="D5438" s="2352" t="s">
        <v>6732</v>
      </c>
      <c r="E5438" s="355" t="s">
        <v>17130</v>
      </c>
      <c r="F5438" s="1662">
        <v>60</v>
      </c>
    </row>
    <row r="5439" spans="1:6" ht="15" customHeight="1" x14ac:dyDescent="0.25">
      <c r="A5439" s="2352" t="s">
        <v>6730</v>
      </c>
      <c r="B5439" s="2352" t="s">
        <v>6542</v>
      </c>
      <c r="C5439" s="2352" t="s">
        <v>6542</v>
      </c>
      <c r="D5439" s="2352" t="s">
        <v>6733</v>
      </c>
      <c r="E5439" s="355" t="s">
        <v>17117</v>
      </c>
      <c r="F5439" s="1662">
        <v>60</v>
      </c>
    </row>
    <row r="5440" spans="1:6" ht="15" customHeight="1" x14ac:dyDescent="0.25">
      <c r="A5440" s="2352" t="s">
        <v>6730</v>
      </c>
      <c r="B5440" s="2352" t="s">
        <v>6542</v>
      </c>
      <c r="C5440" s="2352" t="s">
        <v>6542</v>
      </c>
      <c r="D5440" s="2352" t="s">
        <v>6734</v>
      </c>
      <c r="E5440" s="355" t="s">
        <v>17117</v>
      </c>
      <c r="F5440" s="1662">
        <v>60</v>
      </c>
    </row>
    <row r="5441" spans="1:6" ht="15" customHeight="1" x14ac:dyDescent="0.25">
      <c r="A5441" s="2352" t="s">
        <v>6735</v>
      </c>
      <c r="B5441" s="2352" t="s">
        <v>6542</v>
      </c>
      <c r="C5441" s="2352" t="s">
        <v>6542</v>
      </c>
      <c r="D5441" s="2352" t="s">
        <v>6736</v>
      </c>
      <c r="E5441" s="355" t="s">
        <v>17139</v>
      </c>
      <c r="F5441" s="1662">
        <v>10</v>
      </c>
    </row>
    <row r="5442" spans="1:6" ht="15" customHeight="1" x14ac:dyDescent="0.25">
      <c r="A5442" s="2352" t="s">
        <v>6737</v>
      </c>
      <c r="B5442" s="2352" t="s">
        <v>6542</v>
      </c>
      <c r="C5442" s="2352" t="s">
        <v>6542</v>
      </c>
      <c r="D5442" s="2352" t="s">
        <v>6738</v>
      </c>
      <c r="E5442" s="355" t="s">
        <v>17123</v>
      </c>
      <c r="F5442" s="1662">
        <v>30</v>
      </c>
    </row>
    <row r="5443" spans="1:6" ht="15" customHeight="1" x14ac:dyDescent="0.25">
      <c r="A5443" s="2352" t="s">
        <v>6739</v>
      </c>
      <c r="B5443" s="2352" t="s">
        <v>6542</v>
      </c>
      <c r="C5443" s="2352" t="s">
        <v>6542</v>
      </c>
      <c r="D5443" s="2352" t="s">
        <v>6740</v>
      </c>
      <c r="E5443" s="355" t="s">
        <v>17123</v>
      </c>
      <c r="F5443" s="1662">
        <v>20</v>
      </c>
    </row>
    <row r="5444" spans="1:6" ht="15" customHeight="1" x14ac:dyDescent="0.25">
      <c r="A5444" s="2352" t="s">
        <v>6739</v>
      </c>
      <c r="B5444" s="2352" t="s">
        <v>6542</v>
      </c>
      <c r="C5444" s="2352" t="s">
        <v>6542</v>
      </c>
      <c r="D5444" s="2352" t="s">
        <v>6741</v>
      </c>
      <c r="E5444" s="355" t="s">
        <v>17130</v>
      </c>
      <c r="F5444" s="1662">
        <v>150</v>
      </c>
    </row>
    <row r="5445" spans="1:6" ht="15" customHeight="1" x14ac:dyDescent="0.25">
      <c r="A5445" s="2352" t="s">
        <v>6739</v>
      </c>
      <c r="B5445" s="2352" t="s">
        <v>6542</v>
      </c>
      <c r="C5445" s="2352" t="s">
        <v>6542</v>
      </c>
      <c r="D5445" s="2352" t="s">
        <v>6742</v>
      </c>
      <c r="E5445" s="355" t="s">
        <v>17130</v>
      </c>
      <c r="F5445" s="1662">
        <v>150</v>
      </c>
    </row>
    <row r="5446" spans="1:6" ht="15" customHeight="1" x14ac:dyDescent="0.25">
      <c r="A5446" s="2352" t="s">
        <v>6743</v>
      </c>
      <c r="B5446" s="2352" t="s">
        <v>6542</v>
      </c>
      <c r="C5446" s="2352" t="s">
        <v>6542</v>
      </c>
      <c r="D5446" s="2352" t="s">
        <v>6744</v>
      </c>
      <c r="E5446" s="355" t="s">
        <v>17127</v>
      </c>
      <c r="F5446" s="1662">
        <v>10</v>
      </c>
    </row>
    <row r="5447" spans="1:6" ht="15" customHeight="1" x14ac:dyDescent="0.25">
      <c r="A5447" s="2352" t="s">
        <v>6745</v>
      </c>
      <c r="B5447" s="2352" t="s">
        <v>6542</v>
      </c>
      <c r="C5447" s="2352" t="s">
        <v>6542</v>
      </c>
      <c r="D5447" s="2352" t="s">
        <v>6746</v>
      </c>
      <c r="E5447" s="355" t="s">
        <v>17136</v>
      </c>
      <c r="F5447" s="1662">
        <v>10</v>
      </c>
    </row>
    <row r="5448" spans="1:6" ht="15" customHeight="1" x14ac:dyDescent="0.25">
      <c r="A5448" s="2352" t="s">
        <v>6747</v>
      </c>
      <c r="B5448" s="2352" t="s">
        <v>6542</v>
      </c>
      <c r="C5448" s="2352" t="s">
        <v>6542</v>
      </c>
      <c r="D5448" s="2352" t="s">
        <v>6748</v>
      </c>
      <c r="E5448" s="355" t="s">
        <v>17123</v>
      </c>
      <c r="F5448" s="1662">
        <v>50</v>
      </c>
    </row>
    <row r="5449" spans="1:6" ht="15" customHeight="1" x14ac:dyDescent="0.25">
      <c r="A5449" s="2352" t="s">
        <v>6749</v>
      </c>
      <c r="B5449" s="2352" t="s">
        <v>6542</v>
      </c>
      <c r="C5449" s="2352" t="s">
        <v>6542</v>
      </c>
      <c r="D5449" s="2352" t="s">
        <v>6750</v>
      </c>
      <c r="E5449" s="355" t="s">
        <v>17127</v>
      </c>
      <c r="F5449" s="1662">
        <v>10</v>
      </c>
    </row>
    <row r="5450" spans="1:6" ht="15" customHeight="1" x14ac:dyDescent="0.25">
      <c r="A5450" s="2352" t="s">
        <v>6751</v>
      </c>
      <c r="B5450" s="2352" t="s">
        <v>6542</v>
      </c>
      <c r="C5450" s="2352" t="s">
        <v>6542</v>
      </c>
      <c r="D5450" s="2352" t="s">
        <v>6752</v>
      </c>
      <c r="E5450" s="355" t="s">
        <v>17136</v>
      </c>
      <c r="F5450" s="1662">
        <v>5</v>
      </c>
    </row>
    <row r="5451" spans="1:6" ht="15" customHeight="1" x14ac:dyDescent="0.25">
      <c r="A5451" s="2352" t="s">
        <v>6753</v>
      </c>
      <c r="B5451" s="2352" t="s">
        <v>6542</v>
      </c>
      <c r="C5451" s="2352" t="s">
        <v>6542</v>
      </c>
      <c r="D5451" s="2352" t="s">
        <v>6754</v>
      </c>
      <c r="E5451" s="355" t="s">
        <v>17135</v>
      </c>
      <c r="F5451" s="1662">
        <v>5</v>
      </c>
    </row>
    <row r="5452" spans="1:6" ht="15" customHeight="1" x14ac:dyDescent="0.25">
      <c r="A5452" s="2352" t="s">
        <v>6755</v>
      </c>
      <c r="B5452" s="2352" t="s">
        <v>6542</v>
      </c>
      <c r="C5452" s="2352" t="s">
        <v>6542</v>
      </c>
      <c r="D5452" s="2352" t="s">
        <v>6756</v>
      </c>
      <c r="E5452" s="355" t="s">
        <v>17117</v>
      </c>
      <c r="F5452" s="1662">
        <v>60</v>
      </c>
    </row>
    <row r="5453" spans="1:6" ht="15" customHeight="1" x14ac:dyDescent="0.25">
      <c r="A5453" s="2352" t="s">
        <v>6757</v>
      </c>
      <c r="B5453" s="2352" t="s">
        <v>6542</v>
      </c>
      <c r="C5453" s="2352" t="s">
        <v>6542</v>
      </c>
      <c r="D5453" s="2352" t="s">
        <v>6758</v>
      </c>
      <c r="E5453" s="355" t="s">
        <v>17123</v>
      </c>
      <c r="F5453" s="1662">
        <v>30</v>
      </c>
    </row>
    <row r="5454" spans="1:6" ht="15" customHeight="1" x14ac:dyDescent="0.25">
      <c r="A5454" s="2352" t="s">
        <v>6451</v>
      </c>
      <c r="B5454" s="2352" t="s">
        <v>6542</v>
      </c>
      <c r="C5454" s="2352" t="s">
        <v>6542</v>
      </c>
      <c r="D5454" s="2352" t="s">
        <v>6759</v>
      </c>
      <c r="E5454" s="355" t="s">
        <v>17135</v>
      </c>
      <c r="F5454" s="1662">
        <v>5</v>
      </c>
    </row>
    <row r="5455" spans="1:6" ht="15" customHeight="1" x14ac:dyDescent="0.25">
      <c r="A5455" s="2352" t="s">
        <v>6760</v>
      </c>
      <c r="B5455" s="2352" t="s">
        <v>6542</v>
      </c>
      <c r="C5455" s="2352" t="s">
        <v>6542</v>
      </c>
      <c r="D5455" s="2352" t="s">
        <v>6761</v>
      </c>
      <c r="E5455" s="355" t="s">
        <v>17136</v>
      </c>
      <c r="F5455" s="1662">
        <v>5</v>
      </c>
    </row>
    <row r="5456" spans="1:6" ht="15" customHeight="1" x14ac:dyDescent="0.25">
      <c r="A5456" s="2352" t="s">
        <v>6762</v>
      </c>
      <c r="B5456" s="2352" t="s">
        <v>6542</v>
      </c>
      <c r="C5456" s="2352" t="s">
        <v>6542</v>
      </c>
      <c r="D5456" s="2352" t="s">
        <v>6763</v>
      </c>
      <c r="E5456" s="355" t="s">
        <v>17136</v>
      </c>
      <c r="F5456" s="1662">
        <v>5</v>
      </c>
    </row>
    <row r="5457" spans="1:6" ht="15" customHeight="1" x14ac:dyDescent="0.25">
      <c r="A5457" s="2352" t="s">
        <v>6764</v>
      </c>
      <c r="B5457" s="2352" t="s">
        <v>6542</v>
      </c>
      <c r="C5457" s="2352" t="s">
        <v>6542</v>
      </c>
      <c r="D5457" s="2352" t="s">
        <v>6765</v>
      </c>
      <c r="E5457" s="355" t="s">
        <v>17127</v>
      </c>
      <c r="F5457" s="1662">
        <v>40</v>
      </c>
    </row>
    <row r="5458" spans="1:6" ht="15" customHeight="1" x14ac:dyDescent="0.25">
      <c r="A5458" s="2352" t="s">
        <v>6764</v>
      </c>
      <c r="B5458" s="2352" t="s">
        <v>6542</v>
      </c>
      <c r="C5458" s="2352" t="s">
        <v>6542</v>
      </c>
      <c r="D5458" s="2352" t="s">
        <v>6766</v>
      </c>
      <c r="E5458" s="355" t="s">
        <v>17123</v>
      </c>
      <c r="F5458" s="1662">
        <v>10</v>
      </c>
    </row>
    <row r="5459" spans="1:6" ht="15" customHeight="1" x14ac:dyDescent="0.25">
      <c r="A5459" s="2352" t="s">
        <v>6767</v>
      </c>
      <c r="B5459" s="2352" t="s">
        <v>6542</v>
      </c>
      <c r="C5459" s="2352" t="s">
        <v>6542</v>
      </c>
      <c r="D5459" s="2352" t="s">
        <v>6768</v>
      </c>
      <c r="E5459" s="355" t="s">
        <v>17130</v>
      </c>
      <c r="F5459" s="1662">
        <v>100</v>
      </c>
    </row>
    <row r="5460" spans="1:6" ht="15" customHeight="1" x14ac:dyDescent="0.25">
      <c r="A5460" s="2352" t="s">
        <v>6767</v>
      </c>
      <c r="B5460" s="2352" t="s">
        <v>6542</v>
      </c>
      <c r="C5460" s="2352" t="s">
        <v>6542</v>
      </c>
      <c r="D5460" s="2352" t="s">
        <v>6769</v>
      </c>
      <c r="E5460" s="355" t="s">
        <v>17117</v>
      </c>
      <c r="F5460" s="1662">
        <v>60</v>
      </c>
    </row>
    <row r="5461" spans="1:6" ht="15" customHeight="1" x14ac:dyDescent="0.25">
      <c r="A5461" s="2352" t="s">
        <v>6767</v>
      </c>
      <c r="B5461" s="2352" t="s">
        <v>6542</v>
      </c>
      <c r="C5461" s="2352" t="s">
        <v>6542</v>
      </c>
      <c r="D5461" s="2352" t="s">
        <v>6770</v>
      </c>
      <c r="E5461" s="355" t="s">
        <v>17121</v>
      </c>
      <c r="F5461" s="1662">
        <v>200</v>
      </c>
    </row>
    <row r="5462" spans="1:6" ht="15" customHeight="1" x14ac:dyDescent="0.25">
      <c r="A5462" s="2352" t="s">
        <v>6767</v>
      </c>
      <c r="B5462" s="2352" t="s">
        <v>6542</v>
      </c>
      <c r="C5462" s="2352" t="s">
        <v>6542</v>
      </c>
      <c r="D5462" s="2352" t="s">
        <v>6771</v>
      </c>
      <c r="E5462" s="355" t="s">
        <v>17121</v>
      </c>
      <c r="F5462" s="1662">
        <v>300</v>
      </c>
    </row>
    <row r="5463" spans="1:6" ht="15" customHeight="1" x14ac:dyDescent="0.25">
      <c r="A5463" s="2352" t="s">
        <v>4033</v>
      </c>
      <c r="B5463" s="2352" t="s">
        <v>6542</v>
      </c>
      <c r="C5463" s="2352" t="s">
        <v>6542</v>
      </c>
      <c r="D5463" s="2352" t="s">
        <v>6772</v>
      </c>
      <c r="E5463" s="355" t="s">
        <v>17136</v>
      </c>
      <c r="F5463" s="1662">
        <v>20</v>
      </c>
    </row>
    <row r="5464" spans="1:6" ht="15" customHeight="1" x14ac:dyDescent="0.25">
      <c r="A5464" s="2352" t="s">
        <v>6773</v>
      </c>
      <c r="B5464" s="2352" t="s">
        <v>6542</v>
      </c>
      <c r="C5464" s="2352" t="s">
        <v>6542</v>
      </c>
      <c r="D5464" s="2352" t="s">
        <v>6774</v>
      </c>
      <c r="E5464" s="355" t="s">
        <v>17117</v>
      </c>
      <c r="F5464" s="1662">
        <v>60</v>
      </c>
    </row>
    <row r="5465" spans="1:6" ht="15" customHeight="1" x14ac:dyDescent="0.25">
      <c r="A5465" s="2352" t="s">
        <v>6773</v>
      </c>
      <c r="B5465" s="2352" t="s">
        <v>6542</v>
      </c>
      <c r="C5465" s="2352" t="s">
        <v>6542</v>
      </c>
      <c r="D5465" s="2352" t="s">
        <v>6775</v>
      </c>
      <c r="E5465" s="355" t="s">
        <v>17117</v>
      </c>
      <c r="F5465" s="1662">
        <v>100</v>
      </c>
    </row>
    <row r="5466" spans="1:6" ht="15" customHeight="1" x14ac:dyDescent="0.25">
      <c r="A5466" s="2352" t="s">
        <v>6773</v>
      </c>
      <c r="B5466" s="2352" t="s">
        <v>6542</v>
      </c>
      <c r="C5466" s="2352" t="s">
        <v>6542</v>
      </c>
      <c r="D5466" s="2352" t="s">
        <v>6776</v>
      </c>
      <c r="E5466" s="355" t="s">
        <v>18615</v>
      </c>
      <c r="F5466" s="1662">
        <v>100</v>
      </c>
    </row>
    <row r="5467" spans="1:6" ht="15" customHeight="1" x14ac:dyDescent="0.25">
      <c r="A5467" s="2352" t="s">
        <v>6773</v>
      </c>
      <c r="B5467" s="2352" t="s">
        <v>6542</v>
      </c>
      <c r="C5467" s="2352" t="s">
        <v>6542</v>
      </c>
      <c r="D5467" s="2352" t="s">
        <v>6777</v>
      </c>
      <c r="E5467" s="355" t="s">
        <v>17117</v>
      </c>
      <c r="F5467" s="1662">
        <v>60</v>
      </c>
    </row>
    <row r="5468" spans="1:6" ht="15" customHeight="1" x14ac:dyDescent="0.25">
      <c r="A5468" s="2352" t="s">
        <v>6773</v>
      </c>
      <c r="B5468" s="2352" t="s">
        <v>6542</v>
      </c>
      <c r="C5468" s="2352" t="s">
        <v>6542</v>
      </c>
      <c r="D5468" s="2352" t="s">
        <v>6778</v>
      </c>
      <c r="E5468" s="355" t="s">
        <v>17123</v>
      </c>
      <c r="F5468" s="1662">
        <v>50</v>
      </c>
    </row>
    <row r="5469" spans="1:6" ht="15" customHeight="1" x14ac:dyDescent="0.25">
      <c r="A5469" s="2352" t="s">
        <v>4547</v>
      </c>
      <c r="B5469" s="2352" t="s">
        <v>6542</v>
      </c>
      <c r="C5469" s="2352" t="s">
        <v>6542</v>
      </c>
      <c r="D5469" s="2352" t="s">
        <v>6779</v>
      </c>
      <c r="E5469" s="355" t="s">
        <v>17130</v>
      </c>
      <c r="F5469" s="1662">
        <v>130</v>
      </c>
    </row>
    <row r="5470" spans="1:6" ht="15" customHeight="1" x14ac:dyDescent="0.25">
      <c r="A5470" s="2352" t="s">
        <v>4547</v>
      </c>
      <c r="B5470" s="2352" t="s">
        <v>6542</v>
      </c>
      <c r="C5470" s="2352" t="s">
        <v>6542</v>
      </c>
      <c r="D5470" s="2352" t="s">
        <v>6780</v>
      </c>
      <c r="E5470" s="355" t="s">
        <v>17117</v>
      </c>
      <c r="F5470" s="1662">
        <v>60</v>
      </c>
    </row>
    <row r="5471" spans="1:6" ht="15" customHeight="1" x14ac:dyDescent="0.25">
      <c r="A5471" s="2352" t="s">
        <v>6781</v>
      </c>
      <c r="B5471" s="2352" t="s">
        <v>6542</v>
      </c>
      <c r="C5471" s="2352" t="s">
        <v>6542</v>
      </c>
      <c r="D5471" s="2352" t="s">
        <v>6782</v>
      </c>
      <c r="E5471" s="355" t="s">
        <v>17119</v>
      </c>
      <c r="F5471" s="1662">
        <v>40</v>
      </c>
    </row>
    <row r="5472" spans="1:6" ht="15" customHeight="1" x14ac:dyDescent="0.25">
      <c r="A5472" s="2352" t="s">
        <v>6783</v>
      </c>
      <c r="B5472" s="2352" t="s">
        <v>6542</v>
      </c>
      <c r="C5472" s="2352" t="s">
        <v>6542</v>
      </c>
      <c r="D5472" s="2352" t="s">
        <v>6784</v>
      </c>
      <c r="E5472" s="355" t="s">
        <v>17127</v>
      </c>
      <c r="F5472" s="1662">
        <v>30</v>
      </c>
    </row>
    <row r="5473" spans="1:6" ht="15" customHeight="1" x14ac:dyDescent="0.25">
      <c r="A5473" s="2352" t="s">
        <v>4007</v>
      </c>
      <c r="B5473" s="2352" t="s">
        <v>6542</v>
      </c>
      <c r="C5473" s="2352" t="s">
        <v>6542</v>
      </c>
      <c r="D5473" s="2352" t="s">
        <v>6785</v>
      </c>
      <c r="E5473" s="355" t="s">
        <v>17136</v>
      </c>
      <c r="F5473" s="1662">
        <v>10</v>
      </c>
    </row>
    <row r="5474" spans="1:6" ht="15" customHeight="1" x14ac:dyDescent="0.25">
      <c r="A5474" s="2352" t="s">
        <v>6786</v>
      </c>
      <c r="B5474" s="2352" t="s">
        <v>6542</v>
      </c>
      <c r="C5474" s="2352" t="s">
        <v>6542</v>
      </c>
      <c r="D5474" s="2352" t="s">
        <v>6787</v>
      </c>
      <c r="E5474" s="355" t="s">
        <v>17117</v>
      </c>
      <c r="F5474" s="1662">
        <v>60</v>
      </c>
    </row>
    <row r="5475" spans="1:6" ht="15" customHeight="1" x14ac:dyDescent="0.25">
      <c r="A5475" s="2352" t="s">
        <v>6788</v>
      </c>
      <c r="B5475" s="2352" t="s">
        <v>6542</v>
      </c>
      <c r="C5475" s="2352" t="s">
        <v>6542</v>
      </c>
      <c r="D5475" s="2352" t="s">
        <v>6789</v>
      </c>
      <c r="E5475" s="355" t="s">
        <v>17117</v>
      </c>
      <c r="F5475" s="1662">
        <v>50</v>
      </c>
    </row>
    <row r="5476" spans="1:6" ht="15" customHeight="1" x14ac:dyDescent="0.25">
      <c r="A5476" s="2352" t="s">
        <v>6790</v>
      </c>
      <c r="B5476" s="2352" t="s">
        <v>6542</v>
      </c>
      <c r="C5476" s="2352" t="s">
        <v>6542</v>
      </c>
      <c r="D5476" s="2352" t="s">
        <v>6791</v>
      </c>
      <c r="E5476" s="355" t="s">
        <v>17123</v>
      </c>
      <c r="F5476" s="1662">
        <v>50</v>
      </c>
    </row>
    <row r="5477" spans="1:6" ht="15" customHeight="1" x14ac:dyDescent="0.25">
      <c r="A5477" s="2352" t="s">
        <v>6790</v>
      </c>
      <c r="B5477" s="2352" t="s">
        <v>6542</v>
      </c>
      <c r="C5477" s="2352" t="s">
        <v>6542</v>
      </c>
      <c r="D5477" s="2352" t="s">
        <v>6792</v>
      </c>
      <c r="E5477" s="355" t="s">
        <v>17130</v>
      </c>
      <c r="F5477" s="1662">
        <v>100</v>
      </c>
    </row>
    <row r="5478" spans="1:6" ht="15" customHeight="1" x14ac:dyDescent="0.25">
      <c r="A5478" s="2352" t="s">
        <v>6793</v>
      </c>
      <c r="B5478" s="2352" t="s">
        <v>6542</v>
      </c>
      <c r="C5478" s="2352" t="s">
        <v>6542</v>
      </c>
      <c r="D5478" s="2352" t="s">
        <v>6794</v>
      </c>
      <c r="E5478" s="355" t="s">
        <v>17127</v>
      </c>
      <c r="F5478" s="1662">
        <v>20</v>
      </c>
    </row>
    <row r="5479" spans="1:6" ht="15" customHeight="1" x14ac:dyDescent="0.25">
      <c r="A5479" s="2352" t="s">
        <v>6795</v>
      </c>
      <c r="B5479" s="2352" t="s">
        <v>6542</v>
      </c>
      <c r="C5479" s="2352" t="s">
        <v>6542</v>
      </c>
      <c r="D5479" s="2352" t="s">
        <v>6796</v>
      </c>
      <c r="E5479" s="355" t="s">
        <v>17136</v>
      </c>
      <c r="F5479" s="1662">
        <v>5</v>
      </c>
    </row>
    <row r="5480" spans="1:6" ht="15" customHeight="1" x14ac:dyDescent="0.25">
      <c r="A5480" s="2352" t="s">
        <v>6795</v>
      </c>
      <c r="B5480" s="2352" t="s">
        <v>6542</v>
      </c>
      <c r="C5480" s="2352" t="s">
        <v>6542</v>
      </c>
      <c r="D5480" s="2352" t="s">
        <v>6797</v>
      </c>
      <c r="E5480" s="355" t="s">
        <v>17127</v>
      </c>
      <c r="F5480" s="1662">
        <v>20</v>
      </c>
    </row>
    <row r="5481" spans="1:6" ht="15" customHeight="1" x14ac:dyDescent="0.25">
      <c r="A5481" s="2352" t="s">
        <v>6798</v>
      </c>
      <c r="B5481" s="2352" t="s">
        <v>6542</v>
      </c>
      <c r="C5481" s="2352" t="s">
        <v>6542</v>
      </c>
      <c r="D5481" s="2352" t="s">
        <v>6799</v>
      </c>
      <c r="E5481" s="355" t="s">
        <v>17117</v>
      </c>
      <c r="F5481" s="1662">
        <v>60</v>
      </c>
    </row>
    <row r="5482" spans="1:6" ht="15" customHeight="1" x14ac:dyDescent="0.25">
      <c r="A5482" s="2352" t="s">
        <v>6798</v>
      </c>
      <c r="B5482" s="2352" t="s">
        <v>6542</v>
      </c>
      <c r="C5482" s="2352" t="s">
        <v>6542</v>
      </c>
      <c r="D5482" s="2352" t="s">
        <v>6800</v>
      </c>
      <c r="E5482" s="355" t="s">
        <v>17123</v>
      </c>
      <c r="F5482" s="1662">
        <v>20</v>
      </c>
    </row>
    <row r="5483" spans="1:6" ht="15" customHeight="1" x14ac:dyDescent="0.25">
      <c r="A5483" s="2352" t="s">
        <v>6798</v>
      </c>
      <c r="B5483" s="2352" t="s">
        <v>6542</v>
      </c>
      <c r="C5483" s="2352" t="s">
        <v>6542</v>
      </c>
      <c r="D5483" s="2352" t="s">
        <v>6801</v>
      </c>
      <c r="E5483" s="355" t="s">
        <v>17117</v>
      </c>
      <c r="F5483" s="1662">
        <v>60</v>
      </c>
    </row>
    <row r="5484" spans="1:6" ht="15" customHeight="1" x14ac:dyDescent="0.25">
      <c r="A5484" s="2352" t="s">
        <v>6802</v>
      </c>
      <c r="B5484" s="2352" t="s">
        <v>6542</v>
      </c>
      <c r="C5484" s="2352" t="s">
        <v>6542</v>
      </c>
      <c r="D5484" s="2352" t="s">
        <v>6803</v>
      </c>
      <c r="E5484" s="355" t="s">
        <v>17127</v>
      </c>
      <c r="F5484" s="1662">
        <v>20</v>
      </c>
    </row>
    <row r="5485" spans="1:6" ht="15" customHeight="1" x14ac:dyDescent="0.25">
      <c r="A5485" s="2352" t="s">
        <v>6802</v>
      </c>
      <c r="B5485" s="2352" t="s">
        <v>6542</v>
      </c>
      <c r="C5485" s="2352" t="s">
        <v>6542</v>
      </c>
      <c r="D5485" s="2352" t="s">
        <v>6804</v>
      </c>
      <c r="E5485" s="355" t="s">
        <v>17127</v>
      </c>
      <c r="F5485" s="1662">
        <v>20</v>
      </c>
    </row>
    <row r="5486" spans="1:6" ht="15" customHeight="1" x14ac:dyDescent="0.25">
      <c r="A5486" s="2352" t="s">
        <v>4349</v>
      </c>
      <c r="B5486" s="2352" t="s">
        <v>6542</v>
      </c>
      <c r="C5486" s="2352" t="s">
        <v>6542</v>
      </c>
      <c r="D5486" s="2352" t="s">
        <v>6805</v>
      </c>
      <c r="E5486" s="355" t="s">
        <v>17136</v>
      </c>
      <c r="F5486" s="1662">
        <v>10</v>
      </c>
    </row>
    <row r="5487" spans="1:6" ht="15" customHeight="1" x14ac:dyDescent="0.25">
      <c r="A5487" s="2352" t="s">
        <v>6806</v>
      </c>
      <c r="B5487" s="2352" t="s">
        <v>6542</v>
      </c>
      <c r="C5487" s="2352" t="s">
        <v>6542</v>
      </c>
      <c r="D5487" s="2352" t="s">
        <v>6807</v>
      </c>
      <c r="E5487" s="355" t="s">
        <v>17139</v>
      </c>
      <c r="F5487" s="1662">
        <v>5</v>
      </c>
    </row>
    <row r="5488" spans="1:6" ht="15" customHeight="1" x14ac:dyDescent="0.25">
      <c r="A5488" s="2352" t="s">
        <v>6808</v>
      </c>
      <c r="B5488" s="2352" t="s">
        <v>6542</v>
      </c>
      <c r="C5488" s="2352" t="s">
        <v>6542</v>
      </c>
      <c r="D5488" s="2352" t="s">
        <v>6809</v>
      </c>
      <c r="E5488" s="355" t="s">
        <v>17119</v>
      </c>
      <c r="F5488" s="1662">
        <v>20</v>
      </c>
    </row>
    <row r="5489" spans="1:6" ht="15" customHeight="1" x14ac:dyDescent="0.25">
      <c r="A5489" s="2352" t="s">
        <v>6810</v>
      </c>
      <c r="B5489" s="2352" t="s">
        <v>6542</v>
      </c>
      <c r="C5489" s="2352" t="s">
        <v>6542</v>
      </c>
      <c r="D5489" s="2352" t="s">
        <v>6811</v>
      </c>
      <c r="E5489" s="355" t="s">
        <v>17123</v>
      </c>
      <c r="F5489" s="1662">
        <v>30</v>
      </c>
    </row>
    <row r="5490" spans="1:6" ht="15" customHeight="1" x14ac:dyDescent="0.25">
      <c r="A5490" s="2352" t="s">
        <v>6812</v>
      </c>
      <c r="B5490" s="2352" t="s">
        <v>6542</v>
      </c>
      <c r="C5490" s="2352" t="s">
        <v>6542</v>
      </c>
      <c r="D5490" s="2352" t="s">
        <v>6813</v>
      </c>
      <c r="E5490" s="355" t="s">
        <v>17136</v>
      </c>
      <c r="F5490" s="1662">
        <v>5</v>
      </c>
    </row>
    <row r="5491" spans="1:6" ht="15" customHeight="1" x14ac:dyDescent="0.25">
      <c r="A5491" s="2352" t="s">
        <v>6814</v>
      </c>
      <c r="B5491" s="2352" t="s">
        <v>6542</v>
      </c>
      <c r="C5491" s="2352" t="s">
        <v>6542</v>
      </c>
      <c r="D5491" s="2352" t="s">
        <v>6815</v>
      </c>
      <c r="E5491" s="355" t="s">
        <v>17127</v>
      </c>
      <c r="F5491" s="1662">
        <v>20</v>
      </c>
    </row>
    <row r="5492" spans="1:6" ht="15" customHeight="1" x14ac:dyDescent="0.25">
      <c r="A5492" s="2352" t="s">
        <v>6816</v>
      </c>
      <c r="B5492" s="2352" t="s">
        <v>6542</v>
      </c>
      <c r="C5492" s="2352" t="s">
        <v>6542</v>
      </c>
      <c r="D5492" s="2352" t="s">
        <v>6817</v>
      </c>
      <c r="E5492" s="355" t="s">
        <v>17136</v>
      </c>
      <c r="F5492" s="1662">
        <v>5</v>
      </c>
    </row>
    <row r="5493" spans="1:6" ht="15" customHeight="1" x14ac:dyDescent="0.25">
      <c r="A5493" s="2352" t="s">
        <v>6788</v>
      </c>
      <c r="B5493" s="2352" t="s">
        <v>6542</v>
      </c>
      <c r="C5493" s="2352" t="s">
        <v>6542</v>
      </c>
      <c r="D5493" s="2352" t="s">
        <v>6818</v>
      </c>
      <c r="E5493" s="355" t="s">
        <v>17117</v>
      </c>
      <c r="F5493" s="1662">
        <v>50</v>
      </c>
    </row>
    <row r="5494" spans="1:6" ht="15" customHeight="1" x14ac:dyDescent="0.25">
      <c r="A5494" s="2352" t="s">
        <v>6788</v>
      </c>
      <c r="B5494" s="2352" t="s">
        <v>6542</v>
      </c>
      <c r="C5494" s="2352" t="s">
        <v>6542</v>
      </c>
      <c r="D5494" s="2352" t="s">
        <v>6819</v>
      </c>
      <c r="E5494" s="355" t="s">
        <v>17130</v>
      </c>
      <c r="F5494" s="1662">
        <v>100</v>
      </c>
    </row>
    <row r="5495" spans="1:6" ht="15" customHeight="1" x14ac:dyDescent="0.25">
      <c r="A5495" s="2352" t="s">
        <v>6788</v>
      </c>
      <c r="B5495" s="2352" t="s">
        <v>6542</v>
      </c>
      <c r="C5495" s="2352" t="s">
        <v>6542</v>
      </c>
      <c r="D5495" s="2352" t="s">
        <v>6820</v>
      </c>
      <c r="E5495" s="355" t="s">
        <v>17130</v>
      </c>
      <c r="F5495" s="1662">
        <v>100</v>
      </c>
    </row>
    <row r="5496" spans="1:6" ht="15" customHeight="1" x14ac:dyDescent="0.25">
      <c r="A5496" s="2352" t="s">
        <v>6788</v>
      </c>
      <c r="B5496" s="2352" t="s">
        <v>6542</v>
      </c>
      <c r="C5496" s="2352" t="s">
        <v>6542</v>
      </c>
      <c r="D5496" s="2352" t="s">
        <v>6821</v>
      </c>
      <c r="E5496" s="355" t="s">
        <v>17123</v>
      </c>
      <c r="F5496" s="1662">
        <v>40</v>
      </c>
    </row>
    <row r="5497" spans="1:6" ht="15" customHeight="1" x14ac:dyDescent="0.25">
      <c r="A5497" s="2352" t="s">
        <v>4864</v>
      </c>
      <c r="B5497" s="2352" t="s">
        <v>4865</v>
      </c>
      <c r="C5497" s="2352" t="s">
        <v>20059</v>
      </c>
      <c r="D5497" s="2352" t="s">
        <v>4866</v>
      </c>
      <c r="E5497" s="355" t="s">
        <v>17096</v>
      </c>
      <c r="F5497" s="1662">
        <v>240</v>
      </c>
    </row>
    <row r="5498" spans="1:6" ht="15" customHeight="1" x14ac:dyDescent="0.25">
      <c r="A5498" s="2352" t="s">
        <v>4867</v>
      </c>
      <c r="B5498" s="2352" t="s">
        <v>4865</v>
      </c>
      <c r="C5498" s="2352" t="s">
        <v>20059</v>
      </c>
      <c r="D5498" s="2352" t="s">
        <v>4868</v>
      </c>
      <c r="E5498" s="355" t="s">
        <v>17095</v>
      </c>
      <c r="F5498" s="1662">
        <v>45</v>
      </c>
    </row>
    <row r="5499" spans="1:6" ht="15" customHeight="1" x14ac:dyDescent="0.25">
      <c r="A5499" s="2352" t="s">
        <v>4869</v>
      </c>
      <c r="B5499" s="2352" t="s">
        <v>4865</v>
      </c>
      <c r="C5499" s="2352" t="s">
        <v>20059</v>
      </c>
      <c r="D5499" s="2352" t="s">
        <v>18616</v>
      </c>
      <c r="E5499" s="355" t="s">
        <v>6278</v>
      </c>
      <c r="F5499" s="1662">
        <v>110</v>
      </c>
    </row>
    <row r="5500" spans="1:6" ht="15" customHeight="1" x14ac:dyDescent="0.25">
      <c r="A5500" s="2352" t="s">
        <v>4870</v>
      </c>
      <c r="B5500" s="2352" t="s">
        <v>4865</v>
      </c>
      <c r="C5500" s="2352" t="s">
        <v>20059</v>
      </c>
      <c r="D5500" s="2352" t="s">
        <v>4871</v>
      </c>
      <c r="E5500" s="355" t="s">
        <v>17096</v>
      </c>
      <c r="F5500" s="1662">
        <v>240</v>
      </c>
    </row>
    <row r="5501" spans="1:6" ht="15" customHeight="1" x14ac:dyDescent="0.25">
      <c r="A5501" s="2352" t="s">
        <v>4870</v>
      </c>
      <c r="B5501" s="2352" t="s">
        <v>4865</v>
      </c>
      <c r="C5501" s="2352" t="s">
        <v>20059</v>
      </c>
      <c r="D5501" s="2352" t="s">
        <v>4872</v>
      </c>
      <c r="E5501" s="355" t="s">
        <v>17095</v>
      </c>
      <c r="F5501" s="1662">
        <v>10</v>
      </c>
    </row>
    <row r="5502" spans="1:6" ht="15" customHeight="1" x14ac:dyDescent="0.25">
      <c r="A5502" s="2352" t="s">
        <v>4867</v>
      </c>
      <c r="B5502" s="2352" t="s">
        <v>4865</v>
      </c>
      <c r="C5502" s="2352" t="s">
        <v>20059</v>
      </c>
      <c r="D5502" s="2352" t="s">
        <v>4873</v>
      </c>
      <c r="E5502" s="355">
        <v>100</v>
      </c>
      <c r="F5502" s="1662">
        <v>20</v>
      </c>
    </row>
    <row r="5503" spans="1:6" ht="15" customHeight="1" x14ac:dyDescent="0.25">
      <c r="A5503" s="2352" t="s">
        <v>4874</v>
      </c>
      <c r="B5503" s="2352" t="s">
        <v>4865</v>
      </c>
      <c r="C5503" s="2352" t="s">
        <v>20059</v>
      </c>
      <c r="D5503" s="2352" t="s">
        <v>4875</v>
      </c>
      <c r="E5503" s="355">
        <v>30</v>
      </c>
      <c r="F5503" s="1662">
        <v>5</v>
      </c>
    </row>
    <row r="5504" spans="1:6" ht="15" customHeight="1" x14ac:dyDescent="0.25">
      <c r="A5504" s="2352" t="s">
        <v>4876</v>
      </c>
      <c r="B5504" s="2352" t="s">
        <v>4865</v>
      </c>
      <c r="C5504" s="2352" t="s">
        <v>20059</v>
      </c>
      <c r="D5504" s="2352" t="s">
        <v>4877</v>
      </c>
      <c r="E5504" s="355">
        <v>40</v>
      </c>
      <c r="F5504" s="1662">
        <v>7</v>
      </c>
    </row>
    <row r="5505" spans="1:6" ht="15" customHeight="1" x14ac:dyDescent="0.25">
      <c r="A5505" s="2352" t="s">
        <v>4878</v>
      </c>
      <c r="B5505" s="2352" t="s">
        <v>4865</v>
      </c>
      <c r="C5505" s="2352" t="s">
        <v>20059</v>
      </c>
      <c r="D5505" s="2352" t="s">
        <v>4879</v>
      </c>
      <c r="E5505" s="355">
        <v>40</v>
      </c>
      <c r="F5505" s="1662">
        <v>5</v>
      </c>
    </row>
    <row r="5506" spans="1:6" ht="15" customHeight="1" x14ac:dyDescent="0.25">
      <c r="A5506" s="2352" t="s">
        <v>4880</v>
      </c>
      <c r="B5506" s="2352" t="s">
        <v>4865</v>
      </c>
      <c r="C5506" s="2352" t="s">
        <v>20059</v>
      </c>
      <c r="D5506" s="2352" t="s">
        <v>4881</v>
      </c>
      <c r="E5506" s="355">
        <v>100</v>
      </c>
      <c r="F5506" s="1662">
        <v>25</v>
      </c>
    </row>
    <row r="5507" spans="1:6" ht="15" customHeight="1" x14ac:dyDescent="0.25">
      <c r="A5507" s="2352" t="s">
        <v>4882</v>
      </c>
      <c r="B5507" s="2352" t="s">
        <v>4865</v>
      </c>
      <c r="C5507" s="2352" t="s">
        <v>20059</v>
      </c>
      <c r="D5507" s="2352" t="s">
        <v>4883</v>
      </c>
      <c r="E5507" s="355">
        <v>60</v>
      </c>
      <c r="F5507" s="1662">
        <v>5</v>
      </c>
    </row>
    <row r="5508" spans="1:6" ht="15" customHeight="1" x14ac:dyDescent="0.25">
      <c r="A5508" s="2352" t="s">
        <v>20060</v>
      </c>
      <c r="B5508" s="2352" t="s">
        <v>4865</v>
      </c>
      <c r="C5508" s="2352" t="s">
        <v>20059</v>
      </c>
      <c r="D5508" s="2352" t="s">
        <v>4884</v>
      </c>
      <c r="E5508" s="355">
        <v>100</v>
      </c>
      <c r="F5508" s="1662">
        <v>15</v>
      </c>
    </row>
    <row r="5509" spans="1:6" ht="15" customHeight="1" x14ac:dyDescent="0.25">
      <c r="A5509" s="2352" t="s">
        <v>4885</v>
      </c>
      <c r="B5509" s="2352" t="s">
        <v>4865</v>
      </c>
      <c r="C5509" s="2352" t="s">
        <v>20059</v>
      </c>
      <c r="D5509" s="2352" t="s">
        <v>4886</v>
      </c>
      <c r="E5509" s="355">
        <v>100</v>
      </c>
      <c r="F5509" s="1662">
        <v>45</v>
      </c>
    </row>
    <row r="5510" spans="1:6" ht="15" customHeight="1" x14ac:dyDescent="0.25">
      <c r="A5510" s="2352" t="s">
        <v>4887</v>
      </c>
      <c r="B5510" s="2352" t="s">
        <v>4865</v>
      </c>
      <c r="C5510" s="2352" t="s">
        <v>20059</v>
      </c>
      <c r="D5510" s="2352" t="s">
        <v>4888</v>
      </c>
      <c r="E5510" s="355">
        <v>60</v>
      </c>
      <c r="F5510" s="1662">
        <v>10</v>
      </c>
    </row>
    <row r="5511" spans="1:6" ht="15" customHeight="1" x14ac:dyDescent="0.25">
      <c r="A5511" s="2352" t="s">
        <v>4889</v>
      </c>
      <c r="B5511" s="2352" t="s">
        <v>4865</v>
      </c>
      <c r="C5511" s="2352" t="s">
        <v>20059</v>
      </c>
      <c r="D5511" s="2352" t="s">
        <v>4890</v>
      </c>
      <c r="E5511" s="355">
        <v>160</v>
      </c>
      <c r="F5511" s="1662">
        <v>55</v>
      </c>
    </row>
    <row r="5512" spans="1:6" ht="15" customHeight="1" x14ac:dyDescent="0.25">
      <c r="A5512" s="2352" t="s">
        <v>4889</v>
      </c>
      <c r="B5512" s="2352" t="s">
        <v>4865</v>
      </c>
      <c r="C5512" s="2352" t="s">
        <v>20059</v>
      </c>
      <c r="D5512" s="2352" t="s">
        <v>4891</v>
      </c>
      <c r="E5512" s="355">
        <v>100</v>
      </c>
      <c r="F5512" s="1662">
        <v>30</v>
      </c>
    </row>
    <row r="5513" spans="1:6" ht="15" customHeight="1" x14ac:dyDescent="0.25">
      <c r="A5513" s="2352" t="s">
        <v>4892</v>
      </c>
      <c r="B5513" s="2352" t="s">
        <v>4865</v>
      </c>
      <c r="C5513" s="2352" t="s">
        <v>20059</v>
      </c>
      <c r="D5513" s="2352" t="s">
        <v>4893</v>
      </c>
      <c r="E5513" s="355">
        <v>160</v>
      </c>
      <c r="F5513" s="1662">
        <v>30</v>
      </c>
    </row>
    <row r="5514" spans="1:6" ht="15" customHeight="1" x14ac:dyDescent="0.25">
      <c r="A5514" s="2352" t="s">
        <v>4892</v>
      </c>
      <c r="B5514" s="2352" t="s">
        <v>4865</v>
      </c>
      <c r="C5514" s="2352" t="s">
        <v>20059</v>
      </c>
      <c r="D5514" s="2352" t="s">
        <v>4894</v>
      </c>
      <c r="E5514" s="355">
        <v>400</v>
      </c>
      <c r="F5514" s="1662">
        <v>290</v>
      </c>
    </row>
    <row r="5515" spans="1:6" ht="15" customHeight="1" x14ac:dyDescent="0.25">
      <c r="A5515" s="2352" t="s">
        <v>20061</v>
      </c>
      <c r="B5515" s="2352" t="s">
        <v>4865</v>
      </c>
      <c r="C5515" s="2352" t="s">
        <v>20059</v>
      </c>
      <c r="D5515" s="2352" t="s">
        <v>4895</v>
      </c>
      <c r="E5515" s="355">
        <v>100</v>
      </c>
      <c r="F5515" s="1662">
        <v>0</v>
      </c>
    </row>
    <row r="5516" spans="1:6" ht="15" customHeight="1" x14ac:dyDescent="0.25">
      <c r="A5516" s="2352" t="s">
        <v>20062</v>
      </c>
      <c r="B5516" s="2352" t="s">
        <v>4865</v>
      </c>
      <c r="C5516" s="2352" t="s">
        <v>20059</v>
      </c>
      <c r="D5516" s="2352" t="s">
        <v>4896</v>
      </c>
      <c r="E5516" s="355">
        <v>20</v>
      </c>
      <c r="F5516" s="1662">
        <v>0</v>
      </c>
    </row>
    <row r="5517" spans="1:6" ht="15" customHeight="1" x14ac:dyDescent="0.25">
      <c r="A5517" s="2352" t="s">
        <v>20062</v>
      </c>
      <c r="B5517" s="2352" t="s">
        <v>4865</v>
      </c>
      <c r="C5517" s="2352" t="s">
        <v>20059</v>
      </c>
      <c r="D5517" s="2352" t="s">
        <v>4897</v>
      </c>
      <c r="E5517" s="355">
        <v>60</v>
      </c>
      <c r="F5517" s="1662">
        <v>10</v>
      </c>
    </row>
    <row r="5518" spans="1:6" ht="15" customHeight="1" x14ac:dyDescent="0.25">
      <c r="A5518" s="2352" t="s">
        <v>4402</v>
      </c>
      <c r="B5518" s="2352" t="s">
        <v>4865</v>
      </c>
      <c r="C5518" s="2352" t="s">
        <v>20059</v>
      </c>
      <c r="D5518" s="2352" t="s">
        <v>4898</v>
      </c>
      <c r="E5518" s="355">
        <v>60</v>
      </c>
      <c r="F5518" s="1662">
        <v>2</v>
      </c>
    </row>
    <row r="5519" spans="1:6" ht="15" customHeight="1" x14ac:dyDescent="0.25">
      <c r="A5519" s="2352" t="s">
        <v>4899</v>
      </c>
      <c r="B5519" s="2352" t="s">
        <v>4865</v>
      </c>
      <c r="C5519" s="2352" t="s">
        <v>20059</v>
      </c>
      <c r="D5519" s="2352" t="s">
        <v>4900</v>
      </c>
      <c r="E5519" s="355">
        <v>100</v>
      </c>
      <c r="F5519" s="1662">
        <v>20</v>
      </c>
    </row>
    <row r="5520" spans="1:6" ht="15" customHeight="1" x14ac:dyDescent="0.25">
      <c r="A5520" s="2352" t="s">
        <v>4229</v>
      </c>
      <c r="B5520" s="2352" t="s">
        <v>4865</v>
      </c>
      <c r="C5520" s="2352" t="s">
        <v>20059</v>
      </c>
      <c r="D5520" s="2352" t="s">
        <v>4901</v>
      </c>
      <c r="E5520" s="355">
        <v>10</v>
      </c>
      <c r="F5520" s="1662">
        <v>0</v>
      </c>
    </row>
    <row r="5521" spans="1:6" ht="15" customHeight="1" x14ac:dyDescent="0.25">
      <c r="A5521" s="2352" t="s">
        <v>4902</v>
      </c>
      <c r="B5521" s="2352" t="s">
        <v>4865</v>
      </c>
      <c r="C5521" s="2352" t="s">
        <v>20059</v>
      </c>
      <c r="D5521" s="2352" t="s">
        <v>4903</v>
      </c>
      <c r="E5521" s="355">
        <v>60</v>
      </c>
      <c r="F5521" s="1662">
        <v>5</v>
      </c>
    </row>
    <row r="5522" spans="1:6" ht="15" customHeight="1" x14ac:dyDescent="0.25">
      <c r="A5522" s="2352" t="s">
        <v>4904</v>
      </c>
      <c r="B5522" s="2352" t="s">
        <v>4865</v>
      </c>
      <c r="C5522" s="2352" t="s">
        <v>20059</v>
      </c>
      <c r="D5522" s="2352" t="s">
        <v>4905</v>
      </c>
      <c r="E5522" s="355">
        <v>160</v>
      </c>
      <c r="F5522" s="1662">
        <v>15</v>
      </c>
    </row>
    <row r="5523" spans="1:6" ht="15" customHeight="1" x14ac:dyDescent="0.25">
      <c r="A5523" s="2352" t="s">
        <v>4904</v>
      </c>
      <c r="B5523" s="2352" t="s">
        <v>4865</v>
      </c>
      <c r="C5523" s="2352" t="s">
        <v>20059</v>
      </c>
      <c r="D5523" s="2352" t="s">
        <v>4906</v>
      </c>
      <c r="E5523" s="355">
        <v>250</v>
      </c>
      <c r="F5523" s="1662">
        <v>50</v>
      </c>
    </row>
    <row r="5524" spans="1:6" ht="15" customHeight="1" x14ac:dyDescent="0.25">
      <c r="A5524" s="2352" t="s">
        <v>4904</v>
      </c>
      <c r="B5524" s="2352" t="s">
        <v>4865</v>
      </c>
      <c r="C5524" s="2352" t="s">
        <v>20059</v>
      </c>
      <c r="D5524" s="2352" t="s">
        <v>4907</v>
      </c>
      <c r="E5524" s="355">
        <v>250</v>
      </c>
      <c r="F5524" s="1662">
        <v>48</v>
      </c>
    </row>
    <row r="5525" spans="1:6" ht="15" customHeight="1" x14ac:dyDescent="0.25">
      <c r="A5525" s="2352" t="s">
        <v>4904</v>
      </c>
      <c r="B5525" s="2352" t="s">
        <v>4865</v>
      </c>
      <c r="C5525" s="2352" t="s">
        <v>20059</v>
      </c>
      <c r="D5525" s="2352" t="s">
        <v>4908</v>
      </c>
      <c r="E5525" s="355">
        <v>160</v>
      </c>
      <c r="F5525" s="1662">
        <v>50</v>
      </c>
    </row>
    <row r="5526" spans="1:6" ht="15" customHeight="1" x14ac:dyDescent="0.25">
      <c r="A5526" s="2352" t="s">
        <v>4909</v>
      </c>
      <c r="B5526" s="2352" t="s">
        <v>4865</v>
      </c>
      <c r="C5526" s="2352" t="s">
        <v>20059</v>
      </c>
      <c r="D5526" s="2352" t="s">
        <v>4910</v>
      </c>
      <c r="E5526" s="355">
        <v>60</v>
      </c>
      <c r="F5526" s="1662">
        <v>0</v>
      </c>
    </row>
    <row r="5527" spans="1:6" ht="15" customHeight="1" x14ac:dyDescent="0.25">
      <c r="A5527" s="2352" t="s">
        <v>4911</v>
      </c>
      <c r="B5527" s="2352" t="s">
        <v>4865</v>
      </c>
      <c r="C5527" s="2352" t="s">
        <v>20059</v>
      </c>
      <c r="D5527" s="2352" t="s">
        <v>4912</v>
      </c>
      <c r="E5527" s="355">
        <v>63</v>
      </c>
      <c r="F5527" s="1662">
        <v>10</v>
      </c>
    </row>
    <row r="5528" spans="1:6" ht="15" customHeight="1" x14ac:dyDescent="0.25">
      <c r="A5528" s="2352" t="s">
        <v>4913</v>
      </c>
      <c r="B5528" s="2352" t="s">
        <v>4865</v>
      </c>
      <c r="C5528" s="2352" t="s">
        <v>20059</v>
      </c>
      <c r="D5528" s="2352" t="s">
        <v>4914</v>
      </c>
      <c r="E5528" s="355">
        <v>160</v>
      </c>
      <c r="F5528" s="1662">
        <v>15</v>
      </c>
    </row>
    <row r="5529" spans="1:6" ht="15" customHeight="1" x14ac:dyDescent="0.25">
      <c r="A5529" s="2352" t="s">
        <v>4913</v>
      </c>
      <c r="B5529" s="2352" t="s">
        <v>4865</v>
      </c>
      <c r="C5529" s="2352" t="s">
        <v>20059</v>
      </c>
      <c r="D5529" s="2352" t="s">
        <v>4915</v>
      </c>
      <c r="E5529" s="355">
        <v>100</v>
      </c>
      <c r="F5529" s="1662">
        <v>50</v>
      </c>
    </row>
    <row r="5530" spans="1:6" ht="15" customHeight="1" x14ac:dyDescent="0.25">
      <c r="A5530" s="2352" t="s">
        <v>4916</v>
      </c>
      <c r="B5530" s="2352" t="s">
        <v>4865</v>
      </c>
      <c r="C5530" s="2352" t="s">
        <v>20059</v>
      </c>
      <c r="D5530" s="2352" t="s">
        <v>4917</v>
      </c>
      <c r="E5530" s="355">
        <v>60</v>
      </c>
      <c r="F5530" s="1662">
        <v>2</v>
      </c>
    </row>
    <row r="5531" spans="1:6" ht="15" customHeight="1" x14ac:dyDescent="0.25">
      <c r="A5531" s="2352" t="s">
        <v>4918</v>
      </c>
      <c r="B5531" s="2352" t="s">
        <v>4865</v>
      </c>
      <c r="C5531" s="2352" t="s">
        <v>20059</v>
      </c>
      <c r="D5531" s="2352" t="s">
        <v>4919</v>
      </c>
      <c r="E5531" s="355">
        <v>60</v>
      </c>
      <c r="F5531" s="1662">
        <v>5</v>
      </c>
    </row>
    <row r="5532" spans="1:6" ht="15" customHeight="1" x14ac:dyDescent="0.25">
      <c r="A5532" s="2352" t="s">
        <v>4920</v>
      </c>
      <c r="B5532" s="2352" t="s">
        <v>4865</v>
      </c>
      <c r="C5532" s="2352" t="s">
        <v>20059</v>
      </c>
      <c r="D5532" s="2352" t="s">
        <v>4921</v>
      </c>
      <c r="E5532" s="355">
        <v>40</v>
      </c>
      <c r="F5532" s="1662">
        <v>30</v>
      </c>
    </row>
    <row r="5533" spans="1:6" ht="15" customHeight="1" x14ac:dyDescent="0.25">
      <c r="A5533" s="2352" t="s">
        <v>4922</v>
      </c>
      <c r="B5533" s="2352" t="s">
        <v>4865</v>
      </c>
      <c r="C5533" s="2352" t="s">
        <v>20059</v>
      </c>
      <c r="D5533" s="2352" t="s">
        <v>4923</v>
      </c>
      <c r="E5533" s="355">
        <v>60</v>
      </c>
      <c r="F5533" s="1662">
        <v>30</v>
      </c>
    </row>
    <row r="5534" spans="1:6" ht="15" customHeight="1" x14ac:dyDescent="0.25">
      <c r="A5534" s="2352" t="s">
        <v>3988</v>
      </c>
      <c r="B5534" s="2352" t="s">
        <v>4865</v>
      </c>
      <c r="C5534" s="2352" t="s">
        <v>20059</v>
      </c>
      <c r="D5534" s="2352" t="s">
        <v>4924</v>
      </c>
      <c r="E5534" s="355">
        <v>100</v>
      </c>
      <c r="F5534" s="1662">
        <v>25</v>
      </c>
    </row>
    <row r="5535" spans="1:6" ht="15" customHeight="1" x14ac:dyDescent="0.25">
      <c r="A5535" s="2352" t="s">
        <v>4925</v>
      </c>
      <c r="B5535" s="2352" t="s">
        <v>4865</v>
      </c>
      <c r="C5535" s="2352" t="s">
        <v>20059</v>
      </c>
      <c r="D5535" s="2352" t="s">
        <v>4926</v>
      </c>
      <c r="E5535" s="355">
        <v>63</v>
      </c>
      <c r="F5535" s="1662">
        <v>15</v>
      </c>
    </row>
    <row r="5536" spans="1:6" ht="15" customHeight="1" x14ac:dyDescent="0.25">
      <c r="A5536" s="2352" t="s">
        <v>4927</v>
      </c>
      <c r="B5536" s="2352" t="s">
        <v>4865</v>
      </c>
      <c r="C5536" s="2352" t="s">
        <v>20059</v>
      </c>
      <c r="D5536" s="2352" t="s">
        <v>4928</v>
      </c>
      <c r="E5536" s="355">
        <v>100</v>
      </c>
      <c r="F5536" s="1662">
        <v>58</v>
      </c>
    </row>
    <row r="5537" spans="1:6" ht="15" customHeight="1" x14ac:dyDescent="0.25">
      <c r="A5537" s="2352" t="s">
        <v>4929</v>
      </c>
      <c r="B5537" s="2352" t="s">
        <v>4865</v>
      </c>
      <c r="C5537" s="2352" t="s">
        <v>20059</v>
      </c>
      <c r="D5537" s="2352" t="s">
        <v>4930</v>
      </c>
      <c r="E5537" s="355">
        <v>100</v>
      </c>
      <c r="F5537" s="1662">
        <v>5</v>
      </c>
    </row>
    <row r="5538" spans="1:6" ht="15" customHeight="1" x14ac:dyDescent="0.25">
      <c r="A5538" s="2352" t="s">
        <v>4929</v>
      </c>
      <c r="B5538" s="2352" t="s">
        <v>4865</v>
      </c>
      <c r="C5538" s="2352" t="s">
        <v>20059</v>
      </c>
      <c r="D5538" s="2352" t="s">
        <v>4931</v>
      </c>
      <c r="E5538" s="355">
        <v>100</v>
      </c>
      <c r="F5538" s="1662">
        <v>15</v>
      </c>
    </row>
    <row r="5539" spans="1:6" ht="15" customHeight="1" x14ac:dyDescent="0.25">
      <c r="A5539" s="2352" t="s">
        <v>4929</v>
      </c>
      <c r="B5539" s="2352" t="s">
        <v>4865</v>
      </c>
      <c r="C5539" s="2352" t="s">
        <v>20059</v>
      </c>
      <c r="D5539" s="2352" t="s">
        <v>4932</v>
      </c>
      <c r="E5539" s="355">
        <v>100</v>
      </c>
      <c r="F5539" s="1662">
        <v>50</v>
      </c>
    </row>
    <row r="5540" spans="1:6" ht="15" customHeight="1" x14ac:dyDescent="0.25">
      <c r="A5540" s="2352" t="s">
        <v>4864</v>
      </c>
      <c r="B5540" s="2352" t="s">
        <v>4865</v>
      </c>
      <c r="C5540" s="2352" t="s">
        <v>20059</v>
      </c>
      <c r="D5540" s="2352" t="s">
        <v>4933</v>
      </c>
      <c r="E5540" s="355">
        <v>160</v>
      </c>
      <c r="F5540" s="1662">
        <v>5</v>
      </c>
    </row>
    <row r="5541" spans="1:6" ht="15" customHeight="1" x14ac:dyDescent="0.25">
      <c r="A5541" s="2352" t="s">
        <v>4934</v>
      </c>
      <c r="B5541" s="2352" t="s">
        <v>4865</v>
      </c>
      <c r="C5541" s="2352" t="s">
        <v>20059</v>
      </c>
      <c r="D5541" s="2352" t="s">
        <v>4935</v>
      </c>
      <c r="E5541" s="355">
        <v>63</v>
      </c>
      <c r="F5541" s="1662">
        <v>50</v>
      </c>
    </row>
    <row r="5542" spans="1:6" ht="15" customHeight="1" x14ac:dyDescent="0.25">
      <c r="A5542" s="2352" t="s">
        <v>4934</v>
      </c>
      <c r="B5542" s="2352" t="s">
        <v>4865</v>
      </c>
      <c r="C5542" s="2352" t="s">
        <v>20059</v>
      </c>
      <c r="D5542" s="2352" t="s">
        <v>4936</v>
      </c>
      <c r="E5542" s="355">
        <v>40</v>
      </c>
      <c r="F5542" s="1662">
        <v>20</v>
      </c>
    </row>
    <row r="5543" spans="1:6" ht="15" customHeight="1" x14ac:dyDescent="0.25">
      <c r="A5543" s="2352" t="s">
        <v>4937</v>
      </c>
      <c r="B5543" s="2352" t="s">
        <v>4865</v>
      </c>
      <c r="C5543" s="2352" t="s">
        <v>20059</v>
      </c>
      <c r="D5543" s="2352" t="s">
        <v>4938</v>
      </c>
      <c r="E5543" s="355">
        <v>100</v>
      </c>
      <c r="F5543" s="1662">
        <v>2</v>
      </c>
    </row>
    <row r="5544" spans="1:6" ht="15" customHeight="1" x14ac:dyDescent="0.25">
      <c r="A5544" s="2352" t="s">
        <v>4939</v>
      </c>
      <c r="B5544" s="2352" t="s">
        <v>4865</v>
      </c>
      <c r="C5544" s="2352" t="s">
        <v>20059</v>
      </c>
      <c r="D5544" s="2352" t="s">
        <v>4940</v>
      </c>
      <c r="E5544" s="355">
        <v>30</v>
      </c>
      <c r="F5544" s="1662">
        <v>4</v>
      </c>
    </row>
    <row r="5545" spans="1:6" ht="15" customHeight="1" x14ac:dyDescent="0.25">
      <c r="A5545" s="2352" t="s">
        <v>4349</v>
      </c>
      <c r="B5545" s="2352" t="s">
        <v>4865</v>
      </c>
      <c r="C5545" s="2352" t="s">
        <v>20059</v>
      </c>
      <c r="D5545" s="2352" t="s">
        <v>4941</v>
      </c>
      <c r="E5545" s="355">
        <v>30</v>
      </c>
      <c r="F5545" s="1662">
        <v>2</v>
      </c>
    </row>
    <row r="5546" spans="1:6" ht="15" customHeight="1" x14ac:dyDescent="0.25">
      <c r="A5546" s="2352" t="s">
        <v>4942</v>
      </c>
      <c r="B5546" s="2352" t="s">
        <v>4865</v>
      </c>
      <c r="C5546" s="2352" t="s">
        <v>20059</v>
      </c>
      <c r="D5546" s="2352" t="s">
        <v>4943</v>
      </c>
      <c r="E5546" s="355">
        <v>30</v>
      </c>
      <c r="F5546" s="1662">
        <v>5</v>
      </c>
    </row>
    <row r="5547" spans="1:6" ht="15" customHeight="1" x14ac:dyDescent="0.25">
      <c r="A5547" s="2352" t="s">
        <v>4944</v>
      </c>
      <c r="B5547" s="2352" t="s">
        <v>4865</v>
      </c>
      <c r="C5547" s="2352" t="s">
        <v>20059</v>
      </c>
      <c r="D5547" s="2352" t="s">
        <v>4945</v>
      </c>
      <c r="E5547" s="355">
        <v>60</v>
      </c>
      <c r="F5547" s="1662">
        <v>4</v>
      </c>
    </row>
    <row r="5548" spans="1:6" ht="15" customHeight="1" x14ac:dyDescent="0.25">
      <c r="A5548" s="2352" t="s">
        <v>4946</v>
      </c>
      <c r="B5548" s="2352" t="s">
        <v>4865</v>
      </c>
      <c r="C5548" s="2352" t="s">
        <v>20059</v>
      </c>
      <c r="D5548" s="2352" t="s">
        <v>4947</v>
      </c>
      <c r="E5548" s="355">
        <v>160</v>
      </c>
      <c r="F5548" s="1662">
        <v>2</v>
      </c>
    </row>
    <row r="5549" spans="1:6" ht="15" customHeight="1" x14ac:dyDescent="0.25">
      <c r="A5549" s="2352" t="s">
        <v>4946</v>
      </c>
      <c r="B5549" s="2352" t="s">
        <v>4865</v>
      </c>
      <c r="C5549" s="2352" t="s">
        <v>20059</v>
      </c>
      <c r="D5549" s="2352" t="s">
        <v>4948</v>
      </c>
      <c r="E5549" s="355">
        <v>160</v>
      </c>
      <c r="F5549" s="1662">
        <v>100</v>
      </c>
    </row>
    <row r="5550" spans="1:6" ht="15" customHeight="1" x14ac:dyDescent="0.25">
      <c r="A5550" s="2352" t="s">
        <v>4949</v>
      </c>
      <c r="B5550" s="2352" t="s">
        <v>4865</v>
      </c>
      <c r="C5550" s="2352" t="s">
        <v>20059</v>
      </c>
      <c r="D5550" s="2352" t="s">
        <v>4950</v>
      </c>
      <c r="E5550" s="355">
        <v>60</v>
      </c>
      <c r="F5550" s="1662">
        <v>40</v>
      </c>
    </row>
    <row r="5551" spans="1:6" ht="15" customHeight="1" x14ac:dyDescent="0.25">
      <c r="A5551" s="2352" t="s">
        <v>4864</v>
      </c>
      <c r="B5551" s="2352" t="s">
        <v>4865</v>
      </c>
      <c r="C5551" s="2352" t="s">
        <v>20059</v>
      </c>
      <c r="D5551" s="2352" t="s">
        <v>4951</v>
      </c>
      <c r="E5551" s="355">
        <v>160</v>
      </c>
      <c r="F5551" s="1662">
        <v>40</v>
      </c>
    </row>
    <row r="5552" spans="1:6" ht="15" customHeight="1" x14ac:dyDescent="0.25">
      <c r="A5552" s="2352" t="s">
        <v>4952</v>
      </c>
      <c r="B5552" s="2352" t="s">
        <v>4865</v>
      </c>
      <c r="C5552" s="2352" t="s">
        <v>20059</v>
      </c>
      <c r="D5552" s="2352" t="s">
        <v>4953</v>
      </c>
      <c r="E5552" s="355">
        <v>63</v>
      </c>
      <c r="F5552" s="1662">
        <v>4</v>
      </c>
    </row>
    <row r="5553" spans="1:6" ht="15" customHeight="1" x14ac:dyDescent="0.25">
      <c r="A5553" s="2352" t="s">
        <v>4954</v>
      </c>
      <c r="B5553" s="2352" t="s">
        <v>4865</v>
      </c>
      <c r="C5553" s="2352" t="s">
        <v>20059</v>
      </c>
      <c r="D5553" s="2352" t="s">
        <v>4955</v>
      </c>
      <c r="E5553" s="355">
        <v>30</v>
      </c>
      <c r="F5553" s="1662">
        <v>4</v>
      </c>
    </row>
    <row r="5554" spans="1:6" ht="15" customHeight="1" x14ac:dyDescent="0.25">
      <c r="A5554" s="2352" t="s">
        <v>4956</v>
      </c>
      <c r="B5554" s="2352" t="s">
        <v>4865</v>
      </c>
      <c r="C5554" s="2352" t="s">
        <v>20059</v>
      </c>
      <c r="D5554" s="2352" t="s">
        <v>4957</v>
      </c>
      <c r="E5554" s="355">
        <v>60</v>
      </c>
      <c r="F5554" s="1662">
        <v>25</v>
      </c>
    </row>
    <row r="5555" spans="1:6" ht="15" customHeight="1" x14ac:dyDescent="0.25">
      <c r="A5555" s="2352" t="s">
        <v>4958</v>
      </c>
      <c r="B5555" s="2352" t="s">
        <v>4865</v>
      </c>
      <c r="C5555" s="2352" t="s">
        <v>20059</v>
      </c>
      <c r="D5555" s="2352" t="s">
        <v>4959</v>
      </c>
      <c r="E5555" s="355">
        <v>60</v>
      </c>
      <c r="F5555" s="1662">
        <v>6</v>
      </c>
    </row>
    <row r="5556" spans="1:6" ht="15" customHeight="1" x14ac:dyDescent="0.25">
      <c r="A5556" s="2352" t="s">
        <v>4960</v>
      </c>
      <c r="B5556" s="2352" t="s">
        <v>4865</v>
      </c>
      <c r="C5556" s="2352" t="s">
        <v>20059</v>
      </c>
      <c r="D5556" s="2352" t="s">
        <v>4961</v>
      </c>
      <c r="E5556" s="355">
        <v>60</v>
      </c>
      <c r="F5556" s="1662">
        <v>4</v>
      </c>
    </row>
    <row r="5557" spans="1:6" ht="15" customHeight="1" x14ac:dyDescent="0.25">
      <c r="A5557" s="2352" t="s">
        <v>4962</v>
      </c>
      <c r="B5557" s="2352" t="s">
        <v>4865</v>
      </c>
      <c r="C5557" s="2352" t="s">
        <v>20059</v>
      </c>
      <c r="D5557" s="2352" t="s">
        <v>4963</v>
      </c>
      <c r="E5557" s="355">
        <v>60</v>
      </c>
      <c r="F5557" s="1662">
        <v>0</v>
      </c>
    </row>
    <row r="5558" spans="1:6" ht="15" customHeight="1" x14ac:dyDescent="0.25">
      <c r="A5558" s="2352" t="s">
        <v>4964</v>
      </c>
      <c r="B5558" s="2352" t="s">
        <v>4865</v>
      </c>
      <c r="C5558" s="2352" t="s">
        <v>20059</v>
      </c>
      <c r="D5558" s="2352" t="s">
        <v>4965</v>
      </c>
      <c r="E5558" s="355">
        <v>30</v>
      </c>
      <c r="F5558" s="1662">
        <v>10</v>
      </c>
    </row>
    <row r="5559" spans="1:6" ht="15" customHeight="1" x14ac:dyDescent="0.25">
      <c r="A5559" s="2352" t="s">
        <v>4966</v>
      </c>
      <c r="B5559" s="2352" t="s">
        <v>4865</v>
      </c>
      <c r="C5559" s="2352" t="s">
        <v>20059</v>
      </c>
      <c r="D5559" s="2352" t="s">
        <v>4967</v>
      </c>
      <c r="E5559" s="355">
        <v>100</v>
      </c>
      <c r="F5559" s="1662">
        <v>20</v>
      </c>
    </row>
    <row r="5560" spans="1:6" ht="15" customHeight="1" x14ac:dyDescent="0.25">
      <c r="A5560" s="2352" t="s">
        <v>4968</v>
      </c>
      <c r="B5560" s="2352" t="s">
        <v>4865</v>
      </c>
      <c r="C5560" s="2352" t="s">
        <v>20059</v>
      </c>
      <c r="D5560" s="2352" t="s">
        <v>4969</v>
      </c>
      <c r="E5560" s="355">
        <v>30</v>
      </c>
      <c r="F5560" s="1662">
        <v>3</v>
      </c>
    </row>
    <row r="5561" spans="1:6" ht="15" customHeight="1" x14ac:dyDescent="0.25">
      <c r="A5561" s="2352" t="s">
        <v>4970</v>
      </c>
      <c r="B5561" s="2352" t="s">
        <v>4865</v>
      </c>
      <c r="C5561" s="2352" t="s">
        <v>20059</v>
      </c>
      <c r="D5561" s="2352" t="s">
        <v>4971</v>
      </c>
      <c r="E5561" s="355">
        <v>250</v>
      </c>
      <c r="F5561" s="1662">
        <v>50</v>
      </c>
    </row>
    <row r="5562" spans="1:6" ht="15" customHeight="1" x14ac:dyDescent="0.25">
      <c r="A5562" s="2352" t="s">
        <v>4970</v>
      </c>
      <c r="B5562" s="2352" t="s">
        <v>4865</v>
      </c>
      <c r="C5562" s="2352" t="s">
        <v>20059</v>
      </c>
      <c r="D5562" s="2352" t="s">
        <v>4972</v>
      </c>
      <c r="E5562" s="355">
        <v>100</v>
      </c>
      <c r="F5562" s="1662">
        <v>6</v>
      </c>
    </row>
    <row r="5563" spans="1:6" ht="15" customHeight="1" x14ac:dyDescent="0.25">
      <c r="A5563" s="2352" t="s">
        <v>4973</v>
      </c>
      <c r="B5563" s="2352" t="s">
        <v>4865</v>
      </c>
      <c r="C5563" s="2352" t="s">
        <v>20059</v>
      </c>
      <c r="D5563" s="2352" t="s">
        <v>4974</v>
      </c>
      <c r="E5563" s="355">
        <v>63</v>
      </c>
      <c r="F5563" s="1662">
        <v>1</v>
      </c>
    </row>
    <row r="5564" spans="1:6" ht="15" customHeight="1" x14ac:dyDescent="0.25">
      <c r="A5564" s="2352" t="s">
        <v>4975</v>
      </c>
      <c r="B5564" s="2352" t="s">
        <v>4865</v>
      </c>
      <c r="C5564" s="2352" t="s">
        <v>20059</v>
      </c>
      <c r="D5564" s="2352" t="s">
        <v>4976</v>
      </c>
      <c r="E5564" s="355">
        <v>100</v>
      </c>
      <c r="F5564" s="1662">
        <v>2</v>
      </c>
    </row>
    <row r="5565" spans="1:6" ht="15" customHeight="1" x14ac:dyDescent="0.25">
      <c r="A5565" s="2352" t="s">
        <v>4977</v>
      </c>
      <c r="B5565" s="2352" t="s">
        <v>4865</v>
      </c>
      <c r="C5565" s="2352" t="s">
        <v>20059</v>
      </c>
      <c r="D5565" s="2352" t="s">
        <v>4978</v>
      </c>
      <c r="E5565" s="355">
        <v>40</v>
      </c>
      <c r="F5565" s="1662">
        <v>21</v>
      </c>
    </row>
    <row r="5566" spans="1:6" ht="15" customHeight="1" x14ac:dyDescent="0.25">
      <c r="A5566" s="2352" t="s">
        <v>20063</v>
      </c>
      <c r="B5566" s="2352" t="s">
        <v>4865</v>
      </c>
      <c r="C5566" s="2352" t="s">
        <v>20059</v>
      </c>
      <c r="D5566" s="2352" t="s">
        <v>4979</v>
      </c>
      <c r="E5566" s="355">
        <v>20</v>
      </c>
      <c r="F5566" s="1662">
        <v>4</v>
      </c>
    </row>
    <row r="5567" spans="1:6" ht="15" customHeight="1" x14ac:dyDescent="0.25">
      <c r="A5567" s="2352" t="s">
        <v>4349</v>
      </c>
      <c r="B5567" s="2352" t="s">
        <v>4865</v>
      </c>
      <c r="C5567" s="2352" t="s">
        <v>20059</v>
      </c>
      <c r="D5567" s="2352" t="s">
        <v>4980</v>
      </c>
      <c r="E5567" s="355">
        <v>60</v>
      </c>
      <c r="F5567" s="1662">
        <v>0</v>
      </c>
    </row>
    <row r="5568" spans="1:6" ht="15" customHeight="1" x14ac:dyDescent="0.25">
      <c r="A5568" s="2352" t="s">
        <v>4981</v>
      </c>
      <c r="B5568" s="2352" t="s">
        <v>4865</v>
      </c>
      <c r="C5568" s="2352" t="s">
        <v>20059</v>
      </c>
      <c r="D5568" s="2352" t="s">
        <v>4982</v>
      </c>
      <c r="E5568" s="355">
        <v>100</v>
      </c>
      <c r="F5568" s="1662">
        <v>0</v>
      </c>
    </row>
    <row r="5569" spans="1:6" ht="15" customHeight="1" x14ac:dyDescent="0.25">
      <c r="A5569" s="2352" t="s">
        <v>4983</v>
      </c>
      <c r="B5569" s="2352" t="s">
        <v>4865</v>
      </c>
      <c r="C5569" s="2352" t="s">
        <v>20059</v>
      </c>
      <c r="D5569" s="2352" t="s">
        <v>4984</v>
      </c>
      <c r="E5569" s="355">
        <v>40</v>
      </c>
      <c r="F5569" s="1662">
        <v>5</v>
      </c>
    </row>
    <row r="5570" spans="1:6" ht="15" customHeight="1" x14ac:dyDescent="0.25">
      <c r="A5570" s="2352" t="s">
        <v>4985</v>
      </c>
      <c r="B5570" s="2352" t="s">
        <v>4865</v>
      </c>
      <c r="C5570" s="2352" t="s">
        <v>20059</v>
      </c>
      <c r="D5570" s="2352" t="s">
        <v>4986</v>
      </c>
      <c r="E5570" s="355">
        <v>60</v>
      </c>
      <c r="F5570" s="1662">
        <v>10</v>
      </c>
    </row>
    <row r="5571" spans="1:6" ht="15" customHeight="1" x14ac:dyDescent="0.25">
      <c r="A5571" s="2352" t="s">
        <v>20064</v>
      </c>
      <c r="B5571" s="2352" t="s">
        <v>4865</v>
      </c>
      <c r="C5571" s="2352" t="s">
        <v>20059</v>
      </c>
      <c r="D5571" s="2352" t="s">
        <v>4987</v>
      </c>
      <c r="E5571" s="355">
        <v>160</v>
      </c>
      <c r="F5571" s="1662">
        <v>15</v>
      </c>
    </row>
    <row r="5572" spans="1:6" ht="15" customHeight="1" x14ac:dyDescent="0.25">
      <c r="A5572" s="2352" t="s">
        <v>4988</v>
      </c>
      <c r="B5572" s="2352" t="s">
        <v>4865</v>
      </c>
      <c r="C5572" s="2352" t="s">
        <v>20059</v>
      </c>
      <c r="D5572" s="2352" t="s">
        <v>4989</v>
      </c>
      <c r="E5572" s="355">
        <v>100</v>
      </c>
      <c r="F5572" s="1662">
        <v>19</v>
      </c>
    </row>
    <row r="5573" spans="1:6" ht="15" customHeight="1" x14ac:dyDescent="0.25">
      <c r="A5573" s="2352" t="s">
        <v>4990</v>
      </c>
      <c r="B5573" s="2352" t="s">
        <v>4865</v>
      </c>
      <c r="C5573" s="2352" t="s">
        <v>20059</v>
      </c>
      <c r="D5573" s="2352" t="s">
        <v>4991</v>
      </c>
      <c r="E5573" s="355">
        <v>60</v>
      </c>
      <c r="F5573" s="1662">
        <v>1</v>
      </c>
    </row>
    <row r="5574" spans="1:6" ht="15" customHeight="1" x14ac:dyDescent="0.25">
      <c r="A5574" s="2352" t="s">
        <v>4992</v>
      </c>
      <c r="B5574" s="2352" t="s">
        <v>4865</v>
      </c>
      <c r="C5574" s="2352" t="s">
        <v>20059</v>
      </c>
      <c r="D5574" s="2352" t="s">
        <v>4993</v>
      </c>
      <c r="E5574" s="355">
        <v>160</v>
      </c>
      <c r="F5574" s="1662">
        <v>2</v>
      </c>
    </row>
    <row r="5575" spans="1:6" ht="15" customHeight="1" x14ac:dyDescent="0.25">
      <c r="A5575" s="2352" t="s">
        <v>20065</v>
      </c>
      <c r="B5575" s="2352" t="s">
        <v>4865</v>
      </c>
      <c r="C5575" s="2352" t="s">
        <v>20059</v>
      </c>
      <c r="D5575" s="2352" t="s">
        <v>4994</v>
      </c>
      <c r="E5575" s="355">
        <v>20</v>
      </c>
      <c r="F5575" s="1662">
        <v>0</v>
      </c>
    </row>
    <row r="5576" spans="1:6" ht="15" customHeight="1" x14ac:dyDescent="0.25">
      <c r="A5576" s="2352" t="s">
        <v>4995</v>
      </c>
      <c r="B5576" s="2352" t="s">
        <v>4865</v>
      </c>
      <c r="C5576" s="2352" t="s">
        <v>20059</v>
      </c>
      <c r="D5576" s="2352" t="s">
        <v>4996</v>
      </c>
      <c r="E5576" s="355">
        <v>60</v>
      </c>
      <c r="F5576" s="1662">
        <v>5</v>
      </c>
    </row>
    <row r="5577" spans="1:6" ht="15" customHeight="1" x14ac:dyDescent="0.25">
      <c r="A5577" s="2352" t="s">
        <v>20066</v>
      </c>
      <c r="B5577" s="2352" t="s">
        <v>4865</v>
      </c>
      <c r="C5577" s="2352" t="s">
        <v>20059</v>
      </c>
      <c r="D5577" s="2352" t="s">
        <v>4997</v>
      </c>
      <c r="E5577" s="355">
        <v>160</v>
      </c>
      <c r="F5577" s="1662">
        <v>20</v>
      </c>
    </row>
    <row r="5578" spans="1:6" ht="15" customHeight="1" x14ac:dyDescent="0.25">
      <c r="A5578" s="2352" t="s">
        <v>20066</v>
      </c>
      <c r="B5578" s="2352" t="s">
        <v>4865</v>
      </c>
      <c r="C5578" s="2352" t="s">
        <v>20059</v>
      </c>
      <c r="D5578" s="2352" t="s">
        <v>4998</v>
      </c>
      <c r="E5578" s="355">
        <v>160</v>
      </c>
      <c r="F5578" s="1662">
        <v>10</v>
      </c>
    </row>
    <row r="5579" spans="1:6" ht="15" customHeight="1" x14ac:dyDescent="0.25">
      <c r="A5579" s="2352" t="s">
        <v>4999</v>
      </c>
      <c r="B5579" s="2352" t="s">
        <v>4865</v>
      </c>
      <c r="C5579" s="2352" t="s">
        <v>20059</v>
      </c>
      <c r="D5579" s="2352" t="s">
        <v>5000</v>
      </c>
      <c r="E5579" s="355">
        <v>100</v>
      </c>
      <c r="F5579" s="1662">
        <v>5</v>
      </c>
    </row>
    <row r="5580" spans="1:6" ht="15" customHeight="1" x14ac:dyDescent="0.25">
      <c r="A5580" s="2352" t="s">
        <v>4867</v>
      </c>
      <c r="B5580" s="2352" t="s">
        <v>4865</v>
      </c>
      <c r="C5580" s="2352" t="s">
        <v>20059</v>
      </c>
      <c r="D5580" s="2352" t="s">
        <v>5001</v>
      </c>
      <c r="E5580" s="355">
        <v>63</v>
      </c>
      <c r="F5580" s="1662">
        <v>5</v>
      </c>
    </row>
    <row r="5581" spans="1:6" ht="15" customHeight="1" x14ac:dyDescent="0.25">
      <c r="A5581" s="2352" t="s">
        <v>4867</v>
      </c>
      <c r="B5581" s="2352" t="s">
        <v>4865</v>
      </c>
      <c r="C5581" s="2352" t="s">
        <v>20059</v>
      </c>
      <c r="D5581" s="2352" t="s">
        <v>5002</v>
      </c>
      <c r="E5581" s="355">
        <v>100</v>
      </c>
      <c r="F5581" s="1662">
        <v>2</v>
      </c>
    </row>
    <row r="5582" spans="1:6" ht="15" customHeight="1" x14ac:dyDescent="0.25">
      <c r="A5582" s="2352" t="s">
        <v>4869</v>
      </c>
      <c r="B5582" s="2352" t="s">
        <v>4865</v>
      </c>
      <c r="C5582" s="2352" t="s">
        <v>20059</v>
      </c>
      <c r="D5582" s="2352" t="s">
        <v>5003</v>
      </c>
      <c r="E5582" s="355">
        <v>160</v>
      </c>
      <c r="F5582" s="1662">
        <v>30</v>
      </c>
    </row>
    <row r="5583" spans="1:6" ht="15" customHeight="1" x14ac:dyDescent="0.25">
      <c r="A5583" s="2352" t="s">
        <v>4869</v>
      </c>
      <c r="B5583" s="2352" t="s">
        <v>4865</v>
      </c>
      <c r="C5583" s="2352" t="s">
        <v>20059</v>
      </c>
      <c r="D5583" s="2352" t="s">
        <v>5004</v>
      </c>
      <c r="E5583" s="355">
        <v>100</v>
      </c>
      <c r="F5583" s="1662">
        <v>21</v>
      </c>
    </row>
    <row r="5584" spans="1:6" ht="15" customHeight="1" x14ac:dyDescent="0.25">
      <c r="A5584" s="2352" t="s">
        <v>4869</v>
      </c>
      <c r="B5584" s="2352" t="s">
        <v>4865</v>
      </c>
      <c r="C5584" s="2352" t="s">
        <v>20059</v>
      </c>
      <c r="D5584" s="2352" t="s">
        <v>5005</v>
      </c>
      <c r="E5584" s="355">
        <v>160</v>
      </c>
      <c r="F5584" s="1662">
        <v>31</v>
      </c>
    </row>
    <row r="5585" spans="1:6" ht="15" customHeight="1" x14ac:dyDescent="0.25">
      <c r="A5585" s="2352" t="s">
        <v>4869</v>
      </c>
      <c r="B5585" s="2352" t="s">
        <v>4865</v>
      </c>
      <c r="C5585" s="2352" t="s">
        <v>20059</v>
      </c>
      <c r="D5585" s="2352" t="s">
        <v>5006</v>
      </c>
      <c r="E5585" s="355">
        <v>160</v>
      </c>
      <c r="F5585" s="1662">
        <v>12</v>
      </c>
    </row>
    <row r="5586" spans="1:6" ht="15" customHeight="1" x14ac:dyDescent="0.25">
      <c r="A5586" s="2352" t="s">
        <v>5007</v>
      </c>
      <c r="B5586" s="2352" t="s">
        <v>4865</v>
      </c>
      <c r="C5586" s="2352" t="s">
        <v>20059</v>
      </c>
      <c r="D5586" s="2352" t="s">
        <v>5008</v>
      </c>
      <c r="E5586" s="355">
        <v>30</v>
      </c>
      <c r="F5586" s="1662">
        <v>5</v>
      </c>
    </row>
    <row r="5587" spans="1:6" ht="15" customHeight="1" x14ac:dyDescent="0.25">
      <c r="A5587" s="2352" t="s">
        <v>5009</v>
      </c>
      <c r="B5587" s="2352" t="s">
        <v>4865</v>
      </c>
      <c r="C5587" s="2352" t="s">
        <v>20059</v>
      </c>
      <c r="D5587" s="2352" t="s">
        <v>5010</v>
      </c>
      <c r="E5587" s="355">
        <v>160</v>
      </c>
      <c r="F5587" s="1662">
        <v>45</v>
      </c>
    </row>
    <row r="5588" spans="1:6" ht="15" customHeight="1" x14ac:dyDescent="0.25">
      <c r="A5588" s="2352" t="s">
        <v>4864</v>
      </c>
      <c r="B5588" s="2352" t="s">
        <v>4865</v>
      </c>
      <c r="C5588" s="2352" t="s">
        <v>20059</v>
      </c>
      <c r="D5588" s="2352" t="s">
        <v>5011</v>
      </c>
      <c r="E5588" s="355">
        <v>160</v>
      </c>
      <c r="F5588" s="1662">
        <v>5</v>
      </c>
    </row>
    <row r="5589" spans="1:6" ht="15" customHeight="1" x14ac:dyDescent="0.25">
      <c r="A5589" s="2352" t="s">
        <v>5012</v>
      </c>
      <c r="B5589" s="2352" t="s">
        <v>4865</v>
      </c>
      <c r="C5589" s="2352" t="s">
        <v>20059</v>
      </c>
      <c r="D5589" s="2352" t="s">
        <v>5013</v>
      </c>
      <c r="E5589" s="355">
        <v>60</v>
      </c>
      <c r="F5589" s="1662">
        <v>12</v>
      </c>
    </row>
    <row r="5590" spans="1:6" ht="15" customHeight="1" x14ac:dyDescent="0.25">
      <c r="A5590" s="2352" t="s">
        <v>5014</v>
      </c>
      <c r="B5590" s="2352" t="s">
        <v>4865</v>
      </c>
      <c r="C5590" s="2352" t="s">
        <v>20059</v>
      </c>
      <c r="D5590" s="2352" t="s">
        <v>5015</v>
      </c>
      <c r="E5590" s="355">
        <v>60</v>
      </c>
      <c r="F5590" s="1662">
        <v>25</v>
      </c>
    </row>
    <row r="5591" spans="1:6" ht="15" customHeight="1" x14ac:dyDescent="0.25">
      <c r="A5591" s="2352" t="s">
        <v>5016</v>
      </c>
      <c r="B5591" s="2352" t="s">
        <v>4865</v>
      </c>
      <c r="C5591" s="2352" t="s">
        <v>20059</v>
      </c>
      <c r="D5591" s="2352" t="s">
        <v>5017</v>
      </c>
      <c r="E5591" s="355">
        <v>25</v>
      </c>
      <c r="F5591" s="1662">
        <v>10</v>
      </c>
    </row>
    <row r="5592" spans="1:6" ht="15" customHeight="1" x14ac:dyDescent="0.25">
      <c r="A5592" s="2352" t="s">
        <v>5018</v>
      </c>
      <c r="B5592" s="2352" t="s">
        <v>4865</v>
      </c>
      <c r="C5592" s="2352" t="s">
        <v>20059</v>
      </c>
      <c r="D5592" s="2352" t="s">
        <v>5019</v>
      </c>
      <c r="E5592" s="355">
        <v>40</v>
      </c>
      <c r="F5592" s="1662">
        <v>5</v>
      </c>
    </row>
    <row r="5593" spans="1:6" ht="15" customHeight="1" x14ac:dyDescent="0.25">
      <c r="A5593" s="2352" t="s">
        <v>5020</v>
      </c>
      <c r="B5593" s="2352" t="s">
        <v>4865</v>
      </c>
      <c r="C5593" s="2352" t="s">
        <v>20059</v>
      </c>
      <c r="D5593" s="2352" t="s">
        <v>5021</v>
      </c>
      <c r="E5593" s="355">
        <v>60</v>
      </c>
      <c r="F5593" s="1662">
        <v>5</v>
      </c>
    </row>
    <row r="5594" spans="1:6" ht="15" customHeight="1" x14ac:dyDescent="0.25">
      <c r="A5594" s="2352" t="s">
        <v>5022</v>
      </c>
      <c r="B5594" s="2352" t="s">
        <v>4865</v>
      </c>
      <c r="C5594" s="2352" t="s">
        <v>20059</v>
      </c>
      <c r="D5594" s="2352" t="s">
        <v>5023</v>
      </c>
      <c r="E5594" s="355">
        <v>60</v>
      </c>
      <c r="F5594" s="1662">
        <v>2</v>
      </c>
    </row>
    <row r="5595" spans="1:6" ht="15" customHeight="1" x14ac:dyDescent="0.25">
      <c r="A5595" s="2352" t="s">
        <v>5022</v>
      </c>
      <c r="B5595" s="2352" t="s">
        <v>4865</v>
      </c>
      <c r="C5595" s="2352" t="s">
        <v>20059</v>
      </c>
      <c r="D5595" s="2352" t="s">
        <v>5024</v>
      </c>
      <c r="E5595" s="355">
        <v>40</v>
      </c>
      <c r="F5595" s="1662">
        <v>12</v>
      </c>
    </row>
    <row r="5596" spans="1:6" ht="15" customHeight="1" x14ac:dyDescent="0.25">
      <c r="A5596" s="2352" t="s">
        <v>5025</v>
      </c>
      <c r="B5596" s="2352" t="s">
        <v>4865</v>
      </c>
      <c r="C5596" s="2352" t="s">
        <v>20059</v>
      </c>
      <c r="D5596" s="2352" t="s">
        <v>5026</v>
      </c>
      <c r="E5596" s="355"/>
      <c r="F5596" s="1662">
        <v>2</v>
      </c>
    </row>
    <row r="5597" spans="1:6" ht="15" customHeight="1" x14ac:dyDescent="0.25">
      <c r="A5597" s="2352" t="s">
        <v>20067</v>
      </c>
      <c r="B5597" s="2352" t="s">
        <v>4865</v>
      </c>
      <c r="C5597" s="2352" t="s">
        <v>20059</v>
      </c>
      <c r="D5597" s="2352" t="s">
        <v>5027</v>
      </c>
      <c r="E5597" s="355">
        <v>63</v>
      </c>
      <c r="F5597" s="1662">
        <v>3</v>
      </c>
    </row>
    <row r="5598" spans="1:6" ht="15" customHeight="1" x14ac:dyDescent="0.25">
      <c r="A5598" s="2352" t="s">
        <v>5028</v>
      </c>
      <c r="B5598" s="2352" t="s">
        <v>4865</v>
      </c>
      <c r="C5598" s="2352" t="s">
        <v>20059</v>
      </c>
      <c r="D5598" s="2352" t="s">
        <v>5029</v>
      </c>
      <c r="E5598" s="355">
        <v>60</v>
      </c>
      <c r="F5598" s="1662">
        <v>0</v>
      </c>
    </row>
    <row r="5599" spans="1:6" ht="15" customHeight="1" x14ac:dyDescent="0.25">
      <c r="A5599" s="2352" t="s">
        <v>5030</v>
      </c>
      <c r="B5599" s="2352" t="s">
        <v>4865</v>
      </c>
      <c r="C5599" s="2352" t="s">
        <v>20059</v>
      </c>
      <c r="D5599" s="2352" t="s">
        <v>5031</v>
      </c>
      <c r="E5599" s="355">
        <v>63</v>
      </c>
      <c r="F5599" s="1662">
        <v>60</v>
      </c>
    </row>
    <row r="5600" spans="1:6" ht="15" customHeight="1" x14ac:dyDescent="0.25">
      <c r="A5600" s="2352" t="s">
        <v>20068</v>
      </c>
      <c r="B5600" s="2352" t="s">
        <v>4865</v>
      </c>
      <c r="C5600" s="2352" t="s">
        <v>20059</v>
      </c>
      <c r="D5600" s="2352" t="s">
        <v>5032</v>
      </c>
      <c r="E5600" s="355">
        <v>100</v>
      </c>
      <c r="F5600" s="1662">
        <v>50</v>
      </c>
    </row>
    <row r="5601" spans="1:6" ht="15" customHeight="1" x14ac:dyDescent="0.25">
      <c r="A5601" s="2352" t="s">
        <v>20068</v>
      </c>
      <c r="B5601" s="2352" t="s">
        <v>4865</v>
      </c>
      <c r="C5601" s="2352" t="s">
        <v>20059</v>
      </c>
      <c r="D5601" s="2352" t="s">
        <v>5033</v>
      </c>
      <c r="E5601" s="355">
        <v>100</v>
      </c>
      <c r="F5601" s="1662">
        <v>50</v>
      </c>
    </row>
    <row r="5602" spans="1:6" ht="15" customHeight="1" x14ac:dyDescent="0.25">
      <c r="A5602" s="2352" t="s">
        <v>20068</v>
      </c>
      <c r="B5602" s="2352" t="s">
        <v>4865</v>
      </c>
      <c r="C5602" s="2352" t="s">
        <v>20059</v>
      </c>
      <c r="D5602" s="2352" t="s">
        <v>5034</v>
      </c>
      <c r="E5602" s="355">
        <v>100</v>
      </c>
      <c r="F5602" s="1662">
        <v>1</v>
      </c>
    </row>
    <row r="5603" spans="1:6" ht="15" customHeight="1" x14ac:dyDescent="0.25">
      <c r="A5603" s="2352" t="s">
        <v>20068</v>
      </c>
      <c r="B5603" s="2352" t="s">
        <v>4865</v>
      </c>
      <c r="C5603" s="2352" t="s">
        <v>20059</v>
      </c>
      <c r="D5603" s="2352" t="s">
        <v>5035</v>
      </c>
      <c r="E5603" s="355">
        <v>160</v>
      </c>
      <c r="F5603" s="1662">
        <v>5</v>
      </c>
    </row>
    <row r="5604" spans="1:6" ht="15" customHeight="1" x14ac:dyDescent="0.25">
      <c r="A5604" s="2352"/>
      <c r="B5604" s="2352" t="s">
        <v>4865</v>
      </c>
      <c r="C5604" s="2352" t="s">
        <v>20059</v>
      </c>
      <c r="D5604" s="2352" t="s">
        <v>5036</v>
      </c>
      <c r="E5604" s="355">
        <v>60</v>
      </c>
      <c r="F5604" s="1662">
        <v>0</v>
      </c>
    </row>
    <row r="5605" spans="1:6" ht="15" customHeight="1" x14ac:dyDescent="0.25">
      <c r="A5605" s="2352" t="s">
        <v>4750</v>
      </c>
      <c r="B5605" s="2352" t="s">
        <v>4865</v>
      </c>
      <c r="C5605" s="2352" t="s">
        <v>20059</v>
      </c>
      <c r="D5605" s="2352" t="s">
        <v>5037</v>
      </c>
      <c r="E5605" s="355">
        <v>25</v>
      </c>
      <c r="F5605" s="1662">
        <v>2</v>
      </c>
    </row>
    <row r="5606" spans="1:6" ht="15" customHeight="1" x14ac:dyDescent="0.25">
      <c r="A5606" s="2352" t="s">
        <v>5038</v>
      </c>
      <c r="B5606" s="2352" t="s">
        <v>4865</v>
      </c>
      <c r="C5606" s="2352" t="s">
        <v>20059</v>
      </c>
      <c r="D5606" s="2352" t="s">
        <v>5039</v>
      </c>
      <c r="E5606" s="355">
        <v>60</v>
      </c>
      <c r="F5606" s="1662">
        <v>12</v>
      </c>
    </row>
    <row r="5607" spans="1:6" ht="15" customHeight="1" x14ac:dyDescent="0.25">
      <c r="A5607" s="2352" t="s">
        <v>5040</v>
      </c>
      <c r="B5607" s="2352" t="s">
        <v>4865</v>
      </c>
      <c r="C5607" s="2352" t="s">
        <v>20059</v>
      </c>
      <c r="D5607" s="2352" t="s">
        <v>5041</v>
      </c>
      <c r="E5607" s="355">
        <v>30</v>
      </c>
      <c r="F5607" s="1662">
        <v>2</v>
      </c>
    </row>
    <row r="5608" spans="1:6" ht="15" customHeight="1" x14ac:dyDescent="0.25">
      <c r="A5608" s="2352" t="s">
        <v>5042</v>
      </c>
      <c r="B5608" s="2352" t="s">
        <v>4865</v>
      </c>
      <c r="C5608" s="2352" t="s">
        <v>20059</v>
      </c>
      <c r="D5608" s="2352" t="s">
        <v>5043</v>
      </c>
      <c r="E5608" s="355">
        <v>63</v>
      </c>
      <c r="F5608" s="1662">
        <v>20</v>
      </c>
    </row>
    <row r="5609" spans="1:6" ht="15" customHeight="1" x14ac:dyDescent="0.25">
      <c r="A5609" s="2352" t="s">
        <v>5044</v>
      </c>
      <c r="B5609" s="2352" t="s">
        <v>4865</v>
      </c>
      <c r="C5609" s="2352" t="s">
        <v>20059</v>
      </c>
      <c r="D5609" s="2352" t="s">
        <v>5045</v>
      </c>
      <c r="E5609" s="355">
        <v>60</v>
      </c>
      <c r="F5609" s="1662">
        <v>25</v>
      </c>
    </row>
    <row r="5610" spans="1:6" ht="15" customHeight="1" x14ac:dyDescent="0.25">
      <c r="A5610" s="2352" t="s">
        <v>5046</v>
      </c>
      <c r="B5610" s="2352" t="s">
        <v>4865</v>
      </c>
      <c r="C5610" s="2352" t="s">
        <v>20059</v>
      </c>
      <c r="D5610" s="2352" t="s">
        <v>5047</v>
      </c>
      <c r="E5610" s="355">
        <v>30</v>
      </c>
      <c r="F5610" s="1662">
        <v>14</v>
      </c>
    </row>
    <row r="5611" spans="1:6" ht="15" customHeight="1" x14ac:dyDescent="0.25">
      <c r="A5611" s="2352" t="s">
        <v>5048</v>
      </c>
      <c r="B5611" s="2352" t="s">
        <v>4865</v>
      </c>
      <c r="C5611" s="2352" t="s">
        <v>20059</v>
      </c>
      <c r="D5611" s="2352" t="s">
        <v>5049</v>
      </c>
      <c r="E5611" s="355">
        <v>40</v>
      </c>
      <c r="F5611" s="1662">
        <v>3</v>
      </c>
    </row>
    <row r="5612" spans="1:6" ht="15" customHeight="1" x14ac:dyDescent="0.25">
      <c r="A5612" s="2352" t="s">
        <v>5050</v>
      </c>
      <c r="B5612" s="2352" t="s">
        <v>4865</v>
      </c>
      <c r="C5612" s="2352" t="s">
        <v>20059</v>
      </c>
      <c r="D5612" s="2352" t="s">
        <v>5051</v>
      </c>
      <c r="E5612" s="355">
        <v>100</v>
      </c>
      <c r="F5612" s="1662">
        <v>0</v>
      </c>
    </row>
    <row r="5613" spans="1:6" ht="15" customHeight="1" x14ac:dyDescent="0.25">
      <c r="A5613" s="2352" t="s">
        <v>5052</v>
      </c>
      <c r="B5613" s="2352" t="s">
        <v>4865</v>
      </c>
      <c r="C5613" s="2352" t="s">
        <v>20059</v>
      </c>
      <c r="D5613" s="2352" t="s">
        <v>5053</v>
      </c>
      <c r="E5613" s="355">
        <v>63</v>
      </c>
      <c r="F5613" s="1662">
        <v>2</v>
      </c>
    </row>
    <row r="5614" spans="1:6" ht="15" customHeight="1" x14ac:dyDescent="0.25">
      <c r="A5614" s="2352" t="s">
        <v>5054</v>
      </c>
      <c r="B5614" s="2352" t="s">
        <v>4865</v>
      </c>
      <c r="C5614" s="2352" t="s">
        <v>20059</v>
      </c>
      <c r="D5614" s="2352" t="s">
        <v>5055</v>
      </c>
      <c r="E5614" s="355">
        <v>250</v>
      </c>
      <c r="F5614" s="1662">
        <v>140</v>
      </c>
    </row>
    <row r="5615" spans="1:6" ht="15" customHeight="1" x14ac:dyDescent="0.25">
      <c r="A5615" s="2352" t="s">
        <v>5056</v>
      </c>
      <c r="B5615" s="2352" t="s">
        <v>4865</v>
      </c>
      <c r="C5615" s="2352" t="s">
        <v>20059</v>
      </c>
      <c r="D5615" s="2352" t="s">
        <v>5057</v>
      </c>
      <c r="E5615" s="355">
        <v>63</v>
      </c>
      <c r="F5615" s="1662">
        <v>12</v>
      </c>
    </row>
    <row r="5616" spans="1:6" ht="15" customHeight="1" x14ac:dyDescent="0.25">
      <c r="A5616" s="2352" t="s">
        <v>5058</v>
      </c>
      <c r="B5616" s="2352" t="s">
        <v>4865</v>
      </c>
      <c r="C5616" s="2352" t="s">
        <v>20059</v>
      </c>
      <c r="D5616" s="2352" t="s">
        <v>5059</v>
      </c>
      <c r="E5616" s="355">
        <v>63</v>
      </c>
      <c r="F5616" s="1662">
        <v>40</v>
      </c>
    </row>
    <row r="5617" spans="1:6" ht="15" customHeight="1" x14ac:dyDescent="0.25">
      <c r="A5617" s="2352" t="s">
        <v>5060</v>
      </c>
      <c r="B5617" s="2352" t="s">
        <v>4865</v>
      </c>
      <c r="C5617" s="2352" t="s">
        <v>20059</v>
      </c>
      <c r="D5617" s="2352" t="s">
        <v>5061</v>
      </c>
      <c r="E5617" s="355">
        <v>100</v>
      </c>
      <c r="F5617" s="1662">
        <v>20</v>
      </c>
    </row>
    <row r="5618" spans="1:6" ht="15" customHeight="1" x14ac:dyDescent="0.25">
      <c r="A5618" s="2352" t="s">
        <v>5062</v>
      </c>
      <c r="B5618" s="2352" t="s">
        <v>4865</v>
      </c>
      <c r="C5618" s="2352" t="s">
        <v>20059</v>
      </c>
      <c r="D5618" s="2352" t="s">
        <v>5063</v>
      </c>
      <c r="E5618" s="355">
        <v>40</v>
      </c>
      <c r="F5618" s="1662">
        <v>12</v>
      </c>
    </row>
    <row r="5619" spans="1:6" ht="15" customHeight="1" x14ac:dyDescent="0.25">
      <c r="A5619" s="2352" t="s">
        <v>5062</v>
      </c>
      <c r="B5619" s="2352" t="s">
        <v>4865</v>
      </c>
      <c r="C5619" s="2352" t="s">
        <v>20059</v>
      </c>
      <c r="D5619" s="2352" t="s">
        <v>5064</v>
      </c>
      <c r="E5619" s="355">
        <v>40</v>
      </c>
      <c r="F5619" s="1662">
        <v>2</v>
      </c>
    </row>
    <row r="5620" spans="1:6" ht="15" customHeight="1" x14ac:dyDescent="0.25">
      <c r="A5620" s="2352" t="s">
        <v>5065</v>
      </c>
      <c r="B5620" s="2352" t="s">
        <v>4865</v>
      </c>
      <c r="C5620" s="2352" t="s">
        <v>20059</v>
      </c>
      <c r="D5620" s="2352" t="s">
        <v>5066</v>
      </c>
      <c r="E5620" s="355">
        <v>10</v>
      </c>
      <c r="F5620" s="1662">
        <v>0</v>
      </c>
    </row>
    <row r="5621" spans="1:6" ht="15" customHeight="1" x14ac:dyDescent="0.25">
      <c r="A5621" s="2352" t="s">
        <v>5067</v>
      </c>
      <c r="B5621" s="2352" t="s">
        <v>4865</v>
      </c>
      <c r="C5621" s="2352" t="s">
        <v>20059</v>
      </c>
      <c r="D5621" s="2352" t="s">
        <v>5068</v>
      </c>
      <c r="E5621" s="355">
        <v>60</v>
      </c>
      <c r="F5621" s="1662">
        <v>10</v>
      </c>
    </row>
    <row r="5622" spans="1:6" ht="15" customHeight="1" x14ac:dyDescent="0.25">
      <c r="A5622" s="2352" t="s">
        <v>5069</v>
      </c>
      <c r="B5622" s="2352" t="s">
        <v>4865</v>
      </c>
      <c r="C5622" s="2352" t="s">
        <v>20059</v>
      </c>
      <c r="D5622" s="2352" t="s">
        <v>5070</v>
      </c>
      <c r="E5622" s="355">
        <v>100</v>
      </c>
      <c r="F5622" s="1662">
        <v>12</v>
      </c>
    </row>
    <row r="5623" spans="1:6" ht="15" customHeight="1" x14ac:dyDescent="0.25">
      <c r="A5623" s="2352" t="s">
        <v>5071</v>
      </c>
      <c r="B5623" s="2352" t="s">
        <v>4865</v>
      </c>
      <c r="C5623" s="2352" t="s">
        <v>20059</v>
      </c>
      <c r="D5623" s="2352" t="s">
        <v>5072</v>
      </c>
      <c r="E5623" s="355">
        <v>60</v>
      </c>
      <c r="F5623" s="1662">
        <v>8</v>
      </c>
    </row>
    <row r="5624" spans="1:6" ht="15" customHeight="1" x14ac:dyDescent="0.25">
      <c r="A5624" s="2352"/>
      <c r="B5624" s="2352" t="s">
        <v>4865</v>
      </c>
      <c r="C5624" s="2352" t="s">
        <v>20059</v>
      </c>
      <c r="D5624" s="2352" t="s">
        <v>5073</v>
      </c>
      <c r="E5624" s="355">
        <v>60</v>
      </c>
      <c r="F5624" s="1662">
        <v>0</v>
      </c>
    </row>
    <row r="5625" spans="1:6" ht="15" customHeight="1" x14ac:dyDescent="0.25">
      <c r="A5625" s="2352"/>
      <c r="B5625" s="2352" t="s">
        <v>4865</v>
      </c>
      <c r="C5625" s="2352" t="s">
        <v>20059</v>
      </c>
      <c r="D5625" s="2352" t="s">
        <v>20069</v>
      </c>
      <c r="E5625" s="355">
        <v>60</v>
      </c>
      <c r="F5625" s="1662">
        <v>1</v>
      </c>
    </row>
    <row r="5626" spans="1:6" ht="15" customHeight="1" x14ac:dyDescent="0.25">
      <c r="A5626" s="2352" t="s">
        <v>20070</v>
      </c>
      <c r="B5626" s="2352" t="s">
        <v>4865</v>
      </c>
      <c r="C5626" s="2352" t="s">
        <v>20059</v>
      </c>
      <c r="D5626" s="2352" t="s">
        <v>5074</v>
      </c>
      <c r="E5626" s="355">
        <v>160</v>
      </c>
      <c r="F5626" s="1662">
        <v>6</v>
      </c>
    </row>
    <row r="5627" spans="1:6" ht="15" customHeight="1" x14ac:dyDescent="0.25">
      <c r="A5627" s="2352"/>
      <c r="B5627" s="2352" t="s">
        <v>4865</v>
      </c>
      <c r="C5627" s="2352" t="s">
        <v>20059</v>
      </c>
      <c r="D5627" s="2352" t="s">
        <v>5075</v>
      </c>
      <c r="E5627" s="355">
        <v>400</v>
      </c>
      <c r="F5627" s="1662">
        <v>10</v>
      </c>
    </row>
    <row r="5628" spans="1:6" ht="15" customHeight="1" x14ac:dyDescent="0.25">
      <c r="A5628" s="2352"/>
      <c r="B5628" s="2352" t="s">
        <v>4865</v>
      </c>
      <c r="C5628" s="2352" t="s">
        <v>20059</v>
      </c>
      <c r="D5628" s="2352" t="s">
        <v>5076</v>
      </c>
      <c r="E5628" s="355">
        <v>60</v>
      </c>
      <c r="F5628" s="1662">
        <v>50</v>
      </c>
    </row>
    <row r="5629" spans="1:6" ht="15" customHeight="1" x14ac:dyDescent="0.25">
      <c r="A5629" s="2352" t="s">
        <v>4916</v>
      </c>
      <c r="B5629" s="2352" t="s">
        <v>4865</v>
      </c>
      <c r="C5629" s="2352" t="s">
        <v>20059</v>
      </c>
      <c r="D5629" s="2352" t="s">
        <v>5077</v>
      </c>
      <c r="E5629" s="355">
        <v>400</v>
      </c>
      <c r="F5629" s="1662">
        <v>1</v>
      </c>
    </row>
    <row r="5630" spans="1:6" ht="15" customHeight="1" x14ac:dyDescent="0.25">
      <c r="A5630" s="2352" t="s">
        <v>4864</v>
      </c>
      <c r="B5630" s="2352" t="s">
        <v>4865</v>
      </c>
      <c r="C5630" s="2352" t="s">
        <v>20059</v>
      </c>
      <c r="D5630" s="2352" t="s">
        <v>5078</v>
      </c>
      <c r="E5630" s="355">
        <v>250</v>
      </c>
      <c r="F5630" s="1662">
        <v>10</v>
      </c>
    </row>
    <row r="5631" spans="1:6" ht="15" customHeight="1" x14ac:dyDescent="0.25">
      <c r="A5631" s="2352" t="s">
        <v>4864</v>
      </c>
      <c r="B5631" s="2352" t="s">
        <v>4865</v>
      </c>
      <c r="C5631" s="2352" t="s">
        <v>20059</v>
      </c>
      <c r="D5631" s="2352" t="s">
        <v>5079</v>
      </c>
      <c r="E5631" s="355">
        <v>160</v>
      </c>
      <c r="F5631" s="1662">
        <v>40</v>
      </c>
    </row>
    <row r="5632" spans="1:6" ht="15" customHeight="1" x14ac:dyDescent="0.25">
      <c r="A5632" s="2352" t="s">
        <v>4956</v>
      </c>
      <c r="B5632" s="2352" t="s">
        <v>4865</v>
      </c>
      <c r="C5632" s="2352" t="s">
        <v>20059</v>
      </c>
      <c r="D5632" s="2352" t="s">
        <v>5080</v>
      </c>
      <c r="E5632" s="355">
        <v>25</v>
      </c>
      <c r="F5632" s="1662">
        <v>2</v>
      </c>
    </row>
    <row r="5633" spans="1:6" ht="15" customHeight="1" x14ac:dyDescent="0.25">
      <c r="A5633" s="2352" t="s">
        <v>20071</v>
      </c>
      <c r="B5633" s="2352" t="s">
        <v>4865</v>
      </c>
      <c r="C5633" s="2352" t="s">
        <v>20059</v>
      </c>
      <c r="D5633" s="2352" t="s">
        <v>5081</v>
      </c>
      <c r="E5633" s="355">
        <v>60</v>
      </c>
      <c r="F5633" s="1662">
        <v>1</v>
      </c>
    </row>
    <row r="5634" spans="1:6" ht="15" customHeight="1" x14ac:dyDescent="0.25">
      <c r="A5634" s="2352" t="s">
        <v>20071</v>
      </c>
      <c r="B5634" s="2352" t="s">
        <v>4865</v>
      </c>
      <c r="C5634" s="2352" t="s">
        <v>20059</v>
      </c>
      <c r="D5634" s="2352" t="s">
        <v>5082</v>
      </c>
      <c r="E5634" s="355">
        <v>250</v>
      </c>
      <c r="F5634" s="1662">
        <v>25</v>
      </c>
    </row>
    <row r="5635" spans="1:6" ht="15" customHeight="1" x14ac:dyDescent="0.25">
      <c r="A5635" s="2352" t="s">
        <v>5083</v>
      </c>
      <c r="B5635" s="2352" t="s">
        <v>4865</v>
      </c>
      <c r="C5635" s="2352" t="s">
        <v>20059</v>
      </c>
      <c r="D5635" s="2352" t="s">
        <v>5084</v>
      </c>
      <c r="E5635" s="355">
        <v>160</v>
      </c>
      <c r="F5635" s="1662">
        <v>2</v>
      </c>
    </row>
    <row r="5636" spans="1:6" ht="15" customHeight="1" x14ac:dyDescent="0.25">
      <c r="A5636" s="2352" t="s">
        <v>5085</v>
      </c>
      <c r="B5636" s="2352" t="s">
        <v>4865</v>
      </c>
      <c r="C5636" s="2352" t="s">
        <v>20059</v>
      </c>
      <c r="D5636" s="2352" t="s">
        <v>5086</v>
      </c>
      <c r="E5636" s="355">
        <v>630</v>
      </c>
      <c r="F5636" s="1662">
        <v>450</v>
      </c>
    </row>
    <row r="5637" spans="1:6" ht="15" customHeight="1" x14ac:dyDescent="0.25">
      <c r="A5637" s="2352" t="s">
        <v>5087</v>
      </c>
      <c r="B5637" s="2352" t="s">
        <v>4865</v>
      </c>
      <c r="C5637" s="2352" t="s">
        <v>20059</v>
      </c>
      <c r="D5637" s="2352" t="s">
        <v>5088</v>
      </c>
      <c r="E5637" s="355">
        <v>400</v>
      </c>
      <c r="F5637" s="1662">
        <v>370</v>
      </c>
    </row>
    <row r="5638" spans="1:6" ht="15" customHeight="1" x14ac:dyDescent="0.25">
      <c r="A5638" s="2352" t="s">
        <v>5087</v>
      </c>
      <c r="B5638" s="2352" t="s">
        <v>4865</v>
      </c>
      <c r="C5638" s="2352" t="s">
        <v>20059</v>
      </c>
      <c r="D5638" s="2352" t="s">
        <v>5089</v>
      </c>
      <c r="E5638" s="355">
        <v>250</v>
      </c>
      <c r="F5638" s="1662">
        <v>200</v>
      </c>
    </row>
    <row r="5639" spans="1:6" ht="15" customHeight="1" x14ac:dyDescent="0.25">
      <c r="A5639" s="2352" t="s">
        <v>20072</v>
      </c>
      <c r="B5639" s="2352" t="s">
        <v>4865</v>
      </c>
      <c r="C5639" s="2352" t="s">
        <v>20059</v>
      </c>
      <c r="D5639" s="2352" t="s">
        <v>5090</v>
      </c>
      <c r="E5639" s="355">
        <v>160</v>
      </c>
      <c r="F5639" s="1662">
        <v>15</v>
      </c>
    </row>
    <row r="5640" spans="1:6" ht="15" customHeight="1" x14ac:dyDescent="0.25">
      <c r="A5640" s="2352" t="s">
        <v>20072</v>
      </c>
      <c r="B5640" s="2352" t="s">
        <v>4865</v>
      </c>
      <c r="C5640" s="2352" t="s">
        <v>20059</v>
      </c>
      <c r="D5640" s="2352" t="s">
        <v>5091</v>
      </c>
      <c r="E5640" s="355">
        <v>250</v>
      </c>
      <c r="F5640" s="1662">
        <v>18</v>
      </c>
    </row>
    <row r="5641" spans="1:6" ht="15" customHeight="1" x14ac:dyDescent="0.25">
      <c r="A5641" s="2352" t="s">
        <v>5092</v>
      </c>
      <c r="B5641" s="2352" t="s">
        <v>4865</v>
      </c>
      <c r="C5641" s="2352" t="s">
        <v>20059</v>
      </c>
      <c r="D5641" s="2352" t="s">
        <v>5093</v>
      </c>
      <c r="E5641" s="355">
        <v>100</v>
      </c>
      <c r="F5641" s="1662">
        <v>10</v>
      </c>
    </row>
    <row r="5642" spans="1:6" ht="15" customHeight="1" x14ac:dyDescent="0.25">
      <c r="A5642" s="2352" t="s">
        <v>20068</v>
      </c>
      <c r="B5642" s="2352" t="s">
        <v>4865</v>
      </c>
      <c r="C5642" s="2352" t="s">
        <v>20059</v>
      </c>
      <c r="D5642" s="2352" t="s">
        <v>5094</v>
      </c>
      <c r="E5642" s="355">
        <v>250</v>
      </c>
      <c r="F5642" s="1662">
        <v>10</v>
      </c>
    </row>
    <row r="5643" spans="1:6" ht="15" customHeight="1" x14ac:dyDescent="0.25">
      <c r="A5643" s="2352" t="s">
        <v>20068</v>
      </c>
      <c r="B5643" s="2352" t="s">
        <v>4865</v>
      </c>
      <c r="C5643" s="2352" t="s">
        <v>20059</v>
      </c>
      <c r="D5643" s="2352" t="s">
        <v>5095</v>
      </c>
      <c r="E5643" s="355">
        <v>100</v>
      </c>
      <c r="F5643" s="1662">
        <v>10</v>
      </c>
    </row>
    <row r="5644" spans="1:6" ht="15" customHeight="1" x14ac:dyDescent="0.25">
      <c r="A5644" s="2352"/>
      <c r="B5644" s="2352" t="s">
        <v>4865</v>
      </c>
      <c r="C5644" s="2352" t="s">
        <v>20059</v>
      </c>
      <c r="D5644" s="2352" t="s">
        <v>5096</v>
      </c>
      <c r="E5644" s="355">
        <v>100</v>
      </c>
      <c r="F5644" s="1662">
        <v>10</v>
      </c>
    </row>
    <row r="5645" spans="1:6" ht="15" customHeight="1" x14ac:dyDescent="0.25">
      <c r="A5645" s="2352"/>
      <c r="B5645" s="2352" t="s">
        <v>4865</v>
      </c>
      <c r="C5645" s="2352" t="s">
        <v>20059</v>
      </c>
      <c r="D5645" s="2352" t="s">
        <v>5097</v>
      </c>
      <c r="E5645" s="355">
        <v>100</v>
      </c>
      <c r="F5645" s="1662">
        <v>0</v>
      </c>
    </row>
    <row r="5646" spans="1:6" ht="15" customHeight="1" x14ac:dyDescent="0.25">
      <c r="A5646" s="2352" t="s">
        <v>4878</v>
      </c>
      <c r="B5646" s="2352" t="s">
        <v>4865</v>
      </c>
      <c r="C5646" s="2352" t="s">
        <v>20059</v>
      </c>
      <c r="D5646" s="2352" t="s">
        <v>5098</v>
      </c>
      <c r="E5646" s="355">
        <v>400</v>
      </c>
      <c r="F5646" s="1662">
        <v>350</v>
      </c>
    </row>
    <row r="5647" spans="1:6" ht="15" customHeight="1" x14ac:dyDescent="0.25">
      <c r="A5647" s="2352" t="s">
        <v>4929</v>
      </c>
      <c r="B5647" s="2352" t="s">
        <v>4865</v>
      </c>
      <c r="C5647" s="2352" t="s">
        <v>20059</v>
      </c>
      <c r="D5647" s="2352" t="s">
        <v>5099</v>
      </c>
      <c r="E5647" s="355">
        <v>250</v>
      </c>
      <c r="F5647" s="1662">
        <v>21</v>
      </c>
    </row>
    <row r="5648" spans="1:6" ht="15" customHeight="1" x14ac:dyDescent="0.25">
      <c r="A5648" s="2352" t="s">
        <v>4929</v>
      </c>
      <c r="B5648" s="2352" t="s">
        <v>4865</v>
      </c>
      <c r="C5648" s="2352" t="s">
        <v>20059</v>
      </c>
      <c r="D5648" s="2352" t="s">
        <v>5100</v>
      </c>
      <c r="E5648" s="355">
        <v>160</v>
      </c>
      <c r="F5648" s="1662">
        <v>10</v>
      </c>
    </row>
    <row r="5649" spans="1:6" ht="15" customHeight="1" x14ac:dyDescent="0.25">
      <c r="A5649" s="2352"/>
      <c r="B5649" s="2352" t="s">
        <v>4865</v>
      </c>
      <c r="C5649" s="2352" t="s">
        <v>20059</v>
      </c>
      <c r="D5649" s="2352" t="s">
        <v>5101</v>
      </c>
      <c r="E5649" s="355">
        <v>320</v>
      </c>
      <c r="F5649" s="1662">
        <v>20</v>
      </c>
    </row>
    <row r="5650" spans="1:6" ht="15" customHeight="1" x14ac:dyDescent="0.25">
      <c r="A5650" s="2352" t="s">
        <v>5102</v>
      </c>
      <c r="B5650" s="2352" t="s">
        <v>4865</v>
      </c>
      <c r="C5650" s="2352" t="s">
        <v>20059</v>
      </c>
      <c r="D5650" s="2352" t="s">
        <v>5103</v>
      </c>
      <c r="E5650" s="355">
        <v>10</v>
      </c>
      <c r="F5650" s="1662">
        <v>0</v>
      </c>
    </row>
    <row r="5651" spans="1:6" ht="15" customHeight="1" x14ac:dyDescent="0.25">
      <c r="A5651" s="2352" t="s">
        <v>20073</v>
      </c>
      <c r="B5651" s="2352" t="s">
        <v>4865</v>
      </c>
      <c r="C5651" s="2352" t="s">
        <v>20059</v>
      </c>
      <c r="D5651" s="2352" t="s">
        <v>5104</v>
      </c>
      <c r="E5651" s="355">
        <v>10</v>
      </c>
      <c r="F5651" s="1662">
        <v>0</v>
      </c>
    </row>
    <row r="5652" spans="1:6" ht="15" customHeight="1" x14ac:dyDescent="0.25">
      <c r="A5652" s="2352" t="s">
        <v>20074</v>
      </c>
      <c r="B5652" s="2352" t="s">
        <v>4865</v>
      </c>
      <c r="C5652" s="2352" t="s">
        <v>20059</v>
      </c>
      <c r="D5652" s="2352" t="s">
        <v>5105</v>
      </c>
      <c r="E5652" s="355">
        <v>4</v>
      </c>
      <c r="F5652" s="1662">
        <v>0</v>
      </c>
    </row>
    <row r="5653" spans="1:6" ht="15" customHeight="1" x14ac:dyDescent="0.25">
      <c r="A5653" s="2352" t="s">
        <v>20075</v>
      </c>
      <c r="B5653" s="2352" t="s">
        <v>4865</v>
      </c>
      <c r="C5653" s="2352" t="s">
        <v>20059</v>
      </c>
      <c r="D5653" s="2352" t="s">
        <v>5106</v>
      </c>
      <c r="E5653" s="355">
        <v>10</v>
      </c>
      <c r="F5653" s="1662">
        <v>0</v>
      </c>
    </row>
    <row r="5654" spans="1:6" ht="15" customHeight="1" x14ac:dyDescent="0.25">
      <c r="A5654" s="2352" t="s">
        <v>5107</v>
      </c>
      <c r="B5654" s="2352" t="s">
        <v>4865</v>
      </c>
      <c r="C5654" s="2352" t="s">
        <v>20059</v>
      </c>
      <c r="D5654" s="2352" t="s">
        <v>5108</v>
      </c>
      <c r="E5654" s="355">
        <v>10</v>
      </c>
      <c r="F5654" s="1662">
        <v>0</v>
      </c>
    </row>
    <row r="5655" spans="1:6" ht="15" customHeight="1" x14ac:dyDescent="0.25">
      <c r="A5655" s="2352" t="s">
        <v>20076</v>
      </c>
      <c r="B5655" s="2352" t="s">
        <v>4865</v>
      </c>
      <c r="C5655" s="2352" t="s">
        <v>20059</v>
      </c>
      <c r="D5655" s="2352" t="s">
        <v>5109</v>
      </c>
      <c r="E5655" s="355">
        <v>30</v>
      </c>
      <c r="F5655" s="1662">
        <v>0</v>
      </c>
    </row>
    <row r="5656" spans="1:6" ht="15" customHeight="1" x14ac:dyDescent="0.25">
      <c r="A5656" s="2352" t="s">
        <v>5110</v>
      </c>
      <c r="B5656" s="2352" t="s">
        <v>4865</v>
      </c>
      <c r="C5656" s="2352" t="s">
        <v>20059</v>
      </c>
      <c r="D5656" s="2352" t="s">
        <v>5111</v>
      </c>
      <c r="E5656" s="355">
        <v>10</v>
      </c>
      <c r="F5656" s="1662">
        <v>0</v>
      </c>
    </row>
    <row r="5657" spans="1:6" ht="15" customHeight="1" x14ac:dyDescent="0.25">
      <c r="A5657" s="2352" t="s">
        <v>20077</v>
      </c>
      <c r="B5657" s="2352" t="s">
        <v>4865</v>
      </c>
      <c r="C5657" s="2352" t="s">
        <v>20059</v>
      </c>
      <c r="D5657" s="2352" t="s">
        <v>20078</v>
      </c>
      <c r="E5657" s="355">
        <v>10</v>
      </c>
      <c r="F5657" s="1662">
        <v>0</v>
      </c>
    </row>
    <row r="5658" spans="1:6" ht="15" customHeight="1" x14ac:dyDescent="0.25">
      <c r="A5658" s="2352" t="s">
        <v>5112</v>
      </c>
      <c r="B5658" s="2352" t="s">
        <v>4865</v>
      </c>
      <c r="C5658" s="2352" t="s">
        <v>20059</v>
      </c>
      <c r="D5658" s="2352" t="s">
        <v>5113</v>
      </c>
      <c r="E5658" s="355">
        <v>10</v>
      </c>
      <c r="F5658" s="1662">
        <v>0</v>
      </c>
    </row>
    <row r="5659" spans="1:6" ht="15" customHeight="1" x14ac:dyDescent="0.25">
      <c r="A5659" s="2352" t="s">
        <v>5114</v>
      </c>
      <c r="B5659" s="2352" t="s">
        <v>4865</v>
      </c>
      <c r="C5659" s="2352" t="s">
        <v>20059</v>
      </c>
      <c r="D5659" s="2352" t="s">
        <v>5115</v>
      </c>
      <c r="E5659" s="355">
        <v>10</v>
      </c>
      <c r="F5659" s="1662">
        <v>1</v>
      </c>
    </row>
    <row r="5660" spans="1:6" ht="15" customHeight="1" x14ac:dyDescent="0.25">
      <c r="A5660" s="2352" t="s">
        <v>9587</v>
      </c>
      <c r="B5660" s="2352" t="s">
        <v>9656</v>
      </c>
      <c r="C5660" s="2352" t="s">
        <v>9656</v>
      </c>
      <c r="D5660" s="2352" t="s">
        <v>9657</v>
      </c>
      <c r="E5660" s="355">
        <v>30</v>
      </c>
      <c r="F5660" s="1662">
        <v>5</v>
      </c>
    </row>
    <row r="5661" spans="1:6" ht="15" customHeight="1" x14ac:dyDescent="0.25">
      <c r="A5661" s="2352" t="s">
        <v>14513</v>
      </c>
      <c r="B5661" s="2352" t="s">
        <v>9656</v>
      </c>
      <c r="C5661" s="2352" t="s">
        <v>9656</v>
      </c>
      <c r="D5661" s="2352" t="s">
        <v>9658</v>
      </c>
      <c r="E5661" s="355">
        <v>30</v>
      </c>
      <c r="F5661" s="1662">
        <v>3</v>
      </c>
    </row>
    <row r="5662" spans="1:6" ht="15" customHeight="1" x14ac:dyDescent="0.25">
      <c r="A5662" s="2352" t="s">
        <v>7471</v>
      </c>
      <c r="B5662" s="2352" t="s">
        <v>9656</v>
      </c>
      <c r="C5662" s="2352" t="s">
        <v>9656</v>
      </c>
      <c r="D5662" s="2352" t="s">
        <v>9659</v>
      </c>
      <c r="E5662" s="355">
        <v>60</v>
      </c>
      <c r="F5662" s="1662">
        <v>15</v>
      </c>
    </row>
    <row r="5663" spans="1:6" ht="15" customHeight="1" x14ac:dyDescent="0.25">
      <c r="A5663" s="2352" t="s">
        <v>6510</v>
      </c>
      <c r="B5663" s="2352" t="s">
        <v>9656</v>
      </c>
      <c r="C5663" s="2352" t="s">
        <v>9656</v>
      </c>
      <c r="D5663" s="2352" t="s">
        <v>9660</v>
      </c>
      <c r="E5663" s="355">
        <v>400</v>
      </c>
      <c r="F5663" s="1662">
        <v>340</v>
      </c>
    </row>
    <row r="5664" spans="1:6" ht="15" customHeight="1" x14ac:dyDescent="0.25">
      <c r="A5664" s="2352" t="s">
        <v>6510</v>
      </c>
      <c r="B5664" s="2352" t="s">
        <v>9656</v>
      </c>
      <c r="C5664" s="2352" t="s">
        <v>9656</v>
      </c>
      <c r="D5664" s="2352" t="s">
        <v>9661</v>
      </c>
      <c r="E5664" s="355">
        <v>100</v>
      </c>
      <c r="F5664" s="1662">
        <v>30</v>
      </c>
    </row>
    <row r="5665" spans="1:6" ht="15" customHeight="1" x14ac:dyDescent="0.25">
      <c r="A5665" s="2352" t="s">
        <v>6510</v>
      </c>
      <c r="B5665" s="2352" t="s">
        <v>9656</v>
      </c>
      <c r="C5665" s="2352" t="s">
        <v>9656</v>
      </c>
      <c r="D5665" s="2352" t="s">
        <v>9662</v>
      </c>
      <c r="E5665" s="355">
        <v>160</v>
      </c>
      <c r="F5665" s="1662">
        <v>50</v>
      </c>
    </row>
    <row r="5666" spans="1:6" ht="15" customHeight="1" x14ac:dyDescent="0.25">
      <c r="A5666" s="2352" t="s">
        <v>14514</v>
      </c>
      <c r="B5666" s="2352" t="s">
        <v>9656</v>
      </c>
      <c r="C5666" s="2352" t="s">
        <v>9656</v>
      </c>
      <c r="D5666" s="2352" t="s">
        <v>9663</v>
      </c>
      <c r="E5666" s="355">
        <v>30</v>
      </c>
      <c r="F5666" s="1662">
        <v>10</v>
      </c>
    </row>
    <row r="5667" spans="1:6" ht="15" customHeight="1" x14ac:dyDescent="0.25">
      <c r="A5667" s="2352" t="s">
        <v>14515</v>
      </c>
      <c r="B5667" s="2352" t="s">
        <v>9656</v>
      </c>
      <c r="C5667" s="2352" t="s">
        <v>9656</v>
      </c>
      <c r="D5667" s="2352" t="s">
        <v>9664</v>
      </c>
      <c r="E5667" s="355">
        <v>160</v>
      </c>
      <c r="F5667" s="1662">
        <v>30</v>
      </c>
    </row>
    <row r="5668" spans="1:6" ht="15" customHeight="1" x14ac:dyDescent="0.25">
      <c r="A5668" s="2352" t="s">
        <v>14516</v>
      </c>
      <c r="B5668" s="2352" t="s">
        <v>9656</v>
      </c>
      <c r="C5668" s="2352" t="s">
        <v>9656</v>
      </c>
      <c r="D5668" s="2352" t="s">
        <v>9665</v>
      </c>
      <c r="E5668" s="355">
        <v>40</v>
      </c>
      <c r="F5668" s="1662">
        <v>10</v>
      </c>
    </row>
    <row r="5669" spans="1:6" ht="15" customHeight="1" x14ac:dyDescent="0.25">
      <c r="A5669" s="2352" t="s">
        <v>14517</v>
      </c>
      <c r="B5669" s="2352" t="s">
        <v>9656</v>
      </c>
      <c r="C5669" s="2352" t="s">
        <v>9656</v>
      </c>
      <c r="D5669" s="2352" t="s">
        <v>9666</v>
      </c>
      <c r="E5669" s="355">
        <v>250</v>
      </c>
      <c r="F5669" s="1662">
        <v>200</v>
      </c>
    </row>
    <row r="5670" spans="1:6" ht="15" customHeight="1" x14ac:dyDescent="0.25">
      <c r="A5670" s="2352" t="s">
        <v>14518</v>
      </c>
      <c r="B5670" s="2352" t="s">
        <v>9656</v>
      </c>
      <c r="C5670" s="2352" t="s">
        <v>9656</v>
      </c>
      <c r="D5670" s="2352" t="s">
        <v>9667</v>
      </c>
      <c r="E5670" s="355">
        <v>100</v>
      </c>
      <c r="F5670" s="1662">
        <v>45</v>
      </c>
    </row>
    <row r="5671" spans="1:6" ht="15" customHeight="1" x14ac:dyDescent="0.25">
      <c r="A5671" s="2352" t="s">
        <v>14519</v>
      </c>
      <c r="B5671" s="2352" t="s">
        <v>9656</v>
      </c>
      <c r="C5671" s="2352" t="s">
        <v>9656</v>
      </c>
      <c r="D5671" s="2352" t="s">
        <v>9668</v>
      </c>
      <c r="E5671" s="355">
        <v>60</v>
      </c>
      <c r="F5671" s="1662">
        <v>50</v>
      </c>
    </row>
    <row r="5672" spans="1:6" ht="15" customHeight="1" x14ac:dyDescent="0.25">
      <c r="A5672" s="2352" t="s">
        <v>14520</v>
      </c>
      <c r="B5672" s="2352" t="s">
        <v>9656</v>
      </c>
      <c r="C5672" s="2352" t="s">
        <v>9656</v>
      </c>
      <c r="D5672" s="2352" t="s">
        <v>9669</v>
      </c>
      <c r="E5672" s="355">
        <v>250</v>
      </c>
      <c r="F5672" s="1662">
        <v>60</v>
      </c>
    </row>
    <row r="5673" spans="1:6" ht="15" customHeight="1" x14ac:dyDescent="0.25">
      <c r="A5673" s="2352" t="s">
        <v>14521</v>
      </c>
      <c r="B5673" s="2352" t="s">
        <v>9656</v>
      </c>
      <c r="C5673" s="2352" t="s">
        <v>9656</v>
      </c>
      <c r="D5673" s="2352" t="s">
        <v>9670</v>
      </c>
      <c r="E5673" s="355">
        <v>180</v>
      </c>
      <c r="F5673" s="1662">
        <v>30</v>
      </c>
    </row>
    <row r="5674" spans="1:6" ht="15" customHeight="1" x14ac:dyDescent="0.25">
      <c r="A5674" s="2352" t="s">
        <v>14522</v>
      </c>
      <c r="B5674" s="2352" t="s">
        <v>9656</v>
      </c>
      <c r="C5674" s="2352" t="s">
        <v>9656</v>
      </c>
      <c r="D5674" s="2352" t="s">
        <v>9671</v>
      </c>
      <c r="E5674" s="355">
        <v>60</v>
      </c>
      <c r="F5674" s="1662">
        <v>10</v>
      </c>
    </row>
    <row r="5675" spans="1:6" ht="15" customHeight="1" x14ac:dyDescent="0.25">
      <c r="A5675" s="2352" t="s">
        <v>14523</v>
      </c>
      <c r="B5675" s="2352" t="s">
        <v>9656</v>
      </c>
      <c r="C5675" s="2352" t="s">
        <v>9656</v>
      </c>
      <c r="D5675" s="2352" t="s">
        <v>9672</v>
      </c>
      <c r="E5675" s="355">
        <v>25</v>
      </c>
      <c r="F5675" s="1662">
        <v>10</v>
      </c>
    </row>
    <row r="5676" spans="1:6" ht="15" customHeight="1" x14ac:dyDescent="0.25">
      <c r="A5676" s="2352" t="s">
        <v>7331</v>
      </c>
      <c r="B5676" s="2352" t="s">
        <v>9656</v>
      </c>
      <c r="C5676" s="2352" t="s">
        <v>9656</v>
      </c>
      <c r="D5676" s="2352" t="s">
        <v>9673</v>
      </c>
      <c r="E5676" s="355">
        <v>60</v>
      </c>
      <c r="F5676" s="1662">
        <v>5</v>
      </c>
    </row>
    <row r="5677" spans="1:6" ht="15" customHeight="1" x14ac:dyDescent="0.25">
      <c r="A5677" s="2352" t="s">
        <v>14524</v>
      </c>
      <c r="B5677" s="2352" t="s">
        <v>9656</v>
      </c>
      <c r="C5677" s="2352" t="s">
        <v>9656</v>
      </c>
      <c r="D5677" s="2352" t="s">
        <v>9674</v>
      </c>
      <c r="E5677" s="355">
        <v>10</v>
      </c>
      <c r="F5677" s="1662">
        <v>1</v>
      </c>
    </row>
    <row r="5678" spans="1:6" ht="15" customHeight="1" x14ac:dyDescent="0.25">
      <c r="A5678" s="2352" t="s">
        <v>14523</v>
      </c>
      <c r="B5678" s="2352" t="s">
        <v>9656</v>
      </c>
      <c r="C5678" s="2352" t="s">
        <v>9656</v>
      </c>
      <c r="D5678" s="2352" t="s">
        <v>9675</v>
      </c>
      <c r="E5678" s="355">
        <v>160</v>
      </c>
      <c r="F5678" s="1662">
        <v>40</v>
      </c>
    </row>
    <row r="5679" spans="1:6" ht="15" customHeight="1" x14ac:dyDescent="0.25">
      <c r="A5679" s="2352" t="s">
        <v>14523</v>
      </c>
      <c r="B5679" s="2352" t="s">
        <v>9656</v>
      </c>
      <c r="C5679" s="2352" t="s">
        <v>9656</v>
      </c>
      <c r="D5679" s="2352" t="s">
        <v>9676</v>
      </c>
      <c r="E5679" s="355">
        <v>60</v>
      </c>
      <c r="F5679" s="1662">
        <v>60</v>
      </c>
    </row>
    <row r="5680" spans="1:6" ht="15" customHeight="1" x14ac:dyDescent="0.25">
      <c r="A5680" s="2352" t="s">
        <v>14523</v>
      </c>
      <c r="B5680" s="2352" t="s">
        <v>9656</v>
      </c>
      <c r="C5680" s="2352" t="s">
        <v>9656</v>
      </c>
      <c r="D5680" s="2352" t="s">
        <v>9677</v>
      </c>
      <c r="E5680" s="355">
        <v>160</v>
      </c>
      <c r="F5680" s="1662">
        <v>20</v>
      </c>
    </row>
    <row r="5681" spans="1:6" ht="15" customHeight="1" x14ac:dyDescent="0.25">
      <c r="A5681" s="2352" t="s">
        <v>14523</v>
      </c>
      <c r="B5681" s="2352" t="s">
        <v>9656</v>
      </c>
      <c r="C5681" s="2352" t="s">
        <v>9656</v>
      </c>
      <c r="D5681" s="2352" t="s">
        <v>9678</v>
      </c>
      <c r="E5681" s="355">
        <v>400</v>
      </c>
      <c r="F5681" s="1662">
        <v>120</v>
      </c>
    </row>
    <row r="5682" spans="1:6" ht="15" customHeight="1" x14ac:dyDescent="0.25">
      <c r="A5682" s="2352" t="s">
        <v>4942</v>
      </c>
      <c r="B5682" s="2352" t="s">
        <v>9656</v>
      </c>
      <c r="C5682" s="2352" t="s">
        <v>9656</v>
      </c>
      <c r="D5682" s="2352" t="s">
        <v>9679</v>
      </c>
      <c r="E5682" s="355">
        <v>25</v>
      </c>
      <c r="F5682" s="1662">
        <v>5</v>
      </c>
    </row>
    <row r="5683" spans="1:6" ht="15" customHeight="1" x14ac:dyDescent="0.25">
      <c r="A5683" s="2352" t="s">
        <v>14525</v>
      </c>
      <c r="B5683" s="2352" t="s">
        <v>9656</v>
      </c>
      <c r="C5683" s="2352" t="s">
        <v>9656</v>
      </c>
      <c r="D5683" s="2352" t="s">
        <v>9680</v>
      </c>
      <c r="E5683" s="355">
        <v>10</v>
      </c>
      <c r="F5683" s="1662">
        <v>6</v>
      </c>
    </row>
    <row r="5684" spans="1:6" ht="15" customHeight="1" x14ac:dyDescent="0.25">
      <c r="A5684" s="2352" t="s">
        <v>9114</v>
      </c>
      <c r="B5684" s="2352" t="s">
        <v>9656</v>
      </c>
      <c r="C5684" s="2352" t="s">
        <v>9656</v>
      </c>
      <c r="D5684" s="2352" t="s">
        <v>9681</v>
      </c>
      <c r="E5684" s="355">
        <v>10</v>
      </c>
      <c r="F5684" s="1662">
        <v>2</v>
      </c>
    </row>
    <row r="5685" spans="1:6" ht="15" customHeight="1" x14ac:dyDescent="0.25">
      <c r="A5685" s="2352" t="s">
        <v>8668</v>
      </c>
      <c r="B5685" s="2352" t="s">
        <v>9656</v>
      </c>
      <c r="C5685" s="2352" t="s">
        <v>9656</v>
      </c>
      <c r="D5685" s="2352" t="s">
        <v>9682</v>
      </c>
      <c r="E5685" s="355">
        <v>160</v>
      </c>
      <c r="F5685" s="1662">
        <v>20</v>
      </c>
    </row>
    <row r="5686" spans="1:6" ht="15" customHeight="1" x14ac:dyDescent="0.25">
      <c r="A5686" s="2352" t="s">
        <v>14526</v>
      </c>
      <c r="B5686" s="2352" t="s">
        <v>9656</v>
      </c>
      <c r="C5686" s="2352" t="s">
        <v>9656</v>
      </c>
      <c r="D5686" s="2352" t="s">
        <v>9683</v>
      </c>
      <c r="E5686" s="355">
        <v>100</v>
      </c>
      <c r="F5686" s="1662">
        <v>60</v>
      </c>
    </row>
    <row r="5687" spans="1:6" ht="15" customHeight="1" x14ac:dyDescent="0.25">
      <c r="A5687" s="2352" t="s">
        <v>4942</v>
      </c>
      <c r="B5687" s="2352" t="s">
        <v>9656</v>
      </c>
      <c r="C5687" s="2352" t="s">
        <v>9656</v>
      </c>
      <c r="D5687" s="2352" t="s">
        <v>9679</v>
      </c>
      <c r="E5687" s="355">
        <v>20</v>
      </c>
      <c r="F5687" s="1662">
        <v>5</v>
      </c>
    </row>
    <row r="5688" spans="1:6" ht="15" customHeight="1" x14ac:dyDescent="0.25">
      <c r="A5688" s="2352" t="s">
        <v>8302</v>
      </c>
      <c r="B5688" s="2352" t="s">
        <v>9656</v>
      </c>
      <c r="C5688" s="2352" t="s">
        <v>9656</v>
      </c>
      <c r="D5688" s="2352" t="s">
        <v>9684</v>
      </c>
      <c r="E5688" s="355">
        <v>10</v>
      </c>
      <c r="F5688" s="1662">
        <v>0</v>
      </c>
    </row>
    <row r="5689" spans="1:6" ht="15" customHeight="1" x14ac:dyDescent="0.25">
      <c r="A5689" s="2352" t="s">
        <v>14527</v>
      </c>
      <c r="B5689" s="2352" t="s">
        <v>9656</v>
      </c>
      <c r="C5689" s="2352" t="s">
        <v>9656</v>
      </c>
      <c r="D5689" s="2352" t="s">
        <v>9685</v>
      </c>
      <c r="E5689" s="355">
        <v>60</v>
      </c>
      <c r="F5689" s="1662">
        <v>20</v>
      </c>
    </row>
    <row r="5690" spans="1:6" ht="15" customHeight="1" x14ac:dyDescent="0.25">
      <c r="A5690" s="2352" t="s">
        <v>7969</v>
      </c>
      <c r="B5690" s="2352" t="s">
        <v>9656</v>
      </c>
      <c r="C5690" s="2352" t="s">
        <v>9656</v>
      </c>
      <c r="D5690" s="2352" t="s">
        <v>9686</v>
      </c>
      <c r="E5690" s="355">
        <v>100</v>
      </c>
      <c r="F5690" s="1662">
        <v>22</v>
      </c>
    </row>
    <row r="5691" spans="1:6" ht="15" customHeight="1" x14ac:dyDescent="0.25">
      <c r="A5691" s="2352" t="s">
        <v>7969</v>
      </c>
      <c r="B5691" s="2352" t="s">
        <v>9656</v>
      </c>
      <c r="C5691" s="2352" t="s">
        <v>9656</v>
      </c>
      <c r="D5691" s="2352" t="s">
        <v>9687</v>
      </c>
      <c r="E5691" s="355">
        <v>100</v>
      </c>
      <c r="F5691" s="1662">
        <v>31</v>
      </c>
    </row>
    <row r="5692" spans="1:6" ht="15" customHeight="1" x14ac:dyDescent="0.25">
      <c r="A5692" s="2352" t="s">
        <v>7969</v>
      </c>
      <c r="B5692" s="2352" t="s">
        <v>9656</v>
      </c>
      <c r="C5692" s="2352" t="s">
        <v>9656</v>
      </c>
      <c r="D5692" s="2352" t="s">
        <v>9688</v>
      </c>
      <c r="E5692" s="355">
        <v>250</v>
      </c>
      <c r="F5692" s="1662">
        <v>240</v>
      </c>
    </row>
    <row r="5693" spans="1:6" ht="15" customHeight="1" x14ac:dyDescent="0.25">
      <c r="A5693" s="2352" t="s">
        <v>14528</v>
      </c>
      <c r="B5693" s="2352" t="s">
        <v>9656</v>
      </c>
      <c r="C5693" s="2352" t="s">
        <v>9656</v>
      </c>
      <c r="D5693" s="2352" t="s">
        <v>9689</v>
      </c>
      <c r="E5693" s="355">
        <v>60</v>
      </c>
      <c r="F5693" s="1662">
        <v>58</v>
      </c>
    </row>
    <row r="5694" spans="1:6" ht="15" customHeight="1" x14ac:dyDescent="0.25">
      <c r="A5694" s="2352" t="s">
        <v>14529</v>
      </c>
      <c r="B5694" s="2352" t="s">
        <v>9656</v>
      </c>
      <c r="C5694" s="2352" t="s">
        <v>9656</v>
      </c>
      <c r="D5694" s="2352" t="s">
        <v>9690</v>
      </c>
      <c r="E5694" s="355">
        <v>100</v>
      </c>
      <c r="F5694" s="1662">
        <v>12</v>
      </c>
    </row>
    <row r="5695" spans="1:6" ht="15" customHeight="1" x14ac:dyDescent="0.25">
      <c r="A5695" s="2352" t="s">
        <v>9691</v>
      </c>
      <c r="B5695" s="2352" t="s">
        <v>9656</v>
      </c>
      <c r="C5695" s="2352" t="s">
        <v>9656</v>
      </c>
      <c r="D5695" s="2352" t="s">
        <v>9692</v>
      </c>
      <c r="E5695" s="355">
        <v>60</v>
      </c>
      <c r="F5695" s="1662">
        <v>8</v>
      </c>
    </row>
    <row r="5696" spans="1:6" ht="15" customHeight="1" x14ac:dyDescent="0.25">
      <c r="A5696" s="2352" t="s">
        <v>9691</v>
      </c>
      <c r="B5696" s="2352" t="s">
        <v>9656</v>
      </c>
      <c r="C5696" s="2352" t="s">
        <v>9656</v>
      </c>
      <c r="D5696" s="2352" t="s">
        <v>9693</v>
      </c>
      <c r="E5696" s="355">
        <v>160</v>
      </c>
      <c r="F5696" s="1662">
        <v>100</v>
      </c>
    </row>
    <row r="5697" spans="1:6" ht="15" customHeight="1" x14ac:dyDescent="0.25">
      <c r="A5697" s="2352" t="s">
        <v>9694</v>
      </c>
      <c r="B5697" s="2352" t="s">
        <v>9656</v>
      </c>
      <c r="C5697" s="2352" t="s">
        <v>9656</v>
      </c>
      <c r="D5697" s="2352" t="s">
        <v>9695</v>
      </c>
      <c r="E5697" s="355">
        <v>250</v>
      </c>
      <c r="F5697" s="1662">
        <v>230</v>
      </c>
    </row>
    <row r="5698" spans="1:6" ht="15" customHeight="1" x14ac:dyDescent="0.25">
      <c r="A5698" s="2352" t="s">
        <v>14530</v>
      </c>
      <c r="B5698" s="2352" t="s">
        <v>9656</v>
      </c>
      <c r="C5698" s="2352" t="s">
        <v>9656</v>
      </c>
      <c r="D5698" s="2352" t="s">
        <v>9696</v>
      </c>
      <c r="E5698" s="355">
        <v>100</v>
      </c>
      <c r="F5698" s="1662">
        <v>90</v>
      </c>
    </row>
    <row r="5699" spans="1:6" ht="15" customHeight="1" x14ac:dyDescent="0.25">
      <c r="A5699" s="2352" t="s">
        <v>9636</v>
      </c>
      <c r="B5699" s="2352" t="s">
        <v>9656</v>
      </c>
      <c r="C5699" s="2352" t="s">
        <v>9656</v>
      </c>
      <c r="D5699" s="2352" t="s">
        <v>9697</v>
      </c>
      <c r="E5699" s="355">
        <v>160</v>
      </c>
      <c r="F5699" s="1662">
        <v>11</v>
      </c>
    </row>
    <row r="5700" spans="1:6" ht="15" customHeight="1" x14ac:dyDescent="0.25">
      <c r="A5700" s="2352" t="s">
        <v>9636</v>
      </c>
      <c r="B5700" s="2352" t="s">
        <v>9656</v>
      </c>
      <c r="C5700" s="2352" t="s">
        <v>9656</v>
      </c>
      <c r="D5700" s="2352" t="s">
        <v>9698</v>
      </c>
      <c r="E5700" s="355">
        <v>180</v>
      </c>
      <c r="F5700" s="1662">
        <v>180</v>
      </c>
    </row>
    <row r="5701" spans="1:6" ht="15" customHeight="1" x14ac:dyDescent="0.25">
      <c r="A5701" s="2352" t="s">
        <v>9694</v>
      </c>
      <c r="B5701" s="2352" t="s">
        <v>9656</v>
      </c>
      <c r="C5701" s="2352" t="s">
        <v>9656</v>
      </c>
      <c r="D5701" s="2352" t="s">
        <v>9699</v>
      </c>
      <c r="E5701" s="355">
        <v>250</v>
      </c>
      <c r="F5701" s="1662">
        <v>200</v>
      </c>
    </row>
    <row r="5702" spans="1:6" ht="15" customHeight="1" x14ac:dyDescent="0.25">
      <c r="A5702" s="2352" t="s">
        <v>9694</v>
      </c>
      <c r="B5702" s="2352" t="s">
        <v>9656</v>
      </c>
      <c r="C5702" s="2352" t="s">
        <v>9656</v>
      </c>
      <c r="D5702" s="2352" t="s">
        <v>9700</v>
      </c>
      <c r="E5702" s="355">
        <v>250</v>
      </c>
      <c r="F5702" s="1662">
        <v>30</v>
      </c>
    </row>
    <row r="5703" spans="1:6" ht="15" customHeight="1" x14ac:dyDescent="0.25">
      <c r="A5703" s="2352" t="s">
        <v>9694</v>
      </c>
      <c r="B5703" s="2352" t="s">
        <v>9656</v>
      </c>
      <c r="C5703" s="2352" t="s">
        <v>9656</v>
      </c>
      <c r="D5703" s="2352" t="s">
        <v>9701</v>
      </c>
      <c r="E5703" s="355">
        <v>250</v>
      </c>
      <c r="F5703" s="1662">
        <v>120</v>
      </c>
    </row>
    <row r="5704" spans="1:6" ht="15" customHeight="1" x14ac:dyDescent="0.25">
      <c r="A5704" s="2352" t="s">
        <v>9702</v>
      </c>
      <c r="B5704" s="2352" t="s">
        <v>9656</v>
      </c>
      <c r="C5704" s="2352" t="s">
        <v>9656</v>
      </c>
      <c r="D5704" s="2352" t="s">
        <v>9703</v>
      </c>
      <c r="E5704" s="355">
        <v>100</v>
      </c>
      <c r="F5704" s="1662">
        <v>30</v>
      </c>
    </row>
    <row r="5705" spans="1:6" ht="15" customHeight="1" x14ac:dyDescent="0.25">
      <c r="A5705" s="2352" t="s">
        <v>14531</v>
      </c>
      <c r="B5705" s="2352" t="s">
        <v>9656</v>
      </c>
      <c r="C5705" s="2352" t="s">
        <v>9656</v>
      </c>
      <c r="D5705" s="2352" t="s">
        <v>9704</v>
      </c>
      <c r="E5705" s="355">
        <v>100</v>
      </c>
      <c r="F5705" s="1662">
        <v>65</v>
      </c>
    </row>
    <row r="5706" spans="1:6" ht="15" customHeight="1" x14ac:dyDescent="0.25">
      <c r="A5706" s="2352" t="s">
        <v>9702</v>
      </c>
      <c r="B5706" s="2352" t="s">
        <v>9656</v>
      </c>
      <c r="C5706" s="2352" t="s">
        <v>9656</v>
      </c>
      <c r="D5706" s="2352" t="s">
        <v>9705</v>
      </c>
      <c r="E5706" s="355">
        <v>160</v>
      </c>
      <c r="F5706" s="1662">
        <v>110</v>
      </c>
    </row>
    <row r="5707" spans="1:6" ht="15" customHeight="1" x14ac:dyDescent="0.25">
      <c r="A5707" s="2352" t="s">
        <v>14532</v>
      </c>
      <c r="B5707" s="2352" t="s">
        <v>9656</v>
      </c>
      <c r="C5707" s="2352" t="s">
        <v>9656</v>
      </c>
      <c r="D5707" s="2352" t="s">
        <v>9706</v>
      </c>
      <c r="E5707" s="355">
        <v>250</v>
      </c>
      <c r="F5707" s="1662">
        <v>120</v>
      </c>
    </row>
    <row r="5708" spans="1:6" ht="15" customHeight="1" x14ac:dyDescent="0.25">
      <c r="A5708" s="2352" t="s">
        <v>9045</v>
      </c>
      <c r="B5708" s="2352" t="s">
        <v>9656</v>
      </c>
      <c r="C5708" s="2352" t="s">
        <v>9656</v>
      </c>
      <c r="D5708" s="2352" t="s">
        <v>9707</v>
      </c>
      <c r="E5708" s="355">
        <v>250</v>
      </c>
      <c r="F5708" s="1662">
        <v>220</v>
      </c>
    </row>
    <row r="5709" spans="1:6" ht="15" customHeight="1" x14ac:dyDescent="0.25">
      <c r="A5709" s="2352" t="s">
        <v>14533</v>
      </c>
      <c r="B5709" s="2352" t="s">
        <v>9656</v>
      </c>
      <c r="C5709" s="2352" t="s">
        <v>9656</v>
      </c>
      <c r="D5709" s="2352" t="s">
        <v>9708</v>
      </c>
      <c r="E5709" s="355">
        <v>250</v>
      </c>
      <c r="F5709" s="1662">
        <v>250</v>
      </c>
    </row>
    <row r="5710" spans="1:6" ht="15" customHeight="1" x14ac:dyDescent="0.25">
      <c r="A5710" s="2352" t="s">
        <v>9114</v>
      </c>
      <c r="B5710" s="2352" t="s">
        <v>9656</v>
      </c>
      <c r="C5710" s="2352" t="s">
        <v>9656</v>
      </c>
      <c r="D5710" s="2352" t="s">
        <v>9709</v>
      </c>
      <c r="E5710" s="355">
        <v>30</v>
      </c>
      <c r="F5710" s="1662">
        <v>2</v>
      </c>
    </row>
    <row r="5711" spans="1:6" ht="15" customHeight="1" x14ac:dyDescent="0.25">
      <c r="A5711" s="2352" t="s">
        <v>14534</v>
      </c>
      <c r="B5711" s="2352" t="s">
        <v>9656</v>
      </c>
      <c r="C5711" s="2352" t="s">
        <v>9656</v>
      </c>
      <c r="D5711" s="2352" t="s">
        <v>9710</v>
      </c>
      <c r="E5711" s="355">
        <v>160</v>
      </c>
      <c r="F5711" s="1662">
        <v>7</v>
      </c>
    </row>
    <row r="5712" spans="1:6" ht="15" customHeight="1" x14ac:dyDescent="0.25">
      <c r="A5712" s="2352" t="s">
        <v>14535</v>
      </c>
      <c r="B5712" s="2352" t="s">
        <v>9656</v>
      </c>
      <c r="C5712" s="2352" t="s">
        <v>9656</v>
      </c>
      <c r="D5712" s="2352" t="s">
        <v>9711</v>
      </c>
      <c r="E5712" s="355">
        <v>25</v>
      </c>
      <c r="F5712" s="1662">
        <v>10</v>
      </c>
    </row>
    <row r="5713" spans="1:6" ht="15" customHeight="1" x14ac:dyDescent="0.25">
      <c r="A5713" s="2352" t="s">
        <v>3698</v>
      </c>
      <c r="B5713" s="2352" t="s">
        <v>9656</v>
      </c>
      <c r="C5713" s="2352" t="s">
        <v>9656</v>
      </c>
      <c r="D5713" s="2352" t="s">
        <v>9712</v>
      </c>
      <c r="E5713" s="355">
        <v>60</v>
      </c>
      <c r="F5713" s="1662">
        <v>12</v>
      </c>
    </row>
    <row r="5714" spans="1:6" ht="15" customHeight="1" x14ac:dyDescent="0.25">
      <c r="A5714" s="2352" t="s">
        <v>9702</v>
      </c>
      <c r="B5714" s="2352" t="s">
        <v>9656</v>
      </c>
      <c r="C5714" s="2352" t="s">
        <v>9656</v>
      </c>
      <c r="D5714" s="2352" t="s">
        <v>9713</v>
      </c>
      <c r="E5714" s="355">
        <v>30</v>
      </c>
      <c r="F5714" s="1662">
        <v>20</v>
      </c>
    </row>
    <row r="5715" spans="1:6" ht="15" customHeight="1" x14ac:dyDescent="0.25">
      <c r="A5715" s="2352" t="s">
        <v>4904</v>
      </c>
      <c r="B5715" s="2352" t="s">
        <v>9656</v>
      </c>
      <c r="C5715" s="2352" t="s">
        <v>9656</v>
      </c>
      <c r="D5715" s="2352" t="s">
        <v>9714</v>
      </c>
      <c r="E5715" s="355">
        <v>25</v>
      </c>
      <c r="F5715" s="1662">
        <v>4</v>
      </c>
    </row>
    <row r="5716" spans="1:6" ht="15" customHeight="1" x14ac:dyDescent="0.25">
      <c r="A5716" s="2352" t="s">
        <v>9338</v>
      </c>
      <c r="B5716" s="2352" t="s">
        <v>9656</v>
      </c>
      <c r="C5716" s="2352" t="s">
        <v>9656</v>
      </c>
      <c r="D5716" s="2352" t="s">
        <v>9715</v>
      </c>
      <c r="E5716" s="355">
        <v>63</v>
      </c>
      <c r="F5716" s="1662">
        <v>3</v>
      </c>
    </row>
    <row r="5717" spans="1:6" ht="15" customHeight="1" x14ac:dyDescent="0.25">
      <c r="A5717" s="2352" t="s">
        <v>14536</v>
      </c>
      <c r="B5717" s="2352" t="s">
        <v>9656</v>
      </c>
      <c r="C5717" s="2352" t="s">
        <v>9656</v>
      </c>
      <c r="D5717" s="2352" t="s">
        <v>9716</v>
      </c>
      <c r="E5717" s="355">
        <v>10</v>
      </c>
      <c r="F5717" s="1662">
        <v>2</v>
      </c>
    </row>
    <row r="5718" spans="1:6" ht="15" customHeight="1" x14ac:dyDescent="0.25">
      <c r="A5718" s="2352" t="s">
        <v>9691</v>
      </c>
      <c r="B5718" s="2352" t="s">
        <v>9656</v>
      </c>
      <c r="C5718" s="2352" t="s">
        <v>9656</v>
      </c>
      <c r="D5718" s="2352" t="s">
        <v>9717</v>
      </c>
      <c r="E5718" s="355">
        <v>160</v>
      </c>
      <c r="F5718" s="1662">
        <v>130</v>
      </c>
    </row>
    <row r="5719" spans="1:6" ht="15" customHeight="1" x14ac:dyDescent="0.25">
      <c r="A5719" s="2352" t="s">
        <v>9691</v>
      </c>
      <c r="B5719" s="2352" t="s">
        <v>9656</v>
      </c>
      <c r="C5719" s="2352" t="s">
        <v>9656</v>
      </c>
      <c r="D5719" s="2352" t="s">
        <v>9718</v>
      </c>
      <c r="E5719" s="355">
        <v>100</v>
      </c>
      <c r="F5719" s="1662">
        <v>30</v>
      </c>
    </row>
    <row r="5720" spans="1:6" ht="15" customHeight="1" x14ac:dyDescent="0.25">
      <c r="A5720" s="2352" t="s">
        <v>7425</v>
      </c>
      <c r="B5720" s="2352" t="s">
        <v>9656</v>
      </c>
      <c r="C5720" s="2352" t="s">
        <v>9656</v>
      </c>
      <c r="D5720" s="2352" t="s">
        <v>9719</v>
      </c>
      <c r="E5720" s="355">
        <v>250</v>
      </c>
      <c r="F5720" s="1662">
        <v>0</v>
      </c>
    </row>
    <row r="5721" spans="1:6" ht="15" customHeight="1" x14ac:dyDescent="0.25">
      <c r="A5721" s="2352" t="s">
        <v>18617</v>
      </c>
      <c r="B5721" s="2352" t="s">
        <v>9656</v>
      </c>
      <c r="C5721" s="2352" t="s">
        <v>9656</v>
      </c>
      <c r="D5721" s="2352" t="s">
        <v>18618</v>
      </c>
      <c r="E5721" s="355">
        <v>63</v>
      </c>
      <c r="F5721" s="1662">
        <v>0</v>
      </c>
    </row>
    <row r="5722" spans="1:6" ht="15" customHeight="1" x14ac:dyDescent="0.25">
      <c r="A5722" s="2352" t="s">
        <v>14537</v>
      </c>
      <c r="B5722" s="2352" t="s">
        <v>9656</v>
      </c>
      <c r="C5722" s="2352" t="s">
        <v>9656</v>
      </c>
      <c r="D5722" s="2352" t="s">
        <v>9720</v>
      </c>
      <c r="E5722" s="355">
        <v>60</v>
      </c>
      <c r="F5722" s="1662">
        <v>50</v>
      </c>
    </row>
    <row r="5723" spans="1:6" ht="15" customHeight="1" x14ac:dyDescent="0.25">
      <c r="A5723" s="2352" t="s">
        <v>9694</v>
      </c>
      <c r="B5723" s="2352" t="s">
        <v>9656</v>
      </c>
      <c r="C5723" s="2352" t="s">
        <v>9656</v>
      </c>
      <c r="D5723" s="2352" t="s">
        <v>9721</v>
      </c>
      <c r="E5723" s="355">
        <v>160</v>
      </c>
      <c r="F5723" s="1662">
        <v>23</v>
      </c>
    </row>
    <row r="5724" spans="1:6" ht="15" customHeight="1" x14ac:dyDescent="0.25">
      <c r="A5724" s="2352" t="s">
        <v>14538</v>
      </c>
      <c r="B5724" s="2352" t="s">
        <v>9656</v>
      </c>
      <c r="C5724" s="2352" t="s">
        <v>9656</v>
      </c>
      <c r="D5724" s="2352" t="s">
        <v>9722</v>
      </c>
      <c r="E5724" s="355">
        <v>10</v>
      </c>
      <c r="F5724" s="1662">
        <v>5</v>
      </c>
    </row>
    <row r="5725" spans="1:6" ht="15" customHeight="1" x14ac:dyDescent="0.25">
      <c r="A5725" s="2352" t="s">
        <v>9742</v>
      </c>
      <c r="B5725" s="2352" t="s">
        <v>9656</v>
      </c>
      <c r="C5725" s="2352" t="s">
        <v>9656</v>
      </c>
      <c r="D5725" s="2352" t="s">
        <v>9723</v>
      </c>
      <c r="E5725" s="355">
        <v>60</v>
      </c>
      <c r="F5725" s="1662">
        <v>10</v>
      </c>
    </row>
    <row r="5726" spans="1:6" ht="15" customHeight="1" x14ac:dyDescent="0.25">
      <c r="A5726" s="2352" t="s">
        <v>14539</v>
      </c>
      <c r="B5726" s="2352" t="s">
        <v>9656</v>
      </c>
      <c r="C5726" s="2352" t="s">
        <v>9656</v>
      </c>
      <c r="D5726" s="2352" t="s">
        <v>9724</v>
      </c>
      <c r="E5726" s="355">
        <v>100</v>
      </c>
      <c r="F5726" s="1662">
        <v>70</v>
      </c>
    </row>
    <row r="5727" spans="1:6" ht="15" customHeight="1" x14ac:dyDescent="0.25">
      <c r="A5727" s="2352" t="s">
        <v>3938</v>
      </c>
      <c r="B5727" s="2352" t="s">
        <v>9656</v>
      </c>
      <c r="C5727" s="2352" t="s">
        <v>9656</v>
      </c>
      <c r="D5727" s="2352" t="s">
        <v>9725</v>
      </c>
      <c r="E5727" s="355">
        <v>250</v>
      </c>
      <c r="F5727" s="1662">
        <v>30</v>
      </c>
    </row>
    <row r="5728" spans="1:6" ht="15" customHeight="1" x14ac:dyDescent="0.25">
      <c r="A5728" s="2352" t="s">
        <v>14540</v>
      </c>
      <c r="B5728" s="2352" t="s">
        <v>9656</v>
      </c>
      <c r="C5728" s="2352" t="s">
        <v>9656</v>
      </c>
      <c r="D5728" s="2352" t="s">
        <v>9726</v>
      </c>
      <c r="E5728" s="355">
        <v>63</v>
      </c>
      <c r="F5728" s="1662">
        <v>30</v>
      </c>
    </row>
    <row r="5729" spans="1:6" ht="15" customHeight="1" x14ac:dyDescent="0.25">
      <c r="A5729" s="2352" t="s">
        <v>3938</v>
      </c>
      <c r="B5729" s="2352" t="s">
        <v>9656</v>
      </c>
      <c r="C5729" s="2352" t="s">
        <v>9656</v>
      </c>
      <c r="D5729" s="2352" t="s">
        <v>9727</v>
      </c>
      <c r="E5729" s="355">
        <v>250</v>
      </c>
      <c r="F5729" s="1662">
        <v>50</v>
      </c>
    </row>
    <row r="5730" spans="1:6" ht="15" customHeight="1" x14ac:dyDescent="0.25">
      <c r="A5730" s="2352" t="s">
        <v>14541</v>
      </c>
      <c r="B5730" s="2352" t="s">
        <v>9656</v>
      </c>
      <c r="C5730" s="2352" t="s">
        <v>9656</v>
      </c>
      <c r="D5730" s="2352" t="s">
        <v>9728</v>
      </c>
      <c r="E5730" s="355">
        <v>100</v>
      </c>
      <c r="F5730" s="1662">
        <v>25</v>
      </c>
    </row>
    <row r="5731" spans="1:6" ht="15" customHeight="1" x14ac:dyDescent="0.25">
      <c r="A5731" s="2352" t="s">
        <v>14542</v>
      </c>
      <c r="B5731" s="2352" t="s">
        <v>9656</v>
      </c>
      <c r="C5731" s="2352" t="s">
        <v>9656</v>
      </c>
      <c r="D5731" s="2352" t="s">
        <v>9729</v>
      </c>
      <c r="E5731" s="355">
        <v>160</v>
      </c>
      <c r="F5731" s="1662">
        <v>100</v>
      </c>
    </row>
    <row r="5732" spans="1:6" ht="15" customHeight="1" x14ac:dyDescent="0.25">
      <c r="A5732" s="2352" t="s">
        <v>3984</v>
      </c>
      <c r="B5732" s="2352" t="s">
        <v>9656</v>
      </c>
      <c r="C5732" s="2352" t="s">
        <v>9656</v>
      </c>
      <c r="D5732" s="2352" t="s">
        <v>9730</v>
      </c>
      <c r="E5732" s="355">
        <v>250</v>
      </c>
      <c r="F5732" s="1662">
        <v>130</v>
      </c>
    </row>
    <row r="5733" spans="1:6" ht="15" customHeight="1" x14ac:dyDescent="0.25">
      <c r="A5733" s="2352" t="s">
        <v>14543</v>
      </c>
      <c r="B5733" s="2352" t="s">
        <v>9656</v>
      </c>
      <c r="C5733" s="2352" t="s">
        <v>9656</v>
      </c>
      <c r="D5733" s="2352" t="s">
        <v>9731</v>
      </c>
      <c r="E5733" s="355">
        <v>250</v>
      </c>
      <c r="F5733" s="1662">
        <v>200</v>
      </c>
    </row>
    <row r="5734" spans="1:6" ht="15" customHeight="1" x14ac:dyDescent="0.25">
      <c r="A5734" s="2352" t="s">
        <v>14544</v>
      </c>
      <c r="B5734" s="2352" t="s">
        <v>9656</v>
      </c>
      <c r="C5734" s="2352" t="s">
        <v>9656</v>
      </c>
      <c r="D5734" s="2352" t="s">
        <v>9732</v>
      </c>
      <c r="E5734" s="355">
        <v>20</v>
      </c>
      <c r="F5734" s="1662">
        <v>10</v>
      </c>
    </row>
    <row r="5735" spans="1:6" ht="15" customHeight="1" x14ac:dyDescent="0.25">
      <c r="A5735" s="2352" t="s">
        <v>14544</v>
      </c>
      <c r="B5735" s="2352" t="s">
        <v>9656</v>
      </c>
      <c r="C5735" s="2352" t="s">
        <v>9656</v>
      </c>
      <c r="D5735" s="2352" t="s">
        <v>9733</v>
      </c>
      <c r="E5735" s="355">
        <v>250</v>
      </c>
      <c r="F5735" s="1662">
        <v>40</v>
      </c>
    </row>
    <row r="5736" spans="1:6" ht="15" customHeight="1" x14ac:dyDescent="0.25">
      <c r="A5736" s="2352" t="s">
        <v>9742</v>
      </c>
      <c r="B5736" s="2352" t="s">
        <v>9656</v>
      </c>
      <c r="C5736" s="2352" t="s">
        <v>9656</v>
      </c>
      <c r="D5736" s="2352" t="s">
        <v>9734</v>
      </c>
      <c r="E5736" s="355">
        <v>100</v>
      </c>
      <c r="F5736" s="1662">
        <v>45</v>
      </c>
    </row>
    <row r="5737" spans="1:6" ht="15" customHeight="1" x14ac:dyDescent="0.25">
      <c r="A5737" s="2352" t="s">
        <v>3938</v>
      </c>
      <c r="B5737" s="2352" t="s">
        <v>9656</v>
      </c>
      <c r="C5737" s="2352" t="s">
        <v>9656</v>
      </c>
      <c r="D5737" s="2352" t="s">
        <v>9735</v>
      </c>
      <c r="E5737" s="355">
        <v>400</v>
      </c>
      <c r="F5737" s="1662">
        <v>210</v>
      </c>
    </row>
    <row r="5738" spans="1:6" ht="15" customHeight="1" x14ac:dyDescent="0.25">
      <c r="A5738" s="2352" t="s">
        <v>14545</v>
      </c>
      <c r="B5738" s="2352" t="s">
        <v>9656</v>
      </c>
      <c r="C5738" s="2352" t="s">
        <v>9656</v>
      </c>
      <c r="D5738" s="2352" t="s">
        <v>9736</v>
      </c>
      <c r="E5738" s="355">
        <v>40</v>
      </c>
      <c r="F5738" s="1662">
        <v>3</v>
      </c>
    </row>
    <row r="5739" spans="1:6" ht="15" customHeight="1" x14ac:dyDescent="0.25">
      <c r="A5739" s="2352" t="s">
        <v>9072</v>
      </c>
      <c r="B5739" s="2352" t="s">
        <v>9656</v>
      </c>
      <c r="C5739" s="2352" t="s">
        <v>9656</v>
      </c>
      <c r="D5739" s="2352" t="s">
        <v>9737</v>
      </c>
      <c r="E5739" s="355">
        <v>60</v>
      </c>
      <c r="F5739" s="1662">
        <v>2</v>
      </c>
    </row>
    <row r="5740" spans="1:6" ht="15" customHeight="1" x14ac:dyDescent="0.25">
      <c r="A5740" s="2352" t="s">
        <v>14546</v>
      </c>
      <c r="B5740" s="2352" t="s">
        <v>9656</v>
      </c>
      <c r="C5740" s="2352" t="s">
        <v>9656</v>
      </c>
      <c r="D5740" s="2352" t="s">
        <v>9738</v>
      </c>
      <c r="E5740" s="355">
        <v>50</v>
      </c>
      <c r="F5740" s="1662">
        <v>21</v>
      </c>
    </row>
    <row r="5741" spans="1:6" ht="15" customHeight="1" x14ac:dyDescent="0.25">
      <c r="A5741" s="2352" t="s">
        <v>14547</v>
      </c>
      <c r="B5741" s="2352" t="s">
        <v>9656</v>
      </c>
      <c r="C5741" s="2352" t="s">
        <v>9656</v>
      </c>
      <c r="D5741" s="2352" t="s">
        <v>9739</v>
      </c>
      <c r="E5741" s="355">
        <v>10</v>
      </c>
      <c r="F5741" s="1662">
        <v>4</v>
      </c>
    </row>
    <row r="5742" spans="1:6" ht="15" customHeight="1" x14ac:dyDescent="0.25">
      <c r="A5742" s="2352" t="s">
        <v>4007</v>
      </c>
      <c r="B5742" s="2352" t="s">
        <v>9656</v>
      </c>
      <c r="C5742" s="2352" t="s">
        <v>9656</v>
      </c>
      <c r="D5742" s="2352" t="s">
        <v>9740</v>
      </c>
      <c r="E5742" s="355">
        <v>60</v>
      </c>
      <c r="F5742" s="1662">
        <v>40</v>
      </c>
    </row>
    <row r="5743" spans="1:6" ht="15" customHeight="1" x14ac:dyDescent="0.25">
      <c r="A5743" s="2352" t="s">
        <v>14400</v>
      </c>
      <c r="B5743" s="2352" t="s">
        <v>9656</v>
      </c>
      <c r="C5743" s="2352" t="s">
        <v>9656</v>
      </c>
      <c r="D5743" s="2352" t="s">
        <v>9741</v>
      </c>
      <c r="E5743" s="355">
        <v>20</v>
      </c>
      <c r="F5743" s="1662">
        <v>3</v>
      </c>
    </row>
    <row r="5744" spans="1:6" ht="15" customHeight="1" x14ac:dyDescent="0.25">
      <c r="A5744" s="2352" t="s">
        <v>9742</v>
      </c>
      <c r="B5744" s="2352" t="s">
        <v>9656</v>
      </c>
      <c r="C5744" s="2352" t="s">
        <v>9656</v>
      </c>
      <c r="D5744" s="2352" t="s">
        <v>9743</v>
      </c>
      <c r="E5744" s="355">
        <v>30</v>
      </c>
      <c r="F5744" s="1662">
        <v>20</v>
      </c>
    </row>
    <row r="5745" spans="1:6" ht="15" customHeight="1" x14ac:dyDescent="0.25">
      <c r="A5745" s="2352" t="s">
        <v>14548</v>
      </c>
      <c r="B5745" s="2352" t="s">
        <v>9656</v>
      </c>
      <c r="C5745" s="2352" t="s">
        <v>9656</v>
      </c>
      <c r="D5745" s="2352" t="s">
        <v>9744</v>
      </c>
      <c r="E5745" s="355">
        <v>10</v>
      </c>
      <c r="F5745" s="1662">
        <v>4</v>
      </c>
    </row>
    <row r="5746" spans="1:6" ht="15" customHeight="1" x14ac:dyDescent="0.25">
      <c r="A5746" s="2352" t="s">
        <v>5495</v>
      </c>
      <c r="B5746" s="2352" t="s">
        <v>9656</v>
      </c>
      <c r="C5746" s="2352" t="s">
        <v>9656</v>
      </c>
      <c r="D5746" s="2352" t="s">
        <v>9745</v>
      </c>
      <c r="E5746" s="355">
        <v>10</v>
      </c>
      <c r="F5746" s="1662">
        <v>5</v>
      </c>
    </row>
    <row r="5747" spans="1:6" ht="15" customHeight="1" x14ac:dyDescent="0.25">
      <c r="A5747" s="2352" t="s">
        <v>14549</v>
      </c>
      <c r="B5747" s="2352" t="s">
        <v>9656</v>
      </c>
      <c r="C5747" s="2352" t="s">
        <v>9656</v>
      </c>
      <c r="D5747" s="2352" t="s">
        <v>9746</v>
      </c>
      <c r="E5747" s="355">
        <v>10</v>
      </c>
      <c r="F5747" s="1662">
        <v>0</v>
      </c>
    </row>
    <row r="5748" spans="1:6" ht="15" customHeight="1" x14ac:dyDescent="0.25">
      <c r="A5748" s="2352" t="s">
        <v>14550</v>
      </c>
      <c r="B5748" s="2352" t="s">
        <v>9656</v>
      </c>
      <c r="C5748" s="2352" t="s">
        <v>9656</v>
      </c>
      <c r="D5748" s="2352" t="s">
        <v>9747</v>
      </c>
      <c r="E5748" s="355">
        <v>25</v>
      </c>
      <c r="F5748" s="1662">
        <v>5</v>
      </c>
    </row>
    <row r="5749" spans="1:6" ht="15" customHeight="1" x14ac:dyDescent="0.25">
      <c r="A5749" s="2352" t="s">
        <v>14551</v>
      </c>
      <c r="B5749" s="2352" t="s">
        <v>9656</v>
      </c>
      <c r="C5749" s="2352" t="s">
        <v>9656</v>
      </c>
      <c r="D5749" s="2352" t="s">
        <v>9748</v>
      </c>
      <c r="E5749" s="355">
        <v>100</v>
      </c>
      <c r="F5749" s="1662">
        <v>20</v>
      </c>
    </row>
    <row r="5750" spans="1:6" ht="15" customHeight="1" x14ac:dyDescent="0.25">
      <c r="A5750" s="2352" t="s">
        <v>14552</v>
      </c>
      <c r="B5750" s="2352" t="s">
        <v>9656</v>
      </c>
      <c r="C5750" s="2352" t="s">
        <v>9656</v>
      </c>
      <c r="D5750" s="2352" t="s">
        <v>9749</v>
      </c>
      <c r="E5750" s="355">
        <v>100</v>
      </c>
      <c r="F5750" s="1662">
        <v>60</v>
      </c>
    </row>
    <row r="5751" spans="1:6" ht="15" customHeight="1" x14ac:dyDescent="0.25">
      <c r="A5751" s="2352" t="s">
        <v>14553</v>
      </c>
      <c r="B5751" s="2352" t="s">
        <v>9656</v>
      </c>
      <c r="C5751" s="2352" t="s">
        <v>9656</v>
      </c>
      <c r="D5751" s="2352" t="s">
        <v>9750</v>
      </c>
      <c r="E5751" s="355">
        <v>60</v>
      </c>
      <c r="F5751" s="1662">
        <v>50</v>
      </c>
    </row>
    <row r="5752" spans="1:6" ht="15" customHeight="1" x14ac:dyDescent="0.25">
      <c r="A5752" s="2352" t="s">
        <v>14554</v>
      </c>
      <c r="B5752" s="2352" t="s">
        <v>9656</v>
      </c>
      <c r="C5752" s="2352" t="s">
        <v>9656</v>
      </c>
      <c r="D5752" s="2352" t="s">
        <v>9751</v>
      </c>
      <c r="E5752" s="355">
        <v>20</v>
      </c>
      <c r="F5752" s="1662">
        <v>10</v>
      </c>
    </row>
    <row r="5753" spans="1:6" ht="15" customHeight="1" x14ac:dyDescent="0.25">
      <c r="A5753" s="2352" t="s">
        <v>14402</v>
      </c>
      <c r="B5753" s="2352" t="s">
        <v>9656</v>
      </c>
      <c r="C5753" s="2352" t="s">
        <v>9656</v>
      </c>
      <c r="D5753" s="2352" t="s">
        <v>9752</v>
      </c>
      <c r="E5753" s="355">
        <v>250</v>
      </c>
      <c r="F5753" s="1662">
        <v>150</v>
      </c>
    </row>
    <row r="5754" spans="1:6" ht="15" customHeight="1" x14ac:dyDescent="0.25">
      <c r="A5754" s="2352" t="s">
        <v>14555</v>
      </c>
      <c r="B5754" s="2352" t="s">
        <v>9656</v>
      </c>
      <c r="C5754" s="2352" t="s">
        <v>9656</v>
      </c>
      <c r="D5754" s="2352" t="s">
        <v>9753</v>
      </c>
      <c r="E5754" s="355">
        <v>63</v>
      </c>
      <c r="F5754" s="1662">
        <v>21</v>
      </c>
    </row>
    <row r="5755" spans="1:6" ht="15" customHeight="1" x14ac:dyDescent="0.25">
      <c r="A5755" s="2352" t="s">
        <v>9754</v>
      </c>
      <c r="B5755" s="2352" t="s">
        <v>9656</v>
      </c>
      <c r="C5755" s="2352" t="s">
        <v>9656</v>
      </c>
      <c r="D5755" s="2352" t="s">
        <v>9755</v>
      </c>
      <c r="E5755" s="355">
        <v>100</v>
      </c>
      <c r="F5755" s="1662">
        <v>60</v>
      </c>
    </row>
    <row r="5756" spans="1:6" ht="15" customHeight="1" x14ac:dyDescent="0.25">
      <c r="A5756" s="2352" t="s">
        <v>9756</v>
      </c>
      <c r="B5756" s="2352" t="s">
        <v>9656</v>
      </c>
      <c r="C5756" s="2352" t="s">
        <v>9656</v>
      </c>
      <c r="D5756" s="2352" t="s">
        <v>9757</v>
      </c>
      <c r="E5756" s="355">
        <v>400</v>
      </c>
      <c r="F5756" s="1662">
        <v>140</v>
      </c>
    </row>
    <row r="5757" spans="1:6" ht="15" customHeight="1" x14ac:dyDescent="0.25">
      <c r="A5757" s="2352" t="s">
        <v>9756</v>
      </c>
      <c r="B5757" s="2352" t="s">
        <v>9656</v>
      </c>
      <c r="C5757" s="2352" t="s">
        <v>9656</v>
      </c>
      <c r="D5757" s="2352" t="s">
        <v>9758</v>
      </c>
      <c r="E5757" s="355">
        <v>250</v>
      </c>
      <c r="F5757" s="1662">
        <v>90</v>
      </c>
    </row>
    <row r="5758" spans="1:6" ht="15" customHeight="1" x14ac:dyDescent="0.25">
      <c r="A5758" s="2352" t="s">
        <v>9756</v>
      </c>
      <c r="B5758" s="2352" t="s">
        <v>9656</v>
      </c>
      <c r="C5758" s="2352" t="s">
        <v>9656</v>
      </c>
      <c r="D5758" s="2352" t="s">
        <v>9759</v>
      </c>
      <c r="E5758" s="355">
        <v>40</v>
      </c>
      <c r="F5758" s="1662">
        <v>36</v>
      </c>
    </row>
    <row r="5759" spans="1:6" ht="15" customHeight="1" x14ac:dyDescent="0.25">
      <c r="A5759" s="2352" t="s">
        <v>9756</v>
      </c>
      <c r="B5759" s="2352" t="s">
        <v>9656</v>
      </c>
      <c r="C5759" s="2352" t="s">
        <v>9656</v>
      </c>
      <c r="D5759" s="2352" t="s">
        <v>9760</v>
      </c>
      <c r="E5759" s="355">
        <v>100</v>
      </c>
      <c r="F5759" s="1662">
        <v>11</v>
      </c>
    </row>
    <row r="5760" spans="1:6" ht="15" customHeight="1" x14ac:dyDescent="0.25">
      <c r="A5760" s="2352" t="s">
        <v>14496</v>
      </c>
      <c r="B5760" s="2352" t="s">
        <v>9656</v>
      </c>
      <c r="C5760" s="2352" t="s">
        <v>9656</v>
      </c>
      <c r="D5760" s="2352" t="s">
        <v>9761</v>
      </c>
      <c r="E5760" s="355">
        <v>20</v>
      </c>
      <c r="F5760" s="1662">
        <v>2</v>
      </c>
    </row>
    <row r="5761" spans="1:6" ht="15" customHeight="1" x14ac:dyDescent="0.25">
      <c r="A5761" s="2352" t="s">
        <v>14556</v>
      </c>
      <c r="B5761" s="2352" t="s">
        <v>9656</v>
      </c>
      <c r="C5761" s="2352" t="s">
        <v>9656</v>
      </c>
      <c r="D5761" s="2352" t="s">
        <v>9762</v>
      </c>
      <c r="E5761" s="355">
        <v>10</v>
      </c>
      <c r="F5761" s="1662">
        <v>4</v>
      </c>
    </row>
    <row r="5762" spans="1:6" ht="15" customHeight="1" x14ac:dyDescent="0.25">
      <c r="A5762" s="2352" t="s">
        <v>9763</v>
      </c>
      <c r="B5762" s="2352" t="s">
        <v>9656</v>
      </c>
      <c r="C5762" s="2352" t="s">
        <v>9656</v>
      </c>
      <c r="D5762" s="2352" t="s">
        <v>9764</v>
      </c>
      <c r="E5762" s="355">
        <v>160</v>
      </c>
      <c r="F5762" s="1662">
        <v>25</v>
      </c>
    </row>
    <row r="5763" spans="1:6" ht="15" customHeight="1" x14ac:dyDescent="0.25">
      <c r="A5763" s="2352" t="s">
        <v>14557</v>
      </c>
      <c r="B5763" s="2352" t="s">
        <v>9656</v>
      </c>
      <c r="C5763" s="2352" t="s">
        <v>9656</v>
      </c>
      <c r="D5763" s="2352" t="s">
        <v>9765</v>
      </c>
      <c r="E5763" s="355">
        <v>160</v>
      </c>
      <c r="F5763" s="1662">
        <v>100</v>
      </c>
    </row>
    <row r="5764" spans="1:6" ht="15" customHeight="1" x14ac:dyDescent="0.25">
      <c r="A5764" s="2352" t="s">
        <v>14558</v>
      </c>
      <c r="B5764" s="2352" t="s">
        <v>9656</v>
      </c>
      <c r="C5764" s="2352" t="s">
        <v>9656</v>
      </c>
      <c r="D5764" s="2352" t="s">
        <v>9766</v>
      </c>
      <c r="E5764" s="355">
        <v>100</v>
      </c>
      <c r="F5764" s="1662">
        <v>40</v>
      </c>
    </row>
    <row r="5765" spans="1:6" ht="15" customHeight="1" x14ac:dyDescent="0.25">
      <c r="A5765" s="2352" t="s">
        <v>8668</v>
      </c>
      <c r="B5765" s="2352" t="s">
        <v>9656</v>
      </c>
      <c r="C5765" s="2352" t="s">
        <v>9656</v>
      </c>
      <c r="D5765" s="2352" t="s">
        <v>9767</v>
      </c>
      <c r="E5765" s="355">
        <v>160</v>
      </c>
      <c r="F5765" s="1662">
        <v>30</v>
      </c>
    </row>
    <row r="5766" spans="1:6" ht="15" customHeight="1" x14ac:dyDescent="0.25">
      <c r="A5766" s="2352" t="s">
        <v>14559</v>
      </c>
      <c r="B5766" s="2352" t="s">
        <v>9656</v>
      </c>
      <c r="C5766" s="2352" t="s">
        <v>9656</v>
      </c>
      <c r="D5766" s="2352" t="s">
        <v>9768</v>
      </c>
      <c r="E5766" s="355">
        <v>60</v>
      </c>
      <c r="F5766" s="1662">
        <v>12</v>
      </c>
    </row>
    <row r="5767" spans="1:6" ht="15" customHeight="1" x14ac:dyDescent="0.25">
      <c r="A5767" s="2352" t="s">
        <v>14520</v>
      </c>
      <c r="B5767" s="2352" t="s">
        <v>9656</v>
      </c>
      <c r="C5767" s="2352" t="s">
        <v>9656</v>
      </c>
      <c r="D5767" s="2352" t="s">
        <v>9669</v>
      </c>
      <c r="E5767" s="355">
        <v>60</v>
      </c>
      <c r="F5767" s="1662">
        <v>30</v>
      </c>
    </row>
    <row r="5768" spans="1:6" ht="15" customHeight="1" x14ac:dyDescent="0.25">
      <c r="A5768" s="2352" t="s">
        <v>14560</v>
      </c>
      <c r="B5768" s="2352" t="s">
        <v>9656</v>
      </c>
      <c r="C5768" s="2352" t="s">
        <v>9656</v>
      </c>
      <c r="D5768" s="2352" t="s">
        <v>9769</v>
      </c>
      <c r="E5768" s="355">
        <v>40</v>
      </c>
      <c r="F5768" s="1662">
        <v>5</v>
      </c>
    </row>
    <row r="5769" spans="1:6" ht="15" customHeight="1" x14ac:dyDescent="0.25">
      <c r="A5769" s="2352" t="s">
        <v>6701</v>
      </c>
      <c r="B5769" s="2352" t="s">
        <v>9656</v>
      </c>
      <c r="C5769" s="2352" t="s">
        <v>9656</v>
      </c>
      <c r="D5769" s="2352" t="s">
        <v>9655</v>
      </c>
      <c r="E5769" s="355">
        <v>60</v>
      </c>
      <c r="F5769" s="1662">
        <v>11</v>
      </c>
    </row>
    <row r="5770" spans="1:6" ht="15" customHeight="1" x14ac:dyDescent="0.25">
      <c r="A5770" s="2352" t="s">
        <v>14561</v>
      </c>
      <c r="B5770" s="2352" t="s">
        <v>9656</v>
      </c>
      <c r="C5770" s="2352" t="s">
        <v>9656</v>
      </c>
      <c r="D5770" s="2352" t="s">
        <v>9770</v>
      </c>
      <c r="E5770" s="355">
        <v>100</v>
      </c>
      <c r="F5770" s="1662">
        <v>34</v>
      </c>
    </row>
    <row r="5771" spans="1:6" ht="15" customHeight="1" x14ac:dyDescent="0.25">
      <c r="A5771" s="2352" t="s">
        <v>9785</v>
      </c>
      <c r="B5771" s="2352" t="s">
        <v>9656</v>
      </c>
      <c r="C5771" s="2352" t="s">
        <v>9656</v>
      </c>
      <c r="D5771" s="2352" t="s">
        <v>9771</v>
      </c>
      <c r="E5771" s="355">
        <v>160</v>
      </c>
      <c r="F5771" s="1662">
        <v>14</v>
      </c>
    </row>
    <row r="5772" spans="1:6" ht="15" customHeight="1" x14ac:dyDescent="0.25">
      <c r="A5772" s="2352" t="s">
        <v>14535</v>
      </c>
      <c r="B5772" s="2352" t="s">
        <v>9656</v>
      </c>
      <c r="C5772" s="2352" t="s">
        <v>9656</v>
      </c>
      <c r="D5772" s="2352" t="s">
        <v>9711</v>
      </c>
      <c r="E5772" s="355">
        <v>20</v>
      </c>
      <c r="F5772" s="1662">
        <v>6</v>
      </c>
    </row>
    <row r="5773" spans="1:6" ht="15" customHeight="1" x14ac:dyDescent="0.25">
      <c r="A5773" s="2352" t="s">
        <v>14562</v>
      </c>
      <c r="B5773" s="2352" t="s">
        <v>9656</v>
      </c>
      <c r="C5773" s="2352" t="s">
        <v>9656</v>
      </c>
      <c r="D5773" s="2352" t="s">
        <v>9772</v>
      </c>
      <c r="E5773" s="355">
        <v>30</v>
      </c>
      <c r="F5773" s="1662">
        <v>8</v>
      </c>
    </row>
    <row r="5774" spans="1:6" ht="15" customHeight="1" x14ac:dyDescent="0.25">
      <c r="A5774" s="2352" t="s">
        <v>9785</v>
      </c>
      <c r="B5774" s="2352" t="s">
        <v>9656</v>
      </c>
      <c r="C5774" s="2352" t="s">
        <v>9656</v>
      </c>
      <c r="D5774" s="2352" t="s">
        <v>9773</v>
      </c>
      <c r="E5774" s="355">
        <v>160</v>
      </c>
      <c r="F5774" s="1662">
        <v>18</v>
      </c>
    </row>
    <row r="5775" spans="1:6" ht="15" customHeight="1" x14ac:dyDescent="0.25">
      <c r="A5775" s="2352" t="s">
        <v>14563</v>
      </c>
      <c r="B5775" s="2352" t="s">
        <v>9656</v>
      </c>
      <c r="C5775" s="2352" t="s">
        <v>9656</v>
      </c>
      <c r="D5775" s="2352" t="s">
        <v>9774</v>
      </c>
      <c r="E5775" s="355">
        <v>25</v>
      </c>
      <c r="F5775" s="1662">
        <v>5</v>
      </c>
    </row>
    <row r="5776" spans="1:6" ht="15" customHeight="1" x14ac:dyDescent="0.25">
      <c r="A5776" s="2352" t="s">
        <v>14564</v>
      </c>
      <c r="B5776" s="2352" t="s">
        <v>9656</v>
      </c>
      <c r="C5776" s="2352" t="s">
        <v>9656</v>
      </c>
      <c r="D5776" s="2352" t="s">
        <v>9775</v>
      </c>
      <c r="E5776" s="355">
        <v>10</v>
      </c>
      <c r="F5776" s="1662">
        <v>2</v>
      </c>
    </row>
    <row r="5777" spans="1:6" ht="15" customHeight="1" x14ac:dyDescent="0.25">
      <c r="A5777" s="2352" t="s">
        <v>14565</v>
      </c>
      <c r="B5777" s="2352" t="s">
        <v>9656</v>
      </c>
      <c r="C5777" s="2352" t="s">
        <v>9656</v>
      </c>
      <c r="D5777" s="2352" t="s">
        <v>9776</v>
      </c>
      <c r="E5777" s="355">
        <v>30</v>
      </c>
      <c r="F5777" s="1662">
        <v>8</v>
      </c>
    </row>
    <row r="5778" spans="1:6" ht="15" customHeight="1" x14ac:dyDescent="0.25">
      <c r="A5778" s="2352" t="s">
        <v>14566</v>
      </c>
      <c r="B5778" s="2352" t="s">
        <v>9656</v>
      </c>
      <c r="C5778" s="2352" t="s">
        <v>9656</v>
      </c>
      <c r="D5778" s="2352" t="s">
        <v>9777</v>
      </c>
      <c r="E5778" s="355">
        <v>10</v>
      </c>
      <c r="F5778" s="1662">
        <v>2</v>
      </c>
    </row>
    <row r="5779" spans="1:6" ht="15" customHeight="1" x14ac:dyDescent="0.25">
      <c r="A5779" s="2352" t="s">
        <v>14567</v>
      </c>
      <c r="B5779" s="2352" t="s">
        <v>9656</v>
      </c>
      <c r="C5779" s="2352" t="s">
        <v>9656</v>
      </c>
      <c r="D5779" s="2352" t="s">
        <v>9778</v>
      </c>
      <c r="E5779" s="355">
        <v>60</v>
      </c>
      <c r="F5779" s="1662">
        <v>25</v>
      </c>
    </row>
    <row r="5780" spans="1:6" ht="15" customHeight="1" x14ac:dyDescent="0.25">
      <c r="A5780" s="2352" t="s">
        <v>14568</v>
      </c>
      <c r="B5780" s="2352" t="s">
        <v>9656</v>
      </c>
      <c r="C5780" s="2352" t="s">
        <v>9656</v>
      </c>
      <c r="D5780" s="2352" t="s">
        <v>9779</v>
      </c>
      <c r="E5780" s="355">
        <v>100</v>
      </c>
      <c r="F5780" s="1662">
        <v>50</v>
      </c>
    </row>
    <row r="5781" spans="1:6" ht="15" customHeight="1" x14ac:dyDescent="0.25">
      <c r="A5781" s="2352" t="s">
        <v>7222</v>
      </c>
      <c r="B5781" s="2352" t="s">
        <v>9656</v>
      </c>
      <c r="C5781" s="2352" t="s">
        <v>9656</v>
      </c>
      <c r="D5781" s="2352" t="s">
        <v>9780</v>
      </c>
      <c r="E5781" s="355">
        <v>100</v>
      </c>
      <c r="F5781" s="1662">
        <v>20</v>
      </c>
    </row>
    <row r="5782" spans="1:6" ht="15" customHeight="1" x14ac:dyDescent="0.25">
      <c r="A5782" s="2352" t="s">
        <v>14569</v>
      </c>
      <c r="B5782" s="2352" t="s">
        <v>9656</v>
      </c>
      <c r="C5782" s="2352" t="s">
        <v>9656</v>
      </c>
      <c r="D5782" s="2352" t="s">
        <v>9781</v>
      </c>
      <c r="E5782" s="355">
        <v>160</v>
      </c>
      <c r="F5782" s="1662">
        <v>80</v>
      </c>
    </row>
    <row r="5783" spans="1:6" ht="15" customHeight="1" x14ac:dyDescent="0.25">
      <c r="A5783" s="2352" t="s">
        <v>9782</v>
      </c>
      <c r="B5783" s="2352" t="s">
        <v>9656</v>
      </c>
      <c r="C5783" s="2352" t="s">
        <v>9656</v>
      </c>
      <c r="D5783" s="2352" t="s">
        <v>9783</v>
      </c>
      <c r="E5783" s="355">
        <v>100</v>
      </c>
      <c r="F5783" s="1662">
        <v>45</v>
      </c>
    </row>
    <row r="5784" spans="1:6" ht="15" customHeight="1" x14ac:dyDescent="0.25">
      <c r="A5784" s="2352" t="s">
        <v>9782</v>
      </c>
      <c r="B5784" s="2352" t="s">
        <v>9656</v>
      </c>
      <c r="C5784" s="2352" t="s">
        <v>9656</v>
      </c>
      <c r="D5784" s="2352" t="s">
        <v>9784</v>
      </c>
      <c r="E5784" s="355">
        <v>30</v>
      </c>
      <c r="F5784" s="1662">
        <v>20</v>
      </c>
    </row>
    <row r="5785" spans="1:6" ht="15" customHeight="1" x14ac:dyDescent="0.25">
      <c r="A5785" s="2352" t="s">
        <v>9785</v>
      </c>
      <c r="B5785" s="2352" t="s">
        <v>9656</v>
      </c>
      <c r="C5785" s="2352" t="s">
        <v>9656</v>
      </c>
      <c r="D5785" s="2352" t="s">
        <v>9786</v>
      </c>
      <c r="E5785" s="355">
        <v>30</v>
      </c>
      <c r="F5785" s="1662">
        <v>15</v>
      </c>
    </row>
    <row r="5786" spans="1:6" ht="15" customHeight="1" x14ac:dyDescent="0.25">
      <c r="A5786" s="2352" t="s">
        <v>14570</v>
      </c>
      <c r="B5786" s="2352" t="s">
        <v>9656</v>
      </c>
      <c r="C5786" s="2352" t="s">
        <v>9656</v>
      </c>
      <c r="D5786" s="2352" t="s">
        <v>9787</v>
      </c>
      <c r="E5786" s="355">
        <v>160</v>
      </c>
      <c r="F5786" s="1662">
        <v>100</v>
      </c>
    </row>
    <row r="5787" spans="1:6" ht="15" customHeight="1" x14ac:dyDescent="0.25">
      <c r="A5787" s="2352" t="s">
        <v>9782</v>
      </c>
      <c r="B5787" s="2352" t="s">
        <v>9656</v>
      </c>
      <c r="C5787" s="2352" t="s">
        <v>9656</v>
      </c>
      <c r="D5787" s="2352" t="s">
        <v>9788</v>
      </c>
      <c r="E5787" s="355">
        <v>100</v>
      </c>
      <c r="F5787" s="1662">
        <v>30</v>
      </c>
    </row>
    <row r="5788" spans="1:6" ht="15" customHeight="1" x14ac:dyDescent="0.25">
      <c r="A5788" s="2352" t="s">
        <v>9114</v>
      </c>
      <c r="B5788" s="2352" t="s">
        <v>9656</v>
      </c>
      <c r="C5788" s="2352" t="s">
        <v>9656</v>
      </c>
      <c r="D5788" s="2352" t="s">
        <v>9709</v>
      </c>
      <c r="E5788" s="355">
        <v>30</v>
      </c>
      <c r="F5788" s="1662">
        <v>12</v>
      </c>
    </row>
    <row r="5789" spans="1:6" ht="15" customHeight="1" x14ac:dyDescent="0.25">
      <c r="A5789" s="2352" t="s">
        <v>9789</v>
      </c>
      <c r="B5789" s="2352" t="s">
        <v>9656</v>
      </c>
      <c r="C5789" s="2352" t="s">
        <v>9656</v>
      </c>
      <c r="D5789" s="2352" t="s">
        <v>9790</v>
      </c>
      <c r="E5789" s="355">
        <v>25</v>
      </c>
      <c r="F5789" s="1662">
        <v>8</v>
      </c>
    </row>
    <row r="5790" spans="1:6" ht="15" customHeight="1" x14ac:dyDescent="0.25">
      <c r="A5790" s="2352" t="s">
        <v>9791</v>
      </c>
      <c r="B5790" s="2352" t="s">
        <v>9656</v>
      </c>
      <c r="C5790" s="2352" t="s">
        <v>9656</v>
      </c>
      <c r="D5790" s="2352" t="s">
        <v>9792</v>
      </c>
      <c r="E5790" s="355">
        <v>30</v>
      </c>
      <c r="F5790" s="1662">
        <v>10</v>
      </c>
    </row>
    <row r="5791" spans="1:6" ht="15" customHeight="1" x14ac:dyDescent="0.25">
      <c r="A5791" s="2352" t="s">
        <v>9793</v>
      </c>
      <c r="B5791" s="2352" t="s">
        <v>9656</v>
      </c>
      <c r="C5791" s="2352" t="s">
        <v>9656</v>
      </c>
      <c r="D5791" s="2352" t="s">
        <v>9794</v>
      </c>
      <c r="E5791" s="355">
        <v>100</v>
      </c>
      <c r="F5791" s="1662">
        <v>30</v>
      </c>
    </row>
    <row r="5792" spans="1:6" ht="15" customHeight="1" x14ac:dyDescent="0.25">
      <c r="A5792" s="2352" t="s">
        <v>9795</v>
      </c>
      <c r="B5792" s="2352" t="s">
        <v>9656</v>
      </c>
      <c r="C5792" s="2352" t="s">
        <v>9656</v>
      </c>
      <c r="D5792" s="2352" t="s">
        <v>9796</v>
      </c>
      <c r="E5792" s="355">
        <v>30</v>
      </c>
      <c r="F5792" s="1662">
        <v>8</v>
      </c>
    </row>
    <row r="5793" spans="1:6" ht="15" customHeight="1" x14ac:dyDescent="0.25">
      <c r="A5793" s="2352" t="s">
        <v>9797</v>
      </c>
      <c r="B5793" s="2352" t="s">
        <v>9656</v>
      </c>
      <c r="C5793" s="2352" t="s">
        <v>9656</v>
      </c>
      <c r="D5793" s="2352" t="s">
        <v>9798</v>
      </c>
      <c r="E5793" s="355">
        <v>30</v>
      </c>
      <c r="F5793" s="1662">
        <v>15</v>
      </c>
    </row>
    <row r="5794" spans="1:6" ht="15" customHeight="1" x14ac:dyDescent="0.25">
      <c r="A5794" s="2352" t="s">
        <v>9799</v>
      </c>
      <c r="B5794" s="2352" t="s">
        <v>9656</v>
      </c>
      <c r="C5794" s="2352" t="s">
        <v>9656</v>
      </c>
      <c r="D5794" s="2352" t="s">
        <v>9800</v>
      </c>
      <c r="E5794" s="355">
        <v>10</v>
      </c>
      <c r="F5794" s="1662">
        <v>0</v>
      </c>
    </row>
    <row r="5795" spans="1:6" ht="15" customHeight="1" x14ac:dyDescent="0.25">
      <c r="A5795" s="2352" t="s">
        <v>14571</v>
      </c>
      <c r="B5795" s="2352" t="s">
        <v>9656</v>
      </c>
      <c r="C5795" s="2352" t="s">
        <v>9656</v>
      </c>
      <c r="D5795" s="2352" t="s">
        <v>9801</v>
      </c>
      <c r="E5795" s="355">
        <v>160</v>
      </c>
      <c r="F5795" s="1662">
        <v>88</v>
      </c>
    </row>
    <row r="5796" spans="1:6" ht="15" customHeight="1" x14ac:dyDescent="0.25">
      <c r="A5796" s="2352" t="s">
        <v>9785</v>
      </c>
      <c r="B5796" s="2352" t="s">
        <v>9656</v>
      </c>
      <c r="C5796" s="2352" t="s">
        <v>9656</v>
      </c>
      <c r="D5796" s="2352" t="s">
        <v>9802</v>
      </c>
      <c r="E5796" s="355">
        <v>60</v>
      </c>
      <c r="F5796" s="1662">
        <v>34</v>
      </c>
    </row>
    <row r="5797" spans="1:6" ht="15" customHeight="1" x14ac:dyDescent="0.25">
      <c r="A5797" s="2352" t="s">
        <v>9803</v>
      </c>
      <c r="B5797" s="2352" t="s">
        <v>9656</v>
      </c>
      <c r="C5797" s="2352" t="s">
        <v>9656</v>
      </c>
      <c r="D5797" s="2352" t="s">
        <v>9804</v>
      </c>
      <c r="E5797" s="355">
        <v>60</v>
      </c>
      <c r="F5797" s="1662">
        <v>34</v>
      </c>
    </row>
    <row r="5798" spans="1:6" ht="15" customHeight="1" x14ac:dyDescent="0.25">
      <c r="A5798" s="2352" t="s">
        <v>9805</v>
      </c>
      <c r="B5798" s="2352" t="s">
        <v>9656</v>
      </c>
      <c r="C5798" s="2352" t="s">
        <v>9656</v>
      </c>
      <c r="D5798" s="2352" t="s">
        <v>9806</v>
      </c>
      <c r="E5798" s="355">
        <v>160</v>
      </c>
      <c r="F5798" s="1662">
        <v>50</v>
      </c>
    </row>
    <row r="5799" spans="1:6" ht="15" customHeight="1" x14ac:dyDescent="0.25">
      <c r="A5799" s="2352" t="s">
        <v>4007</v>
      </c>
      <c r="B5799" s="2352" t="s">
        <v>9656</v>
      </c>
      <c r="C5799" s="2352" t="s">
        <v>9656</v>
      </c>
      <c r="D5799" s="2352" t="s">
        <v>9807</v>
      </c>
      <c r="E5799" s="355">
        <v>100</v>
      </c>
      <c r="F5799" s="1662">
        <v>10</v>
      </c>
    </row>
    <row r="5800" spans="1:6" ht="15" customHeight="1" x14ac:dyDescent="0.25">
      <c r="A5800" s="2352" t="s">
        <v>4995</v>
      </c>
      <c r="B5800" s="2352" t="s">
        <v>9656</v>
      </c>
      <c r="C5800" s="2352" t="s">
        <v>9656</v>
      </c>
      <c r="D5800" s="2352" t="s">
        <v>9808</v>
      </c>
      <c r="E5800" s="355">
        <v>160</v>
      </c>
      <c r="F5800" s="1662">
        <v>48</v>
      </c>
    </row>
    <row r="5801" spans="1:6" ht="15" customHeight="1" x14ac:dyDescent="0.25">
      <c r="A5801" s="2352" t="s">
        <v>4904</v>
      </c>
      <c r="B5801" s="2352" t="s">
        <v>9656</v>
      </c>
      <c r="C5801" s="2352" t="s">
        <v>9656</v>
      </c>
      <c r="D5801" s="2352" t="s">
        <v>9809</v>
      </c>
      <c r="E5801" s="355">
        <v>160</v>
      </c>
      <c r="F5801" s="1662">
        <v>120</v>
      </c>
    </row>
    <row r="5802" spans="1:6" ht="15" customHeight="1" x14ac:dyDescent="0.25">
      <c r="A5802" s="2352" t="s">
        <v>9810</v>
      </c>
      <c r="B5802" s="2352" t="s">
        <v>9656</v>
      </c>
      <c r="C5802" s="2352" t="s">
        <v>9656</v>
      </c>
      <c r="D5802" s="2352" t="s">
        <v>9811</v>
      </c>
      <c r="E5802" s="355">
        <v>250</v>
      </c>
      <c r="F5802" s="1662">
        <v>180</v>
      </c>
    </row>
    <row r="5803" spans="1:6" ht="15" customHeight="1" x14ac:dyDescent="0.25">
      <c r="A5803" s="2352" t="s">
        <v>4995</v>
      </c>
      <c r="B5803" s="2352" t="s">
        <v>9656</v>
      </c>
      <c r="C5803" s="2352" t="s">
        <v>9656</v>
      </c>
      <c r="D5803" s="2352" t="s">
        <v>9812</v>
      </c>
      <c r="E5803" s="355">
        <v>100</v>
      </c>
      <c r="F5803" s="1662">
        <v>8</v>
      </c>
    </row>
    <row r="5804" spans="1:6" ht="15" customHeight="1" x14ac:dyDescent="0.25">
      <c r="A5804" s="2352" t="s">
        <v>9805</v>
      </c>
      <c r="B5804" s="2352" t="s">
        <v>9656</v>
      </c>
      <c r="C5804" s="2352" t="s">
        <v>9656</v>
      </c>
      <c r="D5804" s="2352" t="s">
        <v>9813</v>
      </c>
      <c r="E5804" s="355">
        <v>100</v>
      </c>
      <c r="F5804" s="1662">
        <v>50</v>
      </c>
    </row>
    <row r="5805" spans="1:6" ht="15" customHeight="1" x14ac:dyDescent="0.25">
      <c r="A5805" s="2352" t="s">
        <v>14535</v>
      </c>
      <c r="B5805" s="2352" t="s">
        <v>9656</v>
      </c>
      <c r="C5805" s="2352" t="s">
        <v>9656</v>
      </c>
      <c r="D5805" s="2352" t="s">
        <v>9711</v>
      </c>
      <c r="E5805" s="355">
        <v>100</v>
      </c>
      <c r="F5805" s="1662">
        <v>62</v>
      </c>
    </row>
    <row r="5806" spans="1:6" ht="15" customHeight="1" x14ac:dyDescent="0.25">
      <c r="A5806" s="2352" t="s">
        <v>4995</v>
      </c>
      <c r="B5806" s="2352" t="s">
        <v>9656</v>
      </c>
      <c r="C5806" s="2352" t="s">
        <v>9656</v>
      </c>
      <c r="D5806" s="2352" t="s">
        <v>9814</v>
      </c>
      <c r="E5806" s="355">
        <v>160</v>
      </c>
      <c r="F5806" s="1662">
        <v>61</v>
      </c>
    </row>
    <row r="5807" spans="1:6" ht="15" customHeight="1" x14ac:dyDescent="0.25">
      <c r="A5807" s="2352" t="s">
        <v>4995</v>
      </c>
      <c r="B5807" s="2352" t="s">
        <v>9656</v>
      </c>
      <c r="C5807" s="2352" t="s">
        <v>9656</v>
      </c>
      <c r="D5807" s="2352" t="s">
        <v>9815</v>
      </c>
      <c r="E5807" s="355">
        <v>400</v>
      </c>
      <c r="F5807" s="1662">
        <v>348</v>
      </c>
    </row>
    <row r="5808" spans="1:6" ht="15" customHeight="1" x14ac:dyDescent="0.25">
      <c r="A5808" s="2352" t="s">
        <v>9818</v>
      </c>
      <c r="B5808" s="2352" t="s">
        <v>9656</v>
      </c>
      <c r="C5808" s="2352" t="s">
        <v>9656</v>
      </c>
      <c r="D5808" s="2352" t="s">
        <v>9816</v>
      </c>
      <c r="E5808" s="355">
        <v>25</v>
      </c>
      <c r="F5808" s="1662">
        <v>15</v>
      </c>
    </row>
    <row r="5809" spans="1:6" ht="15" customHeight="1" x14ac:dyDescent="0.25">
      <c r="A5809" s="2352" t="s">
        <v>14572</v>
      </c>
      <c r="B5809" s="2352" t="s">
        <v>9656</v>
      </c>
      <c r="C5809" s="2352" t="s">
        <v>9656</v>
      </c>
      <c r="D5809" s="2352" t="s">
        <v>9817</v>
      </c>
      <c r="E5809" s="355">
        <v>63</v>
      </c>
      <c r="F5809" s="1662">
        <v>14</v>
      </c>
    </row>
    <row r="5810" spans="1:6" ht="15" customHeight="1" x14ac:dyDescent="0.25">
      <c r="A5810" s="2352" t="s">
        <v>9818</v>
      </c>
      <c r="B5810" s="2352" t="s">
        <v>9656</v>
      </c>
      <c r="C5810" s="2352" t="s">
        <v>9656</v>
      </c>
      <c r="D5810" s="2352" t="s">
        <v>9819</v>
      </c>
      <c r="E5810" s="355">
        <v>250</v>
      </c>
      <c r="F5810" s="1662">
        <v>130</v>
      </c>
    </row>
    <row r="5811" spans="1:6" ht="15" customHeight="1" x14ac:dyDescent="0.25">
      <c r="A5811" s="2352" t="s">
        <v>14573</v>
      </c>
      <c r="B5811" s="2352" t="s">
        <v>9656</v>
      </c>
      <c r="C5811" s="2352" t="s">
        <v>9656</v>
      </c>
      <c r="D5811" s="2352" t="s">
        <v>9820</v>
      </c>
      <c r="E5811" s="355">
        <v>30</v>
      </c>
      <c r="F5811" s="1662">
        <v>3</v>
      </c>
    </row>
    <row r="5812" spans="1:6" ht="15" customHeight="1" x14ac:dyDescent="0.25">
      <c r="A5812" s="2352" t="s">
        <v>14574</v>
      </c>
      <c r="B5812" s="2352" t="s">
        <v>9656</v>
      </c>
      <c r="C5812" s="2352" t="s">
        <v>9656</v>
      </c>
      <c r="D5812" s="2352" t="s">
        <v>9821</v>
      </c>
      <c r="E5812" s="355">
        <v>10</v>
      </c>
      <c r="F5812" s="1662">
        <v>2</v>
      </c>
    </row>
    <row r="5813" spans="1:6" ht="15" customHeight="1" x14ac:dyDescent="0.25">
      <c r="A5813" s="2352" t="s">
        <v>14575</v>
      </c>
      <c r="B5813" s="2352" t="s">
        <v>9656</v>
      </c>
      <c r="C5813" s="2352" t="s">
        <v>9656</v>
      </c>
      <c r="D5813" s="2352" t="s">
        <v>9822</v>
      </c>
      <c r="E5813" s="355">
        <v>400</v>
      </c>
      <c r="F5813" s="1662">
        <v>214</v>
      </c>
    </row>
    <row r="5814" spans="1:6" ht="15" customHeight="1" x14ac:dyDescent="0.25">
      <c r="A5814" s="2352" t="s">
        <v>9805</v>
      </c>
      <c r="B5814" s="2352" t="s">
        <v>9656</v>
      </c>
      <c r="C5814" s="2352" t="s">
        <v>9656</v>
      </c>
      <c r="D5814" s="2352" t="s">
        <v>9823</v>
      </c>
      <c r="E5814" s="355">
        <v>60</v>
      </c>
      <c r="F5814" s="1662">
        <v>5</v>
      </c>
    </row>
    <row r="5815" spans="1:6" ht="15" customHeight="1" x14ac:dyDescent="0.25">
      <c r="A5815" s="2352" t="s">
        <v>9810</v>
      </c>
      <c r="B5815" s="2352" t="s">
        <v>9656</v>
      </c>
      <c r="C5815" s="2352" t="s">
        <v>9656</v>
      </c>
      <c r="D5815" s="2352" t="s">
        <v>9824</v>
      </c>
      <c r="E5815" s="355">
        <v>160</v>
      </c>
      <c r="F5815" s="1662">
        <v>42</v>
      </c>
    </row>
    <row r="5816" spans="1:6" ht="15" customHeight="1" x14ac:dyDescent="0.25">
      <c r="A5816" s="2352" t="s">
        <v>9818</v>
      </c>
      <c r="B5816" s="2352" t="s">
        <v>9656</v>
      </c>
      <c r="C5816" s="2352" t="s">
        <v>9656</v>
      </c>
      <c r="D5816" s="2352" t="s">
        <v>9825</v>
      </c>
      <c r="E5816" s="355">
        <v>100</v>
      </c>
      <c r="F5816" s="1662">
        <v>9</v>
      </c>
    </row>
    <row r="5817" spans="1:6" ht="15" customHeight="1" x14ac:dyDescent="0.25">
      <c r="A5817" s="2352" t="s">
        <v>14576</v>
      </c>
      <c r="B5817" s="2352" t="s">
        <v>9656</v>
      </c>
      <c r="C5817" s="2352" t="s">
        <v>9656</v>
      </c>
      <c r="D5817" s="2352" t="s">
        <v>9826</v>
      </c>
      <c r="E5817" s="355">
        <v>40</v>
      </c>
      <c r="F5817" s="1662">
        <v>9</v>
      </c>
    </row>
    <row r="5818" spans="1:6" ht="15" customHeight="1" x14ac:dyDescent="0.25">
      <c r="A5818" s="2352" t="s">
        <v>14577</v>
      </c>
      <c r="B5818" s="2352" t="s">
        <v>9656</v>
      </c>
      <c r="C5818" s="2352" t="s">
        <v>9656</v>
      </c>
      <c r="D5818" s="2352" t="s">
        <v>9827</v>
      </c>
      <c r="E5818" s="355">
        <v>100</v>
      </c>
      <c r="F5818" s="1662">
        <v>24</v>
      </c>
    </row>
    <row r="5819" spans="1:6" ht="15" customHeight="1" x14ac:dyDescent="0.25">
      <c r="A5819" s="2352" t="s">
        <v>14578</v>
      </c>
      <c r="B5819" s="2352" t="s">
        <v>9656</v>
      </c>
      <c r="C5819" s="2352" t="s">
        <v>9656</v>
      </c>
      <c r="D5819" s="2352" t="s">
        <v>9828</v>
      </c>
      <c r="E5819" s="355">
        <v>25</v>
      </c>
      <c r="F5819" s="1662">
        <v>12</v>
      </c>
    </row>
    <row r="5820" spans="1:6" ht="15" customHeight="1" x14ac:dyDescent="0.25">
      <c r="A5820" s="2352" t="s">
        <v>14579</v>
      </c>
      <c r="B5820" s="2352" t="s">
        <v>9656</v>
      </c>
      <c r="C5820" s="2352" t="s">
        <v>9656</v>
      </c>
      <c r="D5820" s="2352" t="s">
        <v>9829</v>
      </c>
      <c r="E5820" s="355">
        <v>25</v>
      </c>
      <c r="F5820" s="1662">
        <v>6</v>
      </c>
    </row>
    <row r="5821" spans="1:6" ht="15" customHeight="1" x14ac:dyDescent="0.25">
      <c r="A5821" s="2352" t="s">
        <v>14580</v>
      </c>
      <c r="B5821" s="2352" t="s">
        <v>9656</v>
      </c>
      <c r="C5821" s="2352" t="s">
        <v>9656</v>
      </c>
      <c r="D5821" s="2352" t="s">
        <v>9830</v>
      </c>
      <c r="E5821" s="355">
        <v>10</v>
      </c>
      <c r="F5821" s="1662">
        <v>2</v>
      </c>
    </row>
    <row r="5822" spans="1:6" ht="15" customHeight="1" x14ac:dyDescent="0.25">
      <c r="A5822" s="2352" t="s">
        <v>13975</v>
      </c>
      <c r="B5822" s="2352" t="s">
        <v>9656</v>
      </c>
      <c r="C5822" s="2352" t="s">
        <v>9656</v>
      </c>
      <c r="D5822" s="2352" t="s">
        <v>9831</v>
      </c>
      <c r="E5822" s="355">
        <v>60</v>
      </c>
      <c r="F5822" s="1662">
        <v>6</v>
      </c>
    </row>
    <row r="5823" spans="1:6" ht="15" customHeight="1" x14ac:dyDescent="0.25">
      <c r="A5823" s="2352" t="s">
        <v>14581</v>
      </c>
      <c r="B5823" s="2352" t="s">
        <v>9656</v>
      </c>
      <c r="C5823" s="2352" t="s">
        <v>9656</v>
      </c>
      <c r="D5823" s="2352" t="s">
        <v>9832</v>
      </c>
      <c r="E5823" s="355">
        <v>40</v>
      </c>
      <c r="F5823" s="1662">
        <v>5</v>
      </c>
    </row>
    <row r="5824" spans="1:6" ht="15" customHeight="1" x14ac:dyDescent="0.25">
      <c r="A5824" s="2352" t="s">
        <v>14582</v>
      </c>
      <c r="B5824" s="2352" t="s">
        <v>9656</v>
      </c>
      <c r="C5824" s="2352" t="s">
        <v>9656</v>
      </c>
      <c r="D5824" s="2352" t="s">
        <v>9833</v>
      </c>
      <c r="E5824" s="355">
        <v>30</v>
      </c>
      <c r="F5824" s="1662">
        <v>7</v>
      </c>
    </row>
    <row r="5825" spans="1:6" ht="15" customHeight="1" x14ac:dyDescent="0.25">
      <c r="A5825" s="2352" t="s">
        <v>14583</v>
      </c>
      <c r="B5825" s="2352" t="s">
        <v>9656</v>
      </c>
      <c r="C5825" s="2352" t="s">
        <v>9656</v>
      </c>
      <c r="D5825" s="2352" t="s">
        <v>9834</v>
      </c>
      <c r="E5825" s="355">
        <v>160</v>
      </c>
      <c r="F5825" s="1662">
        <v>6</v>
      </c>
    </row>
    <row r="5826" spans="1:6" ht="15" customHeight="1" x14ac:dyDescent="0.25">
      <c r="A5826" s="2352" t="s">
        <v>14584</v>
      </c>
      <c r="B5826" s="2352" t="s">
        <v>9656</v>
      </c>
      <c r="C5826" s="2352" t="s">
        <v>9656</v>
      </c>
      <c r="D5826" s="2352" t="s">
        <v>9835</v>
      </c>
      <c r="E5826" s="355">
        <v>20</v>
      </c>
      <c r="F5826" s="1662">
        <v>4</v>
      </c>
    </row>
    <row r="5827" spans="1:6" ht="15" customHeight="1" x14ac:dyDescent="0.25">
      <c r="A5827" s="2352" t="s">
        <v>4713</v>
      </c>
      <c r="B5827" s="2352" t="s">
        <v>9656</v>
      </c>
      <c r="C5827" s="2352" t="s">
        <v>9656</v>
      </c>
      <c r="D5827" s="2352" t="s">
        <v>9836</v>
      </c>
      <c r="E5827" s="355">
        <v>25</v>
      </c>
      <c r="F5827" s="1662">
        <v>2</v>
      </c>
    </row>
    <row r="5828" spans="1:6" ht="15" customHeight="1" x14ac:dyDescent="0.25">
      <c r="A5828" s="2352" t="s">
        <v>14585</v>
      </c>
      <c r="B5828" s="2352" t="s">
        <v>9656</v>
      </c>
      <c r="C5828" s="2352" t="s">
        <v>9656</v>
      </c>
      <c r="D5828" s="2352" t="s">
        <v>9837</v>
      </c>
      <c r="E5828" s="355">
        <v>10</v>
      </c>
      <c r="F5828" s="1662">
        <v>0</v>
      </c>
    </row>
    <row r="5829" spans="1:6" ht="15" customHeight="1" x14ac:dyDescent="0.25">
      <c r="A5829" s="2352" t="s">
        <v>14586</v>
      </c>
      <c r="B5829" s="2352" t="s">
        <v>9656</v>
      </c>
      <c r="C5829" s="2352" t="s">
        <v>9656</v>
      </c>
      <c r="D5829" s="2352" t="s">
        <v>9838</v>
      </c>
      <c r="E5829" s="355">
        <v>30</v>
      </c>
      <c r="F5829" s="1662">
        <v>7</v>
      </c>
    </row>
    <row r="5830" spans="1:6" ht="15" customHeight="1" x14ac:dyDescent="0.25">
      <c r="A5830" s="2352" t="s">
        <v>14587</v>
      </c>
      <c r="B5830" s="2352" t="s">
        <v>9656</v>
      </c>
      <c r="C5830" s="2352" t="s">
        <v>9656</v>
      </c>
      <c r="D5830" s="2352" t="s">
        <v>9839</v>
      </c>
      <c r="E5830" s="355">
        <v>20</v>
      </c>
      <c r="F5830" s="1662">
        <v>4</v>
      </c>
    </row>
    <row r="5831" spans="1:6" ht="15" customHeight="1" x14ac:dyDescent="0.25">
      <c r="A5831" s="2352" t="s">
        <v>14588</v>
      </c>
      <c r="B5831" s="2352" t="s">
        <v>9656</v>
      </c>
      <c r="C5831" s="2352" t="s">
        <v>9656</v>
      </c>
      <c r="D5831" s="2352" t="s">
        <v>9840</v>
      </c>
      <c r="E5831" s="355">
        <v>10</v>
      </c>
      <c r="F5831" s="1662">
        <v>1</v>
      </c>
    </row>
    <row r="5832" spans="1:6" ht="15" customHeight="1" x14ac:dyDescent="0.25">
      <c r="A5832" s="2352" t="s">
        <v>14589</v>
      </c>
      <c r="B5832" s="2352" t="s">
        <v>9656</v>
      </c>
      <c r="C5832" s="2352" t="s">
        <v>9656</v>
      </c>
      <c r="D5832" s="2352" t="s">
        <v>9841</v>
      </c>
      <c r="E5832" s="355">
        <v>100</v>
      </c>
      <c r="F5832" s="1662">
        <v>75</v>
      </c>
    </row>
    <row r="5833" spans="1:6" ht="15" customHeight="1" x14ac:dyDescent="0.25">
      <c r="A5833" s="2352" t="s">
        <v>14590</v>
      </c>
      <c r="B5833" s="2352" t="s">
        <v>9656</v>
      </c>
      <c r="C5833" s="2352" t="s">
        <v>9656</v>
      </c>
      <c r="D5833" s="2352" t="s">
        <v>9842</v>
      </c>
      <c r="E5833" s="355">
        <v>250</v>
      </c>
      <c r="F5833" s="1662">
        <v>16</v>
      </c>
    </row>
    <row r="5834" spans="1:6" ht="15" customHeight="1" x14ac:dyDescent="0.25">
      <c r="A5834" s="2352" t="s">
        <v>14590</v>
      </c>
      <c r="B5834" s="2352" t="s">
        <v>9656</v>
      </c>
      <c r="C5834" s="2352" t="s">
        <v>9656</v>
      </c>
      <c r="D5834" s="2352" t="s">
        <v>9843</v>
      </c>
      <c r="E5834" s="355">
        <v>250</v>
      </c>
      <c r="F5834" s="1662">
        <v>21</v>
      </c>
    </row>
    <row r="5835" spans="1:6" ht="15" customHeight="1" x14ac:dyDescent="0.25">
      <c r="A5835" s="2352" t="s">
        <v>14590</v>
      </c>
      <c r="B5835" s="2352" t="s">
        <v>9656</v>
      </c>
      <c r="C5835" s="2352" t="s">
        <v>9656</v>
      </c>
      <c r="D5835" s="2352" t="s">
        <v>8816</v>
      </c>
      <c r="E5835" s="355">
        <v>160</v>
      </c>
      <c r="F5835" s="1662">
        <v>8</v>
      </c>
    </row>
    <row r="5836" spans="1:6" ht="15" customHeight="1" x14ac:dyDescent="0.25">
      <c r="A5836" s="2352" t="s">
        <v>14590</v>
      </c>
      <c r="B5836" s="2352" t="s">
        <v>9656</v>
      </c>
      <c r="C5836" s="2352" t="s">
        <v>9656</v>
      </c>
      <c r="D5836" s="2352" t="s">
        <v>9844</v>
      </c>
      <c r="E5836" s="355">
        <v>100</v>
      </c>
      <c r="F5836" s="1662">
        <v>14</v>
      </c>
    </row>
    <row r="5837" spans="1:6" ht="15" customHeight="1" x14ac:dyDescent="0.25">
      <c r="A5837" s="2352" t="s">
        <v>14590</v>
      </c>
      <c r="B5837" s="2352" t="s">
        <v>9656</v>
      </c>
      <c r="C5837" s="2352" t="s">
        <v>9656</v>
      </c>
      <c r="D5837" s="2352" t="s">
        <v>9845</v>
      </c>
      <c r="E5837" s="355">
        <v>100</v>
      </c>
      <c r="F5837" s="1662">
        <v>21</v>
      </c>
    </row>
    <row r="5838" spans="1:6" ht="15" customHeight="1" x14ac:dyDescent="0.25">
      <c r="A5838" s="2352" t="s">
        <v>14590</v>
      </c>
      <c r="B5838" s="2352" t="s">
        <v>9656</v>
      </c>
      <c r="C5838" s="2352" t="s">
        <v>9656</v>
      </c>
      <c r="D5838" s="2352" t="s">
        <v>9846</v>
      </c>
      <c r="E5838" s="355">
        <v>60</v>
      </c>
      <c r="F5838" s="1662">
        <v>0</v>
      </c>
    </row>
    <row r="5839" spans="1:6" ht="15" customHeight="1" x14ac:dyDescent="0.25">
      <c r="A5839" s="2352" t="s">
        <v>14590</v>
      </c>
      <c r="B5839" s="2352" t="s">
        <v>9656</v>
      </c>
      <c r="C5839" s="2352" t="s">
        <v>9656</v>
      </c>
      <c r="D5839" s="2352" t="s">
        <v>9847</v>
      </c>
      <c r="E5839" s="355">
        <v>250</v>
      </c>
      <c r="F5839" s="1662">
        <v>31</v>
      </c>
    </row>
    <row r="5840" spans="1:6" ht="15" customHeight="1" x14ac:dyDescent="0.25">
      <c r="A5840" s="2352" t="s">
        <v>14590</v>
      </c>
      <c r="B5840" s="2352" t="s">
        <v>9656</v>
      </c>
      <c r="C5840" s="2352" t="s">
        <v>9656</v>
      </c>
      <c r="D5840" s="2352" t="s">
        <v>9848</v>
      </c>
      <c r="E5840" s="355">
        <v>100</v>
      </c>
      <c r="F5840" s="1662">
        <v>9</v>
      </c>
    </row>
    <row r="5841" spans="1:6" ht="15" customHeight="1" x14ac:dyDescent="0.25">
      <c r="A5841" s="2352" t="s">
        <v>14590</v>
      </c>
      <c r="B5841" s="2352" t="s">
        <v>9656</v>
      </c>
      <c r="C5841" s="2352" t="s">
        <v>9656</v>
      </c>
      <c r="D5841" s="2352" t="s">
        <v>9849</v>
      </c>
      <c r="E5841" s="355">
        <v>250</v>
      </c>
      <c r="F5841" s="1662">
        <v>30</v>
      </c>
    </row>
    <row r="5842" spans="1:6" ht="15" customHeight="1" x14ac:dyDescent="0.25">
      <c r="A5842" s="2352" t="s">
        <v>14590</v>
      </c>
      <c r="B5842" s="2352" t="s">
        <v>9656</v>
      </c>
      <c r="C5842" s="2352" t="s">
        <v>9656</v>
      </c>
      <c r="D5842" s="2352" t="s">
        <v>9850</v>
      </c>
      <c r="E5842" s="355">
        <v>250</v>
      </c>
      <c r="F5842" s="1662">
        <v>27</v>
      </c>
    </row>
    <row r="5843" spans="1:6" ht="15" customHeight="1" x14ac:dyDescent="0.25">
      <c r="A5843" s="2352" t="s">
        <v>9851</v>
      </c>
      <c r="B5843" s="2352" t="s">
        <v>9656</v>
      </c>
      <c r="C5843" s="2352" t="s">
        <v>9656</v>
      </c>
      <c r="D5843" s="2352" t="s">
        <v>9852</v>
      </c>
      <c r="E5843" s="355">
        <v>250</v>
      </c>
      <c r="F5843" s="1662">
        <v>220</v>
      </c>
    </row>
    <row r="5844" spans="1:6" ht="15" customHeight="1" x14ac:dyDescent="0.25">
      <c r="A5844" s="2352" t="s">
        <v>9851</v>
      </c>
      <c r="B5844" s="2352" t="s">
        <v>9656</v>
      </c>
      <c r="C5844" s="2352" t="s">
        <v>9656</v>
      </c>
      <c r="D5844" s="2352" t="s">
        <v>9853</v>
      </c>
      <c r="E5844" s="355">
        <v>160</v>
      </c>
      <c r="F5844" s="1662">
        <v>32</v>
      </c>
    </row>
    <row r="5845" spans="1:6" ht="15" customHeight="1" x14ac:dyDescent="0.25">
      <c r="A5845" s="2352" t="s">
        <v>14591</v>
      </c>
      <c r="B5845" s="2352" t="s">
        <v>9656</v>
      </c>
      <c r="C5845" s="2352" t="s">
        <v>9656</v>
      </c>
      <c r="D5845" s="2352" t="s">
        <v>9854</v>
      </c>
      <c r="E5845" s="355">
        <v>10</v>
      </c>
      <c r="F5845" s="1662">
        <v>2</v>
      </c>
    </row>
    <row r="5846" spans="1:6" ht="15" customHeight="1" x14ac:dyDescent="0.25">
      <c r="A5846" s="2352" t="s">
        <v>4436</v>
      </c>
      <c r="B5846" s="2352" t="s">
        <v>9656</v>
      </c>
      <c r="C5846" s="2352" t="s">
        <v>9656</v>
      </c>
      <c r="D5846" s="2352" t="s">
        <v>9855</v>
      </c>
      <c r="E5846" s="355">
        <v>10</v>
      </c>
      <c r="F5846" s="1662">
        <v>3</v>
      </c>
    </row>
    <row r="5847" spans="1:6" ht="15" customHeight="1" x14ac:dyDescent="0.25">
      <c r="A5847" s="2352" t="s">
        <v>9851</v>
      </c>
      <c r="B5847" s="2352" t="s">
        <v>9656</v>
      </c>
      <c r="C5847" s="2352" t="s">
        <v>9656</v>
      </c>
      <c r="D5847" s="2352" t="s">
        <v>9856</v>
      </c>
      <c r="E5847" s="355">
        <v>60</v>
      </c>
      <c r="F5847" s="1662">
        <v>50</v>
      </c>
    </row>
    <row r="5848" spans="1:6" ht="15" customHeight="1" x14ac:dyDescent="0.25">
      <c r="A5848" s="2352" t="s">
        <v>14592</v>
      </c>
      <c r="B5848" s="2352" t="s">
        <v>9656</v>
      </c>
      <c r="C5848" s="2352" t="s">
        <v>9656</v>
      </c>
      <c r="D5848" s="2352" t="s">
        <v>9857</v>
      </c>
      <c r="E5848" s="355">
        <v>30</v>
      </c>
      <c r="F5848" s="1662">
        <v>10</v>
      </c>
    </row>
    <row r="5849" spans="1:6" ht="15" customHeight="1" x14ac:dyDescent="0.25">
      <c r="A5849" s="2352" t="s">
        <v>14593</v>
      </c>
      <c r="B5849" s="2352" t="s">
        <v>9656</v>
      </c>
      <c r="C5849" s="2352" t="s">
        <v>9656</v>
      </c>
      <c r="D5849" s="2352" t="s">
        <v>9858</v>
      </c>
      <c r="E5849" s="355">
        <v>40</v>
      </c>
      <c r="F5849" s="1662">
        <v>10</v>
      </c>
    </row>
    <row r="5850" spans="1:6" ht="15" customHeight="1" x14ac:dyDescent="0.25">
      <c r="A5850" s="2352" t="s">
        <v>14594</v>
      </c>
      <c r="B5850" s="2352" t="s">
        <v>9656</v>
      </c>
      <c r="C5850" s="2352" t="s">
        <v>9656</v>
      </c>
      <c r="D5850" s="2352" t="s">
        <v>9859</v>
      </c>
      <c r="E5850" s="355">
        <v>10</v>
      </c>
      <c r="F5850" s="1662">
        <v>9</v>
      </c>
    </row>
    <row r="5851" spans="1:6" ht="15" customHeight="1" x14ac:dyDescent="0.25">
      <c r="A5851" s="2352" t="s">
        <v>14595</v>
      </c>
      <c r="B5851" s="2352" t="s">
        <v>9656</v>
      </c>
      <c r="C5851" s="2352" t="s">
        <v>9656</v>
      </c>
      <c r="D5851" s="2352" t="s">
        <v>9860</v>
      </c>
      <c r="E5851" s="355">
        <v>30</v>
      </c>
      <c r="F5851" s="1662">
        <v>28</v>
      </c>
    </row>
    <row r="5852" spans="1:6" ht="15" customHeight="1" x14ac:dyDescent="0.25">
      <c r="A5852" s="2352" t="s">
        <v>4229</v>
      </c>
      <c r="B5852" s="2352" t="s">
        <v>9656</v>
      </c>
      <c r="C5852" s="2352" t="s">
        <v>9656</v>
      </c>
      <c r="D5852" s="2352" t="s">
        <v>9861</v>
      </c>
      <c r="E5852" s="355">
        <v>60</v>
      </c>
      <c r="F5852" s="1662">
        <v>5</v>
      </c>
    </row>
    <row r="5853" spans="1:6" ht="15" customHeight="1" x14ac:dyDescent="0.25">
      <c r="A5853" s="2352" t="s">
        <v>14596</v>
      </c>
      <c r="B5853" s="2352" t="s">
        <v>9656</v>
      </c>
      <c r="C5853" s="2352" t="s">
        <v>9656</v>
      </c>
      <c r="D5853" s="2352" t="s">
        <v>9862</v>
      </c>
      <c r="E5853" s="355">
        <v>160</v>
      </c>
      <c r="F5853" s="1662">
        <v>120</v>
      </c>
    </row>
    <row r="5854" spans="1:6" ht="15" customHeight="1" x14ac:dyDescent="0.25">
      <c r="A5854" s="2352" t="s">
        <v>14597</v>
      </c>
      <c r="B5854" s="2352" t="s">
        <v>9656</v>
      </c>
      <c r="C5854" s="2352" t="s">
        <v>9656</v>
      </c>
      <c r="D5854" s="2352" t="s">
        <v>9863</v>
      </c>
      <c r="E5854" s="355">
        <v>60</v>
      </c>
      <c r="F5854" s="1662">
        <v>8</v>
      </c>
    </row>
    <row r="5855" spans="1:6" ht="15" customHeight="1" x14ac:dyDescent="0.25">
      <c r="A5855" s="2352" t="s">
        <v>14567</v>
      </c>
      <c r="B5855" s="2352" t="s">
        <v>9656</v>
      </c>
      <c r="C5855" s="2352" t="s">
        <v>9656</v>
      </c>
      <c r="D5855" s="2352" t="s">
        <v>9864</v>
      </c>
      <c r="E5855" s="355">
        <v>25</v>
      </c>
      <c r="F5855" s="1662">
        <v>6</v>
      </c>
    </row>
    <row r="5856" spans="1:6" ht="15" customHeight="1" x14ac:dyDescent="0.25">
      <c r="A5856" s="2352" t="s">
        <v>14598</v>
      </c>
      <c r="B5856" s="2352" t="s">
        <v>9656</v>
      </c>
      <c r="C5856" s="2352" t="s">
        <v>9656</v>
      </c>
      <c r="D5856" s="2352" t="s">
        <v>9865</v>
      </c>
      <c r="E5856" s="355">
        <v>40</v>
      </c>
      <c r="F5856" s="1662">
        <v>20</v>
      </c>
    </row>
    <row r="5857" spans="1:6" ht="15" customHeight="1" x14ac:dyDescent="0.25">
      <c r="A5857" s="2352" t="s">
        <v>14599</v>
      </c>
      <c r="B5857" s="2352" t="s">
        <v>9656</v>
      </c>
      <c r="C5857" s="2352" t="s">
        <v>9656</v>
      </c>
      <c r="D5857" s="2352" t="s">
        <v>9866</v>
      </c>
      <c r="E5857" s="355">
        <v>100</v>
      </c>
      <c r="F5857" s="1662">
        <v>3</v>
      </c>
    </row>
    <row r="5858" spans="1:6" ht="15" customHeight="1" x14ac:dyDescent="0.25">
      <c r="A5858" s="2352" t="s">
        <v>9867</v>
      </c>
      <c r="B5858" s="2352" t="s">
        <v>9656</v>
      </c>
      <c r="C5858" s="2352" t="s">
        <v>9656</v>
      </c>
      <c r="D5858" s="2352" t="s">
        <v>9868</v>
      </c>
      <c r="E5858" s="355">
        <v>60</v>
      </c>
      <c r="F5858" s="1662">
        <v>2</v>
      </c>
    </row>
    <row r="5859" spans="1:6" ht="15" customHeight="1" x14ac:dyDescent="0.25">
      <c r="A5859" s="2352" t="s">
        <v>14600</v>
      </c>
      <c r="B5859" s="2352" t="s">
        <v>9656</v>
      </c>
      <c r="C5859" s="2352" t="s">
        <v>9656</v>
      </c>
      <c r="D5859" s="2352" t="s">
        <v>9869</v>
      </c>
      <c r="E5859" s="355">
        <v>100</v>
      </c>
      <c r="F5859" s="1662">
        <v>30</v>
      </c>
    </row>
    <row r="5860" spans="1:6" ht="15" customHeight="1" x14ac:dyDescent="0.25">
      <c r="A5860" s="2352" t="s">
        <v>14601</v>
      </c>
      <c r="B5860" s="2352" t="s">
        <v>9656</v>
      </c>
      <c r="C5860" s="2352" t="s">
        <v>9656</v>
      </c>
      <c r="D5860" s="2352" t="s">
        <v>9870</v>
      </c>
      <c r="E5860" s="355">
        <v>20</v>
      </c>
      <c r="F5860" s="1662">
        <v>2</v>
      </c>
    </row>
    <row r="5861" spans="1:6" ht="15" customHeight="1" x14ac:dyDescent="0.25">
      <c r="A5861" s="2352" t="s">
        <v>14602</v>
      </c>
      <c r="B5861" s="2352" t="s">
        <v>9656</v>
      </c>
      <c r="C5861" s="2352" t="s">
        <v>9656</v>
      </c>
      <c r="D5861" s="2352" t="s">
        <v>9871</v>
      </c>
      <c r="E5861" s="355">
        <v>10</v>
      </c>
      <c r="F5861" s="1662">
        <v>3</v>
      </c>
    </row>
    <row r="5862" spans="1:6" ht="15" customHeight="1" x14ac:dyDescent="0.25">
      <c r="A5862" s="2352" t="s">
        <v>14603</v>
      </c>
      <c r="B5862" s="2352" t="s">
        <v>9656</v>
      </c>
      <c r="C5862" s="2352" t="s">
        <v>9656</v>
      </c>
      <c r="D5862" s="2352" t="s">
        <v>9872</v>
      </c>
      <c r="E5862" s="355">
        <v>30</v>
      </c>
      <c r="F5862" s="1662">
        <v>11</v>
      </c>
    </row>
    <row r="5863" spans="1:6" ht="15" customHeight="1" x14ac:dyDescent="0.25">
      <c r="A5863" s="2352" t="s">
        <v>14604</v>
      </c>
      <c r="B5863" s="2352" t="s">
        <v>9656</v>
      </c>
      <c r="C5863" s="2352" t="s">
        <v>9656</v>
      </c>
      <c r="D5863" s="2352" t="s">
        <v>9873</v>
      </c>
      <c r="E5863" s="355">
        <v>10</v>
      </c>
      <c r="F5863" s="1662">
        <v>6</v>
      </c>
    </row>
    <row r="5864" spans="1:6" ht="15" customHeight="1" x14ac:dyDescent="0.25">
      <c r="A5864" s="2352" t="s">
        <v>14605</v>
      </c>
      <c r="B5864" s="2352" t="s">
        <v>9656</v>
      </c>
      <c r="C5864" s="2352" t="s">
        <v>9656</v>
      </c>
      <c r="D5864" s="2352" t="s">
        <v>9874</v>
      </c>
      <c r="E5864" s="355">
        <v>40</v>
      </c>
      <c r="F5864" s="1662">
        <v>2</v>
      </c>
    </row>
    <row r="5865" spans="1:6" ht="15" customHeight="1" x14ac:dyDescent="0.25">
      <c r="A5865" s="2352" t="s">
        <v>14606</v>
      </c>
      <c r="B5865" s="2352" t="s">
        <v>9656</v>
      </c>
      <c r="C5865" s="2352" t="s">
        <v>9656</v>
      </c>
      <c r="D5865" s="2352" t="s">
        <v>9875</v>
      </c>
      <c r="E5865" s="355">
        <v>10</v>
      </c>
      <c r="F5865" s="1662">
        <v>1</v>
      </c>
    </row>
    <row r="5866" spans="1:6" ht="15" customHeight="1" x14ac:dyDescent="0.25">
      <c r="A5866" s="2352" t="s">
        <v>14607</v>
      </c>
      <c r="B5866" s="2352" t="s">
        <v>9656</v>
      </c>
      <c r="C5866" s="2352" t="s">
        <v>9656</v>
      </c>
      <c r="D5866" s="2352" t="s">
        <v>9876</v>
      </c>
      <c r="E5866" s="355">
        <v>40</v>
      </c>
      <c r="F5866" s="1662">
        <v>2</v>
      </c>
    </row>
    <row r="5867" spans="1:6" ht="15" customHeight="1" x14ac:dyDescent="0.25">
      <c r="A5867" s="2352" t="s">
        <v>9877</v>
      </c>
      <c r="B5867" s="2352" t="s">
        <v>9656</v>
      </c>
      <c r="C5867" s="2352" t="s">
        <v>9656</v>
      </c>
      <c r="D5867" s="2352" t="s">
        <v>9878</v>
      </c>
      <c r="E5867" s="355">
        <v>160</v>
      </c>
      <c r="F5867" s="1662">
        <v>20</v>
      </c>
    </row>
    <row r="5868" spans="1:6" ht="15" customHeight="1" x14ac:dyDescent="0.25">
      <c r="A5868" s="2352" t="s">
        <v>9877</v>
      </c>
      <c r="B5868" s="2352" t="s">
        <v>9656</v>
      </c>
      <c r="C5868" s="2352" t="s">
        <v>9656</v>
      </c>
      <c r="D5868" s="2352" t="s">
        <v>9879</v>
      </c>
      <c r="E5868" s="355">
        <v>160</v>
      </c>
      <c r="F5868" s="1662">
        <v>13</v>
      </c>
    </row>
    <row r="5869" spans="1:6" ht="15" customHeight="1" x14ac:dyDescent="0.25">
      <c r="A5869" s="2352" t="s">
        <v>9877</v>
      </c>
      <c r="B5869" s="2352" t="s">
        <v>9656</v>
      </c>
      <c r="C5869" s="2352" t="s">
        <v>9656</v>
      </c>
      <c r="D5869" s="2352" t="s">
        <v>9880</v>
      </c>
      <c r="E5869" s="355">
        <v>160</v>
      </c>
      <c r="F5869" s="1662">
        <v>5</v>
      </c>
    </row>
    <row r="5870" spans="1:6" ht="15" customHeight="1" x14ac:dyDescent="0.25">
      <c r="A5870" s="2352" t="s">
        <v>4007</v>
      </c>
      <c r="B5870" s="2352" t="s">
        <v>9656</v>
      </c>
      <c r="C5870" s="2352" t="s">
        <v>9656</v>
      </c>
      <c r="D5870" s="2352" t="s">
        <v>9807</v>
      </c>
      <c r="E5870" s="355">
        <v>30</v>
      </c>
      <c r="F5870" s="1662">
        <v>11</v>
      </c>
    </row>
    <row r="5871" spans="1:6" ht="15" customHeight="1" x14ac:dyDescent="0.25">
      <c r="A5871" s="2352" t="s">
        <v>9867</v>
      </c>
      <c r="B5871" s="2352" t="s">
        <v>9656</v>
      </c>
      <c r="C5871" s="2352" t="s">
        <v>9656</v>
      </c>
      <c r="D5871" s="2352" t="s">
        <v>9881</v>
      </c>
      <c r="E5871" s="355">
        <v>100</v>
      </c>
      <c r="F5871" s="1662">
        <v>18</v>
      </c>
    </row>
    <row r="5872" spans="1:6" ht="15" customHeight="1" x14ac:dyDescent="0.25">
      <c r="A5872" s="2352" t="s">
        <v>14514</v>
      </c>
      <c r="B5872" s="2352" t="s">
        <v>9656</v>
      </c>
      <c r="C5872" s="2352" t="s">
        <v>9656</v>
      </c>
      <c r="D5872" s="2352" t="s">
        <v>9663</v>
      </c>
      <c r="E5872" s="355">
        <v>10</v>
      </c>
      <c r="F5872" s="1662">
        <v>2</v>
      </c>
    </row>
    <row r="5873" spans="1:6" ht="15" customHeight="1" x14ac:dyDescent="0.25">
      <c r="A5873" s="2352" t="s">
        <v>9877</v>
      </c>
      <c r="B5873" s="2352" t="s">
        <v>9656</v>
      </c>
      <c r="C5873" s="2352" t="s">
        <v>9656</v>
      </c>
      <c r="D5873" s="2352" t="s">
        <v>9882</v>
      </c>
      <c r="E5873" s="355">
        <v>320</v>
      </c>
      <c r="F5873" s="1662">
        <v>260</v>
      </c>
    </row>
    <row r="5874" spans="1:6" ht="15" customHeight="1" x14ac:dyDescent="0.25">
      <c r="A5874" s="2352" t="s">
        <v>9877</v>
      </c>
      <c r="B5874" s="2352" t="s">
        <v>9656</v>
      </c>
      <c r="C5874" s="2352" t="s">
        <v>9656</v>
      </c>
      <c r="D5874" s="2352" t="s">
        <v>9883</v>
      </c>
      <c r="E5874" s="355">
        <v>400</v>
      </c>
      <c r="F5874" s="1662">
        <v>280</v>
      </c>
    </row>
    <row r="5875" spans="1:6" ht="15" customHeight="1" x14ac:dyDescent="0.25">
      <c r="A5875" s="2352" t="s">
        <v>9877</v>
      </c>
      <c r="B5875" s="2352" t="s">
        <v>9656</v>
      </c>
      <c r="C5875" s="2352" t="s">
        <v>9656</v>
      </c>
      <c r="D5875" s="2352" t="s">
        <v>9884</v>
      </c>
      <c r="E5875" s="355">
        <v>250</v>
      </c>
      <c r="F5875" s="1662">
        <v>180</v>
      </c>
    </row>
    <row r="5876" spans="1:6" ht="15" customHeight="1" x14ac:dyDescent="0.25">
      <c r="A5876" s="2352" t="s">
        <v>9885</v>
      </c>
      <c r="B5876" s="2352" t="s">
        <v>9656</v>
      </c>
      <c r="C5876" s="2352" t="s">
        <v>9656</v>
      </c>
      <c r="D5876" s="2352" t="s">
        <v>9886</v>
      </c>
      <c r="E5876" s="355">
        <v>10</v>
      </c>
      <c r="F5876" s="1662">
        <v>1</v>
      </c>
    </row>
    <row r="5877" spans="1:6" ht="15" customHeight="1" x14ac:dyDescent="0.25">
      <c r="A5877" s="2352" t="s">
        <v>11748</v>
      </c>
      <c r="B5877" s="2352" t="s">
        <v>9656</v>
      </c>
      <c r="C5877" s="2352" t="s">
        <v>9656</v>
      </c>
      <c r="D5877" s="2352" t="s">
        <v>9887</v>
      </c>
      <c r="E5877" s="355">
        <v>60</v>
      </c>
      <c r="F5877" s="1662">
        <v>16</v>
      </c>
    </row>
    <row r="5878" spans="1:6" ht="15" customHeight="1" x14ac:dyDescent="0.25">
      <c r="A5878" s="2352" t="s">
        <v>14608</v>
      </c>
      <c r="B5878" s="2352" t="s">
        <v>9656</v>
      </c>
      <c r="C5878" s="2352" t="s">
        <v>9656</v>
      </c>
      <c r="D5878" s="2352" t="s">
        <v>9888</v>
      </c>
      <c r="E5878" s="355">
        <v>60</v>
      </c>
      <c r="F5878" s="1662">
        <v>18</v>
      </c>
    </row>
    <row r="5879" spans="1:6" ht="15" customHeight="1" x14ac:dyDescent="0.25">
      <c r="A5879" s="2352" t="s">
        <v>10703</v>
      </c>
      <c r="B5879" s="2352" t="s">
        <v>9656</v>
      </c>
      <c r="C5879" s="2352" t="s">
        <v>9656</v>
      </c>
      <c r="D5879" s="2352" t="s">
        <v>9889</v>
      </c>
      <c r="E5879" s="355">
        <v>100</v>
      </c>
      <c r="F5879" s="1662">
        <v>40</v>
      </c>
    </row>
    <row r="5880" spans="1:6" ht="15" customHeight="1" x14ac:dyDescent="0.25">
      <c r="A5880" s="2352" t="s">
        <v>14609</v>
      </c>
      <c r="B5880" s="2352" t="s">
        <v>9656</v>
      </c>
      <c r="C5880" s="2352" t="s">
        <v>9656</v>
      </c>
      <c r="D5880" s="2352" t="s">
        <v>9890</v>
      </c>
      <c r="E5880" s="355">
        <v>60</v>
      </c>
      <c r="F5880" s="1662">
        <v>20</v>
      </c>
    </row>
    <row r="5881" spans="1:6" ht="15" customHeight="1" x14ac:dyDescent="0.25">
      <c r="A5881" s="2352" t="s">
        <v>9891</v>
      </c>
      <c r="B5881" s="2352" t="s">
        <v>9656</v>
      </c>
      <c r="C5881" s="2352" t="s">
        <v>9656</v>
      </c>
      <c r="D5881" s="2352" t="s">
        <v>9892</v>
      </c>
      <c r="E5881" s="355">
        <v>250</v>
      </c>
      <c r="F5881" s="1662">
        <v>56</v>
      </c>
    </row>
    <row r="5882" spans="1:6" ht="15" customHeight="1" x14ac:dyDescent="0.25">
      <c r="A5882" s="2352" t="s">
        <v>14610</v>
      </c>
      <c r="B5882" s="2352" t="s">
        <v>9656</v>
      </c>
      <c r="C5882" s="2352" t="s">
        <v>9656</v>
      </c>
      <c r="D5882" s="2352" t="s">
        <v>9893</v>
      </c>
      <c r="E5882" s="355">
        <v>60</v>
      </c>
      <c r="F5882" s="1662">
        <v>17</v>
      </c>
    </row>
    <row r="5883" spans="1:6" ht="15" customHeight="1" x14ac:dyDescent="0.25">
      <c r="A5883" s="2352" t="s">
        <v>9891</v>
      </c>
      <c r="B5883" s="2352" t="s">
        <v>9656</v>
      </c>
      <c r="C5883" s="2352" t="s">
        <v>9656</v>
      </c>
      <c r="D5883" s="2352" t="s">
        <v>9894</v>
      </c>
      <c r="E5883" s="355">
        <v>160</v>
      </c>
      <c r="F5883" s="1662">
        <v>23</v>
      </c>
    </row>
    <row r="5884" spans="1:6" ht="15" customHeight="1" x14ac:dyDescent="0.25">
      <c r="A5884" s="2352" t="s">
        <v>9891</v>
      </c>
      <c r="B5884" s="2352" t="s">
        <v>9656</v>
      </c>
      <c r="C5884" s="2352" t="s">
        <v>9656</v>
      </c>
      <c r="D5884" s="2352" t="s">
        <v>9895</v>
      </c>
      <c r="E5884" s="355">
        <v>100</v>
      </c>
      <c r="F5884" s="1662">
        <v>13</v>
      </c>
    </row>
    <row r="5885" spans="1:6" ht="15" customHeight="1" x14ac:dyDescent="0.25">
      <c r="A5885" s="2352" t="s">
        <v>9891</v>
      </c>
      <c r="B5885" s="2352" t="s">
        <v>9656</v>
      </c>
      <c r="C5885" s="2352" t="s">
        <v>9656</v>
      </c>
      <c r="D5885" s="2352" t="s">
        <v>9896</v>
      </c>
      <c r="E5885" s="355">
        <v>400</v>
      </c>
      <c r="F5885" s="1662">
        <v>310</v>
      </c>
    </row>
    <row r="5886" spans="1:6" ht="15" customHeight="1" x14ac:dyDescent="0.25">
      <c r="A5886" s="2352" t="s">
        <v>9891</v>
      </c>
      <c r="B5886" s="2352" t="s">
        <v>9656</v>
      </c>
      <c r="C5886" s="2352" t="s">
        <v>9656</v>
      </c>
      <c r="D5886" s="2352" t="s">
        <v>9897</v>
      </c>
      <c r="E5886" s="355">
        <v>160</v>
      </c>
      <c r="F5886" s="1662">
        <v>24</v>
      </c>
    </row>
    <row r="5887" spans="1:6" ht="15" customHeight="1" x14ac:dyDescent="0.25">
      <c r="A5887" s="2352" t="s">
        <v>14611</v>
      </c>
      <c r="B5887" s="2352" t="s">
        <v>9656</v>
      </c>
      <c r="C5887" s="2352" t="s">
        <v>9656</v>
      </c>
      <c r="D5887" s="2352" t="s">
        <v>9898</v>
      </c>
      <c r="E5887" s="355">
        <v>60</v>
      </c>
      <c r="F5887" s="1662">
        <v>19</v>
      </c>
    </row>
    <row r="5888" spans="1:6" ht="15" customHeight="1" x14ac:dyDescent="0.25">
      <c r="A5888" s="2352" t="s">
        <v>9899</v>
      </c>
      <c r="B5888" s="2352" t="s">
        <v>9656</v>
      </c>
      <c r="C5888" s="2352" t="s">
        <v>9656</v>
      </c>
      <c r="D5888" s="2352" t="s">
        <v>9900</v>
      </c>
      <c r="E5888" s="355">
        <v>30</v>
      </c>
      <c r="F5888" s="1662">
        <v>20</v>
      </c>
    </row>
    <row r="5889" spans="1:6" ht="15" customHeight="1" x14ac:dyDescent="0.25">
      <c r="A5889" s="2352" t="s">
        <v>9891</v>
      </c>
      <c r="B5889" s="2352" t="s">
        <v>9656</v>
      </c>
      <c r="C5889" s="2352" t="s">
        <v>9656</v>
      </c>
      <c r="D5889" s="2352" t="s">
        <v>9901</v>
      </c>
      <c r="E5889" s="355">
        <v>250</v>
      </c>
      <c r="F5889" s="1662">
        <v>60</v>
      </c>
    </row>
    <row r="5890" spans="1:6" ht="15" customHeight="1" x14ac:dyDescent="0.25">
      <c r="A5890" s="2352" t="s">
        <v>9902</v>
      </c>
      <c r="B5890" s="2352" t="s">
        <v>9656</v>
      </c>
      <c r="C5890" s="2352" t="s">
        <v>9656</v>
      </c>
      <c r="D5890" s="2352" t="s">
        <v>9903</v>
      </c>
      <c r="E5890" s="355">
        <v>25</v>
      </c>
      <c r="F5890" s="1662">
        <v>15</v>
      </c>
    </row>
    <row r="5891" spans="1:6" ht="15" customHeight="1" x14ac:dyDescent="0.25">
      <c r="A5891" s="2352" t="s">
        <v>9902</v>
      </c>
      <c r="B5891" s="2352" t="s">
        <v>9656</v>
      </c>
      <c r="C5891" s="2352" t="s">
        <v>9656</v>
      </c>
      <c r="D5891" s="2352" t="s">
        <v>9904</v>
      </c>
      <c r="E5891" s="355">
        <v>250</v>
      </c>
      <c r="F5891" s="1662">
        <v>60</v>
      </c>
    </row>
    <row r="5892" spans="1:6" ht="15" customHeight="1" x14ac:dyDescent="0.25">
      <c r="A5892" s="2352" t="s">
        <v>9902</v>
      </c>
      <c r="B5892" s="2352" t="s">
        <v>9656</v>
      </c>
      <c r="C5892" s="2352" t="s">
        <v>9656</v>
      </c>
      <c r="D5892" s="2352" t="s">
        <v>9905</v>
      </c>
      <c r="E5892" s="355">
        <v>250</v>
      </c>
      <c r="F5892" s="1662">
        <v>120</v>
      </c>
    </row>
    <row r="5893" spans="1:6" ht="15" customHeight="1" x14ac:dyDescent="0.25">
      <c r="A5893" s="2352" t="s">
        <v>9691</v>
      </c>
      <c r="B5893" s="2352" t="s">
        <v>9656</v>
      </c>
      <c r="C5893" s="2352" t="s">
        <v>9656</v>
      </c>
      <c r="D5893" s="2352" t="s">
        <v>9906</v>
      </c>
      <c r="E5893" s="355">
        <v>20</v>
      </c>
      <c r="F5893" s="1662">
        <v>10</v>
      </c>
    </row>
    <row r="5894" spans="1:6" ht="15" customHeight="1" x14ac:dyDescent="0.25">
      <c r="A5894" s="2352" t="s">
        <v>14612</v>
      </c>
      <c r="B5894" s="2352" t="s">
        <v>9656</v>
      </c>
      <c r="C5894" s="2352" t="s">
        <v>9656</v>
      </c>
      <c r="D5894" s="2352" t="s">
        <v>9907</v>
      </c>
      <c r="E5894" s="355">
        <v>60</v>
      </c>
      <c r="F5894" s="1662">
        <v>6</v>
      </c>
    </row>
    <row r="5895" spans="1:6" ht="15" customHeight="1" x14ac:dyDescent="0.25">
      <c r="A5895" s="2352" t="s">
        <v>8784</v>
      </c>
      <c r="B5895" s="2352" t="s">
        <v>9656</v>
      </c>
      <c r="C5895" s="2352" t="s">
        <v>9656</v>
      </c>
      <c r="D5895" s="2352" t="s">
        <v>9908</v>
      </c>
      <c r="E5895" s="355">
        <v>25</v>
      </c>
      <c r="F5895" s="1662">
        <v>9</v>
      </c>
    </row>
    <row r="5896" spans="1:6" ht="15" customHeight="1" x14ac:dyDescent="0.25">
      <c r="A5896" s="2352" t="s">
        <v>14613</v>
      </c>
      <c r="B5896" s="2352" t="s">
        <v>9656</v>
      </c>
      <c r="C5896" s="2352" t="s">
        <v>9656</v>
      </c>
      <c r="D5896" s="2352" t="s">
        <v>9909</v>
      </c>
      <c r="E5896" s="355">
        <v>100</v>
      </c>
      <c r="F5896" s="1662">
        <v>55</v>
      </c>
    </row>
    <row r="5897" spans="1:6" ht="15" customHeight="1" x14ac:dyDescent="0.25">
      <c r="A5897" s="2352" t="s">
        <v>14614</v>
      </c>
      <c r="B5897" s="2352" t="s">
        <v>9656</v>
      </c>
      <c r="C5897" s="2352" t="s">
        <v>9656</v>
      </c>
      <c r="D5897" s="2352" t="s">
        <v>9910</v>
      </c>
      <c r="E5897" s="355">
        <v>20</v>
      </c>
      <c r="F5897" s="1662">
        <v>5</v>
      </c>
    </row>
    <row r="5898" spans="1:6" ht="15" customHeight="1" x14ac:dyDescent="0.25">
      <c r="A5898" s="2352" t="s">
        <v>9911</v>
      </c>
      <c r="B5898" s="2352" t="s">
        <v>9656</v>
      </c>
      <c r="C5898" s="2352" t="s">
        <v>9656</v>
      </c>
      <c r="D5898" s="2352" t="s">
        <v>9912</v>
      </c>
      <c r="E5898" s="355">
        <v>160</v>
      </c>
      <c r="F5898" s="1662">
        <v>44</v>
      </c>
    </row>
    <row r="5899" spans="1:6" ht="15" customHeight="1" x14ac:dyDescent="0.25">
      <c r="A5899" s="2352" t="s">
        <v>7301</v>
      </c>
      <c r="B5899" s="2352" t="s">
        <v>9656</v>
      </c>
      <c r="C5899" s="2352" t="s">
        <v>9656</v>
      </c>
      <c r="D5899" s="2352" t="s">
        <v>9913</v>
      </c>
      <c r="E5899" s="355">
        <v>20</v>
      </c>
      <c r="F5899" s="1662">
        <v>10</v>
      </c>
    </row>
    <row r="5900" spans="1:6" ht="15" customHeight="1" x14ac:dyDescent="0.25">
      <c r="A5900" s="2352" t="s">
        <v>9911</v>
      </c>
      <c r="B5900" s="2352" t="s">
        <v>9656</v>
      </c>
      <c r="C5900" s="2352" t="s">
        <v>9656</v>
      </c>
      <c r="D5900" s="2352" t="s">
        <v>9914</v>
      </c>
      <c r="E5900" s="355">
        <v>250</v>
      </c>
      <c r="F5900" s="1662">
        <v>190</v>
      </c>
    </row>
    <row r="5901" spans="1:6" ht="15" customHeight="1" x14ac:dyDescent="0.25">
      <c r="A5901" s="2352" t="s">
        <v>9911</v>
      </c>
      <c r="B5901" s="2352" t="s">
        <v>9656</v>
      </c>
      <c r="C5901" s="2352" t="s">
        <v>9656</v>
      </c>
      <c r="D5901" s="2352" t="s">
        <v>9915</v>
      </c>
      <c r="E5901" s="355">
        <v>160</v>
      </c>
      <c r="F5901" s="1662">
        <v>120</v>
      </c>
    </row>
    <row r="5902" spans="1:6" ht="15" customHeight="1" x14ac:dyDescent="0.25">
      <c r="A5902" s="2352" t="s">
        <v>9911</v>
      </c>
      <c r="B5902" s="2352" t="s">
        <v>9656</v>
      </c>
      <c r="C5902" s="2352" t="s">
        <v>9656</v>
      </c>
      <c r="D5902" s="2352" t="s">
        <v>9916</v>
      </c>
      <c r="E5902" s="355">
        <v>250</v>
      </c>
      <c r="F5902" s="1662">
        <v>150</v>
      </c>
    </row>
    <row r="5903" spans="1:6" ht="15" customHeight="1" x14ac:dyDescent="0.25">
      <c r="A5903" s="2352" t="s">
        <v>9911</v>
      </c>
      <c r="B5903" s="2352" t="s">
        <v>9656</v>
      </c>
      <c r="C5903" s="2352" t="s">
        <v>9656</v>
      </c>
      <c r="D5903" s="2352" t="s">
        <v>9917</v>
      </c>
      <c r="E5903" s="355">
        <v>160</v>
      </c>
      <c r="F5903" s="1662">
        <v>24</v>
      </c>
    </row>
    <row r="5904" spans="1:6" ht="15" customHeight="1" x14ac:dyDescent="0.25">
      <c r="A5904" s="2352" t="s">
        <v>14615</v>
      </c>
      <c r="B5904" s="2352" t="s">
        <v>9656</v>
      </c>
      <c r="C5904" s="2352" t="s">
        <v>9656</v>
      </c>
      <c r="D5904" s="2352" t="s">
        <v>9918</v>
      </c>
      <c r="E5904" s="355">
        <v>20</v>
      </c>
      <c r="F5904" s="1662">
        <v>6</v>
      </c>
    </row>
    <row r="5905" spans="1:6" ht="15" customHeight="1" x14ac:dyDescent="0.25">
      <c r="A5905" s="2352" t="s">
        <v>9919</v>
      </c>
      <c r="B5905" s="2352" t="s">
        <v>9656</v>
      </c>
      <c r="C5905" s="2352" t="s">
        <v>9656</v>
      </c>
      <c r="D5905" s="2352" t="s">
        <v>9920</v>
      </c>
      <c r="E5905" s="355">
        <v>250</v>
      </c>
      <c r="F5905" s="1662">
        <v>250</v>
      </c>
    </row>
    <row r="5906" spans="1:6" ht="15" customHeight="1" x14ac:dyDescent="0.25">
      <c r="A5906" s="2352" t="s">
        <v>9921</v>
      </c>
      <c r="B5906" s="2352" t="s">
        <v>9656</v>
      </c>
      <c r="C5906" s="2352" t="s">
        <v>9656</v>
      </c>
      <c r="D5906" s="2352" t="s">
        <v>9922</v>
      </c>
      <c r="E5906" s="355">
        <v>40</v>
      </c>
      <c r="F5906" s="1662">
        <v>4</v>
      </c>
    </row>
    <row r="5907" spans="1:6" ht="15" customHeight="1" x14ac:dyDescent="0.25">
      <c r="A5907" s="2352" t="s">
        <v>9923</v>
      </c>
      <c r="B5907" s="2352" t="s">
        <v>9656</v>
      </c>
      <c r="C5907" s="2352" t="s">
        <v>9656</v>
      </c>
      <c r="D5907" s="2352" t="s">
        <v>9924</v>
      </c>
      <c r="E5907" s="355">
        <v>160</v>
      </c>
      <c r="F5907" s="1662">
        <v>90</v>
      </c>
    </row>
    <row r="5908" spans="1:6" ht="15" customHeight="1" x14ac:dyDescent="0.25">
      <c r="A5908" s="2352" t="s">
        <v>9919</v>
      </c>
      <c r="B5908" s="2352" t="s">
        <v>9656</v>
      </c>
      <c r="C5908" s="2352" t="s">
        <v>9656</v>
      </c>
      <c r="D5908" s="2352" t="s">
        <v>9925</v>
      </c>
      <c r="E5908" s="355">
        <v>400</v>
      </c>
      <c r="F5908" s="1662">
        <v>400</v>
      </c>
    </row>
    <row r="5909" spans="1:6" ht="15" customHeight="1" x14ac:dyDescent="0.25">
      <c r="A5909" s="2352" t="s">
        <v>6517</v>
      </c>
      <c r="B5909" s="2352" t="s">
        <v>9656</v>
      </c>
      <c r="C5909" s="2352" t="s">
        <v>9656</v>
      </c>
      <c r="D5909" s="2352" t="s">
        <v>9926</v>
      </c>
      <c r="E5909" s="355">
        <v>10</v>
      </c>
      <c r="F5909" s="1662">
        <v>3</v>
      </c>
    </row>
    <row r="5910" spans="1:6" ht="15" customHeight="1" x14ac:dyDescent="0.25">
      <c r="A5910" s="2352" t="s">
        <v>9927</v>
      </c>
      <c r="B5910" s="2352" t="s">
        <v>9656</v>
      </c>
      <c r="C5910" s="2352" t="s">
        <v>9656</v>
      </c>
      <c r="D5910" s="2352" t="s">
        <v>9928</v>
      </c>
      <c r="E5910" s="355">
        <v>63</v>
      </c>
      <c r="F5910" s="1662">
        <v>60</v>
      </c>
    </row>
    <row r="5911" spans="1:6" ht="15" customHeight="1" x14ac:dyDescent="0.25">
      <c r="A5911" s="2352" t="s">
        <v>9919</v>
      </c>
      <c r="B5911" s="2352" t="s">
        <v>9656</v>
      </c>
      <c r="C5911" s="2352" t="s">
        <v>9656</v>
      </c>
      <c r="D5911" s="2352" t="s">
        <v>9929</v>
      </c>
      <c r="E5911" s="355">
        <v>160</v>
      </c>
      <c r="F5911" s="1662">
        <v>34</v>
      </c>
    </row>
    <row r="5912" spans="1:6" ht="15" customHeight="1" x14ac:dyDescent="0.25">
      <c r="A5912" s="2352" t="s">
        <v>9919</v>
      </c>
      <c r="B5912" s="2352" t="s">
        <v>9656</v>
      </c>
      <c r="C5912" s="2352" t="s">
        <v>9656</v>
      </c>
      <c r="D5912" s="2352" t="s">
        <v>9930</v>
      </c>
      <c r="E5912" s="355">
        <v>100</v>
      </c>
      <c r="F5912" s="1662">
        <v>20</v>
      </c>
    </row>
    <row r="5913" spans="1:6" ht="15" customHeight="1" x14ac:dyDescent="0.25">
      <c r="A5913" s="2352" t="s">
        <v>4904</v>
      </c>
      <c r="B5913" s="2352" t="s">
        <v>9656</v>
      </c>
      <c r="C5913" s="2352" t="s">
        <v>9656</v>
      </c>
      <c r="D5913" s="2352" t="s">
        <v>9714</v>
      </c>
      <c r="E5913" s="355">
        <v>1.25</v>
      </c>
      <c r="F5913" s="1662">
        <v>0</v>
      </c>
    </row>
    <row r="5914" spans="1:6" ht="15" customHeight="1" x14ac:dyDescent="0.25">
      <c r="A5914" s="2352" t="s">
        <v>8190</v>
      </c>
      <c r="B5914" s="2352" t="s">
        <v>9656</v>
      </c>
      <c r="C5914" s="2352" t="s">
        <v>9656</v>
      </c>
      <c r="D5914" s="2352" t="s">
        <v>9931</v>
      </c>
      <c r="E5914" s="355">
        <v>63</v>
      </c>
      <c r="F5914" s="1662">
        <v>36</v>
      </c>
    </row>
    <row r="5915" spans="1:6" ht="15" customHeight="1" x14ac:dyDescent="0.25">
      <c r="A5915" s="2352" t="s">
        <v>3824</v>
      </c>
      <c r="B5915" s="2352" t="s">
        <v>9656</v>
      </c>
      <c r="C5915" s="2352" t="s">
        <v>9656</v>
      </c>
      <c r="D5915" s="2352" t="s">
        <v>9932</v>
      </c>
      <c r="E5915" s="355">
        <v>250</v>
      </c>
      <c r="F5915" s="1662">
        <v>250</v>
      </c>
    </row>
    <row r="5916" spans="1:6" ht="15" customHeight="1" x14ac:dyDescent="0.25">
      <c r="A5916" s="2352" t="s">
        <v>14616</v>
      </c>
      <c r="B5916" s="2352" t="s">
        <v>9656</v>
      </c>
      <c r="C5916" s="2352" t="s">
        <v>9656</v>
      </c>
      <c r="D5916" s="2352" t="s">
        <v>9933</v>
      </c>
      <c r="E5916" s="355">
        <v>40</v>
      </c>
      <c r="F5916" s="1662">
        <v>28</v>
      </c>
    </row>
    <row r="5917" spans="1:6" ht="15" customHeight="1" x14ac:dyDescent="0.25">
      <c r="A5917" s="2352" t="s">
        <v>10995</v>
      </c>
      <c r="B5917" s="2352" t="s">
        <v>9656</v>
      </c>
      <c r="C5917" s="2352" t="s">
        <v>9656</v>
      </c>
      <c r="D5917" s="2352" t="s">
        <v>9934</v>
      </c>
      <c r="E5917" s="355">
        <v>40</v>
      </c>
      <c r="F5917" s="1662">
        <v>20</v>
      </c>
    </row>
    <row r="5918" spans="1:6" ht="15" customHeight="1" x14ac:dyDescent="0.25">
      <c r="A5918" s="2352" t="s">
        <v>14617</v>
      </c>
      <c r="B5918" s="2352" t="s">
        <v>9656</v>
      </c>
      <c r="C5918" s="2352" t="s">
        <v>9656</v>
      </c>
      <c r="D5918" s="2352" t="s">
        <v>9935</v>
      </c>
      <c r="E5918" s="355">
        <v>30</v>
      </c>
      <c r="F5918" s="1662">
        <v>14</v>
      </c>
    </row>
    <row r="5919" spans="1:6" ht="15" customHeight="1" x14ac:dyDescent="0.25">
      <c r="A5919" s="2352" t="s">
        <v>3824</v>
      </c>
      <c r="B5919" s="2352" t="s">
        <v>9656</v>
      </c>
      <c r="C5919" s="2352" t="s">
        <v>9656</v>
      </c>
      <c r="D5919" s="2352" t="s">
        <v>9936</v>
      </c>
      <c r="E5919" s="355">
        <v>100</v>
      </c>
      <c r="F5919" s="1662">
        <v>26</v>
      </c>
    </row>
    <row r="5920" spans="1:6" ht="15" customHeight="1" x14ac:dyDescent="0.25">
      <c r="A5920" s="2352" t="s">
        <v>3824</v>
      </c>
      <c r="B5920" s="2352" t="s">
        <v>9656</v>
      </c>
      <c r="C5920" s="2352" t="s">
        <v>9656</v>
      </c>
      <c r="D5920" s="2352" t="s">
        <v>9937</v>
      </c>
      <c r="E5920" s="355">
        <v>160</v>
      </c>
      <c r="F5920" s="1662">
        <v>150</v>
      </c>
    </row>
    <row r="5921" spans="1:6" ht="15" customHeight="1" x14ac:dyDescent="0.25">
      <c r="A5921" s="2352" t="s">
        <v>4007</v>
      </c>
      <c r="B5921" s="2352" t="s">
        <v>9656</v>
      </c>
      <c r="C5921" s="2352" t="s">
        <v>9656</v>
      </c>
      <c r="D5921" s="2352" t="s">
        <v>9807</v>
      </c>
      <c r="E5921" s="355">
        <v>100</v>
      </c>
      <c r="F5921" s="1662">
        <v>70</v>
      </c>
    </row>
    <row r="5922" spans="1:6" ht="15" customHeight="1" x14ac:dyDescent="0.25">
      <c r="A5922" s="2352" t="s">
        <v>14618</v>
      </c>
      <c r="B5922" s="2352" t="s">
        <v>9656</v>
      </c>
      <c r="C5922" s="2352" t="s">
        <v>9656</v>
      </c>
      <c r="D5922" s="2352" t="s">
        <v>9938</v>
      </c>
      <c r="E5922" s="355">
        <v>10</v>
      </c>
      <c r="F5922" s="1662">
        <v>4</v>
      </c>
    </row>
    <row r="5923" spans="1:6" ht="15" customHeight="1" x14ac:dyDescent="0.25">
      <c r="A5923" s="2352" t="s">
        <v>14619</v>
      </c>
      <c r="B5923" s="2352" t="s">
        <v>9656</v>
      </c>
      <c r="C5923" s="2352" t="s">
        <v>9656</v>
      </c>
      <c r="D5923" s="2352" t="s">
        <v>9939</v>
      </c>
      <c r="E5923" s="355">
        <v>10</v>
      </c>
      <c r="F5923" s="1662">
        <v>2</v>
      </c>
    </row>
    <row r="5924" spans="1:6" ht="15" customHeight="1" x14ac:dyDescent="0.25">
      <c r="A5924" s="2352" t="s">
        <v>6512</v>
      </c>
      <c r="B5924" s="2352" t="s">
        <v>9656</v>
      </c>
      <c r="C5924" s="2352" t="s">
        <v>9656</v>
      </c>
      <c r="D5924" s="2352" t="s">
        <v>9940</v>
      </c>
      <c r="E5924" s="355">
        <v>40</v>
      </c>
      <c r="F5924" s="1662">
        <v>18</v>
      </c>
    </row>
    <row r="5925" spans="1:6" ht="15" customHeight="1" x14ac:dyDescent="0.25">
      <c r="A5925" s="2352" t="s">
        <v>18721</v>
      </c>
      <c r="B5925" s="2352" t="s">
        <v>11076</v>
      </c>
      <c r="C5925" s="2352" t="s">
        <v>11076</v>
      </c>
      <c r="D5925" s="2352" t="s">
        <v>11077</v>
      </c>
      <c r="E5925" s="355">
        <v>100</v>
      </c>
      <c r="F5925" s="1662">
        <v>62</v>
      </c>
    </row>
    <row r="5926" spans="1:6" ht="15" customHeight="1" x14ac:dyDescent="0.25">
      <c r="A5926" s="2352" t="s">
        <v>18721</v>
      </c>
      <c r="B5926" s="2352" t="s">
        <v>11076</v>
      </c>
      <c r="C5926" s="2352" t="s">
        <v>11076</v>
      </c>
      <c r="D5926" s="2352" t="s">
        <v>11078</v>
      </c>
      <c r="E5926" s="355">
        <v>100</v>
      </c>
      <c r="F5926" s="1662">
        <v>34</v>
      </c>
    </row>
    <row r="5927" spans="1:6" ht="15" customHeight="1" x14ac:dyDescent="0.25">
      <c r="A5927" s="2352" t="s">
        <v>18721</v>
      </c>
      <c r="B5927" s="2352" t="s">
        <v>11076</v>
      </c>
      <c r="C5927" s="2352" t="s">
        <v>11076</v>
      </c>
      <c r="D5927" s="2352" t="s">
        <v>11079</v>
      </c>
      <c r="E5927" s="355">
        <v>160</v>
      </c>
      <c r="F5927" s="1662">
        <v>45</v>
      </c>
    </row>
    <row r="5928" spans="1:6" ht="15" customHeight="1" x14ac:dyDescent="0.25">
      <c r="A5928" s="2352" t="s">
        <v>18721</v>
      </c>
      <c r="B5928" s="2352" t="s">
        <v>11076</v>
      </c>
      <c r="C5928" s="2352" t="s">
        <v>11076</v>
      </c>
      <c r="D5928" s="2352" t="s">
        <v>11080</v>
      </c>
      <c r="E5928" s="355">
        <v>100</v>
      </c>
      <c r="F5928" s="1662">
        <v>25</v>
      </c>
    </row>
    <row r="5929" spans="1:6" ht="15" customHeight="1" x14ac:dyDescent="0.25">
      <c r="A5929" s="2352" t="s">
        <v>18722</v>
      </c>
      <c r="B5929" s="2352" t="s">
        <v>11076</v>
      </c>
      <c r="C5929" s="2352" t="s">
        <v>11076</v>
      </c>
      <c r="D5929" s="2352" t="s">
        <v>11081</v>
      </c>
      <c r="E5929" s="355">
        <v>160</v>
      </c>
      <c r="F5929" s="1662">
        <v>70</v>
      </c>
    </row>
    <row r="5930" spans="1:6" ht="15" customHeight="1" x14ac:dyDescent="0.25">
      <c r="A5930" s="2352" t="s">
        <v>18722</v>
      </c>
      <c r="B5930" s="2352" t="s">
        <v>11076</v>
      </c>
      <c r="C5930" s="2352" t="s">
        <v>11076</v>
      </c>
      <c r="D5930" s="2352" t="s">
        <v>11082</v>
      </c>
      <c r="E5930" s="355">
        <v>60</v>
      </c>
      <c r="F5930" s="1662">
        <v>31</v>
      </c>
    </row>
    <row r="5931" spans="1:6" ht="15" customHeight="1" x14ac:dyDescent="0.25">
      <c r="A5931" s="2352" t="s">
        <v>18722</v>
      </c>
      <c r="B5931" s="2352" t="s">
        <v>11076</v>
      </c>
      <c r="C5931" s="2352" t="s">
        <v>11076</v>
      </c>
      <c r="D5931" s="2352" t="s">
        <v>11083</v>
      </c>
      <c r="E5931" s="355">
        <v>63</v>
      </c>
      <c r="F5931" s="1662">
        <v>34</v>
      </c>
    </row>
    <row r="5932" spans="1:6" ht="15" customHeight="1" x14ac:dyDescent="0.25">
      <c r="A5932" s="2352" t="s">
        <v>18722</v>
      </c>
      <c r="B5932" s="2352" t="s">
        <v>11076</v>
      </c>
      <c r="C5932" s="2352" t="s">
        <v>11076</v>
      </c>
      <c r="D5932" s="2352" t="s">
        <v>11084</v>
      </c>
      <c r="E5932" s="355">
        <v>30</v>
      </c>
      <c r="F5932" s="1662">
        <v>15</v>
      </c>
    </row>
    <row r="5933" spans="1:6" ht="15" customHeight="1" x14ac:dyDescent="0.25">
      <c r="A5933" s="2352" t="s">
        <v>18723</v>
      </c>
      <c r="B5933" s="2352" t="s">
        <v>11076</v>
      </c>
      <c r="C5933" s="2352" t="s">
        <v>11076</v>
      </c>
      <c r="D5933" s="2352" t="s">
        <v>11085</v>
      </c>
      <c r="E5933" s="355">
        <v>30</v>
      </c>
      <c r="F5933" s="1662">
        <v>15</v>
      </c>
    </row>
    <row r="5934" spans="1:6" ht="15" customHeight="1" x14ac:dyDescent="0.25">
      <c r="A5934" s="2352" t="s">
        <v>18724</v>
      </c>
      <c r="B5934" s="2352" t="s">
        <v>11076</v>
      </c>
      <c r="C5934" s="2352" t="s">
        <v>11076</v>
      </c>
      <c r="D5934" s="2352" t="s">
        <v>11086</v>
      </c>
      <c r="E5934" s="355">
        <v>50</v>
      </c>
      <c r="F5934" s="1662">
        <v>31</v>
      </c>
    </row>
    <row r="5935" spans="1:6" ht="15" customHeight="1" x14ac:dyDescent="0.25">
      <c r="A5935" s="2352" t="s">
        <v>18725</v>
      </c>
      <c r="B5935" s="2352" t="s">
        <v>11076</v>
      </c>
      <c r="C5935" s="2352" t="s">
        <v>11076</v>
      </c>
      <c r="D5935" s="2352" t="s">
        <v>11087</v>
      </c>
      <c r="E5935" s="355">
        <v>50</v>
      </c>
      <c r="F5935" s="1662">
        <v>24</v>
      </c>
    </row>
    <row r="5936" spans="1:6" ht="15" customHeight="1" x14ac:dyDescent="0.25">
      <c r="A5936" s="2352" t="s">
        <v>18726</v>
      </c>
      <c r="B5936" s="2352" t="s">
        <v>11076</v>
      </c>
      <c r="C5936" s="2352" t="s">
        <v>11076</v>
      </c>
      <c r="D5936" s="2352" t="s">
        <v>11088</v>
      </c>
      <c r="E5936" s="355">
        <v>30</v>
      </c>
      <c r="F5936" s="1662">
        <v>18</v>
      </c>
    </row>
    <row r="5937" spans="1:6" ht="15" customHeight="1" x14ac:dyDescent="0.25">
      <c r="A5937" s="2352" t="s">
        <v>18727</v>
      </c>
      <c r="B5937" s="2352" t="s">
        <v>11076</v>
      </c>
      <c r="C5937" s="2352" t="s">
        <v>11076</v>
      </c>
      <c r="D5937" s="2352" t="s">
        <v>11089</v>
      </c>
      <c r="E5937" s="355">
        <v>63</v>
      </c>
      <c r="F5937" s="1662">
        <v>22</v>
      </c>
    </row>
    <row r="5938" spans="1:6" ht="15" customHeight="1" x14ac:dyDescent="0.25">
      <c r="A5938" s="2352" t="s">
        <v>18727</v>
      </c>
      <c r="B5938" s="2352" t="s">
        <v>11076</v>
      </c>
      <c r="C5938" s="2352" t="s">
        <v>11076</v>
      </c>
      <c r="D5938" s="2352" t="s">
        <v>11090</v>
      </c>
      <c r="E5938" s="355">
        <v>63</v>
      </c>
      <c r="F5938" s="1662">
        <v>31</v>
      </c>
    </row>
    <row r="5939" spans="1:6" ht="15" customHeight="1" x14ac:dyDescent="0.25">
      <c r="A5939" s="2352" t="s">
        <v>18728</v>
      </c>
      <c r="B5939" s="2352" t="s">
        <v>11076</v>
      </c>
      <c r="C5939" s="2352" t="s">
        <v>11076</v>
      </c>
      <c r="D5939" s="2352" t="s">
        <v>11091</v>
      </c>
      <c r="E5939" s="355">
        <v>63</v>
      </c>
      <c r="F5939" s="1662">
        <v>18</v>
      </c>
    </row>
    <row r="5940" spans="1:6" ht="15" customHeight="1" x14ac:dyDescent="0.25">
      <c r="A5940" s="2352" t="s">
        <v>18721</v>
      </c>
      <c r="B5940" s="2352" t="s">
        <v>11076</v>
      </c>
      <c r="C5940" s="2352" t="s">
        <v>11076</v>
      </c>
      <c r="D5940" s="2352" t="s">
        <v>11092</v>
      </c>
      <c r="E5940" s="355">
        <v>250</v>
      </c>
      <c r="F5940" s="1662">
        <v>120</v>
      </c>
    </row>
    <row r="5941" spans="1:6" ht="15" customHeight="1" x14ac:dyDescent="0.25">
      <c r="A5941" s="2352" t="s">
        <v>18721</v>
      </c>
      <c r="B5941" s="2352" t="s">
        <v>11076</v>
      </c>
      <c r="C5941" s="2352" t="s">
        <v>11076</v>
      </c>
      <c r="D5941" s="2352" t="s">
        <v>11093</v>
      </c>
      <c r="E5941" s="355">
        <v>160</v>
      </c>
      <c r="F5941" s="1662">
        <v>41</v>
      </c>
    </row>
    <row r="5942" spans="1:6" ht="15" customHeight="1" x14ac:dyDescent="0.25">
      <c r="A5942" s="2352" t="s">
        <v>18729</v>
      </c>
      <c r="B5942" s="2352" t="s">
        <v>11076</v>
      </c>
      <c r="C5942" s="2352" t="s">
        <v>11076</v>
      </c>
      <c r="D5942" s="2352" t="s">
        <v>11094</v>
      </c>
      <c r="E5942" s="355">
        <v>63</v>
      </c>
      <c r="F5942" s="1662">
        <v>39</v>
      </c>
    </row>
    <row r="5943" spans="1:6" ht="15" customHeight="1" x14ac:dyDescent="0.25">
      <c r="A5943" s="2352" t="s">
        <v>18730</v>
      </c>
      <c r="B5943" s="2352" t="s">
        <v>11076</v>
      </c>
      <c r="C5943" s="2352" t="s">
        <v>11076</v>
      </c>
      <c r="D5943" s="2352" t="s">
        <v>11095</v>
      </c>
      <c r="E5943" s="355">
        <v>40</v>
      </c>
      <c r="F5943" s="1662">
        <v>8</v>
      </c>
    </row>
    <row r="5944" spans="1:6" ht="15" customHeight="1" x14ac:dyDescent="0.25">
      <c r="A5944" s="2352" t="s">
        <v>18731</v>
      </c>
      <c r="B5944" s="2352" t="s">
        <v>11076</v>
      </c>
      <c r="C5944" s="2352" t="s">
        <v>11076</v>
      </c>
      <c r="D5944" s="2352" t="s">
        <v>11096</v>
      </c>
      <c r="E5944" s="355">
        <v>40</v>
      </c>
      <c r="F5944" s="1662">
        <v>12</v>
      </c>
    </row>
    <row r="5945" spans="1:6" ht="15" customHeight="1" x14ac:dyDescent="0.25">
      <c r="A5945" s="2352" t="s">
        <v>18732</v>
      </c>
      <c r="B5945" s="2352" t="s">
        <v>11076</v>
      </c>
      <c r="C5945" s="2352" t="s">
        <v>11076</v>
      </c>
      <c r="D5945" s="2352" t="s">
        <v>11097</v>
      </c>
      <c r="E5945" s="355">
        <v>25</v>
      </c>
      <c r="F5945" s="1662">
        <v>13</v>
      </c>
    </row>
    <row r="5946" spans="1:6" ht="15" customHeight="1" x14ac:dyDescent="0.25">
      <c r="A5946" s="2352" t="s">
        <v>18733</v>
      </c>
      <c r="B5946" s="2352" t="s">
        <v>11076</v>
      </c>
      <c r="C5946" s="2352" t="s">
        <v>11076</v>
      </c>
      <c r="D5946" s="2352" t="s">
        <v>11098</v>
      </c>
      <c r="E5946" s="355">
        <v>40</v>
      </c>
      <c r="F5946" s="1662">
        <v>12</v>
      </c>
    </row>
    <row r="5947" spans="1:6" ht="15" customHeight="1" x14ac:dyDescent="0.25">
      <c r="A5947" s="2352" t="s">
        <v>18734</v>
      </c>
      <c r="B5947" s="2352" t="s">
        <v>11076</v>
      </c>
      <c r="C5947" s="2352" t="s">
        <v>11076</v>
      </c>
      <c r="D5947" s="2352" t="s">
        <v>11099</v>
      </c>
      <c r="E5947" s="355">
        <v>40</v>
      </c>
      <c r="F5947" s="1662">
        <v>25</v>
      </c>
    </row>
    <row r="5948" spans="1:6" ht="15" customHeight="1" x14ac:dyDescent="0.25">
      <c r="A5948" s="2352" t="s">
        <v>18735</v>
      </c>
      <c r="B5948" s="2352" t="s">
        <v>11076</v>
      </c>
      <c r="C5948" s="2352" t="s">
        <v>11076</v>
      </c>
      <c r="D5948" s="2352" t="s">
        <v>11100</v>
      </c>
      <c r="E5948" s="355">
        <v>160</v>
      </c>
      <c r="F5948" s="1662">
        <v>80</v>
      </c>
    </row>
    <row r="5949" spans="1:6" ht="15" customHeight="1" x14ac:dyDescent="0.25">
      <c r="A5949" s="2352" t="s">
        <v>18735</v>
      </c>
      <c r="B5949" s="2352" t="s">
        <v>11076</v>
      </c>
      <c r="C5949" s="2352" t="s">
        <v>11076</v>
      </c>
      <c r="D5949" s="2352" t="s">
        <v>11101</v>
      </c>
      <c r="E5949" s="355">
        <v>160</v>
      </c>
      <c r="F5949" s="1662">
        <v>65</v>
      </c>
    </row>
    <row r="5950" spans="1:6" ht="15" customHeight="1" x14ac:dyDescent="0.25">
      <c r="A5950" s="2352" t="s">
        <v>18735</v>
      </c>
      <c r="B5950" s="2352" t="s">
        <v>11076</v>
      </c>
      <c r="C5950" s="2352" t="s">
        <v>11076</v>
      </c>
      <c r="D5950" s="2352" t="s">
        <v>11102</v>
      </c>
      <c r="E5950" s="355">
        <v>60</v>
      </c>
      <c r="F5950" s="1662">
        <v>33</v>
      </c>
    </row>
    <row r="5951" spans="1:6" ht="15" customHeight="1" x14ac:dyDescent="0.25">
      <c r="A5951" s="2352" t="s">
        <v>18735</v>
      </c>
      <c r="B5951" s="2352" t="s">
        <v>11076</v>
      </c>
      <c r="C5951" s="2352" t="s">
        <v>11076</v>
      </c>
      <c r="D5951" s="2352" t="s">
        <v>11103</v>
      </c>
      <c r="E5951" s="355">
        <v>60</v>
      </c>
      <c r="F5951" s="1662">
        <v>31</v>
      </c>
    </row>
    <row r="5952" spans="1:6" ht="15" customHeight="1" x14ac:dyDescent="0.25">
      <c r="A5952" s="2352" t="s">
        <v>18736</v>
      </c>
      <c r="B5952" s="2352" t="s">
        <v>11076</v>
      </c>
      <c r="C5952" s="2352" t="s">
        <v>11076</v>
      </c>
      <c r="D5952" s="2352" t="s">
        <v>11104</v>
      </c>
      <c r="E5952" s="355">
        <v>25</v>
      </c>
      <c r="F5952" s="1662">
        <v>15</v>
      </c>
    </row>
    <row r="5953" spans="1:6" ht="15" customHeight="1" x14ac:dyDescent="0.25">
      <c r="A5953" s="2352" t="s">
        <v>18737</v>
      </c>
      <c r="B5953" s="2352" t="s">
        <v>11076</v>
      </c>
      <c r="C5953" s="2352" t="s">
        <v>11076</v>
      </c>
      <c r="D5953" s="2352" t="s">
        <v>11105</v>
      </c>
      <c r="E5953" s="355">
        <v>40</v>
      </c>
      <c r="F5953" s="1662">
        <v>22</v>
      </c>
    </row>
    <row r="5954" spans="1:6" ht="15" customHeight="1" x14ac:dyDescent="0.25">
      <c r="A5954" s="2352" t="s">
        <v>18088</v>
      </c>
      <c r="B5954" s="2352" t="s">
        <v>11076</v>
      </c>
      <c r="C5954" s="2352" t="s">
        <v>11076</v>
      </c>
      <c r="D5954" s="2352" t="s">
        <v>11106</v>
      </c>
      <c r="E5954" s="355">
        <v>60</v>
      </c>
      <c r="F5954" s="1662">
        <v>18</v>
      </c>
    </row>
    <row r="5955" spans="1:6" ht="15" customHeight="1" x14ac:dyDescent="0.25">
      <c r="A5955" s="2352" t="s">
        <v>18738</v>
      </c>
      <c r="B5955" s="2352" t="s">
        <v>11076</v>
      </c>
      <c r="C5955" s="2352" t="s">
        <v>11076</v>
      </c>
      <c r="D5955" s="2352" t="s">
        <v>11107</v>
      </c>
      <c r="E5955" s="355">
        <v>50</v>
      </c>
      <c r="F5955" s="1662">
        <v>20</v>
      </c>
    </row>
    <row r="5956" spans="1:6" ht="15" customHeight="1" x14ac:dyDescent="0.25">
      <c r="A5956" s="2352" t="s">
        <v>18739</v>
      </c>
      <c r="B5956" s="2352" t="s">
        <v>11076</v>
      </c>
      <c r="C5956" s="2352" t="s">
        <v>11076</v>
      </c>
      <c r="D5956" s="2352" t="s">
        <v>11108</v>
      </c>
      <c r="E5956" s="355">
        <v>50</v>
      </c>
      <c r="F5956" s="1662">
        <v>8</v>
      </c>
    </row>
    <row r="5957" spans="1:6" ht="15" customHeight="1" x14ac:dyDescent="0.25">
      <c r="A5957" s="2352" t="s">
        <v>18740</v>
      </c>
      <c r="B5957" s="2352" t="s">
        <v>11076</v>
      </c>
      <c r="C5957" s="2352" t="s">
        <v>11076</v>
      </c>
      <c r="D5957" s="2352" t="s">
        <v>11109</v>
      </c>
      <c r="E5957" s="355">
        <v>50</v>
      </c>
      <c r="F5957" s="1662">
        <v>16</v>
      </c>
    </row>
    <row r="5958" spans="1:6" ht="15" customHeight="1" x14ac:dyDescent="0.25">
      <c r="A5958" s="2352" t="s">
        <v>18741</v>
      </c>
      <c r="B5958" s="2352" t="s">
        <v>11076</v>
      </c>
      <c r="C5958" s="2352" t="s">
        <v>11076</v>
      </c>
      <c r="D5958" s="2352" t="s">
        <v>11110</v>
      </c>
      <c r="E5958" s="355">
        <v>10</v>
      </c>
      <c r="F5958" s="1662">
        <v>2.5</v>
      </c>
    </row>
    <row r="5959" spans="1:6" ht="15" customHeight="1" x14ac:dyDescent="0.25">
      <c r="A5959" s="2352" t="s">
        <v>18742</v>
      </c>
      <c r="B5959" s="2352" t="s">
        <v>11076</v>
      </c>
      <c r="C5959" s="2352" t="s">
        <v>11076</v>
      </c>
      <c r="D5959" s="2352" t="s">
        <v>11111</v>
      </c>
      <c r="E5959" s="355">
        <v>63</v>
      </c>
      <c r="F5959" s="1662">
        <v>17</v>
      </c>
    </row>
    <row r="5960" spans="1:6" ht="15" customHeight="1" x14ac:dyDescent="0.25">
      <c r="A5960" s="2352" t="s">
        <v>18743</v>
      </c>
      <c r="B5960" s="2352" t="s">
        <v>11076</v>
      </c>
      <c r="C5960" s="2352" t="s">
        <v>11076</v>
      </c>
      <c r="D5960" s="2352" t="s">
        <v>11112</v>
      </c>
      <c r="E5960" s="355">
        <v>63</v>
      </c>
      <c r="F5960" s="1662">
        <v>21</v>
      </c>
    </row>
    <row r="5961" spans="1:6" ht="15" customHeight="1" x14ac:dyDescent="0.25">
      <c r="A5961" s="2352" t="s">
        <v>18744</v>
      </c>
      <c r="B5961" s="2352" t="s">
        <v>11076</v>
      </c>
      <c r="C5961" s="2352" t="s">
        <v>11076</v>
      </c>
      <c r="D5961" s="2352" t="s">
        <v>11113</v>
      </c>
      <c r="E5961" s="355">
        <v>63</v>
      </c>
      <c r="F5961" s="1662">
        <v>22</v>
      </c>
    </row>
    <row r="5962" spans="1:6" ht="15" customHeight="1" x14ac:dyDescent="0.25">
      <c r="A5962" s="2352" t="s">
        <v>18744</v>
      </c>
      <c r="B5962" s="2352" t="s">
        <v>11076</v>
      </c>
      <c r="C5962" s="2352" t="s">
        <v>11076</v>
      </c>
      <c r="D5962" s="2352" t="s">
        <v>11114</v>
      </c>
      <c r="E5962" s="355">
        <v>63</v>
      </c>
      <c r="F5962" s="1662">
        <v>15</v>
      </c>
    </row>
    <row r="5963" spans="1:6" ht="15" customHeight="1" x14ac:dyDescent="0.25">
      <c r="A5963" s="2352" t="s">
        <v>18721</v>
      </c>
      <c r="B5963" s="2352" t="s">
        <v>11076</v>
      </c>
      <c r="C5963" s="2352" t="s">
        <v>11076</v>
      </c>
      <c r="D5963" s="2352" t="s">
        <v>11115</v>
      </c>
      <c r="E5963" s="355">
        <v>250</v>
      </c>
      <c r="F5963" s="1662">
        <v>80</v>
      </c>
    </row>
    <row r="5964" spans="1:6" ht="15" customHeight="1" x14ac:dyDescent="0.25">
      <c r="A5964" s="2352" t="s">
        <v>18721</v>
      </c>
      <c r="B5964" s="2352" t="s">
        <v>11076</v>
      </c>
      <c r="C5964" s="2352" t="s">
        <v>11076</v>
      </c>
      <c r="D5964" s="2352" t="s">
        <v>11116</v>
      </c>
      <c r="E5964" s="355">
        <v>250</v>
      </c>
      <c r="F5964" s="1662">
        <v>78</v>
      </c>
    </row>
    <row r="5965" spans="1:6" ht="15" customHeight="1" x14ac:dyDescent="0.25">
      <c r="A5965" s="2352" t="s">
        <v>18721</v>
      </c>
      <c r="B5965" s="2352" t="s">
        <v>11076</v>
      </c>
      <c r="C5965" s="2352" t="s">
        <v>11076</v>
      </c>
      <c r="D5965" s="2352" t="s">
        <v>11117</v>
      </c>
      <c r="E5965" s="355">
        <v>250</v>
      </c>
      <c r="F5965" s="1662">
        <v>110</v>
      </c>
    </row>
    <row r="5966" spans="1:6" ht="15" customHeight="1" x14ac:dyDescent="0.25">
      <c r="A5966" s="2352" t="s">
        <v>18721</v>
      </c>
      <c r="B5966" s="2352" t="s">
        <v>11076</v>
      </c>
      <c r="C5966" s="2352" t="s">
        <v>11076</v>
      </c>
      <c r="D5966" s="2352" t="s">
        <v>11118</v>
      </c>
      <c r="E5966" s="355">
        <v>63</v>
      </c>
      <c r="F5966" s="1662">
        <v>12</v>
      </c>
    </row>
    <row r="5967" spans="1:6" ht="15" customHeight="1" x14ac:dyDescent="0.25">
      <c r="A5967" s="2352" t="s">
        <v>18721</v>
      </c>
      <c r="B5967" s="2352" t="s">
        <v>11076</v>
      </c>
      <c r="C5967" s="2352" t="s">
        <v>11076</v>
      </c>
      <c r="D5967" s="2352" t="s">
        <v>11119</v>
      </c>
      <c r="E5967" s="355" t="s">
        <v>4199</v>
      </c>
      <c r="F5967" s="1662">
        <v>630</v>
      </c>
    </row>
    <row r="5968" spans="1:6" ht="15" customHeight="1" x14ac:dyDescent="0.25">
      <c r="A5968" s="2352" t="s">
        <v>18721</v>
      </c>
      <c r="B5968" s="2352" t="s">
        <v>11076</v>
      </c>
      <c r="C5968" s="2352" t="s">
        <v>11076</v>
      </c>
      <c r="D5968" s="2352" t="s">
        <v>11120</v>
      </c>
      <c r="E5968" s="355">
        <v>160</v>
      </c>
      <c r="F5968" s="1662">
        <v>26</v>
      </c>
    </row>
    <row r="5969" spans="1:6" ht="15" customHeight="1" x14ac:dyDescent="0.25">
      <c r="A5969" s="2352" t="s">
        <v>18721</v>
      </c>
      <c r="B5969" s="2352" t="s">
        <v>11076</v>
      </c>
      <c r="C5969" s="2352" t="s">
        <v>11076</v>
      </c>
      <c r="D5969" s="2352" t="s">
        <v>11121</v>
      </c>
      <c r="E5969" s="355" t="s">
        <v>4199</v>
      </c>
      <c r="F5969" s="1662">
        <v>120</v>
      </c>
    </row>
    <row r="5970" spans="1:6" ht="15" customHeight="1" x14ac:dyDescent="0.25">
      <c r="A5970" s="2352" t="s">
        <v>18721</v>
      </c>
      <c r="B5970" s="2352" t="s">
        <v>11076</v>
      </c>
      <c r="C5970" s="2352" t="s">
        <v>11076</v>
      </c>
      <c r="D5970" s="2352" t="s">
        <v>11122</v>
      </c>
      <c r="E5970" s="355">
        <v>400</v>
      </c>
      <c r="F5970" s="1662">
        <v>80</v>
      </c>
    </row>
    <row r="5971" spans="1:6" ht="15" customHeight="1" x14ac:dyDescent="0.25">
      <c r="A5971" s="2352" t="s">
        <v>18721</v>
      </c>
      <c r="B5971" s="2352" t="s">
        <v>11076</v>
      </c>
      <c r="C5971" s="2352" t="s">
        <v>11076</v>
      </c>
      <c r="D5971" s="2352" t="s">
        <v>11123</v>
      </c>
      <c r="E5971" s="355">
        <v>400</v>
      </c>
      <c r="F5971" s="1662">
        <v>170</v>
      </c>
    </row>
    <row r="5972" spans="1:6" ht="15" customHeight="1" x14ac:dyDescent="0.25">
      <c r="A5972" s="2352" t="s">
        <v>18721</v>
      </c>
      <c r="B5972" s="2352" t="s">
        <v>11076</v>
      </c>
      <c r="C5972" s="2352" t="s">
        <v>11076</v>
      </c>
      <c r="D5972" s="2352" t="s">
        <v>11124</v>
      </c>
      <c r="E5972" s="355">
        <v>160</v>
      </c>
      <c r="F5972" s="1662">
        <v>80</v>
      </c>
    </row>
    <row r="5973" spans="1:6" ht="15" customHeight="1" x14ac:dyDescent="0.25">
      <c r="A5973" s="2352" t="s">
        <v>18721</v>
      </c>
      <c r="B5973" s="2352" t="s">
        <v>11076</v>
      </c>
      <c r="C5973" s="2352" t="s">
        <v>11076</v>
      </c>
      <c r="D5973" s="2352" t="s">
        <v>11125</v>
      </c>
      <c r="E5973" s="355">
        <v>100</v>
      </c>
      <c r="F5973" s="1662">
        <v>40</v>
      </c>
    </row>
    <row r="5974" spans="1:6" ht="15" customHeight="1" x14ac:dyDescent="0.25">
      <c r="A5974" s="2352" t="s">
        <v>18721</v>
      </c>
      <c r="B5974" s="2352" t="s">
        <v>11076</v>
      </c>
      <c r="C5974" s="2352" t="s">
        <v>11076</v>
      </c>
      <c r="D5974" s="2352" t="s">
        <v>11126</v>
      </c>
      <c r="E5974" s="355">
        <v>160</v>
      </c>
      <c r="F5974" s="1662">
        <v>38</v>
      </c>
    </row>
    <row r="5975" spans="1:6" ht="15" customHeight="1" x14ac:dyDescent="0.25">
      <c r="A5975" s="2352" t="s">
        <v>18721</v>
      </c>
      <c r="B5975" s="2352" t="s">
        <v>11076</v>
      </c>
      <c r="C5975" s="2352" t="s">
        <v>11076</v>
      </c>
      <c r="D5975" s="2352" t="s">
        <v>11127</v>
      </c>
      <c r="E5975" s="355">
        <v>100</v>
      </c>
      <c r="F5975" s="1662">
        <v>38</v>
      </c>
    </row>
    <row r="5976" spans="1:6" ht="15" customHeight="1" x14ac:dyDescent="0.25">
      <c r="A5976" s="2352" t="s">
        <v>18721</v>
      </c>
      <c r="B5976" s="2352" t="s">
        <v>11076</v>
      </c>
      <c r="C5976" s="2352" t="s">
        <v>11076</v>
      </c>
      <c r="D5976" s="2352" t="s">
        <v>11128</v>
      </c>
      <c r="E5976" s="355">
        <v>160</v>
      </c>
      <c r="F5976" s="1662">
        <v>15</v>
      </c>
    </row>
    <row r="5977" spans="1:6" ht="15" customHeight="1" x14ac:dyDescent="0.25">
      <c r="A5977" s="2352" t="s">
        <v>18721</v>
      </c>
      <c r="B5977" s="2352" t="s">
        <v>11076</v>
      </c>
      <c r="C5977" s="2352" t="s">
        <v>11076</v>
      </c>
      <c r="D5977" s="2352" t="s">
        <v>11129</v>
      </c>
      <c r="E5977" s="355">
        <v>400</v>
      </c>
      <c r="F5977" s="1662">
        <v>60</v>
      </c>
    </row>
    <row r="5978" spans="1:6" ht="15" customHeight="1" x14ac:dyDescent="0.25">
      <c r="A5978" s="2352" t="s">
        <v>18721</v>
      </c>
      <c r="B5978" s="2352" t="s">
        <v>11076</v>
      </c>
      <c r="C5978" s="2352" t="s">
        <v>11076</v>
      </c>
      <c r="D5978" s="2352" t="s">
        <v>11130</v>
      </c>
      <c r="E5978" s="355">
        <v>160</v>
      </c>
      <c r="F5978" s="1662">
        <v>28</v>
      </c>
    </row>
    <row r="5979" spans="1:6" ht="15" customHeight="1" x14ac:dyDescent="0.25">
      <c r="A5979" s="2352" t="s">
        <v>18721</v>
      </c>
      <c r="B5979" s="2352" t="s">
        <v>11076</v>
      </c>
      <c r="C5979" s="2352" t="s">
        <v>11076</v>
      </c>
      <c r="D5979" s="2352" t="s">
        <v>11131</v>
      </c>
      <c r="E5979" s="355">
        <v>160</v>
      </c>
      <c r="F5979" s="1662">
        <v>23</v>
      </c>
    </row>
    <row r="5980" spans="1:6" ht="15" customHeight="1" x14ac:dyDescent="0.25">
      <c r="A5980" s="2352" t="s">
        <v>18721</v>
      </c>
      <c r="B5980" s="2352" t="s">
        <v>11076</v>
      </c>
      <c r="C5980" s="2352" t="s">
        <v>11076</v>
      </c>
      <c r="D5980" s="2352" t="s">
        <v>11132</v>
      </c>
      <c r="E5980" s="355">
        <v>250</v>
      </c>
      <c r="F5980" s="1662">
        <v>74</v>
      </c>
    </row>
    <row r="5981" spans="1:6" ht="15" customHeight="1" x14ac:dyDescent="0.25">
      <c r="A5981" s="2352" t="s">
        <v>18721</v>
      </c>
      <c r="B5981" s="2352" t="s">
        <v>11076</v>
      </c>
      <c r="C5981" s="2352" t="s">
        <v>11076</v>
      </c>
      <c r="D5981" s="2352" t="s">
        <v>11133</v>
      </c>
      <c r="E5981" s="355">
        <v>250</v>
      </c>
      <c r="F5981" s="1662">
        <v>120</v>
      </c>
    </row>
    <row r="5982" spans="1:6" ht="15" customHeight="1" x14ac:dyDescent="0.25">
      <c r="A5982" s="2352" t="s">
        <v>18721</v>
      </c>
      <c r="B5982" s="2352" t="s">
        <v>11076</v>
      </c>
      <c r="C5982" s="2352" t="s">
        <v>11076</v>
      </c>
      <c r="D5982" s="2352" t="s">
        <v>11134</v>
      </c>
      <c r="E5982" s="355">
        <v>250</v>
      </c>
      <c r="F5982" s="1662">
        <v>115</v>
      </c>
    </row>
    <row r="5983" spans="1:6" ht="15" customHeight="1" x14ac:dyDescent="0.25">
      <c r="A5983" s="2352" t="s">
        <v>18721</v>
      </c>
      <c r="B5983" s="2352" t="s">
        <v>11076</v>
      </c>
      <c r="C5983" s="2352" t="s">
        <v>11076</v>
      </c>
      <c r="D5983" s="2352" t="s">
        <v>11135</v>
      </c>
      <c r="E5983" s="355">
        <v>250</v>
      </c>
      <c r="F5983" s="1662">
        <v>140</v>
      </c>
    </row>
    <row r="5984" spans="1:6" ht="15" customHeight="1" x14ac:dyDescent="0.25">
      <c r="A5984" s="2352" t="s">
        <v>18721</v>
      </c>
      <c r="B5984" s="2352" t="s">
        <v>11076</v>
      </c>
      <c r="C5984" s="2352" t="s">
        <v>11076</v>
      </c>
      <c r="D5984" s="2352" t="s">
        <v>11136</v>
      </c>
      <c r="E5984" s="355">
        <v>100</v>
      </c>
      <c r="F5984" s="1662">
        <v>24</v>
      </c>
    </row>
    <row r="5985" spans="1:6" ht="15" customHeight="1" x14ac:dyDescent="0.25">
      <c r="A5985" s="2352" t="s">
        <v>18721</v>
      </c>
      <c r="B5985" s="2352" t="s">
        <v>11076</v>
      </c>
      <c r="C5985" s="2352" t="s">
        <v>11076</v>
      </c>
      <c r="D5985" s="2352" t="s">
        <v>11137</v>
      </c>
      <c r="E5985" s="355">
        <v>100</v>
      </c>
      <c r="F5985" s="1662">
        <v>51</v>
      </c>
    </row>
    <row r="5986" spans="1:6" ht="15" customHeight="1" x14ac:dyDescent="0.25">
      <c r="A5986" s="2352" t="s">
        <v>18721</v>
      </c>
      <c r="B5986" s="2352" t="s">
        <v>11076</v>
      </c>
      <c r="C5986" s="2352" t="s">
        <v>11076</v>
      </c>
      <c r="D5986" s="2352" t="s">
        <v>11138</v>
      </c>
      <c r="E5986" s="355">
        <v>63</v>
      </c>
      <c r="F5986" s="1662">
        <v>16</v>
      </c>
    </row>
    <row r="5987" spans="1:6" ht="15" customHeight="1" x14ac:dyDescent="0.25">
      <c r="A5987" s="2352" t="s">
        <v>18721</v>
      </c>
      <c r="B5987" s="2352" t="s">
        <v>11076</v>
      </c>
      <c r="C5987" s="2352" t="s">
        <v>11076</v>
      </c>
      <c r="D5987" s="2352" t="s">
        <v>11139</v>
      </c>
      <c r="E5987" s="355">
        <v>63</v>
      </c>
      <c r="F5987" s="1662">
        <v>21</v>
      </c>
    </row>
    <row r="5988" spans="1:6" ht="15" customHeight="1" x14ac:dyDescent="0.25">
      <c r="A5988" s="2352" t="s">
        <v>18721</v>
      </c>
      <c r="B5988" s="2352" t="s">
        <v>11076</v>
      </c>
      <c r="C5988" s="2352" t="s">
        <v>11076</v>
      </c>
      <c r="D5988" s="2352" t="s">
        <v>11140</v>
      </c>
      <c r="E5988" s="355">
        <v>630</v>
      </c>
      <c r="F5988" s="1662">
        <v>250</v>
      </c>
    </row>
    <row r="5989" spans="1:6" ht="15" customHeight="1" x14ac:dyDescent="0.25">
      <c r="A5989" s="2352" t="s">
        <v>18745</v>
      </c>
      <c r="B5989" s="2352" t="s">
        <v>11076</v>
      </c>
      <c r="C5989" s="2352" t="s">
        <v>11076</v>
      </c>
      <c r="D5989" s="2352" t="s">
        <v>11141</v>
      </c>
      <c r="E5989" s="355">
        <v>100</v>
      </c>
      <c r="F5989" s="1662">
        <v>64</v>
      </c>
    </row>
    <row r="5990" spans="1:6" ht="15" customHeight="1" x14ac:dyDescent="0.25">
      <c r="A5990" s="2352" t="s">
        <v>18745</v>
      </c>
      <c r="B5990" s="2352" t="s">
        <v>11076</v>
      </c>
      <c r="C5990" s="2352" t="s">
        <v>11076</v>
      </c>
      <c r="D5990" s="2352" t="s">
        <v>11142</v>
      </c>
      <c r="E5990" s="355">
        <v>100</v>
      </c>
      <c r="F5990" s="1662">
        <v>45</v>
      </c>
    </row>
    <row r="5991" spans="1:6" ht="15" customHeight="1" x14ac:dyDescent="0.25">
      <c r="A5991" s="2352" t="s">
        <v>18745</v>
      </c>
      <c r="B5991" s="2352" t="s">
        <v>11076</v>
      </c>
      <c r="C5991" s="2352" t="s">
        <v>11076</v>
      </c>
      <c r="D5991" s="2352" t="s">
        <v>11143</v>
      </c>
      <c r="E5991" s="355">
        <v>160</v>
      </c>
      <c r="F5991" s="1662">
        <v>40</v>
      </c>
    </row>
    <row r="5992" spans="1:6" ht="15" customHeight="1" x14ac:dyDescent="0.25">
      <c r="A5992" s="2352" t="s">
        <v>18745</v>
      </c>
      <c r="B5992" s="2352" t="s">
        <v>11076</v>
      </c>
      <c r="C5992" s="2352" t="s">
        <v>11076</v>
      </c>
      <c r="D5992" s="2352" t="s">
        <v>11144</v>
      </c>
      <c r="E5992" s="355">
        <v>100</v>
      </c>
      <c r="F5992" s="1662">
        <v>38</v>
      </c>
    </row>
    <row r="5993" spans="1:6" ht="15" customHeight="1" x14ac:dyDescent="0.25">
      <c r="A5993" s="2352" t="s">
        <v>18746</v>
      </c>
      <c r="B5993" s="2352" t="s">
        <v>11076</v>
      </c>
      <c r="C5993" s="2352" t="s">
        <v>11076</v>
      </c>
      <c r="D5993" s="2352" t="s">
        <v>11145</v>
      </c>
      <c r="E5993" s="355">
        <v>30</v>
      </c>
      <c r="F5993" s="1662">
        <v>9</v>
      </c>
    </row>
    <row r="5994" spans="1:6" ht="15" customHeight="1" x14ac:dyDescent="0.25">
      <c r="A5994" s="2352" t="s">
        <v>18747</v>
      </c>
      <c r="B5994" s="2352" t="s">
        <v>11076</v>
      </c>
      <c r="C5994" s="2352" t="s">
        <v>11076</v>
      </c>
      <c r="D5994" s="2352" t="s">
        <v>11146</v>
      </c>
      <c r="E5994" s="355">
        <v>30</v>
      </c>
      <c r="F5994" s="1662">
        <v>17</v>
      </c>
    </row>
    <row r="5995" spans="1:6" ht="15" customHeight="1" x14ac:dyDescent="0.25">
      <c r="A5995" s="2352" t="s">
        <v>18748</v>
      </c>
      <c r="B5995" s="2352" t="s">
        <v>11076</v>
      </c>
      <c r="C5995" s="2352" t="s">
        <v>11076</v>
      </c>
      <c r="D5995" s="2352" t="s">
        <v>11147</v>
      </c>
      <c r="E5995" s="355">
        <v>10</v>
      </c>
      <c r="F5995" s="1662">
        <v>6</v>
      </c>
    </row>
    <row r="5996" spans="1:6" ht="15" customHeight="1" x14ac:dyDescent="0.25">
      <c r="A5996" s="2352" t="s">
        <v>18749</v>
      </c>
      <c r="B5996" s="2352" t="s">
        <v>11076</v>
      </c>
      <c r="C5996" s="2352" t="s">
        <v>11076</v>
      </c>
      <c r="D5996" s="2352" t="s">
        <v>11148</v>
      </c>
      <c r="E5996" s="355">
        <v>250</v>
      </c>
      <c r="F5996" s="1662">
        <v>89</v>
      </c>
    </row>
    <row r="5997" spans="1:6" ht="15" customHeight="1" x14ac:dyDescent="0.25">
      <c r="A5997" s="2352" t="s">
        <v>18749</v>
      </c>
      <c r="B5997" s="2352" t="s">
        <v>11076</v>
      </c>
      <c r="C5997" s="2352" t="s">
        <v>11076</v>
      </c>
      <c r="D5997" s="2352" t="s">
        <v>11149</v>
      </c>
      <c r="E5997" s="355">
        <v>60</v>
      </c>
      <c r="F5997" s="1662">
        <v>12</v>
      </c>
    </row>
    <row r="5998" spans="1:6" ht="15" customHeight="1" x14ac:dyDescent="0.25">
      <c r="A5998" s="2352" t="s">
        <v>18749</v>
      </c>
      <c r="B5998" s="2352" t="s">
        <v>11076</v>
      </c>
      <c r="C5998" s="2352" t="s">
        <v>11076</v>
      </c>
      <c r="D5998" s="2352" t="s">
        <v>11150</v>
      </c>
      <c r="E5998" s="355">
        <v>160</v>
      </c>
      <c r="F5998" s="1662">
        <v>50</v>
      </c>
    </row>
    <row r="5999" spans="1:6" ht="15" customHeight="1" x14ac:dyDescent="0.25">
      <c r="A5999" s="2352" t="s">
        <v>18749</v>
      </c>
      <c r="B5999" s="2352" t="s">
        <v>11076</v>
      </c>
      <c r="C5999" s="2352" t="s">
        <v>11076</v>
      </c>
      <c r="D5999" s="2352" t="s">
        <v>11151</v>
      </c>
      <c r="E5999" s="355">
        <v>100</v>
      </c>
      <c r="F5999" s="1662">
        <v>47</v>
      </c>
    </row>
    <row r="6000" spans="1:6" ht="15" customHeight="1" x14ac:dyDescent="0.25">
      <c r="A6000" s="2352" t="s">
        <v>18749</v>
      </c>
      <c r="B6000" s="2352" t="s">
        <v>11076</v>
      </c>
      <c r="C6000" s="2352" t="s">
        <v>11076</v>
      </c>
      <c r="D6000" s="2352" t="s">
        <v>11152</v>
      </c>
      <c r="E6000" s="355">
        <v>40</v>
      </c>
      <c r="F6000" s="1662">
        <v>15</v>
      </c>
    </row>
    <row r="6001" spans="1:6" ht="15" customHeight="1" x14ac:dyDescent="0.25">
      <c r="A6001" s="2352" t="s">
        <v>18750</v>
      </c>
      <c r="B6001" s="2352" t="s">
        <v>11076</v>
      </c>
      <c r="C6001" s="2352" t="s">
        <v>11076</v>
      </c>
      <c r="D6001" s="2352" t="s">
        <v>11153</v>
      </c>
      <c r="E6001" s="355">
        <v>25</v>
      </c>
      <c r="F6001" s="1662">
        <v>13</v>
      </c>
    </row>
    <row r="6002" spans="1:6" ht="15" customHeight="1" x14ac:dyDescent="0.25">
      <c r="A6002" s="2352" t="s">
        <v>18751</v>
      </c>
      <c r="B6002" s="2352" t="s">
        <v>11076</v>
      </c>
      <c r="C6002" s="2352" t="s">
        <v>11076</v>
      </c>
      <c r="D6002" s="2352" t="s">
        <v>11154</v>
      </c>
      <c r="E6002" s="355">
        <v>25</v>
      </c>
      <c r="F6002" s="1662">
        <v>19</v>
      </c>
    </row>
    <row r="6003" spans="1:6" ht="15" customHeight="1" x14ac:dyDescent="0.25">
      <c r="A6003" s="2352" t="s">
        <v>18752</v>
      </c>
      <c r="B6003" s="2352" t="s">
        <v>11076</v>
      </c>
      <c r="C6003" s="2352" t="s">
        <v>11076</v>
      </c>
      <c r="D6003" s="2352" t="s">
        <v>11155</v>
      </c>
      <c r="E6003" s="355">
        <v>30</v>
      </c>
      <c r="F6003" s="1662">
        <v>12</v>
      </c>
    </row>
    <row r="6004" spans="1:6" ht="15" customHeight="1" x14ac:dyDescent="0.25">
      <c r="A6004" s="2352" t="s">
        <v>18753</v>
      </c>
      <c r="B6004" s="2352" t="s">
        <v>11076</v>
      </c>
      <c r="C6004" s="2352" t="s">
        <v>11076</v>
      </c>
      <c r="D6004" s="2352" t="s">
        <v>11156</v>
      </c>
      <c r="E6004" s="355">
        <v>63</v>
      </c>
      <c r="F6004" s="1662">
        <v>45</v>
      </c>
    </row>
    <row r="6005" spans="1:6" ht="15" customHeight="1" x14ac:dyDescent="0.25">
      <c r="A6005" s="2352" t="s">
        <v>18754</v>
      </c>
      <c r="B6005" s="2352" t="s">
        <v>11076</v>
      </c>
      <c r="C6005" s="2352" t="s">
        <v>11076</v>
      </c>
      <c r="D6005" s="2352" t="s">
        <v>11157</v>
      </c>
      <c r="E6005" s="355">
        <v>30</v>
      </c>
      <c r="F6005" s="1662">
        <v>21</v>
      </c>
    </row>
    <row r="6006" spans="1:6" ht="15" customHeight="1" x14ac:dyDescent="0.25">
      <c r="A6006" s="2352" t="s">
        <v>18755</v>
      </c>
      <c r="B6006" s="2352" t="s">
        <v>11076</v>
      </c>
      <c r="C6006" s="2352" t="s">
        <v>11076</v>
      </c>
      <c r="D6006" s="2352" t="s">
        <v>11158</v>
      </c>
      <c r="E6006" s="355">
        <v>10</v>
      </c>
      <c r="F6006" s="1662">
        <v>5</v>
      </c>
    </row>
    <row r="6007" spans="1:6" ht="15" customHeight="1" x14ac:dyDescent="0.25">
      <c r="A6007" s="2352" t="s">
        <v>18756</v>
      </c>
      <c r="B6007" s="2352" t="s">
        <v>11076</v>
      </c>
      <c r="C6007" s="2352" t="s">
        <v>11076</v>
      </c>
      <c r="D6007" s="2352" t="s">
        <v>11159</v>
      </c>
      <c r="E6007" s="355">
        <v>30</v>
      </c>
      <c r="F6007" s="1662">
        <v>16</v>
      </c>
    </row>
    <row r="6008" spans="1:6" ht="15" customHeight="1" x14ac:dyDescent="0.25">
      <c r="A6008" s="2352" t="s">
        <v>18757</v>
      </c>
      <c r="B6008" s="2352" t="s">
        <v>11076</v>
      </c>
      <c r="C6008" s="2352" t="s">
        <v>11076</v>
      </c>
      <c r="D6008" s="2352" t="s">
        <v>11160</v>
      </c>
      <c r="E6008" s="355">
        <v>63</v>
      </c>
      <c r="F6008" s="1662">
        <v>22</v>
      </c>
    </row>
    <row r="6009" spans="1:6" ht="15" customHeight="1" x14ac:dyDescent="0.25">
      <c r="A6009" s="2352" t="s">
        <v>18757</v>
      </c>
      <c r="B6009" s="2352" t="s">
        <v>11076</v>
      </c>
      <c r="C6009" s="2352" t="s">
        <v>11076</v>
      </c>
      <c r="D6009" s="2352" t="s">
        <v>11161</v>
      </c>
      <c r="E6009" s="355">
        <v>63</v>
      </c>
      <c r="F6009" s="1662">
        <v>35</v>
      </c>
    </row>
    <row r="6010" spans="1:6" ht="15" customHeight="1" x14ac:dyDescent="0.25">
      <c r="A6010" s="2352" t="s">
        <v>18758</v>
      </c>
      <c r="B6010" s="2352" t="s">
        <v>11076</v>
      </c>
      <c r="C6010" s="2352" t="s">
        <v>11076</v>
      </c>
      <c r="D6010" s="2352" t="s">
        <v>11162</v>
      </c>
      <c r="E6010" s="355">
        <v>30</v>
      </c>
      <c r="F6010" s="1662">
        <v>14</v>
      </c>
    </row>
    <row r="6011" spans="1:6" ht="15" customHeight="1" x14ac:dyDescent="0.25">
      <c r="A6011" s="2352" t="s">
        <v>18758</v>
      </c>
      <c r="B6011" s="2352" t="s">
        <v>11076</v>
      </c>
      <c r="C6011" s="2352" t="s">
        <v>11076</v>
      </c>
      <c r="D6011" s="2352" t="s">
        <v>11163</v>
      </c>
      <c r="E6011" s="355">
        <v>63</v>
      </c>
      <c r="F6011" s="1662">
        <v>60</v>
      </c>
    </row>
    <row r="6012" spans="1:6" ht="15" customHeight="1" x14ac:dyDescent="0.25">
      <c r="A6012" s="2352" t="s">
        <v>18759</v>
      </c>
      <c r="B6012" s="2352" t="s">
        <v>11076</v>
      </c>
      <c r="C6012" s="2352" t="s">
        <v>11076</v>
      </c>
      <c r="D6012" s="2352" t="s">
        <v>11164</v>
      </c>
      <c r="E6012" s="355">
        <v>4</v>
      </c>
      <c r="F6012" s="1662">
        <v>1.5</v>
      </c>
    </row>
    <row r="6013" spans="1:6" ht="15" customHeight="1" x14ac:dyDescent="0.25">
      <c r="A6013" s="2352" t="s">
        <v>18760</v>
      </c>
      <c r="B6013" s="2352" t="s">
        <v>11076</v>
      </c>
      <c r="C6013" s="2352" t="s">
        <v>11076</v>
      </c>
      <c r="D6013" s="2352" t="s">
        <v>11165</v>
      </c>
      <c r="E6013" s="355">
        <v>4</v>
      </c>
      <c r="F6013" s="1662">
        <v>2.5</v>
      </c>
    </row>
    <row r="6014" spans="1:6" ht="15" customHeight="1" x14ac:dyDescent="0.25">
      <c r="A6014" s="2352" t="s">
        <v>18761</v>
      </c>
      <c r="B6014" s="2352" t="s">
        <v>11076</v>
      </c>
      <c r="C6014" s="2352" t="s">
        <v>11076</v>
      </c>
      <c r="D6014" s="2352" t="s">
        <v>11166</v>
      </c>
      <c r="E6014" s="355">
        <v>63</v>
      </c>
      <c r="F6014" s="1662">
        <v>18</v>
      </c>
    </row>
    <row r="6015" spans="1:6" ht="15" customHeight="1" x14ac:dyDescent="0.25">
      <c r="A6015" s="2352" t="s">
        <v>18762</v>
      </c>
      <c r="B6015" s="2352" t="s">
        <v>11076</v>
      </c>
      <c r="C6015" s="2352" t="s">
        <v>11076</v>
      </c>
      <c r="D6015" s="2352" t="s">
        <v>11167</v>
      </c>
      <c r="E6015" s="355">
        <v>100</v>
      </c>
      <c r="F6015" s="1662">
        <v>34</v>
      </c>
    </row>
    <row r="6016" spans="1:6" ht="15" customHeight="1" x14ac:dyDescent="0.25">
      <c r="A6016" s="2352" t="s">
        <v>18763</v>
      </c>
      <c r="B6016" s="2352" t="s">
        <v>11076</v>
      </c>
      <c r="C6016" s="2352" t="s">
        <v>11076</v>
      </c>
      <c r="D6016" s="2352" t="s">
        <v>11168</v>
      </c>
      <c r="E6016" s="355">
        <v>30</v>
      </c>
      <c r="F6016" s="1662">
        <v>8</v>
      </c>
    </row>
    <row r="6017" spans="1:6" ht="15" customHeight="1" x14ac:dyDescent="0.25">
      <c r="A6017" s="2352" t="s">
        <v>18069</v>
      </c>
      <c r="B6017" s="2352" t="s">
        <v>11076</v>
      </c>
      <c r="C6017" s="2352" t="s">
        <v>11076</v>
      </c>
      <c r="D6017" s="2352" t="s">
        <v>11169</v>
      </c>
      <c r="E6017" s="355">
        <v>63</v>
      </c>
      <c r="F6017" s="1662">
        <v>12</v>
      </c>
    </row>
    <row r="6018" spans="1:6" ht="15" customHeight="1" x14ac:dyDescent="0.25">
      <c r="A6018" s="2352" t="s">
        <v>18764</v>
      </c>
      <c r="B6018" s="2352" t="s">
        <v>11076</v>
      </c>
      <c r="C6018" s="2352" t="s">
        <v>11076</v>
      </c>
      <c r="D6018" s="2352" t="s">
        <v>11170</v>
      </c>
      <c r="E6018" s="355">
        <v>160</v>
      </c>
      <c r="F6018" s="1662">
        <v>25</v>
      </c>
    </row>
    <row r="6019" spans="1:6" ht="15" customHeight="1" x14ac:dyDescent="0.25">
      <c r="A6019" s="2352" t="s">
        <v>18764</v>
      </c>
      <c r="B6019" s="2352" t="s">
        <v>11076</v>
      </c>
      <c r="C6019" s="2352" t="s">
        <v>11076</v>
      </c>
      <c r="D6019" s="2352" t="s">
        <v>11171</v>
      </c>
      <c r="E6019" s="355">
        <v>63</v>
      </c>
      <c r="F6019" s="1662">
        <v>14</v>
      </c>
    </row>
    <row r="6020" spans="1:6" ht="15" customHeight="1" x14ac:dyDescent="0.25">
      <c r="A6020" s="2352" t="s">
        <v>18764</v>
      </c>
      <c r="B6020" s="2352" t="s">
        <v>11076</v>
      </c>
      <c r="C6020" s="2352" t="s">
        <v>11076</v>
      </c>
      <c r="D6020" s="2352" t="s">
        <v>11172</v>
      </c>
      <c r="E6020" s="355">
        <v>160</v>
      </c>
      <c r="F6020" s="1662">
        <v>120</v>
      </c>
    </row>
    <row r="6021" spans="1:6" ht="15" customHeight="1" x14ac:dyDescent="0.25">
      <c r="A6021" s="2352" t="s">
        <v>18765</v>
      </c>
      <c r="B6021" s="2352" t="s">
        <v>11076</v>
      </c>
      <c r="C6021" s="2352" t="s">
        <v>11076</v>
      </c>
      <c r="D6021" s="2352" t="s">
        <v>11173</v>
      </c>
      <c r="E6021" s="355">
        <v>63</v>
      </c>
      <c r="F6021" s="1662">
        <v>14</v>
      </c>
    </row>
    <row r="6022" spans="1:6" ht="15" customHeight="1" x14ac:dyDescent="0.25">
      <c r="A6022" s="2352" t="s">
        <v>18766</v>
      </c>
      <c r="B6022" s="2352" t="s">
        <v>11076</v>
      </c>
      <c r="C6022" s="2352" t="s">
        <v>11076</v>
      </c>
      <c r="D6022" s="2352" t="s">
        <v>11174</v>
      </c>
      <c r="E6022" s="355">
        <v>10</v>
      </c>
      <c r="F6022" s="1662">
        <v>4</v>
      </c>
    </row>
    <row r="6023" spans="1:6" ht="15" customHeight="1" x14ac:dyDescent="0.25">
      <c r="A6023" s="2352" t="s">
        <v>18766</v>
      </c>
      <c r="B6023" s="2352" t="s">
        <v>11076</v>
      </c>
      <c r="C6023" s="2352" t="s">
        <v>11076</v>
      </c>
      <c r="D6023" s="2352" t="s">
        <v>11175</v>
      </c>
      <c r="E6023" s="355">
        <v>30</v>
      </c>
      <c r="F6023" s="1662">
        <v>8</v>
      </c>
    </row>
    <row r="6024" spans="1:6" ht="15" customHeight="1" x14ac:dyDescent="0.25">
      <c r="A6024" s="2352" t="s">
        <v>18767</v>
      </c>
      <c r="B6024" s="2352" t="s">
        <v>11076</v>
      </c>
      <c r="C6024" s="2352" t="s">
        <v>11076</v>
      </c>
      <c r="D6024" s="2352" t="s">
        <v>11176</v>
      </c>
      <c r="E6024" s="355">
        <v>100</v>
      </c>
      <c r="F6024" s="1662">
        <v>40</v>
      </c>
    </row>
    <row r="6025" spans="1:6" ht="15" customHeight="1" x14ac:dyDescent="0.25">
      <c r="A6025" s="2352" t="s">
        <v>18767</v>
      </c>
      <c r="B6025" s="2352" t="s">
        <v>11076</v>
      </c>
      <c r="C6025" s="2352" t="s">
        <v>11076</v>
      </c>
      <c r="D6025" s="2352" t="s">
        <v>11177</v>
      </c>
      <c r="E6025" s="355">
        <v>63</v>
      </c>
      <c r="F6025" s="1662">
        <v>27</v>
      </c>
    </row>
    <row r="6026" spans="1:6" ht="15" customHeight="1" x14ac:dyDescent="0.25">
      <c r="A6026" s="2352" t="s">
        <v>18768</v>
      </c>
      <c r="B6026" s="2352" t="s">
        <v>11076</v>
      </c>
      <c r="C6026" s="2352" t="s">
        <v>11076</v>
      </c>
      <c r="D6026" s="2352" t="s">
        <v>11178</v>
      </c>
      <c r="E6026" s="355">
        <v>63</v>
      </c>
      <c r="F6026" s="1662">
        <v>17</v>
      </c>
    </row>
    <row r="6027" spans="1:6" ht="15" customHeight="1" x14ac:dyDescent="0.25">
      <c r="A6027" s="2352" t="s">
        <v>18768</v>
      </c>
      <c r="B6027" s="2352" t="s">
        <v>11076</v>
      </c>
      <c r="C6027" s="2352" t="s">
        <v>11076</v>
      </c>
      <c r="D6027" s="2352" t="s">
        <v>11179</v>
      </c>
      <c r="E6027" s="355">
        <v>100</v>
      </c>
      <c r="F6027" s="1662">
        <v>32</v>
      </c>
    </row>
    <row r="6028" spans="1:6" ht="15" customHeight="1" x14ac:dyDescent="0.25">
      <c r="A6028" s="2352" t="s">
        <v>18768</v>
      </c>
      <c r="B6028" s="2352" t="s">
        <v>11076</v>
      </c>
      <c r="C6028" s="2352" t="s">
        <v>11076</v>
      </c>
      <c r="D6028" s="2352" t="s">
        <v>11180</v>
      </c>
      <c r="E6028" s="355">
        <v>63</v>
      </c>
      <c r="F6028" s="1662">
        <v>8</v>
      </c>
    </row>
    <row r="6029" spans="1:6" ht="15" customHeight="1" x14ac:dyDescent="0.25">
      <c r="A6029" s="2352" t="s">
        <v>18769</v>
      </c>
      <c r="B6029" s="2352" t="s">
        <v>11076</v>
      </c>
      <c r="C6029" s="2352" t="s">
        <v>11076</v>
      </c>
      <c r="D6029" s="2352" t="s">
        <v>11181</v>
      </c>
      <c r="E6029" s="355">
        <v>25</v>
      </c>
      <c r="F6029" s="1662">
        <v>15</v>
      </c>
    </row>
    <row r="6030" spans="1:6" ht="15" customHeight="1" x14ac:dyDescent="0.25">
      <c r="A6030" s="2352" t="s">
        <v>18770</v>
      </c>
      <c r="B6030" s="2352" t="s">
        <v>11076</v>
      </c>
      <c r="C6030" s="2352" t="s">
        <v>11076</v>
      </c>
      <c r="D6030" s="2352" t="s">
        <v>11182</v>
      </c>
      <c r="E6030" s="355">
        <v>60</v>
      </c>
      <c r="F6030" s="1662">
        <v>24</v>
      </c>
    </row>
    <row r="6031" spans="1:6" ht="15" customHeight="1" x14ac:dyDescent="0.25">
      <c r="A6031" s="2352" t="s">
        <v>18771</v>
      </c>
      <c r="B6031" s="2352" t="s">
        <v>11076</v>
      </c>
      <c r="C6031" s="2352" t="s">
        <v>11076</v>
      </c>
      <c r="D6031" s="2352" t="s">
        <v>11183</v>
      </c>
      <c r="E6031" s="355">
        <v>40</v>
      </c>
      <c r="F6031" s="1662">
        <v>14</v>
      </c>
    </row>
    <row r="6032" spans="1:6" ht="15" customHeight="1" x14ac:dyDescent="0.25">
      <c r="A6032" s="2352" t="s">
        <v>18772</v>
      </c>
      <c r="B6032" s="2352" t="s">
        <v>11076</v>
      </c>
      <c r="C6032" s="2352" t="s">
        <v>11076</v>
      </c>
      <c r="D6032" s="2352" t="s">
        <v>11184</v>
      </c>
      <c r="E6032" s="355">
        <v>30</v>
      </c>
      <c r="F6032" s="1662">
        <v>12</v>
      </c>
    </row>
    <row r="6033" spans="1:6" ht="15" customHeight="1" x14ac:dyDescent="0.25">
      <c r="A6033" s="2352" t="s">
        <v>18773</v>
      </c>
      <c r="B6033" s="2352" t="s">
        <v>11076</v>
      </c>
      <c r="C6033" s="2352" t="s">
        <v>11076</v>
      </c>
      <c r="D6033" s="2352" t="s">
        <v>11185</v>
      </c>
      <c r="E6033" s="355">
        <v>63</v>
      </c>
      <c r="F6033" s="1662">
        <v>48</v>
      </c>
    </row>
    <row r="6034" spans="1:6" ht="15" customHeight="1" x14ac:dyDescent="0.25">
      <c r="A6034" s="2352" t="s">
        <v>18774</v>
      </c>
      <c r="B6034" s="2352" t="s">
        <v>11076</v>
      </c>
      <c r="C6034" s="2352" t="s">
        <v>11076</v>
      </c>
      <c r="D6034" s="2352" t="s">
        <v>11186</v>
      </c>
      <c r="E6034" s="355">
        <v>30</v>
      </c>
      <c r="F6034" s="1662">
        <v>22</v>
      </c>
    </row>
    <row r="6035" spans="1:6" ht="15" customHeight="1" x14ac:dyDescent="0.25">
      <c r="A6035" s="2352" t="s">
        <v>18775</v>
      </c>
      <c r="B6035" s="2352" t="s">
        <v>11076</v>
      </c>
      <c r="C6035" s="2352" t="s">
        <v>11076</v>
      </c>
      <c r="D6035" s="2352" t="s">
        <v>8855</v>
      </c>
      <c r="E6035" s="355">
        <v>30</v>
      </c>
      <c r="F6035" s="1662">
        <v>19</v>
      </c>
    </row>
    <row r="6036" spans="1:6" ht="15" customHeight="1" x14ac:dyDescent="0.25">
      <c r="A6036" s="2352" t="s">
        <v>18776</v>
      </c>
      <c r="B6036" s="2352" t="s">
        <v>11076</v>
      </c>
      <c r="C6036" s="2352" t="s">
        <v>11076</v>
      </c>
      <c r="D6036" s="2352" t="s">
        <v>11187</v>
      </c>
      <c r="E6036" s="355">
        <v>63</v>
      </c>
      <c r="F6036" s="1662">
        <v>45</v>
      </c>
    </row>
    <row r="6037" spans="1:6" ht="15" customHeight="1" x14ac:dyDescent="0.25">
      <c r="A6037" s="2352" t="s">
        <v>18777</v>
      </c>
      <c r="B6037" s="2352" t="s">
        <v>11076</v>
      </c>
      <c r="C6037" s="2352" t="s">
        <v>11076</v>
      </c>
      <c r="D6037" s="2352" t="s">
        <v>11188</v>
      </c>
      <c r="E6037" s="355">
        <v>20</v>
      </c>
      <c r="F6037" s="1662">
        <v>12</v>
      </c>
    </row>
    <row r="6038" spans="1:6" ht="15" customHeight="1" x14ac:dyDescent="0.25">
      <c r="A6038" s="2352" t="s">
        <v>18777</v>
      </c>
      <c r="B6038" s="2352" t="s">
        <v>11076</v>
      </c>
      <c r="C6038" s="2352" t="s">
        <v>11076</v>
      </c>
      <c r="D6038" s="2352" t="s">
        <v>11189</v>
      </c>
      <c r="E6038" s="355">
        <v>100</v>
      </c>
      <c r="F6038" s="1662">
        <v>22</v>
      </c>
    </row>
    <row r="6039" spans="1:6" ht="15" customHeight="1" x14ac:dyDescent="0.25">
      <c r="A6039" s="2352" t="s">
        <v>18777</v>
      </c>
      <c r="B6039" s="2352" t="s">
        <v>11076</v>
      </c>
      <c r="C6039" s="2352" t="s">
        <v>11076</v>
      </c>
      <c r="D6039" s="2352" t="s">
        <v>11190</v>
      </c>
      <c r="E6039" s="355">
        <v>63</v>
      </c>
      <c r="F6039" s="1662">
        <v>14</v>
      </c>
    </row>
    <row r="6040" spans="1:6" ht="15" customHeight="1" x14ac:dyDescent="0.25">
      <c r="A6040" s="2352" t="s">
        <v>18777</v>
      </c>
      <c r="B6040" s="2352" t="s">
        <v>11076</v>
      </c>
      <c r="C6040" s="2352" t="s">
        <v>11076</v>
      </c>
      <c r="D6040" s="2352" t="s">
        <v>11191</v>
      </c>
      <c r="E6040" s="355">
        <v>60</v>
      </c>
      <c r="F6040" s="1662">
        <v>38</v>
      </c>
    </row>
    <row r="6041" spans="1:6" ht="15" customHeight="1" x14ac:dyDescent="0.25">
      <c r="A6041" s="2352" t="s">
        <v>18778</v>
      </c>
      <c r="B6041" s="2352" t="s">
        <v>11076</v>
      </c>
      <c r="C6041" s="2352" t="s">
        <v>11076</v>
      </c>
      <c r="D6041" s="2352" t="s">
        <v>11192</v>
      </c>
      <c r="E6041" s="355">
        <v>10</v>
      </c>
      <c r="F6041" s="1662">
        <v>4</v>
      </c>
    </row>
    <row r="6042" spans="1:6" ht="15" customHeight="1" x14ac:dyDescent="0.25">
      <c r="A6042" s="2352" t="s">
        <v>18054</v>
      </c>
      <c r="B6042" s="2352" t="s">
        <v>11076</v>
      </c>
      <c r="C6042" s="2352" t="s">
        <v>11076</v>
      </c>
      <c r="D6042" s="2352" t="s">
        <v>11193</v>
      </c>
      <c r="E6042" s="355">
        <v>30</v>
      </c>
      <c r="F6042" s="1662">
        <v>21</v>
      </c>
    </row>
    <row r="6043" spans="1:6" ht="15" customHeight="1" x14ac:dyDescent="0.25">
      <c r="A6043" s="2352" t="s">
        <v>18779</v>
      </c>
      <c r="B6043" s="2352" t="s">
        <v>11076</v>
      </c>
      <c r="C6043" s="2352" t="s">
        <v>11076</v>
      </c>
      <c r="D6043" s="2352" t="s">
        <v>11194</v>
      </c>
      <c r="E6043" s="355">
        <v>25</v>
      </c>
      <c r="F6043" s="1662">
        <v>3</v>
      </c>
    </row>
    <row r="6044" spans="1:6" ht="15" customHeight="1" x14ac:dyDescent="0.25">
      <c r="A6044" s="2352" t="s">
        <v>18780</v>
      </c>
      <c r="B6044" s="2352" t="s">
        <v>11076</v>
      </c>
      <c r="C6044" s="2352" t="s">
        <v>11076</v>
      </c>
      <c r="D6044" s="2352" t="s">
        <v>11195</v>
      </c>
      <c r="E6044" s="355">
        <v>100</v>
      </c>
      <c r="F6044" s="1662">
        <v>7</v>
      </c>
    </row>
    <row r="6045" spans="1:6" ht="15" customHeight="1" x14ac:dyDescent="0.25">
      <c r="A6045" s="2352" t="s">
        <v>18781</v>
      </c>
      <c r="B6045" s="2352" t="s">
        <v>11076</v>
      </c>
      <c r="C6045" s="2352" t="s">
        <v>11076</v>
      </c>
      <c r="D6045" s="2352" t="s">
        <v>11196</v>
      </c>
      <c r="E6045" s="355">
        <v>400</v>
      </c>
      <c r="F6045" s="1662">
        <v>200</v>
      </c>
    </row>
    <row r="6046" spans="1:6" ht="15" customHeight="1" x14ac:dyDescent="0.25">
      <c r="A6046" s="2352" t="s">
        <v>18781</v>
      </c>
      <c r="B6046" s="2352" t="s">
        <v>11076</v>
      </c>
      <c r="C6046" s="2352" t="s">
        <v>11076</v>
      </c>
      <c r="D6046" s="2352" t="s">
        <v>11197</v>
      </c>
      <c r="E6046" s="355">
        <v>1000</v>
      </c>
      <c r="F6046" s="1662">
        <v>300</v>
      </c>
    </row>
    <row r="6047" spans="1:6" ht="15" customHeight="1" x14ac:dyDescent="0.25">
      <c r="A6047" s="2352" t="s">
        <v>18782</v>
      </c>
      <c r="B6047" s="2352" t="s">
        <v>11076</v>
      </c>
      <c r="C6047" s="2352" t="s">
        <v>11076</v>
      </c>
      <c r="D6047" s="2352" t="s">
        <v>11198</v>
      </c>
      <c r="E6047" s="355">
        <v>30</v>
      </c>
      <c r="F6047" s="1662">
        <v>16</v>
      </c>
    </row>
    <row r="6048" spans="1:6" ht="15" customHeight="1" x14ac:dyDescent="0.25">
      <c r="A6048" s="2352" t="s">
        <v>18783</v>
      </c>
      <c r="B6048" s="2352" t="s">
        <v>11076</v>
      </c>
      <c r="C6048" s="2352" t="s">
        <v>11076</v>
      </c>
      <c r="D6048" s="2352" t="s">
        <v>11199</v>
      </c>
      <c r="E6048" s="355">
        <v>63</v>
      </c>
      <c r="F6048" s="1662">
        <v>45</v>
      </c>
    </row>
    <row r="6049" spans="1:6" ht="15" customHeight="1" x14ac:dyDescent="0.25">
      <c r="A6049" s="2352" t="s">
        <v>18784</v>
      </c>
      <c r="B6049" s="2352" t="s">
        <v>11076</v>
      </c>
      <c r="C6049" s="2352" t="s">
        <v>11076</v>
      </c>
      <c r="D6049" s="2352" t="s">
        <v>11200</v>
      </c>
      <c r="E6049" s="355">
        <v>10</v>
      </c>
      <c r="F6049" s="1662">
        <v>3</v>
      </c>
    </row>
    <row r="6050" spans="1:6" ht="15" customHeight="1" x14ac:dyDescent="0.25">
      <c r="A6050" s="2352" t="s">
        <v>18785</v>
      </c>
      <c r="B6050" s="2352" t="s">
        <v>11076</v>
      </c>
      <c r="C6050" s="2352" t="s">
        <v>11076</v>
      </c>
      <c r="D6050" s="2352" t="s">
        <v>11201</v>
      </c>
      <c r="E6050" s="355">
        <v>40</v>
      </c>
      <c r="F6050" s="1662">
        <v>25</v>
      </c>
    </row>
    <row r="6051" spans="1:6" ht="15" customHeight="1" x14ac:dyDescent="0.25">
      <c r="A6051" s="2352" t="s">
        <v>18786</v>
      </c>
      <c r="B6051" s="2352" t="s">
        <v>11076</v>
      </c>
      <c r="C6051" s="2352" t="s">
        <v>11076</v>
      </c>
      <c r="D6051" s="2352" t="s">
        <v>11202</v>
      </c>
      <c r="E6051" s="355">
        <v>25</v>
      </c>
      <c r="F6051" s="1662">
        <v>12</v>
      </c>
    </row>
    <row r="6052" spans="1:6" ht="15" customHeight="1" x14ac:dyDescent="0.25">
      <c r="A6052" s="2352" t="s">
        <v>18787</v>
      </c>
      <c r="B6052" s="2352" t="s">
        <v>11076</v>
      </c>
      <c r="C6052" s="2352" t="s">
        <v>11076</v>
      </c>
      <c r="D6052" s="2352" t="s">
        <v>11203</v>
      </c>
      <c r="E6052" s="355">
        <v>100</v>
      </c>
      <c r="F6052" s="1662">
        <v>48</v>
      </c>
    </row>
    <row r="6053" spans="1:6" ht="15" customHeight="1" x14ac:dyDescent="0.25">
      <c r="A6053" s="2352" t="s">
        <v>18788</v>
      </c>
      <c r="B6053" s="2352" t="s">
        <v>11076</v>
      </c>
      <c r="C6053" s="2352" t="s">
        <v>11076</v>
      </c>
      <c r="D6053" s="2352" t="s">
        <v>11204</v>
      </c>
      <c r="E6053" s="355">
        <v>30</v>
      </c>
      <c r="F6053" s="1662">
        <v>80</v>
      </c>
    </row>
    <row r="6054" spans="1:6" ht="15" customHeight="1" x14ac:dyDescent="0.25">
      <c r="A6054" s="2352" t="s">
        <v>18789</v>
      </c>
      <c r="B6054" s="2352" t="s">
        <v>11076</v>
      </c>
      <c r="C6054" s="2352" t="s">
        <v>11076</v>
      </c>
      <c r="D6054" s="2352" t="s">
        <v>11205</v>
      </c>
      <c r="E6054" s="355">
        <v>63</v>
      </c>
      <c r="F6054" s="1662">
        <v>34</v>
      </c>
    </row>
    <row r="6055" spans="1:6" ht="15" customHeight="1" x14ac:dyDescent="0.25">
      <c r="A6055" s="2352" t="s">
        <v>18790</v>
      </c>
      <c r="B6055" s="2352" t="s">
        <v>11076</v>
      </c>
      <c r="C6055" s="2352" t="s">
        <v>11076</v>
      </c>
      <c r="D6055" s="2352" t="s">
        <v>11206</v>
      </c>
      <c r="E6055" s="355">
        <v>63</v>
      </c>
      <c r="F6055" s="1662">
        <v>31</v>
      </c>
    </row>
    <row r="6056" spans="1:6" ht="15" customHeight="1" x14ac:dyDescent="0.25">
      <c r="A6056" s="2352" t="s">
        <v>18671</v>
      </c>
      <c r="B6056" s="2352" t="s">
        <v>11076</v>
      </c>
      <c r="C6056" s="2352" t="s">
        <v>11076</v>
      </c>
      <c r="D6056" s="2352" t="s">
        <v>11207</v>
      </c>
      <c r="E6056" s="355">
        <v>100</v>
      </c>
      <c r="F6056" s="1662">
        <v>41</v>
      </c>
    </row>
    <row r="6057" spans="1:6" ht="15" customHeight="1" x14ac:dyDescent="0.25">
      <c r="A6057" s="2352" t="s">
        <v>18671</v>
      </c>
      <c r="B6057" s="2352" t="s">
        <v>11076</v>
      </c>
      <c r="C6057" s="2352" t="s">
        <v>11076</v>
      </c>
      <c r="D6057" s="2352" t="s">
        <v>11208</v>
      </c>
      <c r="E6057" s="355">
        <v>160</v>
      </c>
      <c r="F6057" s="1662">
        <v>63</v>
      </c>
    </row>
    <row r="6058" spans="1:6" ht="15" customHeight="1" x14ac:dyDescent="0.25">
      <c r="A6058" s="2352" t="s">
        <v>18671</v>
      </c>
      <c r="B6058" s="2352" t="s">
        <v>11076</v>
      </c>
      <c r="C6058" s="2352" t="s">
        <v>11076</v>
      </c>
      <c r="D6058" s="2352" t="s">
        <v>11209</v>
      </c>
      <c r="E6058" s="355">
        <v>100</v>
      </c>
      <c r="F6058" s="1662">
        <v>55</v>
      </c>
    </row>
    <row r="6059" spans="1:6" ht="15" customHeight="1" x14ac:dyDescent="0.25">
      <c r="A6059" s="2352" t="s">
        <v>18791</v>
      </c>
      <c r="B6059" s="2352" t="s">
        <v>11076</v>
      </c>
      <c r="C6059" s="2352" t="s">
        <v>11076</v>
      </c>
      <c r="D6059" s="2352" t="s">
        <v>11210</v>
      </c>
      <c r="E6059" s="355">
        <v>40</v>
      </c>
      <c r="F6059" s="1662">
        <v>25</v>
      </c>
    </row>
    <row r="6060" spans="1:6" ht="15" customHeight="1" x14ac:dyDescent="0.25">
      <c r="A6060" s="2352" t="s">
        <v>18792</v>
      </c>
      <c r="B6060" s="2352" t="s">
        <v>11076</v>
      </c>
      <c r="C6060" s="2352" t="s">
        <v>11076</v>
      </c>
      <c r="D6060" s="2352" t="s">
        <v>11211</v>
      </c>
      <c r="E6060" s="355">
        <v>30</v>
      </c>
      <c r="F6060" s="1662">
        <v>14</v>
      </c>
    </row>
    <row r="6061" spans="1:6" ht="15" customHeight="1" x14ac:dyDescent="0.25">
      <c r="A6061" s="2352" t="s">
        <v>18765</v>
      </c>
      <c r="B6061" s="2352" t="s">
        <v>11076</v>
      </c>
      <c r="C6061" s="2352" t="s">
        <v>11076</v>
      </c>
      <c r="D6061" s="2352" t="s">
        <v>11173</v>
      </c>
      <c r="E6061" s="355">
        <v>4</v>
      </c>
      <c r="F6061" s="1662">
        <v>2</v>
      </c>
    </row>
    <row r="6062" spans="1:6" ht="15" customHeight="1" x14ac:dyDescent="0.25">
      <c r="A6062" s="2352" t="s">
        <v>18793</v>
      </c>
      <c r="B6062" s="2352" t="s">
        <v>11076</v>
      </c>
      <c r="C6062" s="2352" t="s">
        <v>11076</v>
      </c>
      <c r="D6062" s="2352" t="s">
        <v>11212</v>
      </c>
      <c r="E6062" s="355">
        <v>40</v>
      </c>
      <c r="F6062" s="1662">
        <v>22</v>
      </c>
    </row>
    <row r="6063" spans="1:6" ht="15" customHeight="1" x14ac:dyDescent="0.25">
      <c r="A6063" s="2352" t="s">
        <v>18794</v>
      </c>
      <c r="B6063" s="2352" t="s">
        <v>11076</v>
      </c>
      <c r="C6063" s="2352" t="s">
        <v>11076</v>
      </c>
      <c r="D6063" s="2352" t="s">
        <v>11213</v>
      </c>
      <c r="E6063" s="355">
        <v>40</v>
      </c>
      <c r="F6063" s="1662">
        <v>16</v>
      </c>
    </row>
    <row r="6064" spans="1:6" ht="15" customHeight="1" x14ac:dyDescent="0.25">
      <c r="A6064" s="2352" t="s">
        <v>18795</v>
      </c>
      <c r="B6064" s="2352" t="s">
        <v>11076</v>
      </c>
      <c r="C6064" s="2352" t="s">
        <v>11076</v>
      </c>
      <c r="D6064" s="2352" t="s">
        <v>11214</v>
      </c>
      <c r="E6064" s="355">
        <v>63</v>
      </c>
      <c r="F6064" s="1662">
        <v>15</v>
      </c>
    </row>
    <row r="6065" spans="1:6" ht="15" customHeight="1" x14ac:dyDescent="0.25">
      <c r="A6065" s="2352" t="s">
        <v>18795</v>
      </c>
      <c r="B6065" s="2352" t="s">
        <v>11076</v>
      </c>
      <c r="C6065" s="2352" t="s">
        <v>11076</v>
      </c>
      <c r="D6065" s="2352" t="s">
        <v>11215</v>
      </c>
      <c r="E6065" s="355">
        <v>63</v>
      </c>
      <c r="F6065" s="1662">
        <v>24</v>
      </c>
    </row>
    <row r="6066" spans="1:6" ht="15" customHeight="1" x14ac:dyDescent="0.25">
      <c r="A6066" s="2352" t="s">
        <v>18795</v>
      </c>
      <c r="B6066" s="2352" t="s">
        <v>11076</v>
      </c>
      <c r="C6066" s="2352" t="s">
        <v>11076</v>
      </c>
      <c r="D6066" s="2352" t="s">
        <v>11216</v>
      </c>
      <c r="E6066" s="355">
        <v>100</v>
      </c>
      <c r="F6066" s="1662">
        <v>32</v>
      </c>
    </row>
    <row r="6067" spans="1:6" ht="15" customHeight="1" x14ac:dyDescent="0.25">
      <c r="A6067" s="2352" t="s">
        <v>18795</v>
      </c>
      <c r="B6067" s="2352" t="s">
        <v>11076</v>
      </c>
      <c r="C6067" s="2352" t="s">
        <v>11076</v>
      </c>
      <c r="D6067" s="2352" t="s">
        <v>11217</v>
      </c>
      <c r="E6067" s="355">
        <v>100</v>
      </c>
      <c r="F6067" s="1662">
        <v>45</v>
      </c>
    </row>
    <row r="6068" spans="1:6" ht="15" customHeight="1" x14ac:dyDescent="0.25">
      <c r="A6068" s="2352" t="s">
        <v>18796</v>
      </c>
      <c r="B6068" s="2352" t="s">
        <v>11076</v>
      </c>
      <c r="C6068" s="2352" t="s">
        <v>11076</v>
      </c>
      <c r="D6068" s="2352" t="s">
        <v>11218</v>
      </c>
      <c r="E6068" s="355">
        <v>63</v>
      </c>
      <c r="F6068" s="1662">
        <v>38</v>
      </c>
    </row>
    <row r="6069" spans="1:6" ht="15" customHeight="1" x14ac:dyDescent="0.25">
      <c r="A6069" s="2352" t="s">
        <v>18797</v>
      </c>
      <c r="B6069" s="2352" t="s">
        <v>11076</v>
      </c>
      <c r="C6069" s="2352" t="s">
        <v>11076</v>
      </c>
      <c r="D6069" s="2352" t="s">
        <v>11219</v>
      </c>
      <c r="E6069" s="355">
        <v>63</v>
      </c>
      <c r="F6069" s="1662">
        <v>25</v>
      </c>
    </row>
    <row r="6070" spans="1:6" ht="15" customHeight="1" x14ac:dyDescent="0.25">
      <c r="A6070" s="2352" t="s">
        <v>17133</v>
      </c>
      <c r="B6070" s="2352" t="s">
        <v>11076</v>
      </c>
      <c r="C6070" s="2352" t="s">
        <v>11076</v>
      </c>
      <c r="D6070" s="2352" t="s">
        <v>11220</v>
      </c>
      <c r="E6070" s="355">
        <v>63</v>
      </c>
      <c r="F6070" s="1662">
        <v>48</v>
      </c>
    </row>
    <row r="6071" spans="1:6" ht="15" customHeight="1" x14ac:dyDescent="0.25">
      <c r="A6071" s="2352" t="s">
        <v>18798</v>
      </c>
      <c r="B6071" s="2352" t="s">
        <v>11076</v>
      </c>
      <c r="C6071" s="2352" t="s">
        <v>11076</v>
      </c>
      <c r="D6071" s="2352" t="s">
        <v>11221</v>
      </c>
      <c r="E6071" s="355">
        <v>4</v>
      </c>
      <c r="F6071" s="1662">
        <v>1</v>
      </c>
    </row>
    <row r="6072" spans="1:6" ht="15" customHeight="1" x14ac:dyDescent="0.25">
      <c r="A6072" s="2352" t="s">
        <v>18799</v>
      </c>
      <c r="B6072" s="2352" t="s">
        <v>11076</v>
      </c>
      <c r="C6072" s="2352" t="s">
        <v>11076</v>
      </c>
      <c r="D6072" s="2352" t="s">
        <v>11222</v>
      </c>
      <c r="E6072" s="355">
        <v>20</v>
      </c>
      <c r="F6072" s="1662">
        <v>8</v>
      </c>
    </row>
    <row r="6073" spans="1:6" ht="15" customHeight="1" x14ac:dyDescent="0.25">
      <c r="A6073" s="2352" t="s">
        <v>18800</v>
      </c>
      <c r="B6073" s="2352" t="s">
        <v>11076</v>
      </c>
      <c r="C6073" s="2352" t="s">
        <v>11076</v>
      </c>
      <c r="D6073" s="2352" t="s">
        <v>11223</v>
      </c>
      <c r="E6073" s="355">
        <v>250</v>
      </c>
      <c r="F6073" s="1662">
        <v>120</v>
      </c>
    </row>
    <row r="6074" spans="1:6" ht="15" customHeight="1" x14ac:dyDescent="0.25">
      <c r="A6074" s="2352" t="s">
        <v>18800</v>
      </c>
      <c r="B6074" s="2352" t="s">
        <v>11076</v>
      </c>
      <c r="C6074" s="2352" t="s">
        <v>11076</v>
      </c>
      <c r="D6074" s="2352" t="s">
        <v>11224</v>
      </c>
      <c r="E6074" s="355">
        <v>60</v>
      </c>
      <c r="F6074" s="1662">
        <v>24</v>
      </c>
    </row>
    <row r="6075" spans="1:6" ht="15" customHeight="1" x14ac:dyDescent="0.25">
      <c r="A6075" s="2352" t="s">
        <v>18800</v>
      </c>
      <c r="B6075" s="2352" t="s">
        <v>11076</v>
      </c>
      <c r="C6075" s="2352" t="s">
        <v>11076</v>
      </c>
      <c r="D6075" s="2352" t="s">
        <v>11225</v>
      </c>
      <c r="E6075" s="355">
        <v>63</v>
      </c>
      <c r="F6075" s="1662">
        <v>19</v>
      </c>
    </row>
    <row r="6076" spans="1:6" ht="15" customHeight="1" x14ac:dyDescent="0.25">
      <c r="A6076" s="2352" t="s">
        <v>18800</v>
      </c>
      <c r="B6076" s="2352" t="s">
        <v>11076</v>
      </c>
      <c r="C6076" s="2352" t="s">
        <v>11076</v>
      </c>
      <c r="D6076" s="2352" t="s">
        <v>11226</v>
      </c>
      <c r="E6076" s="355">
        <v>63</v>
      </c>
      <c r="F6076" s="1662">
        <v>12</v>
      </c>
    </row>
    <row r="6077" spans="1:6" ht="15" customHeight="1" x14ac:dyDescent="0.25">
      <c r="A6077" s="2352" t="s">
        <v>18800</v>
      </c>
      <c r="B6077" s="2352" t="s">
        <v>11076</v>
      </c>
      <c r="C6077" s="2352" t="s">
        <v>11076</v>
      </c>
      <c r="D6077" s="2352" t="s">
        <v>11227</v>
      </c>
      <c r="E6077" s="355">
        <v>160</v>
      </c>
      <c r="F6077" s="1662">
        <v>120</v>
      </c>
    </row>
    <row r="6078" spans="1:6" ht="15" customHeight="1" x14ac:dyDescent="0.25">
      <c r="A6078" s="2352" t="s">
        <v>18800</v>
      </c>
      <c r="B6078" s="2352" t="s">
        <v>11076</v>
      </c>
      <c r="C6078" s="2352" t="s">
        <v>11076</v>
      </c>
      <c r="D6078" s="2352" t="s">
        <v>11228</v>
      </c>
      <c r="E6078" s="355">
        <v>100</v>
      </c>
      <c r="F6078" s="1662">
        <v>38</v>
      </c>
    </row>
    <row r="6079" spans="1:6" ht="15" customHeight="1" x14ac:dyDescent="0.25">
      <c r="A6079" s="2352" t="s">
        <v>18801</v>
      </c>
      <c r="B6079" s="2352" t="s">
        <v>11076</v>
      </c>
      <c r="C6079" s="2352" t="s">
        <v>11076</v>
      </c>
      <c r="D6079" s="2352" t="s">
        <v>11229</v>
      </c>
      <c r="E6079" s="355">
        <v>160</v>
      </c>
      <c r="F6079" s="1662">
        <v>92</v>
      </c>
    </row>
    <row r="6080" spans="1:6" ht="15" customHeight="1" x14ac:dyDescent="0.25">
      <c r="A6080" s="2352" t="s">
        <v>17188</v>
      </c>
      <c r="B6080" s="2352" t="s">
        <v>11076</v>
      </c>
      <c r="C6080" s="2352" t="s">
        <v>11076</v>
      </c>
      <c r="D6080" s="2352" t="s">
        <v>11230</v>
      </c>
      <c r="E6080" s="355">
        <v>160</v>
      </c>
      <c r="F6080" s="1662">
        <v>80</v>
      </c>
    </row>
    <row r="6081" spans="1:6" ht="15" customHeight="1" x14ac:dyDescent="0.25">
      <c r="A6081" s="2352" t="s">
        <v>18802</v>
      </c>
      <c r="B6081" s="2352" t="s">
        <v>11076</v>
      </c>
      <c r="C6081" s="2352" t="s">
        <v>11076</v>
      </c>
      <c r="D6081" s="2352" t="s">
        <v>11231</v>
      </c>
      <c r="E6081" s="355">
        <v>40</v>
      </c>
      <c r="F6081" s="1662">
        <v>30</v>
      </c>
    </row>
    <row r="6082" spans="1:6" ht="15" customHeight="1" x14ac:dyDescent="0.25">
      <c r="A6082" s="2352" t="s">
        <v>18803</v>
      </c>
      <c r="B6082" s="2352" t="s">
        <v>11076</v>
      </c>
      <c r="C6082" s="2352" t="s">
        <v>11076</v>
      </c>
      <c r="D6082" s="2352" t="s">
        <v>11232</v>
      </c>
      <c r="E6082" s="355">
        <v>30</v>
      </c>
      <c r="F6082" s="1662">
        <v>11</v>
      </c>
    </row>
    <row r="6083" spans="1:6" ht="15" customHeight="1" x14ac:dyDescent="0.25">
      <c r="A6083" s="2352" t="s">
        <v>18804</v>
      </c>
      <c r="B6083" s="2352" t="s">
        <v>11076</v>
      </c>
      <c r="C6083" s="2352" t="s">
        <v>11076</v>
      </c>
      <c r="D6083" s="2352" t="s">
        <v>11233</v>
      </c>
      <c r="E6083" s="355">
        <v>25</v>
      </c>
      <c r="F6083" s="1662">
        <v>12</v>
      </c>
    </row>
    <row r="6084" spans="1:6" ht="15" customHeight="1" x14ac:dyDescent="0.25">
      <c r="A6084" s="2352" t="s">
        <v>18805</v>
      </c>
      <c r="B6084" s="2352" t="s">
        <v>11076</v>
      </c>
      <c r="C6084" s="2352" t="s">
        <v>11076</v>
      </c>
      <c r="D6084" s="2352" t="s">
        <v>11234</v>
      </c>
      <c r="E6084" s="355">
        <v>60</v>
      </c>
      <c r="F6084" s="1662">
        <v>35</v>
      </c>
    </row>
    <row r="6085" spans="1:6" ht="15" customHeight="1" x14ac:dyDescent="0.25">
      <c r="A6085" s="2352" t="s">
        <v>11768</v>
      </c>
      <c r="B6085" s="2352" t="s">
        <v>18806</v>
      </c>
      <c r="C6085" s="2352" t="s">
        <v>18806</v>
      </c>
      <c r="D6085" s="2352" t="s">
        <v>18807</v>
      </c>
      <c r="E6085" s="355">
        <v>400</v>
      </c>
      <c r="F6085" s="1662">
        <v>204.35</v>
      </c>
    </row>
    <row r="6086" spans="1:6" ht="15" customHeight="1" x14ac:dyDescent="0.25">
      <c r="A6086" s="2352" t="s">
        <v>18808</v>
      </c>
      <c r="B6086" s="2352" t="s">
        <v>18806</v>
      </c>
      <c r="C6086" s="2352" t="s">
        <v>18806</v>
      </c>
      <c r="D6086" s="2352" t="s">
        <v>18809</v>
      </c>
      <c r="E6086" s="355">
        <v>400</v>
      </c>
      <c r="F6086" s="1662">
        <v>260</v>
      </c>
    </row>
    <row r="6087" spans="1:6" ht="15" customHeight="1" x14ac:dyDescent="0.25">
      <c r="A6087" s="2352" t="s">
        <v>18808</v>
      </c>
      <c r="B6087" s="2352" t="s">
        <v>18806</v>
      </c>
      <c r="C6087" s="2352" t="s">
        <v>18806</v>
      </c>
      <c r="D6087" s="2352" t="s">
        <v>6089</v>
      </c>
      <c r="E6087" s="355">
        <v>250</v>
      </c>
      <c r="F6087" s="1662">
        <v>22</v>
      </c>
    </row>
    <row r="6088" spans="1:6" ht="15" customHeight="1" x14ac:dyDescent="0.25">
      <c r="A6088" s="2352" t="s">
        <v>18810</v>
      </c>
      <c r="B6088" s="2352" t="s">
        <v>18806</v>
      </c>
      <c r="C6088" s="2352" t="s">
        <v>18806</v>
      </c>
      <c r="D6088" s="2352" t="s">
        <v>18811</v>
      </c>
      <c r="E6088" s="355">
        <v>100</v>
      </c>
      <c r="F6088" s="1662">
        <v>30</v>
      </c>
    </row>
    <row r="6089" spans="1:6" ht="15" customHeight="1" x14ac:dyDescent="0.25">
      <c r="A6089" s="2352" t="s">
        <v>18810</v>
      </c>
      <c r="B6089" s="2352" t="s">
        <v>18806</v>
      </c>
      <c r="C6089" s="2352" t="s">
        <v>18806</v>
      </c>
      <c r="D6089" s="2352" t="s">
        <v>18812</v>
      </c>
      <c r="E6089" s="355">
        <v>400</v>
      </c>
      <c r="F6089" s="1662">
        <v>273</v>
      </c>
    </row>
    <row r="6090" spans="1:6" ht="15" customHeight="1" x14ac:dyDescent="0.25">
      <c r="A6090" s="2352" t="s">
        <v>18810</v>
      </c>
      <c r="B6090" s="2352" t="s">
        <v>18806</v>
      </c>
      <c r="C6090" s="2352" t="s">
        <v>18806</v>
      </c>
      <c r="D6090" s="2352" t="s">
        <v>18813</v>
      </c>
      <c r="E6090" s="355">
        <v>160</v>
      </c>
      <c r="F6090" s="1662">
        <v>15</v>
      </c>
    </row>
    <row r="6091" spans="1:6" ht="15" customHeight="1" x14ac:dyDescent="0.25">
      <c r="A6091" s="2352" t="s">
        <v>18808</v>
      </c>
      <c r="B6091" s="2352" t="s">
        <v>18806</v>
      </c>
      <c r="C6091" s="2352" t="s">
        <v>18806</v>
      </c>
      <c r="D6091" s="2352" t="s">
        <v>18814</v>
      </c>
      <c r="E6091" s="355">
        <v>320</v>
      </c>
      <c r="F6091" s="1662">
        <v>162</v>
      </c>
    </row>
    <row r="6092" spans="1:6" ht="15" customHeight="1" x14ac:dyDescent="0.25">
      <c r="A6092" s="2352" t="s">
        <v>4632</v>
      </c>
      <c r="B6092" s="2352" t="s">
        <v>18806</v>
      </c>
      <c r="C6092" s="2352" t="s">
        <v>18806</v>
      </c>
      <c r="D6092" s="2352" t="s">
        <v>18815</v>
      </c>
      <c r="E6092" s="355">
        <v>400</v>
      </c>
      <c r="F6092" s="1662">
        <v>90</v>
      </c>
    </row>
    <row r="6093" spans="1:6" ht="15" customHeight="1" x14ac:dyDescent="0.25">
      <c r="A6093" s="2352" t="s">
        <v>18816</v>
      </c>
      <c r="B6093" s="2352" t="s">
        <v>18806</v>
      </c>
      <c r="C6093" s="2352" t="s">
        <v>18806</v>
      </c>
      <c r="D6093" s="2352" t="s">
        <v>18817</v>
      </c>
      <c r="E6093" s="355">
        <v>400</v>
      </c>
      <c r="F6093" s="1662">
        <v>163</v>
      </c>
    </row>
    <row r="6094" spans="1:6" ht="15" customHeight="1" x14ac:dyDescent="0.25">
      <c r="A6094" s="2352" t="s">
        <v>18816</v>
      </c>
      <c r="B6094" s="2352" t="s">
        <v>18806</v>
      </c>
      <c r="C6094" s="2352" t="s">
        <v>18806</v>
      </c>
      <c r="D6094" s="2352" t="s">
        <v>18818</v>
      </c>
      <c r="E6094" s="355">
        <v>63</v>
      </c>
      <c r="F6094" s="1662">
        <v>21</v>
      </c>
    </row>
    <row r="6095" spans="1:6" ht="15" customHeight="1" x14ac:dyDescent="0.25">
      <c r="A6095" s="2352" t="s">
        <v>18819</v>
      </c>
      <c r="B6095" s="2352" t="s">
        <v>18806</v>
      </c>
      <c r="C6095" s="2352" t="s">
        <v>18806</v>
      </c>
      <c r="D6095" s="2352" t="s">
        <v>18820</v>
      </c>
      <c r="E6095" s="355">
        <v>160</v>
      </c>
      <c r="F6095" s="1662">
        <v>36</v>
      </c>
    </row>
    <row r="6096" spans="1:6" ht="15" customHeight="1" x14ac:dyDescent="0.25">
      <c r="A6096" s="2352" t="s">
        <v>18819</v>
      </c>
      <c r="B6096" s="2352" t="s">
        <v>18806</v>
      </c>
      <c r="C6096" s="2352" t="s">
        <v>18806</v>
      </c>
      <c r="D6096" s="2352" t="s">
        <v>18821</v>
      </c>
      <c r="E6096" s="355">
        <v>160</v>
      </c>
      <c r="F6096" s="1662">
        <v>160</v>
      </c>
    </row>
    <row r="6097" spans="1:6" ht="15" customHeight="1" x14ac:dyDescent="0.25">
      <c r="A6097" s="2352" t="s">
        <v>9072</v>
      </c>
      <c r="B6097" s="2352" t="s">
        <v>18806</v>
      </c>
      <c r="C6097" s="2352" t="s">
        <v>18806</v>
      </c>
      <c r="D6097" s="2352" t="s">
        <v>18822</v>
      </c>
      <c r="E6097" s="355">
        <v>100</v>
      </c>
      <c r="F6097" s="1662">
        <v>8</v>
      </c>
    </row>
    <row r="6098" spans="1:6" ht="15" customHeight="1" x14ac:dyDescent="0.25">
      <c r="A6098" s="2352" t="s">
        <v>7263</v>
      </c>
      <c r="B6098" s="2352" t="s">
        <v>18806</v>
      </c>
      <c r="C6098" s="2352" t="s">
        <v>18806</v>
      </c>
      <c r="D6098" s="2352" t="s">
        <v>18823</v>
      </c>
      <c r="E6098" s="355">
        <v>63</v>
      </c>
      <c r="F6098" s="1662">
        <v>4</v>
      </c>
    </row>
    <row r="6099" spans="1:6" ht="15" customHeight="1" x14ac:dyDescent="0.25">
      <c r="A6099" s="2352" t="s">
        <v>18824</v>
      </c>
      <c r="B6099" s="2352" t="s">
        <v>18806</v>
      </c>
      <c r="C6099" s="2352" t="s">
        <v>18806</v>
      </c>
      <c r="D6099" s="2352" t="s">
        <v>18825</v>
      </c>
      <c r="E6099" s="355">
        <v>160</v>
      </c>
      <c r="F6099" s="1662">
        <v>72</v>
      </c>
    </row>
    <row r="6100" spans="1:6" ht="15" customHeight="1" x14ac:dyDescent="0.25">
      <c r="A6100" s="2352" t="s">
        <v>18826</v>
      </c>
      <c r="B6100" s="2352" t="s">
        <v>18806</v>
      </c>
      <c r="C6100" s="2352" t="s">
        <v>18806</v>
      </c>
      <c r="D6100" s="2352" t="s">
        <v>18827</v>
      </c>
      <c r="E6100" s="355">
        <v>63</v>
      </c>
      <c r="F6100" s="1662">
        <v>36</v>
      </c>
    </row>
    <row r="6101" spans="1:6" ht="15" customHeight="1" x14ac:dyDescent="0.25">
      <c r="A6101" s="2352" t="s">
        <v>14149</v>
      </c>
      <c r="B6101" s="2352" t="s">
        <v>18806</v>
      </c>
      <c r="C6101" s="2352" t="s">
        <v>18806</v>
      </c>
      <c r="D6101" s="2352" t="s">
        <v>18828</v>
      </c>
      <c r="E6101" s="355">
        <v>160</v>
      </c>
      <c r="F6101" s="1662">
        <v>27</v>
      </c>
    </row>
    <row r="6102" spans="1:6" ht="15" customHeight="1" x14ac:dyDescent="0.25">
      <c r="A6102" s="2352" t="s">
        <v>18829</v>
      </c>
      <c r="B6102" s="2352" t="s">
        <v>18806</v>
      </c>
      <c r="C6102" s="2352" t="s">
        <v>18806</v>
      </c>
      <c r="D6102" s="2352" t="s">
        <v>18830</v>
      </c>
      <c r="E6102" s="355">
        <v>100</v>
      </c>
      <c r="F6102" s="1662">
        <v>29</v>
      </c>
    </row>
    <row r="6103" spans="1:6" ht="15" customHeight="1" x14ac:dyDescent="0.25">
      <c r="A6103" s="2352" t="s">
        <v>11768</v>
      </c>
      <c r="B6103" s="2352" t="s">
        <v>18806</v>
      </c>
      <c r="C6103" s="2352" t="s">
        <v>18806</v>
      </c>
      <c r="D6103" s="2352" t="s">
        <v>18831</v>
      </c>
      <c r="E6103" s="355">
        <v>63</v>
      </c>
      <c r="F6103" s="1662">
        <v>42</v>
      </c>
    </row>
    <row r="6104" spans="1:6" ht="15" customHeight="1" x14ac:dyDescent="0.25">
      <c r="A6104" s="2352" t="s">
        <v>18832</v>
      </c>
      <c r="B6104" s="2352" t="s">
        <v>18806</v>
      </c>
      <c r="C6104" s="2352" t="s">
        <v>18806</v>
      </c>
      <c r="D6104" s="2352" t="s">
        <v>18833</v>
      </c>
      <c r="E6104" s="355">
        <v>100</v>
      </c>
      <c r="F6104" s="1662">
        <v>0</v>
      </c>
    </row>
    <row r="6105" spans="1:6" ht="15" customHeight="1" x14ac:dyDescent="0.25">
      <c r="A6105" s="2352" t="s">
        <v>18832</v>
      </c>
      <c r="B6105" s="2352" t="s">
        <v>18806</v>
      </c>
      <c r="C6105" s="2352" t="s">
        <v>18806</v>
      </c>
      <c r="D6105" s="2352" t="s">
        <v>18834</v>
      </c>
      <c r="E6105" s="355">
        <v>60</v>
      </c>
      <c r="F6105" s="1662">
        <v>46</v>
      </c>
    </row>
    <row r="6106" spans="1:6" ht="15" customHeight="1" x14ac:dyDescent="0.25">
      <c r="A6106" s="2352" t="s">
        <v>18832</v>
      </c>
      <c r="B6106" s="2352" t="s">
        <v>18806</v>
      </c>
      <c r="C6106" s="2352" t="s">
        <v>18806</v>
      </c>
      <c r="D6106" s="2352" t="s">
        <v>18835</v>
      </c>
      <c r="E6106" s="355">
        <v>250</v>
      </c>
      <c r="F6106" s="1662">
        <v>167</v>
      </c>
    </row>
    <row r="6107" spans="1:6" ht="15" customHeight="1" x14ac:dyDescent="0.25">
      <c r="A6107" s="2352" t="s">
        <v>18836</v>
      </c>
      <c r="B6107" s="2352" t="s">
        <v>18806</v>
      </c>
      <c r="C6107" s="2352" t="s">
        <v>18806</v>
      </c>
      <c r="D6107" s="2352" t="s">
        <v>18837</v>
      </c>
      <c r="E6107" s="355">
        <v>160</v>
      </c>
      <c r="F6107" s="1662">
        <v>24</v>
      </c>
    </row>
    <row r="6108" spans="1:6" ht="15" customHeight="1" x14ac:dyDescent="0.25">
      <c r="A6108" s="2352" t="s">
        <v>14991</v>
      </c>
      <c r="B6108" s="2352" t="s">
        <v>18806</v>
      </c>
      <c r="C6108" s="2352" t="s">
        <v>18806</v>
      </c>
      <c r="D6108" s="2352" t="s">
        <v>18838</v>
      </c>
      <c r="E6108" s="355">
        <v>100</v>
      </c>
      <c r="F6108" s="1662">
        <v>23</v>
      </c>
    </row>
    <row r="6109" spans="1:6" ht="15" customHeight="1" x14ac:dyDescent="0.25">
      <c r="A6109" s="2352" t="s">
        <v>4020</v>
      </c>
      <c r="B6109" s="2352" t="s">
        <v>18806</v>
      </c>
      <c r="C6109" s="2352" t="s">
        <v>18806</v>
      </c>
      <c r="D6109" s="2352" t="s">
        <v>18839</v>
      </c>
      <c r="E6109" s="355">
        <v>100</v>
      </c>
      <c r="F6109" s="1662">
        <v>13</v>
      </c>
    </row>
    <row r="6110" spans="1:6" ht="15" customHeight="1" x14ac:dyDescent="0.25">
      <c r="A6110" s="2352" t="s">
        <v>4349</v>
      </c>
      <c r="B6110" s="2352" t="s">
        <v>18806</v>
      </c>
      <c r="C6110" s="2352" t="s">
        <v>18806</v>
      </c>
      <c r="D6110" s="2352" t="s">
        <v>17519</v>
      </c>
      <c r="E6110" s="355">
        <v>60</v>
      </c>
      <c r="F6110" s="1662">
        <v>0</v>
      </c>
    </row>
    <row r="6111" spans="1:6" ht="15" customHeight="1" x14ac:dyDescent="0.25">
      <c r="A6111" s="2352" t="s">
        <v>4283</v>
      </c>
      <c r="B6111" s="2352" t="s">
        <v>18806</v>
      </c>
      <c r="C6111" s="2352" t="s">
        <v>18806</v>
      </c>
      <c r="D6111" s="2352" t="s">
        <v>18840</v>
      </c>
      <c r="E6111" s="355">
        <v>100</v>
      </c>
      <c r="F6111" s="1662">
        <v>6</v>
      </c>
    </row>
    <row r="6112" spans="1:6" ht="15" customHeight="1" x14ac:dyDescent="0.25">
      <c r="A6112" s="2352" t="s">
        <v>13851</v>
      </c>
      <c r="B6112" s="2352" t="s">
        <v>18806</v>
      </c>
      <c r="C6112" s="2352" t="s">
        <v>18806</v>
      </c>
      <c r="D6112" s="2352" t="s">
        <v>18841</v>
      </c>
      <c r="E6112" s="355">
        <v>400</v>
      </c>
      <c r="F6112" s="1662">
        <v>274</v>
      </c>
    </row>
    <row r="6113" spans="1:6" ht="15" customHeight="1" x14ac:dyDescent="0.25">
      <c r="A6113" s="2352" t="s">
        <v>13851</v>
      </c>
      <c r="B6113" s="2352" t="s">
        <v>18806</v>
      </c>
      <c r="C6113" s="2352" t="s">
        <v>18806</v>
      </c>
      <c r="D6113" s="2352" t="s">
        <v>18842</v>
      </c>
      <c r="E6113" s="355">
        <v>63</v>
      </c>
      <c r="F6113" s="1662">
        <v>0</v>
      </c>
    </row>
    <row r="6114" spans="1:6" ht="15" customHeight="1" x14ac:dyDescent="0.25">
      <c r="A6114" s="2352" t="s">
        <v>13851</v>
      </c>
      <c r="B6114" s="2352" t="s">
        <v>18806</v>
      </c>
      <c r="C6114" s="2352" t="s">
        <v>18806</v>
      </c>
      <c r="D6114" s="2352" t="s">
        <v>18843</v>
      </c>
      <c r="E6114" s="355">
        <v>160</v>
      </c>
      <c r="F6114" s="1662">
        <v>160</v>
      </c>
    </row>
    <row r="6115" spans="1:6" ht="15" customHeight="1" x14ac:dyDescent="0.25">
      <c r="A6115" s="2352" t="s">
        <v>18844</v>
      </c>
      <c r="B6115" s="2352" t="s">
        <v>18806</v>
      </c>
      <c r="C6115" s="2352" t="s">
        <v>18806</v>
      </c>
      <c r="D6115" s="2352" t="s">
        <v>18845</v>
      </c>
      <c r="E6115" s="355">
        <v>100</v>
      </c>
      <c r="F6115" s="1662">
        <v>29</v>
      </c>
    </row>
    <row r="6116" spans="1:6" ht="15" customHeight="1" x14ac:dyDescent="0.25">
      <c r="A6116" s="2352" t="s">
        <v>8146</v>
      </c>
      <c r="B6116" s="2352" t="s">
        <v>18806</v>
      </c>
      <c r="C6116" s="2352" t="s">
        <v>18806</v>
      </c>
      <c r="D6116" s="2352" t="s">
        <v>18846</v>
      </c>
      <c r="E6116" s="355">
        <v>30</v>
      </c>
      <c r="F6116" s="1662">
        <v>0</v>
      </c>
    </row>
    <row r="6117" spans="1:6" ht="15" customHeight="1" x14ac:dyDescent="0.25">
      <c r="A6117" s="2352" t="s">
        <v>12100</v>
      </c>
      <c r="B6117" s="2352" t="s">
        <v>18806</v>
      </c>
      <c r="C6117" s="2352" t="s">
        <v>18806</v>
      </c>
      <c r="D6117" s="2352" t="s">
        <v>18847</v>
      </c>
      <c r="E6117" s="355">
        <v>160</v>
      </c>
      <c r="F6117" s="1662">
        <v>32</v>
      </c>
    </row>
    <row r="6118" spans="1:6" ht="15" customHeight="1" x14ac:dyDescent="0.25">
      <c r="A6118" s="2352" t="s">
        <v>12100</v>
      </c>
      <c r="B6118" s="2352" t="s">
        <v>18806</v>
      </c>
      <c r="C6118" s="2352" t="s">
        <v>18806</v>
      </c>
      <c r="D6118" s="2352" t="s">
        <v>18848</v>
      </c>
      <c r="E6118" s="355">
        <v>160</v>
      </c>
      <c r="F6118" s="1662">
        <v>42</v>
      </c>
    </row>
    <row r="6119" spans="1:6" ht="15" customHeight="1" x14ac:dyDescent="0.25">
      <c r="A6119" s="2352" t="s">
        <v>18849</v>
      </c>
      <c r="B6119" s="2352" t="s">
        <v>18806</v>
      </c>
      <c r="C6119" s="2352" t="s">
        <v>18806</v>
      </c>
      <c r="D6119" s="2352" t="s">
        <v>18850</v>
      </c>
      <c r="E6119" s="355">
        <v>30</v>
      </c>
      <c r="F6119" s="1662">
        <v>0</v>
      </c>
    </row>
    <row r="6120" spans="1:6" ht="15" customHeight="1" x14ac:dyDescent="0.25">
      <c r="A6120" s="2352" t="s">
        <v>18851</v>
      </c>
      <c r="B6120" s="2352" t="s">
        <v>18806</v>
      </c>
      <c r="C6120" s="2352" t="s">
        <v>18806</v>
      </c>
      <c r="D6120" s="2352" t="s">
        <v>18852</v>
      </c>
      <c r="E6120" s="355">
        <v>63</v>
      </c>
      <c r="F6120" s="1662">
        <v>0</v>
      </c>
    </row>
    <row r="6121" spans="1:6" ht="15" customHeight="1" x14ac:dyDescent="0.25">
      <c r="A6121" s="2352" t="s">
        <v>3824</v>
      </c>
      <c r="B6121" s="2352" t="s">
        <v>18806</v>
      </c>
      <c r="C6121" s="2352" t="s">
        <v>18806</v>
      </c>
      <c r="D6121" s="2352" t="s">
        <v>18853</v>
      </c>
      <c r="E6121" s="355">
        <v>100</v>
      </c>
      <c r="F6121" s="1662">
        <v>0</v>
      </c>
    </row>
    <row r="6122" spans="1:6" ht="15" customHeight="1" x14ac:dyDescent="0.25">
      <c r="A6122" s="2352" t="s">
        <v>3824</v>
      </c>
      <c r="B6122" s="2352" t="s">
        <v>18806</v>
      </c>
      <c r="C6122" s="2352" t="s">
        <v>18806</v>
      </c>
      <c r="D6122" s="2352" t="s">
        <v>18854</v>
      </c>
      <c r="E6122" s="355">
        <v>100</v>
      </c>
      <c r="F6122" s="1662">
        <v>0</v>
      </c>
    </row>
    <row r="6123" spans="1:6" ht="15" customHeight="1" x14ac:dyDescent="0.25">
      <c r="A6123" s="2352" t="s">
        <v>3824</v>
      </c>
      <c r="B6123" s="2352" t="s">
        <v>18806</v>
      </c>
      <c r="C6123" s="2352" t="s">
        <v>18806</v>
      </c>
      <c r="D6123" s="2352" t="s">
        <v>18855</v>
      </c>
      <c r="E6123" s="355">
        <v>400</v>
      </c>
      <c r="F6123" s="1662">
        <v>186</v>
      </c>
    </row>
    <row r="6124" spans="1:6" ht="15" customHeight="1" x14ac:dyDescent="0.25">
      <c r="A6124" s="2352" t="s">
        <v>18856</v>
      </c>
      <c r="B6124" s="2352" t="s">
        <v>18806</v>
      </c>
      <c r="C6124" s="2352" t="s">
        <v>18806</v>
      </c>
      <c r="D6124" s="2352" t="s">
        <v>18857</v>
      </c>
      <c r="E6124" s="355">
        <v>40</v>
      </c>
      <c r="F6124" s="1662">
        <v>0</v>
      </c>
    </row>
    <row r="6125" spans="1:6" ht="15" customHeight="1" x14ac:dyDescent="0.25">
      <c r="A6125" s="2352" t="s">
        <v>18858</v>
      </c>
      <c r="B6125" s="2352" t="s">
        <v>18806</v>
      </c>
      <c r="C6125" s="2352" t="s">
        <v>18806</v>
      </c>
      <c r="D6125" s="2352" t="s">
        <v>18859</v>
      </c>
      <c r="E6125" s="355">
        <v>40</v>
      </c>
      <c r="F6125" s="1662">
        <v>23</v>
      </c>
    </row>
    <row r="6126" spans="1:6" ht="15" customHeight="1" x14ac:dyDescent="0.25">
      <c r="A6126" s="2352" t="s">
        <v>14516</v>
      </c>
      <c r="B6126" s="2352" t="s">
        <v>18806</v>
      </c>
      <c r="C6126" s="2352" t="s">
        <v>18806</v>
      </c>
      <c r="D6126" s="2352" t="s">
        <v>18860</v>
      </c>
      <c r="E6126" s="355">
        <v>250</v>
      </c>
      <c r="F6126" s="1662">
        <v>0</v>
      </c>
    </row>
    <row r="6127" spans="1:6" ht="15" customHeight="1" x14ac:dyDescent="0.25">
      <c r="A6127" s="2352" t="s">
        <v>18861</v>
      </c>
      <c r="B6127" s="2352" t="s">
        <v>18806</v>
      </c>
      <c r="C6127" s="2352" t="s">
        <v>18806</v>
      </c>
      <c r="D6127" s="2352" t="s">
        <v>18862</v>
      </c>
      <c r="E6127" s="355">
        <v>63</v>
      </c>
      <c r="F6127" s="1662">
        <v>0</v>
      </c>
    </row>
    <row r="6128" spans="1:6" ht="15" customHeight="1" x14ac:dyDescent="0.25">
      <c r="A6128" s="2352" t="s">
        <v>14516</v>
      </c>
      <c r="B6128" s="2352" t="s">
        <v>18806</v>
      </c>
      <c r="C6128" s="2352" t="s">
        <v>18806</v>
      </c>
      <c r="D6128" s="2352" t="s">
        <v>18863</v>
      </c>
      <c r="E6128" s="355">
        <v>63</v>
      </c>
      <c r="F6128" s="1662">
        <v>0</v>
      </c>
    </row>
    <row r="6129" spans="1:6" ht="15" customHeight="1" x14ac:dyDescent="0.25">
      <c r="A6129" s="2352" t="s">
        <v>16445</v>
      </c>
      <c r="B6129" s="2352" t="s">
        <v>18806</v>
      </c>
      <c r="C6129" s="2352" t="s">
        <v>18806</v>
      </c>
      <c r="D6129" s="2352" t="s">
        <v>18864</v>
      </c>
      <c r="E6129" s="355">
        <v>100</v>
      </c>
      <c r="F6129" s="1662">
        <v>0</v>
      </c>
    </row>
    <row r="6130" spans="1:6" ht="15" customHeight="1" x14ac:dyDescent="0.25">
      <c r="A6130" s="2352" t="s">
        <v>16021</v>
      </c>
      <c r="B6130" s="2352" t="s">
        <v>18806</v>
      </c>
      <c r="C6130" s="2352" t="s">
        <v>18806</v>
      </c>
      <c r="D6130" s="2352" t="s">
        <v>18865</v>
      </c>
      <c r="E6130" s="355">
        <v>100</v>
      </c>
      <c r="F6130" s="1662">
        <v>0</v>
      </c>
    </row>
    <row r="6131" spans="1:6" ht="15" customHeight="1" x14ac:dyDescent="0.25">
      <c r="A6131" s="2352" t="s">
        <v>16021</v>
      </c>
      <c r="B6131" s="2352" t="s">
        <v>18806</v>
      </c>
      <c r="C6131" s="2352" t="s">
        <v>18806</v>
      </c>
      <c r="D6131" s="2352" t="s">
        <v>18866</v>
      </c>
      <c r="E6131" s="355">
        <v>160</v>
      </c>
      <c r="F6131" s="1662">
        <v>160</v>
      </c>
    </row>
    <row r="6132" spans="1:6" ht="15" customHeight="1" x14ac:dyDescent="0.25">
      <c r="A6132" s="2352" t="s">
        <v>18867</v>
      </c>
      <c r="B6132" s="2352" t="s">
        <v>18806</v>
      </c>
      <c r="C6132" s="2352" t="s">
        <v>18806</v>
      </c>
      <c r="D6132" s="2352" t="s">
        <v>18868</v>
      </c>
      <c r="E6132" s="355">
        <v>25</v>
      </c>
      <c r="F6132" s="1662">
        <v>0</v>
      </c>
    </row>
    <row r="6133" spans="1:6" ht="15" customHeight="1" x14ac:dyDescent="0.25">
      <c r="A6133" s="2352" t="s">
        <v>18869</v>
      </c>
      <c r="B6133" s="2352" t="s">
        <v>18806</v>
      </c>
      <c r="C6133" s="2352" t="s">
        <v>18806</v>
      </c>
      <c r="D6133" s="2352" t="s">
        <v>18870</v>
      </c>
      <c r="E6133" s="355">
        <v>40</v>
      </c>
      <c r="F6133" s="1662">
        <v>0</v>
      </c>
    </row>
    <row r="6134" spans="1:6" ht="15" customHeight="1" x14ac:dyDescent="0.25">
      <c r="A6134" s="2352" t="s">
        <v>18869</v>
      </c>
      <c r="B6134" s="2352" t="s">
        <v>18806</v>
      </c>
      <c r="C6134" s="2352" t="s">
        <v>18806</v>
      </c>
      <c r="D6134" s="2352" t="s">
        <v>18871</v>
      </c>
      <c r="E6134" s="355">
        <v>100</v>
      </c>
      <c r="F6134" s="1662">
        <v>0</v>
      </c>
    </row>
    <row r="6135" spans="1:6" ht="15" customHeight="1" x14ac:dyDescent="0.25">
      <c r="A6135" s="2352" t="s">
        <v>6512</v>
      </c>
      <c r="B6135" s="2352" t="s">
        <v>18806</v>
      </c>
      <c r="C6135" s="2352" t="s">
        <v>18806</v>
      </c>
      <c r="D6135" s="2352" t="s">
        <v>18872</v>
      </c>
      <c r="E6135" s="355">
        <v>30</v>
      </c>
      <c r="F6135" s="1662">
        <v>0</v>
      </c>
    </row>
    <row r="6136" spans="1:6" ht="15" customHeight="1" x14ac:dyDescent="0.25">
      <c r="A6136" s="2352" t="s">
        <v>18873</v>
      </c>
      <c r="B6136" s="2352" t="s">
        <v>18806</v>
      </c>
      <c r="C6136" s="2352" t="s">
        <v>18806</v>
      </c>
      <c r="D6136" s="2352" t="s">
        <v>18874</v>
      </c>
      <c r="E6136" s="355">
        <v>60</v>
      </c>
      <c r="F6136" s="1662">
        <v>0</v>
      </c>
    </row>
    <row r="6137" spans="1:6" ht="15" customHeight="1" x14ac:dyDescent="0.25">
      <c r="A6137" s="2352" t="s">
        <v>18875</v>
      </c>
      <c r="B6137" s="2352" t="s">
        <v>18806</v>
      </c>
      <c r="C6137" s="2352" t="s">
        <v>18806</v>
      </c>
      <c r="D6137" s="2352" t="s">
        <v>18876</v>
      </c>
      <c r="E6137" s="355">
        <v>160</v>
      </c>
      <c r="F6137" s="1662">
        <v>29</v>
      </c>
    </row>
    <row r="6138" spans="1:6" ht="15" customHeight="1" x14ac:dyDescent="0.25">
      <c r="A6138" s="2352" t="s">
        <v>18873</v>
      </c>
      <c r="B6138" s="2352" t="s">
        <v>18806</v>
      </c>
      <c r="C6138" s="2352" t="s">
        <v>18806</v>
      </c>
      <c r="D6138" s="2352" t="s">
        <v>18877</v>
      </c>
      <c r="E6138" s="355">
        <v>250</v>
      </c>
      <c r="F6138" s="1662">
        <v>250</v>
      </c>
    </row>
    <row r="6139" spans="1:6" ht="15" customHeight="1" x14ac:dyDescent="0.25">
      <c r="A6139" s="2352" t="s">
        <v>3824</v>
      </c>
      <c r="B6139" s="2352" t="s">
        <v>18806</v>
      </c>
      <c r="C6139" s="2352" t="s">
        <v>18806</v>
      </c>
      <c r="D6139" s="2352" t="s">
        <v>18878</v>
      </c>
      <c r="E6139" s="355">
        <v>320</v>
      </c>
      <c r="F6139" s="1662">
        <v>23</v>
      </c>
    </row>
    <row r="6140" spans="1:6" ht="15" customHeight="1" x14ac:dyDescent="0.25">
      <c r="A6140" s="2352" t="s">
        <v>3824</v>
      </c>
      <c r="B6140" s="2352" t="s">
        <v>18806</v>
      </c>
      <c r="C6140" s="2352" t="s">
        <v>18806</v>
      </c>
      <c r="D6140" s="2352" t="s">
        <v>18879</v>
      </c>
      <c r="E6140" s="355">
        <v>100</v>
      </c>
      <c r="F6140" s="1662">
        <v>0</v>
      </c>
    </row>
    <row r="6141" spans="1:6" ht="15" customHeight="1" x14ac:dyDescent="0.25">
      <c r="A6141" s="2352" t="s">
        <v>18880</v>
      </c>
      <c r="B6141" s="2352" t="s">
        <v>18806</v>
      </c>
      <c r="C6141" s="2352" t="s">
        <v>18806</v>
      </c>
      <c r="D6141" s="2352" t="s">
        <v>18881</v>
      </c>
      <c r="E6141" s="355">
        <v>40</v>
      </c>
      <c r="F6141" s="1662">
        <v>5</v>
      </c>
    </row>
    <row r="6142" spans="1:6" ht="15" customHeight="1" x14ac:dyDescent="0.25">
      <c r="A6142" s="2352" t="s">
        <v>18882</v>
      </c>
      <c r="B6142" s="2352" t="s">
        <v>18806</v>
      </c>
      <c r="C6142" s="2352" t="s">
        <v>18806</v>
      </c>
      <c r="D6142" s="2352" t="s">
        <v>18883</v>
      </c>
      <c r="E6142" s="355">
        <v>160</v>
      </c>
      <c r="F6142" s="1662">
        <v>84</v>
      </c>
    </row>
    <row r="6143" spans="1:6" ht="15" customHeight="1" x14ac:dyDescent="0.25">
      <c r="A6143" s="2352" t="s">
        <v>18884</v>
      </c>
      <c r="B6143" s="2352" t="s">
        <v>18806</v>
      </c>
      <c r="C6143" s="2352" t="s">
        <v>18806</v>
      </c>
      <c r="D6143" s="2352" t="s">
        <v>18885</v>
      </c>
      <c r="E6143" s="355">
        <v>160</v>
      </c>
      <c r="F6143" s="1662">
        <v>0</v>
      </c>
    </row>
    <row r="6144" spans="1:6" ht="15" customHeight="1" x14ac:dyDescent="0.25">
      <c r="A6144" s="2352" t="s">
        <v>18886</v>
      </c>
      <c r="B6144" s="2352" t="s">
        <v>18806</v>
      </c>
      <c r="C6144" s="2352" t="s">
        <v>18806</v>
      </c>
      <c r="D6144" s="2352" t="s">
        <v>18887</v>
      </c>
      <c r="E6144" s="355">
        <v>250</v>
      </c>
      <c r="F6144" s="1662">
        <v>250</v>
      </c>
    </row>
    <row r="6145" spans="1:6" ht="15" customHeight="1" x14ac:dyDescent="0.25">
      <c r="A6145" s="2352" t="s">
        <v>18886</v>
      </c>
      <c r="B6145" s="2352" t="s">
        <v>18806</v>
      </c>
      <c r="C6145" s="2352" t="s">
        <v>18806</v>
      </c>
      <c r="D6145" s="2352" t="s">
        <v>18888</v>
      </c>
      <c r="E6145" s="355">
        <v>400</v>
      </c>
      <c r="F6145" s="1662">
        <v>182</v>
      </c>
    </row>
    <row r="6146" spans="1:6" ht="15" customHeight="1" x14ac:dyDescent="0.25">
      <c r="A6146" s="2352" t="s">
        <v>18886</v>
      </c>
      <c r="B6146" s="2352" t="s">
        <v>18806</v>
      </c>
      <c r="C6146" s="2352" t="s">
        <v>18806</v>
      </c>
      <c r="D6146" s="2352" t="s">
        <v>18889</v>
      </c>
      <c r="E6146" s="355">
        <v>400</v>
      </c>
      <c r="F6146" s="1662">
        <v>87</v>
      </c>
    </row>
    <row r="6147" spans="1:6" ht="15" customHeight="1" x14ac:dyDescent="0.25">
      <c r="A6147" s="2352" t="s">
        <v>18886</v>
      </c>
      <c r="B6147" s="2352" t="s">
        <v>18806</v>
      </c>
      <c r="C6147" s="2352" t="s">
        <v>18806</v>
      </c>
      <c r="D6147" s="2352" t="s">
        <v>18890</v>
      </c>
      <c r="E6147" s="355">
        <v>100</v>
      </c>
      <c r="F6147" s="1662">
        <v>42</v>
      </c>
    </row>
    <row r="6148" spans="1:6" ht="15" customHeight="1" x14ac:dyDescent="0.25">
      <c r="A6148" s="2352" t="s">
        <v>18886</v>
      </c>
      <c r="B6148" s="2352" t="s">
        <v>18806</v>
      </c>
      <c r="C6148" s="2352" t="s">
        <v>18806</v>
      </c>
      <c r="D6148" s="2352" t="s">
        <v>18891</v>
      </c>
      <c r="E6148" s="355">
        <v>100</v>
      </c>
      <c r="F6148" s="1662">
        <v>0</v>
      </c>
    </row>
    <row r="6149" spans="1:6" ht="15" customHeight="1" x14ac:dyDescent="0.25">
      <c r="A6149" s="2352" t="s">
        <v>18892</v>
      </c>
      <c r="B6149" s="2352" t="s">
        <v>18806</v>
      </c>
      <c r="C6149" s="2352" t="s">
        <v>18806</v>
      </c>
      <c r="D6149" s="2352" t="s">
        <v>18893</v>
      </c>
      <c r="E6149" s="355">
        <v>63</v>
      </c>
      <c r="F6149" s="1662">
        <v>44</v>
      </c>
    </row>
    <row r="6150" spans="1:6" ht="15" customHeight="1" x14ac:dyDescent="0.25">
      <c r="A6150" s="2352" t="s">
        <v>18894</v>
      </c>
      <c r="B6150" s="2352" t="s">
        <v>18806</v>
      </c>
      <c r="C6150" s="2352" t="s">
        <v>18806</v>
      </c>
      <c r="D6150" s="2352" t="s">
        <v>18895</v>
      </c>
      <c r="E6150" s="355">
        <v>63</v>
      </c>
      <c r="F6150" s="1662">
        <v>46</v>
      </c>
    </row>
    <row r="6151" spans="1:6" ht="15" customHeight="1" x14ac:dyDescent="0.25">
      <c r="A6151" s="2352" t="s">
        <v>18896</v>
      </c>
      <c r="B6151" s="2352" t="s">
        <v>18806</v>
      </c>
      <c r="C6151" s="2352" t="s">
        <v>18806</v>
      </c>
      <c r="D6151" s="2352" t="s">
        <v>18897</v>
      </c>
      <c r="E6151" s="355">
        <v>160</v>
      </c>
      <c r="F6151" s="1662">
        <v>113</v>
      </c>
    </row>
    <row r="6152" spans="1:6" ht="15" customHeight="1" x14ac:dyDescent="0.25">
      <c r="A6152" s="2352" t="s">
        <v>3698</v>
      </c>
      <c r="B6152" s="2352" t="s">
        <v>18806</v>
      </c>
      <c r="C6152" s="2352" t="s">
        <v>18806</v>
      </c>
      <c r="D6152" s="2352" t="s">
        <v>12884</v>
      </c>
      <c r="E6152" s="355">
        <v>250</v>
      </c>
      <c r="F6152" s="1662">
        <v>241</v>
      </c>
    </row>
    <row r="6153" spans="1:6" ht="15" customHeight="1" x14ac:dyDescent="0.25">
      <c r="A6153" s="2352" t="s">
        <v>18898</v>
      </c>
      <c r="B6153" s="2352" t="s">
        <v>18806</v>
      </c>
      <c r="C6153" s="2352" t="s">
        <v>18806</v>
      </c>
      <c r="D6153" s="2352" t="s">
        <v>18899</v>
      </c>
      <c r="E6153" s="355">
        <v>30</v>
      </c>
      <c r="F6153" s="1662">
        <v>12</v>
      </c>
    </row>
    <row r="6154" spans="1:6" ht="15" customHeight="1" x14ac:dyDescent="0.25">
      <c r="A6154" s="2352" t="s">
        <v>13698</v>
      </c>
      <c r="B6154" s="2352" t="s">
        <v>18806</v>
      </c>
      <c r="C6154" s="2352" t="s">
        <v>18806</v>
      </c>
      <c r="D6154" s="2352" t="s">
        <v>12713</v>
      </c>
      <c r="E6154" s="355">
        <v>100</v>
      </c>
      <c r="F6154" s="1662">
        <v>37</v>
      </c>
    </row>
    <row r="6155" spans="1:6" ht="15" customHeight="1" x14ac:dyDescent="0.25">
      <c r="A6155" s="2352" t="s">
        <v>3918</v>
      </c>
      <c r="B6155" s="2352" t="s">
        <v>18806</v>
      </c>
      <c r="C6155" s="2352" t="s">
        <v>18806</v>
      </c>
      <c r="D6155" s="2352" t="s">
        <v>18900</v>
      </c>
      <c r="E6155" s="355">
        <v>30</v>
      </c>
      <c r="F6155" s="1662">
        <v>4</v>
      </c>
    </row>
    <row r="6156" spans="1:6" ht="15" customHeight="1" x14ac:dyDescent="0.25">
      <c r="A6156" s="2352" t="s">
        <v>18901</v>
      </c>
      <c r="B6156" s="2352" t="s">
        <v>18806</v>
      </c>
      <c r="C6156" s="2352" t="s">
        <v>18806</v>
      </c>
      <c r="D6156" s="2352" t="s">
        <v>18902</v>
      </c>
      <c r="E6156" s="355">
        <v>160</v>
      </c>
      <c r="F6156" s="1662">
        <v>160</v>
      </c>
    </row>
    <row r="6157" spans="1:6" ht="15" customHeight="1" x14ac:dyDescent="0.25">
      <c r="A6157" s="2352" t="s">
        <v>18901</v>
      </c>
      <c r="B6157" s="2352" t="s">
        <v>18806</v>
      </c>
      <c r="C6157" s="2352" t="s">
        <v>18806</v>
      </c>
      <c r="D6157" s="2352" t="s">
        <v>18903</v>
      </c>
      <c r="E6157" s="355">
        <v>100</v>
      </c>
      <c r="F6157" s="1662">
        <v>0</v>
      </c>
    </row>
    <row r="6158" spans="1:6" ht="15" customHeight="1" x14ac:dyDescent="0.25">
      <c r="A6158" s="2352" t="s">
        <v>18904</v>
      </c>
      <c r="B6158" s="2352" t="s">
        <v>18806</v>
      </c>
      <c r="C6158" s="2352" t="s">
        <v>18806</v>
      </c>
      <c r="D6158" s="2352" t="s">
        <v>18905</v>
      </c>
      <c r="E6158" s="355">
        <v>160</v>
      </c>
      <c r="F6158" s="1662">
        <v>141</v>
      </c>
    </row>
    <row r="6159" spans="1:6" ht="15" customHeight="1" x14ac:dyDescent="0.25">
      <c r="A6159" s="2352" t="s">
        <v>18906</v>
      </c>
      <c r="B6159" s="2352" t="s">
        <v>18806</v>
      </c>
      <c r="C6159" s="2352" t="s">
        <v>18806</v>
      </c>
      <c r="D6159" s="2352" t="s">
        <v>18907</v>
      </c>
      <c r="E6159" s="355">
        <v>400</v>
      </c>
      <c r="F6159" s="1662">
        <v>157</v>
      </c>
    </row>
    <row r="6160" spans="1:6" ht="15" customHeight="1" x14ac:dyDescent="0.25">
      <c r="A6160" s="2352" t="s">
        <v>18906</v>
      </c>
      <c r="B6160" s="2352" t="s">
        <v>18806</v>
      </c>
      <c r="C6160" s="2352" t="s">
        <v>18806</v>
      </c>
      <c r="D6160" s="2352" t="s">
        <v>18908</v>
      </c>
      <c r="E6160" s="355">
        <v>160</v>
      </c>
      <c r="F6160" s="1662">
        <v>134</v>
      </c>
    </row>
    <row r="6161" spans="1:6" ht="15" customHeight="1" x14ac:dyDescent="0.25">
      <c r="A6161" s="2352" t="s">
        <v>18909</v>
      </c>
      <c r="B6161" s="2352" t="s">
        <v>18806</v>
      </c>
      <c r="C6161" s="2352" t="s">
        <v>18806</v>
      </c>
      <c r="D6161" s="2352" t="s">
        <v>18910</v>
      </c>
      <c r="E6161" s="355">
        <v>63</v>
      </c>
      <c r="F6161" s="1662">
        <v>7</v>
      </c>
    </row>
    <row r="6162" spans="1:6" ht="15" customHeight="1" x14ac:dyDescent="0.25">
      <c r="A6162" s="2352" t="s">
        <v>18911</v>
      </c>
      <c r="B6162" s="2352" t="s">
        <v>18806</v>
      </c>
      <c r="C6162" s="2352" t="s">
        <v>18806</v>
      </c>
      <c r="D6162" s="2352" t="s">
        <v>18912</v>
      </c>
      <c r="E6162" s="355">
        <v>100</v>
      </c>
      <c r="F6162" s="1662">
        <v>16</v>
      </c>
    </row>
    <row r="6163" spans="1:6" ht="15" customHeight="1" x14ac:dyDescent="0.25">
      <c r="A6163" s="2352" t="s">
        <v>18913</v>
      </c>
      <c r="B6163" s="2352" t="s">
        <v>18806</v>
      </c>
      <c r="C6163" s="2352" t="s">
        <v>18806</v>
      </c>
      <c r="D6163" s="2352" t="s">
        <v>18914</v>
      </c>
      <c r="E6163" s="355">
        <v>250</v>
      </c>
      <c r="F6163" s="1662">
        <v>201</v>
      </c>
    </row>
    <row r="6164" spans="1:6" ht="15" customHeight="1" x14ac:dyDescent="0.25">
      <c r="A6164" s="2352" t="s">
        <v>18808</v>
      </c>
      <c r="B6164" s="2352" t="s">
        <v>18806</v>
      </c>
      <c r="C6164" s="2352" t="s">
        <v>18806</v>
      </c>
      <c r="D6164" s="2352" t="s">
        <v>6092</v>
      </c>
      <c r="E6164" s="355">
        <v>250</v>
      </c>
      <c r="F6164" s="1662">
        <v>181</v>
      </c>
    </row>
    <row r="6165" spans="1:6" ht="15" customHeight="1" x14ac:dyDescent="0.25">
      <c r="A6165" s="2352" t="s">
        <v>18808</v>
      </c>
      <c r="B6165" s="2352" t="s">
        <v>18806</v>
      </c>
      <c r="C6165" s="2352" t="s">
        <v>18806</v>
      </c>
      <c r="D6165" s="2352" t="s">
        <v>18915</v>
      </c>
      <c r="E6165" s="355">
        <v>400</v>
      </c>
      <c r="F6165" s="1662">
        <v>0</v>
      </c>
    </row>
    <row r="6166" spans="1:6" ht="15" customHeight="1" x14ac:dyDescent="0.25">
      <c r="A6166" s="2352" t="s">
        <v>18808</v>
      </c>
      <c r="B6166" s="2352" t="s">
        <v>18806</v>
      </c>
      <c r="C6166" s="2352" t="s">
        <v>18806</v>
      </c>
      <c r="D6166" s="2352" t="s">
        <v>18916</v>
      </c>
      <c r="E6166" s="355">
        <v>160</v>
      </c>
      <c r="F6166" s="1662">
        <v>0</v>
      </c>
    </row>
    <row r="6167" spans="1:6" ht="15" customHeight="1" x14ac:dyDescent="0.25">
      <c r="A6167" s="2352" t="s">
        <v>18808</v>
      </c>
      <c r="B6167" s="2352" t="s">
        <v>18806</v>
      </c>
      <c r="C6167" s="2352" t="s">
        <v>18806</v>
      </c>
      <c r="D6167" s="2352" t="s">
        <v>18917</v>
      </c>
      <c r="E6167" s="355">
        <v>160</v>
      </c>
      <c r="F6167" s="1662">
        <v>7</v>
      </c>
    </row>
    <row r="6168" spans="1:6" ht="15" customHeight="1" x14ac:dyDescent="0.25">
      <c r="A6168" s="2352" t="s">
        <v>18808</v>
      </c>
      <c r="B6168" s="2352" t="s">
        <v>18806</v>
      </c>
      <c r="C6168" s="2352" t="s">
        <v>18806</v>
      </c>
      <c r="D6168" s="2352" t="s">
        <v>18918</v>
      </c>
      <c r="E6168" s="355">
        <v>100</v>
      </c>
      <c r="F6168" s="1662">
        <v>0</v>
      </c>
    </row>
    <row r="6169" spans="1:6" ht="15" customHeight="1" x14ac:dyDescent="0.25">
      <c r="A6169" s="2352" t="s">
        <v>18808</v>
      </c>
      <c r="B6169" s="2352" t="s">
        <v>18806</v>
      </c>
      <c r="C6169" s="2352" t="s">
        <v>18806</v>
      </c>
      <c r="D6169" s="2352" t="s">
        <v>18919</v>
      </c>
      <c r="E6169" s="355">
        <v>100</v>
      </c>
      <c r="F6169" s="1662">
        <v>44</v>
      </c>
    </row>
    <row r="6170" spans="1:6" ht="15" customHeight="1" x14ac:dyDescent="0.25">
      <c r="A6170" s="2352" t="s">
        <v>18808</v>
      </c>
      <c r="B6170" s="2352" t="s">
        <v>18806</v>
      </c>
      <c r="C6170" s="2352" t="s">
        <v>18806</v>
      </c>
      <c r="D6170" s="2352" t="s">
        <v>18920</v>
      </c>
      <c r="E6170" s="355">
        <v>400</v>
      </c>
      <c r="F6170" s="1662">
        <v>320</v>
      </c>
    </row>
    <row r="6171" spans="1:6" ht="15" customHeight="1" x14ac:dyDescent="0.25">
      <c r="A6171" s="2352" t="s">
        <v>9389</v>
      </c>
      <c r="B6171" s="2352" t="s">
        <v>18806</v>
      </c>
      <c r="C6171" s="2352" t="s">
        <v>18806</v>
      </c>
      <c r="D6171" s="2352" t="s">
        <v>18921</v>
      </c>
      <c r="E6171" s="355">
        <v>63</v>
      </c>
      <c r="F6171" s="1662">
        <v>0</v>
      </c>
    </row>
    <row r="6172" spans="1:6" ht="15" customHeight="1" x14ac:dyDescent="0.25">
      <c r="A6172" s="2352" t="s">
        <v>18922</v>
      </c>
      <c r="B6172" s="2352" t="s">
        <v>18806</v>
      </c>
      <c r="C6172" s="2352" t="s">
        <v>18806</v>
      </c>
      <c r="D6172" s="2352" t="s">
        <v>18923</v>
      </c>
      <c r="E6172" s="355">
        <v>400</v>
      </c>
      <c r="F6172" s="1662">
        <v>342</v>
      </c>
    </row>
    <row r="6173" spans="1:6" ht="15" customHeight="1" x14ac:dyDescent="0.25">
      <c r="A6173" s="2352" t="s">
        <v>18922</v>
      </c>
      <c r="B6173" s="2352" t="s">
        <v>18806</v>
      </c>
      <c r="C6173" s="2352" t="s">
        <v>18806</v>
      </c>
      <c r="D6173" s="2352" t="s">
        <v>18924</v>
      </c>
      <c r="E6173" s="355">
        <v>400</v>
      </c>
      <c r="F6173" s="1662">
        <v>360</v>
      </c>
    </row>
    <row r="6174" spans="1:6" ht="15" customHeight="1" x14ac:dyDescent="0.25">
      <c r="A6174" s="2352" t="s">
        <v>14500</v>
      </c>
      <c r="B6174" s="2352" t="s">
        <v>18806</v>
      </c>
      <c r="C6174" s="2352" t="s">
        <v>18806</v>
      </c>
      <c r="D6174" s="2352" t="s">
        <v>18925</v>
      </c>
      <c r="E6174" s="355">
        <v>160</v>
      </c>
      <c r="F6174" s="1662">
        <v>117</v>
      </c>
    </row>
    <row r="6175" spans="1:6" ht="15" customHeight="1" x14ac:dyDescent="0.25">
      <c r="A6175" s="2352" t="s">
        <v>14500</v>
      </c>
      <c r="B6175" s="2352" t="s">
        <v>18806</v>
      </c>
      <c r="C6175" s="2352" t="s">
        <v>18806</v>
      </c>
      <c r="D6175" s="2352" t="s">
        <v>18926</v>
      </c>
      <c r="E6175" s="355">
        <v>100</v>
      </c>
      <c r="F6175" s="1662">
        <v>74</v>
      </c>
    </row>
    <row r="6176" spans="1:6" ht="15" customHeight="1" x14ac:dyDescent="0.25">
      <c r="A6176" s="2352" t="s">
        <v>18927</v>
      </c>
      <c r="B6176" s="2352" t="s">
        <v>18806</v>
      </c>
      <c r="C6176" s="2352" t="s">
        <v>18806</v>
      </c>
      <c r="D6176" s="2352" t="s">
        <v>18928</v>
      </c>
      <c r="E6176" s="355">
        <v>40</v>
      </c>
      <c r="F6176" s="1662">
        <v>0</v>
      </c>
    </row>
    <row r="6177" spans="1:6" ht="15" customHeight="1" x14ac:dyDescent="0.25">
      <c r="A6177" s="2352" t="s">
        <v>18929</v>
      </c>
      <c r="B6177" s="2352" t="s">
        <v>18806</v>
      </c>
      <c r="C6177" s="2352" t="s">
        <v>18806</v>
      </c>
      <c r="D6177" s="2352" t="s">
        <v>18930</v>
      </c>
      <c r="E6177" s="355">
        <v>30</v>
      </c>
      <c r="F6177" s="1662">
        <v>0</v>
      </c>
    </row>
    <row r="6178" spans="1:6" ht="15" customHeight="1" x14ac:dyDescent="0.25">
      <c r="A6178" s="2352" t="s">
        <v>18931</v>
      </c>
      <c r="B6178" s="2352" t="s">
        <v>18806</v>
      </c>
      <c r="C6178" s="2352" t="s">
        <v>18806</v>
      </c>
      <c r="D6178" s="2352" t="s">
        <v>18932</v>
      </c>
      <c r="E6178" s="355">
        <v>250</v>
      </c>
      <c r="F6178" s="1662">
        <v>231</v>
      </c>
    </row>
    <row r="6179" spans="1:6" ht="15" customHeight="1" x14ac:dyDescent="0.25">
      <c r="A6179" s="2352" t="s">
        <v>6506</v>
      </c>
      <c r="B6179" s="2352" t="s">
        <v>18806</v>
      </c>
      <c r="C6179" s="2352" t="s">
        <v>18806</v>
      </c>
      <c r="D6179" s="2352" t="s">
        <v>6505</v>
      </c>
      <c r="E6179" s="355">
        <v>30</v>
      </c>
      <c r="F6179" s="1662">
        <v>0</v>
      </c>
    </row>
    <row r="6180" spans="1:6" ht="15" customHeight="1" x14ac:dyDescent="0.25">
      <c r="A6180" s="2352" t="s">
        <v>18933</v>
      </c>
      <c r="B6180" s="2352" t="s">
        <v>18806</v>
      </c>
      <c r="C6180" s="2352" t="s">
        <v>18806</v>
      </c>
      <c r="D6180" s="2352" t="s">
        <v>18934</v>
      </c>
      <c r="E6180" s="355">
        <v>30</v>
      </c>
      <c r="F6180" s="1662">
        <v>0</v>
      </c>
    </row>
    <row r="6181" spans="1:6" ht="15" customHeight="1" x14ac:dyDescent="0.25">
      <c r="A6181" s="2352" t="s">
        <v>18935</v>
      </c>
      <c r="B6181" s="2352" t="s">
        <v>18806</v>
      </c>
      <c r="C6181" s="2352" t="s">
        <v>18806</v>
      </c>
      <c r="D6181" s="2352" t="s">
        <v>18936</v>
      </c>
      <c r="E6181" s="355">
        <v>30</v>
      </c>
      <c r="F6181" s="1662">
        <v>0</v>
      </c>
    </row>
    <row r="6182" spans="1:6" ht="15" customHeight="1" x14ac:dyDescent="0.25">
      <c r="A6182" s="2352" t="s">
        <v>9419</v>
      </c>
      <c r="B6182" s="2352" t="s">
        <v>18806</v>
      </c>
      <c r="C6182" s="2352" t="s">
        <v>18806</v>
      </c>
      <c r="D6182" s="2352" t="s">
        <v>18937</v>
      </c>
      <c r="E6182" s="355">
        <v>63</v>
      </c>
      <c r="F6182" s="1662">
        <v>0</v>
      </c>
    </row>
    <row r="6183" spans="1:6" ht="15" customHeight="1" x14ac:dyDescent="0.25">
      <c r="A6183" s="2352" t="s">
        <v>18938</v>
      </c>
      <c r="B6183" s="2352" t="s">
        <v>18806</v>
      </c>
      <c r="C6183" s="2352" t="s">
        <v>18806</v>
      </c>
      <c r="D6183" s="2352" t="s">
        <v>18939</v>
      </c>
      <c r="E6183" s="355">
        <v>250</v>
      </c>
      <c r="F6183" s="1662">
        <v>61</v>
      </c>
    </row>
    <row r="6184" spans="1:6" ht="15" customHeight="1" x14ac:dyDescent="0.25">
      <c r="A6184" s="2352" t="s">
        <v>18938</v>
      </c>
      <c r="B6184" s="2352" t="s">
        <v>18806</v>
      </c>
      <c r="C6184" s="2352" t="s">
        <v>18806</v>
      </c>
      <c r="D6184" s="2352" t="s">
        <v>18940</v>
      </c>
      <c r="E6184" s="355">
        <v>100</v>
      </c>
      <c r="F6184" s="1662">
        <v>0</v>
      </c>
    </row>
    <row r="6185" spans="1:6" ht="15" customHeight="1" x14ac:dyDescent="0.25">
      <c r="A6185" s="2352" t="s">
        <v>18941</v>
      </c>
      <c r="B6185" s="2352" t="s">
        <v>18806</v>
      </c>
      <c r="C6185" s="2352" t="s">
        <v>18806</v>
      </c>
      <c r="D6185" s="2352" t="s">
        <v>18942</v>
      </c>
      <c r="E6185" s="355">
        <v>160</v>
      </c>
      <c r="F6185" s="1662">
        <v>0</v>
      </c>
    </row>
    <row r="6186" spans="1:6" ht="15" customHeight="1" x14ac:dyDescent="0.25">
      <c r="A6186" s="2352" t="s">
        <v>18941</v>
      </c>
      <c r="B6186" s="2352" t="s">
        <v>18806</v>
      </c>
      <c r="C6186" s="2352" t="s">
        <v>18806</v>
      </c>
      <c r="D6186" s="2352" t="s">
        <v>18943</v>
      </c>
      <c r="E6186" s="355">
        <v>160</v>
      </c>
      <c r="F6186" s="1662">
        <v>102</v>
      </c>
    </row>
    <row r="6187" spans="1:6" ht="15" customHeight="1" x14ac:dyDescent="0.25">
      <c r="A6187" s="2352" t="s">
        <v>18944</v>
      </c>
      <c r="B6187" s="2352" t="s">
        <v>18806</v>
      </c>
      <c r="C6187" s="2352" t="s">
        <v>18806</v>
      </c>
      <c r="D6187" s="2352" t="s">
        <v>18945</v>
      </c>
      <c r="E6187" s="355">
        <v>60</v>
      </c>
      <c r="F6187" s="1662">
        <v>4</v>
      </c>
    </row>
    <row r="6188" spans="1:6" ht="15" customHeight="1" x14ac:dyDescent="0.25">
      <c r="A6188" s="2352" t="s">
        <v>18946</v>
      </c>
      <c r="B6188" s="2352" t="s">
        <v>18806</v>
      </c>
      <c r="C6188" s="2352" t="s">
        <v>18806</v>
      </c>
      <c r="D6188" s="2352" t="s">
        <v>18947</v>
      </c>
      <c r="E6188" s="355">
        <v>30</v>
      </c>
      <c r="F6188" s="1662">
        <v>0</v>
      </c>
    </row>
    <row r="6189" spans="1:6" ht="15" customHeight="1" x14ac:dyDescent="0.25">
      <c r="A6189" s="2352" t="s">
        <v>18948</v>
      </c>
      <c r="B6189" s="2352" t="s">
        <v>18806</v>
      </c>
      <c r="C6189" s="2352" t="s">
        <v>18806</v>
      </c>
      <c r="D6189" s="2352" t="s">
        <v>18949</v>
      </c>
      <c r="E6189" s="355">
        <v>60</v>
      </c>
      <c r="F6189" s="1662">
        <v>0</v>
      </c>
    </row>
    <row r="6190" spans="1:6" ht="15" customHeight="1" x14ac:dyDescent="0.25">
      <c r="A6190" s="2352" t="s">
        <v>18950</v>
      </c>
      <c r="B6190" s="2352" t="s">
        <v>18806</v>
      </c>
      <c r="C6190" s="2352" t="s">
        <v>18806</v>
      </c>
      <c r="D6190" s="2352" t="s">
        <v>18951</v>
      </c>
      <c r="E6190" s="355">
        <v>60</v>
      </c>
      <c r="F6190" s="1662">
        <v>0</v>
      </c>
    </row>
    <row r="6191" spans="1:6" ht="15" customHeight="1" x14ac:dyDescent="0.25">
      <c r="A6191" s="2352" t="s">
        <v>18952</v>
      </c>
      <c r="B6191" s="2352" t="s">
        <v>18806</v>
      </c>
      <c r="C6191" s="2352" t="s">
        <v>18806</v>
      </c>
      <c r="D6191" s="2352" t="s">
        <v>18953</v>
      </c>
      <c r="E6191" s="355">
        <v>60</v>
      </c>
      <c r="F6191" s="1662">
        <v>0</v>
      </c>
    </row>
    <row r="6192" spans="1:6" ht="15" customHeight="1" x14ac:dyDescent="0.25">
      <c r="A6192" s="2352" t="s">
        <v>14991</v>
      </c>
      <c r="B6192" s="2352" t="s">
        <v>18806</v>
      </c>
      <c r="C6192" s="2352" t="s">
        <v>18806</v>
      </c>
      <c r="D6192" s="2352" t="s">
        <v>6126</v>
      </c>
      <c r="E6192" s="355">
        <v>60</v>
      </c>
      <c r="F6192" s="1662">
        <v>0</v>
      </c>
    </row>
    <row r="6193" spans="1:6" ht="15" customHeight="1" x14ac:dyDescent="0.25">
      <c r="A6193" s="2352" t="s">
        <v>18954</v>
      </c>
      <c r="B6193" s="2352" t="s">
        <v>18806</v>
      </c>
      <c r="C6193" s="2352" t="s">
        <v>18806</v>
      </c>
      <c r="D6193" s="2352" t="s">
        <v>18955</v>
      </c>
      <c r="E6193" s="355">
        <v>100</v>
      </c>
      <c r="F6193" s="1662">
        <v>19</v>
      </c>
    </row>
    <row r="6194" spans="1:6" ht="15" customHeight="1" x14ac:dyDescent="0.25">
      <c r="A6194" s="2352" t="s">
        <v>18950</v>
      </c>
      <c r="B6194" s="2352" t="s">
        <v>18806</v>
      </c>
      <c r="C6194" s="2352" t="s">
        <v>18806</v>
      </c>
      <c r="D6194" s="2352" t="s">
        <v>18956</v>
      </c>
      <c r="E6194" s="355">
        <v>160</v>
      </c>
      <c r="F6194" s="1662">
        <v>68</v>
      </c>
    </row>
    <row r="6195" spans="1:6" ht="15" customHeight="1" x14ac:dyDescent="0.25">
      <c r="A6195" s="2352" t="s">
        <v>18950</v>
      </c>
      <c r="B6195" s="2352" t="s">
        <v>18806</v>
      </c>
      <c r="C6195" s="2352" t="s">
        <v>18806</v>
      </c>
      <c r="D6195" s="2352" t="s">
        <v>18957</v>
      </c>
      <c r="E6195" s="355">
        <v>160</v>
      </c>
      <c r="F6195" s="1662">
        <v>0</v>
      </c>
    </row>
    <row r="6196" spans="1:6" ht="15" customHeight="1" x14ac:dyDescent="0.25">
      <c r="A6196" s="2352" t="s">
        <v>6417</v>
      </c>
      <c r="B6196" s="2352" t="s">
        <v>18806</v>
      </c>
      <c r="C6196" s="2352" t="s">
        <v>18806</v>
      </c>
      <c r="D6196" s="2352" t="s">
        <v>15269</v>
      </c>
      <c r="E6196" s="355">
        <v>250</v>
      </c>
      <c r="F6196" s="1662">
        <v>170</v>
      </c>
    </row>
    <row r="6197" spans="1:6" ht="15" customHeight="1" x14ac:dyDescent="0.25">
      <c r="A6197" s="2352" t="s">
        <v>18958</v>
      </c>
      <c r="B6197" s="2352" t="s">
        <v>18806</v>
      </c>
      <c r="C6197" s="2352" t="s">
        <v>18806</v>
      </c>
      <c r="D6197" s="2352" t="s">
        <v>18959</v>
      </c>
      <c r="E6197" s="355">
        <v>250</v>
      </c>
      <c r="F6197" s="1662">
        <v>121</v>
      </c>
    </row>
    <row r="6198" spans="1:6" ht="15" customHeight="1" x14ac:dyDescent="0.25">
      <c r="A6198" s="2352" t="s">
        <v>4802</v>
      </c>
      <c r="B6198" s="2352" t="s">
        <v>18806</v>
      </c>
      <c r="C6198" s="2352" t="s">
        <v>18806</v>
      </c>
      <c r="D6198" s="2352" t="s">
        <v>18960</v>
      </c>
      <c r="E6198" s="355">
        <v>60</v>
      </c>
      <c r="F6198" s="1662">
        <v>0</v>
      </c>
    </row>
    <row r="6199" spans="1:6" ht="15" customHeight="1" x14ac:dyDescent="0.25">
      <c r="A6199" s="2352" t="s">
        <v>18950</v>
      </c>
      <c r="B6199" s="2352" t="s">
        <v>18806</v>
      </c>
      <c r="C6199" s="2352" t="s">
        <v>18806</v>
      </c>
      <c r="D6199" s="2352" t="s">
        <v>18961</v>
      </c>
      <c r="E6199" s="355">
        <v>60</v>
      </c>
      <c r="F6199" s="1662">
        <v>0</v>
      </c>
    </row>
    <row r="6200" spans="1:6" ht="15" customHeight="1" x14ac:dyDescent="0.25">
      <c r="A6200" s="2352" t="s">
        <v>18950</v>
      </c>
      <c r="B6200" s="2352" t="s">
        <v>18806</v>
      </c>
      <c r="C6200" s="2352" t="s">
        <v>18806</v>
      </c>
      <c r="D6200" s="2352" t="s">
        <v>18962</v>
      </c>
      <c r="E6200" s="355">
        <v>100</v>
      </c>
      <c r="F6200" s="1662">
        <v>0</v>
      </c>
    </row>
    <row r="6201" spans="1:6" ht="15" customHeight="1" x14ac:dyDescent="0.25">
      <c r="A6201" s="2352" t="s">
        <v>10562</v>
      </c>
      <c r="B6201" s="2352" t="s">
        <v>18806</v>
      </c>
      <c r="C6201" s="2352" t="s">
        <v>18806</v>
      </c>
      <c r="D6201" s="2352" t="s">
        <v>18963</v>
      </c>
      <c r="E6201" s="355">
        <v>100</v>
      </c>
      <c r="F6201" s="1662">
        <v>27</v>
      </c>
    </row>
    <row r="6202" spans="1:6" ht="15" customHeight="1" x14ac:dyDescent="0.25">
      <c r="A6202" s="2352" t="s">
        <v>18964</v>
      </c>
      <c r="B6202" s="2352" t="s">
        <v>18806</v>
      </c>
      <c r="C6202" s="2352" t="s">
        <v>18806</v>
      </c>
      <c r="D6202" s="2352" t="s">
        <v>18965</v>
      </c>
      <c r="E6202" s="355">
        <v>25</v>
      </c>
      <c r="F6202" s="1662">
        <v>0</v>
      </c>
    </row>
    <row r="6203" spans="1:6" ht="15" customHeight="1" x14ac:dyDescent="0.25">
      <c r="A6203" s="2352" t="s">
        <v>18966</v>
      </c>
      <c r="B6203" s="2352" t="s">
        <v>18806</v>
      </c>
      <c r="C6203" s="2352" t="s">
        <v>18806</v>
      </c>
      <c r="D6203" s="2352" t="s">
        <v>18967</v>
      </c>
      <c r="E6203" s="355">
        <v>60</v>
      </c>
      <c r="F6203" s="1662">
        <v>0</v>
      </c>
    </row>
    <row r="6204" spans="1:6" ht="15" customHeight="1" x14ac:dyDescent="0.25">
      <c r="A6204" s="2352" t="s">
        <v>5307</v>
      </c>
      <c r="B6204" s="2352" t="s">
        <v>18806</v>
      </c>
      <c r="C6204" s="2352" t="s">
        <v>18806</v>
      </c>
      <c r="D6204" s="2352" t="s">
        <v>18968</v>
      </c>
      <c r="E6204" s="355">
        <v>160</v>
      </c>
      <c r="F6204" s="1662">
        <v>11</v>
      </c>
    </row>
    <row r="6205" spans="1:6" ht="15" customHeight="1" x14ac:dyDescent="0.25">
      <c r="A6205" s="2352" t="s">
        <v>5307</v>
      </c>
      <c r="B6205" s="2352" t="s">
        <v>18806</v>
      </c>
      <c r="C6205" s="2352" t="s">
        <v>18806</v>
      </c>
      <c r="D6205" s="2352" t="s">
        <v>18969</v>
      </c>
      <c r="E6205" s="355">
        <v>100</v>
      </c>
      <c r="F6205" s="1662">
        <v>100</v>
      </c>
    </row>
    <row r="6206" spans="1:6" ht="15" customHeight="1" x14ac:dyDescent="0.25">
      <c r="A6206" s="2352" t="s">
        <v>18970</v>
      </c>
      <c r="B6206" s="2352" t="s">
        <v>18806</v>
      </c>
      <c r="C6206" s="2352" t="s">
        <v>18806</v>
      </c>
      <c r="D6206" s="2352" t="s">
        <v>18971</v>
      </c>
      <c r="E6206" s="355">
        <v>400</v>
      </c>
      <c r="F6206" s="1662">
        <v>400</v>
      </c>
    </row>
    <row r="6207" spans="1:6" ht="15" customHeight="1" x14ac:dyDescent="0.25">
      <c r="A6207" s="2352" t="s">
        <v>18970</v>
      </c>
      <c r="B6207" s="2352" t="s">
        <v>18806</v>
      </c>
      <c r="C6207" s="2352" t="s">
        <v>18806</v>
      </c>
      <c r="D6207" s="2352" t="s">
        <v>18972</v>
      </c>
      <c r="E6207" s="355">
        <v>100</v>
      </c>
      <c r="F6207" s="1662">
        <v>82</v>
      </c>
    </row>
    <row r="6208" spans="1:6" ht="15" customHeight="1" x14ac:dyDescent="0.25">
      <c r="A6208" s="2352" t="s">
        <v>18970</v>
      </c>
      <c r="B6208" s="2352" t="s">
        <v>18806</v>
      </c>
      <c r="C6208" s="2352" t="s">
        <v>18806</v>
      </c>
      <c r="D6208" s="2352" t="s">
        <v>18973</v>
      </c>
      <c r="E6208" s="355">
        <v>100</v>
      </c>
      <c r="F6208" s="1662">
        <v>0</v>
      </c>
    </row>
    <row r="6209" spans="1:6" ht="15" customHeight="1" x14ac:dyDescent="0.25">
      <c r="A6209" s="2352" t="s">
        <v>18970</v>
      </c>
      <c r="B6209" s="2352" t="s">
        <v>18806</v>
      </c>
      <c r="C6209" s="2352" t="s">
        <v>18806</v>
      </c>
      <c r="D6209" s="2352" t="s">
        <v>18974</v>
      </c>
      <c r="E6209" s="355">
        <v>100</v>
      </c>
      <c r="F6209" s="1662">
        <v>82</v>
      </c>
    </row>
    <row r="6210" spans="1:6" ht="15" customHeight="1" x14ac:dyDescent="0.25">
      <c r="A6210" s="2352" t="s">
        <v>18970</v>
      </c>
      <c r="B6210" s="2352" t="s">
        <v>18806</v>
      </c>
      <c r="C6210" s="2352" t="s">
        <v>18806</v>
      </c>
      <c r="D6210" s="2352" t="s">
        <v>18975</v>
      </c>
      <c r="E6210" s="355">
        <v>160</v>
      </c>
      <c r="F6210" s="1662">
        <v>137</v>
      </c>
    </row>
    <row r="6211" spans="1:6" ht="15" customHeight="1" x14ac:dyDescent="0.25">
      <c r="A6211" s="2352" t="s">
        <v>18970</v>
      </c>
      <c r="B6211" s="2352" t="s">
        <v>18806</v>
      </c>
      <c r="C6211" s="2352" t="s">
        <v>18806</v>
      </c>
      <c r="D6211" s="2352" t="s">
        <v>18976</v>
      </c>
      <c r="E6211" s="355">
        <v>250</v>
      </c>
      <c r="F6211" s="1662">
        <v>24</v>
      </c>
    </row>
    <row r="6212" spans="1:6" ht="15" customHeight="1" x14ac:dyDescent="0.25">
      <c r="A6212" s="2352" t="s">
        <v>15104</v>
      </c>
      <c r="B6212" s="2352" t="s">
        <v>18806</v>
      </c>
      <c r="C6212" s="2352" t="s">
        <v>18806</v>
      </c>
      <c r="D6212" s="2352" t="s">
        <v>18977</v>
      </c>
      <c r="E6212" s="355">
        <v>60</v>
      </c>
      <c r="F6212" s="1662">
        <v>14</v>
      </c>
    </row>
    <row r="6213" spans="1:6" ht="15" customHeight="1" x14ac:dyDescent="0.25">
      <c r="A6213" s="2352" t="s">
        <v>18978</v>
      </c>
      <c r="B6213" s="2352" t="s">
        <v>18806</v>
      </c>
      <c r="C6213" s="2352" t="s">
        <v>18806</v>
      </c>
      <c r="D6213" s="2352" t="s">
        <v>18979</v>
      </c>
      <c r="E6213" s="355">
        <v>30</v>
      </c>
      <c r="F6213" s="1662">
        <v>27</v>
      </c>
    </row>
    <row r="6214" spans="1:6" ht="15" customHeight="1" x14ac:dyDescent="0.25">
      <c r="A6214" s="2352" t="s">
        <v>18980</v>
      </c>
      <c r="B6214" s="2352" t="s">
        <v>18806</v>
      </c>
      <c r="C6214" s="2352" t="s">
        <v>18806</v>
      </c>
      <c r="D6214" s="2352" t="s">
        <v>18981</v>
      </c>
      <c r="E6214" s="355">
        <v>160</v>
      </c>
      <c r="F6214" s="1662">
        <v>74</v>
      </c>
    </row>
    <row r="6215" spans="1:6" ht="15" customHeight="1" x14ac:dyDescent="0.25">
      <c r="A6215" s="2352" t="s">
        <v>18970</v>
      </c>
      <c r="B6215" s="2352" t="s">
        <v>18806</v>
      </c>
      <c r="C6215" s="2352" t="s">
        <v>18806</v>
      </c>
      <c r="D6215" s="2352" t="s">
        <v>18982</v>
      </c>
      <c r="E6215" s="355">
        <v>160</v>
      </c>
      <c r="F6215" s="1662">
        <v>102</v>
      </c>
    </row>
    <row r="6216" spans="1:6" ht="15" customHeight="1" x14ac:dyDescent="0.25">
      <c r="A6216" s="2352" t="s">
        <v>18983</v>
      </c>
      <c r="B6216" s="2352" t="s">
        <v>18806</v>
      </c>
      <c r="C6216" s="2352" t="s">
        <v>18806</v>
      </c>
      <c r="D6216" s="2352" t="s">
        <v>18984</v>
      </c>
      <c r="E6216" s="355">
        <v>60</v>
      </c>
      <c r="F6216" s="1662">
        <v>0</v>
      </c>
    </row>
    <row r="6217" spans="1:6" ht="15" customHeight="1" x14ac:dyDescent="0.25">
      <c r="A6217" s="2352" t="s">
        <v>18985</v>
      </c>
      <c r="B6217" s="2352" t="s">
        <v>18806</v>
      </c>
      <c r="C6217" s="2352" t="s">
        <v>18806</v>
      </c>
      <c r="D6217" s="2352" t="s">
        <v>18986</v>
      </c>
      <c r="E6217" s="355">
        <v>400</v>
      </c>
      <c r="F6217" s="1662">
        <v>361</v>
      </c>
    </row>
    <row r="6218" spans="1:6" ht="15" customHeight="1" x14ac:dyDescent="0.25">
      <c r="A6218" s="2352" t="s">
        <v>18987</v>
      </c>
      <c r="B6218" s="2352" t="s">
        <v>18806</v>
      </c>
      <c r="C6218" s="2352" t="s">
        <v>18806</v>
      </c>
      <c r="D6218" s="2352" t="s">
        <v>18988</v>
      </c>
      <c r="E6218" s="355">
        <v>100</v>
      </c>
      <c r="F6218" s="1662">
        <v>0</v>
      </c>
    </row>
    <row r="6219" spans="1:6" ht="15" customHeight="1" x14ac:dyDescent="0.25">
      <c r="A6219" s="2352" t="s">
        <v>18989</v>
      </c>
      <c r="B6219" s="2352" t="s">
        <v>18806</v>
      </c>
      <c r="C6219" s="2352" t="s">
        <v>18806</v>
      </c>
      <c r="D6219" s="2352" t="s">
        <v>18990</v>
      </c>
      <c r="E6219" s="355">
        <v>25</v>
      </c>
      <c r="F6219" s="1662">
        <v>0</v>
      </c>
    </row>
    <row r="6220" spans="1:6" ht="15" customHeight="1" x14ac:dyDescent="0.25">
      <c r="A6220" s="2352" t="s">
        <v>6795</v>
      </c>
      <c r="B6220" s="2352" t="s">
        <v>18806</v>
      </c>
      <c r="C6220" s="2352" t="s">
        <v>18806</v>
      </c>
      <c r="D6220" s="2352" t="s">
        <v>18991</v>
      </c>
      <c r="E6220" s="355">
        <v>30</v>
      </c>
      <c r="F6220" s="1662">
        <v>0</v>
      </c>
    </row>
    <row r="6221" spans="1:6" ht="15" customHeight="1" x14ac:dyDescent="0.25">
      <c r="A6221" s="2352" t="s">
        <v>18992</v>
      </c>
      <c r="B6221" s="2352" t="s">
        <v>18806</v>
      </c>
      <c r="C6221" s="2352" t="s">
        <v>18806</v>
      </c>
      <c r="D6221" s="2352" t="s">
        <v>18993</v>
      </c>
      <c r="E6221" s="355">
        <v>160</v>
      </c>
      <c r="F6221" s="1662">
        <v>160</v>
      </c>
    </row>
    <row r="6222" spans="1:6" ht="15" customHeight="1" x14ac:dyDescent="0.25">
      <c r="A6222" s="2352" t="s">
        <v>18994</v>
      </c>
      <c r="B6222" s="2352" t="s">
        <v>18806</v>
      </c>
      <c r="C6222" s="2352" t="s">
        <v>18806</v>
      </c>
      <c r="D6222" s="2352" t="s">
        <v>18995</v>
      </c>
      <c r="E6222" s="355">
        <v>63</v>
      </c>
      <c r="F6222" s="1662">
        <v>0</v>
      </c>
    </row>
    <row r="6223" spans="1:6" ht="15" customHeight="1" x14ac:dyDescent="0.25">
      <c r="A6223" s="2352" t="s">
        <v>18996</v>
      </c>
      <c r="B6223" s="2352" t="s">
        <v>18806</v>
      </c>
      <c r="C6223" s="2352" t="s">
        <v>18806</v>
      </c>
      <c r="D6223" s="2352" t="s">
        <v>18997</v>
      </c>
      <c r="E6223" s="355">
        <v>250</v>
      </c>
      <c r="F6223" s="1662">
        <v>63</v>
      </c>
    </row>
    <row r="6224" spans="1:6" ht="15" customHeight="1" x14ac:dyDescent="0.25">
      <c r="A6224" s="2352" t="s">
        <v>18996</v>
      </c>
      <c r="B6224" s="2352" t="s">
        <v>18806</v>
      </c>
      <c r="C6224" s="2352" t="s">
        <v>18806</v>
      </c>
      <c r="D6224" s="2352" t="s">
        <v>18998</v>
      </c>
      <c r="E6224" s="355">
        <v>100</v>
      </c>
      <c r="F6224" s="1662">
        <v>100</v>
      </c>
    </row>
    <row r="6225" spans="1:6" ht="15" customHeight="1" x14ac:dyDescent="0.25">
      <c r="A6225" s="2352" t="s">
        <v>18996</v>
      </c>
      <c r="B6225" s="2352" t="s">
        <v>18806</v>
      </c>
      <c r="C6225" s="2352" t="s">
        <v>18806</v>
      </c>
      <c r="D6225" s="2352" t="s">
        <v>18999</v>
      </c>
      <c r="E6225" s="355">
        <v>160</v>
      </c>
      <c r="F6225" s="1662">
        <v>81</v>
      </c>
    </row>
    <row r="6226" spans="1:6" ht="15" customHeight="1" x14ac:dyDescent="0.25">
      <c r="A6226" s="2352" t="s">
        <v>19000</v>
      </c>
      <c r="B6226" s="2352" t="s">
        <v>18806</v>
      </c>
      <c r="C6226" s="2352" t="s">
        <v>18806</v>
      </c>
      <c r="D6226" s="2352" t="s">
        <v>19001</v>
      </c>
      <c r="E6226" s="355">
        <v>30</v>
      </c>
      <c r="F6226" s="1662">
        <v>0</v>
      </c>
    </row>
    <row r="6227" spans="1:6" ht="15" customHeight="1" x14ac:dyDescent="0.25">
      <c r="A6227" s="2352" t="s">
        <v>19002</v>
      </c>
      <c r="B6227" s="2352" t="s">
        <v>18806</v>
      </c>
      <c r="C6227" s="2352" t="s">
        <v>18806</v>
      </c>
      <c r="D6227" s="2352" t="s">
        <v>19003</v>
      </c>
      <c r="E6227" s="355">
        <v>63</v>
      </c>
      <c r="F6227" s="1662">
        <v>0</v>
      </c>
    </row>
    <row r="6228" spans="1:6" ht="15" customHeight="1" x14ac:dyDescent="0.25">
      <c r="A6228" s="2352" t="s">
        <v>19004</v>
      </c>
      <c r="B6228" s="2352" t="s">
        <v>18806</v>
      </c>
      <c r="C6228" s="2352" t="s">
        <v>18806</v>
      </c>
      <c r="D6228" s="2352" t="s">
        <v>19005</v>
      </c>
      <c r="E6228" s="355">
        <v>30</v>
      </c>
      <c r="F6228" s="1662">
        <v>27</v>
      </c>
    </row>
    <row r="6229" spans="1:6" ht="15" customHeight="1" x14ac:dyDescent="0.25">
      <c r="A6229" s="2352" t="s">
        <v>19006</v>
      </c>
      <c r="B6229" s="2352" t="s">
        <v>18806</v>
      </c>
      <c r="C6229" s="2352" t="s">
        <v>18806</v>
      </c>
      <c r="D6229" s="2352" t="s">
        <v>19007</v>
      </c>
      <c r="E6229" s="355">
        <v>25</v>
      </c>
      <c r="F6229" s="1662">
        <v>0</v>
      </c>
    </row>
    <row r="6230" spans="1:6" ht="15" customHeight="1" x14ac:dyDescent="0.25">
      <c r="A6230" s="2352" t="s">
        <v>15884</v>
      </c>
      <c r="B6230" s="2352" t="s">
        <v>18806</v>
      </c>
      <c r="C6230" s="2352" t="s">
        <v>18806</v>
      </c>
      <c r="D6230" s="2352" t="s">
        <v>19008</v>
      </c>
      <c r="E6230" s="355">
        <v>100</v>
      </c>
      <c r="F6230" s="1662">
        <v>52</v>
      </c>
    </row>
    <row r="6231" spans="1:6" ht="15" customHeight="1" x14ac:dyDescent="0.25">
      <c r="A6231" s="2352" t="s">
        <v>18808</v>
      </c>
      <c r="B6231" s="2352" t="s">
        <v>18806</v>
      </c>
      <c r="C6231" s="2352" t="s">
        <v>18806</v>
      </c>
      <c r="D6231" s="2352" t="s">
        <v>19009</v>
      </c>
      <c r="E6231" s="355">
        <v>250</v>
      </c>
      <c r="F6231" s="1662">
        <v>58</v>
      </c>
    </row>
    <row r="6232" spans="1:6" ht="15" customHeight="1" x14ac:dyDescent="0.25">
      <c r="A6232" s="2352" t="s">
        <v>18808</v>
      </c>
      <c r="B6232" s="2352" t="s">
        <v>18806</v>
      </c>
      <c r="C6232" s="2352" t="s">
        <v>18806</v>
      </c>
      <c r="D6232" s="2352" t="s">
        <v>19010</v>
      </c>
      <c r="E6232" s="355">
        <v>160</v>
      </c>
      <c r="F6232" s="1662">
        <v>131</v>
      </c>
    </row>
    <row r="6233" spans="1:6" ht="15" customHeight="1" x14ac:dyDescent="0.25">
      <c r="A6233" s="2352" t="s">
        <v>19011</v>
      </c>
      <c r="B6233" s="2352" t="s">
        <v>18806</v>
      </c>
      <c r="C6233" s="2352" t="s">
        <v>18806</v>
      </c>
      <c r="D6233" s="2352" t="s">
        <v>19011</v>
      </c>
      <c r="E6233" s="355">
        <v>250</v>
      </c>
      <c r="F6233" s="1662">
        <v>111</v>
      </c>
    </row>
    <row r="6234" spans="1:6" ht="15" customHeight="1" x14ac:dyDescent="0.25">
      <c r="A6234" s="2352" t="s">
        <v>19012</v>
      </c>
      <c r="B6234" s="2352" t="s">
        <v>18806</v>
      </c>
      <c r="C6234" s="2352" t="s">
        <v>18806</v>
      </c>
      <c r="D6234" s="2352" t="s">
        <v>19012</v>
      </c>
      <c r="E6234" s="355">
        <v>100</v>
      </c>
      <c r="F6234" s="1662">
        <v>0</v>
      </c>
    </row>
    <row r="6235" spans="1:6" ht="15" customHeight="1" x14ac:dyDescent="0.25">
      <c r="A6235" s="2352" t="s">
        <v>19013</v>
      </c>
      <c r="B6235" s="2352" t="s">
        <v>18806</v>
      </c>
      <c r="C6235" s="2352" t="s">
        <v>18806</v>
      </c>
      <c r="D6235" s="2352" t="s">
        <v>19013</v>
      </c>
      <c r="E6235" s="355">
        <v>160</v>
      </c>
      <c r="F6235" s="1662">
        <v>127</v>
      </c>
    </row>
    <row r="6236" spans="1:6" ht="15" customHeight="1" x14ac:dyDescent="0.25">
      <c r="A6236" s="2352" t="s">
        <v>19014</v>
      </c>
      <c r="B6236" s="2352" t="s">
        <v>18806</v>
      </c>
      <c r="C6236" s="2352" t="s">
        <v>18806</v>
      </c>
      <c r="D6236" s="2352" t="s">
        <v>19014</v>
      </c>
      <c r="E6236" s="355">
        <v>160</v>
      </c>
      <c r="F6236" s="1662">
        <v>42</v>
      </c>
    </row>
    <row r="6237" spans="1:6" ht="15" customHeight="1" x14ac:dyDescent="0.25">
      <c r="A6237" s="2352" t="s">
        <v>19015</v>
      </c>
      <c r="B6237" s="2352" t="s">
        <v>18806</v>
      </c>
      <c r="C6237" s="2352" t="s">
        <v>18806</v>
      </c>
      <c r="D6237" s="2352" t="s">
        <v>19015</v>
      </c>
      <c r="E6237" s="355">
        <v>60</v>
      </c>
      <c r="F6237" s="1662">
        <v>0</v>
      </c>
    </row>
    <row r="6238" spans="1:6" ht="15" customHeight="1" x14ac:dyDescent="0.25">
      <c r="A6238" s="2352" t="s">
        <v>18808</v>
      </c>
      <c r="B6238" s="2352" t="s">
        <v>18806</v>
      </c>
      <c r="C6238" s="2352" t="s">
        <v>18806</v>
      </c>
      <c r="D6238" s="2352" t="s">
        <v>19016</v>
      </c>
      <c r="E6238" s="355">
        <v>630</v>
      </c>
      <c r="F6238" s="1662">
        <v>620</v>
      </c>
    </row>
    <row r="6239" spans="1:6" ht="15" customHeight="1" x14ac:dyDescent="0.25">
      <c r="A6239" s="2352" t="s">
        <v>18808</v>
      </c>
      <c r="B6239" s="2352" t="s">
        <v>18806</v>
      </c>
      <c r="C6239" s="2352" t="s">
        <v>18806</v>
      </c>
      <c r="D6239" s="2352" t="s">
        <v>19017</v>
      </c>
      <c r="E6239" s="355">
        <v>250</v>
      </c>
      <c r="F6239" s="1662">
        <v>118</v>
      </c>
    </row>
    <row r="6240" spans="1:6" ht="15" customHeight="1" x14ac:dyDescent="0.25">
      <c r="A6240" s="2352" t="s">
        <v>18808</v>
      </c>
      <c r="B6240" s="2352" t="s">
        <v>18806</v>
      </c>
      <c r="C6240" s="2352" t="s">
        <v>18806</v>
      </c>
      <c r="D6240" s="2352" t="s">
        <v>19018</v>
      </c>
      <c r="E6240" s="355">
        <v>250</v>
      </c>
      <c r="F6240" s="1662">
        <v>0</v>
      </c>
    </row>
    <row r="6241" spans="1:6" ht="15" customHeight="1" x14ac:dyDescent="0.25">
      <c r="A6241" s="2352" t="s">
        <v>18808</v>
      </c>
      <c r="B6241" s="2352" t="s">
        <v>18806</v>
      </c>
      <c r="C6241" s="2352" t="s">
        <v>18806</v>
      </c>
      <c r="D6241" s="2352" t="s">
        <v>19019</v>
      </c>
      <c r="E6241" s="355">
        <v>160</v>
      </c>
      <c r="F6241" s="1662">
        <v>0</v>
      </c>
    </row>
    <row r="6242" spans="1:6" ht="15" customHeight="1" x14ac:dyDescent="0.25">
      <c r="A6242" s="2352" t="s">
        <v>18808</v>
      </c>
      <c r="B6242" s="2352" t="s">
        <v>18806</v>
      </c>
      <c r="C6242" s="2352" t="s">
        <v>18806</v>
      </c>
      <c r="D6242" s="2352" t="s">
        <v>19020</v>
      </c>
      <c r="E6242" s="355">
        <v>250</v>
      </c>
      <c r="F6242" s="1662">
        <v>93</v>
      </c>
    </row>
    <row r="6243" spans="1:6" ht="15" customHeight="1" x14ac:dyDescent="0.25">
      <c r="A6243" s="2352" t="s">
        <v>19021</v>
      </c>
      <c r="B6243" s="2352" t="s">
        <v>18806</v>
      </c>
      <c r="C6243" s="2352" t="s">
        <v>18806</v>
      </c>
      <c r="D6243" s="2352" t="s">
        <v>19021</v>
      </c>
      <c r="E6243" s="355">
        <v>160</v>
      </c>
      <c r="F6243" s="1662">
        <v>160</v>
      </c>
    </row>
    <row r="6244" spans="1:6" ht="15" customHeight="1" x14ac:dyDescent="0.25">
      <c r="A6244" s="2352" t="s">
        <v>18808</v>
      </c>
      <c r="B6244" s="2352" t="s">
        <v>18806</v>
      </c>
      <c r="C6244" s="2352" t="s">
        <v>18806</v>
      </c>
      <c r="D6244" s="2352" t="s">
        <v>19022</v>
      </c>
      <c r="E6244" s="355">
        <v>100</v>
      </c>
      <c r="F6244" s="1662">
        <v>47</v>
      </c>
    </row>
    <row r="6245" spans="1:6" ht="15" customHeight="1" x14ac:dyDescent="0.25">
      <c r="A6245" s="2352" t="s">
        <v>18808</v>
      </c>
      <c r="B6245" s="2352" t="s">
        <v>18806</v>
      </c>
      <c r="C6245" s="2352" t="s">
        <v>18806</v>
      </c>
      <c r="D6245" s="2352" t="s">
        <v>19023</v>
      </c>
      <c r="E6245" s="355">
        <v>250</v>
      </c>
      <c r="F6245" s="1662">
        <v>0</v>
      </c>
    </row>
    <row r="6246" spans="1:6" ht="15" customHeight="1" x14ac:dyDescent="0.25">
      <c r="A6246" s="2352" t="s">
        <v>18808</v>
      </c>
      <c r="B6246" s="2352" t="s">
        <v>18806</v>
      </c>
      <c r="C6246" s="2352" t="s">
        <v>18806</v>
      </c>
      <c r="D6246" s="2352" t="s">
        <v>19024</v>
      </c>
      <c r="E6246" s="355">
        <v>160</v>
      </c>
      <c r="F6246" s="1662">
        <v>57</v>
      </c>
    </row>
    <row r="6247" spans="1:6" ht="15" customHeight="1" x14ac:dyDescent="0.25">
      <c r="A6247" s="2352" t="s">
        <v>18808</v>
      </c>
      <c r="B6247" s="2352" t="s">
        <v>18806</v>
      </c>
      <c r="C6247" s="2352" t="s">
        <v>18806</v>
      </c>
      <c r="D6247" s="2352" t="s">
        <v>19025</v>
      </c>
      <c r="E6247" s="355">
        <v>400</v>
      </c>
      <c r="F6247" s="1662">
        <v>0</v>
      </c>
    </row>
    <row r="6248" spans="1:6" ht="15" customHeight="1" x14ac:dyDescent="0.25">
      <c r="A6248" s="2352" t="s">
        <v>18808</v>
      </c>
      <c r="B6248" s="2352" t="s">
        <v>18806</v>
      </c>
      <c r="C6248" s="2352" t="s">
        <v>18806</v>
      </c>
      <c r="D6248" s="2352" t="s">
        <v>19026</v>
      </c>
      <c r="E6248" s="355">
        <v>30</v>
      </c>
      <c r="F6248" s="1662">
        <v>11</v>
      </c>
    </row>
    <row r="6249" spans="1:6" ht="15" customHeight="1" x14ac:dyDescent="0.25">
      <c r="A6249" s="2352" t="s">
        <v>18808</v>
      </c>
      <c r="B6249" s="2352" t="s">
        <v>18806</v>
      </c>
      <c r="C6249" s="2352" t="s">
        <v>18806</v>
      </c>
      <c r="D6249" s="2352" t="s">
        <v>19027</v>
      </c>
      <c r="E6249" s="355">
        <v>160</v>
      </c>
      <c r="F6249" s="1662">
        <v>0</v>
      </c>
    </row>
    <row r="6250" spans="1:6" ht="15" customHeight="1" x14ac:dyDescent="0.25">
      <c r="A6250" s="2352" t="s">
        <v>18808</v>
      </c>
      <c r="B6250" s="2352" t="s">
        <v>18806</v>
      </c>
      <c r="C6250" s="2352" t="s">
        <v>18806</v>
      </c>
      <c r="D6250" s="2352" t="s">
        <v>19028</v>
      </c>
      <c r="E6250" s="355">
        <v>630</v>
      </c>
      <c r="F6250" s="1662">
        <v>271</v>
      </c>
    </row>
    <row r="6251" spans="1:6" ht="15" customHeight="1" x14ac:dyDescent="0.25">
      <c r="A6251" s="2352"/>
      <c r="B6251" s="2352" t="s">
        <v>18806</v>
      </c>
      <c r="C6251" s="2352" t="s">
        <v>18806</v>
      </c>
      <c r="D6251" s="2352"/>
      <c r="E6251" s="355">
        <v>250</v>
      </c>
      <c r="F6251" s="1662">
        <v>68</v>
      </c>
    </row>
    <row r="6252" spans="1:6" ht="15" customHeight="1" x14ac:dyDescent="0.25">
      <c r="A6252" s="2352" t="s">
        <v>18808</v>
      </c>
      <c r="B6252" s="2352" t="s">
        <v>18806</v>
      </c>
      <c r="C6252" s="2352" t="s">
        <v>18806</v>
      </c>
      <c r="D6252" s="2352" t="s">
        <v>19029</v>
      </c>
      <c r="E6252" s="355">
        <v>63</v>
      </c>
      <c r="F6252" s="1662">
        <v>0</v>
      </c>
    </row>
    <row r="6253" spans="1:6" ht="15" customHeight="1" x14ac:dyDescent="0.25">
      <c r="A6253" s="2352" t="s">
        <v>18808</v>
      </c>
      <c r="B6253" s="2352" t="s">
        <v>18806</v>
      </c>
      <c r="C6253" s="2352" t="s">
        <v>18806</v>
      </c>
      <c r="D6253" s="2352" t="s">
        <v>19030</v>
      </c>
      <c r="E6253" s="355">
        <v>160</v>
      </c>
      <c r="F6253" s="1662">
        <v>0</v>
      </c>
    </row>
    <row r="6254" spans="1:6" ht="15" customHeight="1" x14ac:dyDescent="0.25">
      <c r="A6254" s="2352" t="s">
        <v>18808</v>
      </c>
      <c r="B6254" s="2352" t="s">
        <v>18806</v>
      </c>
      <c r="C6254" s="2352" t="s">
        <v>18806</v>
      </c>
      <c r="D6254" s="2352" t="s">
        <v>19031</v>
      </c>
      <c r="E6254" s="355">
        <v>160</v>
      </c>
      <c r="F6254" s="1662">
        <v>0</v>
      </c>
    </row>
    <row r="6255" spans="1:6" ht="15" customHeight="1" x14ac:dyDescent="0.25">
      <c r="A6255" s="2352" t="s">
        <v>18808</v>
      </c>
      <c r="B6255" s="2352" t="s">
        <v>18806</v>
      </c>
      <c r="C6255" s="2352" t="s">
        <v>18806</v>
      </c>
      <c r="D6255" s="2352" t="s">
        <v>19032</v>
      </c>
      <c r="E6255" s="355">
        <v>250</v>
      </c>
      <c r="F6255" s="1662">
        <v>0</v>
      </c>
    </row>
    <row r="6256" spans="1:6" ht="15" customHeight="1" x14ac:dyDescent="0.25">
      <c r="A6256" s="2352" t="s">
        <v>4153</v>
      </c>
      <c r="B6256" s="2352" t="s">
        <v>18806</v>
      </c>
      <c r="C6256" s="2352" t="s">
        <v>18806</v>
      </c>
      <c r="D6256" s="2352" t="s">
        <v>6840</v>
      </c>
      <c r="E6256" s="355">
        <v>63</v>
      </c>
      <c r="F6256" s="1662">
        <v>0</v>
      </c>
    </row>
    <row r="6257" spans="1:6" ht="15" customHeight="1" x14ac:dyDescent="0.25">
      <c r="A6257" s="2352" t="s">
        <v>19033</v>
      </c>
      <c r="B6257" s="2352" t="s">
        <v>18806</v>
      </c>
      <c r="C6257" s="2352" t="s">
        <v>18806</v>
      </c>
      <c r="D6257" s="2352" t="s">
        <v>19034</v>
      </c>
      <c r="E6257" s="355">
        <v>63</v>
      </c>
      <c r="F6257" s="1662">
        <v>0</v>
      </c>
    </row>
    <row r="6258" spans="1:6" ht="15" customHeight="1" x14ac:dyDescent="0.25">
      <c r="A6258" s="2352" t="s">
        <v>19035</v>
      </c>
      <c r="B6258" s="2352" t="s">
        <v>18806</v>
      </c>
      <c r="C6258" s="2352" t="s">
        <v>18806</v>
      </c>
      <c r="D6258" s="2352" t="s">
        <v>19036</v>
      </c>
      <c r="E6258" s="355">
        <v>100</v>
      </c>
      <c r="F6258" s="1662">
        <v>69</v>
      </c>
    </row>
    <row r="6259" spans="1:6" ht="15" customHeight="1" x14ac:dyDescent="0.25">
      <c r="A6259" s="2352" t="s">
        <v>19035</v>
      </c>
      <c r="B6259" s="2352" t="s">
        <v>18806</v>
      </c>
      <c r="C6259" s="2352" t="s">
        <v>18806</v>
      </c>
      <c r="D6259" s="2352" t="s">
        <v>19037</v>
      </c>
      <c r="E6259" s="355">
        <v>160</v>
      </c>
      <c r="F6259" s="1662">
        <v>24</v>
      </c>
    </row>
    <row r="6260" spans="1:6" ht="15" customHeight="1" x14ac:dyDescent="0.25">
      <c r="A6260" s="2352" t="s">
        <v>19038</v>
      </c>
      <c r="B6260" s="2352" t="s">
        <v>18806</v>
      </c>
      <c r="C6260" s="2352" t="s">
        <v>18806</v>
      </c>
      <c r="D6260" s="2352" t="s">
        <v>19039</v>
      </c>
      <c r="E6260" s="355">
        <v>250</v>
      </c>
      <c r="F6260" s="1662">
        <v>72</v>
      </c>
    </row>
    <row r="6261" spans="1:6" ht="15" customHeight="1" x14ac:dyDescent="0.25">
      <c r="A6261" s="2352" t="s">
        <v>19038</v>
      </c>
      <c r="B6261" s="2352" t="s">
        <v>18806</v>
      </c>
      <c r="C6261" s="2352" t="s">
        <v>18806</v>
      </c>
      <c r="D6261" s="2352" t="s">
        <v>19040</v>
      </c>
      <c r="E6261" s="355">
        <v>250</v>
      </c>
      <c r="F6261" s="1662">
        <v>80</v>
      </c>
    </row>
    <row r="6262" spans="1:6" ht="15" customHeight="1" x14ac:dyDescent="0.25">
      <c r="A6262" s="2352" t="s">
        <v>19038</v>
      </c>
      <c r="B6262" s="2352" t="s">
        <v>18806</v>
      </c>
      <c r="C6262" s="2352" t="s">
        <v>18806</v>
      </c>
      <c r="D6262" s="2352" t="s">
        <v>19041</v>
      </c>
      <c r="E6262" s="355">
        <v>160</v>
      </c>
      <c r="F6262" s="1662">
        <v>0</v>
      </c>
    </row>
    <row r="6263" spans="1:6" ht="15" customHeight="1" x14ac:dyDescent="0.25">
      <c r="A6263" s="2352" t="s">
        <v>19038</v>
      </c>
      <c r="B6263" s="2352" t="s">
        <v>18806</v>
      </c>
      <c r="C6263" s="2352" t="s">
        <v>18806</v>
      </c>
      <c r="D6263" s="2352" t="s">
        <v>19042</v>
      </c>
      <c r="E6263" s="355">
        <v>100</v>
      </c>
      <c r="F6263" s="1662">
        <v>0</v>
      </c>
    </row>
    <row r="6264" spans="1:6" ht="15" customHeight="1" x14ac:dyDescent="0.25">
      <c r="A6264" s="2352" t="s">
        <v>19043</v>
      </c>
      <c r="B6264" s="2352" t="s">
        <v>18806</v>
      </c>
      <c r="C6264" s="2352" t="s">
        <v>18806</v>
      </c>
      <c r="D6264" s="2352" t="s">
        <v>19044</v>
      </c>
      <c r="E6264" s="355">
        <v>60</v>
      </c>
      <c r="F6264" s="1662">
        <v>0</v>
      </c>
    </row>
    <row r="6265" spans="1:6" ht="15" customHeight="1" x14ac:dyDescent="0.25">
      <c r="A6265" s="2352" t="s">
        <v>19043</v>
      </c>
      <c r="B6265" s="2352" t="s">
        <v>18806</v>
      </c>
      <c r="C6265" s="2352" t="s">
        <v>18806</v>
      </c>
      <c r="D6265" s="2352" t="s">
        <v>19045</v>
      </c>
      <c r="E6265" s="355">
        <v>63</v>
      </c>
      <c r="F6265" s="1662">
        <v>0</v>
      </c>
    </row>
    <row r="6266" spans="1:6" ht="15" customHeight="1" x14ac:dyDescent="0.25">
      <c r="A6266" s="2352" t="s">
        <v>19038</v>
      </c>
      <c r="B6266" s="2352" t="s">
        <v>18806</v>
      </c>
      <c r="C6266" s="2352" t="s">
        <v>18806</v>
      </c>
      <c r="D6266" s="2352" t="s">
        <v>19046</v>
      </c>
      <c r="E6266" s="355">
        <v>160</v>
      </c>
      <c r="F6266" s="1662">
        <v>0</v>
      </c>
    </row>
    <row r="6267" spans="1:6" ht="15" customHeight="1" x14ac:dyDescent="0.25">
      <c r="A6267" s="2352" t="s">
        <v>19038</v>
      </c>
      <c r="B6267" s="2352" t="s">
        <v>18806</v>
      </c>
      <c r="C6267" s="2352" t="s">
        <v>18806</v>
      </c>
      <c r="D6267" s="2352" t="s">
        <v>19047</v>
      </c>
      <c r="E6267" s="355">
        <v>100</v>
      </c>
      <c r="F6267" s="1662">
        <v>0</v>
      </c>
    </row>
    <row r="6268" spans="1:6" ht="15" customHeight="1" x14ac:dyDescent="0.25">
      <c r="A6268" s="2352" t="s">
        <v>19038</v>
      </c>
      <c r="B6268" s="2352" t="s">
        <v>18806</v>
      </c>
      <c r="C6268" s="2352" t="s">
        <v>18806</v>
      </c>
      <c r="D6268" s="2352" t="s">
        <v>19048</v>
      </c>
      <c r="E6268" s="355">
        <v>160</v>
      </c>
      <c r="F6268" s="1662">
        <v>19</v>
      </c>
    </row>
    <row r="6269" spans="1:6" ht="15" customHeight="1" x14ac:dyDescent="0.25">
      <c r="A6269" s="2352" t="s">
        <v>19038</v>
      </c>
      <c r="B6269" s="2352" t="s">
        <v>18806</v>
      </c>
      <c r="C6269" s="2352" t="s">
        <v>18806</v>
      </c>
      <c r="D6269" s="2352" t="s">
        <v>19049</v>
      </c>
      <c r="E6269" s="355">
        <v>250</v>
      </c>
      <c r="F6269" s="1662">
        <v>21</v>
      </c>
    </row>
    <row r="6270" spans="1:6" ht="15" customHeight="1" x14ac:dyDescent="0.25">
      <c r="A6270" s="2352" t="s">
        <v>19038</v>
      </c>
      <c r="B6270" s="2352" t="s">
        <v>18806</v>
      </c>
      <c r="C6270" s="2352" t="s">
        <v>18806</v>
      </c>
      <c r="D6270" s="2352" t="s">
        <v>19050</v>
      </c>
      <c r="E6270" s="355">
        <v>400</v>
      </c>
      <c r="F6270" s="1662">
        <v>117</v>
      </c>
    </row>
    <row r="6271" spans="1:6" ht="15" customHeight="1" x14ac:dyDescent="0.25">
      <c r="A6271" s="2352" t="s">
        <v>19038</v>
      </c>
      <c r="B6271" s="2352" t="s">
        <v>18806</v>
      </c>
      <c r="C6271" s="2352" t="s">
        <v>18806</v>
      </c>
      <c r="D6271" s="2352" t="s">
        <v>19051</v>
      </c>
      <c r="E6271" s="355">
        <v>100</v>
      </c>
      <c r="F6271" s="1662">
        <v>0</v>
      </c>
    </row>
    <row r="6272" spans="1:6" ht="15" customHeight="1" x14ac:dyDescent="0.25">
      <c r="A6272" s="2352" t="s">
        <v>19038</v>
      </c>
      <c r="B6272" s="2352" t="s">
        <v>18806</v>
      </c>
      <c r="C6272" s="2352" t="s">
        <v>18806</v>
      </c>
      <c r="D6272" s="2352" t="s">
        <v>19052</v>
      </c>
      <c r="E6272" s="355">
        <v>250</v>
      </c>
      <c r="F6272" s="1662">
        <v>68</v>
      </c>
    </row>
    <row r="6273" spans="1:6" ht="15" customHeight="1" x14ac:dyDescent="0.25">
      <c r="A6273" s="2352" t="s">
        <v>19053</v>
      </c>
      <c r="B6273" s="2352" t="s">
        <v>18806</v>
      </c>
      <c r="C6273" s="2352" t="s">
        <v>18806</v>
      </c>
      <c r="D6273" s="2352" t="s">
        <v>13311</v>
      </c>
      <c r="E6273" s="355">
        <v>160</v>
      </c>
      <c r="F6273" s="1662">
        <v>37</v>
      </c>
    </row>
    <row r="6274" spans="1:6" ht="15" customHeight="1" x14ac:dyDescent="0.25">
      <c r="A6274" s="2352" t="s">
        <v>19054</v>
      </c>
      <c r="B6274" s="2352" t="s">
        <v>12374</v>
      </c>
      <c r="C6274" s="2352" t="s">
        <v>18806</v>
      </c>
      <c r="D6274" s="2352" t="s">
        <v>19055</v>
      </c>
      <c r="E6274" s="355">
        <v>250</v>
      </c>
      <c r="F6274" s="1662">
        <v>51</v>
      </c>
    </row>
    <row r="6275" spans="1:6" ht="15" customHeight="1" x14ac:dyDescent="0.25">
      <c r="A6275" s="2352" t="s">
        <v>19054</v>
      </c>
      <c r="B6275" s="2352" t="s">
        <v>12374</v>
      </c>
      <c r="C6275" s="2352" t="s">
        <v>18806</v>
      </c>
      <c r="D6275" s="2352" t="s">
        <v>19056</v>
      </c>
      <c r="E6275" s="355">
        <v>250</v>
      </c>
      <c r="F6275" s="1662">
        <v>73</v>
      </c>
    </row>
    <row r="6276" spans="1:6" ht="15" customHeight="1" x14ac:dyDescent="0.25">
      <c r="A6276" s="2352" t="s">
        <v>19054</v>
      </c>
      <c r="B6276" s="2352" t="s">
        <v>12374</v>
      </c>
      <c r="C6276" s="2352" t="s">
        <v>18806</v>
      </c>
      <c r="D6276" s="2352" t="s">
        <v>19057</v>
      </c>
      <c r="E6276" s="355">
        <v>400</v>
      </c>
      <c r="F6276" s="1662">
        <v>21</v>
      </c>
    </row>
    <row r="6277" spans="1:6" ht="15" customHeight="1" x14ac:dyDescent="0.25">
      <c r="A6277" s="2352" t="s">
        <v>19054</v>
      </c>
      <c r="B6277" s="2352" t="s">
        <v>12374</v>
      </c>
      <c r="C6277" s="2352" t="s">
        <v>18806</v>
      </c>
      <c r="D6277" s="2352" t="s">
        <v>19058</v>
      </c>
      <c r="E6277" s="355">
        <v>250</v>
      </c>
      <c r="F6277" s="1662">
        <v>0</v>
      </c>
    </row>
    <row r="6278" spans="1:6" ht="15" customHeight="1" x14ac:dyDescent="0.25">
      <c r="A6278" s="2352" t="s">
        <v>19054</v>
      </c>
      <c r="B6278" s="2352" t="s">
        <v>12374</v>
      </c>
      <c r="C6278" s="2352" t="s">
        <v>18806</v>
      </c>
      <c r="D6278" s="2352" t="s">
        <v>19059</v>
      </c>
      <c r="E6278" s="355">
        <v>100</v>
      </c>
      <c r="F6278" s="1662">
        <v>0</v>
      </c>
    </row>
    <row r="6279" spans="1:6" ht="15" customHeight="1" x14ac:dyDescent="0.25">
      <c r="A6279" s="2352" t="s">
        <v>19060</v>
      </c>
      <c r="B6279" s="2352" t="s">
        <v>12374</v>
      </c>
      <c r="C6279" s="2352" t="s">
        <v>18806</v>
      </c>
      <c r="D6279" s="2352" t="s">
        <v>19061</v>
      </c>
      <c r="E6279" s="355">
        <v>30</v>
      </c>
      <c r="F6279" s="1662">
        <v>0</v>
      </c>
    </row>
    <row r="6280" spans="1:6" ht="15" customHeight="1" x14ac:dyDescent="0.25">
      <c r="A6280" s="2352" t="s">
        <v>4834</v>
      </c>
      <c r="B6280" s="2352" t="s">
        <v>12374</v>
      </c>
      <c r="C6280" s="2352" t="s">
        <v>18806</v>
      </c>
      <c r="D6280" s="2352" t="s">
        <v>12979</v>
      </c>
      <c r="E6280" s="355">
        <v>160</v>
      </c>
      <c r="F6280" s="1662">
        <v>58</v>
      </c>
    </row>
    <row r="6281" spans="1:6" ht="15" customHeight="1" x14ac:dyDescent="0.25">
      <c r="A6281" s="2352" t="s">
        <v>19062</v>
      </c>
      <c r="B6281" s="2352" t="s">
        <v>12374</v>
      </c>
      <c r="C6281" s="2352" t="s">
        <v>18806</v>
      </c>
      <c r="D6281" s="2352" t="s">
        <v>19063</v>
      </c>
      <c r="E6281" s="355">
        <v>100</v>
      </c>
      <c r="F6281" s="1662">
        <v>0</v>
      </c>
    </row>
    <row r="6282" spans="1:6" ht="15" customHeight="1" x14ac:dyDescent="0.25">
      <c r="A6282" s="2352" t="s">
        <v>19064</v>
      </c>
      <c r="B6282" s="2352" t="s">
        <v>12374</v>
      </c>
      <c r="C6282" s="2352" t="s">
        <v>18806</v>
      </c>
      <c r="D6282" s="2352" t="s">
        <v>19065</v>
      </c>
      <c r="E6282" s="355">
        <v>20</v>
      </c>
      <c r="F6282" s="1662">
        <v>0</v>
      </c>
    </row>
    <row r="6283" spans="1:6" ht="15" customHeight="1" x14ac:dyDescent="0.25">
      <c r="A6283" s="2352" t="s">
        <v>19062</v>
      </c>
      <c r="B6283" s="2352" t="s">
        <v>12374</v>
      </c>
      <c r="C6283" s="2352" t="s">
        <v>18806</v>
      </c>
      <c r="D6283" s="2352" t="s">
        <v>19066</v>
      </c>
      <c r="E6283" s="355">
        <v>400</v>
      </c>
      <c r="F6283" s="1662">
        <v>19</v>
      </c>
    </row>
    <row r="6284" spans="1:6" ht="15" customHeight="1" x14ac:dyDescent="0.25">
      <c r="A6284" s="2352" t="s">
        <v>19067</v>
      </c>
      <c r="B6284" s="2352" t="s">
        <v>12374</v>
      </c>
      <c r="C6284" s="2352" t="s">
        <v>18806</v>
      </c>
      <c r="D6284" s="2352" t="s">
        <v>19068</v>
      </c>
      <c r="E6284" s="355">
        <v>20</v>
      </c>
      <c r="F6284" s="1662">
        <v>0</v>
      </c>
    </row>
    <row r="6285" spans="1:6" ht="15" customHeight="1" x14ac:dyDescent="0.25">
      <c r="A6285" s="2352" t="s">
        <v>19062</v>
      </c>
      <c r="B6285" s="2352" t="s">
        <v>12374</v>
      </c>
      <c r="C6285" s="2352" t="s">
        <v>18806</v>
      </c>
      <c r="D6285" s="2352" t="s">
        <v>19069</v>
      </c>
      <c r="E6285" s="355">
        <v>250</v>
      </c>
      <c r="F6285" s="1662">
        <v>0</v>
      </c>
    </row>
    <row r="6286" spans="1:6" ht="15" customHeight="1" x14ac:dyDescent="0.25">
      <c r="A6286" s="2352" t="s">
        <v>19062</v>
      </c>
      <c r="B6286" s="2352" t="s">
        <v>12374</v>
      </c>
      <c r="C6286" s="2352" t="s">
        <v>18806</v>
      </c>
      <c r="D6286" s="2352" t="s">
        <v>19070</v>
      </c>
      <c r="E6286" s="355">
        <v>250</v>
      </c>
      <c r="F6286" s="1662">
        <v>61</v>
      </c>
    </row>
    <row r="6287" spans="1:6" ht="15" customHeight="1" x14ac:dyDescent="0.25">
      <c r="A6287" s="2352" t="s">
        <v>9511</v>
      </c>
      <c r="B6287" s="2352" t="s">
        <v>12374</v>
      </c>
      <c r="C6287" s="2352" t="s">
        <v>18806</v>
      </c>
      <c r="D6287" s="2352" t="s">
        <v>19071</v>
      </c>
      <c r="E6287" s="355">
        <v>160</v>
      </c>
      <c r="F6287" s="1662">
        <v>84</v>
      </c>
    </row>
    <row r="6288" spans="1:6" ht="15" customHeight="1" x14ac:dyDescent="0.25">
      <c r="A6288" s="2352" t="s">
        <v>19072</v>
      </c>
      <c r="B6288" s="2352" t="s">
        <v>12374</v>
      </c>
      <c r="C6288" s="2352" t="s">
        <v>18806</v>
      </c>
      <c r="D6288" s="2352" t="s">
        <v>19073</v>
      </c>
      <c r="E6288" s="355">
        <v>63</v>
      </c>
      <c r="F6288" s="1662">
        <v>0</v>
      </c>
    </row>
    <row r="6289" spans="1:6" ht="15" customHeight="1" x14ac:dyDescent="0.25">
      <c r="A6289" s="2352" t="s">
        <v>8087</v>
      </c>
      <c r="B6289" s="2352" t="s">
        <v>12374</v>
      </c>
      <c r="C6289" s="2352" t="s">
        <v>18806</v>
      </c>
      <c r="D6289" s="2352" t="s">
        <v>6908</v>
      </c>
      <c r="E6289" s="355">
        <v>63</v>
      </c>
      <c r="F6289" s="1662">
        <v>0</v>
      </c>
    </row>
    <row r="6290" spans="1:6" ht="15" customHeight="1" x14ac:dyDescent="0.25">
      <c r="A6290" s="2352" t="s">
        <v>3980</v>
      </c>
      <c r="B6290" s="2352" t="s">
        <v>12374</v>
      </c>
      <c r="C6290" s="2352" t="s">
        <v>18806</v>
      </c>
      <c r="D6290" s="2352" t="s">
        <v>19074</v>
      </c>
      <c r="E6290" s="355">
        <v>30</v>
      </c>
      <c r="F6290" s="1662">
        <v>0</v>
      </c>
    </row>
    <row r="6291" spans="1:6" ht="15" customHeight="1" x14ac:dyDescent="0.25">
      <c r="A6291" s="2352" t="s">
        <v>19075</v>
      </c>
      <c r="B6291" s="2352" t="s">
        <v>12374</v>
      </c>
      <c r="C6291" s="2352" t="s">
        <v>18806</v>
      </c>
      <c r="D6291" s="2352" t="s">
        <v>19076</v>
      </c>
      <c r="E6291" s="355">
        <v>30</v>
      </c>
      <c r="F6291" s="1662">
        <v>0</v>
      </c>
    </row>
    <row r="6292" spans="1:6" ht="15" customHeight="1" x14ac:dyDescent="0.25">
      <c r="A6292" s="2352" t="s">
        <v>19077</v>
      </c>
      <c r="B6292" s="2352" t="s">
        <v>12374</v>
      </c>
      <c r="C6292" s="2352" t="s">
        <v>18806</v>
      </c>
      <c r="D6292" s="2352" t="s">
        <v>19078</v>
      </c>
      <c r="E6292" s="355">
        <v>20</v>
      </c>
      <c r="F6292" s="1662">
        <v>0</v>
      </c>
    </row>
    <row r="6293" spans="1:6" ht="15" customHeight="1" x14ac:dyDescent="0.25">
      <c r="A6293" s="2352" t="s">
        <v>4297</v>
      </c>
      <c r="B6293" s="2352" t="s">
        <v>12374</v>
      </c>
      <c r="C6293" s="2352" t="s">
        <v>18806</v>
      </c>
      <c r="D6293" s="2352" t="s">
        <v>19079</v>
      </c>
      <c r="E6293" s="355">
        <v>60</v>
      </c>
      <c r="F6293" s="1662">
        <v>0</v>
      </c>
    </row>
    <row r="6294" spans="1:6" ht="15" customHeight="1" x14ac:dyDescent="0.25">
      <c r="A6294" s="2352" t="s">
        <v>19038</v>
      </c>
      <c r="B6294" s="2352" t="s">
        <v>18806</v>
      </c>
      <c r="C6294" s="2352" t="s">
        <v>18806</v>
      </c>
      <c r="D6294" s="2352" t="s">
        <v>19080</v>
      </c>
      <c r="E6294" s="355">
        <v>100</v>
      </c>
      <c r="F6294" s="1662">
        <v>0</v>
      </c>
    </row>
    <row r="6295" spans="1:6" ht="15" customHeight="1" x14ac:dyDescent="0.25">
      <c r="A6295" s="2352" t="s">
        <v>6418</v>
      </c>
      <c r="B6295" s="2352" t="s">
        <v>18806</v>
      </c>
      <c r="C6295" s="2352" t="s">
        <v>18806</v>
      </c>
      <c r="D6295" s="2352" t="s">
        <v>6066</v>
      </c>
      <c r="E6295" s="355">
        <v>20</v>
      </c>
      <c r="F6295" s="1662">
        <v>0</v>
      </c>
    </row>
    <row r="6296" spans="1:6" ht="15" customHeight="1" x14ac:dyDescent="0.25">
      <c r="A6296" s="2352" t="s">
        <v>19081</v>
      </c>
      <c r="B6296" s="2352" t="s">
        <v>18806</v>
      </c>
      <c r="C6296" s="2352" t="s">
        <v>18806</v>
      </c>
      <c r="D6296" s="2352" t="s">
        <v>19082</v>
      </c>
      <c r="E6296" s="355">
        <v>30</v>
      </c>
      <c r="F6296" s="1662">
        <v>0</v>
      </c>
    </row>
    <row r="6297" spans="1:6" ht="15" customHeight="1" x14ac:dyDescent="0.25">
      <c r="A6297" s="2352" t="s">
        <v>19083</v>
      </c>
      <c r="B6297" s="2352" t="s">
        <v>18806</v>
      </c>
      <c r="C6297" s="2352" t="s">
        <v>18806</v>
      </c>
      <c r="D6297" s="2352" t="s">
        <v>19084</v>
      </c>
      <c r="E6297" s="355">
        <v>250</v>
      </c>
      <c r="F6297" s="1662">
        <v>47</v>
      </c>
    </row>
    <row r="6298" spans="1:6" ht="15" customHeight="1" x14ac:dyDescent="0.25">
      <c r="A6298" s="2352" t="s">
        <v>19083</v>
      </c>
      <c r="B6298" s="2352" t="s">
        <v>18806</v>
      </c>
      <c r="C6298" s="2352" t="s">
        <v>18806</v>
      </c>
      <c r="D6298" s="2352" t="s">
        <v>19085</v>
      </c>
      <c r="E6298" s="355">
        <v>250</v>
      </c>
      <c r="F6298" s="1662">
        <v>34</v>
      </c>
    </row>
    <row r="6299" spans="1:6" ht="15" customHeight="1" x14ac:dyDescent="0.25">
      <c r="A6299" s="2352" t="s">
        <v>19083</v>
      </c>
      <c r="B6299" s="2352" t="s">
        <v>18806</v>
      </c>
      <c r="C6299" s="2352" t="s">
        <v>18806</v>
      </c>
      <c r="D6299" s="2352" t="s">
        <v>19086</v>
      </c>
      <c r="E6299" s="355">
        <v>250</v>
      </c>
      <c r="F6299" s="1662">
        <v>120</v>
      </c>
    </row>
    <row r="6300" spans="1:6" ht="15" customHeight="1" x14ac:dyDescent="0.25">
      <c r="A6300" s="2352" t="s">
        <v>19083</v>
      </c>
      <c r="B6300" s="2352" t="s">
        <v>18806</v>
      </c>
      <c r="C6300" s="2352" t="s">
        <v>18806</v>
      </c>
      <c r="D6300" s="2352" t="s">
        <v>19087</v>
      </c>
      <c r="E6300" s="355">
        <v>250</v>
      </c>
      <c r="F6300" s="1662">
        <v>117</v>
      </c>
    </row>
    <row r="6301" spans="1:6" ht="15" customHeight="1" x14ac:dyDescent="0.25">
      <c r="A6301" s="2352" t="s">
        <v>19083</v>
      </c>
      <c r="B6301" s="2352" t="s">
        <v>18806</v>
      </c>
      <c r="C6301" s="2352" t="s">
        <v>18806</v>
      </c>
      <c r="D6301" s="2352" t="s">
        <v>19088</v>
      </c>
      <c r="E6301" s="355">
        <v>250</v>
      </c>
      <c r="F6301" s="1662">
        <v>250</v>
      </c>
    </row>
    <row r="6302" spans="1:6" ht="15" customHeight="1" x14ac:dyDescent="0.25">
      <c r="A6302" s="2352" t="s">
        <v>19083</v>
      </c>
      <c r="B6302" s="2352" t="s">
        <v>18806</v>
      </c>
      <c r="C6302" s="2352" t="s">
        <v>18806</v>
      </c>
      <c r="D6302" s="2352" t="s">
        <v>19089</v>
      </c>
      <c r="E6302" s="355">
        <v>160</v>
      </c>
      <c r="F6302" s="1662">
        <v>160</v>
      </c>
    </row>
    <row r="6303" spans="1:6" ht="15" customHeight="1" x14ac:dyDescent="0.25">
      <c r="A6303" s="2352" t="s">
        <v>8199</v>
      </c>
      <c r="B6303" s="2352" t="s">
        <v>18806</v>
      </c>
      <c r="C6303" s="2352" t="s">
        <v>18806</v>
      </c>
      <c r="D6303" s="2352" t="s">
        <v>12752</v>
      </c>
      <c r="E6303" s="355">
        <v>100</v>
      </c>
      <c r="F6303" s="1662">
        <v>0</v>
      </c>
    </row>
    <row r="6304" spans="1:6" ht="15" customHeight="1" x14ac:dyDescent="0.25">
      <c r="A6304" s="2352" t="s">
        <v>6479</v>
      </c>
      <c r="B6304" s="2352" t="s">
        <v>18806</v>
      </c>
      <c r="C6304" s="2352" t="s">
        <v>18806</v>
      </c>
      <c r="D6304" s="2352" t="s">
        <v>6153</v>
      </c>
      <c r="E6304" s="355">
        <v>20</v>
      </c>
      <c r="F6304" s="1662">
        <v>0</v>
      </c>
    </row>
    <row r="6305" spans="1:6" ht="15" customHeight="1" x14ac:dyDescent="0.25">
      <c r="A6305" s="2352" t="s">
        <v>11768</v>
      </c>
      <c r="B6305" s="2352" t="s">
        <v>18806</v>
      </c>
      <c r="C6305" s="2352" t="s">
        <v>18806</v>
      </c>
      <c r="D6305" s="2352" t="s">
        <v>5993</v>
      </c>
      <c r="E6305" s="355">
        <v>30</v>
      </c>
      <c r="F6305" s="1662">
        <v>0</v>
      </c>
    </row>
    <row r="6306" spans="1:6" ht="15" customHeight="1" x14ac:dyDescent="0.25">
      <c r="A6306" s="2352" t="s">
        <v>19090</v>
      </c>
      <c r="B6306" s="2352" t="s">
        <v>18806</v>
      </c>
      <c r="C6306" s="2352" t="s">
        <v>18806</v>
      </c>
      <c r="D6306" s="2352" t="s">
        <v>19091</v>
      </c>
      <c r="E6306" s="355">
        <v>30</v>
      </c>
      <c r="F6306" s="1662">
        <v>0</v>
      </c>
    </row>
    <row r="6307" spans="1:6" ht="15" customHeight="1" x14ac:dyDescent="0.25">
      <c r="A6307" s="2352" t="s">
        <v>18958</v>
      </c>
      <c r="B6307" s="2352" t="s">
        <v>18806</v>
      </c>
      <c r="C6307" s="2352" t="s">
        <v>18806</v>
      </c>
      <c r="D6307" s="2352" t="s">
        <v>18959</v>
      </c>
      <c r="E6307" s="355">
        <v>160</v>
      </c>
      <c r="F6307" s="1662">
        <v>43</v>
      </c>
    </row>
    <row r="6308" spans="1:6" ht="15" customHeight="1" x14ac:dyDescent="0.25">
      <c r="A6308" s="2352" t="s">
        <v>19092</v>
      </c>
      <c r="B6308" s="2352" t="s">
        <v>18806</v>
      </c>
      <c r="C6308" s="2352" t="s">
        <v>18806</v>
      </c>
      <c r="D6308" s="2352" t="s">
        <v>12984</v>
      </c>
      <c r="E6308" s="355">
        <v>30</v>
      </c>
      <c r="F6308" s="1662">
        <v>4</v>
      </c>
    </row>
    <row r="6309" spans="1:6" ht="15" customHeight="1" x14ac:dyDescent="0.25">
      <c r="A6309" s="2352" t="s">
        <v>19093</v>
      </c>
      <c r="B6309" s="2352" t="s">
        <v>18806</v>
      </c>
      <c r="C6309" s="2352" t="s">
        <v>18806</v>
      </c>
      <c r="D6309" s="2352" t="s">
        <v>19094</v>
      </c>
      <c r="E6309" s="355">
        <v>20</v>
      </c>
      <c r="F6309" s="1662">
        <v>0</v>
      </c>
    </row>
    <row r="6310" spans="1:6" ht="15" customHeight="1" x14ac:dyDescent="0.25">
      <c r="A6310" s="2352" t="s">
        <v>19095</v>
      </c>
      <c r="B6310" s="2352" t="s">
        <v>18806</v>
      </c>
      <c r="C6310" s="2352" t="s">
        <v>18806</v>
      </c>
      <c r="D6310" s="2352" t="s">
        <v>19096</v>
      </c>
      <c r="E6310" s="355">
        <v>20</v>
      </c>
      <c r="F6310" s="1662">
        <v>0</v>
      </c>
    </row>
    <row r="6311" spans="1:6" ht="15" customHeight="1" x14ac:dyDescent="0.25">
      <c r="A6311" s="2352" t="s">
        <v>13830</v>
      </c>
      <c r="B6311" s="2352" t="s">
        <v>18806</v>
      </c>
      <c r="C6311" s="2352" t="s">
        <v>18806</v>
      </c>
      <c r="D6311" s="2352" t="s">
        <v>6033</v>
      </c>
      <c r="E6311" s="355">
        <v>40</v>
      </c>
      <c r="F6311" s="1662">
        <v>27</v>
      </c>
    </row>
    <row r="6312" spans="1:6" ht="15" customHeight="1" x14ac:dyDescent="0.25">
      <c r="A6312" s="2352" t="s">
        <v>12128</v>
      </c>
      <c r="B6312" s="2352" t="s">
        <v>18806</v>
      </c>
      <c r="C6312" s="2352" t="s">
        <v>18806</v>
      </c>
      <c r="D6312" s="2352" t="s">
        <v>19097</v>
      </c>
      <c r="E6312" s="355">
        <v>40</v>
      </c>
      <c r="F6312" s="1662">
        <v>0</v>
      </c>
    </row>
    <row r="6313" spans="1:6" ht="15" customHeight="1" x14ac:dyDescent="0.25">
      <c r="A6313" s="2352" t="s">
        <v>19038</v>
      </c>
      <c r="B6313" s="2352" t="s">
        <v>18806</v>
      </c>
      <c r="C6313" s="2352" t="s">
        <v>18806</v>
      </c>
      <c r="D6313" s="2352" t="s">
        <v>19098</v>
      </c>
      <c r="E6313" s="355">
        <v>250</v>
      </c>
      <c r="F6313" s="1662">
        <v>92</v>
      </c>
    </row>
    <row r="6314" spans="1:6" ht="15" customHeight="1" x14ac:dyDescent="0.25">
      <c r="A6314" s="2352" t="s">
        <v>19038</v>
      </c>
      <c r="B6314" s="2352" t="s">
        <v>18806</v>
      </c>
      <c r="C6314" s="2352" t="s">
        <v>18806</v>
      </c>
      <c r="D6314" s="2352" t="s">
        <v>19099</v>
      </c>
      <c r="E6314" s="355">
        <v>30</v>
      </c>
      <c r="F6314" s="1662">
        <v>9</v>
      </c>
    </row>
    <row r="6315" spans="1:6" ht="15" customHeight="1" x14ac:dyDescent="0.25">
      <c r="A6315" s="2352" t="s">
        <v>19038</v>
      </c>
      <c r="B6315" s="2352" t="s">
        <v>18806</v>
      </c>
      <c r="C6315" s="2352" t="s">
        <v>18806</v>
      </c>
      <c r="D6315" s="2352" t="s">
        <v>19100</v>
      </c>
      <c r="E6315" s="355">
        <v>100</v>
      </c>
      <c r="F6315" s="1662">
        <v>0</v>
      </c>
    </row>
    <row r="6316" spans="1:6" ht="15" customHeight="1" x14ac:dyDescent="0.25">
      <c r="A6316" s="2352" t="s">
        <v>19038</v>
      </c>
      <c r="B6316" s="2352" t="s">
        <v>18806</v>
      </c>
      <c r="C6316" s="2352" t="s">
        <v>18806</v>
      </c>
      <c r="D6316" s="2352" t="s">
        <v>19101</v>
      </c>
      <c r="E6316" s="355">
        <v>250</v>
      </c>
      <c r="F6316" s="1662">
        <v>250</v>
      </c>
    </row>
    <row r="6317" spans="1:6" ht="15" customHeight="1" x14ac:dyDescent="0.25">
      <c r="A6317" s="2352" t="s">
        <v>19038</v>
      </c>
      <c r="B6317" s="2352" t="s">
        <v>18806</v>
      </c>
      <c r="C6317" s="2352" t="s">
        <v>18806</v>
      </c>
      <c r="D6317" s="2352" t="s">
        <v>19102</v>
      </c>
      <c r="E6317" s="355">
        <v>250</v>
      </c>
      <c r="F6317" s="1662">
        <v>164</v>
      </c>
    </row>
    <row r="6318" spans="1:6" ht="15" customHeight="1" x14ac:dyDescent="0.25">
      <c r="A6318" s="2352" t="s">
        <v>11730</v>
      </c>
      <c r="B6318" s="2352" t="s">
        <v>18806</v>
      </c>
      <c r="C6318" s="2352" t="s">
        <v>18806</v>
      </c>
      <c r="D6318" s="2352" t="s">
        <v>19103</v>
      </c>
      <c r="E6318" s="355">
        <v>63</v>
      </c>
      <c r="F6318" s="1662">
        <v>0</v>
      </c>
    </row>
    <row r="6319" spans="1:6" ht="15" customHeight="1" x14ac:dyDescent="0.25">
      <c r="A6319" s="2352" t="s">
        <v>5466</v>
      </c>
      <c r="B6319" s="2352" t="s">
        <v>18806</v>
      </c>
      <c r="C6319" s="2352" t="s">
        <v>18806</v>
      </c>
      <c r="D6319" s="2352" t="s">
        <v>19104</v>
      </c>
      <c r="E6319" s="355">
        <v>30</v>
      </c>
      <c r="F6319" s="1662">
        <v>0</v>
      </c>
    </row>
    <row r="6320" spans="1:6" ht="15" customHeight="1" x14ac:dyDescent="0.25">
      <c r="A6320" s="2352" t="s">
        <v>19105</v>
      </c>
      <c r="B6320" s="2352" t="s">
        <v>18806</v>
      </c>
      <c r="C6320" s="2352" t="s">
        <v>18806</v>
      </c>
      <c r="D6320" s="2352" t="s">
        <v>19106</v>
      </c>
      <c r="E6320" s="355">
        <v>250</v>
      </c>
      <c r="F6320" s="1662">
        <v>194</v>
      </c>
    </row>
    <row r="6321" spans="1:6" ht="15" customHeight="1" x14ac:dyDescent="0.25">
      <c r="A6321" s="2352" t="s">
        <v>19105</v>
      </c>
      <c r="B6321" s="2352" t="s">
        <v>18806</v>
      </c>
      <c r="C6321" s="2352" t="s">
        <v>18806</v>
      </c>
      <c r="D6321" s="2352" t="s">
        <v>19107</v>
      </c>
      <c r="E6321" s="355">
        <v>160</v>
      </c>
      <c r="F6321" s="1662">
        <v>160</v>
      </c>
    </row>
    <row r="6322" spans="1:6" ht="15" customHeight="1" x14ac:dyDescent="0.25">
      <c r="A6322" s="2352" t="s">
        <v>19105</v>
      </c>
      <c r="B6322" s="2352" t="s">
        <v>18806</v>
      </c>
      <c r="C6322" s="2352" t="s">
        <v>18806</v>
      </c>
      <c r="D6322" s="2352" t="s">
        <v>19108</v>
      </c>
      <c r="E6322" s="355">
        <v>160</v>
      </c>
      <c r="F6322" s="1662">
        <v>21</v>
      </c>
    </row>
    <row r="6323" spans="1:6" ht="15" customHeight="1" x14ac:dyDescent="0.25">
      <c r="A6323" s="2352" t="s">
        <v>19105</v>
      </c>
      <c r="B6323" s="2352" t="s">
        <v>18806</v>
      </c>
      <c r="C6323" s="2352" t="s">
        <v>18806</v>
      </c>
      <c r="D6323" s="2352" t="s">
        <v>19109</v>
      </c>
      <c r="E6323" s="355">
        <v>320</v>
      </c>
      <c r="F6323" s="1662">
        <v>63</v>
      </c>
    </row>
    <row r="6324" spans="1:6" ht="15" customHeight="1" x14ac:dyDescent="0.25">
      <c r="A6324" s="2352" t="s">
        <v>19110</v>
      </c>
      <c r="B6324" s="2352" t="s">
        <v>18806</v>
      </c>
      <c r="C6324" s="2352" t="s">
        <v>18806</v>
      </c>
      <c r="D6324" s="2352" t="s">
        <v>19111</v>
      </c>
      <c r="E6324" s="355">
        <v>160</v>
      </c>
      <c r="F6324" s="1662">
        <v>29</v>
      </c>
    </row>
    <row r="6325" spans="1:6" ht="15" customHeight="1" x14ac:dyDescent="0.25">
      <c r="A6325" s="2352" t="s">
        <v>19110</v>
      </c>
      <c r="B6325" s="2352" t="s">
        <v>18806</v>
      </c>
      <c r="C6325" s="2352" t="s">
        <v>18806</v>
      </c>
      <c r="D6325" s="2352" t="s">
        <v>19112</v>
      </c>
      <c r="E6325" s="355">
        <v>400</v>
      </c>
      <c r="F6325" s="1662">
        <v>91</v>
      </c>
    </row>
    <row r="6326" spans="1:6" ht="15" customHeight="1" x14ac:dyDescent="0.25">
      <c r="A6326" s="2352" t="s">
        <v>19110</v>
      </c>
      <c r="B6326" s="2352" t="s">
        <v>18806</v>
      </c>
      <c r="C6326" s="2352" t="s">
        <v>18806</v>
      </c>
      <c r="D6326" s="2352" t="s">
        <v>19113</v>
      </c>
      <c r="E6326" s="355">
        <v>100</v>
      </c>
      <c r="F6326" s="1662">
        <v>0</v>
      </c>
    </row>
    <row r="6327" spans="1:6" ht="15" customHeight="1" x14ac:dyDescent="0.25">
      <c r="A6327" s="2352" t="s">
        <v>19114</v>
      </c>
      <c r="B6327" s="2352" t="s">
        <v>18806</v>
      </c>
      <c r="C6327" s="2352" t="s">
        <v>18806</v>
      </c>
      <c r="D6327" s="2352" t="s">
        <v>19115</v>
      </c>
      <c r="E6327" s="355">
        <v>30</v>
      </c>
      <c r="F6327" s="1662">
        <v>0</v>
      </c>
    </row>
    <row r="6328" spans="1:6" ht="15" customHeight="1" x14ac:dyDescent="0.25">
      <c r="A6328" s="2352" t="s">
        <v>19116</v>
      </c>
      <c r="B6328" s="2352" t="s">
        <v>18806</v>
      </c>
      <c r="C6328" s="2352" t="s">
        <v>18806</v>
      </c>
      <c r="D6328" s="2352" t="s">
        <v>19117</v>
      </c>
      <c r="E6328" s="355">
        <v>30</v>
      </c>
      <c r="F6328" s="1662">
        <v>0</v>
      </c>
    </row>
    <row r="6329" spans="1:6" ht="15" customHeight="1" x14ac:dyDescent="0.25">
      <c r="A6329" s="2352" t="s">
        <v>14885</v>
      </c>
      <c r="B6329" s="2352" t="s">
        <v>18806</v>
      </c>
      <c r="C6329" s="2352" t="s">
        <v>18806</v>
      </c>
      <c r="D6329" s="2352" t="s">
        <v>19118</v>
      </c>
      <c r="E6329" s="355">
        <v>30</v>
      </c>
      <c r="F6329" s="1662">
        <v>0</v>
      </c>
    </row>
    <row r="6330" spans="1:6" ht="15" customHeight="1" x14ac:dyDescent="0.25">
      <c r="A6330" s="2352" t="s">
        <v>3665</v>
      </c>
      <c r="B6330" s="2352" t="s">
        <v>18806</v>
      </c>
      <c r="C6330" s="2352" t="s">
        <v>18806</v>
      </c>
      <c r="D6330" s="2352" t="s">
        <v>19119</v>
      </c>
      <c r="E6330" s="355">
        <v>63</v>
      </c>
      <c r="F6330" s="1662">
        <v>0</v>
      </c>
    </row>
    <row r="6331" spans="1:6" ht="15" customHeight="1" x14ac:dyDescent="0.25">
      <c r="A6331" s="2352" t="s">
        <v>19038</v>
      </c>
      <c r="B6331" s="2352" t="s">
        <v>18806</v>
      </c>
      <c r="C6331" s="2352" t="s">
        <v>18806</v>
      </c>
      <c r="D6331" s="2352" t="s">
        <v>19120</v>
      </c>
      <c r="E6331" s="355">
        <v>63</v>
      </c>
      <c r="F6331" s="1662">
        <v>0</v>
      </c>
    </row>
    <row r="6332" spans="1:6" ht="15" customHeight="1" x14ac:dyDescent="0.25">
      <c r="A6332" s="2352" t="s">
        <v>19038</v>
      </c>
      <c r="B6332" s="2352" t="s">
        <v>18806</v>
      </c>
      <c r="C6332" s="2352" t="s">
        <v>18806</v>
      </c>
      <c r="D6332" s="2352" t="s">
        <v>19121</v>
      </c>
      <c r="E6332" s="355">
        <v>100</v>
      </c>
      <c r="F6332" s="1662">
        <v>0</v>
      </c>
    </row>
    <row r="6333" spans="1:6" ht="15" customHeight="1" x14ac:dyDescent="0.25">
      <c r="A6333" s="2352" t="s">
        <v>19053</v>
      </c>
      <c r="B6333" s="2352" t="s">
        <v>18806</v>
      </c>
      <c r="C6333" s="2352" t="s">
        <v>18806</v>
      </c>
      <c r="D6333" s="2352" t="s">
        <v>13311</v>
      </c>
      <c r="E6333" s="355">
        <v>40</v>
      </c>
      <c r="F6333" s="1662">
        <v>0</v>
      </c>
    </row>
    <row r="6334" spans="1:6" ht="15" customHeight="1" x14ac:dyDescent="0.25">
      <c r="A6334" s="2352" t="s">
        <v>19122</v>
      </c>
      <c r="B6334" s="2352" t="s">
        <v>18806</v>
      </c>
      <c r="C6334" s="2352" t="s">
        <v>18806</v>
      </c>
      <c r="D6334" s="2352" t="s">
        <v>19123</v>
      </c>
      <c r="E6334" s="355">
        <v>100</v>
      </c>
      <c r="F6334" s="1662">
        <v>0</v>
      </c>
    </row>
    <row r="6335" spans="1:6" ht="15" customHeight="1" x14ac:dyDescent="0.25">
      <c r="A6335" s="2352" t="s">
        <v>4169</v>
      </c>
      <c r="B6335" s="2352" t="s">
        <v>18806</v>
      </c>
      <c r="C6335" s="2352" t="s">
        <v>18806</v>
      </c>
      <c r="D6335" s="2352" t="s">
        <v>19124</v>
      </c>
      <c r="E6335" s="355">
        <v>63</v>
      </c>
      <c r="F6335" s="1662">
        <v>0</v>
      </c>
    </row>
    <row r="6336" spans="1:6" ht="15" customHeight="1" x14ac:dyDescent="0.25">
      <c r="A6336" s="2352" t="s">
        <v>19038</v>
      </c>
      <c r="B6336" s="2352" t="s">
        <v>18806</v>
      </c>
      <c r="C6336" s="2352" t="s">
        <v>18806</v>
      </c>
      <c r="D6336" s="2352" t="s">
        <v>19125</v>
      </c>
      <c r="E6336" s="355">
        <v>100</v>
      </c>
      <c r="F6336" s="1662">
        <v>0</v>
      </c>
    </row>
    <row r="6337" spans="1:6" ht="15" customHeight="1" x14ac:dyDescent="0.25">
      <c r="A6337" s="2352" t="s">
        <v>11597</v>
      </c>
      <c r="B6337" s="2352" t="s">
        <v>18806</v>
      </c>
      <c r="C6337" s="2352" t="s">
        <v>18806</v>
      </c>
      <c r="D6337" s="2352" t="s">
        <v>19126</v>
      </c>
      <c r="E6337" s="355">
        <v>250</v>
      </c>
      <c r="F6337" s="1662">
        <v>144</v>
      </c>
    </row>
    <row r="6338" spans="1:6" ht="15" customHeight="1" x14ac:dyDescent="0.25">
      <c r="A6338" s="2352" t="s">
        <v>19127</v>
      </c>
      <c r="B6338" s="2352" t="s">
        <v>18806</v>
      </c>
      <c r="C6338" s="2352" t="s">
        <v>18806</v>
      </c>
      <c r="D6338" s="2352" t="s">
        <v>19128</v>
      </c>
      <c r="E6338" s="355">
        <v>100</v>
      </c>
      <c r="F6338" s="1662">
        <v>0</v>
      </c>
    </row>
    <row r="6339" spans="1:6" ht="15" customHeight="1" x14ac:dyDescent="0.25">
      <c r="A6339" s="2352" t="s">
        <v>19129</v>
      </c>
      <c r="B6339" s="2352" t="s">
        <v>18806</v>
      </c>
      <c r="C6339" s="2352" t="s">
        <v>18806</v>
      </c>
      <c r="D6339" s="2352" t="s">
        <v>19130</v>
      </c>
      <c r="E6339" s="355">
        <v>400</v>
      </c>
      <c r="F6339" s="1662">
        <v>321</v>
      </c>
    </row>
    <row r="6340" spans="1:6" ht="15" customHeight="1" x14ac:dyDescent="0.25">
      <c r="A6340" s="2352" t="s">
        <v>9479</v>
      </c>
      <c r="B6340" s="2352" t="s">
        <v>18806</v>
      </c>
      <c r="C6340" s="2352" t="s">
        <v>18806</v>
      </c>
      <c r="D6340" s="2352" t="s">
        <v>19131</v>
      </c>
      <c r="E6340" s="355">
        <v>40</v>
      </c>
      <c r="F6340" s="1662">
        <v>0</v>
      </c>
    </row>
    <row r="6341" spans="1:6" ht="15" customHeight="1" x14ac:dyDescent="0.25">
      <c r="A6341" s="2352" t="s">
        <v>8250</v>
      </c>
      <c r="B6341" s="2352" t="s">
        <v>18806</v>
      </c>
      <c r="C6341" s="2352" t="s">
        <v>18806</v>
      </c>
      <c r="D6341" s="2352" t="s">
        <v>19132</v>
      </c>
      <c r="E6341" s="355">
        <v>100</v>
      </c>
      <c r="F6341" s="1662">
        <v>44</v>
      </c>
    </row>
    <row r="6342" spans="1:6" ht="15" customHeight="1" x14ac:dyDescent="0.25">
      <c r="A6342" s="2352" t="s">
        <v>19133</v>
      </c>
      <c r="B6342" s="2352" t="s">
        <v>18806</v>
      </c>
      <c r="C6342" s="2352" t="s">
        <v>18806</v>
      </c>
      <c r="D6342" s="2352" t="s">
        <v>19134</v>
      </c>
      <c r="E6342" s="355">
        <v>100</v>
      </c>
      <c r="F6342" s="1662">
        <v>11</v>
      </c>
    </row>
    <row r="6343" spans="1:6" ht="15" customHeight="1" x14ac:dyDescent="0.25">
      <c r="A6343" s="2352" t="s">
        <v>19133</v>
      </c>
      <c r="B6343" s="2352" t="s">
        <v>18806</v>
      </c>
      <c r="C6343" s="2352" t="s">
        <v>18806</v>
      </c>
      <c r="D6343" s="2352" t="s">
        <v>19135</v>
      </c>
      <c r="E6343" s="355">
        <v>250</v>
      </c>
      <c r="F6343" s="1662">
        <v>109</v>
      </c>
    </row>
    <row r="6344" spans="1:6" ht="15" customHeight="1" x14ac:dyDescent="0.25">
      <c r="A6344" s="2352" t="s">
        <v>19136</v>
      </c>
      <c r="B6344" s="2352" t="s">
        <v>18806</v>
      </c>
      <c r="C6344" s="2352" t="s">
        <v>18806</v>
      </c>
      <c r="D6344" s="2352" t="s">
        <v>19137</v>
      </c>
      <c r="E6344" s="355">
        <v>40</v>
      </c>
      <c r="F6344" s="1662">
        <v>7</v>
      </c>
    </row>
    <row r="6345" spans="1:6" ht="15" customHeight="1" x14ac:dyDescent="0.25">
      <c r="A6345" s="2352" t="s">
        <v>14805</v>
      </c>
      <c r="B6345" s="2352" t="s">
        <v>18806</v>
      </c>
      <c r="C6345" s="2352" t="s">
        <v>18806</v>
      </c>
      <c r="D6345" s="2352" t="s">
        <v>19138</v>
      </c>
      <c r="E6345" s="355">
        <v>10</v>
      </c>
      <c r="F6345" s="1662">
        <v>0</v>
      </c>
    </row>
    <row r="6346" spans="1:6" ht="15" customHeight="1" x14ac:dyDescent="0.25">
      <c r="A6346" s="2352" t="s">
        <v>14544</v>
      </c>
      <c r="B6346" s="2352" t="s">
        <v>18806</v>
      </c>
      <c r="C6346" s="2352" t="s">
        <v>18806</v>
      </c>
      <c r="D6346" s="2352" t="s">
        <v>14541</v>
      </c>
      <c r="E6346" s="355">
        <v>160</v>
      </c>
      <c r="F6346" s="1662">
        <v>113</v>
      </c>
    </row>
    <row r="6347" spans="1:6" ht="15" customHeight="1" x14ac:dyDescent="0.25">
      <c r="A6347" s="2352" t="s">
        <v>11049</v>
      </c>
      <c r="B6347" s="2352" t="s">
        <v>18806</v>
      </c>
      <c r="C6347" s="2352" t="s">
        <v>18806</v>
      </c>
      <c r="D6347" s="2352" t="s">
        <v>19139</v>
      </c>
      <c r="E6347" s="355">
        <v>100</v>
      </c>
      <c r="F6347" s="1662">
        <v>32</v>
      </c>
    </row>
    <row r="6348" spans="1:6" ht="15" customHeight="1" x14ac:dyDescent="0.25">
      <c r="A6348" s="2352" t="s">
        <v>19140</v>
      </c>
      <c r="B6348" s="2352" t="s">
        <v>18806</v>
      </c>
      <c r="C6348" s="2352" t="s">
        <v>18806</v>
      </c>
      <c r="D6348" s="2352" t="s">
        <v>19141</v>
      </c>
      <c r="E6348" s="355">
        <v>250</v>
      </c>
      <c r="F6348" s="1662">
        <v>82</v>
      </c>
    </row>
    <row r="6349" spans="1:6" ht="15" customHeight="1" x14ac:dyDescent="0.25">
      <c r="A6349" s="2352" t="s">
        <v>7401</v>
      </c>
      <c r="B6349" s="2352" t="s">
        <v>18806</v>
      </c>
      <c r="C6349" s="2352" t="s">
        <v>18806</v>
      </c>
      <c r="D6349" s="2352" t="s">
        <v>19142</v>
      </c>
      <c r="E6349" s="355">
        <v>100</v>
      </c>
      <c r="F6349" s="1662">
        <v>47</v>
      </c>
    </row>
    <row r="6350" spans="1:6" ht="15" customHeight="1" x14ac:dyDescent="0.25">
      <c r="A6350" s="2352" t="s">
        <v>19143</v>
      </c>
      <c r="B6350" s="2352" t="s">
        <v>18806</v>
      </c>
      <c r="C6350" s="2352" t="s">
        <v>18806</v>
      </c>
      <c r="D6350" s="2352" t="s">
        <v>19144</v>
      </c>
      <c r="E6350" s="355">
        <v>100</v>
      </c>
      <c r="F6350" s="1662">
        <v>63</v>
      </c>
    </row>
    <row r="6351" spans="1:6" ht="15" customHeight="1" x14ac:dyDescent="0.25">
      <c r="A6351" s="2352" t="s">
        <v>5386</v>
      </c>
      <c r="B6351" s="2352" t="s">
        <v>18806</v>
      </c>
      <c r="C6351" s="2352" t="s">
        <v>18806</v>
      </c>
      <c r="D6351" s="2352" t="s">
        <v>19145</v>
      </c>
      <c r="E6351" s="355">
        <v>160</v>
      </c>
      <c r="F6351" s="1662">
        <v>78</v>
      </c>
    </row>
    <row r="6352" spans="1:6" ht="15" customHeight="1" x14ac:dyDescent="0.25">
      <c r="A6352" s="2352" t="s">
        <v>4569</v>
      </c>
      <c r="B6352" s="2352" t="s">
        <v>18806</v>
      </c>
      <c r="C6352" s="2352" t="s">
        <v>18806</v>
      </c>
      <c r="D6352" s="2352" t="s">
        <v>19146</v>
      </c>
      <c r="E6352" s="355">
        <v>30</v>
      </c>
      <c r="F6352" s="1662">
        <v>15</v>
      </c>
    </row>
    <row r="6353" spans="1:6" ht="15" customHeight="1" x14ac:dyDescent="0.25">
      <c r="A6353" s="2352" t="s">
        <v>19147</v>
      </c>
      <c r="B6353" s="2352" t="s">
        <v>18806</v>
      </c>
      <c r="C6353" s="2352" t="s">
        <v>18806</v>
      </c>
      <c r="D6353" s="2352" t="s">
        <v>19148</v>
      </c>
      <c r="E6353" s="355">
        <v>160</v>
      </c>
      <c r="F6353" s="1662">
        <v>94</v>
      </c>
    </row>
    <row r="6354" spans="1:6" ht="15" customHeight="1" x14ac:dyDescent="0.25">
      <c r="A6354" s="2352" t="s">
        <v>4153</v>
      </c>
      <c r="B6354" s="2352" t="s">
        <v>18806</v>
      </c>
      <c r="C6354" s="2352" t="s">
        <v>18806</v>
      </c>
      <c r="D6354" s="2352" t="s">
        <v>4153</v>
      </c>
      <c r="E6354" s="355">
        <v>30</v>
      </c>
      <c r="F6354" s="1662">
        <v>0</v>
      </c>
    </row>
    <row r="6355" spans="1:6" ht="15" customHeight="1" x14ac:dyDescent="0.25">
      <c r="A6355" s="2352" t="s">
        <v>18906</v>
      </c>
      <c r="B6355" s="2352" t="s">
        <v>18806</v>
      </c>
      <c r="C6355" s="2352" t="s">
        <v>18806</v>
      </c>
      <c r="D6355" s="2352" t="s">
        <v>19149</v>
      </c>
      <c r="E6355" s="355">
        <v>160</v>
      </c>
      <c r="F6355" s="1662">
        <v>11</v>
      </c>
    </row>
    <row r="6356" spans="1:6" ht="15" customHeight="1" x14ac:dyDescent="0.25">
      <c r="A6356" s="2352" t="s">
        <v>8023</v>
      </c>
      <c r="B6356" s="2352" t="s">
        <v>18806</v>
      </c>
      <c r="C6356" s="2352" t="s">
        <v>18806</v>
      </c>
      <c r="D6356" s="2352" t="s">
        <v>8023</v>
      </c>
      <c r="E6356" s="355">
        <v>60</v>
      </c>
      <c r="F6356" s="1662">
        <v>0</v>
      </c>
    </row>
    <row r="6357" spans="1:6" ht="15" customHeight="1" x14ac:dyDescent="0.25">
      <c r="A6357" s="2352" t="s">
        <v>3761</v>
      </c>
      <c r="B6357" s="2352" t="s">
        <v>18806</v>
      </c>
      <c r="C6357" s="2352" t="s">
        <v>18806</v>
      </c>
      <c r="D6357" s="2352" t="s">
        <v>3761</v>
      </c>
      <c r="E6357" s="355">
        <v>60</v>
      </c>
      <c r="F6357" s="1662">
        <v>0</v>
      </c>
    </row>
    <row r="6358" spans="1:6" ht="15" customHeight="1" x14ac:dyDescent="0.25">
      <c r="A6358" s="2352" t="s">
        <v>19150</v>
      </c>
      <c r="B6358" s="2352" t="s">
        <v>18806</v>
      </c>
      <c r="C6358" s="2352" t="s">
        <v>18806</v>
      </c>
      <c r="D6358" s="2352" t="s">
        <v>19150</v>
      </c>
      <c r="E6358" s="355">
        <v>30</v>
      </c>
      <c r="F6358" s="1662">
        <v>7</v>
      </c>
    </row>
    <row r="6359" spans="1:6" ht="15" customHeight="1" x14ac:dyDescent="0.25">
      <c r="A6359" s="2352" t="s">
        <v>19151</v>
      </c>
      <c r="B6359" s="2352" t="s">
        <v>18806</v>
      </c>
      <c r="C6359" s="2352" t="s">
        <v>18806</v>
      </c>
      <c r="D6359" s="2352" t="s">
        <v>19152</v>
      </c>
      <c r="E6359" s="355">
        <v>250</v>
      </c>
      <c r="F6359" s="1662">
        <v>250</v>
      </c>
    </row>
    <row r="6360" spans="1:6" ht="15" customHeight="1" x14ac:dyDescent="0.25">
      <c r="A6360" s="2352"/>
      <c r="B6360" s="2352" t="s">
        <v>18806</v>
      </c>
      <c r="C6360" s="2352" t="s">
        <v>18806</v>
      </c>
      <c r="D6360" s="2352"/>
      <c r="E6360" s="355">
        <v>250</v>
      </c>
      <c r="F6360" s="1662">
        <v>94</v>
      </c>
    </row>
    <row r="6361" spans="1:6" ht="15" customHeight="1" x14ac:dyDescent="0.25">
      <c r="A6361" s="2352" t="s">
        <v>19151</v>
      </c>
      <c r="B6361" s="2352" t="s">
        <v>18806</v>
      </c>
      <c r="C6361" s="2352" t="s">
        <v>18806</v>
      </c>
      <c r="D6361" s="2352" t="s">
        <v>19153</v>
      </c>
      <c r="E6361" s="355">
        <v>160</v>
      </c>
      <c r="F6361" s="1662">
        <v>0</v>
      </c>
    </row>
    <row r="6362" spans="1:6" ht="15" customHeight="1" x14ac:dyDescent="0.25">
      <c r="A6362" s="2352" t="s">
        <v>19151</v>
      </c>
      <c r="B6362" s="2352" t="s">
        <v>18806</v>
      </c>
      <c r="C6362" s="2352" t="s">
        <v>18806</v>
      </c>
      <c r="D6362" s="2352" t="s">
        <v>6091</v>
      </c>
      <c r="E6362" s="355">
        <v>60</v>
      </c>
      <c r="F6362" s="1662">
        <v>0</v>
      </c>
    </row>
    <row r="6363" spans="1:6" ht="15" customHeight="1" x14ac:dyDescent="0.25">
      <c r="A6363" s="2352" t="s">
        <v>19154</v>
      </c>
      <c r="B6363" s="2352" t="s">
        <v>18806</v>
      </c>
      <c r="C6363" s="2352" t="s">
        <v>18806</v>
      </c>
      <c r="D6363" s="2352" t="s">
        <v>19155</v>
      </c>
      <c r="E6363" s="355">
        <v>30</v>
      </c>
      <c r="F6363" s="1662">
        <v>16</v>
      </c>
    </row>
    <row r="6364" spans="1:6" ht="15" customHeight="1" x14ac:dyDescent="0.25">
      <c r="A6364" s="2352" t="s">
        <v>19156</v>
      </c>
      <c r="B6364" s="2352" t="s">
        <v>18806</v>
      </c>
      <c r="C6364" s="2352" t="s">
        <v>18806</v>
      </c>
      <c r="D6364" s="2352" t="s">
        <v>19157</v>
      </c>
      <c r="E6364" s="355">
        <v>250</v>
      </c>
      <c r="F6364" s="1662">
        <v>164</v>
      </c>
    </row>
    <row r="6365" spans="1:6" ht="15" customHeight="1" x14ac:dyDescent="0.25">
      <c r="A6365" s="2352" t="s">
        <v>19156</v>
      </c>
      <c r="B6365" s="2352" t="s">
        <v>18806</v>
      </c>
      <c r="C6365" s="2352" t="s">
        <v>18806</v>
      </c>
      <c r="D6365" s="2352" t="s">
        <v>19158</v>
      </c>
      <c r="E6365" s="355">
        <v>100</v>
      </c>
      <c r="F6365" s="1662">
        <v>0</v>
      </c>
    </row>
    <row r="6366" spans="1:6" ht="15" customHeight="1" x14ac:dyDescent="0.25">
      <c r="A6366" s="2352" t="s">
        <v>19159</v>
      </c>
      <c r="B6366" s="2352" t="s">
        <v>18806</v>
      </c>
      <c r="C6366" s="2352" t="s">
        <v>18806</v>
      </c>
      <c r="D6366" s="2352" t="s">
        <v>19160</v>
      </c>
      <c r="E6366" s="355">
        <v>250</v>
      </c>
      <c r="F6366" s="1662">
        <v>82</v>
      </c>
    </row>
    <row r="6367" spans="1:6" ht="15" customHeight="1" x14ac:dyDescent="0.25">
      <c r="A6367" s="2352" t="s">
        <v>4764</v>
      </c>
      <c r="B6367" s="2352" t="s">
        <v>18806</v>
      </c>
      <c r="C6367" s="2352" t="s">
        <v>18806</v>
      </c>
      <c r="D6367" s="2352" t="s">
        <v>14039</v>
      </c>
      <c r="E6367" s="355">
        <v>100</v>
      </c>
      <c r="F6367" s="1662">
        <v>55</v>
      </c>
    </row>
    <row r="6368" spans="1:6" ht="15" customHeight="1" x14ac:dyDescent="0.25">
      <c r="A6368" s="2352" t="s">
        <v>19159</v>
      </c>
      <c r="B6368" s="2352" t="s">
        <v>18806</v>
      </c>
      <c r="C6368" s="2352" t="s">
        <v>18806</v>
      </c>
      <c r="D6368" s="2352" t="s">
        <v>19161</v>
      </c>
      <c r="E6368" s="355">
        <v>100</v>
      </c>
      <c r="F6368" s="1662">
        <v>0</v>
      </c>
    </row>
    <row r="6369" spans="1:6" ht="15" customHeight="1" x14ac:dyDescent="0.25">
      <c r="A6369" s="2352" t="s">
        <v>19151</v>
      </c>
      <c r="B6369" s="2352" t="s">
        <v>18806</v>
      </c>
      <c r="C6369" s="2352" t="s">
        <v>18806</v>
      </c>
      <c r="D6369" s="2352" t="s">
        <v>19162</v>
      </c>
      <c r="E6369" s="355">
        <v>160</v>
      </c>
      <c r="F6369" s="1662">
        <v>74</v>
      </c>
    </row>
    <row r="6370" spans="1:6" ht="15" customHeight="1" x14ac:dyDescent="0.25">
      <c r="A6370" s="2352" t="s">
        <v>19151</v>
      </c>
      <c r="B6370" s="2352" t="s">
        <v>18806</v>
      </c>
      <c r="C6370" s="2352" t="s">
        <v>18806</v>
      </c>
      <c r="D6370" s="2352" t="s">
        <v>19163</v>
      </c>
      <c r="E6370" s="355">
        <v>100</v>
      </c>
      <c r="F6370" s="1662">
        <v>0</v>
      </c>
    </row>
    <row r="6371" spans="1:6" ht="15" customHeight="1" x14ac:dyDescent="0.25">
      <c r="A6371" s="2352" t="s">
        <v>19151</v>
      </c>
      <c r="B6371" s="2352" t="s">
        <v>18806</v>
      </c>
      <c r="C6371" s="2352" t="s">
        <v>18806</v>
      </c>
      <c r="D6371" s="2352" t="s">
        <v>19164</v>
      </c>
      <c r="E6371" s="355">
        <v>250</v>
      </c>
      <c r="F6371" s="1662">
        <v>104</v>
      </c>
    </row>
    <row r="6372" spans="1:6" ht="15" customHeight="1" x14ac:dyDescent="0.25">
      <c r="A6372" s="2352" t="s">
        <v>19165</v>
      </c>
      <c r="B6372" s="2352" t="s">
        <v>18806</v>
      </c>
      <c r="C6372" s="2352" t="s">
        <v>18806</v>
      </c>
      <c r="D6372" s="2352" t="s">
        <v>14244</v>
      </c>
      <c r="E6372" s="355">
        <v>30</v>
      </c>
      <c r="F6372" s="1662">
        <v>0</v>
      </c>
    </row>
    <row r="6373" spans="1:6" ht="15" customHeight="1" x14ac:dyDescent="0.25">
      <c r="A6373" s="2352" t="s">
        <v>7936</v>
      </c>
      <c r="B6373" s="2352" t="s">
        <v>18806</v>
      </c>
      <c r="C6373" s="2352" t="s">
        <v>18806</v>
      </c>
      <c r="D6373" s="2352" t="s">
        <v>6009</v>
      </c>
      <c r="E6373" s="355">
        <v>60</v>
      </c>
      <c r="F6373" s="1662">
        <v>45</v>
      </c>
    </row>
    <row r="6374" spans="1:6" ht="15" customHeight="1" x14ac:dyDescent="0.25">
      <c r="A6374" s="2352" t="s">
        <v>9591</v>
      </c>
      <c r="B6374" s="2352" t="s">
        <v>18806</v>
      </c>
      <c r="C6374" s="2352" t="s">
        <v>18806</v>
      </c>
      <c r="D6374" s="2352" t="s">
        <v>19166</v>
      </c>
      <c r="E6374" s="355">
        <v>50</v>
      </c>
      <c r="F6374" s="1662">
        <v>0</v>
      </c>
    </row>
    <row r="6375" spans="1:6" ht="15" customHeight="1" x14ac:dyDescent="0.25">
      <c r="A6375" s="2352" t="s">
        <v>7417</v>
      </c>
      <c r="B6375" s="2352" t="s">
        <v>18806</v>
      </c>
      <c r="C6375" s="2352" t="s">
        <v>18806</v>
      </c>
      <c r="D6375" s="2352" t="s">
        <v>19167</v>
      </c>
      <c r="E6375" s="355">
        <v>30</v>
      </c>
      <c r="F6375" s="1662">
        <v>6</v>
      </c>
    </row>
    <row r="6376" spans="1:6" ht="15" customHeight="1" x14ac:dyDescent="0.25">
      <c r="A6376" s="2352" t="s">
        <v>19168</v>
      </c>
      <c r="B6376" s="2352" t="s">
        <v>18806</v>
      </c>
      <c r="C6376" s="2352" t="s">
        <v>18806</v>
      </c>
      <c r="D6376" s="2352" t="s">
        <v>19169</v>
      </c>
      <c r="E6376" s="355">
        <v>30</v>
      </c>
      <c r="F6376" s="1662">
        <v>0</v>
      </c>
    </row>
    <row r="6377" spans="1:6" ht="15" customHeight="1" x14ac:dyDescent="0.25">
      <c r="A6377" s="2352" t="s">
        <v>9544</v>
      </c>
      <c r="B6377" s="2352" t="s">
        <v>18806</v>
      </c>
      <c r="C6377" s="2352" t="s">
        <v>18806</v>
      </c>
      <c r="D6377" s="2352" t="s">
        <v>19170</v>
      </c>
      <c r="E6377" s="355">
        <v>30</v>
      </c>
      <c r="F6377" s="1662">
        <v>0</v>
      </c>
    </row>
    <row r="6378" spans="1:6" ht="15" customHeight="1" x14ac:dyDescent="0.25">
      <c r="A6378" s="2352" t="s">
        <v>15126</v>
      </c>
      <c r="B6378" s="2352" t="s">
        <v>18806</v>
      </c>
      <c r="C6378" s="2352" t="s">
        <v>18806</v>
      </c>
      <c r="D6378" s="2352" t="s">
        <v>19171</v>
      </c>
      <c r="E6378" s="355">
        <v>160</v>
      </c>
      <c r="F6378" s="1662">
        <v>160</v>
      </c>
    </row>
    <row r="6379" spans="1:6" ht="15" customHeight="1" x14ac:dyDescent="0.25">
      <c r="A6379" s="2352" t="s">
        <v>15126</v>
      </c>
      <c r="B6379" s="2352" t="s">
        <v>18806</v>
      </c>
      <c r="C6379" s="2352" t="s">
        <v>18806</v>
      </c>
      <c r="D6379" s="2352" t="s">
        <v>19172</v>
      </c>
      <c r="E6379" s="355">
        <v>100</v>
      </c>
      <c r="F6379" s="1662">
        <v>0</v>
      </c>
    </row>
    <row r="6380" spans="1:6" ht="15" customHeight="1" x14ac:dyDescent="0.25">
      <c r="A6380" s="2352" t="s">
        <v>15126</v>
      </c>
      <c r="B6380" s="2352" t="s">
        <v>18806</v>
      </c>
      <c r="C6380" s="2352" t="s">
        <v>18806</v>
      </c>
      <c r="D6380" s="2352" t="s">
        <v>19173</v>
      </c>
      <c r="E6380" s="355">
        <v>160</v>
      </c>
      <c r="F6380" s="1662">
        <v>160</v>
      </c>
    </row>
    <row r="6381" spans="1:6" ht="15" customHeight="1" x14ac:dyDescent="0.25">
      <c r="A6381" s="2352" t="s">
        <v>19174</v>
      </c>
      <c r="B6381" s="2352" t="s">
        <v>18806</v>
      </c>
      <c r="C6381" s="2352" t="s">
        <v>18806</v>
      </c>
      <c r="D6381" s="2352" t="s">
        <v>19175</v>
      </c>
      <c r="E6381" s="355">
        <v>250</v>
      </c>
      <c r="F6381" s="1662">
        <v>232</v>
      </c>
    </row>
    <row r="6382" spans="1:6" ht="15" customHeight="1" x14ac:dyDescent="0.25">
      <c r="A6382" s="2352" t="s">
        <v>19176</v>
      </c>
      <c r="B6382" s="2352" t="s">
        <v>18806</v>
      </c>
      <c r="C6382" s="2352" t="s">
        <v>18806</v>
      </c>
      <c r="D6382" s="2352" t="s">
        <v>19177</v>
      </c>
      <c r="E6382" s="355">
        <v>30</v>
      </c>
      <c r="F6382" s="1662">
        <v>12</v>
      </c>
    </row>
    <row r="6383" spans="1:6" ht="15" customHeight="1" x14ac:dyDescent="0.25">
      <c r="A6383" s="2352" t="s">
        <v>7517</v>
      </c>
      <c r="B6383" s="2352" t="s">
        <v>18806</v>
      </c>
      <c r="C6383" s="2352" t="s">
        <v>18806</v>
      </c>
      <c r="D6383" s="2352" t="s">
        <v>6901</v>
      </c>
      <c r="E6383" s="355">
        <v>30</v>
      </c>
      <c r="F6383" s="1662">
        <v>0</v>
      </c>
    </row>
    <row r="6384" spans="1:6" ht="15" customHeight="1" x14ac:dyDescent="0.25">
      <c r="A6384" s="2352" t="s">
        <v>16113</v>
      </c>
      <c r="B6384" s="2352" t="s">
        <v>18806</v>
      </c>
      <c r="C6384" s="2352" t="s">
        <v>18806</v>
      </c>
      <c r="D6384" s="2352" t="s">
        <v>19178</v>
      </c>
      <c r="E6384" s="355">
        <v>160</v>
      </c>
      <c r="F6384" s="1662">
        <v>106</v>
      </c>
    </row>
    <row r="6385" spans="1:6" ht="15" customHeight="1" x14ac:dyDescent="0.25">
      <c r="A6385" s="2352" t="s">
        <v>19179</v>
      </c>
      <c r="B6385" s="2352" t="s">
        <v>18806</v>
      </c>
      <c r="C6385" s="2352" t="s">
        <v>18806</v>
      </c>
      <c r="D6385" s="2352" t="s">
        <v>19180</v>
      </c>
      <c r="E6385" s="355">
        <v>160</v>
      </c>
      <c r="F6385" s="1662">
        <v>0</v>
      </c>
    </row>
    <row r="6386" spans="1:6" ht="15" customHeight="1" x14ac:dyDescent="0.25">
      <c r="A6386" s="2352" t="s">
        <v>9805</v>
      </c>
      <c r="B6386" s="2352" t="s">
        <v>18806</v>
      </c>
      <c r="C6386" s="2352" t="s">
        <v>18806</v>
      </c>
      <c r="D6386" s="2352" t="s">
        <v>19181</v>
      </c>
      <c r="E6386" s="355">
        <v>30</v>
      </c>
      <c r="F6386" s="1662">
        <v>0</v>
      </c>
    </row>
    <row r="6387" spans="1:6" ht="15" customHeight="1" x14ac:dyDescent="0.25">
      <c r="A6387" s="2352" t="s">
        <v>19151</v>
      </c>
      <c r="B6387" s="2352" t="s">
        <v>18806</v>
      </c>
      <c r="C6387" s="2352" t="s">
        <v>18806</v>
      </c>
      <c r="D6387" s="2352" t="s">
        <v>19182</v>
      </c>
      <c r="E6387" s="355">
        <v>100</v>
      </c>
      <c r="F6387" s="1662">
        <v>91</v>
      </c>
    </row>
    <row r="6388" spans="1:6" ht="15" customHeight="1" x14ac:dyDescent="0.25">
      <c r="A6388" s="2352" t="s">
        <v>19183</v>
      </c>
      <c r="B6388" s="2352" t="s">
        <v>18806</v>
      </c>
      <c r="C6388" s="2352" t="s">
        <v>18806</v>
      </c>
      <c r="D6388" s="2352" t="s">
        <v>19184</v>
      </c>
      <c r="E6388" s="355">
        <v>100</v>
      </c>
      <c r="F6388" s="1662">
        <v>0</v>
      </c>
    </row>
    <row r="6389" spans="1:6" ht="15" customHeight="1" x14ac:dyDescent="0.25">
      <c r="A6389" s="2352" t="s">
        <v>19185</v>
      </c>
      <c r="B6389" s="2352" t="s">
        <v>18806</v>
      </c>
      <c r="C6389" s="2352" t="s">
        <v>18806</v>
      </c>
      <c r="D6389" s="2352" t="s">
        <v>19186</v>
      </c>
      <c r="E6389" s="355">
        <v>60</v>
      </c>
      <c r="F6389" s="1662">
        <v>39</v>
      </c>
    </row>
    <row r="6390" spans="1:6" ht="15" customHeight="1" x14ac:dyDescent="0.25">
      <c r="A6390" s="2352" t="s">
        <v>3918</v>
      </c>
      <c r="B6390" s="2352" t="s">
        <v>18806</v>
      </c>
      <c r="C6390" s="2352" t="s">
        <v>18806</v>
      </c>
      <c r="D6390" s="2352" t="s">
        <v>18900</v>
      </c>
      <c r="E6390" s="355">
        <v>20</v>
      </c>
      <c r="F6390" s="1662">
        <v>0</v>
      </c>
    </row>
    <row r="6391" spans="1:6" ht="15" customHeight="1" x14ac:dyDescent="0.25">
      <c r="A6391" s="2352" t="s">
        <v>19187</v>
      </c>
      <c r="B6391" s="2352" t="s">
        <v>18806</v>
      </c>
      <c r="C6391" s="2352" t="s">
        <v>18806</v>
      </c>
      <c r="D6391" s="2352" t="s">
        <v>19188</v>
      </c>
      <c r="E6391" s="355">
        <v>160</v>
      </c>
      <c r="F6391" s="1662">
        <v>56</v>
      </c>
    </row>
    <row r="6392" spans="1:6" ht="15" customHeight="1" x14ac:dyDescent="0.25">
      <c r="A6392" s="2352" t="s">
        <v>19159</v>
      </c>
      <c r="B6392" s="2352" t="s">
        <v>18806</v>
      </c>
      <c r="C6392" s="2352" t="s">
        <v>18806</v>
      </c>
      <c r="D6392" s="2352" t="s">
        <v>19189</v>
      </c>
      <c r="E6392" s="355">
        <v>160</v>
      </c>
      <c r="F6392" s="1662">
        <v>0</v>
      </c>
    </row>
    <row r="6393" spans="1:6" ht="15" customHeight="1" x14ac:dyDescent="0.25">
      <c r="A6393" s="2352" t="s">
        <v>19190</v>
      </c>
      <c r="B6393" s="2352" t="s">
        <v>18806</v>
      </c>
      <c r="C6393" s="2352" t="s">
        <v>18806</v>
      </c>
      <c r="D6393" s="2352" t="s">
        <v>19191</v>
      </c>
      <c r="E6393" s="355">
        <v>60</v>
      </c>
      <c r="F6393" s="1662">
        <v>24</v>
      </c>
    </row>
    <row r="6394" spans="1:6" ht="15" customHeight="1" x14ac:dyDescent="0.25">
      <c r="A6394" s="2352" t="s">
        <v>19192</v>
      </c>
      <c r="B6394" s="2352" t="s">
        <v>18806</v>
      </c>
      <c r="C6394" s="2352" t="s">
        <v>18806</v>
      </c>
      <c r="D6394" s="2352" t="s">
        <v>19193</v>
      </c>
      <c r="E6394" s="355">
        <v>30</v>
      </c>
      <c r="F6394" s="1662">
        <v>21</v>
      </c>
    </row>
    <row r="6395" spans="1:6" ht="15" customHeight="1" x14ac:dyDescent="0.25">
      <c r="A6395" s="2352" t="s">
        <v>19194</v>
      </c>
      <c r="B6395" s="2352" t="s">
        <v>18806</v>
      </c>
      <c r="C6395" s="2352" t="s">
        <v>18806</v>
      </c>
      <c r="D6395" s="2352" t="s">
        <v>19195</v>
      </c>
      <c r="E6395" s="355">
        <v>40</v>
      </c>
      <c r="F6395" s="1662">
        <v>0</v>
      </c>
    </row>
    <row r="6396" spans="1:6" ht="15" customHeight="1" x14ac:dyDescent="0.25">
      <c r="A6396" s="2352" t="s">
        <v>7403</v>
      </c>
      <c r="B6396" s="2352" t="s">
        <v>18806</v>
      </c>
      <c r="C6396" s="2352" t="s">
        <v>18806</v>
      </c>
      <c r="D6396" s="2352" t="s">
        <v>6095</v>
      </c>
      <c r="E6396" s="355">
        <v>30</v>
      </c>
      <c r="F6396" s="1662">
        <v>0</v>
      </c>
    </row>
    <row r="6397" spans="1:6" ht="15" customHeight="1" x14ac:dyDescent="0.25">
      <c r="A6397" s="2352" t="s">
        <v>14654</v>
      </c>
      <c r="B6397" s="2352" t="s">
        <v>18806</v>
      </c>
      <c r="C6397" s="2352" t="s">
        <v>18806</v>
      </c>
      <c r="D6397" s="2352" t="s">
        <v>13107</v>
      </c>
      <c r="E6397" s="355">
        <v>30</v>
      </c>
      <c r="F6397" s="1662">
        <v>0</v>
      </c>
    </row>
    <row r="6398" spans="1:6" ht="15" customHeight="1" x14ac:dyDescent="0.25">
      <c r="A6398" s="2352" t="s">
        <v>19196</v>
      </c>
      <c r="B6398" s="2352" t="s">
        <v>18806</v>
      </c>
      <c r="C6398" s="2352" t="s">
        <v>18806</v>
      </c>
      <c r="D6398" s="2352" t="s">
        <v>19197</v>
      </c>
      <c r="E6398" s="355">
        <v>30</v>
      </c>
      <c r="F6398" s="1662">
        <v>0</v>
      </c>
    </row>
    <row r="6399" spans="1:6" ht="15" customHeight="1" x14ac:dyDescent="0.25">
      <c r="A6399" s="2352" t="s">
        <v>10558</v>
      </c>
      <c r="B6399" s="2352" t="s">
        <v>18806</v>
      </c>
      <c r="C6399" s="2352" t="s">
        <v>18806</v>
      </c>
      <c r="D6399" s="2352" t="s">
        <v>19198</v>
      </c>
      <c r="E6399" s="355">
        <v>63</v>
      </c>
      <c r="F6399" s="1662">
        <v>0</v>
      </c>
    </row>
    <row r="6400" spans="1:6" ht="15" customHeight="1" x14ac:dyDescent="0.25">
      <c r="A6400" s="2352" t="s">
        <v>19199</v>
      </c>
      <c r="B6400" s="2352" t="s">
        <v>18806</v>
      </c>
      <c r="C6400" s="2352" t="s">
        <v>18806</v>
      </c>
      <c r="D6400" s="2352" t="s">
        <v>19200</v>
      </c>
      <c r="E6400" s="355">
        <v>160</v>
      </c>
      <c r="F6400" s="1662">
        <v>132</v>
      </c>
    </row>
    <row r="6401" spans="1:6" ht="15" customHeight="1" x14ac:dyDescent="0.25">
      <c r="A6401" s="2352" t="s">
        <v>19199</v>
      </c>
      <c r="B6401" s="2352" t="s">
        <v>18806</v>
      </c>
      <c r="C6401" s="2352" t="s">
        <v>18806</v>
      </c>
      <c r="D6401" s="2352" t="s">
        <v>19201</v>
      </c>
      <c r="E6401" s="355">
        <v>100</v>
      </c>
      <c r="F6401" s="1662">
        <v>0</v>
      </c>
    </row>
    <row r="6402" spans="1:6" ht="15" customHeight="1" x14ac:dyDescent="0.25">
      <c r="A6402" s="2352" t="s">
        <v>19199</v>
      </c>
      <c r="B6402" s="2352" t="s">
        <v>18806</v>
      </c>
      <c r="C6402" s="2352" t="s">
        <v>18806</v>
      </c>
      <c r="D6402" s="2352" t="s">
        <v>19202</v>
      </c>
      <c r="E6402" s="355">
        <v>160</v>
      </c>
      <c r="F6402" s="1662">
        <v>160</v>
      </c>
    </row>
    <row r="6403" spans="1:6" ht="15" customHeight="1" x14ac:dyDescent="0.25">
      <c r="A6403" s="2352" t="s">
        <v>19199</v>
      </c>
      <c r="B6403" s="2352" t="s">
        <v>18806</v>
      </c>
      <c r="C6403" s="2352" t="s">
        <v>18806</v>
      </c>
      <c r="D6403" s="2352" t="s">
        <v>19203</v>
      </c>
      <c r="E6403" s="355">
        <v>100</v>
      </c>
      <c r="F6403" s="1662">
        <v>100</v>
      </c>
    </row>
    <row r="6404" spans="1:6" ht="15" customHeight="1" x14ac:dyDescent="0.25">
      <c r="A6404" s="2352" t="s">
        <v>19204</v>
      </c>
      <c r="B6404" s="2352" t="s">
        <v>18806</v>
      </c>
      <c r="C6404" s="2352" t="s">
        <v>18806</v>
      </c>
      <c r="D6404" s="2352" t="s">
        <v>19205</v>
      </c>
      <c r="E6404" s="355">
        <v>100</v>
      </c>
      <c r="F6404" s="1662">
        <v>61</v>
      </c>
    </row>
    <row r="6405" spans="1:6" ht="15" customHeight="1" x14ac:dyDescent="0.25">
      <c r="A6405" s="2352" t="s">
        <v>19206</v>
      </c>
      <c r="B6405" s="2352" t="s">
        <v>18806</v>
      </c>
      <c r="C6405" s="2352" t="s">
        <v>18806</v>
      </c>
      <c r="D6405" s="2352" t="s">
        <v>19207</v>
      </c>
      <c r="E6405" s="355">
        <v>100</v>
      </c>
      <c r="F6405" s="1662">
        <v>0</v>
      </c>
    </row>
    <row r="6406" spans="1:6" ht="15" customHeight="1" x14ac:dyDescent="0.25">
      <c r="A6406" s="2352" t="s">
        <v>19208</v>
      </c>
      <c r="B6406" s="2352" t="s">
        <v>18806</v>
      </c>
      <c r="C6406" s="2352" t="s">
        <v>18806</v>
      </c>
      <c r="D6406" s="2352" t="s">
        <v>19209</v>
      </c>
      <c r="E6406" s="355">
        <v>60</v>
      </c>
      <c r="F6406" s="1662">
        <v>9</v>
      </c>
    </row>
    <row r="6407" spans="1:6" ht="15" customHeight="1" x14ac:dyDescent="0.25">
      <c r="A6407" s="2352" t="s">
        <v>19210</v>
      </c>
      <c r="B6407" s="2352" t="s">
        <v>18806</v>
      </c>
      <c r="C6407" s="2352" t="s">
        <v>18806</v>
      </c>
      <c r="D6407" s="2352" t="s">
        <v>19211</v>
      </c>
      <c r="E6407" s="355">
        <v>100</v>
      </c>
      <c r="F6407" s="1662">
        <v>0</v>
      </c>
    </row>
    <row r="6408" spans="1:6" ht="15" customHeight="1" x14ac:dyDescent="0.25">
      <c r="A6408" s="2352" t="s">
        <v>19212</v>
      </c>
      <c r="B6408" s="2352" t="s">
        <v>18806</v>
      </c>
      <c r="C6408" s="2352" t="s">
        <v>18806</v>
      </c>
      <c r="D6408" s="2352" t="s">
        <v>19213</v>
      </c>
      <c r="E6408" s="355">
        <v>60</v>
      </c>
      <c r="F6408" s="1662">
        <v>0</v>
      </c>
    </row>
    <row r="6409" spans="1:6" ht="15" customHeight="1" x14ac:dyDescent="0.25">
      <c r="A6409" s="2352" t="s">
        <v>19214</v>
      </c>
      <c r="B6409" s="2352" t="s">
        <v>18806</v>
      </c>
      <c r="C6409" s="2352" t="s">
        <v>18806</v>
      </c>
      <c r="D6409" s="2352" t="s">
        <v>19215</v>
      </c>
      <c r="E6409" s="355">
        <v>60</v>
      </c>
      <c r="F6409" s="1662">
        <v>47</v>
      </c>
    </row>
    <row r="6410" spans="1:6" ht="15" customHeight="1" x14ac:dyDescent="0.25">
      <c r="A6410" s="2352" t="s">
        <v>19216</v>
      </c>
      <c r="B6410" s="2352" t="s">
        <v>18806</v>
      </c>
      <c r="C6410" s="2352" t="s">
        <v>18806</v>
      </c>
      <c r="D6410" s="2352" t="s">
        <v>19217</v>
      </c>
      <c r="E6410" s="355">
        <v>100</v>
      </c>
      <c r="F6410" s="1662">
        <v>100</v>
      </c>
    </row>
    <row r="6411" spans="1:6" ht="15" customHeight="1" x14ac:dyDescent="0.25">
      <c r="A6411" s="2352" t="s">
        <v>19218</v>
      </c>
      <c r="B6411" s="2352" t="s">
        <v>18806</v>
      </c>
      <c r="C6411" s="2352" t="s">
        <v>18806</v>
      </c>
      <c r="D6411" s="2352" t="s">
        <v>19219</v>
      </c>
      <c r="E6411" s="355">
        <v>20</v>
      </c>
      <c r="F6411" s="1662">
        <v>0</v>
      </c>
    </row>
    <row r="6412" spans="1:6" ht="15" customHeight="1" x14ac:dyDescent="0.25">
      <c r="A6412" s="2352" t="s">
        <v>8300</v>
      </c>
      <c r="B6412" s="2352" t="s">
        <v>18806</v>
      </c>
      <c r="C6412" s="2352" t="s">
        <v>18806</v>
      </c>
      <c r="D6412" s="2352" t="s">
        <v>6121</v>
      </c>
      <c r="E6412" s="355">
        <v>250</v>
      </c>
      <c r="F6412" s="1662">
        <v>136</v>
      </c>
    </row>
    <row r="6413" spans="1:6" ht="15" customHeight="1" x14ac:dyDescent="0.25">
      <c r="A6413" s="2352" t="s">
        <v>19220</v>
      </c>
      <c r="B6413" s="2352" t="s">
        <v>18806</v>
      </c>
      <c r="C6413" s="2352" t="s">
        <v>18806</v>
      </c>
      <c r="D6413" s="2352" t="s">
        <v>19221</v>
      </c>
      <c r="E6413" s="355">
        <v>160</v>
      </c>
      <c r="F6413" s="1662">
        <v>124</v>
      </c>
    </row>
    <row r="6414" spans="1:6" ht="15" customHeight="1" x14ac:dyDescent="0.25">
      <c r="A6414" s="2352" t="s">
        <v>19222</v>
      </c>
      <c r="B6414" s="2352" t="s">
        <v>18806</v>
      </c>
      <c r="C6414" s="2352" t="s">
        <v>18806</v>
      </c>
      <c r="D6414" s="2352" t="s">
        <v>19223</v>
      </c>
      <c r="E6414" s="355">
        <v>250</v>
      </c>
      <c r="F6414" s="1662">
        <v>184</v>
      </c>
    </row>
    <row r="6415" spans="1:6" ht="15" customHeight="1" x14ac:dyDescent="0.25">
      <c r="A6415" s="2352" t="s">
        <v>19224</v>
      </c>
      <c r="B6415" s="2352" t="s">
        <v>18806</v>
      </c>
      <c r="C6415" s="2352" t="s">
        <v>18806</v>
      </c>
      <c r="D6415" s="2352" t="s">
        <v>19225</v>
      </c>
      <c r="E6415" s="355">
        <v>400</v>
      </c>
      <c r="F6415" s="1662">
        <v>400</v>
      </c>
    </row>
    <row r="6416" spans="1:6" ht="15" customHeight="1" x14ac:dyDescent="0.25">
      <c r="A6416" s="2352"/>
      <c r="B6416" s="2352" t="s">
        <v>18806</v>
      </c>
      <c r="C6416" s="2352" t="s">
        <v>18806</v>
      </c>
      <c r="D6416" s="2352"/>
      <c r="E6416" s="355">
        <v>400</v>
      </c>
      <c r="F6416" s="1662">
        <v>27</v>
      </c>
    </row>
    <row r="6417" spans="1:6" ht="15" customHeight="1" x14ac:dyDescent="0.25">
      <c r="A6417" s="2352" t="s">
        <v>19224</v>
      </c>
      <c r="B6417" s="2352" t="s">
        <v>18806</v>
      </c>
      <c r="C6417" s="2352" t="s">
        <v>18806</v>
      </c>
      <c r="D6417" s="2352" t="s">
        <v>19226</v>
      </c>
      <c r="E6417" s="355">
        <v>60</v>
      </c>
      <c r="F6417" s="1662">
        <v>0</v>
      </c>
    </row>
    <row r="6418" spans="1:6" ht="15" customHeight="1" x14ac:dyDescent="0.25">
      <c r="A6418" s="2352" t="s">
        <v>19224</v>
      </c>
      <c r="B6418" s="2352" t="s">
        <v>18806</v>
      </c>
      <c r="C6418" s="2352" t="s">
        <v>18806</v>
      </c>
      <c r="D6418" s="2352" t="s">
        <v>19227</v>
      </c>
      <c r="E6418" s="355">
        <v>250</v>
      </c>
      <c r="F6418" s="1662">
        <v>126</v>
      </c>
    </row>
    <row r="6419" spans="1:6" ht="15" customHeight="1" x14ac:dyDescent="0.25">
      <c r="A6419" s="2352" t="s">
        <v>19228</v>
      </c>
      <c r="B6419" s="2352" t="s">
        <v>18806</v>
      </c>
      <c r="C6419" s="2352" t="s">
        <v>18806</v>
      </c>
      <c r="D6419" s="2352" t="s">
        <v>19229</v>
      </c>
      <c r="E6419" s="355">
        <v>100</v>
      </c>
      <c r="F6419" s="1662">
        <v>0</v>
      </c>
    </row>
    <row r="6420" spans="1:6" ht="15" customHeight="1" x14ac:dyDescent="0.25">
      <c r="A6420" s="2352" t="s">
        <v>19228</v>
      </c>
      <c r="B6420" s="2352" t="s">
        <v>18806</v>
      </c>
      <c r="C6420" s="2352" t="s">
        <v>18806</v>
      </c>
      <c r="D6420" s="2352" t="s">
        <v>19230</v>
      </c>
      <c r="E6420" s="355">
        <v>63</v>
      </c>
      <c r="F6420" s="1662">
        <v>0</v>
      </c>
    </row>
    <row r="6421" spans="1:6" ht="15" customHeight="1" x14ac:dyDescent="0.25">
      <c r="A6421" s="2352" t="s">
        <v>19231</v>
      </c>
      <c r="B6421" s="2352" t="s">
        <v>18806</v>
      </c>
      <c r="C6421" s="2352" t="s">
        <v>18806</v>
      </c>
      <c r="D6421" s="2352" t="s">
        <v>19232</v>
      </c>
      <c r="E6421" s="355">
        <v>60</v>
      </c>
      <c r="F6421" s="1662">
        <v>0</v>
      </c>
    </row>
    <row r="6422" spans="1:6" ht="15" customHeight="1" x14ac:dyDescent="0.25">
      <c r="A6422" s="2352" t="s">
        <v>19231</v>
      </c>
      <c r="B6422" s="2352" t="s">
        <v>18806</v>
      </c>
      <c r="C6422" s="2352" t="s">
        <v>18806</v>
      </c>
      <c r="D6422" s="2352" t="s">
        <v>19233</v>
      </c>
      <c r="E6422" s="355">
        <v>100</v>
      </c>
      <c r="F6422" s="1662">
        <v>100</v>
      </c>
    </row>
    <row r="6423" spans="1:6" ht="15" customHeight="1" x14ac:dyDescent="0.25">
      <c r="A6423" s="2352" t="s">
        <v>19231</v>
      </c>
      <c r="B6423" s="2352" t="s">
        <v>18806</v>
      </c>
      <c r="C6423" s="2352" t="s">
        <v>18806</v>
      </c>
      <c r="D6423" s="2352" t="s">
        <v>19234</v>
      </c>
      <c r="E6423" s="355">
        <v>60</v>
      </c>
      <c r="F6423" s="1662">
        <v>60</v>
      </c>
    </row>
    <row r="6424" spans="1:6" ht="15" customHeight="1" x14ac:dyDescent="0.25">
      <c r="A6424" s="2352" t="s">
        <v>4391</v>
      </c>
      <c r="B6424" s="2352" t="s">
        <v>18806</v>
      </c>
      <c r="C6424" s="2352" t="s">
        <v>18806</v>
      </c>
      <c r="D6424" s="2352" t="s">
        <v>6243</v>
      </c>
      <c r="E6424" s="355">
        <v>63</v>
      </c>
      <c r="F6424" s="1662">
        <v>0</v>
      </c>
    </row>
    <row r="6425" spans="1:6" ht="15" customHeight="1" x14ac:dyDescent="0.25">
      <c r="A6425" s="2352" t="s">
        <v>19235</v>
      </c>
      <c r="B6425" s="2352" t="s">
        <v>18806</v>
      </c>
      <c r="C6425" s="2352" t="s">
        <v>18806</v>
      </c>
      <c r="D6425" s="2352" t="s">
        <v>19236</v>
      </c>
      <c r="E6425" s="355">
        <v>160</v>
      </c>
      <c r="F6425" s="1662">
        <v>124</v>
      </c>
    </row>
    <row r="6426" spans="1:6" ht="15" customHeight="1" x14ac:dyDescent="0.25">
      <c r="A6426" s="2352" t="s">
        <v>19237</v>
      </c>
      <c r="B6426" s="2352" t="s">
        <v>18806</v>
      </c>
      <c r="C6426" s="2352" t="s">
        <v>18806</v>
      </c>
      <c r="D6426" s="2352" t="s">
        <v>19238</v>
      </c>
      <c r="E6426" s="355">
        <v>63</v>
      </c>
      <c r="F6426" s="1662">
        <v>14</v>
      </c>
    </row>
    <row r="6427" spans="1:6" ht="15" customHeight="1" x14ac:dyDescent="0.25">
      <c r="A6427" s="2352" t="s">
        <v>4764</v>
      </c>
      <c r="B6427" s="2352" t="s">
        <v>18806</v>
      </c>
      <c r="C6427" s="2352" t="s">
        <v>18806</v>
      </c>
      <c r="D6427" s="2352" t="s">
        <v>14039</v>
      </c>
      <c r="E6427" s="355">
        <v>100</v>
      </c>
      <c r="F6427" s="1662">
        <v>0</v>
      </c>
    </row>
    <row r="6428" spans="1:6" ht="15" customHeight="1" x14ac:dyDescent="0.25">
      <c r="A6428" s="2352" t="s">
        <v>19239</v>
      </c>
      <c r="B6428" s="2352" t="s">
        <v>18806</v>
      </c>
      <c r="C6428" s="2352" t="s">
        <v>18806</v>
      </c>
      <c r="D6428" s="2352" t="s">
        <v>19240</v>
      </c>
      <c r="E6428" s="355">
        <v>100</v>
      </c>
      <c r="F6428" s="1662">
        <v>51</v>
      </c>
    </row>
    <row r="6429" spans="1:6" ht="15" customHeight="1" x14ac:dyDescent="0.25">
      <c r="A6429" s="2352" t="s">
        <v>14398</v>
      </c>
      <c r="B6429" s="2352" t="s">
        <v>18806</v>
      </c>
      <c r="C6429" s="2352" t="s">
        <v>18806</v>
      </c>
      <c r="D6429" s="2352" t="s">
        <v>19241</v>
      </c>
      <c r="E6429" s="355">
        <v>50</v>
      </c>
      <c r="F6429" s="1662">
        <v>0</v>
      </c>
    </row>
    <row r="6430" spans="1:6" ht="15" customHeight="1" x14ac:dyDescent="0.25">
      <c r="A6430" s="2352" t="s">
        <v>4244</v>
      </c>
      <c r="B6430" s="2352" t="s">
        <v>18806</v>
      </c>
      <c r="C6430" s="2352" t="s">
        <v>18806</v>
      </c>
      <c r="D6430" s="2352" t="s">
        <v>6518</v>
      </c>
      <c r="E6430" s="355">
        <v>63</v>
      </c>
      <c r="F6430" s="1662">
        <v>0</v>
      </c>
    </row>
    <row r="6431" spans="1:6" ht="15" customHeight="1" x14ac:dyDescent="0.25">
      <c r="A6431" s="2352" t="s">
        <v>19242</v>
      </c>
      <c r="B6431" s="2352" t="s">
        <v>18806</v>
      </c>
      <c r="C6431" s="2352" t="s">
        <v>18806</v>
      </c>
      <c r="D6431" s="2352" t="s">
        <v>19243</v>
      </c>
      <c r="E6431" s="355">
        <v>250</v>
      </c>
      <c r="F6431" s="1662">
        <v>201</v>
      </c>
    </row>
    <row r="6432" spans="1:6" ht="15" customHeight="1" x14ac:dyDescent="0.25">
      <c r="A6432" s="2352" t="s">
        <v>19242</v>
      </c>
      <c r="B6432" s="2352" t="s">
        <v>18806</v>
      </c>
      <c r="C6432" s="2352" t="s">
        <v>18806</v>
      </c>
      <c r="D6432" s="2352" t="s">
        <v>19244</v>
      </c>
      <c r="E6432" s="355">
        <v>100</v>
      </c>
      <c r="F6432" s="1662">
        <v>17</v>
      </c>
    </row>
    <row r="6433" spans="1:6" ht="15" customHeight="1" x14ac:dyDescent="0.25">
      <c r="A6433" s="2352" t="s">
        <v>19242</v>
      </c>
      <c r="B6433" s="2352" t="s">
        <v>18806</v>
      </c>
      <c r="C6433" s="2352" t="s">
        <v>18806</v>
      </c>
      <c r="D6433" s="2352" t="s">
        <v>19245</v>
      </c>
      <c r="E6433" s="355">
        <v>250</v>
      </c>
      <c r="F6433" s="1662">
        <v>119</v>
      </c>
    </row>
    <row r="6434" spans="1:6" ht="15" customHeight="1" x14ac:dyDescent="0.25">
      <c r="A6434" s="2352" t="s">
        <v>19194</v>
      </c>
      <c r="B6434" s="2352" t="s">
        <v>18806</v>
      </c>
      <c r="C6434" s="2352" t="s">
        <v>18806</v>
      </c>
      <c r="D6434" s="2352" t="s">
        <v>19195</v>
      </c>
      <c r="E6434" s="355">
        <v>30</v>
      </c>
      <c r="F6434" s="1662">
        <v>6</v>
      </c>
    </row>
    <row r="6435" spans="1:6" ht="15" customHeight="1" x14ac:dyDescent="0.25">
      <c r="A6435" s="2352" t="s">
        <v>19246</v>
      </c>
      <c r="B6435" s="2352" t="s">
        <v>18806</v>
      </c>
      <c r="C6435" s="2352" t="s">
        <v>18806</v>
      </c>
      <c r="D6435" s="2352" t="s">
        <v>19247</v>
      </c>
      <c r="E6435" s="355">
        <v>100</v>
      </c>
      <c r="F6435" s="1662">
        <v>0</v>
      </c>
    </row>
    <row r="6436" spans="1:6" ht="15" customHeight="1" x14ac:dyDescent="0.25">
      <c r="A6436" s="2352" t="s">
        <v>4413</v>
      </c>
      <c r="B6436" s="2352" t="s">
        <v>18806</v>
      </c>
      <c r="C6436" s="2352" t="s">
        <v>18806</v>
      </c>
      <c r="D6436" s="2352" t="s">
        <v>14040</v>
      </c>
      <c r="E6436" s="355">
        <v>100</v>
      </c>
      <c r="F6436" s="1662">
        <v>0</v>
      </c>
    </row>
    <row r="6437" spans="1:6" ht="15" customHeight="1" x14ac:dyDescent="0.25">
      <c r="A6437" s="2352" t="s">
        <v>4413</v>
      </c>
      <c r="B6437" s="2352" t="s">
        <v>18806</v>
      </c>
      <c r="C6437" s="2352" t="s">
        <v>18806</v>
      </c>
      <c r="D6437" s="2352" t="s">
        <v>19248</v>
      </c>
      <c r="E6437" s="355">
        <v>250</v>
      </c>
      <c r="F6437" s="1662">
        <v>182</v>
      </c>
    </row>
    <row r="6438" spans="1:6" ht="15" customHeight="1" x14ac:dyDescent="0.25">
      <c r="A6438" s="2352" t="s">
        <v>4413</v>
      </c>
      <c r="B6438" s="2352" t="s">
        <v>18806</v>
      </c>
      <c r="C6438" s="2352" t="s">
        <v>18806</v>
      </c>
      <c r="D6438" s="2352" t="s">
        <v>19249</v>
      </c>
      <c r="E6438" s="355">
        <v>100</v>
      </c>
      <c r="F6438" s="1662">
        <v>32</v>
      </c>
    </row>
    <row r="6439" spans="1:6" ht="15" customHeight="1" x14ac:dyDescent="0.25">
      <c r="A6439" s="2352" t="s">
        <v>4413</v>
      </c>
      <c r="B6439" s="2352" t="s">
        <v>18806</v>
      </c>
      <c r="C6439" s="2352" t="s">
        <v>18806</v>
      </c>
      <c r="D6439" s="2352" t="s">
        <v>19250</v>
      </c>
      <c r="E6439" s="355">
        <v>400</v>
      </c>
      <c r="F6439" s="1662">
        <v>400</v>
      </c>
    </row>
    <row r="6440" spans="1:6" ht="15" customHeight="1" x14ac:dyDescent="0.25">
      <c r="A6440" s="2352" t="s">
        <v>4413</v>
      </c>
      <c r="B6440" s="2352" t="s">
        <v>18806</v>
      </c>
      <c r="C6440" s="2352" t="s">
        <v>18806</v>
      </c>
      <c r="D6440" s="2352" t="s">
        <v>19251</v>
      </c>
      <c r="E6440" s="355">
        <v>100</v>
      </c>
      <c r="F6440" s="1662">
        <v>100</v>
      </c>
    </row>
    <row r="6441" spans="1:6" ht="15" customHeight="1" x14ac:dyDescent="0.25">
      <c r="A6441" s="2352" t="s">
        <v>19252</v>
      </c>
      <c r="B6441" s="2352" t="s">
        <v>18806</v>
      </c>
      <c r="C6441" s="2352" t="s">
        <v>18806</v>
      </c>
      <c r="D6441" s="2352" t="s">
        <v>19253</v>
      </c>
      <c r="E6441" s="355">
        <v>30</v>
      </c>
      <c r="F6441" s="1662">
        <v>0</v>
      </c>
    </row>
    <row r="6442" spans="1:6" ht="15" customHeight="1" x14ac:dyDescent="0.25">
      <c r="A6442" s="2352" t="s">
        <v>3688</v>
      </c>
      <c r="B6442" s="2352" t="s">
        <v>18806</v>
      </c>
      <c r="C6442" s="2352" t="s">
        <v>18806</v>
      </c>
      <c r="D6442" s="2352" t="s">
        <v>6484</v>
      </c>
      <c r="E6442" s="355">
        <v>50</v>
      </c>
      <c r="F6442" s="1662">
        <v>0</v>
      </c>
    </row>
    <row r="6443" spans="1:6" ht="15" customHeight="1" x14ac:dyDescent="0.25">
      <c r="A6443" s="2352" t="s">
        <v>10329</v>
      </c>
      <c r="B6443" s="2352" t="s">
        <v>18806</v>
      </c>
      <c r="C6443" s="2352" t="s">
        <v>18806</v>
      </c>
      <c r="D6443" s="2352" t="s">
        <v>12814</v>
      </c>
      <c r="E6443" s="355">
        <v>63</v>
      </c>
      <c r="F6443" s="1662">
        <v>0</v>
      </c>
    </row>
    <row r="6444" spans="1:6" ht="15" customHeight="1" x14ac:dyDescent="0.25">
      <c r="A6444" s="2352" t="s">
        <v>19254</v>
      </c>
      <c r="B6444" s="2352" t="s">
        <v>18806</v>
      </c>
      <c r="C6444" s="2352" t="s">
        <v>18806</v>
      </c>
      <c r="D6444" s="2352" t="s">
        <v>19255</v>
      </c>
      <c r="E6444" s="355">
        <v>100</v>
      </c>
      <c r="F6444" s="1662">
        <v>10</v>
      </c>
    </row>
    <row r="6445" spans="1:6" ht="15" customHeight="1" x14ac:dyDescent="0.25">
      <c r="A6445" s="2352" t="s">
        <v>6466</v>
      </c>
      <c r="B6445" s="2352" t="s">
        <v>18806</v>
      </c>
      <c r="C6445" s="2352" t="s">
        <v>18806</v>
      </c>
      <c r="D6445" s="2352" t="s">
        <v>6465</v>
      </c>
      <c r="E6445" s="355">
        <v>30</v>
      </c>
      <c r="F6445" s="1662">
        <v>0</v>
      </c>
    </row>
    <row r="6446" spans="1:6" ht="15" customHeight="1" x14ac:dyDescent="0.25">
      <c r="A6446" s="2352" t="s">
        <v>19256</v>
      </c>
      <c r="B6446" s="2352" t="s">
        <v>18806</v>
      </c>
      <c r="C6446" s="2352" t="s">
        <v>18806</v>
      </c>
      <c r="D6446" s="2352" t="s">
        <v>19257</v>
      </c>
      <c r="E6446" s="355">
        <v>30</v>
      </c>
      <c r="F6446" s="1662">
        <v>0</v>
      </c>
    </row>
    <row r="6447" spans="1:6" ht="15" customHeight="1" x14ac:dyDescent="0.25">
      <c r="A6447" s="2352" t="s">
        <v>19258</v>
      </c>
      <c r="B6447" s="2352" t="s">
        <v>18806</v>
      </c>
      <c r="C6447" s="2352" t="s">
        <v>18806</v>
      </c>
      <c r="D6447" s="2352" t="s">
        <v>19259</v>
      </c>
      <c r="E6447" s="355">
        <v>63</v>
      </c>
      <c r="F6447" s="1662">
        <v>9</v>
      </c>
    </row>
    <row r="6448" spans="1:6" ht="15" customHeight="1" x14ac:dyDescent="0.25">
      <c r="A6448" s="2352" t="s">
        <v>15093</v>
      </c>
      <c r="B6448" s="2352" t="s">
        <v>18806</v>
      </c>
      <c r="C6448" s="2352" t="s">
        <v>18806</v>
      </c>
      <c r="D6448" s="2352" t="s">
        <v>19260</v>
      </c>
      <c r="E6448" s="355">
        <v>100</v>
      </c>
      <c r="F6448" s="1662">
        <v>31</v>
      </c>
    </row>
    <row r="6449" spans="1:6" ht="15" customHeight="1" x14ac:dyDescent="0.25">
      <c r="A6449" s="2352" t="s">
        <v>19261</v>
      </c>
      <c r="B6449" s="2352" t="s">
        <v>18806</v>
      </c>
      <c r="C6449" s="2352" t="s">
        <v>18806</v>
      </c>
      <c r="D6449" s="2352" t="s">
        <v>19262</v>
      </c>
      <c r="E6449" s="355">
        <v>20</v>
      </c>
      <c r="F6449" s="1662">
        <v>0</v>
      </c>
    </row>
    <row r="6450" spans="1:6" ht="15" customHeight="1" x14ac:dyDescent="0.25">
      <c r="A6450" s="2352" t="s">
        <v>6423</v>
      </c>
      <c r="B6450" s="2352" t="s">
        <v>18806</v>
      </c>
      <c r="C6450" s="2352" t="s">
        <v>18806</v>
      </c>
      <c r="D6450" s="2352" t="s">
        <v>14041</v>
      </c>
      <c r="E6450" s="355">
        <v>63</v>
      </c>
      <c r="F6450" s="1662">
        <v>0</v>
      </c>
    </row>
    <row r="6451" spans="1:6" ht="15" customHeight="1" x14ac:dyDescent="0.25">
      <c r="A6451" s="2352" t="s">
        <v>19263</v>
      </c>
      <c r="B6451" s="2352" t="s">
        <v>18806</v>
      </c>
      <c r="C6451" s="2352" t="s">
        <v>18806</v>
      </c>
      <c r="D6451" s="2352" t="s">
        <v>19264</v>
      </c>
      <c r="E6451" s="355">
        <v>400</v>
      </c>
      <c r="F6451" s="1662">
        <v>317</v>
      </c>
    </row>
    <row r="6452" spans="1:6" ht="15" customHeight="1" x14ac:dyDescent="0.25">
      <c r="A6452" s="2352" t="s">
        <v>19265</v>
      </c>
      <c r="B6452" s="2352" t="s">
        <v>18806</v>
      </c>
      <c r="C6452" s="2352" t="s">
        <v>18806</v>
      </c>
      <c r="D6452" s="2352" t="s">
        <v>19266</v>
      </c>
      <c r="E6452" s="355">
        <v>100</v>
      </c>
      <c r="F6452" s="1662">
        <v>0</v>
      </c>
    </row>
    <row r="6453" spans="1:6" ht="15" customHeight="1" x14ac:dyDescent="0.25">
      <c r="A6453" s="2352" t="s">
        <v>19267</v>
      </c>
      <c r="B6453" s="2352" t="s">
        <v>18806</v>
      </c>
      <c r="C6453" s="2352" t="s">
        <v>18806</v>
      </c>
      <c r="D6453" s="2352" t="s">
        <v>19268</v>
      </c>
      <c r="E6453" s="355">
        <v>40</v>
      </c>
      <c r="F6453" s="1662">
        <v>40</v>
      </c>
    </row>
    <row r="6454" spans="1:6" ht="15" customHeight="1" x14ac:dyDescent="0.25">
      <c r="A6454" s="2352" t="s">
        <v>19269</v>
      </c>
      <c r="B6454" s="2352" t="s">
        <v>18806</v>
      </c>
      <c r="C6454" s="2352" t="s">
        <v>18806</v>
      </c>
      <c r="D6454" s="2352" t="s">
        <v>19270</v>
      </c>
      <c r="E6454" s="355">
        <v>30</v>
      </c>
      <c r="F6454" s="1662">
        <v>0</v>
      </c>
    </row>
    <row r="6455" spans="1:6" ht="15" customHeight="1" x14ac:dyDescent="0.25">
      <c r="A6455" s="2352" t="s">
        <v>19271</v>
      </c>
      <c r="B6455" s="2352" t="s">
        <v>18806</v>
      </c>
      <c r="C6455" s="2352" t="s">
        <v>18806</v>
      </c>
      <c r="D6455" s="2352" t="s">
        <v>19272</v>
      </c>
      <c r="E6455" s="355">
        <v>30</v>
      </c>
      <c r="F6455" s="1662">
        <v>0</v>
      </c>
    </row>
    <row r="6456" spans="1:6" ht="15" customHeight="1" x14ac:dyDescent="0.25">
      <c r="A6456" s="2352" t="s">
        <v>19273</v>
      </c>
      <c r="B6456" s="2352" t="s">
        <v>18806</v>
      </c>
      <c r="C6456" s="2352" t="s">
        <v>18806</v>
      </c>
      <c r="D6456" s="2352" t="s">
        <v>19274</v>
      </c>
      <c r="E6456" s="355">
        <v>250</v>
      </c>
      <c r="F6456" s="1662">
        <v>111</v>
      </c>
    </row>
    <row r="6457" spans="1:6" ht="15" customHeight="1" x14ac:dyDescent="0.25">
      <c r="A6457" s="2352" t="s">
        <v>19275</v>
      </c>
      <c r="B6457" s="2352" t="s">
        <v>18806</v>
      </c>
      <c r="C6457" s="2352" t="s">
        <v>18806</v>
      </c>
      <c r="D6457" s="2352" t="s">
        <v>19276</v>
      </c>
      <c r="E6457" s="355">
        <v>250</v>
      </c>
      <c r="F6457" s="1662">
        <v>186</v>
      </c>
    </row>
    <row r="6458" spans="1:6" ht="15" customHeight="1" x14ac:dyDescent="0.25">
      <c r="A6458" s="2352" t="s">
        <v>19275</v>
      </c>
      <c r="B6458" s="2352" t="s">
        <v>18806</v>
      </c>
      <c r="C6458" s="2352" t="s">
        <v>18806</v>
      </c>
      <c r="D6458" s="2352" t="s">
        <v>19277</v>
      </c>
      <c r="E6458" s="355">
        <v>250</v>
      </c>
      <c r="F6458" s="1662">
        <v>150</v>
      </c>
    </row>
    <row r="6459" spans="1:6" ht="15" customHeight="1" x14ac:dyDescent="0.25">
      <c r="A6459" s="2352" t="s">
        <v>19275</v>
      </c>
      <c r="B6459" s="2352" t="s">
        <v>18806</v>
      </c>
      <c r="C6459" s="2352" t="s">
        <v>18806</v>
      </c>
      <c r="D6459" s="2352" t="s">
        <v>19278</v>
      </c>
      <c r="E6459" s="355">
        <v>250</v>
      </c>
      <c r="F6459" s="1662">
        <v>147</v>
      </c>
    </row>
    <row r="6460" spans="1:6" ht="15" customHeight="1" x14ac:dyDescent="0.25">
      <c r="A6460" s="2352" t="s">
        <v>19275</v>
      </c>
      <c r="B6460" s="2352" t="s">
        <v>18806</v>
      </c>
      <c r="C6460" s="2352" t="s">
        <v>18806</v>
      </c>
      <c r="D6460" s="2352" t="s">
        <v>19279</v>
      </c>
      <c r="E6460" s="355">
        <v>400</v>
      </c>
      <c r="F6460" s="1662">
        <v>257</v>
      </c>
    </row>
    <row r="6461" spans="1:6" ht="15" customHeight="1" x14ac:dyDescent="0.25">
      <c r="A6461" s="2352" t="s">
        <v>19275</v>
      </c>
      <c r="B6461" s="2352" t="s">
        <v>18806</v>
      </c>
      <c r="C6461" s="2352" t="s">
        <v>18806</v>
      </c>
      <c r="D6461" s="2352" t="s">
        <v>19280</v>
      </c>
      <c r="E6461" s="355">
        <v>160</v>
      </c>
      <c r="F6461" s="1662">
        <v>17</v>
      </c>
    </row>
    <row r="6462" spans="1:6" ht="15" customHeight="1" x14ac:dyDescent="0.25">
      <c r="A6462" s="2352" t="s">
        <v>19281</v>
      </c>
      <c r="B6462" s="2352" t="s">
        <v>18806</v>
      </c>
      <c r="C6462" s="2352" t="s">
        <v>18806</v>
      </c>
      <c r="D6462" s="2352" t="s">
        <v>19282</v>
      </c>
      <c r="E6462" s="355">
        <v>40</v>
      </c>
      <c r="F6462" s="1662">
        <v>0</v>
      </c>
    </row>
    <row r="6463" spans="1:6" ht="15" customHeight="1" x14ac:dyDescent="0.25">
      <c r="A6463" s="2352" t="s">
        <v>19283</v>
      </c>
      <c r="B6463" s="2352" t="s">
        <v>18806</v>
      </c>
      <c r="C6463" s="2352" t="s">
        <v>18806</v>
      </c>
      <c r="D6463" s="2352" t="s">
        <v>19284</v>
      </c>
      <c r="E6463" s="355">
        <v>40</v>
      </c>
      <c r="F6463" s="1662">
        <v>10</v>
      </c>
    </row>
    <row r="6464" spans="1:6" ht="15" customHeight="1" x14ac:dyDescent="0.25">
      <c r="A6464" s="2352" t="s">
        <v>19285</v>
      </c>
      <c r="B6464" s="2352" t="s">
        <v>18806</v>
      </c>
      <c r="C6464" s="2352" t="s">
        <v>18806</v>
      </c>
      <c r="D6464" s="2352" t="s">
        <v>19286</v>
      </c>
      <c r="E6464" s="355">
        <v>30</v>
      </c>
      <c r="F6464" s="1662">
        <v>0</v>
      </c>
    </row>
    <row r="6465" spans="1:6" ht="15" customHeight="1" x14ac:dyDescent="0.25">
      <c r="A6465" s="2352" t="s">
        <v>19287</v>
      </c>
      <c r="B6465" s="2352" t="s">
        <v>18806</v>
      </c>
      <c r="C6465" s="2352" t="s">
        <v>18806</v>
      </c>
      <c r="D6465" s="2352" t="s">
        <v>19288</v>
      </c>
      <c r="E6465" s="355">
        <v>250</v>
      </c>
      <c r="F6465" s="1662">
        <v>250</v>
      </c>
    </row>
    <row r="6466" spans="1:6" ht="15" customHeight="1" x14ac:dyDescent="0.25">
      <c r="A6466" s="2352" t="s">
        <v>19287</v>
      </c>
      <c r="B6466" s="2352" t="s">
        <v>18806</v>
      </c>
      <c r="C6466" s="2352" t="s">
        <v>18806</v>
      </c>
      <c r="D6466" s="2352" t="s">
        <v>19289</v>
      </c>
      <c r="E6466" s="355">
        <v>100</v>
      </c>
      <c r="F6466" s="1662">
        <v>0</v>
      </c>
    </row>
    <row r="6467" spans="1:6" ht="15" customHeight="1" x14ac:dyDescent="0.25">
      <c r="A6467" s="2352" t="s">
        <v>19287</v>
      </c>
      <c r="B6467" s="2352" t="s">
        <v>18806</v>
      </c>
      <c r="C6467" s="2352" t="s">
        <v>18806</v>
      </c>
      <c r="D6467" s="2352" t="s">
        <v>19290</v>
      </c>
      <c r="E6467" s="355">
        <v>250</v>
      </c>
      <c r="F6467" s="1662">
        <v>67</v>
      </c>
    </row>
    <row r="6468" spans="1:6" ht="15" customHeight="1" x14ac:dyDescent="0.25">
      <c r="A6468" s="2352" t="s">
        <v>19287</v>
      </c>
      <c r="B6468" s="2352" t="s">
        <v>18806</v>
      </c>
      <c r="C6468" s="2352" t="s">
        <v>18806</v>
      </c>
      <c r="D6468" s="2352" t="s">
        <v>19291</v>
      </c>
      <c r="E6468" s="355">
        <v>160</v>
      </c>
      <c r="F6468" s="1662">
        <v>34</v>
      </c>
    </row>
    <row r="6469" spans="1:6" ht="15" customHeight="1" x14ac:dyDescent="0.25">
      <c r="A6469" s="2352" t="s">
        <v>19292</v>
      </c>
      <c r="B6469" s="2352" t="s">
        <v>18806</v>
      </c>
      <c r="C6469" s="2352" t="s">
        <v>18806</v>
      </c>
      <c r="D6469" s="2352" t="s">
        <v>19293</v>
      </c>
      <c r="E6469" s="355">
        <v>60</v>
      </c>
      <c r="F6469" s="1662">
        <v>0</v>
      </c>
    </row>
    <row r="6470" spans="1:6" ht="15" customHeight="1" x14ac:dyDescent="0.25">
      <c r="A6470" s="2352" t="s">
        <v>19287</v>
      </c>
      <c r="B6470" s="2352" t="s">
        <v>18806</v>
      </c>
      <c r="C6470" s="2352" t="s">
        <v>18806</v>
      </c>
      <c r="D6470" s="2352" t="s">
        <v>19294</v>
      </c>
      <c r="E6470" s="355">
        <v>250</v>
      </c>
      <c r="F6470" s="1662">
        <v>184</v>
      </c>
    </row>
    <row r="6471" spans="1:6" ht="15" customHeight="1" x14ac:dyDescent="0.25">
      <c r="A6471" s="2352" t="s">
        <v>19287</v>
      </c>
      <c r="B6471" s="2352" t="s">
        <v>18806</v>
      </c>
      <c r="C6471" s="2352" t="s">
        <v>18806</v>
      </c>
      <c r="D6471" s="2352" t="s">
        <v>19295</v>
      </c>
      <c r="E6471" s="355">
        <v>160</v>
      </c>
      <c r="F6471" s="1662">
        <v>120</v>
      </c>
    </row>
    <row r="6472" spans="1:6" ht="15" customHeight="1" x14ac:dyDescent="0.25">
      <c r="A6472" s="2352" t="s">
        <v>19296</v>
      </c>
      <c r="B6472" s="2352" t="s">
        <v>18806</v>
      </c>
      <c r="C6472" s="2352" t="s">
        <v>18806</v>
      </c>
      <c r="D6472" s="2352" t="s">
        <v>19297</v>
      </c>
      <c r="E6472" s="355">
        <v>100</v>
      </c>
      <c r="F6472" s="1662">
        <v>31</v>
      </c>
    </row>
    <row r="6473" spans="1:6" ht="15" customHeight="1" x14ac:dyDescent="0.25">
      <c r="A6473" s="2352" t="s">
        <v>19298</v>
      </c>
      <c r="B6473" s="2352" t="s">
        <v>18806</v>
      </c>
      <c r="C6473" s="2352" t="s">
        <v>18806</v>
      </c>
      <c r="D6473" s="2352" t="s">
        <v>19299</v>
      </c>
      <c r="E6473" s="355">
        <v>100</v>
      </c>
      <c r="F6473" s="1662">
        <v>0</v>
      </c>
    </row>
    <row r="6474" spans="1:6" ht="15" customHeight="1" x14ac:dyDescent="0.25">
      <c r="A6474" s="2352" t="s">
        <v>19300</v>
      </c>
      <c r="B6474" s="2352" t="s">
        <v>18806</v>
      </c>
      <c r="C6474" s="2352" t="s">
        <v>18806</v>
      </c>
      <c r="D6474" s="2352" t="s">
        <v>19301</v>
      </c>
      <c r="E6474" s="355">
        <v>30</v>
      </c>
      <c r="F6474" s="1662">
        <v>0</v>
      </c>
    </row>
    <row r="6475" spans="1:6" ht="15" customHeight="1" x14ac:dyDescent="0.25">
      <c r="A6475" s="2352" t="s">
        <v>10999</v>
      </c>
      <c r="B6475" s="2352" t="s">
        <v>18806</v>
      </c>
      <c r="C6475" s="2352" t="s">
        <v>18806</v>
      </c>
      <c r="D6475" s="2352" t="s">
        <v>19302</v>
      </c>
      <c r="E6475" s="355">
        <v>100</v>
      </c>
      <c r="F6475" s="1662">
        <v>0</v>
      </c>
    </row>
    <row r="6476" spans="1:6" ht="15" customHeight="1" x14ac:dyDescent="0.25">
      <c r="A6476" s="2352" t="s">
        <v>19303</v>
      </c>
      <c r="B6476" s="2352" t="s">
        <v>18806</v>
      </c>
      <c r="C6476" s="2352" t="s">
        <v>18806</v>
      </c>
      <c r="D6476" s="2352" t="s">
        <v>19304</v>
      </c>
      <c r="E6476" s="355">
        <v>63</v>
      </c>
      <c r="F6476" s="1662">
        <v>52</v>
      </c>
    </row>
    <row r="6477" spans="1:6" ht="15" customHeight="1" x14ac:dyDescent="0.25">
      <c r="A6477" s="2352" t="s">
        <v>19305</v>
      </c>
      <c r="B6477" s="2352" t="s">
        <v>18806</v>
      </c>
      <c r="C6477" s="2352" t="s">
        <v>18806</v>
      </c>
      <c r="D6477" s="2352" t="s">
        <v>19306</v>
      </c>
      <c r="E6477" s="355">
        <v>160</v>
      </c>
      <c r="F6477" s="1662">
        <v>74</v>
      </c>
    </row>
    <row r="6478" spans="1:6" ht="15" customHeight="1" x14ac:dyDescent="0.25">
      <c r="A6478" s="2352" t="s">
        <v>19307</v>
      </c>
      <c r="B6478" s="2352" t="s">
        <v>18806</v>
      </c>
      <c r="C6478" s="2352" t="s">
        <v>18806</v>
      </c>
      <c r="D6478" s="2352" t="s">
        <v>19308</v>
      </c>
      <c r="E6478" s="355">
        <v>160</v>
      </c>
      <c r="F6478" s="1662">
        <v>160</v>
      </c>
    </row>
    <row r="6479" spans="1:6" ht="15" customHeight="1" x14ac:dyDescent="0.25">
      <c r="A6479" s="2352" t="s">
        <v>13700</v>
      </c>
      <c r="B6479" s="2352" t="s">
        <v>18806</v>
      </c>
      <c r="C6479" s="2352" t="s">
        <v>18806</v>
      </c>
      <c r="D6479" s="2352" t="s">
        <v>19309</v>
      </c>
      <c r="E6479" s="355">
        <v>30</v>
      </c>
      <c r="F6479" s="1662">
        <v>0</v>
      </c>
    </row>
    <row r="6480" spans="1:6" ht="15" customHeight="1" x14ac:dyDescent="0.25">
      <c r="A6480" s="2352" t="s">
        <v>19310</v>
      </c>
      <c r="B6480" s="2352" t="s">
        <v>18806</v>
      </c>
      <c r="C6480" s="2352" t="s">
        <v>18806</v>
      </c>
      <c r="D6480" s="2352" t="s">
        <v>19311</v>
      </c>
      <c r="E6480" s="355">
        <v>100</v>
      </c>
      <c r="F6480" s="1662">
        <v>34</v>
      </c>
    </row>
    <row r="6481" spans="1:6" ht="15" customHeight="1" x14ac:dyDescent="0.25">
      <c r="A6481" s="2352" t="s">
        <v>19053</v>
      </c>
      <c r="B6481" s="2352" t="s">
        <v>18806</v>
      </c>
      <c r="C6481" s="2352" t="s">
        <v>18806</v>
      </c>
      <c r="D6481" s="2352" t="s">
        <v>13311</v>
      </c>
      <c r="E6481" s="355">
        <v>100</v>
      </c>
      <c r="F6481" s="1662">
        <v>67</v>
      </c>
    </row>
    <row r="6482" spans="1:6" ht="15" customHeight="1" x14ac:dyDescent="0.25">
      <c r="A6482" s="2352" t="s">
        <v>19312</v>
      </c>
      <c r="B6482" s="2352" t="s">
        <v>18806</v>
      </c>
      <c r="C6482" s="2352" t="s">
        <v>18806</v>
      </c>
      <c r="D6482" s="2352" t="s">
        <v>19313</v>
      </c>
      <c r="E6482" s="355">
        <v>30</v>
      </c>
      <c r="F6482" s="1662">
        <v>0</v>
      </c>
    </row>
    <row r="6483" spans="1:6" ht="15" customHeight="1" x14ac:dyDescent="0.25">
      <c r="A6483" s="2352" t="s">
        <v>19314</v>
      </c>
      <c r="B6483" s="2352" t="s">
        <v>18806</v>
      </c>
      <c r="C6483" s="2352" t="s">
        <v>18806</v>
      </c>
      <c r="D6483" s="2352" t="s">
        <v>19315</v>
      </c>
      <c r="E6483" s="355">
        <v>100</v>
      </c>
      <c r="F6483" s="1662">
        <v>73</v>
      </c>
    </row>
    <row r="6484" spans="1:6" ht="15" customHeight="1" x14ac:dyDescent="0.25">
      <c r="A6484" s="2352" t="s">
        <v>19316</v>
      </c>
      <c r="B6484" s="2352" t="s">
        <v>12374</v>
      </c>
      <c r="C6484" s="2352" t="s">
        <v>18806</v>
      </c>
      <c r="D6484" s="2352" t="s">
        <v>19317</v>
      </c>
      <c r="E6484" s="355">
        <v>400</v>
      </c>
      <c r="F6484" s="1662">
        <v>326</v>
      </c>
    </row>
    <row r="6485" spans="1:6" ht="15" customHeight="1" x14ac:dyDescent="0.25">
      <c r="A6485" s="2352" t="s">
        <v>4212</v>
      </c>
      <c r="B6485" s="2352" t="s">
        <v>12374</v>
      </c>
      <c r="C6485" s="2352" t="s">
        <v>18806</v>
      </c>
      <c r="D6485" s="2352" t="s">
        <v>4212</v>
      </c>
      <c r="E6485" s="355">
        <v>40</v>
      </c>
      <c r="F6485" s="1662">
        <v>0</v>
      </c>
    </row>
    <row r="6486" spans="1:6" ht="15" customHeight="1" x14ac:dyDescent="0.25">
      <c r="A6486" s="2352" t="s">
        <v>19318</v>
      </c>
      <c r="B6486" s="2352" t="s">
        <v>12374</v>
      </c>
      <c r="C6486" s="2352" t="s">
        <v>18806</v>
      </c>
      <c r="D6486" s="2352" t="s">
        <v>19318</v>
      </c>
      <c r="E6486" s="355">
        <v>30</v>
      </c>
      <c r="F6486" s="1662">
        <v>0</v>
      </c>
    </row>
    <row r="6487" spans="1:6" ht="15" customHeight="1" x14ac:dyDescent="0.25">
      <c r="A6487" s="2352" t="s">
        <v>6517</v>
      </c>
      <c r="B6487" s="2352" t="s">
        <v>12374</v>
      </c>
      <c r="C6487" s="2352" t="s">
        <v>18806</v>
      </c>
      <c r="D6487" s="2352" t="s">
        <v>6517</v>
      </c>
      <c r="E6487" s="355">
        <v>63</v>
      </c>
      <c r="F6487" s="1662">
        <v>26</v>
      </c>
    </row>
    <row r="6488" spans="1:6" ht="15" customHeight="1" x14ac:dyDescent="0.25">
      <c r="A6488" s="2352" t="s">
        <v>19319</v>
      </c>
      <c r="B6488" s="2352" t="s">
        <v>12374</v>
      </c>
      <c r="C6488" s="2352" t="s">
        <v>18806</v>
      </c>
      <c r="D6488" s="2352" t="s">
        <v>19320</v>
      </c>
      <c r="E6488" s="355">
        <v>160</v>
      </c>
      <c r="F6488" s="1662">
        <v>0</v>
      </c>
    </row>
    <row r="6489" spans="1:6" ht="15" customHeight="1" x14ac:dyDescent="0.25">
      <c r="A6489" s="2352" t="s">
        <v>19316</v>
      </c>
      <c r="B6489" s="2352" t="s">
        <v>12374</v>
      </c>
      <c r="C6489" s="2352" t="s">
        <v>18806</v>
      </c>
      <c r="D6489" s="2352" t="s">
        <v>19321</v>
      </c>
      <c r="E6489" s="355">
        <v>160</v>
      </c>
      <c r="F6489" s="1662">
        <v>24</v>
      </c>
    </row>
    <row r="6490" spans="1:6" ht="15" customHeight="1" x14ac:dyDescent="0.25">
      <c r="A6490" s="2352" t="s">
        <v>19316</v>
      </c>
      <c r="B6490" s="2352" t="s">
        <v>12374</v>
      </c>
      <c r="C6490" s="2352" t="s">
        <v>18806</v>
      </c>
      <c r="D6490" s="2352" t="s">
        <v>19322</v>
      </c>
      <c r="E6490" s="355">
        <v>250</v>
      </c>
      <c r="F6490" s="1662">
        <v>94</v>
      </c>
    </row>
    <row r="6491" spans="1:6" ht="15" customHeight="1" x14ac:dyDescent="0.25">
      <c r="A6491" s="2352" t="s">
        <v>19316</v>
      </c>
      <c r="B6491" s="2352" t="s">
        <v>12374</v>
      </c>
      <c r="C6491" s="2352" t="s">
        <v>18806</v>
      </c>
      <c r="D6491" s="2352" t="s">
        <v>19323</v>
      </c>
      <c r="E6491" s="355">
        <v>400</v>
      </c>
      <c r="F6491" s="1662">
        <v>136</v>
      </c>
    </row>
    <row r="6492" spans="1:6" ht="15" customHeight="1" x14ac:dyDescent="0.25">
      <c r="A6492" s="2352" t="s">
        <v>19316</v>
      </c>
      <c r="B6492" s="2352" t="s">
        <v>12374</v>
      </c>
      <c r="C6492" s="2352" t="s">
        <v>18806</v>
      </c>
      <c r="D6492" s="2352" t="s">
        <v>19324</v>
      </c>
      <c r="E6492" s="355">
        <v>160</v>
      </c>
      <c r="F6492" s="1662">
        <v>0</v>
      </c>
    </row>
    <row r="6493" spans="1:6" ht="15" customHeight="1" x14ac:dyDescent="0.25">
      <c r="A6493" s="2352" t="s">
        <v>19316</v>
      </c>
      <c r="B6493" s="2352" t="s">
        <v>12374</v>
      </c>
      <c r="C6493" s="2352" t="s">
        <v>18806</v>
      </c>
      <c r="D6493" s="2352" t="s">
        <v>19325</v>
      </c>
      <c r="E6493" s="355">
        <v>250</v>
      </c>
      <c r="F6493" s="1662">
        <v>68</v>
      </c>
    </row>
    <row r="6494" spans="1:6" ht="15" customHeight="1" x14ac:dyDescent="0.25">
      <c r="A6494" s="2352" t="s">
        <v>15023</v>
      </c>
      <c r="B6494" s="2352" t="s">
        <v>12374</v>
      </c>
      <c r="C6494" s="2352" t="s">
        <v>18806</v>
      </c>
      <c r="D6494" s="2352" t="s">
        <v>13114</v>
      </c>
      <c r="E6494" s="355">
        <v>30</v>
      </c>
      <c r="F6494" s="1662">
        <v>9</v>
      </c>
    </row>
    <row r="6495" spans="1:6" ht="15" customHeight="1" x14ac:dyDescent="0.25">
      <c r="A6495" s="2352" t="s">
        <v>18958</v>
      </c>
      <c r="B6495" s="2352" t="s">
        <v>12374</v>
      </c>
      <c r="C6495" s="2352" t="s">
        <v>18806</v>
      </c>
      <c r="D6495" s="2352" t="s">
        <v>18959</v>
      </c>
      <c r="E6495" s="355">
        <v>20</v>
      </c>
      <c r="F6495" s="1662">
        <v>0</v>
      </c>
    </row>
    <row r="6496" spans="1:6" ht="15" customHeight="1" x14ac:dyDescent="0.25">
      <c r="A6496" s="2352" t="s">
        <v>19326</v>
      </c>
      <c r="B6496" s="2352" t="s">
        <v>12374</v>
      </c>
      <c r="C6496" s="2352" t="s">
        <v>18806</v>
      </c>
      <c r="D6496" s="2352" t="s">
        <v>19327</v>
      </c>
      <c r="E6496" s="355">
        <v>63</v>
      </c>
      <c r="F6496" s="1662">
        <v>0</v>
      </c>
    </row>
    <row r="6497" spans="1:6" ht="15" customHeight="1" x14ac:dyDescent="0.25">
      <c r="A6497" s="2352" t="s">
        <v>4622</v>
      </c>
      <c r="B6497" s="2352" t="s">
        <v>12374</v>
      </c>
      <c r="C6497" s="2352" t="s">
        <v>18806</v>
      </c>
      <c r="D6497" s="2352" t="s">
        <v>19328</v>
      </c>
      <c r="E6497" s="355">
        <v>160</v>
      </c>
      <c r="F6497" s="1662">
        <v>56</v>
      </c>
    </row>
    <row r="6498" spans="1:6" ht="15" customHeight="1" x14ac:dyDescent="0.25">
      <c r="A6498" s="2352" t="s">
        <v>4402</v>
      </c>
      <c r="B6498" s="2352" t="s">
        <v>12374</v>
      </c>
      <c r="C6498" s="2352" t="s">
        <v>18806</v>
      </c>
      <c r="D6498" s="2352" t="s">
        <v>19329</v>
      </c>
      <c r="E6498" s="355">
        <v>30</v>
      </c>
      <c r="F6498" s="1662">
        <v>0</v>
      </c>
    </row>
    <row r="6499" spans="1:6" ht="15" customHeight="1" x14ac:dyDescent="0.25">
      <c r="A6499" s="2352" t="s">
        <v>19330</v>
      </c>
      <c r="B6499" s="2352" t="s">
        <v>12374</v>
      </c>
      <c r="C6499" s="2352" t="s">
        <v>18806</v>
      </c>
      <c r="D6499" s="2352" t="s">
        <v>19331</v>
      </c>
      <c r="E6499" s="355">
        <v>100</v>
      </c>
      <c r="F6499" s="1662">
        <v>52</v>
      </c>
    </row>
    <row r="6500" spans="1:6" ht="15" customHeight="1" x14ac:dyDescent="0.25">
      <c r="A6500" s="2352" t="s">
        <v>19332</v>
      </c>
      <c r="B6500" s="2352" t="s">
        <v>12374</v>
      </c>
      <c r="C6500" s="2352" t="s">
        <v>18806</v>
      </c>
      <c r="D6500" s="2352" t="s">
        <v>19333</v>
      </c>
      <c r="E6500" s="355">
        <v>160</v>
      </c>
      <c r="F6500" s="1662">
        <v>0</v>
      </c>
    </row>
    <row r="6501" spans="1:6" ht="15" customHeight="1" x14ac:dyDescent="0.25">
      <c r="A6501" s="2352" t="s">
        <v>19334</v>
      </c>
      <c r="B6501" s="2352" t="s">
        <v>12374</v>
      </c>
      <c r="C6501" s="2352" t="s">
        <v>18806</v>
      </c>
      <c r="D6501" s="2352" t="s">
        <v>19335</v>
      </c>
      <c r="E6501" s="355">
        <v>160</v>
      </c>
      <c r="F6501" s="1662">
        <v>11</v>
      </c>
    </row>
    <row r="6502" spans="1:6" ht="15" customHeight="1" x14ac:dyDescent="0.25">
      <c r="A6502" s="2352" t="s">
        <v>19336</v>
      </c>
      <c r="B6502" s="2352" t="s">
        <v>12374</v>
      </c>
      <c r="C6502" s="2352" t="s">
        <v>18806</v>
      </c>
      <c r="D6502" s="2352" t="s">
        <v>19337</v>
      </c>
      <c r="E6502" s="355">
        <v>60</v>
      </c>
      <c r="F6502" s="1662">
        <v>0</v>
      </c>
    </row>
    <row r="6503" spans="1:6" ht="15" customHeight="1" x14ac:dyDescent="0.25">
      <c r="A6503" s="2352" t="s">
        <v>15701</v>
      </c>
      <c r="B6503" s="2352" t="s">
        <v>12374</v>
      </c>
      <c r="C6503" s="2352" t="s">
        <v>18806</v>
      </c>
      <c r="D6503" s="2352" t="s">
        <v>19338</v>
      </c>
      <c r="E6503" s="355">
        <v>20</v>
      </c>
      <c r="F6503" s="1662">
        <v>0</v>
      </c>
    </row>
    <row r="6504" spans="1:6" ht="15" customHeight="1" x14ac:dyDescent="0.25">
      <c r="A6504" s="2352" t="s">
        <v>15592</v>
      </c>
      <c r="B6504" s="2352" t="s">
        <v>12374</v>
      </c>
      <c r="C6504" s="2352" t="s">
        <v>18806</v>
      </c>
      <c r="D6504" s="2352" t="s">
        <v>19339</v>
      </c>
      <c r="E6504" s="355">
        <v>100</v>
      </c>
      <c r="F6504" s="1662">
        <v>11</v>
      </c>
    </row>
    <row r="6505" spans="1:6" ht="15" customHeight="1" x14ac:dyDescent="0.25">
      <c r="A6505" s="2352" t="s">
        <v>19340</v>
      </c>
      <c r="B6505" s="2352" t="s">
        <v>12374</v>
      </c>
      <c r="C6505" s="2352" t="s">
        <v>18806</v>
      </c>
      <c r="D6505" s="2352" t="s">
        <v>19341</v>
      </c>
      <c r="E6505" s="355">
        <v>20</v>
      </c>
      <c r="F6505" s="1662">
        <v>0</v>
      </c>
    </row>
    <row r="6506" spans="1:6" ht="15" customHeight="1" x14ac:dyDescent="0.25">
      <c r="A6506" s="2352" t="s">
        <v>19342</v>
      </c>
      <c r="B6506" s="2352" t="s">
        <v>12374</v>
      </c>
      <c r="C6506" s="2352" t="s">
        <v>18806</v>
      </c>
      <c r="D6506" s="2352" t="s">
        <v>19343</v>
      </c>
      <c r="E6506" s="355">
        <v>20</v>
      </c>
      <c r="F6506" s="1662">
        <v>0</v>
      </c>
    </row>
    <row r="6507" spans="1:6" ht="15" customHeight="1" x14ac:dyDescent="0.25">
      <c r="A6507" s="2352" t="s">
        <v>3922</v>
      </c>
      <c r="B6507" s="2352" t="s">
        <v>12374</v>
      </c>
      <c r="C6507" s="2352" t="s">
        <v>18806</v>
      </c>
      <c r="D6507" s="2352" t="s">
        <v>19344</v>
      </c>
      <c r="E6507" s="355">
        <v>30</v>
      </c>
      <c r="F6507" s="1662">
        <v>0</v>
      </c>
    </row>
    <row r="6508" spans="1:6" ht="15" customHeight="1" x14ac:dyDescent="0.25">
      <c r="A6508" s="2352" t="s">
        <v>19345</v>
      </c>
      <c r="B6508" s="2352" t="s">
        <v>12374</v>
      </c>
      <c r="C6508" s="2352" t="s">
        <v>18806</v>
      </c>
      <c r="D6508" s="2352" t="s">
        <v>19346</v>
      </c>
      <c r="E6508" s="355">
        <v>30</v>
      </c>
      <c r="F6508" s="1662">
        <v>0</v>
      </c>
    </row>
    <row r="6509" spans="1:6" ht="15" customHeight="1" x14ac:dyDescent="0.25">
      <c r="A6509" s="2352" t="s">
        <v>7263</v>
      </c>
      <c r="B6509" s="2352" t="s">
        <v>12374</v>
      </c>
      <c r="C6509" s="2352" t="s">
        <v>18806</v>
      </c>
      <c r="D6509" s="2352" t="s">
        <v>18823</v>
      </c>
      <c r="E6509" s="355">
        <v>30</v>
      </c>
      <c r="F6509" s="1662">
        <v>0</v>
      </c>
    </row>
    <row r="6510" spans="1:6" ht="15" customHeight="1" x14ac:dyDescent="0.25">
      <c r="A6510" s="2352" t="s">
        <v>9619</v>
      </c>
      <c r="B6510" s="2352" t="s">
        <v>18806</v>
      </c>
      <c r="C6510" s="2352" t="s">
        <v>18806</v>
      </c>
      <c r="D6510" s="2352" t="s">
        <v>19347</v>
      </c>
      <c r="E6510" s="355">
        <v>63</v>
      </c>
      <c r="F6510" s="1662">
        <v>30</v>
      </c>
    </row>
    <row r="6511" spans="1:6" ht="15" customHeight="1" x14ac:dyDescent="0.25">
      <c r="A6511" s="2352" t="s">
        <v>18944</v>
      </c>
      <c r="B6511" s="2352" t="s">
        <v>18806</v>
      </c>
      <c r="C6511" s="2352" t="s">
        <v>18806</v>
      </c>
      <c r="D6511" s="2352" t="s">
        <v>18945</v>
      </c>
      <c r="E6511" s="355">
        <v>63</v>
      </c>
      <c r="F6511" s="1662">
        <v>33</v>
      </c>
    </row>
    <row r="6512" spans="1:6" ht="15" customHeight="1" x14ac:dyDescent="0.25">
      <c r="A6512" s="2352" t="s">
        <v>19348</v>
      </c>
      <c r="B6512" s="2352" t="s">
        <v>18806</v>
      </c>
      <c r="C6512" s="2352" t="s">
        <v>18806</v>
      </c>
      <c r="D6512" s="2352" t="s">
        <v>19349</v>
      </c>
      <c r="E6512" s="355">
        <v>100</v>
      </c>
      <c r="F6512" s="1662">
        <v>19</v>
      </c>
    </row>
    <row r="6513" spans="1:6" ht="15" customHeight="1" x14ac:dyDescent="0.25">
      <c r="A6513" s="2352" t="s">
        <v>13821</v>
      </c>
      <c r="B6513" s="2352" t="s">
        <v>18806</v>
      </c>
      <c r="C6513" s="2352" t="s">
        <v>18806</v>
      </c>
      <c r="D6513" s="2352" t="s">
        <v>19350</v>
      </c>
      <c r="E6513" s="355">
        <v>30</v>
      </c>
      <c r="F6513" s="1662">
        <v>0</v>
      </c>
    </row>
    <row r="6514" spans="1:6" ht="15" customHeight="1" x14ac:dyDescent="0.25">
      <c r="A6514" s="2352" t="s">
        <v>19351</v>
      </c>
      <c r="B6514" s="2352" t="s">
        <v>18806</v>
      </c>
      <c r="C6514" s="2352" t="s">
        <v>18806</v>
      </c>
      <c r="D6514" s="2352" t="s">
        <v>19352</v>
      </c>
      <c r="E6514" s="355">
        <v>400</v>
      </c>
      <c r="F6514" s="1662">
        <v>327</v>
      </c>
    </row>
    <row r="6515" spans="1:6" ht="15" customHeight="1" x14ac:dyDescent="0.25">
      <c r="A6515" s="2352" t="s">
        <v>19351</v>
      </c>
      <c r="B6515" s="2352" t="s">
        <v>18806</v>
      </c>
      <c r="C6515" s="2352" t="s">
        <v>18806</v>
      </c>
      <c r="D6515" s="2352" t="s">
        <v>19353</v>
      </c>
      <c r="E6515" s="355">
        <v>400</v>
      </c>
      <c r="F6515" s="1662">
        <v>111</v>
      </c>
    </row>
    <row r="6516" spans="1:6" ht="15" customHeight="1" x14ac:dyDescent="0.25">
      <c r="A6516" s="2352" t="s">
        <v>19354</v>
      </c>
      <c r="B6516" s="2352" t="s">
        <v>18806</v>
      </c>
      <c r="C6516" s="2352" t="s">
        <v>18806</v>
      </c>
      <c r="D6516" s="2352" t="s">
        <v>19355</v>
      </c>
      <c r="E6516" s="355">
        <v>30</v>
      </c>
      <c r="F6516" s="1662">
        <v>8</v>
      </c>
    </row>
    <row r="6517" spans="1:6" ht="15" customHeight="1" x14ac:dyDescent="0.25">
      <c r="A6517" s="2352" t="s">
        <v>19356</v>
      </c>
      <c r="B6517" s="2352" t="s">
        <v>18806</v>
      </c>
      <c r="C6517" s="2352" t="s">
        <v>18806</v>
      </c>
      <c r="D6517" s="2352" t="s">
        <v>19357</v>
      </c>
      <c r="E6517" s="355">
        <v>63</v>
      </c>
      <c r="F6517" s="1662">
        <v>0</v>
      </c>
    </row>
    <row r="6518" spans="1:6" ht="15" customHeight="1" x14ac:dyDescent="0.25">
      <c r="A6518" s="2352" t="s">
        <v>19358</v>
      </c>
      <c r="B6518" s="2352" t="s">
        <v>18806</v>
      </c>
      <c r="C6518" s="2352" t="s">
        <v>18806</v>
      </c>
      <c r="D6518" s="2352" t="s">
        <v>19359</v>
      </c>
      <c r="E6518" s="355">
        <v>60</v>
      </c>
      <c r="F6518" s="1662">
        <v>27</v>
      </c>
    </row>
    <row r="6519" spans="1:6" ht="15" customHeight="1" x14ac:dyDescent="0.25">
      <c r="A6519" s="2352" t="s">
        <v>19360</v>
      </c>
      <c r="B6519" s="2352" t="s">
        <v>18806</v>
      </c>
      <c r="C6519" s="2352" t="s">
        <v>18806</v>
      </c>
      <c r="D6519" s="2352" t="s">
        <v>19361</v>
      </c>
      <c r="E6519" s="355">
        <v>30</v>
      </c>
      <c r="F6519" s="1662">
        <v>30</v>
      </c>
    </row>
    <row r="6520" spans="1:6" ht="15" customHeight="1" x14ac:dyDescent="0.25">
      <c r="A6520" s="2352" t="s">
        <v>19362</v>
      </c>
      <c r="B6520" s="2352" t="s">
        <v>18806</v>
      </c>
      <c r="C6520" s="2352" t="s">
        <v>18806</v>
      </c>
      <c r="D6520" s="2352" t="s">
        <v>19363</v>
      </c>
      <c r="E6520" s="355">
        <v>30</v>
      </c>
      <c r="F6520" s="1662">
        <v>12</v>
      </c>
    </row>
    <row r="6521" spans="1:6" ht="15" customHeight="1" x14ac:dyDescent="0.25">
      <c r="A6521" s="2352" t="s">
        <v>19364</v>
      </c>
      <c r="B6521" s="2352" t="s">
        <v>18806</v>
      </c>
      <c r="C6521" s="2352" t="s">
        <v>18806</v>
      </c>
      <c r="D6521" s="2352" t="s">
        <v>19365</v>
      </c>
      <c r="E6521" s="355">
        <v>30</v>
      </c>
      <c r="F6521" s="1662">
        <v>0</v>
      </c>
    </row>
    <row r="6522" spans="1:6" ht="15" customHeight="1" x14ac:dyDescent="0.25">
      <c r="A6522" s="2352" t="s">
        <v>8300</v>
      </c>
      <c r="B6522" s="2352" t="s">
        <v>18806</v>
      </c>
      <c r="C6522" s="2352" t="s">
        <v>18806</v>
      </c>
      <c r="D6522" s="2352" t="s">
        <v>6121</v>
      </c>
      <c r="E6522" s="355">
        <v>100</v>
      </c>
      <c r="F6522" s="1662">
        <v>32</v>
      </c>
    </row>
    <row r="6523" spans="1:6" ht="15" customHeight="1" x14ac:dyDescent="0.25">
      <c r="A6523" s="2352" t="s">
        <v>19366</v>
      </c>
      <c r="B6523" s="2352" t="s">
        <v>18806</v>
      </c>
      <c r="C6523" s="2352" t="s">
        <v>18806</v>
      </c>
      <c r="D6523" s="2352" t="s">
        <v>19367</v>
      </c>
      <c r="E6523" s="355">
        <v>160</v>
      </c>
      <c r="F6523" s="1662">
        <v>0</v>
      </c>
    </row>
    <row r="6524" spans="1:6" ht="15" customHeight="1" x14ac:dyDescent="0.25">
      <c r="A6524" s="2352" t="s">
        <v>19366</v>
      </c>
      <c r="B6524" s="2352" t="s">
        <v>18806</v>
      </c>
      <c r="C6524" s="2352" t="s">
        <v>18806</v>
      </c>
      <c r="D6524" s="2352" t="s">
        <v>19368</v>
      </c>
      <c r="E6524" s="355">
        <v>250</v>
      </c>
      <c r="F6524" s="1662">
        <v>117</v>
      </c>
    </row>
    <row r="6525" spans="1:6" ht="15" customHeight="1" x14ac:dyDescent="0.25">
      <c r="A6525" s="2352" t="s">
        <v>19366</v>
      </c>
      <c r="B6525" s="2352" t="s">
        <v>18806</v>
      </c>
      <c r="C6525" s="2352" t="s">
        <v>18806</v>
      </c>
      <c r="D6525" s="2352" t="s">
        <v>19369</v>
      </c>
      <c r="E6525" s="355">
        <v>160</v>
      </c>
      <c r="F6525" s="1662">
        <v>52</v>
      </c>
    </row>
    <row r="6526" spans="1:6" ht="15" customHeight="1" x14ac:dyDescent="0.25">
      <c r="A6526" s="2352" t="s">
        <v>4904</v>
      </c>
      <c r="B6526" s="2352" t="s">
        <v>5116</v>
      </c>
      <c r="C6526" s="2352" t="s">
        <v>5116</v>
      </c>
      <c r="D6526" s="2352" t="s">
        <v>5117</v>
      </c>
      <c r="E6526" s="355">
        <v>40</v>
      </c>
      <c r="F6526" s="1662">
        <v>5</v>
      </c>
    </row>
    <row r="6527" spans="1:6" ht="15" customHeight="1" x14ac:dyDescent="0.25">
      <c r="A6527" s="2352" t="s">
        <v>14620</v>
      </c>
      <c r="B6527" s="2352" t="s">
        <v>5116</v>
      </c>
      <c r="C6527" s="2352" t="s">
        <v>5116</v>
      </c>
      <c r="D6527" s="2352" t="s">
        <v>5118</v>
      </c>
      <c r="E6527" s="355">
        <v>250</v>
      </c>
      <c r="F6527" s="1662">
        <v>150</v>
      </c>
    </row>
    <row r="6528" spans="1:6" ht="15" customHeight="1" x14ac:dyDescent="0.25">
      <c r="A6528" s="2352" t="s">
        <v>5119</v>
      </c>
      <c r="B6528" s="2352" t="s">
        <v>5116</v>
      </c>
      <c r="C6528" s="2352" t="s">
        <v>5116</v>
      </c>
      <c r="D6528" s="2352" t="s">
        <v>5120</v>
      </c>
      <c r="E6528" s="355">
        <v>100</v>
      </c>
      <c r="F6528" s="1662">
        <v>20</v>
      </c>
    </row>
    <row r="6529" spans="1:6" ht="15" customHeight="1" x14ac:dyDescent="0.25">
      <c r="A6529" s="2352" t="s">
        <v>6524</v>
      </c>
      <c r="B6529" s="2352" t="s">
        <v>5116</v>
      </c>
      <c r="C6529" s="2352" t="s">
        <v>5116</v>
      </c>
      <c r="D6529" s="2352" t="s">
        <v>5121</v>
      </c>
      <c r="E6529" s="355">
        <v>60</v>
      </c>
      <c r="F6529" s="1662">
        <v>20</v>
      </c>
    </row>
    <row r="6530" spans="1:6" ht="15" customHeight="1" x14ac:dyDescent="0.25">
      <c r="A6530" s="2352" t="s">
        <v>14621</v>
      </c>
      <c r="B6530" s="2352" t="s">
        <v>5116</v>
      </c>
      <c r="C6530" s="2352" t="s">
        <v>5116</v>
      </c>
      <c r="D6530" s="2352" t="s">
        <v>5122</v>
      </c>
      <c r="E6530" s="355">
        <v>20</v>
      </c>
      <c r="F6530" s="1662">
        <v>5</v>
      </c>
    </row>
    <row r="6531" spans="1:6" ht="15" customHeight="1" x14ac:dyDescent="0.25">
      <c r="A6531" s="2352" t="s">
        <v>6429</v>
      </c>
      <c r="B6531" s="2352" t="s">
        <v>5116</v>
      </c>
      <c r="C6531" s="2352" t="s">
        <v>5116</v>
      </c>
      <c r="D6531" s="2352" t="s">
        <v>5123</v>
      </c>
      <c r="E6531" s="355" t="s">
        <v>4199</v>
      </c>
      <c r="F6531" s="1662">
        <v>400</v>
      </c>
    </row>
    <row r="6532" spans="1:6" ht="15" customHeight="1" x14ac:dyDescent="0.25">
      <c r="A6532" s="2352" t="s">
        <v>6429</v>
      </c>
      <c r="B6532" s="2352" t="s">
        <v>5116</v>
      </c>
      <c r="C6532" s="2352" t="s">
        <v>5116</v>
      </c>
      <c r="D6532" s="2352" t="s">
        <v>5124</v>
      </c>
      <c r="E6532" s="355">
        <v>100</v>
      </c>
      <c r="F6532" s="1662">
        <v>30</v>
      </c>
    </row>
    <row r="6533" spans="1:6" ht="15" customHeight="1" x14ac:dyDescent="0.25">
      <c r="A6533" s="2352" t="s">
        <v>6429</v>
      </c>
      <c r="B6533" s="2352" t="s">
        <v>5116</v>
      </c>
      <c r="C6533" s="2352" t="s">
        <v>5116</v>
      </c>
      <c r="D6533" s="2352" t="s">
        <v>5125</v>
      </c>
      <c r="E6533" s="355">
        <v>400</v>
      </c>
      <c r="F6533" s="1662">
        <v>250</v>
      </c>
    </row>
    <row r="6534" spans="1:6" ht="15" customHeight="1" x14ac:dyDescent="0.25">
      <c r="A6534" s="2352" t="s">
        <v>5126</v>
      </c>
      <c r="B6534" s="2352" t="s">
        <v>5116</v>
      </c>
      <c r="C6534" s="2352" t="s">
        <v>5116</v>
      </c>
      <c r="D6534" s="2352" t="s">
        <v>5127</v>
      </c>
      <c r="E6534" s="355">
        <v>63</v>
      </c>
      <c r="F6534" s="1662">
        <v>25</v>
      </c>
    </row>
    <row r="6535" spans="1:6" ht="15" customHeight="1" x14ac:dyDescent="0.25">
      <c r="A6535" s="2352" t="s">
        <v>6701</v>
      </c>
      <c r="B6535" s="2352" t="s">
        <v>5116</v>
      </c>
      <c r="C6535" s="2352" t="s">
        <v>5116</v>
      </c>
      <c r="D6535" s="2352" t="s">
        <v>5128</v>
      </c>
      <c r="E6535" s="355">
        <v>63</v>
      </c>
      <c r="F6535" s="1662">
        <v>40</v>
      </c>
    </row>
    <row r="6536" spans="1:6" ht="15" customHeight="1" x14ac:dyDescent="0.25">
      <c r="A6536" s="2352" t="s">
        <v>6429</v>
      </c>
      <c r="B6536" s="2352" t="s">
        <v>5116</v>
      </c>
      <c r="C6536" s="2352" t="s">
        <v>5116</v>
      </c>
      <c r="D6536" s="2352" t="s">
        <v>5129</v>
      </c>
      <c r="E6536" s="355">
        <v>160</v>
      </c>
      <c r="F6536" s="1662">
        <v>100</v>
      </c>
    </row>
    <row r="6537" spans="1:6" ht="15" customHeight="1" x14ac:dyDescent="0.25">
      <c r="A6537" s="2352" t="s">
        <v>6429</v>
      </c>
      <c r="B6537" s="2352" t="s">
        <v>5116</v>
      </c>
      <c r="C6537" s="2352" t="s">
        <v>5116</v>
      </c>
      <c r="D6537" s="2352" t="s">
        <v>5130</v>
      </c>
      <c r="E6537" s="355">
        <v>180</v>
      </c>
      <c r="F6537" s="1662">
        <v>120</v>
      </c>
    </row>
    <row r="6538" spans="1:6" ht="15" customHeight="1" x14ac:dyDescent="0.25">
      <c r="A6538" s="2352" t="s">
        <v>14622</v>
      </c>
      <c r="B6538" s="2352" t="s">
        <v>5116</v>
      </c>
      <c r="C6538" s="2352" t="s">
        <v>5116</v>
      </c>
      <c r="D6538" s="2352" t="s">
        <v>5131</v>
      </c>
      <c r="E6538" s="355">
        <v>250</v>
      </c>
      <c r="F6538" s="1662">
        <v>60</v>
      </c>
    </row>
    <row r="6539" spans="1:6" ht="15" customHeight="1" x14ac:dyDescent="0.25">
      <c r="A6539" s="2352" t="s">
        <v>14622</v>
      </c>
      <c r="B6539" s="2352" t="s">
        <v>5116</v>
      </c>
      <c r="C6539" s="2352" t="s">
        <v>5116</v>
      </c>
      <c r="D6539" s="2352" t="s">
        <v>5132</v>
      </c>
      <c r="E6539" s="355">
        <v>250</v>
      </c>
      <c r="F6539" s="1662">
        <v>60</v>
      </c>
    </row>
    <row r="6540" spans="1:6" ht="15" customHeight="1" x14ac:dyDescent="0.25">
      <c r="A6540" s="2352" t="s">
        <v>14622</v>
      </c>
      <c r="B6540" s="2352" t="s">
        <v>5116</v>
      </c>
      <c r="C6540" s="2352" t="s">
        <v>5116</v>
      </c>
      <c r="D6540" s="2352" t="s">
        <v>5133</v>
      </c>
      <c r="E6540" s="355">
        <v>160</v>
      </c>
      <c r="F6540" s="1662">
        <v>60</v>
      </c>
    </row>
    <row r="6541" spans="1:6" ht="15" customHeight="1" x14ac:dyDescent="0.25">
      <c r="A6541" s="2352" t="s">
        <v>14622</v>
      </c>
      <c r="B6541" s="2352" t="s">
        <v>5116</v>
      </c>
      <c r="C6541" s="2352" t="s">
        <v>5116</v>
      </c>
      <c r="D6541" s="2352" t="s">
        <v>5134</v>
      </c>
      <c r="E6541" s="355">
        <v>400</v>
      </c>
      <c r="F6541" s="1662">
        <v>300</v>
      </c>
    </row>
    <row r="6542" spans="1:6" ht="15" customHeight="1" x14ac:dyDescent="0.25">
      <c r="A6542" s="2352" t="s">
        <v>14623</v>
      </c>
      <c r="B6542" s="2352" t="s">
        <v>5116</v>
      </c>
      <c r="C6542" s="2352" t="s">
        <v>5116</v>
      </c>
      <c r="D6542" s="2352" t="s">
        <v>5135</v>
      </c>
      <c r="E6542" s="355">
        <v>160</v>
      </c>
      <c r="F6542" s="1662">
        <v>60</v>
      </c>
    </row>
    <row r="6543" spans="1:6" ht="15" customHeight="1" x14ac:dyDescent="0.25">
      <c r="A6543" s="2352" t="s">
        <v>5136</v>
      </c>
      <c r="B6543" s="2352" t="s">
        <v>5116</v>
      </c>
      <c r="C6543" s="2352" t="s">
        <v>5116</v>
      </c>
      <c r="D6543" s="2352" t="s">
        <v>5137</v>
      </c>
      <c r="E6543" s="355">
        <v>60</v>
      </c>
      <c r="F6543" s="1662">
        <v>30</v>
      </c>
    </row>
    <row r="6544" spans="1:6" ht="15" customHeight="1" x14ac:dyDescent="0.25">
      <c r="A6544" s="2352" t="s">
        <v>5138</v>
      </c>
      <c r="B6544" s="2352" t="s">
        <v>5116</v>
      </c>
      <c r="C6544" s="2352" t="s">
        <v>5116</v>
      </c>
      <c r="D6544" s="2352" t="s">
        <v>5139</v>
      </c>
      <c r="E6544" s="355">
        <v>100</v>
      </c>
      <c r="F6544" s="1662">
        <v>60</v>
      </c>
    </row>
    <row r="6545" spans="1:6" ht="15" customHeight="1" x14ac:dyDescent="0.25">
      <c r="A6545" s="2352" t="s">
        <v>4505</v>
      </c>
      <c r="B6545" s="2352" t="s">
        <v>5116</v>
      </c>
      <c r="C6545" s="2352" t="s">
        <v>5116</v>
      </c>
      <c r="D6545" s="2352" t="s">
        <v>5140</v>
      </c>
      <c r="E6545" s="355">
        <v>60</v>
      </c>
      <c r="F6545" s="1662">
        <v>30</v>
      </c>
    </row>
    <row r="6546" spans="1:6" ht="15" customHeight="1" x14ac:dyDescent="0.25">
      <c r="A6546" s="2352" t="s">
        <v>14624</v>
      </c>
      <c r="B6546" s="2352" t="s">
        <v>5116</v>
      </c>
      <c r="C6546" s="2352" t="s">
        <v>5116</v>
      </c>
      <c r="D6546" s="2352" t="s">
        <v>5141</v>
      </c>
      <c r="E6546" s="355">
        <v>20</v>
      </c>
      <c r="F6546" s="1662">
        <v>10</v>
      </c>
    </row>
    <row r="6547" spans="1:6" ht="15" customHeight="1" x14ac:dyDescent="0.25">
      <c r="A6547" s="2352" t="s">
        <v>14625</v>
      </c>
      <c r="B6547" s="2352" t="s">
        <v>5116</v>
      </c>
      <c r="C6547" s="2352" t="s">
        <v>5116</v>
      </c>
      <c r="D6547" s="2352" t="s">
        <v>5142</v>
      </c>
      <c r="E6547" s="355">
        <v>63</v>
      </c>
      <c r="F6547" s="1662">
        <v>10</v>
      </c>
    </row>
    <row r="6548" spans="1:6" ht="15" customHeight="1" x14ac:dyDescent="0.25">
      <c r="A6548" s="2352" t="s">
        <v>14626</v>
      </c>
      <c r="B6548" s="2352" t="s">
        <v>5116</v>
      </c>
      <c r="C6548" s="2352" t="s">
        <v>5116</v>
      </c>
      <c r="D6548" s="2352" t="s">
        <v>5143</v>
      </c>
      <c r="E6548" s="355">
        <v>63</v>
      </c>
      <c r="F6548" s="1662">
        <v>20</v>
      </c>
    </row>
    <row r="6549" spans="1:6" ht="15" customHeight="1" x14ac:dyDescent="0.25">
      <c r="A6549" s="2352" t="s">
        <v>14627</v>
      </c>
      <c r="B6549" s="2352" t="s">
        <v>5116</v>
      </c>
      <c r="C6549" s="2352" t="s">
        <v>5116</v>
      </c>
      <c r="D6549" s="2352" t="s">
        <v>5144</v>
      </c>
      <c r="E6549" s="355">
        <v>160</v>
      </c>
      <c r="F6549" s="1662">
        <v>70</v>
      </c>
    </row>
    <row r="6550" spans="1:6" ht="15" customHeight="1" x14ac:dyDescent="0.25">
      <c r="A6550" s="2352" t="s">
        <v>14628</v>
      </c>
      <c r="B6550" s="2352" t="s">
        <v>5116</v>
      </c>
      <c r="C6550" s="2352" t="s">
        <v>5116</v>
      </c>
      <c r="D6550" s="2352" t="s">
        <v>5145</v>
      </c>
      <c r="E6550" s="355">
        <v>100</v>
      </c>
      <c r="F6550" s="1662">
        <v>40</v>
      </c>
    </row>
    <row r="6551" spans="1:6" ht="15" customHeight="1" x14ac:dyDescent="0.25">
      <c r="A6551" s="2352" t="s">
        <v>14629</v>
      </c>
      <c r="B6551" s="2352" t="s">
        <v>5116</v>
      </c>
      <c r="C6551" s="2352" t="s">
        <v>5116</v>
      </c>
      <c r="D6551" s="2352" t="s">
        <v>5146</v>
      </c>
      <c r="E6551" s="355">
        <v>100</v>
      </c>
      <c r="F6551" s="1662">
        <v>40</v>
      </c>
    </row>
    <row r="6552" spans="1:6" ht="15" customHeight="1" x14ac:dyDescent="0.25">
      <c r="A6552" s="2352" t="s">
        <v>14630</v>
      </c>
      <c r="B6552" s="2352" t="s">
        <v>5116</v>
      </c>
      <c r="C6552" s="2352" t="s">
        <v>5116</v>
      </c>
      <c r="D6552" s="2352" t="s">
        <v>5147</v>
      </c>
      <c r="E6552" s="355">
        <v>100</v>
      </c>
      <c r="F6552" s="1662">
        <v>30</v>
      </c>
    </row>
    <row r="6553" spans="1:6" ht="15" customHeight="1" x14ac:dyDescent="0.25">
      <c r="A6553" s="2352" t="s">
        <v>14631</v>
      </c>
      <c r="B6553" s="2352" t="s">
        <v>5116</v>
      </c>
      <c r="C6553" s="2352" t="s">
        <v>5116</v>
      </c>
      <c r="D6553" s="2352" t="s">
        <v>5148</v>
      </c>
      <c r="E6553" s="355">
        <v>20</v>
      </c>
      <c r="F6553" s="1662">
        <v>5</v>
      </c>
    </row>
    <row r="6554" spans="1:6" ht="15" customHeight="1" x14ac:dyDescent="0.25">
      <c r="A6554" s="2352" t="s">
        <v>5152</v>
      </c>
      <c r="B6554" s="2352" t="s">
        <v>5116</v>
      </c>
      <c r="C6554" s="2352" t="s">
        <v>5116</v>
      </c>
      <c r="D6554" s="2352" t="s">
        <v>5149</v>
      </c>
      <c r="E6554" s="355">
        <v>250</v>
      </c>
      <c r="F6554" s="1662">
        <v>150</v>
      </c>
    </row>
    <row r="6555" spans="1:6" ht="15" customHeight="1" x14ac:dyDescent="0.25">
      <c r="A6555" s="2352" t="s">
        <v>5150</v>
      </c>
      <c r="B6555" s="2352" t="s">
        <v>5116</v>
      </c>
      <c r="C6555" s="2352" t="s">
        <v>5116</v>
      </c>
      <c r="D6555" s="2352" t="s">
        <v>5151</v>
      </c>
      <c r="E6555" s="355">
        <v>60</v>
      </c>
      <c r="F6555" s="1662">
        <v>25</v>
      </c>
    </row>
    <row r="6556" spans="1:6" ht="15" customHeight="1" x14ac:dyDescent="0.25">
      <c r="A6556" s="2352" t="s">
        <v>5152</v>
      </c>
      <c r="B6556" s="2352" t="s">
        <v>5116</v>
      </c>
      <c r="C6556" s="2352" t="s">
        <v>5116</v>
      </c>
      <c r="D6556" s="2352" t="s">
        <v>5153</v>
      </c>
      <c r="E6556" s="355">
        <v>160</v>
      </c>
      <c r="F6556" s="1662">
        <v>60</v>
      </c>
    </row>
    <row r="6557" spans="1:6" ht="15" customHeight="1" x14ac:dyDescent="0.25">
      <c r="A6557" s="2352" t="s">
        <v>14632</v>
      </c>
      <c r="B6557" s="2352" t="s">
        <v>5116</v>
      </c>
      <c r="C6557" s="2352" t="s">
        <v>5116</v>
      </c>
      <c r="D6557" s="2352" t="s">
        <v>5154</v>
      </c>
      <c r="E6557" s="355">
        <v>60</v>
      </c>
      <c r="F6557" s="1662">
        <v>35</v>
      </c>
    </row>
    <row r="6558" spans="1:6" ht="15" customHeight="1" x14ac:dyDescent="0.25">
      <c r="A6558" s="2352" t="s">
        <v>14633</v>
      </c>
      <c r="B6558" s="2352" t="s">
        <v>5116</v>
      </c>
      <c r="C6558" s="2352" t="s">
        <v>5116</v>
      </c>
      <c r="D6558" s="2352" t="s">
        <v>5155</v>
      </c>
      <c r="E6558" s="355">
        <v>30</v>
      </c>
      <c r="F6558" s="1662">
        <v>10</v>
      </c>
    </row>
    <row r="6559" spans="1:6" ht="15" customHeight="1" x14ac:dyDescent="0.25">
      <c r="A6559" s="2352" t="s">
        <v>7438</v>
      </c>
      <c r="B6559" s="2352" t="s">
        <v>5116</v>
      </c>
      <c r="C6559" s="2352" t="s">
        <v>5116</v>
      </c>
      <c r="D6559" s="2352" t="s">
        <v>5156</v>
      </c>
      <c r="E6559" s="355">
        <v>63</v>
      </c>
      <c r="F6559" s="1662">
        <v>5</v>
      </c>
    </row>
    <row r="6560" spans="1:6" ht="15" customHeight="1" x14ac:dyDescent="0.25">
      <c r="A6560" s="2352" t="s">
        <v>14634</v>
      </c>
      <c r="B6560" s="2352" t="s">
        <v>5116</v>
      </c>
      <c r="C6560" s="2352" t="s">
        <v>5116</v>
      </c>
      <c r="D6560" s="2352" t="s">
        <v>5157</v>
      </c>
      <c r="E6560" s="355">
        <v>100</v>
      </c>
      <c r="F6560" s="1662">
        <v>5</v>
      </c>
    </row>
    <row r="6561" spans="1:6" ht="15" customHeight="1" x14ac:dyDescent="0.25">
      <c r="A6561" s="2352" t="s">
        <v>9636</v>
      </c>
      <c r="B6561" s="2352" t="s">
        <v>5116</v>
      </c>
      <c r="C6561" s="2352" t="s">
        <v>5116</v>
      </c>
      <c r="D6561" s="2352" t="s">
        <v>5158</v>
      </c>
      <c r="E6561" s="355">
        <v>160</v>
      </c>
      <c r="F6561" s="1662">
        <v>100</v>
      </c>
    </row>
    <row r="6562" spans="1:6" ht="15" customHeight="1" x14ac:dyDescent="0.25">
      <c r="A6562" s="2352" t="s">
        <v>11748</v>
      </c>
      <c r="B6562" s="2352" t="s">
        <v>5116</v>
      </c>
      <c r="C6562" s="2352" t="s">
        <v>5116</v>
      </c>
      <c r="D6562" s="2352" t="s">
        <v>5159</v>
      </c>
      <c r="E6562" s="355">
        <v>63</v>
      </c>
      <c r="F6562" s="1662">
        <v>20</v>
      </c>
    </row>
    <row r="6563" spans="1:6" ht="15" customHeight="1" x14ac:dyDescent="0.25">
      <c r="A6563" s="2352" t="s">
        <v>14635</v>
      </c>
      <c r="B6563" s="2352" t="s">
        <v>5116</v>
      </c>
      <c r="C6563" s="2352" t="s">
        <v>5116</v>
      </c>
      <c r="D6563" s="2352" t="s">
        <v>5160</v>
      </c>
      <c r="E6563" s="355">
        <v>30</v>
      </c>
      <c r="F6563" s="1662">
        <v>10</v>
      </c>
    </row>
    <row r="6564" spans="1:6" ht="15" customHeight="1" x14ac:dyDescent="0.25">
      <c r="A6564" s="2352" t="s">
        <v>14636</v>
      </c>
      <c r="B6564" s="2352" t="s">
        <v>5116</v>
      </c>
      <c r="C6564" s="2352" t="s">
        <v>5116</v>
      </c>
      <c r="D6564" s="2352" t="s">
        <v>5161</v>
      </c>
      <c r="E6564" s="355">
        <v>30</v>
      </c>
      <c r="F6564" s="1662">
        <v>10</v>
      </c>
    </row>
    <row r="6565" spans="1:6" ht="15" customHeight="1" x14ac:dyDescent="0.25">
      <c r="A6565" s="2352" t="s">
        <v>14637</v>
      </c>
      <c r="B6565" s="2352" t="s">
        <v>5116</v>
      </c>
      <c r="C6565" s="2352" t="s">
        <v>5116</v>
      </c>
      <c r="D6565" s="2352" t="s">
        <v>5162</v>
      </c>
      <c r="E6565" s="355">
        <v>160</v>
      </c>
      <c r="F6565" s="1662">
        <v>60</v>
      </c>
    </row>
    <row r="6566" spans="1:6" ht="15" customHeight="1" x14ac:dyDescent="0.25">
      <c r="A6566" s="2352" t="s">
        <v>5163</v>
      </c>
      <c r="B6566" s="2352" t="s">
        <v>5116</v>
      </c>
      <c r="C6566" s="2352" t="s">
        <v>5116</v>
      </c>
      <c r="D6566" s="2352" t="s">
        <v>5164</v>
      </c>
      <c r="E6566" s="355">
        <v>63</v>
      </c>
      <c r="F6566" s="1662">
        <v>20</v>
      </c>
    </row>
    <row r="6567" spans="1:6" ht="15" customHeight="1" x14ac:dyDescent="0.25">
      <c r="A6567" s="2352" t="s">
        <v>5163</v>
      </c>
      <c r="B6567" s="2352" t="s">
        <v>5116</v>
      </c>
      <c r="C6567" s="2352" t="s">
        <v>5116</v>
      </c>
      <c r="D6567" s="2352" t="s">
        <v>5165</v>
      </c>
      <c r="E6567" s="355">
        <v>250</v>
      </c>
      <c r="F6567" s="1662">
        <v>100</v>
      </c>
    </row>
    <row r="6568" spans="1:6" ht="15" customHeight="1" x14ac:dyDescent="0.25">
      <c r="A6568" s="2352" t="s">
        <v>5166</v>
      </c>
      <c r="B6568" s="2352" t="s">
        <v>5116</v>
      </c>
      <c r="C6568" s="2352" t="s">
        <v>5116</v>
      </c>
      <c r="D6568" s="2352" t="s">
        <v>5167</v>
      </c>
      <c r="E6568" s="355">
        <v>100</v>
      </c>
      <c r="F6568" s="1662">
        <v>35</v>
      </c>
    </row>
    <row r="6569" spans="1:6" ht="15" customHeight="1" x14ac:dyDescent="0.25">
      <c r="A6569" s="2352" t="s">
        <v>4550</v>
      </c>
      <c r="B6569" s="2352" t="s">
        <v>5116</v>
      </c>
      <c r="C6569" s="2352" t="s">
        <v>5116</v>
      </c>
      <c r="D6569" s="2352" t="s">
        <v>5168</v>
      </c>
      <c r="E6569" s="355">
        <v>160</v>
      </c>
      <c r="F6569" s="1662">
        <v>30</v>
      </c>
    </row>
    <row r="6570" spans="1:6" ht="15" customHeight="1" x14ac:dyDescent="0.25">
      <c r="A6570" s="2352" t="s">
        <v>14638</v>
      </c>
      <c r="B6570" s="2352" t="s">
        <v>5116</v>
      </c>
      <c r="C6570" s="2352" t="s">
        <v>5116</v>
      </c>
      <c r="D6570" s="2352" t="s">
        <v>5169</v>
      </c>
      <c r="E6570" s="355">
        <v>160</v>
      </c>
      <c r="F6570" s="1662">
        <v>100</v>
      </c>
    </row>
    <row r="6571" spans="1:6" ht="15" customHeight="1" x14ac:dyDescent="0.25">
      <c r="A6571" s="2352" t="s">
        <v>14639</v>
      </c>
      <c r="B6571" s="2352" t="s">
        <v>5116</v>
      </c>
      <c r="C6571" s="2352" t="s">
        <v>5116</v>
      </c>
      <c r="D6571" s="2352" t="s">
        <v>5170</v>
      </c>
      <c r="E6571" s="355">
        <v>30</v>
      </c>
      <c r="F6571" s="1662">
        <v>10</v>
      </c>
    </row>
    <row r="6572" spans="1:6" ht="15" customHeight="1" x14ac:dyDescent="0.25">
      <c r="A6572" s="2352" t="s">
        <v>14133</v>
      </c>
      <c r="B6572" s="2352" t="s">
        <v>5116</v>
      </c>
      <c r="C6572" s="2352" t="s">
        <v>5116</v>
      </c>
      <c r="D6572" s="2352" t="s">
        <v>5171</v>
      </c>
      <c r="E6572" s="355">
        <v>40</v>
      </c>
      <c r="F6572" s="1662">
        <v>20</v>
      </c>
    </row>
    <row r="6573" spans="1:6" ht="15" customHeight="1" x14ac:dyDescent="0.25">
      <c r="A6573" s="2352" t="s">
        <v>14640</v>
      </c>
      <c r="B6573" s="2352" t="s">
        <v>5116</v>
      </c>
      <c r="C6573" s="2352" t="s">
        <v>5116</v>
      </c>
      <c r="D6573" s="2352" t="s">
        <v>5172</v>
      </c>
      <c r="E6573" s="355">
        <v>400</v>
      </c>
      <c r="F6573" s="1662">
        <v>250</v>
      </c>
    </row>
    <row r="6574" spans="1:6" ht="15" customHeight="1" x14ac:dyDescent="0.25">
      <c r="A6574" s="2352" t="s">
        <v>14641</v>
      </c>
      <c r="B6574" s="2352" t="s">
        <v>5116</v>
      </c>
      <c r="C6574" s="2352" t="s">
        <v>5116</v>
      </c>
      <c r="D6574" s="2352" t="s">
        <v>5173</v>
      </c>
      <c r="E6574" s="355">
        <v>250</v>
      </c>
      <c r="F6574" s="1662">
        <v>40</v>
      </c>
    </row>
    <row r="6575" spans="1:6" ht="15" customHeight="1" x14ac:dyDescent="0.25">
      <c r="A6575" s="2352" t="s">
        <v>14641</v>
      </c>
      <c r="B6575" s="2352" t="s">
        <v>5116</v>
      </c>
      <c r="C6575" s="2352" t="s">
        <v>5116</v>
      </c>
      <c r="D6575" s="2352" t="s">
        <v>5174</v>
      </c>
      <c r="E6575" s="355">
        <v>250</v>
      </c>
      <c r="F6575" s="1662">
        <v>30</v>
      </c>
    </row>
    <row r="6576" spans="1:6" ht="15" customHeight="1" x14ac:dyDescent="0.25">
      <c r="A6576" s="2352" t="s">
        <v>4383</v>
      </c>
      <c r="B6576" s="2352" t="s">
        <v>5116</v>
      </c>
      <c r="C6576" s="2352" t="s">
        <v>5116</v>
      </c>
      <c r="D6576" s="2352" t="s">
        <v>5175</v>
      </c>
      <c r="E6576" s="355">
        <v>25</v>
      </c>
      <c r="F6576" s="1662">
        <v>5</v>
      </c>
    </row>
    <row r="6577" spans="1:6" ht="15" customHeight="1" x14ac:dyDescent="0.25">
      <c r="A6577" s="2352" t="s">
        <v>14642</v>
      </c>
      <c r="B6577" s="2352" t="s">
        <v>5116</v>
      </c>
      <c r="C6577" s="2352" t="s">
        <v>5116</v>
      </c>
      <c r="D6577" s="2352" t="s">
        <v>5176</v>
      </c>
      <c r="E6577" s="355">
        <v>400</v>
      </c>
      <c r="F6577" s="1662">
        <v>300</v>
      </c>
    </row>
    <row r="6578" spans="1:6" ht="15" customHeight="1" x14ac:dyDescent="0.25">
      <c r="A6578" s="2352" t="s">
        <v>14642</v>
      </c>
      <c r="B6578" s="2352" t="s">
        <v>5116</v>
      </c>
      <c r="C6578" s="2352" t="s">
        <v>5116</v>
      </c>
      <c r="D6578" s="2352" t="s">
        <v>5177</v>
      </c>
      <c r="E6578" s="355">
        <v>160</v>
      </c>
      <c r="F6578" s="1662">
        <v>60</v>
      </c>
    </row>
    <row r="6579" spans="1:6" ht="15" customHeight="1" x14ac:dyDescent="0.25">
      <c r="A6579" s="2352" t="s">
        <v>14643</v>
      </c>
      <c r="B6579" s="2352" t="s">
        <v>5116</v>
      </c>
      <c r="C6579" s="2352" t="s">
        <v>5116</v>
      </c>
      <c r="D6579" s="2352" t="s">
        <v>5178</v>
      </c>
      <c r="E6579" s="355">
        <v>100</v>
      </c>
      <c r="F6579" s="1662">
        <v>20</v>
      </c>
    </row>
    <row r="6580" spans="1:6" ht="15" customHeight="1" x14ac:dyDescent="0.25">
      <c r="A6580" s="2352" t="s">
        <v>14643</v>
      </c>
      <c r="B6580" s="2352" t="s">
        <v>5116</v>
      </c>
      <c r="C6580" s="2352" t="s">
        <v>5116</v>
      </c>
      <c r="D6580" s="2352" t="s">
        <v>5179</v>
      </c>
      <c r="E6580" s="355">
        <v>250</v>
      </c>
      <c r="F6580" s="1662">
        <v>40</v>
      </c>
    </row>
    <row r="6581" spans="1:6" ht="15" customHeight="1" x14ac:dyDescent="0.25">
      <c r="A6581" s="2352" t="s">
        <v>14644</v>
      </c>
      <c r="B6581" s="2352" t="s">
        <v>5116</v>
      </c>
      <c r="C6581" s="2352" t="s">
        <v>5116</v>
      </c>
      <c r="D6581" s="2352" t="s">
        <v>5180</v>
      </c>
      <c r="E6581" s="355">
        <v>20</v>
      </c>
      <c r="F6581" s="1662">
        <v>5</v>
      </c>
    </row>
    <row r="6582" spans="1:6" ht="15" customHeight="1" x14ac:dyDescent="0.25">
      <c r="A6582" s="2352" t="s">
        <v>14645</v>
      </c>
      <c r="B6582" s="2352" t="s">
        <v>5116</v>
      </c>
      <c r="C6582" s="2352" t="s">
        <v>5116</v>
      </c>
      <c r="D6582" s="2352" t="s">
        <v>5181</v>
      </c>
      <c r="E6582" s="355" t="s">
        <v>4202</v>
      </c>
      <c r="F6582" s="1662">
        <v>50</v>
      </c>
    </row>
    <row r="6583" spans="1:6" ht="15" customHeight="1" x14ac:dyDescent="0.25">
      <c r="A6583" s="2352" t="s">
        <v>14646</v>
      </c>
      <c r="B6583" s="2352" t="s">
        <v>5116</v>
      </c>
      <c r="C6583" s="2352" t="s">
        <v>5116</v>
      </c>
      <c r="D6583" s="2352" t="s">
        <v>5182</v>
      </c>
      <c r="E6583" s="355">
        <v>100</v>
      </c>
      <c r="F6583" s="1662">
        <v>30</v>
      </c>
    </row>
    <row r="6584" spans="1:6" ht="15" customHeight="1" x14ac:dyDescent="0.25">
      <c r="A6584" s="2352" t="s">
        <v>14645</v>
      </c>
      <c r="B6584" s="2352" t="s">
        <v>5116</v>
      </c>
      <c r="C6584" s="2352" t="s">
        <v>5116</v>
      </c>
      <c r="D6584" s="2352" t="s">
        <v>5183</v>
      </c>
      <c r="E6584" s="355">
        <v>250</v>
      </c>
      <c r="F6584" s="1662">
        <v>50</v>
      </c>
    </row>
    <row r="6585" spans="1:6" ht="15" customHeight="1" x14ac:dyDescent="0.25">
      <c r="A6585" s="2352" t="s">
        <v>4402</v>
      </c>
      <c r="B6585" s="2352" t="s">
        <v>5116</v>
      </c>
      <c r="C6585" s="2352" t="s">
        <v>5116</v>
      </c>
      <c r="D6585" s="2352" t="s">
        <v>5184</v>
      </c>
      <c r="E6585" s="355">
        <v>30</v>
      </c>
      <c r="F6585" s="1662">
        <v>15</v>
      </c>
    </row>
    <row r="6586" spans="1:6" ht="15" customHeight="1" x14ac:dyDescent="0.25">
      <c r="A6586" s="2352" t="s">
        <v>8115</v>
      </c>
      <c r="B6586" s="2352" t="s">
        <v>5116</v>
      </c>
      <c r="C6586" s="2352" t="s">
        <v>5116</v>
      </c>
      <c r="D6586" s="2352" t="s">
        <v>5185</v>
      </c>
      <c r="E6586" s="355">
        <v>100</v>
      </c>
      <c r="F6586" s="1662">
        <v>70</v>
      </c>
    </row>
    <row r="6587" spans="1:6" ht="15" customHeight="1" x14ac:dyDescent="0.25">
      <c r="A6587" s="2352" t="s">
        <v>3816</v>
      </c>
      <c r="B6587" s="2352" t="s">
        <v>5116</v>
      </c>
      <c r="C6587" s="2352" t="s">
        <v>5116</v>
      </c>
      <c r="D6587" s="2352" t="s">
        <v>5186</v>
      </c>
      <c r="E6587" s="355">
        <v>100</v>
      </c>
      <c r="F6587" s="1662">
        <v>50</v>
      </c>
    </row>
    <row r="6588" spans="1:6" ht="15" customHeight="1" x14ac:dyDescent="0.25">
      <c r="A6588" s="2352" t="s">
        <v>5188</v>
      </c>
      <c r="B6588" s="2352" t="s">
        <v>5116</v>
      </c>
      <c r="C6588" s="2352" t="s">
        <v>5116</v>
      </c>
      <c r="D6588" s="2352" t="s">
        <v>5187</v>
      </c>
      <c r="E6588" s="355">
        <v>160</v>
      </c>
      <c r="F6588" s="1662">
        <v>40</v>
      </c>
    </row>
    <row r="6589" spans="1:6" ht="15" customHeight="1" x14ac:dyDescent="0.25">
      <c r="A6589" s="2352" t="s">
        <v>5188</v>
      </c>
      <c r="B6589" s="2352" t="s">
        <v>5116</v>
      </c>
      <c r="C6589" s="2352" t="s">
        <v>5116</v>
      </c>
      <c r="D6589" s="2352" t="s">
        <v>5189</v>
      </c>
      <c r="E6589" s="355">
        <v>100</v>
      </c>
      <c r="F6589" s="1662">
        <v>40</v>
      </c>
    </row>
    <row r="6590" spans="1:6" ht="15" customHeight="1" x14ac:dyDescent="0.25">
      <c r="A6590" s="2352" t="s">
        <v>5190</v>
      </c>
      <c r="B6590" s="2352" t="s">
        <v>5116</v>
      </c>
      <c r="C6590" s="2352" t="s">
        <v>5116</v>
      </c>
      <c r="D6590" s="2352" t="s">
        <v>5191</v>
      </c>
      <c r="E6590" s="355">
        <v>160</v>
      </c>
      <c r="F6590" s="1662">
        <v>50</v>
      </c>
    </row>
    <row r="6591" spans="1:6" ht="15" customHeight="1" x14ac:dyDescent="0.25">
      <c r="A6591" s="2352" t="s">
        <v>14647</v>
      </c>
      <c r="B6591" s="2352" t="s">
        <v>5116</v>
      </c>
      <c r="C6591" s="2352" t="s">
        <v>5116</v>
      </c>
      <c r="D6591" s="2352" t="s">
        <v>5192</v>
      </c>
      <c r="E6591" s="355">
        <v>30</v>
      </c>
      <c r="F6591" s="1662">
        <v>5</v>
      </c>
    </row>
    <row r="6592" spans="1:6" ht="15" customHeight="1" x14ac:dyDescent="0.25">
      <c r="A6592" s="2352" t="s">
        <v>14648</v>
      </c>
      <c r="B6592" s="2352" t="s">
        <v>5116</v>
      </c>
      <c r="C6592" s="2352" t="s">
        <v>5116</v>
      </c>
      <c r="D6592" s="2352" t="s">
        <v>5193</v>
      </c>
      <c r="E6592" s="355" t="s">
        <v>4199</v>
      </c>
      <c r="F6592" s="1662">
        <v>100</v>
      </c>
    </row>
    <row r="6593" spans="1:6" ht="15" customHeight="1" x14ac:dyDescent="0.25">
      <c r="A6593" s="2352" t="s">
        <v>14648</v>
      </c>
      <c r="B6593" s="2352" t="s">
        <v>5116</v>
      </c>
      <c r="C6593" s="2352" t="s">
        <v>5116</v>
      </c>
      <c r="D6593" s="2352" t="s">
        <v>5194</v>
      </c>
      <c r="E6593" s="355">
        <v>250</v>
      </c>
      <c r="F6593" s="1662">
        <v>50</v>
      </c>
    </row>
    <row r="6594" spans="1:6" ht="15" customHeight="1" x14ac:dyDescent="0.25">
      <c r="A6594" s="2352" t="s">
        <v>14648</v>
      </c>
      <c r="B6594" s="2352" t="s">
        <v>5116</v>
      </c>
      <c r="C6594" s="2352" t="s">
        <v>5116</v>
      </c>
      <c r="D6594" s="2352" t="s">
        <v>5195</v>
      </c>
      <c r="E6594" s="355">
        <v>160</v>
      </c>
      <c r="F6594" s="1662">
        <v>70</v>
      </c>
    </row>
    <row r="6595" spans="1:6" ht="15" customHeight="1" x14ac:dyDescent="0.25">
      <c r="A6595" s="2352" t="s">
        <v>14648</v>
      </c>
      <c r="B6595" s="2352" t="s">
        <v>5116</v>
      </c>
      <c r="C6595" s="2352" t="s">
        <v>5116</v>
      </c>
      <c r="D6595" s="2352" t="s">
        <v>5196</v>
      </c>
      <c r="E6595" s="355">
        <v>100</v>
      </c>
      <c r="F6595" s="1662">
        <v>30</v>
      </c>
    </row>
    <row r="6596" spans="1:6" ht="15" customHeight="1" x14ac:dyDescent="0.25">
      <c r="A6596" s="2352" t="s">
        <v>14648</v>
      </c>
      <c r="B6596" s="2352" t="s">
        <v>5116</v>
      </c>
      <c r="C6596" s="2352" t="s">
        <v>5116</v>
      </c>
      <c r="D6596" s="2352" t="s">
        <v>5197</v>
      </c>
      <c r="E6596" s="355">
        <v>160</v>
      </c>
      <c r="F6596" s="1662">
        <v>25</v>
      </c>
    </row>
    <row r="6597" spans="1:6" ht="15" customHeight="1" x14ac:dyDescent="0.25">
      <c r="A6597" s="2352" t="s">
        <v>14648</v>
      </c>
      <c r="B6597" s="2352" t="s">
        <v>5116</v>
      </c>
      <c r="C6597" s="2352" t="s">
        <v>5116</v>
      </c>
      <c r="D6597" s="2352" t="s">
        <v>5198</v>
      </c>
      <c r="E6597" s="355" t="s">
        <v>4199</v>
      </c>
      <c r="F6597" s="1662">
        <v>400</v>
      </c>
    </row>
    <row r="6598" spans="1:6" ht="15" customHeight="1" x14ac:dyDescent="0.25">
      <c r="A6598" s="2352" t="s">
        <v>14649</v>
      </c>
      <c r="B6598" s="2352" t="s">
        <v>5116</v>
      </c>
      <c r="C6598" s="2352" t="s">
        <v>5116</v>
      </c>
      <c r="D6598" s="2352" t="s">
        <v>5199</v>
      </c>
      <c r="E6598" s="355">
        <v>160</v>
      </c>
      <c r="F6598" s="1662">
        <v>30</v>
      </c>
    </row>
    <row r="6599" spans="1:6" ht="15" customHeight="1" x14ac:dyDescent="0.25">
      <c r="A6599" s="2352" t="s">
        <v>14648</v>
      </c>
      <c r="B6599" s="2352" t="s">
        <v>5116</v>
      </c>
      <c r="C6599" s="2352" t="s">
        <v>5116</v>
      </c>
      <c r="D6599" s="2352" t="s">
        <v>5200</v>
      </c>
      <c r="E6599" s="355">
        <v>250</v>
      </c>
      <c r="F6599" s="1662">
        <v>80</v>
      </c>
    </row>
    <row r="6600" spans="1:6" ht="15" customHeight="1" x14ac:dyDescent="0.25">
      <c r="A6600" s="2352" t="s">
        <v>14648</v>
      </c>
      <c r="B6600" s="2352" t="s">
        <v>5116</v>
      </c>
      <c r="C6600" s="2352" t="s">
        <v>5116</v>
      </c>
      <c r="D6600" s="2352" t="s">
        <v>5201</v>
      </c>
      <c r="E6600" s="355">
        <v>160</v>
      </c>
      <c r="F6600" s="1662">
        <v>40</v>
      </c>
    </row>
    <row r="6601" spans="1:6" ht="15" customHeight="1" x14ac:dyDescent="0.25">
      <c r="A6601" s="2352" t="s">
        <v>14648</v>
      </c>
      <c r="B6601" s="2352" t="s">
        <v>5116</v>
      </c>
      <c r="C6601" s="2352" t="s">
        <v>5116</v>
      </c>
      <c r="D6601" s="2352" t="s">
        <v>5202</v>
      </c>
      <c r="E6601" s="355">
        <v>160</v>
      </c>
      <c r="F6601" s="1662">
        <v>40</v>
      </c>
    </row>
    <row r="6602" spans="1:6" ht="15" customHeight="1" x14ac:dyDescent="0.25">
      <c r="A6602" s="2352" t="s">
        <v>14648</v>
      </c>
      <c r="B6602" s="2352" t="s">
        <v>5116</v>
      </c>
      <c r="C6602" s="2352" t="s">
        <v>5116</v>
      </c>
      <c r="D6602" s="2352" t="s">
        <v>5203</v>
      </c>
      <c r="E6602" s="355">
        <v>20</v>
      </c>
      <c r="F6602" s="1662">
        <v>5</v>
      </c>
    </row>
    <row r="6603" spans="1:6" ht="15" customHeight="1" x14ac:dyDescent="0.25">
      <c r="A6603" s="2352" t="s">
        <v>5204</v>
      </c>
      <c r="B6603" s="2352" t="s">
        <v>5116</v>
      </c>
      <c r="C6603" s="2352" t="s">
        <v>5116</v>
      </c>
      <c r="D6603" s="2352" t="s">
        <v>5205</v>
      </c>
      <c r="E6603" s="355">
        <v>250</v>
      </c>
      <c r="F6603" s="1662">
        <v>50</v>
      </c>
    </row>
    <row r="6604" spans="1:6" ht="15" customHeight="1" x14ac:dyDescent="0.25">
      <c r="A6604" s="2352" t="s">
        <v>5204</v>
      </c>
      <c r="B6604" s="2352" t="s">
        <v>5116</v>
      </c>
      <c r="C6604" s="2352" t="s">
        <v>5116</v>
      </c>
      <c r="D6604" s="2352" t="s">
        <v>5206</v>
      </c>
      <c r="E6604" s="355">
        <v>250</v>
      </c>
      <c r="F6604" s="1662">
        <v>200</v>
      </c>
    </row>
    <row r="6605" spans="1:6" ht="15" customHeight="1" x14ac:dyDescent="0.25">
      <c r="A6605" s="2352" t="s">
        <v>5204</v>
      </c>
      <c r="B6605" s="2352" t="s">
        <v>5116</v>
      </c>
      <c r="C6605" s="2352" t="s">
        <v>5116</v>
      </c>
      <c r="D6605" s="2352" t="s">
        <v>5207</v>
      </c>
      <c r="E6605" s="355">
        <v>160</v>
      </c>
      <c r="F6605" s="1662">
        <v>30</v>
      </c>
    </row>
    <row r="6606" spans="1:6" ht="15" customHeight="1" x14ac:dyDescent="0.25">
      <c r="A6606" s="2352" t="s">
        <v>5204</v>
      </c>
      <c r="B6606" s="2352" t="s">
        <v>5116</v>
      </c>
      <c r="C6606" s="2352" t="s">
        <v>5116</v>
      </c>
      <c r="D6606" s="2352" t="s">
        <v>5208</v>
      </c>
      <c r="E6606" s="355">
        <v>100</v>
      </c>
      <c r="F6606" s="1662">
        <v>40</v>
      </c>
    </row>
    <row r="6607" spans="1:6" ht="15" customHeight="1" x14ac:dyDescent="0.25">
      <c r="A6607" s="2352" t="s">
        <v>5209</v>
      </c>
      <c r="B6607" s="2352" t="s">
        <v>5116</v>
      </c>
      <c r="C6607" s="2352" t="s">
        <v>5116</v>
      </c>
      <c r="D6607" s="2352" t="s">
        <v>5210</v>
      </c>
      <c r="E6607" s="355">
        <v>100</v>
      </c>
      <c r="F6607" s="1662">
        <v>45</v>
      </c>
    </row>
    <row r="6608" spans="1:6" ht="15" customHeight="1" x14ac:dyDescent="0.25">
      <c r="A6608" s="2352" t="s">
        <v>14650</v>
      </c>
      <c r="B6608" s="2352" t="s">
        <v>5116</v>
      </c>
      <c r="C6608" s="2352" t="s">
        <v>5116</v>
      </c>
      <c r="D6608" s="2352" t="s">
        <v>5211</v>
      </c>
      <c r="E6608" s="355">
        <v>100</v>
      </c>
      <c r="F6608" s="1662">
        <v>40</v>
      </c>
    </row>
    <row r="6609" spans="1:6" ht="15" customHeight="1" x14ac:dyDescent="0.25">
      <c r="A6609" s="2352" t="s">
        <v>5212</v>
      </c>
      <c r="B6609" s="2352" t="s">
        <v>5116</v>
      </c>
      <c r="C6609" s="2352" t="s">
        <v>5116</v>
      </c>
      <c r="D6609" s="2352" t="s">
        <v>5213</v>
      </c>
      <c r="E6609" s="355">
        <v>250</v>
      </c>
      <c r="F6609" s="1662">
        <v>200</v>
      </c>
    </row>
    <row r="6610" spans="1:6" ht="15" customHeight="1" x14ac:dyDescent="0.25">
      <c r="A6610" s="2352" t="s">
        <v>14651</v>
      </c>
      <c r="B6610" s="2352" t="s">
        <v>5116</v>
      </c>
      <c r="C6610" s="2352" t="s">
        <v>5116</v>
      </c>
      <c r="D6610" s="2352" t="s">
        <v>5214</v>
      </c>
      <c r="E6610" s="355">
        <v>25</v>
      </c>
      <c r="F6610" s="1662">
        <v>8</v>
      </c>
    </row>
    <row r="6611" spans="1:6" ht="15" customHeight="1" x14ac:dyDescent="0.25">
      <c r="A6611" s="2352" t="s">
        <v>14652</v>
      </c>
      <c r="B6611" s="2352" t="s">
        <v>5116</v>
      </c>
      <c r="C6611" s="2352" t="s">
        <v>5116</v>
      </c>
      <c r="D6611" s="2352" t="s">
        <v>5215</v>
      </c>
      <c r="E6611" s="355">
        <v>63</v>
      </c>
      <c r="F6611" s="1662">
        <v>40</v>
      </c>
    </row>
    <row r="6612" spans="1:6" ht="15" customHeight="1" x14ac:dyDescent="0.25">
      <c r="A6612" s="2352" t="s">
        <v>5219</v>
      </c>
      <c r="B6612" s="2352" t="s">
        <v>5116</v>
      </c>
      <c r="C6612" s="2352" t="s">
        <v>5116</v>
      </c>
      <c r="D6612" s="2352" t="s">
        <v>5216</v>
      </c>
      <c r="E6612" s="355">
        <v>250</v>
      </c>
      <c r="F6612" s="1662">
        <v>200</v>
      </c>
    </row>
    <row r="6613" spans="1:6" ht="15" customHeight="1" x14ac:dyDescent="0.25">
      <c r="A6613" s="2352" t="s">
        <v>14653</v>
      </c>
      <c r="B6613" s="2352" t="s">
        <v>5116</v>
      </c>
      <c r="C6613" s="2352" t="s">
        <v>5116</v>
      </c>
      <c r="D6613" s="2352" t="s">
        <v>5217</v>
      </c>
      <c r="E6613" s="355">
        <v>160</v>
      </c>
      <c r="F6613" s="1662">
        <v>40</v>
      </c>
    </row>
    <row r="6614" spans="1:6" ht="15" customHeight="1" x14ac:dyDescent="0.25">
      <c r="A6614" s="2352" t="s">
        <v>5219</v>
      </c>
      <c r="B6614" s="2352" t="s">
        <v>5116</v>
      </c>
      <c r="C6614" s="2352" t="s">
        <v>5116</v>
      </c>
      <c r="D6614" s="2352" t="s">
        <v>5218</v>
      </c>
      <c r="E6614" s="355">
        <v>250</v>
      </c>
      <c r="F6614" s="1662">
        <v>200</v>
      </c>
    </row>
    <row r="6615" spans="1:6" ht="15" customHeight="1" x14ac:dyDescent="0.25">
      <c r="A6615" s="2352" t="s">
        <v>5219</v>
      </c>
      <c r="B6615" s="2352" t="s">
        <v>5116</v>
      </c>
      <c r="C6615" s="2352" t="s">
        <v>5116</v>
      </c>
      <c r="D6615" s="2352" t="s">
        <v>5220</v>
      </c>
      <c r="E6615" s="355">
        <v>250</v>
      </c>
      <c r="F6615" s="1662">
        <v>200</v>
      </c>
    </row>
    <row r="6616" spans="1:6" ht="15" customHeight="1" x14ac:dyDescent="0.25">
      <c r="A6616" s="2352" t="s">
        <v>5221</v>
      </c>
      <c r="B6616" s="2352" t="s">
        <v>5116</v>
      </c>
      <c r="C6616" s="2352" t="s">
        <v>5116</v>
      </c>
      <c r="D6616" s="2352" t="s">
        <v>5222</v>
      </c>
      <c r="E6616" s="355">
        <v>10</v>
      </c>
      <c r="F6616" s="1662">
        <v>3</v>
      </c>
    </row>
    <row r="6617" spans="1:6" ht="15" customHeight="1" x14ac:dyDescent="0.25">
      <c r="A6617" s="2352" t="s">
        <v>5223</v>
      </c>
      <c r="B6617" s="2352" t="s">
        <v>5116</v>
      </c>
      <c r="C6617" s="2352" t="s">
        <v>5116</v>
      </c>
      <c r="D6617" s="2352" t="s">
        <v>5224</v>
      </c>
      <c r="E6617" s="355">
        <v>10</v>
      </c>
      <c r="F6617" s="1662">
        <v>3</v>
      </c>
    </row>
    <row r="6618" spans="1:6" ht="15" customHeight="1" x14ac:dyDescent="0.25">
      <c r="A6618" s="2352" t="s">
        <v>14654</v>
      </c>
      <c r="B6618" s="2352" t="s">
        <v>5116</v>
      </c>
      <c r="C6618" s="2352" t="s">
        <v>5116</v>
      </c>
      <c r="D6618" s="2352" t="s">
        <v>5225</v>
      </c>
      <c r="E6618" s="355">
        <v>100</v>
      </c>
      <c r="F6618" s="1662">
        <v>40</v>
      </c>
    </row>
    <row r="6619" spans="1:6" ht="15" customHeight="1" x14ac:dyDescent="0.25">
      <c r="A6619" s="2352" t="s">
        <v>14655</v>
      </c>
      <c r="B6619" s="2352" t="s">
        <v>5116</v>
      </c>
      <c r="C6619" s="2352" t="s">
        <v>5116</v>
      </c>
      <c r="D6619" s="2352" t="s">
        <v>5226</v>
      </c>
      <c r="E6619" s="355">
        <v>25</v>
      </c>
      <c r="F6619" s="1662">
        <v>15</v>
      </c>
    </row>
    <row r="6620" spans="1:6" ht="15" customHeight="1" x14ac:dyDescent="0.25">
      <c r="A6620" s="2352" t="s">
        <v>14656</v>
      </c>
      <c r="B6620" s="2352" t="s">
        <v>5116</v>
      </c>
      <c r="C6620" s="2352" t="s">
        <v>5116</v>
      </c>
      <c r="D6620" s="2352" t="s">
        <v>5227</v>
      </c>
      <c r="E6620" s="355">
        <v>30</v>
      </c>
      <c r="F6620" s="1662">
        <v>15</v>
      </c>
    </row>
    <row r="6621" spans="1:6" ht="15" customHeight="1" x14ac:dyDescent="0.25">
      <c r="A6621" s="2352" t="s">
        <v>9431</v>
      </c>
      <c r="B6621" s="2352" t="s">
        <v>5116</v>
      </c>
      <c r="C6621" s="2352" t="s">
        <v>5116</v>
      </c>
      <c r="D6621" s="2352" t="s">
        <v>5228</v>
      </c>
      <c r="E6621" s="355">
        <v>100</v>
      </c>
      <c r="F6621" s="1662">
        <v>50</v>
      </c>
    </row>
    <row r="6622" spans="1:6" ht="15" customHeight="1" x14ac:dyDescent="0.25">
      <c r="A6622" s="2352" t="s">
        <v>14657</v>
      </c>
      <c r="B6622" s="2352" t="s">
        <v>5116</v>
      </c>
      <c r="C6622" s="2352" t="s">
        <v>5116</v>
      </c>
      <c r="D6622" s="2352" t="s">
        <v>5229</v>
      </c>
      <c r="E6622" s="355">
        <v>63</v>
      </c>
      <c r="F6622" s="1662">
        <v>25</v>
      </c>
    </row>
    <row r="6623" spans="1:6" ht="15" customHeight="1" x14ac:dyDescent="0.25">
      <c r="A6623" s="2352" t="s">
        <v>14658</v>
      </c>
      <c r="B6623" s="2352" t="s">
        <v>5116</v>
      </c>
      <c r="C6623" s="2352" t="s">
        <v>5116</v>
      </c>
      <c r="D6623" s="2352" t="s">
        <v>5230</v>
      </c>
      <c r="E6623" s="355">
        <v>320</v>
      </c>
      <c r="F6623" s="1662">
        <v>200</v>
      </c>
    </row>
    <row r="6624" spans="1:6" ht="15" customHeight="1" x14ac:dyDescent="0.25">
      <c r="A6624" s="2352" t="s">
        <v>6633</v>
      </c>
      <c r="B6624" s="2352" t="s">
        <v>5116</v>
      </c>
      <c r="C6624" s="2352" t="s">
        <v>5116</v>
      </c>
      <c r="D6624" s="2352" t="s">
        <v>5231</v>
      </c>
      <c r="E6624" s="355">
        <v>100</v>
      </c>
      <c r="F6624" s="1662">
        <v>30</v>
      </c>
    </row>
    <row r="6625" spans="1:6" ht="15" customHeight="1" x14ac:dyDescent="0.25">
      <c r="A6625" s="2352" t="s">
        <v>14659</v>
      </c>
      <c r="B6625" s="2352" t="s">
        <v>5116</v>
      </c>
      <c r="C6625" s="2352" t="s">
        <v>5116</v>
      </c>
      <c r="D6625" s="2352" t="s">
        <v>5232</v>
      </c>
      <c r="E6625" s="355">
        <v>160</v>
      </c>
      <c r="F6625" s="1662">
        <v>120</v>
      </c>
    </row>
    <row r="6626" spans="1:6" ht="15" customHeight="1" x14ac:dyDescent="0.25">
      <c r="A6626" s="2352" t="s">
        <v>14660</v>
      </c>
      <c r="B6626" s="2352" t="s">
        <v>5116</v>
      </c>
      <c r="C6626" s="2352" t="s">
        <v>5116</v>
      </c>
      <c r="D6626" s="2352" t="s">
        <v>5233</v>
      </c>
      <c r="E6626" s="355">
        <v>40</v>
      </c>
      <c r="F6626" s="1662">
        <v>15</v>
      </c>
    </row>
    <row r="6627" spans="1:6" ht="15" customHeight="1" x14ac:dyDescent="0.25">
      <c r="A6627" s="2352" t="s">
        <v>14661</v>
      </c>
      <c r="B6627" s="2352" t="s">
        <v>5116</v>
      </c>
      <c r="C6627" s="2352" t="s">
        <v>5116</v>
      </c>
      <c r="D6627" s="2352" t="s">
        <v>5234</v>
      </c>
      <c r="E6627" s="355">
        <v>63</v>
      </c>
      <c r="F6627" s="1662">
        <v>25</v>
      </c>
    </row>
    <row r="6628" spans="1:6" ht="15" customHeight="1" x14ac:dyDescent="0.25">
      <c r="A6628" s="2352" t="s">
        <v>14662</v>
      </c>
      <c r="B6628" s="2352" t="s">
        <v>5116</v>
      </c>
      <c r="C6628" s="2352" t="s">
        <v>5116</v>
      </c>
      <c r="D6628" s="2352" t="s">
        <v>5235</v>
      </c>
      <c r="E6628" s="355">
        <v>63</v>
      </c>
      <c r="F6628" s="1662">
        <v>15</v>
      </c>
    </row>
    <row r="6629" spans="1:6" ht="15" customHeight="1" x14ac:dyDescent="0.25">
      <c r="A6629" s="2352" t="s">
        <v>14663</v>
      </c>
      <c r="B6629" s="2352" t="s">
        <v>5116</v>
      </c>
      <c r="C6629" s="2352" t="s">
        <v>5116</v>
      </c>
      <c r="D6629" s="2352" t="s">
        <v>5236</v>
      </c>
      <c r="E6629" s="355">
        <v>160</v>
      </c>
      <c r="F6629" s="1662">
        <v>30</v>
      </c>
    </row>
    <row r="6630" spans="1:6" ht="15" customHeight="1" x14ac:dyDescent="0.25">
      <c r="A6630" s="2352" t="s">
        <v>14664</v>
      </c>
      <c r="B6630" s="2352" t="s">
        <v>5116</v>
      </c>
      <c r="C6630" s="2352" t="s">
        <v>5116</v>
      </c>
      <c r="D6630" s="2352" t="s">
        <v>5237</v>
      </c>
      <c r="E6630" s="355">
        <v>100</v>
      </c>
      <c r="F6630" s="1662">
        <v>30</v>
      </c>
    </row>
    <row r="6631" spans="1:6" ht="15" customHeight="1" x14ac:dyDescent="0.25">
      <c r="A6631" s="2352" t="s">
        <v>14665</v>
      </c>
      <c r="B6631" s="2352" t="s">
        <v>5116</v>
      </c>
      <c r="C6631" s="2352" t="s">
        <v>5116</v>
      </c>
      <c r="D6631" s="2352" t="s">
        <v>5238</v>
      </c>
      <c r="E6631" s="355">
        <v>10</v>
      </c>
      <c r="F6631" s="1662">
        <v>4</v>
      </c>
    </row>
    <row r="6632" spans="1:6" ht="15" customHeight="1" x14ac:dyDescent="0.25">
      <c r="A6632" s="2352" t="s">
        <v>14666</v>
      </c>
      <c r="B6632" s="2352" t="s">
        <v>5116</v>
      </c>
      <c r="C6632" s="2352" t="s">
        <v>5116</v>
      </c>
      <c r="D6632" s="2352" t="s">
        <v>5239</v>
      </c>
      <c r="E6632" s="355">
        <v>4</v>
      </c>
      <c r="F6632" s="1662">
        <v>2</v>
      </c>
    </row>
    <row r="6633" spans="1:6" ht="15" customHeight="1" x14ac:dyDescent="0.25">
      <c r="A6633" s="2352" t="s">
        <v>14667</v>
      </c>
      <c r="B6633" s="2352" t="s">
        <v>5116</v>
      </c>
      <c r="C6633" s="2352" t="s">
        <v>5116</v>
      </c>
      <c r="D6633" s="2352" t="s">
        <v>5240</v>
      </c>
      <c r="E6633" s="355">
        <v>160</v>
      </c>
      <c r="F6633" s="1662">
        <v>30</v>
      </c>
    </row>
    <row r="6634" spans="1:6" ht="15" customHeight="1" x14ac:dyDescent="0.25">
      <c r="A6634" s="2352" t="s">
        <v>14668</v>
      </c>
      <c r="B6634" s="2352" t="s">
        <v>5116</v>
      </c>
      <c r="C6634" s="2352" t="s">
        <v>5116</v>
      </c>
      <c r="D6634" s="2352" t="s">
        <v>5241</v>
      </c>
      <c r="E6634" s="355">
        <v>250</v>
      </c>
      <c r="F6634" s="1662">
        <v>100</v>
      </c>
    </row>
    <row r="6635" spans="1:6" ht="15" customHeight="1" x14ac:dyDescent="0.25">
      <c r="A6635" s="2352" t="s">
        <v>14669</v>
      </c>
      <c r="B6635" s="2352" t="s">
        <v>5116</v>
      </c>
      <c r="C6635" s="2352" t="s">
        <v>5116</v>
      </c>
      <c r="D6635" s="2352" t="s">
        <v>5242</v>
      </c>
      <c r="E6635" s="355">
        <v>100</v>
      </c>
      <c r="F6635" s="1662">
        <v>30</v>
      </c>
    </row>
    <row r="6636" spans="1:6" ht="15" customHeight="1" x14ac:dyDescent="0.25">
      <c r="A6636" s="2352" t="s">
        <v>14668</v>
      </c>
      <c r="B6636" s="2352" t="s">
        <v>5116</v>
      </c>
      <c r="C6636" s="2352" t="s">
        <v>5116</v>
      </c>
      <c r="D6636" s="2352" t="s">
        <v>5243</v>
      </c>
      <c r="E6636" s="355">
        <v>250</v>
      </c>
      <c r="F6636" s="1662">
        <v>100</v>
      </c>
    </row>
    <row r="6637" spans="1:6" ht="15" customHeight="1" x14ac:dyDescent="0.25">
      <c r="A6637" s="2352" t="s">
        <v>14668</v>
      </c>
      <c r="B6637" s="2352" t="s">
        <v>5116</v>
      </c>
      <c r="C6637" s="2352" t="s">
        <v>5116</v>
      </c>
      <c r="D6637" s="2352" t="s">
        <v>5244</v>
      </c>
      <c r="E6637" s="355">
        <v>250</v>
      </c>
      <c r="F6637" s="1662">
        <v>100</v>
      </c>
    </row>
    <row r="6638" spans="1:6" ht="15" customHeight="1" x14ac:dyDescent="0.25">
      <c r="A6638" s="2352" t="s">
        <v>7421</v>
      </c>
      <c r="B6638" s="2352" t="s">
        <v>5116</v>
      </c>
      <c r="C6638" s="2352" t="s">
        <v>5116</v>
      </c>
      <c r="D6638" s="2352" t="s">
        <v>5245</v>
      </c>
      <c r="E6638" s="355">
        <v>10</v>
      </c>
      <c r="F6638" s="1662">
        <v>6</v>
      </c>
    </row>
    <row r="6639" spans="1:6" ht="15" customHeight="1" x14ac:dyDescent="0.25">
      <c r="A6639" s="2352" t="s">
        <v>14668</v>
      </c>
      <c r="B6639" s="2352" t="s">
        <v>5116</v>
      </c>
      <c r="C6639" s="2352" t="s">
        <v>5116</v>
      </c>
      <c r="D6639" s="2352" t="s">
        <v>5246</v>
      </c>
      <c r="E6639" s="355">
        <v>160</v>
      </c>
      <c r="F6639" s="1662">
        <v>30</v>
      </c>
    </row>
    <row r="6640" spans="1:6" ht="15" customHeight="1" x14ac:dyDescent="0.25">
      <c r="A6640" s="2352" t="s">
        <v>14668</v>
      </c>
      <c r="B6640" s="2352" t="s">
        <v>5116</v>
      </c>
      <c r="C6640" s="2352" t="s">
        <v>5116</v>
      </c>
      <c r="D6640" s="2352" t="s">
        <v>5247</v>
      </c>
      <c r="E6640" s="355">
        <v>250</v>
      </c>
      <c r="F6640" s="1662">
        <v>200</v>
      </c>
    </row>
    <row r="6641" spans="1:6" ht="15" customHeight="1" x14ac:dyDescent="0.25">
      <c r="A6641" s="2352" t="s">
        <v>14670</v>
      </c>
      <c r="B6641" s="2352" t="s">
        <v>5116</v>
      </c>
      <c r="C6641" s="2352" t="s">
        <v>5116</v>
      </c>
      <c r="D6641" s="2352" t="s">
        <v>5248</v>
      </c>
      <c r="E6641" s="355">
        <v>20</v>
      </c>
      <c r="F6641" s="1662">
        <v>5</v>
      </c>
    </row>
    <row r="6642" spans="1:6" ht="15" customHeight="1" x14ac:dyDescent="0.25">
      <c r="A6642" s="2352" t="s">
        <v>14671</v>
      </c>
      <c r="B6642" s="2352" t="s">
        <v>5116</v>
      </c>
      <c r="C6642" s="2352" t="s">
        <v>5116</v>
      </c>
      <c r="D6642" s="2352" t="s">
        <v>5249</v>
      </c>
      <c r="E6642" s="355">
        <v>160</v>
      </c>
      <c r="F6642" s="1662">
        <v>120</v>
      </c>
    </row>
    <row r="6643" spans="1:6" ht="15" customHeight="1" x14ac:dyDescent="0.25">
      <c r="A6643" s="2352" t="s">
        <v>9373</v>
      </c>
      <c r="B6643" s="2352" t="s">
        <v>5116</v>
      </c>
      <c r="C6643" s="2352" t="s">
        <v>5116</v>
      </c>
      <c r="D6643" s="2352" t="s">
        <v>5250</v>
      </c>
      <c r="E6643" s="355">
        <v>250</v>
      </c>
      <c r="F6643" s="1662">
        <v>40</v>
      </c>
    </row>
    <row r="6644" spans="1:6" ht="15" customHeight="1" x14ac:dyDescent="0.25">
      <c r="A6644" s="2352" t="s">
        <v>4411</v>
      </c>
      <c r="B6644" s="2352" t="s">
        <v>5116</v>
      </c>
      <c r="C6644" s="2352" t="s">
        <v>5116</v>
      </c>
      <c r="D6644" s="2352" t="s">
        <v>5251</v>
      </c>
      <c r="E6644" s="355">
        <v>160</v>
      </c>
      <c r="F6644" s="1662">
        <v>30</v>
      </c>
    </row>
    <row r="6645" spans="1:6" ht="15" customHeight="1" x14ac:dyDescent="0.25">
      <c r="A6645" s="2352" t="s">
        <v>14672</v>
      </c>
      <c r="B6645" s="2352" t="s">
        <v>5116</v>
      </c>
      <c r="C6645" s="2352" t="s">
        <v>5116</v>
      </c>
      <c r="D6645" s="2352" t="s">
        <v>5252</v>
      </c>
      <c r="E6645" s="355">
        <v>160</v>
      </c>
      <c r="F6645" s="1662">
        <v>35</v>
      </c>
    </row>
    <row r="6646" spans="1:6" ht="15" customHeight="1" x14ac:dyDescent="0.25">
      <c r="A6646" s="2352" t="s">
        <v>4411</v>
      </c>
      <c r="B6646" s="2352" t="s">
        <v>5116</v>
      </c>
      <c r="C6646" s="2352" t="s">
        <v>5116</v>
      </c>
      <c r="D6646" s="2352" t="s">
        <v>5253</v>
      </c>
      <c r="E6646" s="355">
        <v>250</v>
      </c>
      <c r="F6646" s="1662">
        <v>80</v>
      </c>
    </row>
    <row r="6647" spans="1:6" ht="15" customHeight="1" x14ac:dyDescent="0.25">
      <c r="A6647" s="2352" t="s">
        <v>4411</v>
      </c>
      <c r="B6647" s="2352" t="s">
        <v>5116</v>
      </c>
      <c r="C6647" s="2352" t="s">
        <v>5116</v>
      </c>
      <c r="D6647" s="2352" t="s">
        <v>5254</v>
      </c>
      <c r="E6647" s="355">
        <v>160</v>
      </c>
      <c r="F6647" s="1662">
        <v>100</v>
      </c>
    </row>
    <row r="6648" spans="1:6" ht="15" customHeight="1" x14ac:dyDescent="0.25">
      <c r="A6648" s="2352" t="s">
        <v>14673</v>
      </c>
      <c r="B6648" s="2352" t="s">
        <v>5116</v>
      </c>
      <c r="C6648" s="2352" t="s">
        <v>5116</v>
      </c>
      <c r="D6648" s="2352" t="s">
        <v>5255</v>
      </c>
      <c r="E6648" s="355">
        <v>100</v>
      </c>
      <c r="F6648" s="1662">
        <v>70</v>
      </c>
    </row>
    <row r="6649" spans="1:6" ht="15" customHeight="1" x14ac:dyDescent="0.25">
      <c r="A6649" s="2352" t="s">
        <v>14067</v>
      </c>
      <c r="B6649" s="2352" t="s">
        <v>5116</v>
      </c>
      <c r="C6649" s="2352" t="s">
        <v>5116</v>
      </c>
      <c r="D6649" s="2352" t="s">
        <v>5256</v>
      </c>
      <c r="E6649" s="355">
        <v>160</v>
      </c>
      <c r="F6649" s="1662">
        <v>40</v>
      </c>
    </row>
    <row r="6650" spans="1:6" ht="15" customHeight="1" x14ac:dyDescent="0.25">
      <c r="A6650" s="2352" t="s">
        <v>14674</v>
      </c>
      <c r="B6650" s="2352" t="s">
        <v>5116</v>
      </c>
      <c r="C6650" s="2352" t="s">
        <v>5116</v>
      </c>
      <c r="D6650" s="2352" t="s">
        <v>5257</v>
      </c>
      <c r="E6650" s="355">
        <v>60</v>
      </c>
      <c r="F6650" s="1662">
        <v>40</v>
      </c>
    </row>
    <row r="6651" spans="1:6" ht="15" customHeight="1" x14ac:dyDescent="0.25">
      <c r="A6651" s="2352" t="s">
        <v>14675</v>
      </c>
      <c r="B6651" s="2352" t="s">
        <v>5116</v>
      </c>
      <c r="C6651" s="2352" t="s">
        <v>5116</v>
      </c>
      <c r="D6651" s="2352" t="s">
        <v>5258</v>
      </c>
      <c r="E6651" s="355">
        <v>30</v>
      </c>
      <c r="F6651" s="1662">
        <v>10</v>
      </c>
    </row>
    <row r="6652" spans="1:6" ht="15" customHeight="1" x14ac:dyDescent="0.25">
      <c r="A6652" s="2352" t="s">
        <v>14676</v>
      </c>
      <c r="B6652" s="2352" t="s">
        <v>5116</v>
      </c>
      <c r="C6652" s="2352" t="s">
        <v>5116</v>
      </c>
      <c r="D6652" s="2352" t="s">
        <v>5259</v>
      </c>
      <c r="E6652" s="355">
        <v>30</v>
      </c>
      <c r="F6652" s="1662">
        <v>10</v>
      </c>
    </row>
    <row r="6653" spans="1:6" ht="15" customHeight="1" x14ac:dyDescent="0.25">
      <c r="A6653" s="2352" t="s">
        <v>14677</v>
      </c>
      <c r="B6653" s="2352" t="s">
        <v>5116</v>
      </c>
      <c r="C6653" s="2352" t="s">
        <v>5116</v>
      </c>
      <c r="D6653" s="2352" t="s">
        <v>5260</v>
      </c>
      <c r="E6653" s="355">
        <v>160</v>
      </c>
      <c r="F6653" s="1662">
        <v>100</v>
      </c>
    </row>
    <row r="6654" spans="1:6" ht="15" customHeight="1" x14ac:dyDescent="0.25">
      <c r="A6654" s="2352" t="s">
        <v>4229</v>
      </c>
      <c r="B6654" s="2352" t="s">
        <v>5116</v>
      </c>
      <c r="C6654" s="2352" t="s">
        <v>5116</v>
      </c>
      <c r="D6654" s="2352" t="s">
        <v>5261</v>
      </c>
      <c r="E6654" s="355">
        <v>20</v>
      </c>
      <c r="F6654" s="1662">
        <v>10</v>
      </c>
    </row>
    <row r="6655" spans="1:6" ht="15" customHeight="1" x14ac:dyDescent="0.25">
      <c r="A6655" s="2352" t="s">
        <v>14678</v>
      </c>
      <c r="B6655" s="2352" t="s">
        <v>5116</v>
      </c>
      <c r="C6655" s="2352" t="s">
        <v>5116</v>
      </c>
      <c r="D6655" s="2352" t="s">
        <v>5262</v>
      </c>
      <c r="E6655" s="355">
        <v>10</v>
      </c>
      <c r="F6655" s="1662">
        <v>5</v>
      </c>
    </row>
    <row r="6656" spans="1:6" ht="15" customHeight="1" x14ac:dyDescent="0.25">
      <c r="A6656" s="2352" t="s">
        <v>14679</v>
      </c>
      <c r="B6656" s="2352" t="s">
        <v>5116</v>
      </c>
      <c r="C6656" s="2352" t="s">
        <v>5116</v>
      </c>
      <c r="D6656" s="2352" t="s">
        <v>5263</v>
      </c>
      <c r="E6656" s="355">
        <v>25</v>
      </c>
      <c r="F6656" s="1662">
        <v>10</v>
      </c>
    </row>
    <row r="6657" spans="1:6" ht="15" customHeight="1" x14ac:dyDescent="0.25">
      <c r="A6657" s="2352" t="s">
        <v>3910</v>
      </c>
      <c r="B6657" s="2352" t="s">
        <v>5116</v>
      </c>
      <c r="C6657" s="2352" t="s">
        <v>5116</v>
      </c>
      <c r="D6657" s="2352" t="s">
        <v>5264</v>
      </c>
      <c r="E6657" s="355">
        <v>100</v>
      </c>
      <c r="F6657" s="1662">
        <v>65</v>
      </c>
    </row>
    <row r="6658" spans="1:6" ht="15" customHeight="1" x14ac:dyDescent="0.25">
      <c r="A6658" s="2352" t="s">
        <v>14680</v>
      </c>
      <c r="B6658" s="2352" t="s">
        <v>5116</v>
      </c>
      <c r="C6658" s="2352" t="s">
        <v>5116</v>
      </c>
      <c r="D6658" s="2352" t="s">
        <v>5265</v>
      </c>
      <c r="E6658" s="355">
        <v>10</v>
      </c>
      <c r="F6658" s="1662">
        <v>5</v>
      </c>
    </row>
    <row r="6659" spans="1:6" ht="15" customHeight="1" x14ac:dyDescent="0.25">
      <c r="A6659" s="2352" t="s">
        <v>14680</v>
      </c>
      <c r="B6659" s="2352" t="s">
        <v>5116</v>
      </c>
      <c r="C6659" s="2352" t="s">
        <v>5116</v>
      </c>
      <c r="D6659" s="2352" t="s">
        <v>5266</v>
      </c>
      <c r="E6659" s="355">
        <v>25</v>
      </c>
      <c r="F6659" s="1662">
        <v>10</v>
      </c>
    </row>
    <row r="6660" spans="1:6" ht="15" customHeight="1" x14ac:dyDescent="0.25">
      <c r="A6660" s="2352" t="s">
        <v>14681</v>
      </c>
      <c r="B6660" s="2352" t="s">
        <v>5116</v>
      </c>
      <c r="C6660" s="2352" t="s">
        <v>5116</v>
      </c>
      <c r="D6660" s="2352" t="s">
        <v>5267</v>
      </c>
      <c r="E6660" s="355">
        <v>160</v>
      </c>
      <c r="F6660" s="1662">
        <v>120</v>
      </c>
    </row>
    <row r="6661" spans="1:6" ht="15" customHeight="1" x14ac:dyDescent="0.25">
      <c r="A6661" s="2352" t="s">
        <v>6427</v>
      </c>
      <c r="B6661" s="2352" t="s">
        <v>5116</v>
      </c>
      <c r="C6661" s="2352" t="s">
        <v>5116</v>
      </c>
      <c r="D6661" s="2352" t="s">
        <v>5268</v>
      </c>
      <c r="E6661" s="355">
        <v>100</v>
      </c>
      <c r="F6661" s="1662">
        <v>30</v>
      </c>
    </row>
    <row r="6662" spans="1:6" ht="15" customHeight="1" x14ac:dyDescent="0.25">
      <c r="A6662" s="2352" t="s">
        <v>12251</v>
      </c>
      <c r="B6662" s="2352" t="s">
        <v>5116</v>
      </c>
      <c r="C6662" s="2352" t="s">
        <v>5116</v>
      </c>
      <c r="D6662" s="2352" t="s">
        <v>5269</v>
      </c>
      <c r="E6662" s="355">
        <v>250</v>
      </c>
      <c r="F6662" s="1662">
        <v>100</v>
      </c>
    </row>
    <row r="6663" spans="1:6" ht="15" customHeight="1" x14ac:dyDescent="0.25">
      <c r="A6663" s="2352" t="s">
        <v>14682</v>
      </c>
      <c r="B6663" s="2352" t="s">
        <v>5116</v>
      </c>
      <c r="C6663" s="2352" t="s">
        <v>5116</v>
      </c>
      <c r="D6663" s="2352" t="s">
        <v>5270</v>
      </c>
      <c r="E6663" s="355">
        <v>100</v>
      </c>
      <c r="F6663" s="1662">
        <v>55</v>
      </c>
    </row>
    <row r="6664" spans="1:6" ht="15" customHeight="1" x14ac:dyDescent="0.25">
      <c r="A6664" s="2352" t="s">
        <v>14497</v>
      </c>
      <c r="B6664" s="2352" t="s">
        <v>5116</v>
      </c>
      <c r="C6664" s="2352" t="s">
        <v>5116</v>
      </c>
      <c r="D6664" s="2352" t="s">
        <v>5271</v>
      </c>
      <c r="E6664" s="355">
        <v>100</v>
      </c>
      <c r="F6664" s="1662">
        <v>70</v>
      </c>
    </row>
    <row r="6665" spans="1:6" ht="15" customHeight="1" x14ac:dyDescent="0.25">
      <c r="A6665" s="2352" t="s">
        <v>14683</v>
      </c>
      <c r="B6665" s="2352" t="s">
        <v>5116</v>
      </c>
      <c r="C6665" s="2352" t="s">
        <v>5116</v>
      </c>
      <c r="D6665" s="2352" t="s">
        <v>5272</v>
      </c>
      <c r="E6665" s="355">
        <v>63</v>
      </c>
      <c r="F6665" s="1662">
        <v>10</v>
      </c>
    </row>
    <row r="6666" spans="1:6" ht="15" customHeight="1" x14ac:dyDescent="0.25">
      <c r="A6666" s="2352" t="s">
        <v>14683</v>
      </c>
      <c r="B6666" s="2352" t="s">
        <v>5116</v>
      </c>
      <c r="C6666" s="2352" t="s">
        <v>5116</v>
      </c>
      <c r="D6666" s="2352" t="s">
        <v>5273</v>
      </c>
      <c r="E6666" s="355">
        <v>250</v>
      </c>
      <c r="F6666" s="1662">
        <v>200</v>
      </c>
    </row>
    <row r="6667" spans="1:6" ht="15" customHeight="1" x14ac:dyDescent="0.25">
      <c r="A6667" s="2352" t="s">
        <v>8242</v>
      </c>
      <c r="B6667" s="2352" t="s">
        <v>5116</v>
      </c>
      <c r="C6667" s="2352" t="s">
        <v>5116</v>
      </c>
      <c r="D6667" s="2352" t="s">
        <v>5274</v>
      </c>
      <c r="E6667" s="355">
        <v>30</v>
      </c>
      <c r="F6667" s="1662">
        <v>10</v>
      </c>
    </row>
    <row r="6668" spans="1:6" ht="15" customHeight="1" x14ac:dyDescent="0.25">
      <c r="A6668" s="2352" t="s">
        <v>14684</v>
      </c>
      <c r="B6668" s="2352" t="s">
        <v>5116</v>
      </c>
      <c r="C6668" s="2352" t="s">
        <v>5116</v>
      </c>
      <c r="D6668" s="2352" t="s">
        <v>5275</v>
      </c>
      <c r="E6668" s="355">
        <v>60</v>
      </c>
      <c r="F6668" s="1662">
        <v>40</v>
      </c>
    </row>
    <row r="6669" spans="1:6" ht="15" customHeight="1" x14ac:dyDescent="0.25">
      <c r="A6669" s="2352" t="s">
        <v>14685</v>
      </c>
      <c r="B6669" s="2352" t="s">
        <v>5116</v>
      </c>
      <c r="C6669" s="2352" t="s">
        <v>5116</v>
      </c>
      <c r="D6669" s="2352" t="s">
        <v>5276</v>
      </c>
      <c r="E6669" s="355">
        <v>4</v>
      </c>
      <c r="F6669" s="1662">
        <v>1</v>
      </c>
    </row>
    <row r="6670" spans="1:6" ht="15" customHeight="1" x14ac:dyDescent="0.25">
      <c r="A6670" s="2352" t="s">
        <v>14629</v>
      </c>
      <c r="B6670" s="2352" t="s">
        <v>5116</v>
      </c>
      <c r="C6670" s="2352" t="s">
        <v>5116</v>
      </c>
      <c r="D6670" s="2352" t="s">
        <v>5277</v>
      </c>
      <c r="E6670" s="355">
        <v>1000</v>
      </c>
      <c r="F6670" s="1662">
        <v>500</v>
      </c>
    </row>
    <row r="6671" spans="1:6" ht="15" customHeight="1" x14ac:dyDescent="0.25">
      <c r="A6671" s="2352" t="s">
        <v>14510</v>
      </c>
      <c r="B6671" s="2352" t="s">
        <v>5116</v>
      </c>
      <c r="C6671" s="2352" t="s">
        <v>5116</v>
      </c>
      <c r="D6671" s="2352" t="s">
        <v>5278</v>
      </c>
      <c r="E6671" s="355">
        <v>30</v>
      </c>
      <c r="F6671" s="1662">
        <v>10</v>
      </c>
    </row>
    <row r="6672" spans="1:6" ht="15" customHeight="1" x14ac:dyDescent="0.25">
      <c r="A6672" s="2352" t="s">
        <v>14510</v>
      </c>
      <c r="B6672" s="2352" t="s">
        <v>5116</v>
      </c>
      <c r="C6672" s="2352" t="s">
        <v>5116</v>
      </c>
      <c r="D6672" s="2352" t="s">
        <v>5279</v>
      </c>
      <c r="E6672" s="355">
        <v>100</v>
      </c>
      <c r="F6672" s="1662">
        <v>45</v>
      </c>
    </row>
    <row r="6673" spans="1:6" ht="15" customHeight="1" x14ac:dyDescent="0.25">
      <c r="A6673" s="2352" t="s">
        <v>14686</v>
      </c>
      <c r="B6673" s="2352" t="s">
        <v>5116</v>
      </c>
      <c r="C6673" s="2352" t="s">
        <v>5116</v>
      </c>
      <c r="D6673" s="2352" t="s">
        <v>5280</v>
      </c>
      <c r="E6673" s="355">
        <v>160</v>
      </c>
      <c r="F6673" s="1662">
        <v>120</v>
      </c>
    </row>
    <row r="6674" spans="1:6" ht="15" customHeight="1" x14ac:dyDescent="0.25">
      <c r="A6674" s="2352" t="s">
        <v>14687</v>
      </c>
      <c r="B6674" s="2352" t="s">
        <v>5116</v>
      </c>
      <c r="C6674" s="2352" t="s">
        <v>5116</v>
      </c>
      <c r="D6674" s="2352" t="s">
        <v>5281</v>
      </c>
      <c r="E6674" s="355">
        <v>63</v>
      </c>
      <c r="F6674" s="1662">
        <v>10</v>
      </c>
    </row>
    <row r="6675" spans="1:6" ht="15" customHeight="1" x14ac:dyDescent="0.25">
      <c r="A6675" s="2352" t="s">
        <v>14688</v>
      </c>
      <c r="B6675" s="2352" t="s">
        <v>5116</v>
      </c>
      <c r="C6675" s="2352" t="s">
        <v>5116</v>
      </c>
      <c r="D6675" s="2352" t="s">
        <v>5282</v>
      </c>
      <c r="E6675" s="355">
        <v>63</v>
      </c>
      <c r="F6675" s="1662">
        <v>5</v>
      </c>
    </row>
    <row r="6676" spans="1:6" ht="15" customHeight="1" x14ac:dyDescent="0.25">
      <c r="A6676" s="2352" t="s">
        <v>5283</v>
      </c>
      <c r="B6676" s="2352" t="s">
        <v>5116</v>
      </c>
      <c r="C6676" s="2352" t="s">
        <v>5116</v>
      </c>
      <c r="D6676" s="2352" t="s">
        <v>5284</v>
      </c>
      <c r="E6676" s="355">
        <v>250</v>
      </c>
      <c r="F6676" s="1662">
        <v>200</v>
      </c>
    </row>
    <row r="6677" spans="1:6" ht="15" customHeight="1" x14ac:dyDescent="0.25">
      <c r="A6677" s="2352" t="s">
        <v>14689</v>
      </c>
      <c r="B6677" s="2352" t="s">
        <v>5116</v>
      </c>
      <c r="C6677" s="2352" t="s">
        <v>5116</v>
      </c>
      <c r="D6677" s="2352" t="s">
        <v>5285</v>
      </c>
      <c r="E6677" s="355">
        <v>40</v>
      </c>
      <c r="F6677" s="1662">
        <v>20</v>
      </c>
    </row>
    <row r="6678" spans="1:6" ht="15" customHeight="1" x14ac:dyDescent="0.25">
      <c r="A6678" s="2352" t="s">
        <v>14690</v>
      </c>
      <c r="B6678" s="2352" t="s">
        <v>5116</v>
      </c>
      <c r="C6678" s="2352" t="s">
        <v>5116</v>
      </c>
      <c r="D6678" s="2352" t="s">
        <v>5286</v>
      </c>
      <c r="E6678" s="355">
        <v>100</v>
      </c>
      <c r="F6678" s="1662">
        <v>70</v>
      </c>
    </row>
    <row r="6679" spans="1:6" ht="15" customHeight="1" x14ac:dyDescent="0.25">
      <c r="A6679" s="2352" t="s">
        <v>14691</v>
      </c>
      <c r="B6679" s="2352" t="s">
        <v>5116</v>
      </c>
      <c r="C6679" s="2352" t="s">
        <v>5116</v>
      </c>
      <c r="D6679" s="2352" t="s">
        <v>5287</v>
      </c>
      <c r="E6679" s="355">
        <v>100</v>
      </c>
      <c r="F6679" s="1662">
        <v>30</v>
      </c>
    </row>
    <row r="6680" spans="1:6" ht="15" customHeight="1" x14ac:dyDescent="0.25">
      <c r="A6680" s="2352" t="s">
        <v>14692</v>
      </c>
      <c r="B6680" s="2352" t="s">
        <v>5116</v>
      </c>
      <c r="C6680" s="2352" t="s">
        <v>5116</v>
      </c>
      <c r="D6680" s="2352" t="s">
        <v>5288</v>
      </c>
      <c r="E6680" s="355">
        <v>100</v>
      </c>
      <c r="F6680" s="1662">
        <v>70</v>
      </c>
    </row>
    <row r="6681" spans="1:6" ht="15" customHeight="1" x14ac:dyDescent="0.25">
      <c r="A6681" s="2352" t="s">
        <v>14693</v>
      </c>
      <c r="B6681" s="2352" t="s">
        <v>5116</v>
      </c>
      <c r="C6681" s="2352" t="s">
        <v>5116</v>
      </c>
      <c r="D6681" s="2352" t="s">
        <v>5289</v>
      </c>
      <c r="E6681" s="355">
        <v>30</v>
      </c>
      <c r="F6681" s="1662">
        <v>10</v>
      </c>
    </row>
    <row r="6682" spans="1:6" ht="15" customHeight="1" x14ac:dyDescent="0.25">
      <c r="A6682" s="2352" t="s">
        <v>5290</v>
      </c>
      <c r="B6682" s="2352" t="s">
        <v>5116</v>
      </c>
      <c r="C6682" s="2352" t="s">
        <v>5116</v>
      </c>
      <c r="D6682" s="2352" t="s">
        <v>5291</v>
      </c>
      <c r="E6682" s="355">
        <v>160</v>
      </c>
      <c r="F6682" s="1662">
        <v>60</v>
      </c>
    </row>
    <row r="6683" spans="1:6" ht="15" customHeight="1" x14ac:dyDescent="0.25">
      <c r="A6683" s="2352" t="s">
        <v>5290</v>
      </c>
      <c r="B6683" s="2352" t="s">
        <v>5116</v>
      </c>
      <c r="C6683" s="2352" t="s">
        <v>5116</v>
      </c>
      <c r="D6683" s="2352" t="s">
        <v>5292</v>
      </c>
      <c r="E6683" s="355">
        <v>250</v>
      </c>
      <c r="F6683" s="1662">
        <v>200</v>
      </c>
    </row>
    <row r="6684" spans="1:6" ht="15" customHeight="1" x14ac:dyDescent="0.25">
      <c r="A6684" s="2352" t="s">
        <v>5290</v>
      </c>
      <c r="B6684" s="2352" t="s">
        <v>5116</v>
      </c>
      <c r="C6684" s="2352" t="s">
        <v>5116</v>
      </c>
      <c r="D6684" s="2352" t="s">
        <v>5293</v>
      </c>
      <c r="E6684" s="355">
        <v>160</v>
      </c>
      <c r="F6684" s="1662">
        <v>100</v>
      </c>
    </row>
    <row r="6685" spans="1:6" ht="15" customHeight="1" x14ac:dyDescent="0.25">
      <c r="A6685" s="2352" t="s">
        <v>5290</v>
      </c>
      <c r="B6685" s="2352" t="s">
        <v>5116</v>
      </c>
      <c r="C6685" s="2352" t="s">
        <v>5116</v>
      </c>
      <c r="D6685" s="2352" t="s">
        <v>5294</v>
      </c>
      <c r="E6685" s="355">
        <v>250</v>
      </c>
      <c r="F6685" s="1662">
        <v>200</v>
      </c>
    </row>
    <row r="6686" spans="1:6" ht="15" customHeight="1" x14ac:dyDescent="0.25">
      <c r="A6686" s="2352" t="s">
        <v>5295</v>
      </c>
      <c r="B6686" s="2352" t="s">
        <v>5116</v>
      </c>
      <c r="C6686" s="2352" t="s">
        <v>5116</v>
      </c>
      <c r="D6686" s="2352" t="s">
        <v>5296</v>
      </c>
      <c r="E6686" s="355">
        <v>63</v>
      </c>
      <c r="F6686" s="1662">
        <v>20</v>
      </c>
    </row>
    <row r="6687" spans="1:6" ht="15" customHeight="1" x14ac:dyDescent="0.25">
      <c r="A6687" s="2352" t="s">
        <v>5290</v>
      </c>
      <c r="B6687" s="2352" t="s">
        <v>5116</v>
      </c>
      <c r="C6687" s="2352" t="s">
        <v>5116</v>
      </c>
      <c r="D6687" s="2352" t="s">
        <v>5297</v>
      </c>
      <c r="E6687" s="355">
        <v>160</v>
      </c>
      <c r="F6687" s="1662">
        <v>100</v>
      </c>
    </row>
    <row r="6688" spans="1:6" ht="15" customHeight="1" x14ac:dyDescent="0.25">
      <c r="A6688" s="2352" t="s">
        <v>14694</v>
      </c>
      <c r="B6688" s="2352" t="s">
        <v>5116</v>
      </c>
      <c r="C6688" s="2352" t="s">
        <v>5116</v>
      </c>
      <c r="D6688" s="2352" t="s">
        <v>5298</v>
      </c>
      <c r="E6688" s="355">
        <v>63</v>
      </c>
      <c r="F6688" s="1662">
        <v>20</v>
      </c>
    </row>
    <row r="6689" spans="1:6" ht="15" customHeight="1" x14ac:dyDescent="0.25">
      <c r="A6689" s="2352" t="s">
        <v>5290</v>
      </c>
      <c r="B6689" s="2352" t="s">
        <v>5116</v>
      </c>
      <c r="C6689" s="2352" t="s">
        <v>5116</v>
      </c>
      <c r="D6689" s="2352" t="s">
        <v>5299</v>
      </c>
      <c r="E6689" s="355">
        <v>250</v>
      </c>
      <c r="F6689" s="1662">
        <v>200</v>
      </c>
    </row>
    <row r="6690" spans="1:6" ht="15" customHeight="1" x14ac:dyDescent="0.25">
      <c r="A6690" s="2352" t="s">
        <v>14695</v>
      </c>
      <c r="B6690" s="2352" t="s">
        <v>5116</v>
      </c>
      <c r="C6690" s="2352" t="s">
        <v>5116</v>
      </c>
      <c r="D6690" s="2352" t="s">
        <v>5300</v>
      </c>
      <c r="E6690" s="355">
        <v>100</v>
      </c>
      <c r="F6690" s="1662">
        <v>30</v>
      </c>
    </row>
    <row r="6691" spans="1:6" ht="15" customHeight="1" x14ac:dyDescent="0.25">
      <c r="A6691" s="2352" t="s">
        <v>14696</v>
      </c>
      <c r="B6691" s="2352" t="s">
        <v>5116</v>
      </c>
      <c r="C6691" s="2352" t="s">
        <v>5116</v>
      </c>
      <c r="D6691" s="2352" t="s">
        <v>5301</v>
      </c>
      <c r="E6691" s="355">
        <v>160</v>
      </c>
      <c r="F6691" s="1662">
        <v>100</v>
      </c>
    </row>
    <row r="6692" spans="1:6" ht="15" customHeight="1" x14ac:dyDescent="0.25">
      <c r="A6692" s="2352" t="s">
        <v>14697</v>
      </c>
      <c r="B6692" s="2352" t="s">
        <v>5116</v>
      </c>
      <c r="C6692" s="2352" t="s">
        <v>5116</v>
      </c>
      <c r="D6692" s="2352" t="s">
        <v>5302</v>
      </c>
      <c r="E6692" s="355">
        <v>60</v>
      </c>
      <c r="F6692" s="1662">
        <v>30</v>
      </c>
    </row>
    <row r="6693" spans="1:6" ht="15" customHeight="1" x14ac:dyDescent="0.25">
      <c r="A6693" s="2352" t="s">
        <v>14698</v>
      </c>
      <c r="B6693" s="2352" t="s">
        <v>5116</v>
      </c>
      <c r="C6693" s="2352" t="s">
        <v>5116</v>
      </c>
      <c r="D6693" s="2352" t="s">
        <v>5303</v>
      </c>
      <c r="E6693" s="355">
        <v>100</v>
      </c>
      <c r="F6693" s="1662">
        <v>50</v>
      </c>
    </row>
    <row r="6694" spans="1:6" ht="15" customHeight="1" x14ac:dyDescent="0.25">
      <c r="A6694" s="2352" t="s">
        <v>14699</v>
      </c>
      <c r="B6694" s="2352" t="s">
        <v>5116</v>
      </c>
      <c r="C6694" s="2352" t="s">
        <v>5116</v>
      </c>
      <c r="D6694" s="2352" t="s">
        <v>5304</v>
      </c>
      <c r="E6694" s="355">
        <v>100</v>
      </c>
      <c r="F6694" s="1662">
        <v>30</v>
      </c>
    </row>
    <row r="6695" spans="1:6" ht="15" customHeight="1" x14ac:dyDescent="0.25">
      <c r="A6695" s="2352" t="s">
        <v>14700</v>
      </c>
      <c r="B6695" s="2352" t="s">
        <v>5116</v>
      </c>
      <c r="C6695" s="2352" t="s">
        <v>5116</v>
      </c>
      <c r="D6695" s="2352" t="s">
        <v>5305</v>
      </c>
      <c r="E6695" s="355">
        <v>63</v>
      </c>
      <c r="F6695" s="1662">
        <v>5</v>
      </c>
    </row>
    <row r="6696" spans="1:6" ht="15" customHeight="1" x14ac:dyDescent="0.25">
      <c r="A6696" s="2352" t="s">
        <v>14701</v>
      </c>
      <c r="B6696" s="2352" t="s">
        <v>5116</v>
      </c>
      <c r="C6696" s="2352" t="s">
        <v>5116</v>
      </c>
      <c r="D6696" s="2352" t="s">
        <v>5306</v>
      </c>
      <c r="E6696" s="355">
        <v>20</v>
      </c>
      <c r="F6696" s="1662">
        <v>3</v>
      </c>
    </row>
    <row r="6697" spans="1:6" ht="15" customHeight="1" x14ac:dyDescent="0.25">
      <c r="A6697" s="2352" t="s">
        <v>5307</v>
      </c>
      <c r="B6697" s="2352" t="s">
        <v>5116</v>
      </c>
      <c r="C6697" s="2352" t="s">
        <v>5116</v>
      </c>
      <c r="D6697" s="2352" t="s">
        <v>5308</v>
      </c>
      <c r="E6697" s="355">
        <v>160</v>
      </c>
      <c r="F6697" s="1662">
        <v>100</v>
      </c>
    </row>
    <row r="6698" spans="1:6" ht="15" customHeight="1" x14ac:dyDescent="0.25">
      <c r="A6698" s="2352" t="s">
        <v>14702</v>
      </c>
      <c r="B6698" s="2352" t="s">
        <v>5116</v>
      </c>
      <c r="C6698" s="2352" t="s">
        <v>5116</v>
      </c>
      <c r="D6698" s="2352" t="s">
        <v>5309</v>
      </c>
      <c r="E6698" s="355">
        <v>63</v>
      </c>
      <c r="F6698" s="1662">
        <v>20</v>
      </c>
    </row>
    <row r="6699" spans="1:6" ht="15" customHeight="1" x14ac:dyDescent="0.25">
      <c r="A6699" s="2352" t="s">
        <v>5310</v>
      </c>
      <c r="B6699" s="2352" t="s">
        <v>5116</v>
      </c>
      <c r="C6699" s="2352" t="s">
        <v>5116</v>
      </c>
      <c r="D6699" s="2352" t="s">
        <v>5311</v>
      </c>
      <c r="E6699" s="355">
        <v>160</v>
      </c>
      <c r="F6699" s="1662">
        <v>40</v>
      </c>
    </row>
    <row r="6700" spans="1:6" ht="15" customHeight="1" x14ac:dyDescent="0.25">
      <c r="A6700" s="2352" t="s">
        <v>5310</v>
      </c>
      <c r="B6700" s="2352" t="s">
        <v>5116</v>
      </c>
      <c r="C6700" s="2352" t="s">
        <v>5116</v>
      </c>
      <c r="D6700" s="2352" t="s">
        <v>5312</v>
      </c>
      <c r="E6700" s="355">
        <v>160</v>
      </c>
      <c r="F6700" s="1662">
        <v>50</v>
      </c>
    </row>
    <row r="6701" spans="1:6" ht="15" customHeight="1" x14ac:dyDescent="0.25">
      <c r="A6701" s="2352" t="s">
        <v>14703</v>
      </c>
      <c r="B6701" s="2352" t="s">
        <v>5116</v>
      </c>
      <c r="C6701" s="2352" t="s">
        <v>5116</v>
      </c>
      <c r="D6701" s="2352" t="s">
        <v>5313</v>
      </c>
      <c r="E6701" s="355">
        <v>160</v>
      </c>
      <c r="F6701" s="1662">
        <v>60</v>
      </c>
    </row>
    <row r="6702" spans="1:6" ht="15" customHeight="1" x14ac:dyDescent="0.25">
      <c r="A6702" s="2352" t="s">
        <v>14703</v>
      </c>
      <c r="B6702" s="2352" t="s">
        <v>5116</v>
      </c>
      <c r="C6702" s="2352" t="s">
        <v>5116</v>
      </c>
      <c r="D6702" s="2352" t="s">
        <v>5314</v>
      </c>
      <c r="E6702" s="355">
        <v>250</v>
      </c>
      <c r="F6702" s="1662">
        <v>150</v>
      </c>
    </row>
    <row r="6703" spans="1:6" ht="15" customHeight="1" x14ac:dyDescent="0.25">
      <c r="A6703" s="2352" t="s">
        <v>14703</v>
      </c>
      <c r="B6703" s="2352" t="s">
        <v>5116</v>
      </c>
      <c r="C6703" s="2352" t="s">
        <v>5116</v>
      </c>
      <c r="D6703" s="2352" t="s">
        <v>5315</v>
      </c>
      <c r="E6703" s="355">
        <v>250</v>
      </c>
      <c r="F6703" s="1662">
        <v>150</v>
      </c>
    </row>
    <row r="6704" spans="1:6" ht="15" customHeight="1" x14ac:dyDescent="0.25">
      <c r="A6704" s="2352" t="s">
        <v>14703</v>
      </c>
      <c r="B6704" s="2352" t="s">
        <v>5116</v>
      </c>
      <c r="C6704" s="2352" t="s">
        <v>5116</v>
      </c>
      <c r="D6704" s="2352" t="s">
        <v>5316</v>
      </c>
      <c r="E6704" s="355">
        <v>160</v>
      </c>
      <c r="F6704" s="1662">
        <v>100</v>
      </c>
    </row>
    <row r="6705" spans="1:6" ht="15" customHeight="1" x14ac:dyDescent="0.25">
      <c r="A6705" s="2352" t="s">
        <v>14703</v>
      </c>
      <c r="B6705" s="2352" t="s">
        <v>5116</v>
      </c>
      <c r="C6705" s="2352" t="s">
        <v>5116</v>
      </c>
      <c r="D6705" s="2352" t="s">
        <v>5317</v>
      </c>
      <c r="E6705" s="355">
        <v>250</v>
      </c>
      <c r="F6705" s="1662">
        <v>150</v>
      </c>
    </row>
    <row r="6706" spans="1:6" ht="15" customHeight="1" x14ac:dyDescent="0.25">
      <c r="A6706" s="2352" t="s">
        <v>14703</v>
      </c>
      <c r="B6706" s="2352" t="s">
        <v>5116</v>
      </c>
      <c r="C6706" s="2352" t="s">
        <v>5116</v>
      </c>
      <c r="D6706" s="2352" t="s">
        <v>5318</v>
      </c>
      <c r="E6706" s="355">
        <v>60</v>
      </c>
      <c r="F6706" s="1662">
        <v>10</v>
      </c>
    </row>
    <row r="6707" spans="1:6" ht="15" customHeight="1" x14ac:dyDescent="0.25">
      <c r="A6707" s="2352" t="s">
        <v>14703</v>
      </c>
      <c r="B6707" s="2352" t="s">
        <v>5116</v>
      </c>
      <c r="C6707" s="2352" t="s">
        <v>5116</v>
      </c>
      <c r="D6707" s="2352" t="s">
        <v>5319</v>
      </c>
      <c r="E6707" s="355">
        <v>160</v>
      </c>
      <c r="F6707" s="1662">
        <v>100</v>
      </c>
    </row>
    <row r="6708" spans="1:6" ht="15" customHeight="1" x14ac:dyDescent="0.25">
      <c r="A6708" s="2352" t="s">
        <v>14704</v>
      </c>
      <c r="B6708" s="2352" t="s">
        <v>5116</v>
      </c>
      <c r="C6708" s="2352" t="s">
        <v>5116</v>
      </c>
      <c r="D6708" s="2352" t="s">
        <v>5320</v>
      </c>
      <c r="E6708" s="355">
        <v>100</v>
      </c>
      <c r="F6708" s="1662">
        <v>40</v>
      </c>
    </row>
    <row r="6709" spans="1:6" ht="15" customHeight="1" x14ac:dyDescent="0.25">
      <c r="A6709" s="2352" t="s">
        <v>14705</v>
      </c>
      <c r="B6709" s="2352" t="s">
        <v>5116</v>
      </c>
      <c r="C6709" s="2352" t="s">
        <v>5116</v>
      </c>
      <c r="D6709" s="2352" t="s">
        <v>5321</v>
      </c>
      <c r="E6709" s="355">
        <v>60</v>
      </c>
      <c r="F6709" s="1662">
        <v>30</v>
      </c>
    </row>
    <row r="6710" spans="1:6" ht="15" customHeight="1" x14ac:dyDescent="0.25">
      <c r="A6710" s="2352" t="s">
        <v>14706</v>
      </c>
      <c r="B6710" s="2352" t="s">
        <v>5116</v>
      </c>
      <c r="C6710" s="2352" t="s">
        <v>5116</v>
      </c>
      <c r="D6710" s="2352" t="s">
        <v>5322</v>
      </c>
      <c r="E6710" s="355" t="s">
        <v>4199</v>
      </c>
      <c r="F6710" s="1662">
        <v>100</v>
      </c>
    </row>
    <row r="6711" spans="1:6" ht="15" customHeight="1" x14ac:dyDescent="0.25">
      <c r="A6711" s="2352" t="s">
        <v>14686</v>
      </c>
      <c r="B6711" s="2352" t="s">
        <v>5116</v>
      </c>
      <c r="C6711" s="2352" t="s">
        <v>5116</v>
      </c>
      <c r="D6711" s="2352" t="s">
        <v>5323</v>
      </c>
      <c r="E6711" s="355">
        <v>30</v>
      </c>
      <c r="F6711" s="1662">
        <v>10</v>
      </c>
    </row>
    <row r="6712" spans="1:6" ht="15" customHeight="1" x14ac:dyDescent="0.25">
      <c r="A6712" s="2352" t="s">
        <v>5324</v>
      </c>
      <c r="B6712" s="2352" t="s">
        <v>5116</v>
      </c>
      <c r="C6712" s="2352" t="s">
        <v>5116</v>
      </c>
      <c r="D6712" s="2352" t="s">
        <v>5325</v>
      </c>
      <c r="E6712" s="355">
        <v>100</v>
      </c>
      <c r="F6712" s="1662">
        <v>50</v>
      </c>
    </row>
    <row r="6713" spans="1:6" ht="15" customHeight="1" x14ac:dyDescent="0.25">
      <c r="A6713" s="2352" t="s">
        <v>14707</v>
      </c>
      <c r="B6713" s="2352" t="s">
        <v>5116</v>
      </c>
      <c r="C6713" s="2352" t="s">
        <v>5116</v>
      </c>
      <c r="D6713" s="2352" t="s">
        <v>5326</v>
      </c>
      <c r="E6713" s="355">
        <v>100</v>
      </c>
      <c r="F6713" s="1662">
        <v>50</v>
      </c>
    </row>
    <row r="6714" spans="1:6" ht="15" customHeight="1" x14ac:dyDescent="0.25">
      <c r="A6714" s="2352" t="s">
        <v>5327</v>
      </c>
      <c r="B6714" s="2352" t="s">
        <v>5116</v>
      </c>
      <c r="C6714" s="2352" t="s">
        <v>5116</v>
      </c>
      <c r="D6714" s="2352" t="s">
        <v>5328</v>
      </c>
      <c r="E6714" s="355">
        <v>160</v>
      </c>
      <c r="F6714" s="1662">
        <v>100</v>
      </c>
    </row>
    <row r="6715" spans="1:6" ht="15" customHeight="1" x14ac:dyDescent="0.25">
      <c r="A6715" s="2352" t="s">
        <v>5329</v>
      </c>
      <c r="B6715" s="2352" t="s">
        <v>5116</v>
      </c>
      <c r="C6715" s="2352" t="s">
        <v>5116</v>
      </c>
      <c r="D6715" s="2352" t="s">
        <v>5330</v>
      </c>
      <c r="E6715" s="355">
        <v>180</v>
      </c>
      <c r="F6715" s="1662">
        <v>100</v>
      </c>
    </row>
    <row r="6716" spans="1:6" ht="15" customHeight="1" x14ac:dyDescent="0.25">
      <c r="A6716" s="2352" t="s">
        <v>5331</v>
      </c>
      <c r="B6716" s="2352" t="s">
        <v>5116</v>
      </c>
      <c r="C6716" s="2352" t="s">
        <v>5116</v>
      </c>
      <c r="D6716" s="2352" t="s">
        <v>5332</v>
      </c>
      <c r="E6716" s="355">
        <v>10</v>
      </c>
      <c r="F6716" s="1662">
        <v>4</v>
      </c>
    </row>
    <row r="6717" spans="1:6" ht="15" customHeight="1" x14ac:dyDescent="0.25">
      <c r="A6717" s="2352" t="s">
        <v>5331</v>
      </c>
      <c r="B6717" s="2352" t="s">
        <v>5116</v>
      </c>
      <c r="C6717" s="2352" t="s">
        <v>5116</v>
      </c>
      <c r="D6717" s="2352" t="s">
        <v>5333</v>
      </c>
      <c r="E6717" s="355">
        <v>100</v>
      </c>
      <c r="F6717" s="1662">
        <v>60</v>
      </c>
    </row>
    <row r="6718" spans="1:6" ht="15" customHeight="1" x14ac:dyDescent="0.25">
      <c r="A6718" s="2352" t="s">
        <v>4769</v>
      </c>
      <c r="B6718" s="2352" t="s">
        <v>5116</v>
      </c>
      <c r="C6718" s="2352" t="s">
        <v>5116</v>
      </c>
      <c r="D6718" s="2352" t="s">
        <v>5334</v>
      </c>
      <c r="E6718" s="355">
        <v>100</v>
      </c>
      <c r="F6718" s="1662">
        <v>70</v>
      </c>
    </row>
    <row r="6719" spans="1:6" ht="15" customHeight="1" x14ac:dyDescent="0.25">
      <c r="A6719" s="2352" t="s">
        <v>14708</v>
      </c>
      <c r="B6719" s="2352" t="s">
        <v>5116</v>
      </c>
      <c r="C6719" s="2352" t="s">
        <v>5116</v>
      </c>
      <c r="D6719" s="2352" t="s">
        <v>5335</v>
      </c>
      <c r="E6719" s="355">
        <v>100</v>
      </c>
      <c r="F6719" s="1662">
        <v>25</v>
      </c>
    </row>
    <row r="6720" spans="1:6" ht="15" customHeight="1" x14ac:dyDescent="0.25">
      <c r="A6720" s="2352" t="s">
        <v>14709</v>
      </c>
      <c r="B6720" s="2352" t="s">
        <v>5116</v>
      </c>
      <c r="C6720" s="2352" t="s">
        <v>5116</v>
      </c>
      <c r="D6720" s="2352" t="s">
        <v>5336</v>
      </c>
      <c r="E6720" s="355">
        <v>100</v>
      </c>
      <c r="F6720" s="1662">
        <v>80</v>
      </c>
    </row>
    <row r="6721" spans="1:6" ht="15" customHeight="1" x14ac:dyDescent="0.25">
      <c r="A6721" s="2352" t="s">
        <v>14710</v>
      </c>
      <c r="B6721" s="2352" t="s">
        <v>5116</v>
      </c>
      <c r="C6721" s="2352" t="s">
        <v>5116</v>
      </c>
      <c r="D6721" s="2352" t="s">
        <v>5337</v>
      </c>
      <c r="E6721" s="355">
        <v>10</v>
      </c>
      <c r="F6721" s="1662">
        <v>5</v>
      </c>
    </row>
    <row r="6722" spans="1:6" ht="15" customHeight="1" x14ac:dyDescent="0.25">
      <c r="A6722" s="2352" t="s">
        <v>14711</v>
      </c>
      <c r="B6722" s="2352" t="s">
        <v>5116</v>
      </c>
      <c r="C6722" s="2352" t="s">
        <v>5116</v>
      </c>
      <c r="D6722" s="2352" t="s">
        <v>5338</v>
      </c>
      <c r="E6722" s="355">
        <v>10</v>
      </c>
      <c r="F6722" s="1662">
        <v>5</v>
      </c>
    </row>
    <row r="6723" spans="1:6" ht="15" customHeight="1" x14ac:dyDescent="0.25">
      <c r="A6723" s="2352" t="s">
        <v>14712</v>
      </c>
      <c r="B6723" s="2352" t="s">
        <v>5116</v>
      </c>
      <c r="C6723" s="2352" t="s">
        <v>5116</v>
      </c>
      <c r="D6723" s="2352" t="s">
        <v>5339</v>
      </c>
      <c r="E6723" s="355">
        <v>20</v>
      </c>
      <c r="F6723" s="1662">
        <v>10</v>
      </c>
    </row>
    <row r="6724" spans="1:6" ht="15" customHeight="1" x14ac:dyDescent="0.25">
      <c r="A6724" s="2352" t="s">
        <v>5341</v>
      </c>
      <c r="B6724" s="2352" t="s">
        <v>5116</v>
      </c>
      <c r="C6724" s="2352" t="s">
        <v>5116</v>
      </c>
      <c r="D6724" s="2352" t="s">
        <v>5340</v>
      </c>
      <c r="E6724" s="355">
        <v>160</v>
      </c>
      <c r="F6724" s="1662">
        <v>100</v>
      </c>
    </row>
    <row r="6725" spans="1:6" ht="15" customHeight="1" x14ac:dyDescent="0.25">
      <c r="A6725" s="2352" t="s">
        <v>5341</v>
      </c>
      <c r="B6725" s="2352" t="s">
        <v>5116</v>
      </c>
      <c r="C6725" s="2352" t="s">
        <v>5116</v>
      </c>
      <c r="D6725" s="2352" t="s">
        <v>5342</v>
      </c>
      <c r="E6725" s="355">
        <v>250</v>
      </c>
      <c r="F6725" s="1662">
        <v>200</v>
      </c>
    </row>
    <row r="6726" spans="1:6" ht="15" customHeight="1" x14ac:dyDescent="0.25">
      <c r="A6726" s="2352" t="s">
        <v>14713</v>
      </c>
      <c r="B6726" s="2352" t="s">
        <v>5116</v>
      </c>
      <c r="C6726" s="2352" t="s">
        <v>5116</v>
      </c>
      <c r="D6726" s="2352" t="s">
        <v>5343</v>
      </c>
      <c r="E6726" s="355">
        <v>63</v>
      </c>
      <c r="F6726" s="1662">
        <v>40</v>
      </c>
    </row>
    <row r="6727" spans="1:6" ht="15" customHeight="1" x14ac:dyDescent="0.25">
      <c r="A6727" s="2352" t="s">
        <v>14714</v>
      </c>
      <c r="B6727" s="2352" t="s">
        <v>5116</v>
      </c>
      <c r="C6727" s="2352" t="s">
        <v>5116</v>
      </c>
      <c r="D6727" s="2352" t="s">
        <v>5344</v>
      </c>
      <c r="E6727" s="355">
        <v>63</v>
      </c>
      <c r="F6727" s="1662">
        <v>25</v>
      </c>
    </row>
    <row r="6728" spans="1:6" ht="15" customHeight="1" x14ac:dyDescent="0.25">
      <c r="A6728" s="2352" t="s">
        <v>14714</v>
      </c>
      <c r="B6728" s="2352" t="s">
        <v>5116</v>
      </c>
      <c r="C6728" s="2352" t="s">
        <v>5116</v>
      </c>
      <c r="D6728" s="2352" t="s">
        <v>5345</v>
      </c>
      <c r="E6728" s="355">
        <v>63</v>
      </c>
      <c r="F6728" s="1662">
        <v>25</v>
      </c>
    </row>
    <row r="6729" spans="1:6" ht="15" customHeight="1" x14ac:dyDescent="0.25">
      <c r="A6729" s="2352" t="s">
        <v>14715</v>
      </c>
      <c r="B6729" s="2352" t="s">
        <v>5116</v>
      </c>
      <c r="C6729" s="2352" t="s">
        <v>5116</v>
      </c>
      <c r="D6729" s="2352" t="s">
        <v>5346</v>
      </c>
      <c r="E6729" s="355">
        <v>20</v>
      </c>
      <c r="F6729" s="1662">
        <v>15</v>
      </c>
    </row>
    <row r="6730" spans="1:6" ht="15" customHeight="1" x14ac:dyDescent="0.25">
      <c r="A6730" s="2352" t="s">
        <v>13972</v>
      </c>
      <c r="B6730" s="2352" t="s">
        <v>5116</v>
      </c>
      <c r="C6730" s="2352" t="s">
        <v>5116</v>
      </c>
      <c r="D6730" s="2352" t="s">
        <v>5347</v>
      </c>
      <c r="E6730" s="355">
        <v>400</v>
      </c>
      <c r="F6730" s="1662">
        <v>350</v>
      </c>
    </row>
    <row r="6731" spans="1:6" ht="15" customHeight="1" x14ac:dyDescent="0.25">
      <c r="A6731" s="2352" t="s">
        <v>14716</v>
      </c>
      <c r="B6731" s="2352" t="s">
        <v>5116</v>
      </c>
      <c r="C6731" s="2352" t="s">
        <v>5116</v>
      </c>
      <c r="D6731" s="2352" t="s">
        <v>5348</v>
      </c>
      <c r="E6731" s="355">
        <v>100</v>
      </c>
      <c r="F6731" s="1662">
        <v>50</v>
      </c>
    </row>
    <row r="6732" spans="1:6" ht="15" customHeight="1" x14ac:dyDescent="0.25">
      <c r="A6732" s="2352" t="s">
        <v>5349</v>
      </c>
      <c r="B6732" s="2352" t="s">
        <v>5116</v>
      </c>
      <c r="C6732" s="2352" t="s">
        <v>5116</v>
      </c>
      <c r="D6732" s="2352" t="s">
        <v>5350</v>
      </c>
      <c r="E6732" s="355">
        <v>250</v>
      </c>
      <c r="F6732" s="1662">
        <v>200</v>
      </c>
    </row>
    <row r="6733" spans="1:6" ht="15" customHeight="1" x14ac:dyDescent="0.25">
      <c r="A6733" s="2352" t="s">
        <v>5349</v>
      </c>
      <c r="B6733" s="2352" t="s">
        <v>5116</v>
      </c>
      <c r="C6733" s="2352" t="s">
        <v>5116</v>
      </c>
      <c r="D6733" s="2352" t="s">
        <v>5351</v>
      </c>
      <c r="E6733" s="355">
        <v>250</v>
      </c>
      <c r="F6733" s="1662">
        <v>200</v>
      </c>
    </row>
    <row r="6734" spans="1:6" ht="15" customHeight="1" x14ac:dyDescent="0.25">
      <c r="A6734" s="2352" t="s">
        <v>5349</v>
      </c>
      <c r="B6734" s="2352" t="s">
        <v>5116</v>
      </c>
      <c r="C6734" s="2352" t="s">
        <v>5116</v>
      </c>
      <c r="D6734" s="2352" t="s">
        <v>5352</v>
      </c>
      <c r="E6734" s="355">
        <v>400</v>
      </c>
      <c r="F6734" s="1662">
        <v>300</v>
      </c>
    </row>
    <row r="6735" spans="1:6" ht="15" customHeight="1" x14ac:dyDescent="0.25">
      <c r="A6735" s="2352" t="s">
        <v>14717</v>
      </c>
      <c r="B6735" s="2352" t="s">
        <v>5116</v>
      </c>
      <c r="C6735" s="2352" t="s">
        <v>5116</v>
      </c>
      <c r="D6735" s="2352" t="s">
        <v>5353</v>
      </c>
      <c r="E6735" s="355">
        <v>25</v>
      </c>
      <c r="F6735" s="1662">
        <v>5</v>
      </c>
    </row>
    <row r="6736" spans="1:6" ht="15" customHeight="1" x14ac:dyDescent="0.25">
      <c r="A6736" s="2352" t="s">
        <v>14718</v>
      </c>
      <c r="B6736" s="2352" t="s">
        <v>5116</v>
      </c>
      <c r="C6736" s="2352" t="s">
        <v>5116</v>
      </c>
      <c r="D6736" s="2352" t="s">
        <v>5354</v>
      </c>
      <c r="E6736" s="355">
        <v>100</v>
      </c>
      <c r="F6736" s="1662">
        <v>40</v>
      </c>
    </row>
    <row r="6737" spans="1:6" ht="15" customHeight="1" x14ac:dyDescent="0.25">
      <c r="A6737" s="2352" t="s">
        <v>14719</v>
      </c>
      <c r="B6737" s="2352" t="s">
        <v>5116</v>
      </c>
      <c r="C6737" s="2352" t="s">
        <v>5116</v>
      </c>
      <c r="D6737" s="2352" t="s">
        <v>5355</v>
      </c>
      <c r="E6737" s="355">
        <v>100</v>
      </c>
      <c r="F6737" s="1662">
        <v>70</v>
      </c>
    </row>
    <row r="6738" spans="1:6" ht="15" customHeight="1" x14ac:dyDescent="0.25">
      <c r="A6738" s="2352" t="s">
        <v>5190</v>
      </c>
      <c r="B6738" s="2352" t="s">
        <v>5116</v>
      </c>
      <c r="C6738" s="2352" t="s">
        <v>5116</v>
      </c>
      <c r="D6738" s="2352" t="s">
        <v>5356</v>
      </c>
      <c r="E6738" s="355">
        <v>63</v>
      </c>
      <c r="F6738" s="1662">
        <v>40</v>
      </c>
    </row>
    <row r="6739" spans="1:6" ht="15" customHeight="1" x14ac:dyDescent="0.25">
      <c r="A6739" s="2352" t="s">
        <v>4233</v>
      </c>
      <c r="B6739" s="2352" t="s">
        <v>5116</v>
      </c>
      <c r="C6739" s="2352" t="s">
        <v>5116</v>
      </c>
      <c r="D6739" s="2352" t="s">
        <v>5357</v>
      </c>
      <c r="E6739" s="355">
        <v>160</v>
      </c>
      <c r="F6739" s="1662">
        <v>100</v>
      </c>
    </row>
    <row r="6740" spans="1:6" ht="15" customHeight="1" x14ac:dyDescent="0.25">
      <c r="A6740" s="2352" t="s">
        <v>4233</v>
      </c>
      <c r="B6740" s="2352" t="s">
        <v>5116</v>
      </c>
      <c r="C6740" s="2352" t="s">
        <v>5116</v>
      </c>
      <c r="D6740" s="2352" t="s">
        <v>5358</v>
      </c>
      <c r="E6740" s="355">
        <v>250</v>
      </c>
      <c r="F6740" s="1662">
        <v>200</v>
      </c>
    </row>
    <row r="6741" spans="1:6" ht="15" customHeight="1" x14ac:dyDescent="0.25">
      <c r="A6741" s="2352" t="s">
        <v>9352</v>
      </c>
      <c r="B6741" s="2352" t="s">
        <v>5116</v>
      </c>
      <c r="C6741" s="2352" t="s">
        <v>5116</v>
      </c>
      <c r="D6741" s="2352" t="s">
        <v>5359</v>
      </c>
      <c r="E6741" s="355">
        <v>20</v>
      </c>
      <c r="F6741" s="1662">
        <v>10</v>
      </c>
    </row>
    <row r="6742" spans="1:6" ht="15" customHeight="1" x14ac:dyDescent="0.25">
      <c r="A6742" s="2352" t="s">
        <v>5360</v>
      </c>
      <c r="B6742" s="2352" t="s">
        <v>5116</v>
      </c>
      <c r="C6742" s="2352" t="s">
        <v>5116</v>
      </c>
      <c r="D6742" s="2352" t="s">
        <v>5361</v>
      </c>
      <c r="E6742" s="355">
        <v>30</v>
      </c>
      <c r="F6742" s="1662">
        <v>5</v>
      </c>
    </row>
    <row r="6743" spans="1:6" ht="15" customHeight="1" x14ac:dyDescent="0.25">
      <c r="A6743" s="2352" t="s">
        <v>14720</v>
      </c>
      <c r="B6743" s="2352" t="s">
        <v>5116</v>
      </c>
      <c r="C6743" s="2352" t="s">
        <v>5116</v>
      </c>
      <c r="D6743" s="2352" t="s">
        <v>5362</v>
      </c>
      <c r="E6743" s="355">
        <v>400</v>
      </c>
      <c r="F6743" s="1662">
        <v>300</v>
      </c>
    </row>
    <row r="6744" spans="1:6" ht="15" customHeight="1" x14ac:dyDescent="0.25">
      <c r="A6744" s="2352" t="s">
        <v>14721</v>
      </c>
      <c r="B6744" s="2352" t="s">
        <v>5116</v>
      </c>
      <c r="C6744" s="2352" t="s">
        <v>5116</v>
      </c>
      <c r="D6744" s="2352" t="s">
        <v>5363</v>
      </c>
      <c r="E6744" s="355">
        <v>400</v>
      </c>
      <c r="F6744" s="1662">
        <v>300</v>
      </c>
    </row>
    <row r="6745" spans="1:6" ht="15" customHeight="1" x14ac:dyDescent="0.25">
      <c r="A6745" s="2352" t="s">
        <v>14721</v>
      </c>
      <c r="B6745" s="2352" t="s">
        <v>5116</v>
      </c>
      <c r="C6745" s="2352" t="s">
        <v>5116</v>
      </c>
      <c r="D6745" s="2352" t="s">
        <v>5364</v>
      </c>
      <c r="E6745" s="355">
        <v>250</v>
      </c>
      <c r="F6745" s="1662">
        <v>200</v>
      </c>
    </row>
    <row r="6746" spans="1:6" ht="15" customHeight="1" x14ac:dyDescent="0.25">
      <c r="A6746" s="2352" t="s">
        <v>14722</v>
      </c>
      <c r="B6746" s="2352" t="s">
        <v>5116</v>
      </c>
      <c r="C6746" s="2352" t="s">
        <v>5116</v>
      </c>
      <c r="D6746" s="2352" t="s">
        <v>5365</v>
      </c>
      <c r="E6746" s="355">
        <v>63</v>
      </c>
      <c r="F6746" s="1662">
        <v>25</v>
      </c>
    </row>
    <row r="6747" spans="1:6" ht="15" customHeight="1" x14ac:dyDescent="0.25">
      <c r="A6747" s="2352" t="s">
        <v>14721</v>
      </c>
      <c r="B6747" s="2352" t="s">
        <v>5116</v>
      </c>
      <c r="C6747" s="2352" t="s">
        <v>5116</v>
      </c>
      <c r="D6747" s="2352" t="s">
        <v>5366</v>
      </c>
      <c r="E6747" s="355">
        <v>250</v>
      </c>
      <c r="F6747" s="1662">
        <v>200</v>
      </c>
    </row>
    <row r="6748" spans="1:6" ht="15" customHeight="1" x14ac:dyDescent="0.25">
      <c r="A6748" s="2352" t="s">
        <v>14723</v>
      </c>
      <c r="B6748" s="2352" t="s">
        <v>5116</v>
      </c>
      <c r="C6748" s="2352" t="s">
        <v>5116</v>
      </c>
      <c r="D6748" s="2352" t="s">
        <v>5367</v>
      </c>
      <c r="E6748" s="355">
        <v>20</v>
      </c>
      <c r="F6748" s="1662">
        <v>10</v>
      </c>
    </row>
    <row r="6749" spans="1:6" ht="15" customHeight="1" x14ac:dyDescent="0.25">
      <c r="A6749" s="2352" t="s">
        <v>14724</v>
      </c>
      <c r="B6749" s="2352" t="s">
        <v>5116</v>
      </c>
      <c r="C6749" s="2352" t="s">
        <v>5116</v>
      </c>
      <c r="D6749" s="2352" t="s">
        <v>5368</v>
      </c>
      <c r="E6749" s="355">
        <v>40</v>
      </c>
      <c r="F6749" s="1662">
        <v>10</v>
      </c>
    </row>
    <row r="6750" spans="1:6" ht="15" customHeight="1" x14ac:dyDescent="0.25">
      <c r="A6750" s="2352" t="s">
        <v>14725</v>
      </c>
      <c r="B6750" s="2352" t="s">
        <v>5116</v>
      </c>
      <c r="C6750" s="2352" t="s">
        <v>5116</v>
      </c>
      <c r="D6750" s="2352" t="s">
        <v>5369</v>
      </c>
      <c r="E6750" s="355">
        <v>20</v>
      </c>
      <c r="F6750" s="1662">
        <v>10</v>
      </c>
    </row>
    <row r="6751" spans="1:6" ht="15" customHeight="1" x14ac:dyDescent="0.25">
      <c r="A6751" s="2352" t="s">
        <v>14726</v>
      </c>
      <c r="B6751" s="2352" t="s">
        <v>5116</v>
      </c>
      <c r="C6751" s="2352" t="s">
        <v>5116</v>
      </c>
      <c r="D6751" s="2352" t="s">
        <v>5370</v>
      </c>
      <c r="E6751" s="355">
        <v>40</v>
      </c>
      <c r="F6751" s="1662">
        <v>20</v>
      </c>
    </row>
    <row r="6752" spans="1:6" ht="15" customHeight="1" x14ac:dyDescent="0.25">
      <c r="A6752" s="2352" t="s">
        <v>14727</v>
      </c>
      <c r="B6752" s="2352" t="s">
        <v>5116</v>
      </c>
      <c r="C6752" s="2352" t="s">
        <v>5116</v>
      </c>
      <c r="D6752" s="2352" t="s">
        <v>5371</v>
      </c>
      <c r="E6752" s="355">
        <v>10</v>
      </c>
      <c r="F6752" s="1662">
        <v>5</v>
      </c>
    </row>
    <row r="6753" spans="1:6" ht="15" customHeight="1" x14ac:dyDescent="0.25">
      <c r="A6753" s="2352" t="s">
        <v>7632</v>
      </c>
      <c r="B6753" s="2352" t="s">
        <v>5116</v>
      </c>
      <c r="C6753" s="2352" t="s">
        <v>5116</v>
      </c>
      <c r="D6753" s="2352" t="s">
        <v>5372</v>
      </c>
      <c r="E6753" s="355">
        <v>100</v>
      </c>
      <c r="F6753" s="1662">
        <v>50</v>
      </c>
    </row>
    <row r="6754" spans="1:6" ht="15" customHeight="1" x14ac:dyDescent="0.25">
      <c r="A6754" s="2352" t="s">
        <v>7632</v>
      </c>
      <c r="B6754" s="2352" t="s">
        <v>5116</v>
      </c>
      <c r="C6754" s="2352" t="s">
        <v>5116</v>
      </c>
      <c r="D6754" s="2352" t="s">
        <v>5373</v>
      </c>
      <c r="E6754" s="355">
        <v>630</v>
      </c>
      <c r="F6754" s="1662">
        <v>500</v>
      </c>
    </row>
    <row r="6755" spans="1:6" ht="15" customHeight="1" x14ac:dyDescent="0.25">
      <c r="A6755" s="2352" t="s">
        <v>7632</v>
      </c>
      <c r="B6755" s="2352" t="s">
        <v>5116</v>
      </c>
      <c r="C6755" s="2352" t="s">
        <v>5116</v>
      </c>
      <c r="D6755" s="2352" t="s">
        <v>5374</v>
      </c>
      <c r="E6755" s="355">
        <v>100</v>
      </c>
      <c r="F6755" s="1662">
        <v>40</v>
      </c>
    </row>
    <row r="6756" spans="1:6" ht="15" customHeight="1" x14ac:dyDescent="0.25">
      <c r="A6756" s="2352" t="s">
        <v>14728</v>
      </c>
      <c r="B6756" s="2352" t="s">
        <v>5116</v>
      </c>
      <c r="C6756" s="2352" t="s">
        <v>5116</v>
      </c>
      <c r="D6756" s="2352" t="s">
        <v>5375</v>
      </c>
      <c r="E6756" s="355">
        <v>400</v>
      </c>
      <c r="F6756" s="1662">
        <v>300</v>
      </c>
    </row>
    <row r="6757" spans="1:6" ht="15" customHeight="1" x14ac:dyDescent="0.25">
      <c r="A6757" s="2352" t="s">
        <v>14729</v>
      </c>
      <c r="B6757" s="2352" t="s">
        <v>5116</v>
      </c>
      <c r="C6757" s="2352" t="s">
        <v>5116</v>
      </c>
      <c r="D6757" s="2352" t="s">
        <v>5376</v>
      </c>
      <c r="E6757" s="355">
        <v>63</v>
      </c>
      <c r="F6757" s="1662">
        <v>25</v>
      </c>
    </row>
    <row r="6758" spans="1:6" ht="15" customHeight="1" x14ac:dyDescent="0.25">
      <c r="A6758" s="2352" t="s">
        <v>14397</v>
      </c>
      <c r="B6758" s="2352" t="s">
        <v>5116</v>
      </c>
      <c r="C6758" s="2352" t="s">
        <v>5116</v>
      </c>
      <c r="D6758" s="2352" t="s">
        <v>5377</v>
      </c>
      <c r="E6758" s="355">
        <v>160</v>
      </c>
      <c r="F6758" s="1662">
        <v>115</v>
      </c>
    </row>
    <row r="6759" spans="1:6" ht="15" customHeight="1" x14ac:dyDescent="0.25">
      <c r="A6759" s="2352" t="s">
        <v>13972</v>
      </c>
      <c r="B6759" s="2352" t="s">
        <v>5116</v>
      </c>
      <c r="C6759" s="2352" t="s">
        <v>5116</v>
      </c>
      <c r="D6759" s="2352" t="s">
        <v>5378</v>
      </c>
      <c r="E6759" s="355" t="s">
        <v>4202</v>
      </c>
      <c r="F6759" s="1662">
        <v>300</v>
      </c>
    </row>
    <row r="6760" spans="1:6" ht="15" customHeight="1" x14ac:dyDescent="0.25">
      <c r="A6760" s="2352" t="s">
        <v>13972</v>
      </c>
      <c r="B6760" s="2352" t="s">
        <v>5116</v>
      </c>
      <c r="C6760" s="2352" t="s">
        <v>5116</v>
      </c>
      <c r="D6760" s="2352" t="s">
        <v>5379</v>
      </c>
      <c r="E6760" s="355">
        <v>100</v>
      </c>
      <c r="F6760" s="1662">
        <v>50</v>
      </c>
    </row>
    <row r="6761" spans="1:6" ht="15" customHeight="1" x14ac:dyDescent="0.25">
      <c r="A6761" s="2352" t="s">
        <v>13972</v>
      </c>
      <c r="B6761" s="2352" t="s">
        <v>5116</v>
      </c>
      <c r="C6761" s="2352" t="s">
        <v>5116</v>
      </c>
      <c r="D6761" s="2352" t="s">
        <v>5380</v>
      </c>
      <c r="E6761" s="355">
        <v>63</v>
      </c>
      <c r="F6761" s="1662">
        <v>25</v>
      </c>
    </row>
    <row r="6762" spans="1:6" ht="15" customHeight="1" x14ac:dyDescent="0.25">
      <c r="A6762" s="2352" t="s">
        <v>13972</v>
      </c>
      <c r="B6762" s="2352" t="s">
        <v>5116</v>
      </c>
      <c r="C6762" s="2352" t="s">
        <v>5116</v>
      </c>
      <c r="D6762" s="2352" t="s">
        <v>5381</v>
      </c>
      <c r="E6762" s="355">
        <v>250</v>
      </c>
      <c r="F6762" s="1662">
        <v>200</v>
      </c>
    </row>
    <row r="6763" spans="1:6" ht="15" customHeight="1" x14ac:dyDescent="0.25">
      <c r="A6763" s="2352" t="s">
        <v>13972</v>
      </c>
      <c r="B6763" s="2352" t="s">
        <v>5116</v>
      </c>
      <c r="C6763" s="2352" t="s">
        <v>5116</v>
      </c>
      <c r="D6763" s="2352" t="s">
        <v>5382</v>
      </c>
      <c r="E6763" s="355">
        <v>250</v>
      </c>
      <c r="F6763" s="1662">
        <v>200</v>
      </c>
    </row>
    <row r="6764" spans="1:6" ht="15" customHeight="1" x14ac:dyDescent="0.25">
      <c r="A6764" s="2352" t="s">
        <v>13972</v>
      </c>
      <c r="B6764" s="2352" t="s">
        <v>5116</v>
      </c>
      <c r="C6764" s="2352" t="s">
        <v>5116</v>
      </c>
      <c r="D6764" s="2352" t="s">
        <v>5383</v>
      </c>
      <c r="E6764" s="355">
        <v>250</v>
      </c>
      <c r="F6764" s="1662">
        <v>200</v>
      </c>
    </row>
    <row r="6765" spans="1:6" ht="15" customHeight="1" x14ac:dyDescent="0.25">
      <c r="A6765" s="2352" t="s">
        <v>14730</v>
      </c>
      <c r="B6765" s="2352" t="s">
        <v>5116</v>
      </c>
      <c r="C6765" s="2352" t="s">
        <v>5116</v>
      </c>
      <c r="D6765" s="2352" t="s">
        <v>5384</v>
      </c>
      <c r="E6765" s="355">
        <v>60</v>
      </c>
      <c r="F6765" s="1662">
        <v>35</v>
      </c>
    </row>
    <row r="6766" spans="1:6" ht="15" customHeight="1" x14ac:dyDescent="0.25">
      <c r="A6766" s="2352" t="s">
        <v>14731</v>
      </c>
      <c r="B6766" s="2352" t="s">
        <v>5116</v>
      </c>
      <c r="C6766" s="2352" t="s">
        <v>5116</v>
      </c>
      <c r="D6766" s="2352" t="s">
        <v>5385</v>
      </c>
      <c r="E6766" s="355">
        <v>30</v>
      </c>
      <c r="F6766" s="1662">
        <v>10</v>
      </c>
    </row>
    <row r="6767" spans="1:6" ht="15" customHeight="1" x14ac:dyDescent="0.25">
      <c r="A6767" s="2352" t="s">
        <v>5386</v>
      </c>
      <c r="B6767" s="2352" t="s">
        <v>5116</v>
      </c>
      <c r="C6767" s="2352" t="s">
        <v>5116</v>
      </c>
      <c r="D6767" s="2352" t="s">
        <v>5387</v>
      </c>
      <c r="E6767" s="355">
        <v>30</v>
      </c>
      <c r="F6767" s="1662">
        <v>10</v>
      </c>
    </row>
    <row r="6768" spans="1:6" ht="15" customHeight="1" x14ac:dyDescent="0.25">
      <c r="A6768" s="2352" t="s">
        <v>14732</v>
      </c>
      <c r="B6768" s="2352" t="s">
        <v>5116</v>
      </c>
      <c r="C6768" s="2352" t="s">
        <v>5116</v>
      </c>
      <c r="D6768" s="2352" t="s">
        <v>5388</v>
      </c>
      <c r="E6768" s="355">
        <v>100</v>
      </c>
      <c r="F6768" s="1662">
        <v>30</v>
      </c>
    </row>
    <row r="6769" spans="1:6" ht="15" customHeight="1" x14ac:dyDescent="0.25">
      <c r="A6769" s="2352" t="s">
        <v>14732</v>
      </c>
      <c r="B6769" s="2352" t="s">
        <v>5116</v>
      </c>
      <c r="C6769" s="2352" t="s">
        <v>5116</v>
      </c>
      <c r="D6769" s="2352" t="s">
        <v>5389</v>
      </c>
      <c r="E6769" s="355">
        <v>63</v>
      </c>
      <c r="F6769" s="1662">
        <v>15</v>
      </c>
    </row>
    <row r="6770" spans="1:6" ht="15" customHeight="1" x14ac:dyDescent="0.25">
      <c r="A6770" s="2352" t="s">
        <v>14733</v>
      </c>
      <c r="B6770" s="2352" t="s">
        <v>5116</v>
      </c>
      <c r="C6770" s="2352" t="s">
        <v>5116</v>
      </c>
      <c r="D6770" s="2352" t="s">
        <v>5390</v>
      </c>
      <c r="E6770" s="355">
        <v>20</v>
      </c>
      <c r="F6770" s="1662">
        <v>5</v>
      </c>
    </row>
    <row r="6771" spans="1:6" ht="15" customHeight="1" x14ac:dyDescent="0.25">
      <c r="A6771" s="2352" t="s">
        <v>14734</v>
      </c>
      <c r="B6771" s="2352" t="s">
        <v>5116</v>
      </c>
      <c r="C6771" s="2352" t="s">
        <v>5116</v>
      </c>
      <c r="D6771" s="2352" t="s">
        <v>5391</v>
      </c>
      <c r="E6771" s="355">
        <v>60</v>
      </c>
      <c r="F6771" s="1662">
        <v>30</v>
      </c>
    </row>
    <row r="6772" spans="1:6" ht="15" customHeight="1" x14ac:dyDescent="0.25">
      <c r="A6772" s="2352" t="s">
        <v>14735</v>
      </c>
      <c r="B6772" s="2352" t="s">
        <v>5116</v>
      </c>
      <c r="C6772" s="2352" t="s">
        <v>5116</v>
      </c>
      <c r="D6772" s="2352" t="s">
        <v>5392</v>
      </c>
      <c r="E6772" s="355">
        <v>250</v>
      </c>
      <c r="F6772" s="1662">
        <v>100</v>
      </c>
    </row>
    <row r="6773" spans="1:6" ht="15" customHeight="1" x14ac:dyDescent="0.25">
      <c r="A6773" s="2352" t="s">
        <v>14732</v>
      </c>
      <c r="B6773" s="2352" t="s">
        <v>5116</v>
      </c>
      <c r="C6773" s="2352" t="s">
        <v>5116</v>
      </c>
      <c r="D6773" s="2352" t="s">
        <v>5393</v>
      </c>
      <c r="E6773" s="355">
        <v>100</v>
      </c>
      <c r="F6773" s="1662">
        <v>20</v>
      </c>
    </row>
    <row r="6774" spans="1:6" ht="15" customHeight="1" x14ac:dyDescent="0.25">
      <c r="A6774" s="2352" t="s">
        <v>5394</v>
      </c>
      <c r="B6774" s="2352" t="s">
        <v>5116</v>
      </c>
      <c r="C6774" s="2352" t="s">
        <v>5116</v>
      </c>
      <c r="D6774" s="2352" t="s">
        <v>5395</v>
      </c>
      <c r="E6774" s="355">
        <v>100</v>
      </c>
      <c r="F6774" s="1662">
        <v>35</v>
      </c>
    </row>
    <row r="6775" spans="1:6" ht="15" customHeight="1" x14ac:dyDescent="0.25">
      <c r="A6775" s="2352" t="s">
        <v>5396</v>
      </c>
      <c r="B6775" s="2352" t="s">
        <v>5116</v>
      </c>
      <c r="C6775" s="2352" t="s">
        <v>5116</v>
      </c>
      <c r="D6775" s="2352" t="s">
        <v>5397</v>
      </c>
      <c r="E6775" s="355">
        <v>100</v>
      </c>
      <c r="F6775" s="1662">
        <v>20</v>
      </c>
    </row>
    <row r="6776" spans="1:6" ht="15" customHeight="1" x14ac:dyDescent="0.25">
      <c r="A6776" s="2352" t="s">
        <v>6442</v>
      </c>
      <c r="B6776" s="2352" t="s">
        <v>5116</v>
      </c>
      <c r="C6776" s="2352" t="s">
        <v>5116</v>
      </c>
      <c r="D6776" s="2352" t="s">
        <v>5398</v>
      </c>
      <c r="E6776" s="355">
        <v>250</v>
      </c>
      <c r="F6776" s="1662">
        <v>150</v>
      </c>
    </row>
    <row r="6777" spans="1:6" ht="15" customHeight="1" x14ac:dyDescent="0.25">
      <c r="A6777" s="2352" t="s">
        <v>5396</v>
      </c>
      <c r="B6777" s="2352" t="s">
        <v>5116</v>
      </c>
      <c r="C6777" s="2352" t="s">
        <v>5116</v>
      </c>
      <c r="D6777" s="2352" t="s">
        <v>5399</v>
      </c>
      <c r="E6777" s="355">
        <v>20</v>
      </c>
      <c r="F6777" s="1662">
        <v>10</v>
      </c>
    </row>
    <row r="6778" spans="1:6" ht="15" customHeight="1" x14ac:dyDescent="0.25">
      <c r="A6778" s="2352" t="s">
        <v>5400</v>
      </c>
      <c r="B6778" s="2352" t="s">
        <v>5116</v>
      </c>
      <c r="C6778" s="2352" t="s">
        <v>5116</v>
      </c>
      <c r="D6778" s="2352" t="s">
        <v>5401</v>
      </c>
      <c r="E6778" s="355">
        <v>250</v>
      </c>
      <c r="F6778" s="1662">
        <v>120</v>
      </c>
    </row>
    <row r="6779" spans="1:6" ht="15" customHeight="1" x14ac:dyDescent="0.25">
      <c r="A6779" s="2352" t="s">
        <v>14736</v>
      </c>
      <c r="B6779" s="2352" t="s">
        <v>5116</v>
      </c>
      <c r="C6779" s="2352" t="s">
        <v>5116</v>
      </c>
      <c r="D6779" s="2352" t="s">
        <v>5402</v>
      </c>
      <c r="E6779" s="355">
        <v>160</v>
      </c>
      <c r="F6779" s="1662">
        <v>80</v>
      </c>
    </row>
    <row r="6780" spans="1:6" ht="15" customHeight="1" x14ac:dyDescent="0.25">
      <c r="A6780" s="2352" t="s">
        <v>4255</v>
      </c>
      <c r="B6780" s="2352" t="s">
        <v>5116</v>
      </c>
      <c r="C6780" s="2352" t="s">
        <v>5116</v>
      </c>
      <c r="D6780" s="2352" t="s">
        <v>5403</v>
      </c>
      <c r="E6780" s="355">
        <v>20</v>
      </c>
      <c r="F6780" s="1662">
        <v>10</v>
      </c>
    </row>
    <row r="6781" spans="1:6" ht="15" customHeight="1" x14ac:dyDescent="0.25">
      <c r="A6781" s="2352" t="s">
        <v>14737</v>
      </c>
      <c r="B6781" s="2352" t="s">
        <v>5116</v>
      </c>
      <c r="C6781" s="2352" t="s">
        <v>5116</v>
      </c>
      <c r="D6781" s="2352" t="s">
        <v>5404</v>
      </c>
      <c r="E6781" s="355">
        <v>100</v>
      </c>
      <c r="F6781" s="1662">
        <v>40</v>
      </c>
    </row>
    <row r="6782" spans="1:6" ht="15" customHeight="1" x14ac:dyDescent="0.25">
      <c r="A6782" s="2352" t="s">
        <v>14738</v>
      </c>
      <c r="B6782" s="2352" t="s">
        <v>5116</v>
      </c>
      <c r="C6782" s="2352" t="s">
        <v>5116</v>
      </c>
      <c r="D6782" s="2352" t="s">
        <v>5405</v>
      </c>
      <c r="E6782" s="355">
        <v>160</v>
      </c>
      <c r="F6782" s="1662">
        <v>100</v>
      </c>
    </row>
    <row r="6783" spans="1:6" ht="15" customHeight="1" x14ac:dyDescent="0.25">
      <c r="A6783" s="2352" t="s">
        <v>6444</v>
      </c>
      <c r="B6783" s="2352" t="s">
        <v>5116</v>
      </c>
      <c r="C6783" s="2352" t="s">
        <v>5116</v>
      </c>
      <c r="D6783" s="2352" t="s">
        <v>5406</v>
      </c>
      <c r="E6783" s="355" t="s">
        <v>5551</v>
      </c>
      <c r="F6783" s="1662">
        <v>700</v>
      </c>
    </row>
    <row r="6784" spans="1:6" ht="15" customHeight="1" x14ac:dyDescent="0.25">
      <c r="A6784" s="2352" t="s">
        <v>14739</v>
      </c>
      <c r="B6784" s="2352" t="s">
        <v>5116</v>
      </c>
      <c r="C6784" s="2352" t="s">
        <v>5116</v>
      </c>
      <c r="D6784" s="2352" t="s">
        <v>5407</v>
      </c>
      <c r="E6784" s="355">
        <v>160</v>
      </c>
      <c r="F6784" s="1662">
        <v>100</v>
      </c>
    </row>
    <row r="6785" spans="1:6" ht="15" customHeight="1" x14ac:dyDescent="0.25">
      <c r="A6785" s="2352" t="s">
        <v>14740</v>
      </c>
      <c r="B6785" s="2352" t="s">
        <v>5116</v>
      </c>
      <c r="C6785" s="2352" t="s">
        <v>5116</v>
      </c>
      <c r="D6785" s="2352" t="s">
        <v>5408</v>
      </c>
      <c r="E6785" s="355">
        <v>100</v>
      </c>
      <c r="F6785" s="1662">
        <v>20</v>
      </c>
    </row>
    <row r="6786" spans="1:6" ht="15" customHeight="1" x14ac:dyDescent="0.25">
      <c r="A6786" s="2352" t="s">
        <v>14739</v>
      </c>
      <c r="B6786" s="2352" t="s">
        <v>5116</v>
      </c>
      <c r="C6786" s="2352" t="s">
        <v>5116</v>
      </c>
      <c r="D6786" s="2352" t="s">
        <v>5409</v>
      </c>
      <c r="E6786" s="355">
        <v>160</v>
      </c>
      <c r="F6786" s="1662">
        <v>100</v>
      </c>
    </row>
    <row r="6787" spans="1:6" ht="15" customHeight="1" x14ac:dyDescent="0.25">
      <c r="A6787" s="2352" t="s">
        <v>14739</v>
      </c>
      <c r="B6787" s="2352" t="s">
        <v>5116</v>
      </c>
      <c r="C6787" s="2352" t="s">
        <v>5116</v>
      </c>
      <c r="D6787" s="2352" t="s">
        <v>5410</v>
      </c>
      <c r="E6787" s="355">
        <v>400</v>
      </c>
      <c r="F6787" s="1662">
        <v>250</v>
      </c>
    </row>
    <row r="6788" spans="1:6" ht="15" customHeight="1" x14ac:dyDescent="0.25">
      <c r="A6788" s="2352" t="s">
        <v>4970</v>
      </c>
      <c r="B6788" s="2352" t="s">
        <v>5116</v>
      </c>
      <c r="C6788" s="2352" t="s">
        <v>5116</v>
      </c>
      <c r="D6788" s="2352" t="s">
        <v>5411</v>
      </c>
      <c r="E6788" s="355">
        <v>160</v>
      </c>
      <c r="F6788" s="1662">
        <v>30</v>
      </c>
    </row>
    <row r="6789" spans="1:6" ht="15" customHeight="1" x14ac:dyDescent="0.25">
      <c r="A6789" s="2352" t="s">
        <v>14508</v>
      </c>
      <c r="B6789" s="2352" t="s">
        <v>5116</v>
      </c>
      <c r="C6789" s="2352" t="s">
        <v>5116</v>
      </c>
      <c r="D6789" s="2352" t="s">
        <v>5412</v>
      </c>
      <c r="E6789" s="355">
        <v>250</v>
      </c>
      <c r="F6789" s="1662">
        <v>200</v>
      </c>
    </row>
    <row r="6790" spans="1:6" ht="15" customHeight="1" x14ac:dyDescent="0.25">
      <c r="A6790" s="2352" t="s">
        <v>10128</v>
      </c>
      <c r="B6790" s="2352" t="s">
        <v>5116</v>
      </c>
      <c r="C6790" s="2352" t="s">
        <v>5116</v>
      </c>
      <c r="D6790" s="2352" t="s">
        <v>5413</v>
      </c>
      <c r="E6790" s="355">
        <v>20</v>
      </c>
      <c r="F6790" s="1662">
        <v>10</v>
      </c>
    </row>
    <row r="6791" spans="1:6" ht="15" customHeight="1" x14ac:dyDescent="0.25">
      <c r="A6791" s="2352" t="s">
        <v>4402</v>
      </c>
      <c r="B6791" s="2352" t="s">
        <v>5116</v>
      </c>
      <c r="C6791" s="2352" t="s">
        <v>5116</v>
      </c>
      <c r="D6791" s="2352" t="s">
        <v>5414</v>
      </c>
      <c r="E6791" s="355">
        <v>60</v>
      </c>
      <c r="F6791" s="1662">
        <v>20</v>
      </c>
    </row>
    <row r="6792" spans="1:6" ht="15" customHeight="1" x14ac:dyDescent="0.25">
      <c r="A6792" s="2352" t="s">
        <v>4402</v>
      </c>
      <c r="B6792" s="2352" t="s">
        <v>5116</v>
      </c>
      <c r="C6792" s="2352" t="s">
        <v>5116</v>
      </c>
      <c r="D6792" s="2352" t="s">
        <v>5415</v>
      </c>
      <c r="E6792" s="355">
        <v>100</v>
      </c>
      <c r="F6792" s="1662">
        <v>40</v>
      </c>
    </row>
    <row r="6793" spans="1:6" ht="15" customHeight="1" x14ac:dyDescent="0.25">
      <c r="A6793" s="2352" t="s">
        <v>8097</v>
      </c>
      <c r="B6793" s="2352" t="s">
        <v>5116</v>
      </c>
      <c r="C6793" s="2352" t="s">
        <v>5116</v>
      </c>
      <c r="D6793" s="2352" t="s">
        <v>5416</v>
      </c>
      <c r="E6793" s="355">
        <v>40</v>
      </c>
      <c r="F6793" s="1662">
        <v>20</v>
      </c>
    </row>
    <row r="6794" spans="1:6" ht="15" customHeight="1" x14ac:dyDescent="0.25">
      <c r="A6794" s="2352" t="s">
        <v>14741</v>
      </c>
      <c r="B6794" s="2352" t="s">
        <v>5116</v>
      </c>
      <c r="C6794" s="2352" t="s">
        <v>5116</v>
      </c>
      <c r="D6794" s="2352" t="s">
        <v>5417</v>
      </c>
      <c r="E6794" s="355">
        <v>100</v>
      </c>
      <c r="F6794" s="1662">
        <v>60</v>
      </c>
    </row>
    <row r="6795" spans="1:6" ht="15" customHeight="1" x14ac:dyDescent="0.25">
      <c r="A6795" s="2352" t="s">
        <v>3918</v>
      </c>
      <c r="B6795" s="2352" t="s">
        <v>5116</v>
      </c>
      <c r="C6795" s="2352" t="s">
        <v>5116</v>
      </c>
      <c r="D6795" s="2352" t="s">
        <v>5418</v>
      </c>
      <c r="E6795" s="355">
        <v>400</v>
      </c>
      <c r="F6795" s="1662">
        <v>250</v>
      </c>
    </row>
    <row r="6796" spans="1:6" ht="15" customHeight="1" x14ac:dyDescent="0.25">
      <c r="A6796" s="2352" t="s">
        <v>3918</v>
      </c>
      <c r="B6796" s="2352" t="s">
        <v>5116</v>
      </c>
      <c r="C6796" s="2352" t="s">
        <v>5116</v>
      </c>
      <c r="D6796" s="2352" t="s">
        <v>5419</v>
      </c>
      <c r="E6796" s="355">
        <v>160</v>
      </c>
      <c r="F6796" s="1662">
        <v>100</v>
      </c>
    </row>
    <row r="6797" spans="1:6" ht="15" customHeight="1" x14ac:dyDescent="0.25">
      <c r="A6797" s="2352" t="s">
        <v>3918</v>
      </c>
      <c r="B6797" s="2352" t="s">
        <v>5116</v>
      </c>
      <c r="C6797" s="2352" t="s">
        <v>5116</v>
      </c>
      <c r="D6797" s="2352" t="s">
        <v>5420</v>
      </c>
      <c r="E6797" s="355">
        <v>30</v>
      </c>
      <c r="F6797" s="1662">
        <v>10</v>
      </c>
    </row>
    <row r="6798" spans="1:6" ht="15" customHeight="1" x14ac:dyDescent="0.25">
      <c r="A6798" s="2352" t="s">
        <v>14742</v>
      </c>
      <c r="B6798" s="2352" t="s">
        <v>5116</v>
      </c>
      <c r="C6798" s="2352" t="s">
        <v>5116</v>
      </c>
      <c r="D6798" s="2352" t="s">
        <v>5421</v>
      </c>
      <c r="E6798" s="355">
        <v>30</v>
      </c>
      <c r="F6798" s="1662">
        <v>10</v>
      </c>
    </row>
    <row r="6799" spans="1:6" ht="15" customHeight="1" x14ac:dyDescent="0.25">
      <c r="A6799" s="2352" t="s">
        <v>14743</v>
      </c>
      <c r="B6799" s="2352" t="s">
        <v>5116</v>
      </c>
      <c r="C6799" s="2352" t="s">
        <v>5116</v>
      </c>
      <c r="D6799" s="2352" t="s">
        <v>5422</v>
      </c>
      <c r="E6799" s="355">
        <v>100</v>
      </c>
      <c r="F6799" s="1662">
        <v>20</v>
      </c>
    </row>
    <row r="6800" spans="1:6" ht="15" customHeight="1" x14ac:dyDescent="0.25">
      <c r="A6800" s="2352" t="s">
        <v>14743</v>
      </c>
      <c r="B6800" s="2352" t="s">
        <v>5116</v>
      </c>
      <c r="C6800" s="2352" t="s">
        <v>5116</v>
      </c>
      <c r="D6800" s="2352" t="s">
        <v>5423</v>
      </c>
      <c r="E6800" s="355">
        <v>100</v>
      </c>
      <c r="F6800" s="1662">
        <v>20</v>
      </c>
    </row>
    <row r="6801" spans="1:6" ht="15" customHeight="1" x14ac:dyDescent="0.25">
      <c r="A6801" s="2352" t="s">
        <v>14743</v>
      </c>
      <c r="B6801" s="2352" t="s">
        <v>5116</v>
      </c>
      <c r="C6801" s="2352" t="s">
        <v>5116</v>
      </c>
      <c r="D6801" s="2352" t="s">
        <v>5424</v>
      </c>
      <c r="E6801" s="355">
        <v>100</v>
      </c>
      <c r="F6801" s="1662">
        <v>30</v>
      </c>
    </row>
    <row r="6802" spans="1:6" ht="15" customHeight="1" x14ac:dyDescent="0.25">
      <c r="A6802" s="2352" t="s">
        <v>14743</v>
      </c>
      <c r="B6802" s="2352" t="s">
        <v>5116</v>
      </c>
      <c r="C6802" s="2352" t="s">
        <v>5116</v>
      </c>
      <c r="D6802" s="2352" t="s">
        <v>5425</v>
      </c>
      <c r="E6802" s="355" t="s">
        <v>4202</v>
      </c>
      <c r="F6802" s="1662">
        <v>200</v>
      </c>
    </row>
    <row r="6803" spans="1:6" ht="15" customHeight="1" x14ac:dyDescent="0.25">
      <c r="A6803" s="2352" t="s">
        <v>14743</v>
      </c>
      <c r="B6803" s="2352" t="s">
        <v>5116</v>
      </c>
      <c r="C6803" s="2352" t="s">
        <v>5116</v>
      </c>
      <c r="D6803" s="2352" t="s">
        <v>5426</v>
      </c>
      <c r="E6803" s="355">
        <v>100</v>
      </c>
      <c r="F6803" s="1662">
        <v>30</v>
      </c>
    </row>
    <row r="6804" spans="1:6" ht="15" customHeight="1" x14ac:dyDescent="0.25">
      <c r="A6804" s="2352" t="s">
        <v>14743</v>
      </c>
      <c r="B6804" s="2352" t="s">
        <v>5116</v>
      </c>
      <c r="C6804" s="2352" t="s">
        <v>5116</v>
      </c>
      <c r="D6804" s="2352" t="s">
        <v>5427</v>
      </c>
      <c r="E6804" s="355">
        <v>250</v>
      </c>
      <c r="F6804" s="1662">
        <v>120</v>
      </c>
    </row>
    <row r="6805" spans="1:6" ht="15" customHeight="1" x14ac:dyDescent="0.25">
      <c r="A6805" s="2352" t="s">
        <v>5324</v>
      </c>
      <c r="B6805" s="2352" t="s">
        <v>5116</v>
      </c>
      <c r="C6805" s="2352" t="s">
        <v>5116</v>
      </c>
      <c r="D6805" s="2352" t="s">
        <v>5428</v>
      </c>
      <c r="E6805" s="355">
        <v>30</v>
      </c>
      <c r="F6805" s="1662">
        <v>10</v>
      </c>
    </row>
    <row r="6806" spans="1:6" ht="15" customHeight="1" x14ac:dyDescent="0.25">
      <c r="A6806" s="2352" t="s">
        <v>14743</v>
      </c>
      <c r="B6806" s="2352" t="s">
        <v>5116</v>
      </c>
      <c r="C6806" s="2352" t="s">
        <v>5116</v>
      </c>
      <c r="D6806" s="2352" t="s">
        <v>5429</v>
      </c>
      <c r="E6806" s="355">
        <v>250</v>
      </c>
      <c r="F6806" s="1662">
        <v>100</v>
      </c>
    </row>
    <row r="6807" spans="1:6" ht="15" customHeight="1" x14ac:dyDescent="0.25">
      <c r="A6807" s="2352" t="s">
        <v>14743</v>
      </c>
      <c r="B6807" s="2352" t="s">
        <v>5116</v>
      </c>
      <c r="C6807" s="2352" t="s">
        <v>5116</v>
      </c>
      <c r="D6807" s="2352" t="s">
        <v>5430</v>
      </c>
      <c r="E6807" s="355">
        <v>250</v>
      </c>
      <c r="F6807" s="1662">
        <v>120</v>
      </c>
    </row>
    <row r="6808" spans="1:6" ht="15" customHeight="1" x14ac:dyDescent="0.25">
      <c r="A6808" s="2352" t="s">
        <v>14744</v>
      </c>
      <c r="B6808" s="2352" t="s">
        <v>5116</v>
      </c>
      <c r="C6808" s="2352" t="s">
        <v>5116</v>
      </c>
      <c r="D6808" s="2352" t="s">
        <v>5431</v>
      </c>
      <c r="E6808" s="355">
        <v>20</v>
      </c>
      <c r="F6808" s="1662">
        <v>10</v>
      </c>
    </row>
    <row r="6809" spans="1:6" ht="15" customHeight="1" x14ac:dyDescent="0.25">
      <c r="A6809" s="2352" t="s">
        <v>14745</v>
      </c>
      <c r="B6809" s="2352" t="s">
        <v>5116</v>
      </c>
      <c r="C6809" s="2352" t="s">
        <v>5116</v>
      </c>
      <c r="D6809" s="2352" t="s">
        <v>5432</v>
      </c>
      <c r="E6809" s="355">
        <v>160</v>
      </c>
      <c r="F6809" s="1662">
        <v>100</v>
      </c>
    </row>
    <row r="6810" spans="1:6" ht="15" customHeight="1" x14ac:dyDescent="0.25">
      <c r="A6810" s="2352" t="s">
        <v>14746</v>
      </c>
      <c r="B6810" s="2352" t="s">
        <v>5116</v>
      </c>
      <c r="C6810" s="2352" t="s">
        <v>5116</v>
      </c>
      <c r="D6810" s="2352" t="s">
        <v>5433</v>
      </c>
      <c r="E6810" s="355">
        <v>30</v>
      </c>
      <c r="F6810" s="1662">
        <v>15</v>
      </c>
    </row>
    <row r="6811" spans="1:6" ht="15" customHeight="1" x14ac:dyDescent="0.25">
      <c r="A6811" s="2352" t="s">
        <v>4970</v>
      </c>
      <c r="B6811" s="2352" t="s">
        <v>5116</v>
      </c>
      <c r="C6811" s="2352" t="s">
        <v>5116</v>
      </c>
      <c r="D6811" s="2352" t="s">
        <v>5434</v>
      </c>
      <c r="E6811" s="355">
        <v>63</v>
      </c>
      <c r="F6811" s="1662">
        <v>10</v>
      </c>
    </row>
    <row r="6812" spans="1:6" ht="15" customHeight="1" x14ac:dyDescent="0.25">
      <c r="A6812" s="2352" t="s">
        <v>14747</v>
      </c>
      <c r="B6812" s="2352" t="s">
        <v>5116</v>
      </c>
      <c r="C6812" s="2352" t="s">
        <v>5116</v>
      </c>
      <c r="D6812" s="2352" t="s">
        <v>5435</v>
      </c>
      <c r="E6812" s="355">
        <v>160</v>
      </c>
      <c r="F6812" s="1662">
        <v>100</v>
      </c>
    </row>
    <row r="6813" spans="1:6" ht="15" customHeight="1" x14ac:dyDescent="0.25">
      <c r="A6813" s="2352" t="s">
        <v>5438</v>
      </c>
      <c r="B6813" s="2352" t="s">
        <v>5116</v>
      </c>
      <c r="C6813" s="2352" t="s">
        <v>5116</v>
      </c>
      <c r="D6813" s="2352" t="s">
        <v>5436</v>
      </c>
      <c r="E6813" s="355">
        <v>160</v>
      </c>
      <c r="F6813" s="1662">
        <v>40</v>
      </c>
    </row>
    <row r="6814" spans="1:6" ht="15" customHeight="1" x14ac:dyDescent="0.25">
      <c r="A6814" s="2352" t="s">
        <v>14748</v>
      </c>
      <c r="B6814" s="2352" t="s">
        <v>5116</v>
      </c>
      <c r="C6814" s="2352" t="s">
        <v>5116</v>
      </c>
      <c r="D6814" s="2352" t="s">
        <v>5437</v>
      </c>
      <c r="E6814" s="355">
        <v>1000</v>
      </c>
      <c r="F6814" s="1662">
        <v>900</v>
      </c>
    </row>
    <row r="6815" spans="1:6" ht="15" customHeight="1" x14ac:dyDescent="0.25">
      <c r="A6815" s="2352" t="s">
        <v>5438</v>
      </c>
      <c r="B6815" s="2352" t="s">
        <v>5116</v>
      </c>
      <c r="C6815" s="2352" t="s">
        <v>5116</v>
      </c>
      <c r="D6815" s="2352" t="s">
        <v>5439</v>
      </c>
      <c r="E6815" s="355">
        <v>63</v>
      </c>
      <c r="F6815" s="1662">
        <v>10</v>
      </c>
    </row>
    <row r="6816" spans="1:6" ht="15" customHeight="1" x14ac:dyDescent="0.25">
      <c r="A6816" s="2352" t="s">
        <v>5438</v>
      </c>
      <c r="B6816" s="2352" t="s">
        <v>5116</v>
      </c>
      <c r="C6816" s="2352" t="s">
        <v>5116</v>
      </c>
      <c r="D6816" s="2352" t="s">
        <v>5440</v>
      </c>
      <c r="E6816" s="355">
        <v>250</v>
      </c>
      <c r="F6816" s="1662">
        <v>100</v>
      </c>
    </row>
    <row r="6817" spans="1:6" ht="15" customHeight="1" x14ac:dyDescent="0.25">
      <c r="A6817" s="2352" t="s">
        <v>14749</v>
      </c>
      <c r="B6817" s="2352" t="s">
        <v>5116</v>
      </c>
      <c r="C6817" s="2352" t="s">
        <v>5116</v>
      </c>
      <c r="D6817" s="2352" t="s">
        <v>5441</v>
      </c>
      <c r="E6817" s="355">
        <v>63</v>
      </c>
      <c r="F6817" s="1662">
        <v>10</v>
      </c>
    </row>
    <row r="6818" spans="1:6" ht="15" customHeight="1" x14ac:dyDescent="0.25">
      <c r="A6818" s="2352" t="s">
        <v>14750</v>
      </c>
      <c r="B6818" s="2352" t="s">
        <v>5116</v>
      </c>
      <c r="C6818" s="2352" t="s">
        <v>5116</v>
      </c>
      <c r="D6818" s="2352" t="s">
        <v>5442</v>
      </c>
      <c r="E6818" s="355">
        <v>63</v>
      </c>
      <c r="F6818" s="1662">
        <v>25</v>
      </c>
    </row>
    <row r="6819" spans="1:6" ht="15" customHeight="1" x14ac:dyDescent="0.25">
      <c r="A6819" s="2352" t="s">
        <v>14751</v>
      </c>
      <c r="B6819" s="2352" t="s">
        <v>5116</v>
      </c>
      <c r="C6819" s="2352" t="s">
        <v>5116</v>
      </c>
      <c r="D6819" s="2352" t="s">
        <v>5443</v>
      </c>
      <c r="E6819" s="355">
        <v>100</v>
      </c>
      <c r="F6819" s="1662">
        <v>40</v>
      </c>
    </row>
    <row r="6820" spans="1:6" ht="15" customHeight="1" x14ac:dyDescent="0.25">
      <c r="A6820" s="2352" t="s">
        <v>14752</v>
      </c>
      <c r="B6820" s="2352" t="s">
        <v>5116</v>
      </c>
      <c r="C6820" s="2352" t="s">
        <v>5116</v>
      </c>
      <c r="D6820" s="2352" t="s">
        <v>5444</v>
      </c>
      <c r="E6820" s="355">
        <v>30</v>
      </c>
      <c r="F6820" s="1662">
        <v>15</v>
      </c>
    </row>
    <row r="6821" spans="1:6" ht="15" customHeight="1" x14ac:dyDescent="0.25">
      <c r="A6821" s="2352" t="s">
        <v>8523</v>
      </c>
      <c r="B6821" s="2352" t="s">
        <v>5116</v>
      </c>
      <c r="C6821" s="2352" t="s">
        <v>5116</v>
      </c>
      <c r="D6821" s="2352" t="s">
        <v>5445</v>
      </c>
      <c r="E6821" s="355">
        <v>40</v>
      </c>
      <c r="F6821" s="1662">
        <v>20</v>
      </c>
    </row>
    <row r="6822" spans="1:6" ht="15" customHeight="1" x14ac:dyDescent="0.25">
      <c r="A6822" s="2352" t="s">
        <v>14403</v>
      </c>
      <c r="B6822" s="2352" t="s">
        <v>5116</v>
      </c>
      <c r="C6822" s="2352" t="s">
        <v>5116</v>
      </c>
      <c r="D6822" s="2352" t="s">
        <v>5446</v>
      </c>
      <c r="E6822" s="355">
        <v>63</v>
      </c>
      <c r="F6822" s="1662">
        <v>20</v>
      </c>
    </row>
    <row r="6823" spans="1:6" ht="15" customHeight="1" x14ac:dyDescent="0.25">
      <c r="A6823" s="2352" t="s">
        <v>14753</v>
      </c>
      <c r="B6823" s="2352" t="s">
        <v>5116</v>
      </c>
      <c r="C6823" s="2352" t="s">
        <v>5116</v>
      </c>
      <c r="D6823" s="2352" t="s">
        <v>5447</v>
      </c>
      <c r="E6823" s="355">
        <v>63</v>
      </c>
      <c r="F6823" s="1662">
        <v>15</v>
      </c>
    </row>
    <row r="6824" spans="1:6" ht="15" customHeight="1" x14ac:dyDescent="0.25">
      <c r="A6824" s="2352" t="s">
        <v>14754</v>
      </c>
      <c r="B6824" s="2352" t="s">
        <v>5116</v>
      </c>
      <c r="C6824" s="2352" t="s">
        <v>5116</v>
      </c>
      <c r="D6824" s="2352" t="s">
        <v>5448</v>
      </c>
      <c r="E6824" s="355">
        <v>160</v>
      </c>
      <c r="F6824" s="1662">
        <v>80</v>
      </c>
    </row>
    <row r="6825" spans="1:6" ht="15" customHeight="1" x14ac:dyDescent="0.25">
      <c r="A6825" s="2352" t="s">
        <v>14446</v>
      </c>
      <c r="B6825" s="2352" t="s">
        <v>5116</v>
      </c>
      <c r="C6825" s="2352" t="s">
        <v>5116</v>
      </c>
      <c r="D6825" s="2352" t="s">
        <v>5449</v>
      </c>
      <c r="E6825" s="355">
        <v>160</v>
      </c>
      <c r="F6825" s="1662">
        <v>100</v>
      </c>
    </row>
    <row r="6826" spans="1:6" ht="15" customHeight="1" x14ac:dyDescent="0.25">
      <c r="A6826" s="2352" t="s">
        <v>14446</v>
      </c>
      <c r="B6826" s="2352" t="s">
        <v>5116</v>
      </c>
      <c r="C6826" s="2352" t="s">
        <v>5116</v>
      </c>
      <c r="D6826" s="2352" t="s">
        <v>5450</v>
      </c>
      <c r="E6826" s="355">
        <v>250</v>
      </c>
      <c r="F6826" s="1662">
        <v>200</v>
      </c>
    </row>
    <row r="6827" spans="1:6" ht="15" customHeight="1" x14ac:dyDescent="0.25">
      <c r="A6827" s="2352" t="s">
        <v>14755</v>
      </c>
      <c r="B6827" s="2352" t="s">
        <v>5116</v>
      </c>
      <c r="C6827" s="2352" t="s">
        <v>5116</v>
      </c>
      <c r="D6827" s="2352" t="s">
        <v>5451</v>
      </c>
      <c r="E6827" s="355">
        <v>63</v>
      </c>
      <c r="F6827" s="1662">
        <v>20</v>
      </c>
    </row>
    <row r="6828" spans="1:6" ht="15" customHeight="1" x14ac:dyDescent="0.25">
      <c r="A6828" s="2352" t="s">
        <v>14756</v>
      </c>
      <c r="B6828" s="2352" t="s">
        <v>5116</v>
      </c>
      <c r="C6828" s="2352" t="s">
        <v>5116</v>
      </c>
      <c r="D6828" s="2352" t="s">
        <v>5452</v>
      </c>
      <c r="E6828" s="355">
        <v>60</v>
      </c>
      <c r="F6828" s="1662">
        <v>30</v>
      </c>
    </row>
    <row r="6829" spans="1:6" ht="15" customHeight="1" x14ac:dyDescent="0.25">
      <c r="A6829" s="2352" t="s">
        <v>14757</v>
      </c>
      <c r="B6829" s="2352" t="s">
        <v>5116</v>
      </c>
      <c r="C6829" s="2352" t="s">
        <v>5116</v>
      </c>
      <c r="D6829" s="2352" t="s">
        <v>5453</v>
      </c>
      <c r="E6829" s="355">
        <v>160</v>
      </c>
      <c r="F6829" s="1662">
        <v>100</v>
      </c>
    </row>
    <row r="6830" spans="1:6" ht="15" customHeight="1" x14ac:dyDescent="0.25">
      <c r="A6830" s="2352" t="s">
        <v>4632</v>
      </c>
      <c r="B6830" s="2352" t="s">
        <v>5116</v>
      </c>
      <c r="C6830" s="2352" t="s">
        <v>5116</v>
      </c>
      <c r="D6830" s="2352" t="s">
        <v>5454</v>
      </c>
      <c r="E6830" s="355">
        <v>30</v>
      </c>
      <c r="F6830" s="1662">
        <v>15</v>
      </c>
    </row>
    <row r="6831" spans="1:6" ht="15" customHeight="1" x14ac:dyDescent="0.25">
      <c r="A6831" s="2352" t="s">
        <v>4528</v>
      </c>
      <c r="B6831" s="2352" t="s">
        <v>5116</v>
      </c>
      <c r="C6831" s="2352" t="s">
        <v>5116</v>
      </c>
      <c r="D6831" s="2352" t="s">
        <v>5455</v>
      </c>
      <c r="E6831" s="355">
        <v>30</v>
      </c>
      <c r="F6831" s="1662">
        <v>20</v>
      </c>
    </row>
    <row r="6832" spans="1:6" ht="15" customHeight="1" x14ac:dyDescent="0.25">
      <c r="A6832" s="2352" t="s">
        <v>14758</v>
      </c>
      <c r="B6832" s="2352" t="s">
        <v>5116</v>
      </c>
      <c r="C6832" s="2352" t="s">
        <v>5116</v>
      </c>
      <c r="D6832" s="2352" t="s">
        <v>5456</v>
      </c>
      <c r="E6832" s="355">
        <v>63</v>
      </c>
      <c r="F6832" s="1662">
        <v>20</v>
      </c>
    </row>
    <row r="6833" spans="1:6" ht="15" customHeight="1" x14ac:dyDescent="0.25">
      <c r="A6833" s="2352" t="s">
        <v>4609</v>
      </c>
      <c r="B6833" s="2352" t="s">
        <v>5116</v>
      </c>
      <c r="C6833" s="2352" t="s">
        <v>5116</v>
      </c>
      <c r="D6833" s="2352" t="s">
        <v>5457</v>
      </c>
      <c r="E6833" s="355">
        <v>20</v>
      </c>
      <c r="F6833" s="1662">
        <v>10</v>
      </c>
    </row>
    <row r="6834" spans="1:6" ht="15" customHeight="1" x14ac:dyDescent="0.25">
      <c r="A6834" s="2352" t="s">
        <v>14758</v>
      </c>
      <c r="B6834" s="2352" t="s">
        <v>5116</v>
      </c>
      <c r="C6834" s="2352" t="s">
        <v>5116</v>
      </c>
      <c r="D6834" s="2352" t="s">
        <v>5458</v>
      </c>
      <c r="E6834" s="355">
        <v>60</v>
      </c>
      <c r="F6834" s="1662">
        <v>30</v>
      </c>
    </row>
    <row r="6835" spans="1:6" ht="15" customHeight="1" x14ac:dyDescent="0.25">
      <c r="A6835" s="2352" t="s">
        <v>5459</v>
      </c>
      <c r="B6835" s="2352" t="s">
        <v>5116</v>
      </c>
      <c r="C6835" s="2352" t="s">
        <v>5116</v>
      </c>
      <c r="D6835" s="2352" t="s">
        <v>5460</v>
      </c>
      <c r="E6835" s="355">
        <v>250</v>
      </c>
      <c r="F6835" s="1662">
        <v>100</v>
      </c>
    </row>
    <row r="6836" spans="1:6" ht="15" customHeight="1" x14ac:dyDescent="0.25">
      <c r="A6836" s="2352" t="s">
        <v>9505</v>
      </c>
      <c r="B6836" s="2352" t="s">
        <v>5116</v>
      </c>
      <c r="C6836" s="2352" t="s">
        <v>5116</v>
      </c>
      <c r="D6836" s="2352" t="s">
        <v>5461</v>
      </c>
      <c r="E6836" s="355">
        <v>250</v>
      </c>
      <c r="F6836" s="1662">
        <v>80</v>
      </c>
    </row>
    <row r="6837" spans="1:6" ht="15" customHeight="1" x14ac:dyDescent="0.25">
      <c r="A6837" s="2352" t="s">
        <v>5459</v>
      </c>
      <c r="B6837" s="2352" t="s">
        <v>5116</v>
      </c>
      <c r="C6837" s="2352" t="s">
        <v>5116</v>
      </c>
      <c r="D6837" s="2352" t="s">
        <v>5462</v>
      </c>
      <c r="E6837" s="355">
        <v>400</v>
      </c>
      <c r="F6837" s="1662">
        <v>200</v>
      </c>
    </row>
    <row r="6838" spans="1:6" ht="15" customHeight="1" x14ac:dyDescent="0.25">
      <c r="A6838" s="2352" t="s">
        <v>5459</v>
      </c>
      <c r="B6838" s="2352" t="s">
        <v>5116</v>
      </c>
      <c r="C6838" s="2352" t="s">
        <v>5116</v>
      </c>
      <c r="D6838" s="2352" t="s">
        <v>5463</v>
      </c>
      <c r="E6838" s="355">
        <v>60</v>
      </c>
      <c r="F6838" s="1662">
        <v>30</v>
      </c>
    </row>
    <row r="6839" spans="1:6" ht="15" customHeight="1" x14ac:dyDescent="0.25">
      <c r="A6839" s="2352" t="s">
        <v>10128</v>
      </c>
      <c r="B6839" s="2352" t="s">
        <v>5116</v>
      </c>
      <c r="C6839" s="2352" t="s">
        <v>5116</v>
      </c>
      <c r="D6839" s="2352" t="s">
        <v>5464</v>
      </c>
      <c r="E6839" s="355">
        <v>100</v>
      </c>
      <c r="F6839" s="1662">
        <v>40</v>
      </c>
    </row>
    <row r="6840" spans="1:6" ht="15" customHeight="1" x14ac:dyDescent="0.25">
      <c r="A6840" s="2352" t="s">
        <v>14759</v>
      </c>
      <c r="B6840" s="2352" t="s">
        <v>5116</v>
      </c>
      <c r="C6840" s="2352" t="s">
        <v>5116</v>
      </c>
      <c r="D6840" s="2352" t="s">
        <v>5465</v>
      </c>
      <c r="E6840" s="355">
        <v>60</v>
      </c>
      <c r="F6840" s="1662">
        <v>30</v>
      </c>
    </row>
    <row r="6841" spans="1:6" ht="15" customHeight="1" x14ac:dyDescent="0.25">
      <c r="A6841" s="2352" t="s">
        <v>5466</v>
      </c>
      <c r="B6841" s="2352" t="s">
        <v>5116</v>
      </c>
      <c r="C6841" s="2352" t="s">
        <v>5116</v>
      </c>
      <c r="D6841" s="2352" t="s">
        <v>5467</v>
      </c>
      <c r="E6841" s="355">
        <v>63</v>
      </c>
      <c r="F6841" s="1662">
        <v>40</v>
      </c>
    </row>
    <row r="6842" spans="1:6" ht="15" customHeight="1" x14ac:dyDescent="0.25">
      <c r="A6842" s="2352" t="s">
        <v>5466</v>
      </c>
      <c r="B6842" s="2352" t="s">
        <v>5116</v>
      </c>
      <c r="C6842" s="2352" t="s">
        <v>5116</v>
      </c>
      <c r="D6842" s="2352" t="s">
        <v>5468</v>
      </c>
      <c r="E6842" s="355">
        <v>20</v>
      </c>
      <c r="F6842" s="1662">
        <v>10</v>
      </c>
    </row>
    <row r="6843" spans="1:6" ht="15" customHeight="1" x14ac:dyDescent="0.25">
      <c r="A6843" s="2352" t="s">
        <v>14760</v>
      </c>
      <c r="B6843" s="2352" t="s">
        <v>5116</v>
      </c>
      <c r="C6843" s="2352" t="s">
        <v>5116</v>
      </c>
      <c r="D6843" s="2352" t="s">
        <v>5469</v>
      </c>
      <c r="E6843" s="355">
        <v>25</v>
      </c>
      <c r="F6843" s="1662">
        <v>10</v>
      </c>
    </row>
    <row r="6844" spans="1:6" ht="15" customHeight="1" x14ac:dyDescent="0.25">
      <c r="A6844" s="2352" t="s">
        <v>5470</v>
      </c>
      <c r="B6844" s="2352" t="s">
        <v>5116</v>
      </c>
      <c r="C6844" s="2352" t="s">
        <v>5116</v>
      </c>
      <c r="D6844" s="2352" t="s">
        <v>5471</v>
      </c>
      <c r="E6844" s="355">
        <v>30</v>
      </c>
      <c r="F6844" s="1662">
        <v>10</v>
      </c>
    </row>
    <row r="6845" spans="1:6" ht="15" customHeight="1" x14ac:dyDescent="0.25">
      <c r="A6845" s="2352" t="s">
        <v>14761</v>
      </c>
      <c r="B6845" s="2352" t="s">
        <v>5116</v>
      </c>
      <c r="C6845" s="2352" t="s">
        <v>5116</v>
      </c>
      <c r="D6845" s="2352" t="s">
        <v>5472</v>
      </c>
      <c r="E6845" s="355">
        <v>20</v>
      </c>
      <c r="F6845" s="1662">
        <v>10</v>
      </c>
    </row>
    <row r="6846" spans="1:6" ht="15" customHeight="1" x14ac:dyDescent="0.25">
      <c r="A6846" s="2352" t="s">
        <v>4916</v>
      </c>
      <c r="B6846" s="2352" t="s">
        <v>5116</v>
      </c>
      <c r="C6846" s="2352" t="s">
        <v>5116</v>
      </c>
      <c r="D6846" s="2352" t="s">
        <v>5473</v>
      </c>
      <c r="E6846" s="355">
        <v>30</v>
      </c>
      <c r="F6846" s="1662">
        <v>15</v>
      </c>
    </row>
    <row r="6847" spans="1:6" ht="15" customHeight="1" x14ac:dyDescent="0.25">
      <c r="A6847" s="2352" t="s">
        <v>14762</v>
      </c>
      <c r="B6847" s="2352" t="s">
        <v>5116</v>
      </c>
      <c r="C6847" s="2352" t="s">
        <v>5116</v>
      </c>
      <c r="D6847" s="2352" t="s">
        <v>5474</v>
      </c>
      <c r="E6847" s="355">
        <v>20</v>
      </c>
      <c r="F6847" s="1662">
        <v>10</v>
      </c>
    </row>
    <row r="6848" spans="1:6" ht="15" customHeight="1" x14ac:dyDescent="0.25">
      <c r="A6848" s="2352" t="s">
        <v>5475</v>
      </c>
      <c r="B6848" s="2352" t="s">
        <v>5116</v>
      </c>
      <c r="C6848" s="2352" t="s">
        <v>5116</v>
      </c>
      <c r="D6848" s="2352" t="s">
        <v>5476</v>
      </c>
      <c r="E6848" s="355">
        <v>400</v>
      </c>
      <c r="F6848" s="1662">
        <v>100</v>
      </c>
    </row>
    <row r="6849" spans="1:6" ht="15" customHeight="1" x14ac:dyDescent="0.25">
      <c r="A6849" s="2352" t="s">
        <v>5477</v>
      </c>
      <c r="B6849" s="2352" t="s">
        <v>5116</v>
      </c>
      <c r="C6849" s="2352" t="s">
        <v>5116</v>
      </c>
      <c r="D6849" s="2352" t="s">
        <v>5478</v>
      </c>
      <c r="E6849" s="355">
        <v>100</v>
      </c>
      <c r="F6849" s="1662">
        <v>30</v>
      </c>
    </row>
    <row r="6850" spans="1:6" ht="15" customHeight="1" x14ac:dyDescent="0.25">
      <c r="A6850" s="2352" t="s">
        <v>5477</v>
      </c>
      <c r="B6850" s="2352" t="s">
        <v>5116</v>
      </c>
      <c r="C6850" s="2352" t="s">
        <v>5116</v>
      </c>
      <c r="D6850" s="2352" t="s">
        <v>5479</v>
      </c>
      <c r="E6850" s="355">
        <v>250</v>
      </c>
      <c r="F6850" s="1662">
        <v>150</v>
      </c>
    </row>
    <row r="6851" spans="1:6" ht="15" customHeight="1" x14ac:dyDescent="0.25">
      <c r="A6851" s="2352" t="s">
        <v>5477</v>
      </c>
      <c r="B6851" s="2352" t="s">
        <v>5116</v>
      </c>
      <c r="C6851" s="2352" t="s">
        <v>5116</v>
      </c>
      <c r="D6851" s="2352" t="s">
        <v>5480</v>
      </c>
      <c r="E6851" s="355">
        <v>100</v>
      </c>
      <c r="F6851" s="1662">
        <v>50</v>
      </c>
    </row>
    <row r="6852" spans="1:6" ht="15" customHeight="1" x14ac:dyDescent="0.25">
      <c r="A6852" s="2352" t="s">
        <v>5477</v>
      </c>
      <c r="B6852" s="2352" t="s">
        <v>5116</v>
      </c>
      <c r="C6852" s="2352" t="s">
        <v>5116</v>
      </c>
      <c r="D6852" s="2352" t="s">
        <v>5481</v>
      </c>
      <c r="E6852" s="355">
        <v>63</v>
      </c>
      <c r="F6852" s="1662">
        <v>20</v>
      </c>
    </row>
    <row r="6853" spans="1:6" ht="15" customHeight="1" x14ac:dyDescent="0.25">
      <c r="A6853" s="2352" t="s">
        <v>5477</v>
      </c>
      <c r="B6853" s="2352" t="s">
        <v>5116</v>
      </c>
      <c r="C6853" s="2352" t="s">
        <v>5116</v>
      </c>
      <c r="D6853" s="2352" t="s">
        <v>5482</v>
      </c>
      <c r="E6853" s="355">
        <v>40</v>
      </c>
      <c r="F6853" s="1662">
        <v>20</v>
      </c>
    </row>
    <row r="6854" spans="1:6" ht="15" customHeight="1" x14ac:dyDescent="0.25">
      <c r="A6854" s="2352" t="s">
        <v>12251</v>
      </c>
      <c r="B6854" s="2352" t="s">
        <v>5116</v>
      </c>
      <c r="C6854" s="2352" t="s">
        <v>5116</v>
      </c>
      <c r="D6854" s="2352" t="s">
        <v>5483</v>
      </c>
      <c r="E6854" s="355">
        <v>63</v>
      </c>
      <c r="F6854" s="1662">
        <v>20</v>
      </c>
    </row>
    <row r="6855" spans="1:6" ht="15" customHeight="1" x14ac:dyDescent="0.25">
      <c r="A6855" s="2352" t="s">
        <v>14763</v>
      </c>
      <c r="B6855" s="2352" t="s">
        <v>5116</v>
      </c>
      <c r="C6855" s="2352" t="s">
        <v>5116</v>
      </c>
      <c r="D6855" s="2352" t="s">
        <v>5484</v>
      </c>
      <c r="E6855" s="355">
        <v>40</v>
      </c>
      <c r="F6855" s="1662">
        <v>10</v>
      </c>
    </row>
    <row r="6856" spans="1:6" ht="15" customHeight="1" x14ac:dyDescent="0.25">
      <c r="A6856" s="2352" t="s">
        <v>10238</v>
      </c>
      <c r="B6856" s="2352" t="s">
        <v>5116</v>
      </c>
      <c r="C6856" s="2352" t="s">
        <v>5116</v>
      </c>
      <c r="D6856" s="2352" t="s">
        <v>5485</v>
      </c>
      <c r="E6856" s="355">
        <v>30</v>
      </c>
      <c r="F6856" s="1662">
        <v>10</v>
      </c>
    </row>
    <row r="6857" spans="1:6" ht="15" customHeight="1" x14ac:dyDescent="0.25">
      <c r="A6857" s="2352" t="s">
        <v>14764</v>
      </c>
      <c r="B6857" s="2352" t="s">
        <v>5116</v>
      </c>
      <c r="C6857" s="2352" t="s">
        <v>5116</v>
      </c>
      <c r="D6857" s="2352" t="s">
        <v>5486</v>
      </c>
      <c r="E6857" s="355">
        <v>100</v>
      </c>
      <c r="F6857" s="1662">
        <v>40</v>
      </c>
    </row>
    <row r="6858" spans="1:6" ht="15" customHeight="1" x14ac:dyDescent="0.25">
      <c r="A6858" s="2352" t="s">
        <v>14765</v>
      </c>
      <c r="B6858" s="2352" t="s">
        <v>5116</v>
      </c>
      <c r="C6858" s="2352" t="s">
        <v>5116</v>
      </c>
      <c r="D6858" s="2352" t="s">
        <v>5487</v>
      </c>
      <c r="E6858" s="355">
        <v>20</v>
      </c>
      <c r="F6858" s="1662">
        <v>5</v>
      </c>
    </row>
    <row r="6859" spans="1:6" ht="15" customHeight="1" x14ac:dyDescent="0.25">
      <c r="A6859" s="2352" t="s">
        <v>14766</v>
      </c>
      <c r="B6859" s="2352" t="s">
        <v>5116</v>
      </c>
      <c r="C6859" s="2352" t="s">
        <v>5116</v>
      </c>
      <c r="D6859" s="2352" t="s">
        <v>5488</v>
      </c>
      <c r="E6859" s="355">
        <v>20</v>
      </c>
      <c r="F6859" s="1662">
        <v>5</v>
      </c>
    </row>
    <row r="6860" spans="1:6" ht="15" customHeight="1" x14ac:dyDescent="0.25">
      <c r="A6860" s="2352" t="s">
        <v>3956</v>
      </c>
      <c r="B6860" s="2352" t="s">
        <v>5116</v>
      </c>
      <c r="C6860" s="2352" t="s">
        <v>5116</v>
      </c>
      <c r="D6860" s="2352" t="s">
        <v>5489</v>
      </c>
      <c r="E6860" s="355">
        <v>160</v>
      </c>
      <c r="F6860" s="1662">
        <v>80</v>
      </c>
    </row>
    <row r="6861" spans="1:6" ht="15" customHeight="1" x14ac:dyDescent="0.25">
      <c r="A6861" s="2352" t="s">
        <v>5490</v>
      </c>
      <c r="B6861" s="2352" t="s">
        <v>5116</v>
      </c>
      <c r="C6861" s="2352" t="s">
        <v>5116</v>
      </c>
      <c r="D6861" s="2352" t="s">
        <v>5491</v>
      </c>
      <c r="E6861" s="355">
        <v>100</v>
      </c>
      <c r="F6861" s="1662">
        <v>40</v>
      </c>
    </row>
    <row r="6862" spans="1:6" ht="15" customHeight="1" x14ac:dyDescent="0.25">
      <c r="A6862" s="2352" t="s">
        <v>6541</v>
      </c>
      <c r="B6862" s="2352" t="s">
        <v>5116</v>
      </c>
      <c r="C6862" s="2352" t="s">
        <v>5116</v>
      </c>
      <c r="D6862" s="2352" t="s">
        <v>5492</v>
      </c>
      <c r="E6862" s="355">
        <v>63</v>
      </c>
      <c r="F6862" s="1662">
        <v>20</v>
      </c>
    </row>
    <row r="6863" spans="1:6" ht="15" customHeight="1" x14ac:dyDescent="0.25">
      <c r="A6863" s="2352" t="s">
        <v>5493</v>
      </c>
      <c r="B6863" s="2352" t="s">
        <v>5116</v>
      </c>
      <c r="C6863" s="2352" t="s">
        <v>5116</v>
      </c>
      <c r="D6863" s="2352" t="s">
        <v>5494</v>
      </c>
      <c r="E6863" s="355">
        <v>250</v>
      </c>
      <c r="F6863" s="1662">
        <v>85</v>
      </c>
    </row>
    <row r="6864" spans="1:6" ht="15" customHeight="1" x14ac:dyDescent="0.25">
      <c r="A6864" s="2352" t="s">
        <v>5495</v>
      </c>
      <c r="B6864" s="2352" t="s">
        <v>5116</v>
      </c>
      <c r="C6864" s="2352" t="s">
        <v>5116</v>
      </c>
      <c r="D6864" s="2352" t="s">
        <v>5496</v>
      </c>
      <c r="E6864" s="355">
        <v>63</v>
      </c>
      <c r="F6864" s="1662">
        <v>15</v>
      </c>
    </row>
    <row r="6865" spans="1:6" ht="15" customHeight="1" x14ac:dyDescent="0.25">
      <c r="A6865" s="2352" t="s">
        <v>14767</v>
      </c>
      <c r="B6865" s="2352" t="s">
        <v>5116</v>
      </c>
      <c r="C6865" s="2352" t="s">
        <v>5116</v>
      </c>
      <c r="D6865" s="2352" t="s">
        <v>5497</v>
      </c>
      <c r="E6865" s="355">
        <v>60</v>
      </c>
      <c r="F6865" s="1662">
        <v>30</v>
      </c>
    </row>
    <row r="6866" spans="1:6" ht="15" customHeight="1" x14ac:dyDescent="0.25">
      <c r="A6866" s="2352" t="s">
        <v>14768</v>
      </c>
      <c r="B6866" s="2352" t="s">
        <v>5116</v>
      </c>
      <c r="C6866" s="2352" t="s">
        <v>5116</v>
      </c>
      <c r="D6866" s="2352" t="s">
        <v>5498</v>
      </c>
      <c r="E6866" s="355">
        <v>100</v>
      </c>
      <c r="F6866" s="1662">
        <v>50</v>
      </c>
    </row>
    <row r="6867" spans="1:6" ht="15" customHeight="1" x14ac:dyDescent="0.25">
      <c r="A6867" s="2352" t="s">
        <v>5499</v>
      </c>
      <c r="B6867" s="2352" t="s">
        <v>5116</v>
      </c>
      <c r="C6867" s="2352" t="s">
        <v>5116</v>
      </c>
      <c r="D6867" s="2352" t="s">
        <v>5500</v>
      </c>
      <c r="E6867" s="355">
        <v>100</v>
      </c>
      <c r="F6867" s="1662">
        <v>50</v>
      </c>
    </row>
    <row r="6868" spans="1:6" ht="15" customHeight="1" x14ac:dyDescent="0.25">
      <c r="A6868" s="2352" t="s">
        <v>14769</v>
      </c>
      <c r="B6868" s="2352" t="s">
        <v>5116</v>
      </c>
      <c r="C6868" s="2352" t="s">
        <v>5116</v>
      </c>
      <c r="D6868" s="2352" t="s">
        <v>5501</v>
      </c>
      <c r="E6868" s="355">
        <v>100</v>
      </c>
      <c r="F6868" s="1662">
        <v>50</v>
      </c>
    </row>
    <row r="6869" spans="1:6" ht="15" customHeight="1" x14ac:dyDescent="0.25">
      <c r="A6869" s="2352" t="s">
        <v>5502</v>
      </c>
      <c r="B6869" s="2352" t="s">
        <v>5116</v>
      </c>
      <c r="C6869" s="2352" t="s">
        <v>5116</v>
      </c>
      <c r="D6869" s="2352" t="s">
        <v>5503</v>
      </c>
      <c r="E6869" s="355">
        <v>20</v>
      </c>
      <c r="F6869" s="1662">
        <v>10</v>
      </c>
    </row>
    <row r="6870" spans="1:6" ht="15" customHeight="1" x14ac:dyDescent="0.25">
      <c r="A6870" s="2352" t="s">
        <v>14770</v>
      </c>
      <c r="B6870" s="2352" t="s">
        <v>5116</v>
      </c>
      <c r="C6870" s="2352" t="s">
        <v>5116</v>
      </c>
      <c r="D6870" s="2352" t="s">
        <v>5504</v>
      </c>
      <c r="E6870" s="355">
        <v>100</v>
      </c>
      <c r="F6870" s="1662">
        <v>70</v>
      </c>
    </row>
    <row r="6871" spans="1:6" ht="15" customHeight="1" x14ac:dyDescent="0.25">
      <c r="A6871" s="2352" t="s">
        <v>5505</v>
      </c>
      <c r="B6871" s="2352" t="s">
        <v>5116</v>
      </c>
      <c r="C6871" s="2352" t="s">
        <v>5116</v>
      </c>
      <c r="D6871" s="2352" t="s">
        <v>5506</v>
      </c>
      <c r="E6871" s="355">
        <v>40</v>
      </c>
      <c r="F6871" s="1662">
        <v>10</v>
      </c>
    </row>
    <row r="6872" spans="1:6" ht="15" customHeight="1" x14ac:dyDescent="0.25">
      <c r="A6872" s="2352" t="s">
        <v>14771</v>
      </c>
      <c r="B6872" s="2352" t="s">
        <v>5116</v>
      </c>
      <c r="C6872" s="2352" t="s">
        <v>5116</v>
      </c>
      <c r="D6872" s="2352" t="s">
        <v>5507</v>
      </c>
      <c r="E6872" s="355">
        <v>40</v>
      </c>
      <c r="F6872" s="1662">
        <v>10</v>
      </c>
    </row>
    <row r="6873" spans="1:6" ht="15" customHeight="1" x14ac:dyDescent="0.25">
      <c r="A6873" s="2352" t="s">
        <v>5508</v>
      </c>
      <c r="B6873" s="2352" t="s">
        <v>5116</v>
      </c>
      <c r="C6873" s="2352" t="s">
        <v>5116</v>
      </c>
      <c r="D6873" s="2352" t="s">
        <v>5509</v>
      </c>
      <c r="E6873" s="355">
        <v>30</v>
      </c>
      <c r="F6873" s="1662">
        <v>10</v>
      </c>
    </row>
    <row r="6874" spans="1:6" ht="15" customHeight="1" x14ac:dyDescent="0.25">
      <c r="A6874" s="2352" t="s">
        <v>10012</v>
      </c>
      <c r="B6874" s="2352" t="s">
        <v>5116</v>
      </c>
      <c r="C6874" s="2352" t="s">
        <v>5116</v>
      </c>
      <c r="D6874" s="2352" t="s">
        <v>5510</v>
      </c>
      <c r="E6874" s="355">
        <v>20</v>
      </c>
      <c r="F6874" s="1662">
        <v>10</v>
      </c>
    </row>
    <row r="6875" spans="1:6" ht="15" customHeight="1" x14ac:dyDescent="0.25">
      <c r="A6875" s="2352" t="s">
        <v>14772</v>
      </c>
      <c r="B6875" s="2352" t="s">
        <v>5116</v>
      </c>
      <c r="C6875" s="2352" t="s">
        <v>5116</v>
      </c>
      <c r="D6875" s="2352" t="s">
        <v>5511</v>
      </c>
      <c r="E6875" s="355">
        <v>30</v>
      </c>
      <c r="F6875" s="1662">
        <v>10</v>
      </c>
    </row>
    <row r="6876" spans="1:6" ht="15" customHeight="1" x14ac:dyDescent="0.25">
      <c r="A6876" s="2352" t="s">
        <v>14763</v>
      </c>
      <c r="B6876" s="2352" t="s">
        <v>5116</v>
      </c>
      <c r="C6876" s="2352" t="s">
        <v>5116</v>
      </c>
      <c r="D6876" s="2352" t="s">
        <v>5512</v>
      </c>
      <c r="E6876" s="355">
        <v>20</v>
      </c>
      <c r="F6876" s="1662">
        <v>5</v>
      </c>
    </row>
    <row r="6877" spans="1:6" ht="15" customHeight="1" x14ac:dyDescent="0.25">
      <c r="A6877" s="2352" t="s">
        <v>10191</v>
      </c>
      <c r="B6877" s="2352" t="s">
        <v>5116</v>
      </c>
      <c r="C6877" s="2352" t="s">
        <v>5116</v>
      </c>
      <c r="D6877" s="2352" t="s">
        <v>5513</v>
      </c>
      <c r="E6877" s="355">
        <v>100</v>
      </c>
      <c r="F6877" s="1662">
        <v>30</v>
      </c>
    </row>
    <row r="6878" spans="1:6" ht="15" customHeight="1" x14ac:dyDescent="0.25">
      <c r="A6878" s="2352" t="s">
        <v>14773</v>
      </c>
      <c r="B6878" s="2352" t="s">
        <v>5116</v>
      </c>
      <c r="C6878" s="2352" t="s">
        <v>5116</v>
      </c>
      <c r="D6878" s="2352" t="s">
        <v>5514</v>
      </c>
      <c r="E6878" s="355">
        <v>250</v>
      </c>
      <c r="F6878" s="1662">
        <v>200</v>
      </c>
    </row>
    <row r="6879" spans="1:6" ht="15" customHeight="1" x14ac:dyDescent="0.25">
      <c r="A6879" s="2352" t="s">
        <v>14773</v>
      </c>
      <c r="B6879" s="2352" t="s">
        <v>5116</v>
      </c>
      <c r="C6879" s="2352" t="s">
        <v>5116</v>
      </c>
      <c r="D6879" s="2352" t="s">
        <v>5515</v>
      </c>
      <c r="E6879" s="355">
        <v>250</v>
      </c>
      <c r="F6879" s="1662">
        <v>100</v>
      </c>
    </row>
    <row r="6880" spans="1:6" ht="15" customHeight="1" x14ac:dyDescent="0.25">
      <c r="A6880" s="2352" t="s">
        <v>14774</v>
      </c>
      <c r="B6880" s="2352" t="s">
        <v>5116</v>
      </c>
      <c r="C6880" s="2352" t="s">
        <v>5116</v>
      </c>
      <c r="D6880" s="2352" t="s">
        <v>5516</v>
      </c>
      <c r="E6880" s="355">
        <v>63</v>
      </c>
      <c r="F6880" s="1662">
        <v>20</v>
      </c>
    </row>
    <row r="6881" spans="1:6" ht="15" customHeight="1" x14ac:dyDescent="0.25">
      <c r="A6881" s="2352" t="s">
        <v>5517</v>
      </c>
      <c r="B6881" s="2352" t="s">
        <v>5116</v>
      </c>
      <c r="C6881" s="2352" t="s">
        <v>5116</v>
      </c>
      <c r="D6881" s="2352" t="s">
        <v>5518</v>
      </c>
      <c r="E6881" s="355">
        <v>20</v>
      </c>
      <c r="F6881" s="1662">
        <v>5</v>
      </c>
    </row>
    <row r="6882" spans="1:6" ht="15" customHeight="1" x14ac:dyDescent="0.25">
      <c r="A6882" s="2352" t="s">
        <v>14773</v>
      </c>
      <c r="B6882" s="2352" t="s">
        <v>5116</v>
      </c>
      <c r="C6882" s="2352" t="s">
        <v>5116</v>
      </c>
      <c r="D6882" s="2352" t="s">
        <v>5519</v>
      </c>
      <c r="E6882" s="355">
        <v>63</v>
      </c>
      <c r="F6882" s="1662">
        <v>25</v>
      </c>
    </row>
    <row r="6883" spans="1:6" ht="15" customHeight="1" x14ac:dyDescent="0.25">
      <c r="A6883" s="2352" t="s">
        <v>14773</v>
      </c>
      <c r="B6883" s="2352" t="s">
        <v>5116</v>
      </c>
      <c r="C6883" s="2352" t="s">
        <v>5116</v>
      </c>
      <c r="D6883" s="2352" t="s">
        <v>5520</v>
      </c>
      <c r="E6883" s="355">
        <v>250</v>
      </c>
      <c r="F6883" s="1662">
        <v>100</v>
      </c>
    </row>
    <row r="6884" spans="1:6" ht="15" customHeight="1" x14ac:dyDescent="0.25">
      <c r="A6884" s="2352" t="s">
        <v>14773</v>
      </c>
      <c r="B6884" s="2352" t="s">
        <v>5116</v>
      </c>
      <c r="C6884" s="2352" t="s">
        <v>5116</v>
      </c>
      <c r="D6884" s="2352" t="s">
        <v>5521</v>
      </c>
      <c r="E6884" s="355">
        <v>250</v>
      </c>
      <c r="F6884" s="1662">
        <v>100</v>
      </c>
    </row>
    <row r="6885" spans="1:6" ht="15" customHeight="1" x14ac:dyDescent="0.25">
      <c r="A6885" s="2352" t="s">
        <v>14773</v>
      </c>
      <c r="B6885" s="2352" t="s">
        <v>5116</v>
      </c>
      <c r="C6885" s="2352" t="s">
        <v>5116</v>
      </c>
      <c r="D6885" s="2352" t="s">
        <v>5522</v>
      </c>
      <c r="E6885" s="355">
        <v>400</v>
      </c>
      <c r="F6885" s="1662">
        <v>200</v>
      </c>
    </row>
    <row r="6886" spans="1:6" ht="15" customHeight="1" x14ac:dyDescent="0.25">
      <c r="A6886" s="2352" t="s">
        <v>14775</v>
      </c>
      <c r="B6886" s="2352" t="s">
        <v>5116</v>
      </c>
      <c r="C6886" s="2352" t="s">
        <v>5116</v>
      </c>
      <c r="D6886" s="2352" t="s">
        <v>5523</v>
      </c>
      <c r="E6886" s="355">
        <v>63</v>
      </c>
      <c r="F6886" s="1662">
        <v>25</v>
      </c>
    </row>
    <row r="6887" spans="1:6" ht="15" customHeight="1" x14ac:dyDescent="0.25">
      <c r="A6887" s="2352" t="s">
        <v>14776</v>
      </c>
      <c r="B6887" s="2352" t="s">
        <v>5116</v>
      </c>
      <c r="C6887" s="2352" t="s">
        <v>5116</v>
      </c>
      <c r="D6887" s="2352" t="s">
        <v>5524</v>
      </c>
      <c r="E6887" s="355">
        <v>63</v>
      </c>
      <c r="F6887" s="1662">
        <v>30</v>
      </c>
    </row>
    <row r="6888" spans="1:6" ht="15" customHeight="1" x14ac:dyDescent="0.25">
      <c r="A6888" s="2352" t="s">
        <v>5525</v>
      </c>
      <c r="B6888" s="2352" t="s">
        <v>5116</v>
      </c>
      <c r="C6888" s="2352" t="s">
        <v>5116</v>
      </c>
      <c r="D6888" s="2352" t="s">
        <v>5526</v>
      </c>
      <c r="E6888" s="355">
        <v>20</v>
      </c>
      <c r="F6888" s="1662">
        <v>10</v>
      </c>
    </row>
    <row r="6889" spans="1:6" ht="15" customHeight="1" x14ac:dyDescent="0.25">
      <c r="A6889" s="2352" t="s">
        <v>14727</v>
      </c>
      <c r="B6889" s="2352" t="s">
        <v>5116</v>
      </c>
      <c r="C6889" s="2352" t="s">
        <v>5116</v>
      </c>
      <c r="D6889" s="2352" t="s">
        <v>5527</v>
      </c>
      <c r="E6889" s="355">
        <v>60</v>
      </c>
      <c r="F6889" s="1662">
        <v>30</v>
      </c>
    </row>
    <row r="6890" spans="1:6" ht="15" customHeight="1" x14ac:dyDescent="0.25">
      <c r="A6890" s="2352" t="s">
        <v>4970</v>
      </c>
      <c r="B6890" s="2352" t="s">
        <v>5116</v>
      </c>
      <c r="C6890" s="2352" t="s">
        <v>5116</v>
      </c>
      <c r="D6890" s="2352" t="s">
        <v>5528</v>
      </c>
      <c r="E6890" s="355">
        <v>20</v>
      </c>
      <c r="F6890" s="1662">
        <v>5</v>
      </c>
    </row>
    <row r="6891" spans="1:6" ht="15" customHeight="1" x14ac:dyDescent="0.25">
      <c r="A6891" s="2352" t="s">
        <v>14777</v>
      </c>
      <c r="B6891" s="2352" t="s">
        <v>5116</v>
      </c>
      <c r="C6891" s="2352" t="s">
        <v>5116</v>
      </c>
      <c r="D6891" s="2352" t="s">
        <v>5529</v>
      </c>
      <c r="E6891" s="355">
        <v>60</v>
      </c>
      <c r="F6891" s="1662">
        <v>30</v>
      </c>
    </row>
    <row r="6892" spans="1:6" ht="15" customHeight="1" x14ac:dyDescent="0.25">
      <c r="A6892" s="2352" t="s">
        <v>5530</v>
      </c>
      <c r="B6892" s="2352" t="s">
        <v>5116</v>
      </c>
      <c r="C6892" s="2352" t="s">
        <v>5116</v>
      </c>
      <c r="D6892" s="2352" t="s">
        <v>5531</v>
      </c>
      <c r="E6892" s="355">
        <v>30</v>
      </c>
      <c r="F6892" s="1662">
        <v>10</v>
      </c>
    </row>
    <row r="6893" spans="1:6" ht="15" customHeight="1" x14ac:dyDescent="0.25">
      <c r="A6893" s="2352" t="s">
        <v>14743</v>
      </c>
      <c r="B6893" s="2352" t="s">
        <v>5116</v>
      </c>
      <c r="C6893" s="2352" t="s">
        <v>5116</v>
      </c>
      <c r="D6893" s="2352" t="s">
        <v>5532</v>
      </c>
      <c r="E6893" s="355">
        <v>160</v>
      </c>
      <c r="F6893" s="1662">
        <v>100</v>
      </c>
    </row>
    <row r="6894" spans="1:6" ht="15" customHeight="1" x14ac:dyDescent="0.25">
      <c r="A6894" s="2352" t="s">
        <v>4120</v>
      </c>
      <c r="B6894" s="2352" t="s">
        <v>5116</v>
      </c>
      <c r="C6894" s="2352" t="s">
        <v>5116</v>
      </c>
      <c r="D6894" s="2352" t="s">
        <v>5533</v>
      </c>
      <c r="E6894" s="355">
        <v>100</v>
      </c>
      <c r="F6894" s="1662">
        <v>40</v>
      </c>
    </row>
    <row r="6895" spans="1:6" ht="15" customHeight="1" x14ac:dyDescent="0.25">
      <c r="A6895" s="2352" t="s">
        <v>4120</v>
      </c>
      <c r="B6895" s="2352" t="s">
        <v>5116</v>
      </c>
      <c r="C6895" s="2352" t="s">
        <v>5116</v>
      </c>
      <c r="D6895" s="2352" t="s">
        <v>5534</v>
      </c>
      <c r="E6895" s="355">
        <v>250</v>
      </c>
      <c r="F6895" s="1662">
        <v>40</v>
      </c>
    </row>
    <row r="6896" spans="1:6" ht="15" customHeight="1" x14ac:dyDescent="0.25">
      <c r="A6896" s="2352" t="s">
        <v>4413</v>
      </c>
      <c r="B6896" s="2352" t="s">
        <v>5116</v>
      </c>
      <c r="C6896" s="2352" t="s">
        <v>5116</v>
      </c>
      <c r="D6896" s="2352" t="s">
        <v>5535</v>
      </c>
      <c r="E6896" s="355">
        <v>160</v>
      </c>
      <c r="F6896" s="1662">
        <v>60</v>
      </c>
    </row>
    <row r="6897" spans="1:6" ht="15" customHeight="1" x14ac:dyDescent="0.25">
      <c r="A6897" s="2352" t="s">
        <v>14778</v>
      </c>
      <c r="B6897" s="2352" t="s">
        <v>5116</v>
      </c>
      <c r="C6897" s="2352" t="s">
        <v>5116</v>
      </c>
      <c r="D6897" s="2352" t="s">
        <v>5536</v>
      </c>
      <c r="E6897" s="355">
        <v>250</v>
      </c>
      <c r="F6897" s="1662">
        <v>50</v>
      </c>
    </row>
    <row r="6898" spans="1:6" ht="15" customHeight="1" x14ac:dyDescent="0.25">
      <c r="A6898" s="2352" t="s">
        <v>5537</v>
      </c>
      <c r="B6898" s="2352" t="s">
        <v>5116</v>
      </c>
      <c r="C6898" s="2352" t="s">
        <v>5116</v>
      </c>
      <c r="D6898" s="2352" t="s">
        <v>5538</v>
      </c>
      <c r="E6898" s="355">
        <v>30</v>
      </c>
      <c r="F6898" s="1662">
        <v>10</v>
      </c>
    </row>
    <row r="6899" spans="1:6" ht="15" customHeight="1" x14ac:dyDescent="0.25">
      <c r="A6899" s="2352" t="s">
        <v>14779</v>
      </c>
      <c r="B6899" s="2352" t="s">
        <v>5116</v>
      </c>
      <c r="C6899" s="2352" t="s">
        <v>5116</v>
      </c>
      <c r="D6899" s="2352" t="s">
        <v>5539</v>
      </c>
      <c r="E6899" s="355">
        <v>40</v>
      </c>
      <c r="F6899" s="1662">
        <v>10</v>
      </c>
    </row>
    <row r="6900" spans="1:6" ht="15" customHeight="1" x14ac:dyDescent="0.25">
      <c r="A6900" s="2352" t="s">
        <v>14779</v>
      </c>
      <c r="B6900" s="2352" t="s">
        <v>5116</v>
      </c>
      <c r="C6900" s="2352" t="s">
        <v>5116</v>
      </c>
      <c r="D6900" s="2352" t="s">
        <v>5540</v>
      </c>
      <c r="E6900" s="355">
        <v>30</v>
      </c>
      <c r="F6900" s="1662">
        <v>10</v>
      </c>
    </row>
    <row r="6901" spans="1:6" ht="15" customHeight="1" x14ac:dyDescent="0.25">
      <c r="A6901" s="2352" t="s">
        <v>14779</v>
      </c>
      <c r="B6901" s="2352" t="s">
        <v>5116</v>
      </c>
      <c r="C6901" s="2352" t="s">
        <v>5116</v>
      </c>
      <c r="D6901" s="2352" t="s">
        <v>5541</v>
      </c>
      <c r="E6901" s="355">
        <v>160</v>
      </c>
      <c r="F6901" s="1662">
        <v>100</v>
      </c>
    </row>
    <row r="6902" spans="1:6" ht="15" customHeight="1" x14ac:dyDescent="0.25">
      <c r="A6902" s="2352" t="s">
        <v>14779</v>
      </c>
      <c r="B6902" s="2352" t="s">
        <v>5116</v>
      </c>
      <c r="C6902" s="2352" t="s">
        <v>5116</v>
      </c>
      <c r="D6902" s="2352" t="s">
        <v>5542</v>
      </c>
      <c r="E6902" s="355">
        <v>250</v>
      </c>
      <c r="F6902" s="1662">
        <v>200</v>
      </c>
    </row>
    <row r="6903" spans="1:6" ht="15" customHeight="1" x14ac:dyDescent="0.25">
      <c r="A6903" s="2352" t="s">
        <v>14779</v>
      </c>
      <c r="B6903" s="2352" t="s">
        <v>5116</v>
      </c>
      <c r="C6903" s="2352" t="s">
        <v>5116</v>
      </c>
      <c r="D6903" s="2352" t="s">
        <v>5543</v>
      </c>
      <c r="E6903" s="355">
        <v>400</v>
      </c>
      <c r="F6903" s="1662">
        <v>300</v>
      </c>
    </row>
    <row r="6904" spans="1:6" ht="15" customHeight="1" x14ac:dyDescent="0.25">
      <c r="A6904" s="2352" t="s">
        <v>9793</v>
      </c>
      <c r="B6904" s="2352" t="s">
        <v>5116</v>
      </c>
      <c r="C6904" s="2352" t="s">
        <v>5116</v>
      </c>
      <c r="D6904" s="2352" t="s">
        <v>5544</v>
      </c>
      <c r="E6904" s="355">
        <v>10</v>
      </c>
      <c r="F6904" s="1662">
        <v>4</v>
      </c>
    </row>
    <row r="6905" spans="1:6" ht="15" customHeight="1" x14ac:dyDescent="0.25">
      <c r="A6905" s="2352" t="s">
        <v>14780</v>
      </c>
      <c r="B6905" s="2352" t="s">
        <v>5116</v>
      </c>
      <c r="C6905" s="2352" t="s">
        <v>5116</v>
      </c>
      <c r="D6905" s="2352" t="s">
        <v>5545</v>
      </c>
      <c r="E6905" s="355">
        <v>20</v>
      </c>
      <c r="F6905" s="1662">
        <v>10</v>
      </c>
    </row>
    <row r="6906" spans="1:6" ht="15" customHeight="1" x14ac:dyDescent="0.25">
      <c r="A6906" s="2352" t="s">
        <v>14781</v>
      </c>
      <c r="B6906" s="2352" t="s">
        <v>5116</v>
      </c>
      <c r="C6906" s="2352" t="s">
        <v>5116</v>
      </c>
      <c r="D6906" s="2352" t="s">
        <v>5546</v>
      </c>
      <c r="E6906" s="355">
        <v>30</v>
      </c>
      <c r="F6906" s="1662">
        <v>10</v>
      </c>
    </row>
    <row r="6907" spans="1:6" ht="15" customHeight="1" x14ac:dyDescent="0.25">
      <c r="A6907" s="2352" t="s">
        <v>14782</v>
      </c>
      <c r="B6907" s="2352" t="s">
        <v>5116</v>
      </c>
      <c r="C6907" s="2352" t="s">
        <v>5116</v>
      </c>
      <c r="D6907" s="2352" t="s">
        <v>5547</v>
      </c>
      <c r="E6907" s="355">
        <v>63</v>
      </c>
      <c r="F6907" s="1662">
        <v>30</v>
      </c>
    </row>
    <row r="6908" spans="1:6" ht="15" customHeight="1" x14ac:dyDescent="0.25">
      <c r="A6908" s="2352" t="s">
        <v>5548</v>
      </c>
      <c r="B6908" s="2352" t="s">
        <v>5116</v>
      </c>
      <c r="C6908" s="2352" t="s">
        <v>5116</v>
      </c>
      <c r="D6908" s="2352" t="s">
        <v>5549</v>
      </c>
      <c r="E6908" s="355">
        <v>60</v>
      </c>
      <c r="F6908" s="1662">
        <v>30</v>
      </c>
    </row>
    <row r="6909" spans="1:6" ht="15" customHeight="1" x14ac:dyDescent="0.25">
      <c r="A6909" s="2352" t="s">
        <v>14783</v>
      </c>
      <c r="B6909" s="2352" t="s">
        <v>5116</v>
      </c>
      <c r="C6909" s="2352" t="s">
        <v>5116</v>
      </c>
      <c r="D6909" s="2352" t="s">
        <v>5550</v>
      </c>
      <c r="E6909" s="355">
        <v>20</v>
      </c>
      <c r="F6909" s="1662">
        <v>5</v>
      </c>
    </row>
    <row r="6910" spans="1:6" ht="15" customHeight="1" x14ac:dyDescent="0.25">
      <c r="A6910" s="2352" t="s">
        <v>6822</v>
      </c>
      <c r="B6910" s="2352" t="s">
        <v>6823</v>
      </c>
      <c r="C6910" s="2352" t="s">
        <v>6823</v>
      </c>
      <c r="D6910" s="2352" t="s">
        <v>6824</v>
      </c>
      <c r="E6910" s="355">
        <v>100</v>
      </c>
      <c r="F6910" s="1662">
        <v>10</v>
      </c>
    </row>
    <row r="6911" spans="1:6" ht="15" customHeight="1" x14ac:dyDescent="0.25">
      <c r="A6911" s="2352" t="s">
        <v>6822</v>
      </c>
      <c r="B6911" s="2352" t="s">
        <v>6823</v>
      </c>
      <c r="C6911" s="2352" t="s">
        <v>6823</v>
      </c>
      <c r="D6911" s="2352" t="s">
        <v>6825</v>
      </c>
      <c r="E6911" s="355">
        <v>160</v>
      </c>
      <c r="F6911" s="1662">
        <v>50</v>
      </c>
    </row>
    <row r="6912" spans="1:6" ht="15" customHeight="1" x14ac:dyDescent="0.25">
      <c r="A6912" s="2352" t="s">
        <v>6826</v>
      </c>
      <c r="B6912" s="2352" t="s">
        <v>6823</v>
      </c>
      <c r="C6912" s="2352" t="s">
        <v>6823</v>
      </c>
      <c r="D6912" s="2352" t="s">
        <v>6827</v>
      </c>
      <c r="E6912" s="355">
        <v>30</v>
      </c>
      <c r="F6912" s="1662">
        <v>25</v>
      </c>
    </row>
    <row r="6913" spans="1:6" ht="15" customHeight="1" x14ac:dyDescent="0.25">
      <c r="A6913" s="2352" t="s">
        <v>6828</v>
      </c>
      <c r="B6913" s="2352" t="s">
        <v>6823</v>
      </c>
      <c r="C6913" s="2352" t="s">
        <v>6823</v>
      </c>
      <c r="D6913" s="2352" t="s">
        <v>6829</v>
      </c>
      <c r="E6913" s="355">
        <v>30</v>
      </c>
      <c r="F6913" s="1662">
        <v>25</v>
      </c>
    </row>
    <row r="6914" spans="1:6" ht="15" customHeight="1" x14ac:dyDescent="0.25">
      <c r="A6914" s="2352" t="s">
        <v>6830</v>
      </c>
      <c r="B6914" s="2352" t="s">
        <v>6823</v>
      </c>
      <c r="C6914" s="2352" t="s">
        <v>6823</v>
      </c>
      <c r="D6914" s="2352" t="s">
        <v>6831</v>
      </c>
      <c r="E6914" s="355">
        <v>10</v>
      </c>
      <c r="F6914" s="1662">
        <v>3</v>
      </c>
    </row>
    <row r="6915" spans="1:6" ht="15" customHeight="1" x14ac:dyDescent="0.25">
      <c r="A6915" s="2352" t="s">
        <v>6832</v>
      </c>
      <c r="B6915" s="2352" t="s">
        <v>6823</v>
      </c>
      <c r="C6915" s="2352" t="s">
        <v>6823</v>
      </c>
      <c r="D6915" s="2352" t="s">
        <v>6833</v>
      </c>
      <c r="E6915" s="355">
        <v>60</v>
      </c>
      <c r="F6915" s="1662">
        <v>40</v>
      </c>
    </row>
    <row r="6916" spans="1:6" ht="15" customHeight="1" x14ac:dyDescent="0.25">
      <c r="A6916" s="2352" t="s">
        <v>6834</v>
      </c>
      <c r="B6916" s="2352" t="s">
        <v>6823</v>
      </c>
      <c r="C6916" s="2352" t="s">
        <v>6823</v>
      </c>
      <c r="D6916" s="2352" t="s">
        <v>6835</v>
      </c>
      <c r="E6916" s="355">
        <v>100</v>
      </c>
      <c r="F6916" s="1662">
        <v>50</v>
      </c>
    </row>
    <row r="6917" spans="1:6" ht="15" customHeight="1" x14ac:dyDescent="0.25">
      <c r="A6917" s="2352" t="s">
        <v>6836</v>
      </c>
      <c r="B6917" s="2352" t="s">
        <v>6823</v>
      </c>
      <c r="C6917" s="2352" t="s">
        <v>6823</v>
      </c>
      <c r="D6917" s="2352" t="s">
        <v>6837</v>
      </c>
      <c r="E6917" s="355">
        <v>60</v>
      </c>
      <c r="F6917" s="1662">
        <v>15</v>
      </c>
    </row>
    <row r="6918" spans="1:6" ht="15" customHeight="1" x14ac:dyDescent="0.25">
      <c r="A6918" s="2352" t="s">
        <v>6838</v>
      </c>
      <c r="B6918" s="2352" t="s">
        <v>6823</v>
      </c>
      <c r="C6918" s="2352" t="s">
        <v>6823</v>
      </c>
      <c r="D6918" s="2352" t="s">
        <v>6839</v>
      </c>
      <c r="E6918" s="355">
        <v>10</v>
      </c>
      <c r="F6918" s="1662">
        <v>3</v>
      </c>
    </row>
    <row r="6919" spans="1:6" ht="15" customHeight="1" x14ac:dyDescent="0.25">
      <c r="A6919" s="2352" t="s">
        <v>6840</v>
      </c>
      <c r="B6919" s="2352" t="s">
        <v>6823</v>
      </c>
      <c r="C6919" s="2352" t="s">
        <v>6823</v>
      </c>
      <c r="D6919" s="2352" t="s">
        <v>6841</v>
      </c>
      <c r="E6919" s="355">
        <v>30</v>
      </c>
      <c r="F6919" s="1662">
        <v>15</v>
      </c>
    </row>
    <row r="6920" spans="1:6" ht="15" customHeight="1" x14ac:dyDescent="0.25">
      <c r="A6920" s="2352" t="s">
        <v>5981</v>
      </c>
      <c r="B6920" s="2352" t="s">
        <v>6823</v>
      </c>
      <c r="C6920" s="2352" t="s">
        <v>6823</v>
      </c>
      <c r="D6920" s="2352" t="s">
        <v>6842</v>
      </c>
      <c r="E6920" s="355">
        <v>25</v>
      </c>
      <c r="F6920" s="1662">
        <v>15</v>
      </c>
    </row>
    <row r="6921" spans="1:6" ht="15" customHeight="1" x14ac:dyDescent="0.25">
      <c r="A6921" s="2352" t="s">
        <v>6843</v>
      </c>
      <c r="B6921" s="2352" t="s">
        <v>6823</v>
      </c>
      <c r="C6921" s="2352" t="s">
        <v>6823</v>
      </c>
      <c r="D6921" s="2352" t="s">
        <v>6844</v>
      </c>
      <c r="E6921" s="355">
        <v>100</v>
      </c>
      <c r="F6921" s="1662">
        <v>30</v>
      </c>
    </row>
    <row r="6922" spans="1:6" ht="15" customHeight="1" x14ac:dyDescent="0.25">
      <c r="A6922" s="2352" t="s">
        <v>6843</v>
      </c>
      <c r="B6922" s="2352" t="s">
        <v>6823</v>
      </c>
      <c r="C6922" s="2352" t="s">
        <v>6823</v>
      </c>
      <c r="D6922" s="2352" t="s">
        <v>6845</v>
      </c>
      <c r="E6922" s="355">
        <v>250</v>
      </c>
      <c r="F6922" s="1662">
        <v>90</v>
      </c>
    </row>
    <row r="6923" spans="1:6" ht="15" customHeight="1" x14ac:dyDescent="0.25">
      <c r="A6923" s="2352" t="s">
        <v>6846</v>
      </c>
      <c r="B6923" s="2352" t="s">
        <v>6823</v>
      </c>
      <c r="C6923" s="2352" t="s">
        <v>6823</v>
      </c>
      <c r="D6923" s="2352" t="s">
        <v>6847</v>
      </c>
      <c r="E6923" s="355">
        <v>30</v>
      </c>
      <c r="F6923" s="1662">
        <v>20</v>
      </c>
    </row>
    <row r="6924" spans="1:6" ht="15" customHeight="1" x14ac:dyDescent="0.25">
      <c r="A6924" s="2352" t="s">
        <v>6848</v>
      </c>
      <c r="B6924" s="2352" t="s">
        <v>6823</v>
      </c>
      <c r="C6924" s="2352" t="s">
        <v>6823</v>
      </c>
      <c r="D6924" s="2352" t="s">
        <v>6849</v>
      </c>
      <c r="E6924" s="355">
        <v>60</v>
      </c>
      <c r="F6924" s="1662">
        <v>50</v>
      </c>
    </row>
    <row r="6925" spans="1:6" ht="15" customHeight="1" x14ac:dyDescent="0.25">
      <c r="A6925" s="2352" t="s">
        <v>6850</v>
      </c>
      <c r="B6925" s="2352" t="s">
        <v>6823</v>
      </c>
      <c r="C6925" s="2352" t="s">
        <v>6823</v>
      </c>
      <c r="D6925" s="2352" t="s">
        <v>6851</v>
      </c>
      <c r="E6925" s="355">
        <v>30</v>
      </c>
      <c r="F6925" s="1662">
        <v>15</v>
      </c>
    </row>
    <row r="6926" spans="1:6" ht="15" customHeight="1" x14ac:dyDescent="0.25">
      <c r="A6926" s="2352" t="s">
        <v>6852</v>
      </c>
      <c r="B6926" s="2352" t="s">
        <v>6823</v>
      </c>
      <c r="C6926" s="2352" t="s">
        <v>6823</v>
      </c>
      <c r="D6926" s="2352" t="s">
        <v>6853</v>
      </c>
      <c r="E6926" s="355">
        <v>100</v>
      </c>
      <c r="F6926" s="1662">
        <v>30</v>
      </c>
    </row>
    <row r="6927" spans="1:6" ht="15" customHeight="1" x14ac:dyDescent="0.25">
      <c r="A6927" s="2352" t="s">
        <v>6854</v>
      </c>
      <c r="B6927" s="2352" t="s">
        <v>6823</v>
      </c>
      <c r="C6927" s="2352" t="s">
        <v>6823</v>
      </c>
      <c r="D6927" s="2352" t="s">
        <v>6855</v>
      </c>
      <c r="E6927" s="355">
        <v>160</v>
      </c>
      <c r="F6927" s="1662">
        <v>80</v>
      </c>
    </row>
    <row r="6928" spans="1:6" ht="15" customHeight="1" x14ac:dyDescent="0.25">
      <c r="A6928" s="2352" t="s">
        <v>6856</v>
      </c>
      <c r="B6928" s="2352" t="s">
        <v>6823</v>
      </c>
      <c r="C6928" s="2352" t="s">
        <v>6823</v>
      </c>
      <c r="D6928" s="2352" t="s">
        <v>6857</v>
      </c>
      <c r="E6928" s="355">
        <v>160</v>
      </c>
      <c r="F6928" s="1662">
        <v>50</v>
      </c>
    </row>
    <row r="6929" spans="1:6" ht="15" customHeight="1" x14ac:dyDescent="0.25">
      <c r="A6929" s="2352" t="s">
        <v>6858</v>
      </c>
      <c r="B6929" s="2352" t="s">
        <v>6823</v>
      </c>
      <c r="C6929" s="2352" t="s">
        <v>6823</v>
      </c>
      <c r="D6929" s="2352" t="s">
        <v>6859</v>
      </c>
      <c r="E6929" s="355">
        <v>30</v>
      </c>
      <c r="F6929" s="1662">
        <v>15</v>
      </c>
    </row>
    <row r="6930" spans="1:6" ht="15" customHeight="1" x14ac:dyDescent="0.25">
      <c r="A6930" s="2352" t="s">
        <v>6860</v>
      </c>
      <c r="B6930" s="2352" t="s">
        <v>6823</v>
      </c>
      <c r="C6930" s="2352" t="s">
        <v>6823</v>
      </c>
      <c r="D6930" s="2352" t="s">
        <v>6861</v>
      </c>
      <c r="E6930" s="355" t="s">
        <v>4199</v>
      </c>
      <c r="F6930" s="1662">
        <v>400</v>
      </c>
    </row>
    <row r="6931" spans="1:6" ht="15" customHeight="1" x14ac:dyDescent="0.25">
      <c r="A6931" s="2352" t="s">
        <v>6860</v>
      </c>
      <c r="B6931" s="2352" t="s">
        <v>6823</v>
      </c>
      <c r="C6931" s="2352" t="s">
        <v>6823</v>
      </c>
      <c r="D6931" s="2352" t="s">
        <v>6862</v>
      </c>
      <c r="E6931" s="355">
        <v>100</v>
      </c>
      <c r="F6931" s="1662">
        <v>20</v>
      </c>
    </row>
    <row r="6932" spans="1:6" ht="15" customHeight="1" x14ac:dyDescent="0.25">
      <c r="A6932" s="2352" t="s">
        <v>6860</v>
      </c>
      <c r="B6932" s="2352" t="s">
        <v>6823</v>
      </c>
      <c r="C6932" s="2352" t="s">
        <v>6823</v>
      </c>
      <c r="D6932" s="2352" t="s">
        <v>6863</v>
      </c>
      <c r="E6932" s="355">
        <v>160</v>
      </c>
      <c r="F6932" s="1662">
        <v>100</v>
      </c>
    </row>
    <row r="6933" spans="1:6" ht="15" customHeight="1" x14ac:dyDescent="0.25">
      <c r="A6933" s="2352" t="s">
        <v>6860</v>
      </c>
      <c r="B6933" s="2352" t="s">
        <v>6823</v>
      </c>
      <c r="C6933" s="2352" t="s">
        <v>6823</v>
      </c>
      <c r="D6933" s="2352" t="s">
        <v>6864</v>
      </c>
      <c r="E6933" s="355">
        <v>400</v>
      </c>
      <c r="F6933" s="1662">
        <v>200</v>
      </c>
    </row>
    <row r="6934" spans="1:6" ht="15" customHeight="1" x14ac:dyDescent="0.25">
      <c r="A6934" s="2352" t="s">
        <v>6860</v>
      </c>
      <c r="B6934" s="2352" t="s">
        <v>6823</v>
      </c>
      <c r="C6934" s="2352" t="s">
        <v>6823</v>
      </c>
      <c r="D6934" s="2352" t="s">
        <v>6865</v>
      </c>
      <c r="E6934" s="355">
        <v>160</v>
      </c>
      <c r="F6934" s="1662">
        <v>80</v>
      </c>
    </row>
    <row r="6935" spans="1:6" ht="15" customHeight="1" x14ac:dyDescent="0.25">
      <c r="A6935" s="2352" t="s">
        <v>6860</v>
      </c>
      <c r="B6935" s="2352" t="s">
        <v>6823</v>
      </c>
      <c r="C6935" s="2352" t="s">
        <v>6823</v>
      </c>
      <c r="D6935" s="2352" t="s">
        <v>6866</v>
      </c>
      <c r="E6935" s="355">
        <v>250</v>
      </c>
      <c r="F6935" s="1662">
        <v>150</v>
      </c>
    </row>
    <row r="6936" spans="1:6" ht="15" customHeight="1" x14ac:dyDescent="0.25">
      <c r="A6936" s="2352" t="s">
        <v>6867</v>
      </c>
      <c r="B6936" s="2352" t="s">
        <v>6823</v>
      </c>
      <c r="C6936" s="2352" t="s">
        <v>6823</v>
      </c>
      <c r="D6936" s="2352" t="s">
        <v>6868</v>
      </c>
      <c r="E6936" s="355">
        <v>160</v>
      </c>
      <c r="F6936" s="1662">
        <v>80</v>
      </c>
    </row>
    <row r="6937" spans="1:6" ht="15" customHeight="1" x14ac:dyDescent="0.25">
      <c r="A6937" s="2352" t="s">
        <v>6867</v>
      </c>
      <c r="B6937" s="2352" t="s">
        <v>6823</v>
      </c>
      <c r="C6937" s="2352" t="s">
        <v>6823</v>
      </c>
      <c r="D6937" s="2352" t="s">
        <v>6869</v>
      </c>
      <c r="E6937" s="355">
        <v>30</v>
      </c>
      <c r="F6937" s="1662">
        <v>0</v>
      </c>
    </row>
    <row r="6938" spans="1:6" ht="15" customHeight="1" x14ac:dyDescent="0.25">
      <c r="A6938" s="2352" t="s">
        <v>6856</v>
      </c>
      <c r="B6938" s="2352" t="s">
        <v>6823</v>
      </c>
      <c r="C6938" s="2352" t="s">
        <v>6823</v>
      </c>
      <c r="D6938" s="2352" t="s">
        <v>6870</v>
      </c>
      <c r="E6938" s="355">
        <v>100</v>
      </c>
      <c r="F6938" s="1662">
        <v>20</v>
      </c>
    </row>
    <row r="6939" spans="1:6" ht="15" customHeight="1" x14ac:dyDescent="0.25">
      <c r="A6939" s="2352" t="s">
        <v>6871</v>
      </c>
      <c r="B6939" s="2352" t="s">
        <v>6823</v>
      </c>
      <c r="C6939" s="2352" t="s">
        <v>6823</v>
      </c>
      <c r="D6939" s="2352" t="s">
        <v>6872</v>
      </c>
      <c r="E6939" s="355">
        <v>30</v>
      </c>
      <c r="F6939" s="1662">
        <v>15</v>
      </c>
    </row>
    <row r="6940" spans="1:6" ht="15" customHeight="1" x14ac:dyDescent="0.25">
      <c r="A6940" s="2352" t="s">
        <v>16739</v>
      </c>
      <c r="B6940" s="2352" t="s">
        <v>6823</v>
      </c>
      <c r="C6940" s="2352" t="s">
        <v>6823</v>
      </c>
      <c r="D6940" s="2352" t="s">
        <v>6873</v>
      </c>
      <c r="E6940" s="355">
        <v>60</v>
      </c>
      <c r="F6940" s="1662">
        <v>10</v>
      </c>
    </row>
    <row r="6941" spans="1:6" ht="15" customHeight="1" x14ac:dyDescent="0.25">
      <c r="A6941" s="2352" t="s">
        <v>6874</v>
      </c>
      <c r="B6941" s="2352" t="s">
        <v>6823</v>
      </c>
      <c r="C6941" s="2352" t="s">
        <v>6823</v>
      </c>
      <c r="D6941" s="2352" t="s">
        <v>6875</v>
      </c>
      <c r="E6941" s="355">
        <v>30</v>
      </c>
      <c r="F6941" s="1662">
        <v>10</v>
      </c>
    </row>
    <row r="6942" spans="1:6" ht="15" customHeight="1" x14ac:dyDescent="0.25">
      <c r="A6942" s="2352" t="s">
        <v>6876</v>
      </c>
      <c r="B6942" s="2352" t="s">
        <v>6823</v>
      </c>
      <c r="C6942" s="2352" t="s">
        <v>6823</v>
      </c>
      <c r="D6942" s="2352" t="s">
        <v>6877</v>
      </c>
      <c r="E6942" s="355">
        <v>60</v>
      </c>
      <c r="F6942" s="1662">
        <v>10</v>
      </c>
    </row>
    <row r="6943" spans="1:6" ht="15" customHeight="1" x14ac:dyDescent="0.25">
      <c r="A6943" s="2352" t="s">
        <v>6878</v>
      </c>
      <c r="B6943" s="2352" t="s">
        <v>6823</v>
      </c>
      <c r="C6943" s="2352" t="s">
        <v>6823</v>
      </c>
      <c r="D6943" s="2352" t="s">
        <v>6879</v>
      </c>
      <c r="E6943" s="355">
        <v>250</v>
      </c>
      <c r="F6943" s="1662">
        <v>150</v>
      </c>
    </row>
    <row r="6944" spans="1:6" ht="15" customHeight="1" x14ac:dyDescent="0.25">
      <c r="A6944" s="2352" t="s">
        <v>6878</v>
      </c>
      <c r="B6944" s="2352" t="s">
        <v>6823</v>
      </c>
      <c r="C6944" s="2352" t="s">
        <v>6823</v>
      </c>
      <c r="D6944" s="2352" t="s">
        <v>6880</v>
      </c>
      <c r="E6944" s="355">
        <v>100</v>
      </c>
      <c r="F6944" s="1662">
        <v>20</v>
      </c>
    </row>
    <row r="6945" spans="1:6" ht="15" customHeight="1" x14ac:dyDescent="0.25">
      <c r="A6945" s="2352" t="s">
        <v>6878</v>
      </c>
      <c r="B6945" s="2352" t="s">
        <v>6823</v>
      </c>
      <c r="C6945" s="2352" t="s">
        <v>6823</v>
      </c>
      <c r="D6945" s="2352" t="s">
        <v>6881</v>
      </c>
      <c r="E6945" s="355">
        <v>250</v>
      </c>
      <c r="F6945" s="1662">
        <v>90</v>
      </c>
    </row>
    <row r="6946" spans="1:6" ht="15" customHeight="1" x14ac:dyDescent="0.25">
      <c r="A6946" s="2352" t="s">
        <v>6882</v>
      </c>
      <c r="B6946" s="2352" t="s">
        <v>6823</v>
      </c>
      <c r="C6946" s="2352" t="s">
        <v>6823</v>
      </c>
      <c r="D6946" s="2352" t="s">
        <v>6883</v>
      </c>
      <c r="E6946" s="355">
        <v>30</v>
      </c>
      <c r="F6946" s="1662">
        <v>15</v>
      </c>
    </row>
    <row r="6947" spans="1:6" ht="15" customHeight="1" x14ac:dyDescent="0.25">
      <c r="A6947" s="2352" t="s">
        <v>6884</v>
      </c>
      <c r="B6947" s="2352" t="s">
        <v>6823</v>
      </c>
      <c r="C6947" s="2352" t="s">
        <v>6823</v>
      </c>
      <c r="D6947" s="2352" t="s">
        <v>6885</v>
      </c>
      <c r="E6947" s="355">
        <v>40</v>
      </c>
      <c r="F6947" s="1662">
        <v>15</v>
      </c>
    </row>
    <row r="6948" spans="1:6" ht="15" customHeight="1" x14ac:dyDescent="0.25">
      <c r="A6948" s="2352" t="s">
        <v>6886</v>
      </c>
      <c r="B6948" s="2352" t="s">
        <v>6823</v>
      </c>
      <c r="C6948" s="2352" t="s">
        <v>6823</v>
      </c>
      <c r="D6948" s="2352" t="s">
        <v>6887</v>
      </c>
      <c r="E6948" s="355">
        <v>100</v>
      </c>
      <c r="F6948" s="1662">
        <v>20</v>
      </c>
    </row>
    <row r="6949" spans="1:6" ht="15" customHeight="1" x14ac:dyDescent="0.25">
      <c r="A6949" s="2352" t="s">
        <v>6888</v>
      </c>
      <c r="B6949" s="2352" t="s">
        <v>6823</v>
      </c>
      <c r="C6949" s="2352" t="s">
        <v>6823</v>
      </c>
      <c r="D6949" s="2352" t="s">
        <v>6889</v>
      </c>
      <c r="E6949" s="355">
        <v>30</v>
      </c>
      <c r="F6949" s="1662">
        <v>10</v>
      </c>
    </row>
    <row r="6950" spans="1:6" ht="15" customHeight="1" x14ac:dyDescent="0.25">
      <c r="A6950" s="2352" t="s">
        <v>6890</v>
      </c>
      <c r="B6950" s="2352" t="s">
        <v>6823</v>
      </c>
      <c r="C6950" s="2352" t="s">
        <v>6823</v>
      </c>
      <c r="D6950" s="2352" t="s">
        <v>6891</v>
      </c>
      <c r="E6950" s="355">
        <v>60</v>
      </c>
      <c r="F6950" s="1662">
        <v>10</v>
      </c>
    </row>
    <row r="6951" spans="1:6" ht="15" customHeight="1" x14ac:dyDescent="0.25">
      <c r="A6951" s="2352" t="s">
        <v>6892</v>
      </c>
      <c r="B6951" s="2352" t="s">
        <v>6823</v>
      </c>
      <c r="C6951" s="2352" t="s">
        <v>6823</v>
      </c>
      <c r="D6951" s="2352" t="s">
        <v>6893</v>
      </c>
      <c r="E6951" s="355">
        <v>60</v>
      </c>
      <c r="F6951" s="1662">
        <v>20</v>
      </c>
    </row>
    <row r="6952" spans="1:6" ht="15" customHeight="1" x14ac:dyDescent="0.25">
      <c r="A6952" s="2352" t="s">
        <v>6894</v>
      </c>
      <c r="B6952" s="2352" t="s">
        <v>6823</v>
      </c>
      <c r="C6952" s="2352" t="s">
        <v>6823</v>
      </c>
      <c r="D6952" s="2352" t="s">
        <v>6895</v>
      </c>
      <c r="E6952" s="355">
        <v>60</v>
      </c>
      <c r="F6952" s="1662">
        <v>10</v>
      </c>
    </row>
    <row r="6953" spans="1:6" ht="15" customHeight="1" x14ac:dyDescent="0.25">
      <c r="A6953" s="2352" t="s">
        <v>6896</v>
      </c>
      <c r="B6953" s="2352" t="s">
        <v>6823</v>
      </c>
      <c r="C6953" s="2352" t="s">
        <v>6823</v>
      </c>
      <c r="D6953" s="2352" t="s">
        <v>6897</v>
      </c>
      <c r="E6953" s="355">
        <v>100</v>
      </c>
      <c r="F6953" s="1662">
        <v>10</v>
      </c>
    </row>
    <row r="6954" spans="1:6" ht="15" customHeight="1" x14ac:dyDescent="0.25">
      <c r="A6954" s="2352" t="s">
        <v>6850</v>
      </c>
      <c r="B6954" s="2352" t="s">
        <v>6823</v>
      </c>
      <c r="C6954" s="2352" t="s">
        <v>6823</v>
      </c>
      <c r="D6954" s="2352" t="s">
        <v>6898</v>
      </c>
      <c r="E6954" s="355">
        <v>100</v>
      </c>
      <c r="F6954" s="1662">
        <v>15</v>
      </c>
    </row>
    <row r="6955" spans="1:6" ht="15" customHeight="1" x14ac:dyDescent="0.25">
      <c r="A6955" s="2352" t="s">
        <v>6850</v>
      </c>
      <c r="B6955" s="2352" t="s">
        <v>6823</v>
      </c>
      <c r="C6955" s="2352" t="s">
        <v>6823</v>
      </c>
      <c r="D6955" s="2352" t="s">
        <v>6899</v>
      </c>
      <c r="E6955" s="355" t="s">
        <v>4202</v>
      </c>
      <c r="F6955" s="1662">
        <v>400</v>
      </c>
    </row>
    <row r="6956" spans="1:6" ht="15" customHeight="1" x14ac:dyDescent="0.25">
      <c r="A6956" s="2352" t="s">
        <v>6439</v>
      </c>
      <c r="B6956" s="2352" t="s">
        <v>6823</v>
      </c>
      <c r="C6956" s="2352" t="s">
        <v>6823</v>
      </c>
      <c r="D6956" s="2352" t="s">
        <v>6900</v>
      </c>
      <c r="E6956" s="355">
        <v>30</v>
      </c>
      <c r="F6956" s="1662">
        <v>10</v>
      </c>
    </row>
    <row r="6957" spans="1:6" ht="15" customHeight="1" x14ac:dyDescent="0.25">
      <c r="A6957" s="2352" t="s">
        <v>6901</v>
      </c>
      <c r="B6957" s="2352" t="s">
        <v>6823</v>
      </c>
      <c r="C6957" s="2352" t="s">
        <v>6823</v>
      </c>
      <c r="D6957" s="2352" t="s">
        <v>6902</v>
      </c>
      <c r="E6957" s="355">
        <v>30</v>
      </c>
      <c r="F6957" s="1662">
        <v>10</v>
      </c>
    </row>
    <row r="6958" spans="1:6" ht="15" customHeight="1" x14ac:dyDescent="0.25">
      <c r="A6958" s="2352" t="s">
        <v>6903</v>
      </c>
      <c r="B6958" s="2352" t="s">
        <v>6823</v>
      </c>
      <c r="C6958" s="2352" t="s">
        <v>6823</v>
      </c>
      <c r="D6958" s="2352" t="s">
        <v>6904</v>
      </c>
      <c r="E6958" s="355">
        <v>10</v>
      </c>
      <c r="F6958" s="1662">
        <v>2</v>
      </c>
    </row>
    <row r="6959" spans="1:6" ht="15" customHeight="1" x14ac:dyDescent="0.25">
      <c r="A6959" s="2352" t="s">
        <v>6905</v>
      </c>
      <c r="B6959" s="2352" t="s">
        <v>6823</v>
      </c>
      <c r="C6959" s="2352" t="s">
        <v>6823</v>
      </c>
      <c r="D6959" s="2352" t="s">
        <v>6906</v>
      </c>
      <c r="E6959" s="355">
        <v>400</v>
      </c>
      <c r="F6959" s="1662">
        <v>300</v>
      </c>
    </row>
    <row r="6960" spans="1:6" ht="15" customHeight="1" x14ac:dyDescent="0.25">
      <c r="A6960" s="2352" t="s">
        <v>6905</v>
      </c>
      <c r="B6960" s="2352" t="s">
        <v>6823</v>
      </c>
      <c r="C6960" s="2352" t="s">
        <v>6823</v>
      </c>
      <c r="D6960" s="2352" t="s">
        <v>6907</v>
      </c>
      <c r="E6960" s="355">
        <v>160</v>
      </c>
      <c r="F6960" s="1662">
        <v>70</v>
      </c>
    </row>
    <row r="6961" spans="1:6" ht="15" customHeight="1" x14ac:dyDescent="0.25">
      <c r="A6961" s="2352" t="s">
        <v>6908</v>
      </c>
      <c r="B6961" s="2352" t="s">
        <v>6823</v>
      </c>
      <c r="C6961" s="2352" t="s">
        <v>6823</v>
      </c>
      <c r="D6961" s="2352" t="s">
        <v>6909</v>
      </c>
      <c r="E6961" s="355">
        <v>100</v>
      </c>
      <c r="F6961" s="1662">
        <v>50</v>
      </c>
    </row>
    <row r="6962" spans="1:6" ht="15" customHeight="1" x14ac:dyDescent="0.25">
      <c r="A6962" s="2352" t="s">
        <v>6910</v>
      </c>
      <c r="B6962" s="2352" t="s">
        <v>6823</v>
      </c>
      <c r="C6962" s="2352" t="s">
        <v>6823</v>
      </c>
      <c r="D6962" s="2352" t="s">
        <v>6911</v>
      </c>
      <c r="E6962" s="355">
        <v>60</v>
      </c>
      <c r="F6962" s="1662">
        <v>15</v>
      </c>
    </row>
    <row r="6963" spans="1:6" ht="15" customHeight="1" x14ac:dyDescent="0.25">
      <c r="A6963" s="2352" t="s">
        <v>6912</v>
      </c>
      <c r="B6963" s="2352" t="s">
        <v>6823</v>
      </c>
      <c r="C6963" s="2352" t="s">
        <v>6823</v>
      </c>
      <c r="D6963" s="2352" t="s">
        <v>6913</v>
      </c>
      <c r="E6963" s="355">
        <v>10</v>
      </c>
      <c r="F6963" s="1662">
        <v>2</v>
      </c>
    </row>
    <row r="6964" spans="1:6" ht="15" customHeight="1" x14ac:dyDescent="0.25">
      <c r="A6964" s="2352" t="s">
        <v>6914</v>
      </c>
      <c r="B6964" s="2352" t="s">
        <v>6823</v>
      </c>
      <c r="C6964" s="2352" t="s">
        <v>6823</v>
      </c>
      <c r="D6964" s="2352" t="s">
        <v>6915</v>
      </c>
      <c r="E6964" s="355" t="s">
        <v>4199</v>
      </c>
      <c r="F6964" s="1662">
        <v>700</v>
      </c>
    </row>
    <row r="6965" spans="1:6" ht="15" customHeight="1" x14ac:dyDescent="0.25">
      <c r="A6965" s="2352" t="s">
        <v>6916</v>
      </c>
      <c r="B6965" s="2352" t="s">
        <v>6823</v>
      </c>
      <c r="C6965" s="2352" t="s">
        <v>6823</v>
      </c>
      <c r="D6965" s="2352" t="s">
        <v>6917</v>
      </c>
      <c r="E6965" s="355">
        <v>60</v>
      </c>
      <c r="F6965" s="1662">
        <v>20</v>
      </c>
    </row>
    <row r="6966" spans="1:6" ht="15" customHeight="1" x14ac:dyDescent="0.25">
      <c r="A6966" s="2352" t="s">
        <v>6918</v>
      </c>
      <c r="B6966" s="2352" t="s">
        <v>6823</v>
      </c>
      <c r="C6966" s="2352" t="s">
        <v>6823</v>
      </c>
      <c r="D6966" s="2352" t="s">
        <v>6919</v>
      </c>
      <c r="E6966" s="355">
        <v>60</v>
      </c>
      <c r="F6966" s="1662">
        <v>20</v>
      </c>
    </row>
    <row r="6967" spans="1:6" ht="15" customHeight="1" x14ac:dyDescent="0.25">
      <c r="A6967" s="2352" t="s">
        <v>6920</v>
      </c>
      <c r="B6967" s="2352" t="s">
        <v>6823</v>
      </c>
      <c r="C6967" s="2352" t="s">
        <v>6823</v>
      </c>
      <c r="D6967" s="2352" t="s">
        <v>6921</v>
      </c>
      <c r="E6967" s="355">
        <v>30</v>
      </c>
      <c r="F6967" s="1662">
        <v>15</v>
      </c>
    </row>
    <row r="6968" spans="1:6" ht="15" customHeight="1" x14ac:dyDescent="0.25">
      <c r="A6968" s="2352" t="s">
        <v>6914</v>
      </c>
      <c r="B6968" s="2352" t="s">
        <v>6823</v>
      </c>
      <c r="C6968" s="2352" t="s">
        <v>6823</v>
      </c>
      <c r="D6968" s="2352" t="s">
        <v>6922</v>
      </c>
      <c r="E6968" s="355">
        <v>100</v>
      </c>
      <c r="F6968" s="1662">
        <v>10</v>
      </c>
    </row>
    <row r="6969" spans="1:6" ht="15" customHeight="1" x14ac:dyDescent="0.25">
      <c r="A6969" s="2352" t="s">
        <v>6914</v>
      </c>
      <c r="B6969" s="2352" t="s">
        <v>6823</v>
      </c>
      <c r="C6969" s="2352" t="s">
        <v>6823</v>
      </c>
      <c r="D6969" s="2352" t="s">
        <v>6923</v>
      </c>
      <c r="E6969" s="355">
        <v>160</v>
      </c>
      <c r="F6969" s="1662">
        <v>60</v>
      </c>
    </row>
    <row r="6970" spans="1:6" ht="15" customHeight="1" x14ac:dyDescent="0.25">
      <c r="A6970" s="2352" t="s">
        <v>6924</v>
      </c>
      <c r="B6970" s="2352" t="s">
        <v>6823</v>
      </c>
      <c r="C6970" s="2352" t="s">
        <v>6823</v>
      </c>
      <c r="D6970" s="2352" t="s">
        <v>6925</v>
      </c>
      <c r="E6970" s="355">
        <v>60</v>
      </c>
      <c r="F6970" s="1662">
        <v>10</v>
      </c>
    </row>
    <row r="6971" spans="1:6" ht="15" customHeight="1" x14ac:dyDescent="0.25">
      <c r="A6971" s="2352" t="s">
        <v>6926</v>
      </c>
      <c r="B6971" s="2352" t="s">
        <v>6823</v>
      </c>
      <c r="C6971" s="2352" t="s">
        <v>6823</v>
      </c>
      <c r="D6971" s="2352" t="s">
        <v>6927</v>
      </c>
      <c r="E6971" s="355">
        <v>30</v>
      </c>
      <c r="F6971" s="1662">
        <v>10</v>
      </c>
    </row>
    <row r="6972" spans="1:6" ht="15" customHeight="1" x14ac:dyDescent="0.25">
      <c r="A6972" s="2352" t="s">
        <v>6928</v>
      </c>
      <c r="B6972" s="2352" t="s">
        <v>6823</v>
      </c>
      <c r="C6972" s="2352" t="s">
        <v>6823</v>
      </c>
      <c r="D6972" s="2352" t="s">
        <v>6929</v>
      </c>
      <c r="E6972" s="355">
        <v>250</v>
      </c>
      <c r="F6972" s="1662">
        <v>100</v>
      </c>
    </row>
    <row r="6973" spans="1:6" ht="15" customHeight="1" x14ac:dyDescent="0.25">
      <c r="A6973" s="2352" t="s">
        <v>6928</v>
      </c>
      <c r="B6973" s="2352" t="s">
        <v>6823</v>
      </c>
      <c r="C6973" s="2352" t="s">
        <v>6823</v>
      </c>
      <c r="D6973" s="2352" t="s">
        <v>6930</v>
      </c>
      <c r="E6973" s="355" t="s">
        <v>4202</v>
      </c>
      <c r="F6973" s="1662">
        <v>250</v>
      </c>
    </row>
    <row r="6974" spans="1:6" ht="15" customHeight="1" x14ac:dyDescent="0.25">
      <c r="A6974" s="2352" t="s">
        <v>6928</v>
      </c>
      <c r="B6974" s="2352" t="s">
        <v>6823</v>
      </c>
      <c r="C6974" s="2352" t="s">
        <v>6823</v>
      </c>
      <c r="D6974" s="2352" t="s">
        <v>6931</v>
      </c>
      <c r="E6974" s="355">
        <v>250</v>
      </c>
      <c r="F6974" s="1662">
        <v>100</v>
      </c>
    </row>
    <row r="6975" spans="1:6" ht="15" customHeight="1" x14ac:dyDescent="0.25">
      <c r="A6975" s="2352" t="s">
        <v>6928</v>
      </c>
      <c r="B6975" s="2352" t="s">
        <v>6823</v>
      </c>
      <c r="C6975" s="2352" t="s">
        <v>6823</v>
      </c>
      <c r="D6975" s="2352" t="s">
        <v>6932</v>
      </c>
      <c r="E6975" s="355">
        <v>160</v>
      </c>
      <c r="F6975" s="1662">
        <v>60</v>
      </c>
    </row>
    <row r="6976" spans="1:6" ht="15" customHeight="1" x14ac:dyDescent="0.25">
      <c r="A6976" s="2352" t="s">
        <v>6933</v>
      </c>
      <c r="B6976" s="2352" t="s">
        <v>6823</v>
      </c>
      <c r="C6976" s="2352" t="s">
        <v>6823</v>
      </c>
      <c r="D6976" s="2352" t="s">
        <v>6934</v>
      </c>
      <c r="E6976" s="355">
        <v>60</v>
      </c>
      <c r="F6976" s="1662">
        <v>15</v>
      </c>
    </row>
    <row r="6977" spans="1:6" ht="15" customHeight="1" x14ac:dyDescent="0.25">
      <c r="A6977" s="2352" t="s">
        <v>6935</v>
      </c>
      <c r="B6977" s="2352" t="s">
        <v>6823</v>
      </c>
      <c r="C6977" s="2352" t="s">
        <v>6823</v>
      </c>
      <c r="D6977" s="2352" t="s">
        <v>6936</v>
      </c>
      <c r="E6977" s="355">
        <v>30</v>
      </c>
      <c r="F6977" s="1662">
        <v>5</v>
      </c>
    </row>
    <row r="6978" spans="1:6" ht="15" customHeight="1" x14ac:dyDescent="0.25">
      <c r="A6978" s="2352" t="s">
        <v>6937</v>
      </c>
      <c r="B6978" s="2352" t="s">
        <v>6823</v>
      </c>
      <c r="C6978" s="2352" t="s">
        <v>6823</v>
      </c>
      <c r="D6978" s="2352" t="s">
        <v>6938</v>
      </c>
      <c r="E6978" s="355">
        <v>100</v>
      </c>
      <c r="F6978" s="1662">
        <v>40</v>
      </c>
    </row>
    <row r="6979" spans="1:6" ht="15" customHeight="1" x14ac:dyDescent="0.25">
      <c r="A6979" s="2352" t="s">
        <v>6939</v>
      </c>
      <c r="B6979" s="2352" t="s">
        <v>6823</v>
      </c>
      <c r="C6979" s="2352" t="s">
        <v>6823</v>
      </c>
      <c r="D6979" s="2352" t="s">
        <v>6940</v>
      </c>
      <c r="E6979" s="355">
        <v>100</v>
      </c>
      <c r="F6979" s="1662">
        <v>40</v>
      </c>
    </row>
    <row r="6980" spans="1:6" ht="15" customHeight="1" x14ac:dyDescent="0.25">
      <c r="A6980" s="2352" t="s">
        <v>6941</v>
      </c>
      <c r="B6980" s="2352" t="s">
        <v>6823</v>
      </c>
      <c r="C6980" s="2352" t="s">
        <v>6823</v>
      </c>
      <c r="D6980" s="2352" t="s">
        <v>6942</v>
      </c>
      <c r="E6980" s="355">
        <v>160</v>
      </c>
      <c r="F6980" s="1662">
        <v>60</v>
      </c>
    </row>
    <row r="6981" spans="1:6" ht="15" customHeight="1" x14ac:dyDescent="0.25">
      <c r="A6981" s="2352" t="s">
        <v>6943</v>
      </c>
      <c r="B6981" s="2352" t="s">
        <v>6823</v>
      </c>
      <c r="C6981" s="2352" t="s">
        <v>6823</v>
      </c>
      <c r="D6981" s="2352" t="s">
        <v>6944</v>
      </c>
      <c r="E6981" s="355">
        <v>40</v>
      </c>
      <c r="F6981" s="1662">
        <v>20</v>
      </c>
    </row>
    <row r="6982" spans="1:6" ht="15" customHeight="1" x14ac:dyDescent="0.25">
      <c r="A6982" s="2352" t="s">
        <v>6945</v>
      </c>
      <c r="B6982" s="2352" t="s">
        <v>6823</v>
      </c>
      <c r="C6982" s="2352" t="s">
        <v>6823</v>
      </c>
      <c r="D6982" s="2352" t="s">
        <v>6946</v>
      </c>
      <c r="E6982" s="355">
        <v>30</v>
      </c>
      <c r="F6982" s="1662">
        <v>5</v>
      </c>
    </row>
    <row r="6983" spans="1:6" ht="15" customHeight="1" x14ac:dyDescent="0.25">
      <c r="A6983" s="2352" t="s">
        <v>6055</v>
      </c>
      <c r="B6983" s="2352" t="s">
        <v>6823</v>
      </c>
      <c r="C6983" s="2352" t="s">
        <v>6823</v>
      </c>
      <c r="D6983" s="2352" t="s">
        <v>6947</v>
      </c>
      <c r="E6983" s="355">
        <v>10</v>
      </c>
      <c r="F6983" s="1662">
        <v>0</v>
      </c>
    </row>
    <row r="6984" spans="1:6" ht="15" customHeight="1" x14ac:dyDescent="0.25">
      <c r="A6984" s="2352" t="s">
        <v>6948</v>
      </c>
      <c r="B6984" s="2352" t="s">
        <v>6823</v>
      </c>
      <c r="C6984" s="2352" t="s">
        <v>6823</v>
      </c>
      <c r="D6984" s="2352" t="s">
        <v>6949</v>
      </c>
      <c r="E6984" s="355">
        <v>30</v>
      </c>
      <c r="F6984" s="1662">
        <v>15</v>
      </c>
    </row>
    <row r="6985" spans="1:6" ht="15" customHeight="1" x14ac:dyDescent="0.25">
      <c r="A6985" s="2352" t="s">
        <v>6950</v>
      </c>
      <c r="B6985" s="2352" t="s">
        <v>6823</v>
      </c>
      <c r="C6985" s="2352" t="s">
        <v>6823</v>
      </c>
      <c r="D6985" s="2352" t="s">
        <v>6951</v>
      </c>
      <c r="E6985" s="355">
        <v>30</v>
      </c>
      <c r="F6985" s="1662">
        <v>15</v>
      </c>
    </row>
    <row r="6986" spans="1:6" ht="15" customHeight="1" x14ac:dyDescent="0.25">
      <c r="A6986" s="2352" t="s">
        <v>6952</v>
      </c>
      <c r="B6986" s="2352" t="s">
        <v>6823</v>
      </c>
      <c r="C6986" s="2352" t="s">
        <v>6823</v>
      </c>
      <c r="D6986" s="2352" t="s">
        <v>6953</v>
      </c>
      <c r="E6986" s="355">
        <v>60</v>
      </c>
      <c r="F6986" s="1662">
        <v>5</v>
      </c>
    </row>
    <row r="6987" spans="1:6" ht="15" customHeight="1" x14ac:dyDescent="0.25">
      <c r="A6987" s="2352" t="s">
        <v>6954</v>
      </c>
      <c r="B6987" s="2352" t="s">
        <v>6823</v>
      </c>
      <c r="C6987" s="2352" t="s">
        <v>6823</v>
      </c>
      <c r="D6987" s="2352" t="s">
        <v>6955</v>
      </c>
      <c r="E6987" s="355">
        <v>30</v>
      </c>
      <c r="F6987" s="1662">
        <v>15</v>
      </c>
    </row>
    <row r="6988" spans="1:6" ht="15" customHeight="1" x14ac:dyDescent="0.25">
      <c r="A6988" s="2352" t="s">
        <v>6956</v>
      </c>
      <c r="B6988" s="2352" t="s">
        <v>6823</v>
      </c>
      <c r="C6988" s="2352" t="s">
        <v>6823</v>
      </c>
      <c r="D6988" s="2352" t="s">
        <v>6957</v>
      </c>
      <c r="E6988" s="355">
        <v>160</v>
      </c>
      <c r="F6988" s="1662">
        <v>100</v>
      </c>
    </row>
    <row r="6989" spans="1:6" ht="15" customHeight="1" x14ac:dyDescent="0.25">
      <c r="A6989" s="2352" t="s">
        <v>16740</v>
      </c>
      <c r="B6989" s="2352" t="s">
        <v>6823</v>
      </c>
      <c r="C6989" s="2352" t="s">
        <v>6823</v>
      </c>
      <c r="D6989" s="2352" t="s">
        <v>6958</v>
      </c>
      <c r="E6989" s="355" t="s">
        <v>4199</v>
      </c>
      <c r="F6989" s="1662">
        <v>400</v>
      </c>
    </row>
    <row r="6990" spans="1:6" ht="15" customHeight="1" x14ac:dyDescent="0.25">
      <c r="A6990" s="2352" t="s">
        <v>16740</v>
      </c>
      <c r="B6990" s="2352" t="s">
        <v>6823</v>
      </c>
      <c r="C6990" s="2352" t="s">
        <v>6823</v>
      </c>
      <c r="D6990" s="2352" t="s">
        <v>6959</v>
      </c>
      <c r="E6990" s="355">
        <v>250</v>
      </c>
      <c r="F6990" s="1662">
        <v>90</v>
      </c>
    </row>
    <row r="6991" spans="1:6" ht="15" customHeight="1" x14ac:dyDescent="0.25">
      <c r="A6991" s="2352" t="s">
        <v>16740</v>
      </c>
      <c r="B6991" s="2352" t="s">
        <v>6823</v>
      </c>
      <c r="C6991" s="2352" t="s">
        <v>6823</v>
      </c>
      <c r="D6991" s="2352" t="s">
        <v>6960</v>
      </c>
      <c r="E6991" s="355">
        <v>100</v>
      </c>
      <c r="F6991" s="1662">
        <v>10</v>
      </c>
    </row>
    <row r="6992" spans="1:6" ht="15" customHeight="1" x14ac:dyDescent="0.25">
      <c r="A6992" s="2352" t="s">
        <v>6961</v>
      </c>
      <c r="B6992" s="2352" t="s">
        <v>6823</v>
      </c>
      <c r="C6992" s="2352" t="s">
        <v>6823</v>
      </c>
      <c r="D6992" s="2352" t="s">
        <v>6962</v>
      </c>
      <c r="E6992" s="355">
        <v>60</v>
      </c>
      <c r="F6992" s="1662">
        <v>10</v>
      </c>
    </row>
    <row r="6993" spans="1:6" ht="15" customHeight="1" x14ac:dyDescent="0.25">
      <c r="A6993" s="2352" t="s">
        <v>16740</v>
      </c>
      <c r="B6993" s="2352" t="s">
        <v>6823</v>
      </c>
      <c r="C6993" s="2352" t="s">
        <v>6823</v>
      </c>
      <c r="D6993" s="2352" t="s">
        <v>6963</v>
      </c>
      <c r="E6993" s="355">
        <v>60</v>
      </c>
      <c r="F6993" s="1662">
        <v>10</v>
      </c>
    </row>
    <row r="6994" spans="1:6" ht="15" customHeight="1" x14ac:dyDescent="0.25">
      <c r="A6994" s="2352" t="s">
        <v>6964</v>
      </c>
      <c r="B6994" s="2352" t="s">
        <v>6823</v>
      </c>
      <c r="C6994" s="2352" t="s">
        <v>6823</v>
      </c>
      <c r="D6994" s="2352" t="s">
        <v>6965</v>
      </c>
      <c r="E6994" s="355">
        <v>30</v>
      </c>
      <c r="F6994" s="1662">
        <v>15</v>
      </c>
    </row>
    <row r="6995" spans="1:6" ht="15" customHeight="1" x14ac:dyDescent="0.25">
      <c r="A6995" s="2352" t="s">
        <v>6966</v>
      </c>
      <c r="B6995" s="2352" t="s">
        <v>6823</v>
      </c>
      <c r="C6995" s="2352" t="s">
        <v>6823</v>
      </c>
      <c r="D6995" s="2352" t="s">
        <v>6967</v>
      </c>
      <c r="E6995" s="355">
        <v>30</v>
      </c>
      <c r="F6995" s="1662">
        <v>10</v>
      </c>
    </row>
    <row r="6996" spans="1:6" ht="15" customHeight="1" x14ac:dyDescent="0.25">
      <c r="A6996" s="2352" t="s">
        <v>6968</v>
      </c>
      <c r="B6996" s="2352" t="s">
        <v>6823</v>
      </c>
      <c r="C6996" s="2352" t="s">
        <v>6823</v>
      </c>
      <c r="D6996" s="2352" t="s">
        <v>6969</v>
      </c>
      <c r="E6996" s="355">
        <v>60</v>
      </c>
      <c r="F6996" s="1662">
        <v>30</v>
      </c>
    </row>
    <row r="6997" spans="1:6" ht="15" customHeight="1" x14ac:dyDescent="0.25">
      <c r="A6997" s="2352" t="s">
        <v>6970</v>
      </c>
      <c r="B6997" s="2352" t="s">
        <v>6823</v>
      </c>
      <c r="C6997" s="2352" t="s">
        <v>6823</v>
      </c>
      <c r="D6997" s="2352" t="s">
        <v>6971</v>
      </c>
      <c r="E6997" s="355">
        <v>40</v>
      </c>
      <c r="F6997" s="1662">
        <v>15</v>
      </c>
    </row>
    <row r="6998" spans="1:6" ht="15" customHeight="1" x14ac:dyDescent="0.25">
      <c r="A6998" s="2352" t="s">
        <v>6972</v>
      </c>
      <c r="B6998" s="2352" t="s">
        <v>6823</v>
      </c>
      <c r="C6998" s="2352" t="s">
        <v>6823</v>
      </c>
      <c r="D6998" s="2352" t="s">
        <v>6973</v>
      </c>
      <c r="E6998" s="355">
        <v>160</v>
      </c>
      <c r="F6998" s="1662">
        <v>60</v>
      </c>
    </row>
    <row r="6999" spans="1:6" ht="15" customHeight="1" x14ac:dyDescent="0.25">
      <c r="A6999" s="2352" t="s">
        <v>6974</v>
      </c>
      <c r="B6999" s="2352" t="s">
        <v>6823</v>
      </c>
      <c r="C6999" s="2352" t="s">
        <v>6823</v>
      </c>
      <c r="D6999" s="2352" t="s">
        <v>6975</v>
      </c>
      <c r="E6999" s="355">
        <v>30</v>
      </c>
      <c r="F6999" s="1662">
        <v>10</v>
      </c>
    </row>
    <row r="7000" spans="1:6" ht="15" customHeight="1" x14ac:dyDescent="0.25">
      <c r="A7000" s="2352" t="s">
        <v>6976</v>
      </c>
      <c r="B7000" s="2352" t="s">
        <v>6823</v>
      </c>
      <c r="C7000" s="2352" t="s">
        <v>6823</v>
      </c>
      <c r="D7000" s="2352" t="s">
        <v>6977</v>
      </c>
      <c r="E7000" s="355">
        <v>30</v>
      </c>
      <c r="F7000" s="1662">
        <v>5</v>
      </c>
    </row>
    <row r="7001" spans="1:6" ht="15" customHeight="1" x14ac:dyDescent="0.25">
      <c r="A7001" s="2352" t="s">
        <v>6978</v>
      </c>
      <c r="B7001" s="2352" t="s">
        <v>6823</v>
      </c>
      <c r="C7001" s="2352" t="s">
        <v>6823</v>
      </c>
      <c r="D7001" s="2352" t="s">
        <v>6979</v>
      </c>
      <c r="E7001" s="355">
        <v>100</v>
      </c>
      <c r="F7001" s="1662">
        <v>10</v>
      </c>
    </row>
    <row r="7002" spans="1:6" ht="15" customHeight="1" x14ac:dyDescent="0.25">
      <c r="A7002" s="2352" t="s">
        <v>6980</v>
      </c>
      <c r="B7002" s="2352" t="s">
        <v>6823</v>
      </c>
      <c r="C7002" s="2352" t="s">
        <v>6823</v>
      </c>
      <c r="D7002" s="2352" t="s">
        <v>6981</v>
      </c>
      <c r="E7002" s="355">
        <v>60</v>
      </c>
      <c r="F7002" s="1662">
        <v>10</v>
      </c>
    </row>
    <row r="7003" spans="1:6" ht="15" customHeight="1" x14ac:dyDescent="0.25">
      <c r="A7003" s="2352" t="s">
        <v>6982</v>
      </c>
      <c r="B7003" s="2352" t="s">
        <v>6823</v>
      </c>
      <c r="C7003" s="2352" t="s">
        <v>6823</v>
      </c>
      <c r="D7003" s="2352" t="s">
        <v>6983</v>
      </c>
      <c r="E7003" s="355">
        <v>60</v>
      </c>
      <c r="F7003" s="1662">
        <v>10</v>
      </c>
    </row>
    <row r="7004" spans="1:6" ht="15" customHeight="1" x14ac:dyDescent="0.25">
      <c r="A7004" s="2352" t="s">
        <v>6984</v>
      </c>
      <c r="B7004" s="2352" t="s">
        <v>6823</v>
      </c>
      <c r="C7004" s="2352" t="s">
        <v>6823</v>
      </c>
      <c r="D7004" s="2352" t="s">
        <v>6985</v>
      </c>
      <c r="E7004" s="355">
        <v>60</v>
      </c>
      <c r="F7004" s="1662">
        <v>10</v>
      </c>
    </row>
    <row r="7005" spans="1:6" ht="15" customHeight="1" x14ac:dyDescent="0.25">
      <c r="A7005" s="2352" t="s">
        <v>6986</v>
      </c>
      <c r="B7005" s="2352" t="s">
        <v>6823</v>
      </c>
      <c r="C7005" s="2352" t="s">
        <v>6823</v>
      </c>
      <c r="D7005" s="2352" t="s">
        <v>6987</v>
      </c>
      <c r="E7005" s="355">
        <v>30</v>
      </c>
      <c r="F7005" s="1662">
        <v>5</v>
      </c>
    </row>
    <row r="7006" spans="1:6" ht="15" customHeight="1" x14ac:dyDescent="0.25">
      <c r="A7006" s="2352" t="s">
        <v>6988</v>
      </c>
      <c r="B7006" s="2352" t="s">
        <v>6823</v>
      </c>
      <c r="C7006" s="2352" t="s">
        <v>6823</v>
      </c>
      <c r="D7006" s="2352" t="s">
        <v>6989</v>
      </c>
      <c r="E7006" s="355">
        <v>60</v>
      </c>
      <c r="F7006" s="1662">
        <v>5</v>
      </c>
    </row>
    <row r="7007" spans="1:6" ht="15" customHeight="1" x14ac:dyDescent="0.25">
      <c r="A7007" s="2352" t="s">
        <v>6990</v>
      </c>
      <c r="B7007" s="2352" t="s">
        <v>6823</v>
      </c>
      <c r="C7007" s="2352" t="s">
        <v>6823</v>
      </c>
      <c r="D7007" s="2352" t="s">
        <v>6991</v>
      </c>
      <c r="E7007" s="355">
        <v>30</v>
      </c>
      <c r="F7007" s="1662">
        <v>5</v>
      </c>
    </row>
    <row r="7008" spans="1:6" ht="15" customHeight="1" x14ac:dyDescent="0.25">
      <c r="A7008" s="2352" t="s">
        <v>6992</v>
      </c>
      <c r="B7008" s="2352" t="s">
        <v>6823</v>
      </c>
      <c r="C7008" s="2352" t="s">
        <v>6823</v>
      </c>
      <c r="D7008" s="2352" t="s">
        <v>6993</v>
      </c>
      <c r="E7008" s="355">
        <v>60</v>
      </c>
      <c r="F7008" s="1662">
        <v>10</v>
      </c>
    </row>
    <row r="7009" spans="1:6" ht="15" customHeight="1" x14ac:dyDescent="0.25">
      <c r="A7009" s="2352" t="s">
        <v>6882</v>
      </c>
      <c r="B7009" s="2352" t="s">
        <v>6823</v>
      </c>
      <c r="C7009" s="2352" t="s">
        <v>6823</v>
      </c>
      <c r="D7009" s="2352" t="s">
        <v>6994</v>
      </c>
      <c r="E7009" s="355">
        <v>160</v>
      </c>
      <c r="F7009" s="1662">
        <v>100</v>
      </c>
    </row>
    <row r="7010" spans="1:6" ht="15" customHeight="1" x14ac:dyDescent="0.25">
      <c r="A7010" s="2352" t="s">
        <v>6995</v>
      </c>
      <c r="B7010" s="2352" t="s">
        <v>6823</v>
      </c>
      <c r="C7010" s="2352" t="s">
        <v>6823</v>
      </c>
      <c r="D7010" s="2352" t="s">
        <v>6996</v>
      </c>
      <c r="E7010" s="355">
        <v>100</v>
      </c>
      <c r="F7010" s="1662">
        <v>60</v>
      </c>
    </row>
    <row r="7011" spans="1:6" ht="15" customHeight="1" x14ac:dyDescent="0.25">
      <c r="A7011" s="2352" t="s">
        <v>6997</v>
      </c>
      <c r="B7011" s="2352" t="s">
        <v>6823</v>
      </c>
      <c r="C7011" s="2352" t="s">
        <v>6823</v>
      </c>
      <c r="D7011" s="2352" t="s">
        <v>6998</v>
      </c>
      <c r="E7011" s="355">
        <v>10</v>
      </c>
      <c r="F7011" s="1662">
        <v>2</v>
      </c>
    </row>
    <row r="7012" spans="1:6" ht="15" customHeight="1" x14ac:dyDescent="0.25">
      <c r="A7012" s="2352" t="s">
        <v>6999</v>
      </c>
      <c r="B7012" s="2352" t="s">
        <v>6823</v>
      </c>
      <c r="C7012" s="2352" t="s">
        <v>6823</v>
      </c>
      <c r="D7012" s="2352" t="s">
        <v>7000</v>
      </c>
      <c r="E7012" s="355">
        <v>30</v>
      </c>
      <c r="F7012" s="1662">
        <v>5</v>
      </c>
    </row>
    <row r="7013" spans="1:6" ht="15" customHeight="1" x14ac:dyDescent="0.25">
      <c r="A7013" s="2352" t="s">
        <v>6840</v>
      </c>
      <c r="B7013" s="2352" t="s">
        <v>6823</v>
      </c>
      <c r="C7013" s="2352" t="s">
        <v>6823</v>
      </c>
      <c r="D7013" s="2352" t="s">
        <v>7001</v>
      </c>
      <c r="E7013" s="355">
        <v>30</v>
      </c>
      <c r="F7013" s="1662">
        <v>5</v>
      </c>
    </row>
    <row r="7014" spans="1:6" ht="15" customHeight="1" x14ac:dyDescent="0.25">
      <c r="A7014" s="2352" t="s">
        <v>7002</v>
      </c>
      <c r="B7014" s="2352" t="s">
        <v>6823</v>
      </c>
      <c r="C7014" s="2352" t="s">
        <v>6823</v>
      </c>
      <c r="D7014" s="2352" t="s">
        <v>7003</v>
      </c>
      <c r="E7014" s="355">
        <v>250</v>
      </c>
      <c r="F7014" s="1662">
        <v>90</v>
      </c>
    </row>
    <row r="7015" spans="1:6" ht="15" customHeight="1" x14ac:dyDescent="0.25">
      <c r="A7015" s="2352" t="s">
        <v>7002</v>
      </c>
      <c r="B7015" s="2352" t="s">
        <v>6823</v>
      </c>
      <c r="C7015" s="2352" t="s">
        <v>6823</v>
      </c>
      <c r="D7015" s="2352" t="s">
        <v>7004</v>
      </c>
      <c r="E7015" s="355">
        <v>250</v>
      </c>
      <c r="F7015" s="1662">
        <v>150</v>
      </c>
    </row>
    <row r="7016" spans="1:6" ht="15" customHeight="1" x14ac:dyDescent="0.25">
      <c r="A7016" s="2352" t="s">
        <v>7002</v>
      </c>
      <c r="B7016" s="2352" t="s">
        <v>6823</v>
      </c>
      <c r="C7016" s="2352" t="s">
        <v>6823</v>
      </c>
      <c r="D7016" s="2352" t="s">
        <v>7005</v>
      </c>
      <c r="E7016" s="355">
        <v>100</v>
      </c>
      <c r="F7016" s="1662">
        <v>10</v>
      </c>
    </row>
    <row r="7017" spans="1:6" ht="15" customHeight="1" x14ac:dyDescent="0.25">
      <c r="A7017" s="2352" t="s">
        <v>7006</v>
      </c>
      <c r="B7017" s="2352" t="s">
        <v>6823</v>
      </c>
      <c r="C7017" s="2352" t="s">
        <v>6823</v>
      </c>
      <c r="D7017" s="2352" t="s">
        <v>7007</v>
      </c>
      <c r="E7017" s="355">
        <v>60</v>
      </c>
      <c r="F7017" s="1662">
        <v>20</v>
      </c>
    </row>
    <row r="7018" spans="1:6" ht="15" customHeight="1" x14ac:dyDescent="0.25">
      <c r="A7018" s="2352" t="s">
        <v>7008</v>
      </c>
      <c r="B7018" s="2352" t="s">
        <v>6823</v>
      </c>
      <c r="C7018" s="2352" t="s">
        <v>6823</v>
      </c>
      <c r="D7018" s="2352" t="s">
        <v>7009</v>
      </c>
      <c r="E7018" s="355">
        <v>30</v>
      </c>
      <c r="F7018" s="1662">
        <v>15</v>
      </c>
    </row>
    <row r="7019" spans="1:6" ht="15" customHeight="1" x14ac:dyDescent="0.25">
      <c r="A7019" s="2352" t="s">
        <v>7010</v>
      </c>
      <c r="B7019" s="2352" t="s">
        <v>6823</v>
      </c>
      <c r="C7019" s="2352" t="s">
        <v>6823</v>
      </c>
      <c r="D7019" s="2352" t="s">
        <v>7011</v>
      </c>
      <c r="E7019" s="355">
        <v>100</v>
      </c>
      <c r="F7019" s="1662">
        <v>40</v>
      </c>
    </row>
    <row r="7020" spans="1:6" ht="15" customHeight="1" x14ac:dyDescent="0.25">
      <c r="A7020" s="2352" t="s">
        <v>7012</v>
      </c>
      <c r="B7020" s="2352" t="s">
        <v>6823</v>
      </c>
      <c r="C7020" s="2352" t="s">
        <v>6823</v>
      </c>
      <c r="D7020" s="2352" t="s">
        <v>7013</v>
      </c>
      <c r="E7020" s="355">
        <v>10</v>
      </c>
      <c r="F7020" s="1662">
        <v>2</v>
      </c>
    </row>
    <row r="7021" spans="1:6" ht="15" customHeight="1" x14ac:dyDescent="0.25">
      <c r="A7021" s="2352" t="s">
        <v>7014</v>
      </c>
      <c r="B7021" s="2352" t="s">
        <v>6823</v>
      </c>
      <c r="C7021" s="2352" t="s">
        <v>6823</v>
      </c>
      <c r="D7021" s="2352" t="s">
        <v>7015</v>
      </c>
      <c r="E7021" s="355">
        <v>100</v>
      </c>
      <c r="F7021" s="1662">
        <v>40</v>
      </c>
    </row>
    <row r="7022" spans="1:6" ht="15" customHeight="1" x14ac:dyDescent="0.25">
      <c r="A7022" s="2352" t="s">
        <v>7016</v>
      </c>
      <c r="B7022" s="2352" t="s">
        <v>6823</v>
      </c>
      <c r="C7022" s="2352" t="s">
        <v>6823</v>
      </c>
      <c r="D7022" s="2352" t="s">
        <v>7017</v>
      </c>
      <c r="E7022" s="355">
        <v>40</v>
      </c>
      <c r="F7022" s="1662">
        <v>20</v>
      </c>
    </row>
    <row r="7023" spans="1:6" ht="15" customHeight="1" x14ac:dyDescent="0.25">
      <c r="A7023" s="2352" t="s">
        <v>7018</v>
      </c>
      <c r="B7023" s="2352" t="s">
        <v>6823</v>
      </c>
      <c r="C7023" s="2352" t="s">
        <v>6823</v>
      </c>
      <c r="D7023" s="2352" t="s">
        <v>7019</v>
      </c>
      <c r="E7023" s="355">
        <v>60</v>
      </c>
      <c r="F7023" s="1662">
        <v>10</v>
      </c>
    </row>
    <row r="7024" spans="1:6" ht="15" customHeight="1" x14ac:dyDescent="0.25">
      <c r="A7024" s="2352" t="s">
        <v>7020</v>
      </c>
      <c r="B7024" s="2352" t="s">
        <v>6823</v>
      </c>
      <c r="C7024" s="2352" t="s">
        <v>6823</v>
      </c>
      <c r="D7024" s="2352" t="s">
        <v>7021</v>
      </c>
      <c r="E7024" s="355">
        <v>100</v>
      </c>
      <c r="F7024" s="1662">
        <v>30</v>
      </c>
    </row>
    <row r="7025" spans="1:6" ht="15" customHeight="1" x14ac:dyDescent="0.25">
      <c r="A7025" s="2352" t="s">
        <v>7022</v>
      </c>
      <c r="B7025" s="2352" t="s">
        <v>6823</v>
      </c>
      <c r="C7025" s="2352" t="s">
        <v>6823</v>
      </c>
      <c r="D7025" s="2352" t="s">
        <v>7023</v>
      </c>
      <c r="E7025" s="355">
        <v>100</v>
      </c>
      <c r="F7025" s="1662">
        <v>20</v>
      </c>
    </row>
    <row r="7026" spans="1:6" ht="15" customHeight="1" x14ac:dyDescent="0.25">
      <c r="A7026" s="2352" t="s">
        <v>7024</v>
      </c>
      <c r="B7026" s="2352" t="s">
        <v>6823</v>
      </c>
      <c r="C7026" s="2352" t="s">
        <v>6823</v>
      </c>
      <c r="D7026" s="2352" t="s">
        <v>7025</v>
      </c>
      <c r="E7026" s="355">
        <v>60</v>
      </c>
      <c r="F7026" s="1662">
        <v>20</v>
      </c>
    </row>
    <row r="7027" spans="1:6" ht="15" customHeight="1" x14ac:dyDescent="0.25">
      <c r="A7027" s="2352" t="s">
        <v>7026</v>
      </c>
      <c r="B7027" s="2352" t="s">
        <v>6823</v>
      </c>
      <c r="C7027" s="2352" t="s">
        <v>6823</v>
      </c>
      <c r="D7027" s="2352" t="s">
        <v>7027</v>
      </c>
      <c r="E7027" s="355">
        <v>100</v>
      </c>
      <c r="F7027" s="1662">
        <v>30</v>
      </c>
    </row>
    <row r="7028" spans="1:6" ht="15" customHeight="1" x14ac:dyDescent="0.25">
      <c r="A7028" s="2352" t="s">
        <v>7028</v>
      </c>
      <c r="B7028" s="2352" t="s">
        <v>6823</v>
      </c>
      <c r="C7028" s="2352" t="s">
        <v>6823</v>
      </c>
      <c r="D7028" s="2352" t="s">
        <v>7029</v>
      </c>
      <c r="E7028" s="355">
        <v>100</v>
      </c>
      <c r="F7028" s="1662">
        <v>30</v>
      </c>
    </row>
    <row r="7029" spans="1:6" ht="15" customHeight="1" x14ac:dyDescent="0.25">
      <c r="A7029" s="2352" t="s">
        <v>7030</v>
      </c>
      <c r="B7029" s="2352" t="s">
        <v>6823</v>
      </c>
      <c r="C7029" s="2352" t="s">
        <v>6823</v>
      </c>
      <c r="D7029" s="2352" t="s">
        <v>7031</v>
      </c>
      <c r="E7029" s="355">
        <v>250</v>
      </c>
      <c r="F7029" s="1662">
        <v>150</v>
      </c>
    </row>
    <row r="7030" spans="1:6" ht="15" customHeight="1" x14ac:dyDescent="0.25">
      <c r="A7030" s="2352" t="s">
        <v>7032</v>
      </c>
      <c r="B7030" s="2352" t="s">
        <v>6823</v>
      </c>
      <c r="C7030" s="2352" t="s">
        <v>6823</v>
      </c>
      <c r="D7030" s="2352" t="s">
        <v>7033</v>
      </c>
      <c r="E7030" s="355">
        <v>10</v>
      </c>
      <c r="F7030" s="1662">
        <v>2</v>
      </c>
    </row>
    <row r="7031" spans="1:6" ht="15" customHeight="1" x14ac:dyDescent="0.25">
      <c r="A7031" s="2352" t="s">
        <v>7030</v>
      </c>
      <c r="B7031" s="2352" t="s">
        <v>6823</v>
      </c>
      <c r="C7031" s="2352" t="s">
        <v>6823</v>
      </c>
      <c r="D7031" s="2352" t="s">
        <v>7034</v>
      </c>
      <c r="E7031" s="355">
        <v>160</v>
      </c>
      <c r="F7031" s="1662">
        <v>20</v>
      </c>
    </row>
    <row r="7032" spans="1:6" ht="15" customHeight="1" x14ac:dyDescent="0.25">
      <c r="A7032" s="2352" t="s">
        <v>7035</v>
      </c>
      <c r="B7032" s="2352" t="s">
        <v>6823</v>
      </c>
      <c r="C7032" s="2352" t="s">
        <v>6823</v>
      </c>
      <c r="D7032" s="2352" t="s">
        <v>7036</v>
      </c>
      <c r="E7032" s="355">
        <v>30</v>
      </c>
      <c r="F7032" s="1662">
        <v>10</v>
      </c>
    </row>
    <row r="7033" spans="1:6" ht="15" customHeight="1" x14ac:dyDescent="0.25">
      <c r="A7033" s="2352" t="s">
        <v>7037</v>
      </c>
      <c r="B7033" s="2352" t="s">
        <v>6823</v>
      </c>
      <c r="C7033" s="2352" t="s">
        <v>6823</v>
      </c>
      <c r="D7033" s="2352" t="s">
        <v>7038</v>
      </c>
      <c r="E7033" s="355">
        <v>10</v>
      </c>
      <c r="F7033" s="1662">
        <v>5</v>
      </c>
    </row>
    <row r="7034" spans="1:6" ht="15" customHeight="1" x14ac:dyDescent="0.25">
      <c r="A7034" s="2352" t="s">
        <v>7039</v>
      </c>
      <c r="B7034" s="2352" t="s">
        <v>6823</v>
      </c>
      <c r="C7034" s="2352" t="s">
        <v>6823</v>
      </c>
      <c r="D7034" s="2352" t="s">
        <v>7040</v>
      </c>
      <c r="E7034" s="355">
        <v>10</v>
      </c>
      <c r="F7034" s="1662">
        <v>5</v>
      </c>
    </row>
    <row r="7035" spans="1:6" ht="15" customHeight="1" x14ac:dyDescent="0.25">
      <c r="A7035" s="2352" t="s">
        <v>7041</v>
      </c>
      <c r="B7035" s="2352" t="s">
        <v>6823</v>
      </c>
      <c r="C7035" s="2352" t="s">
        <v>6823</v>
      </c>
      <c r="D7035" s="2352" t="s">
        <v>7042</v>
      </c>
      <c r="E7035" s="355">
        <v>250</v>
      </c>
      <c r="F7035" s="1662">
        <v>150</v>
      </c>
    </row>
    <row r="7036" spans="1:6" ht="15" customHeight="1" x14ac:dyDescent="0.25">
      <c r="A7036" s="2352" t="s">
        <v>7043</v>
      </c>
      <c r="B7036" s="2352" t="s">
        <v>6823</v>
      </c>
      <c r="C7036" s="2352" t="s">
        <v>6823</v>
      </c>
      <c r="D7036" s="2352" t="s">
        <v>7044</v>
      </c>
      <c r="E7036" s="355">
        <v>30</v>
      </c>
      <c r="F7036" s="1662">
        <v>5</v>
      </c>
    </row>
    <row r="7037" spans="1:6" ht="15" customHeight="1" x14ac:dyDescent="0.25">
      <c r="A7037" s="2352" t="s">
        <v>7045</v>
      </c>
      <c r="B7037" s="2352" t="s">
        <v>6823</v>
      </c>
      <c r="C7037" s="2352" t="s">
        <v>6823</v>
      </c>
      <c r="D7037" s="2352" t="s">
        <v>7046</v>
      </c>
      <c r="E7037" s="355">
        <v>30</v>
      </c>
      <c r="F7037" s="1662">
        <v>15</v>
      </c>
    </row>
    <row r="7038" spans="1:6" ht="15" customHeight="1" x14ac:dyDescent="0.25">
      <c r="A7038" s="2352" t="s">
        <v>7047</v>
      </c>
      <c r="B7038" s="2352" t="s">
        <v>6823</v>
      </c>
      <c r="C7038" s="2352" t="s">
        <v>6823</v>
      </c>
      <c r="D7038" s="2352" t="s">
        <v>7048</v>
      </c>
      <c r="E7038" s="355">
        <v>40</v>
      </c>
      <c r="F7038" s="1662">
        <v>10</v>
      </c>
    </row>
    <row r="7039" spans="1:6" ht="15" customHeight="1" x14ac:dyDescent="0.25">
      <c r="A7039" s="2352" t="s">
        <v>7049</v>
      </c>
      <c r="B7039" s="2352" t="s">
        <v>6823</v>
      </c>
      <c r="C7039" s="2352" t="s">
        <v>6823</v>
      </c>
      <c r="D7039" s="2352" t="s">
        <v>7050</v>
      </c>
      <c r="E7039" s="355">
        <v>30</v>
      </c>
      <c r="F7039" s="1662">
        <v>5</v>
      </c>
    </row>
    <row r="7040" spans="1:6" ht="15" customHeight="1" x14ac:dyDescent="0.25">
      <c r="A7040" s="2352" t="s">
        <v>7051</v>
      </c>
      <c r="B7040" s="2352" t="s">
        <v>6823</v>
      </c>
      <c r="C7040" s="2352" t="s">
        <v>6823</v>
      </c>
      <c r="D7040" s="2352" t="s">
        <v>7052</v>
      </c>
      <c r="E7040" s="355">
        <v>100</v>
      </c>
      <c r="F7040" s="1662">
        <v>30</v>
      </c>
    </row>
    <row r="7041" spans="1:6" ht="15" customHeight="1" x14ac:dyDescent="0.25">
      <c r="A7041" s="2352" t="s">
        <v>7053</v>
      </c>
      <c r="B7041" s="2352" t="s">
        <v>6823</v>
      </c>
      <c r="C7041" s="2352" t="s">
        <v>6823</v>
      </c>
      <c r="D7041" s="2352" t="s">
        <v>7054</v>
      </c>
      <c r="E7041" s="355">
        <v>60</v>
      </c>
      <c r="F7041" s="1662">
        <v>20</v>
      </c>
    </row>
    <row r="7042" spans="1:6" ht="15" customHeight="1" x14ac:dyDescent="0.25">
      <c r="A7042" s="2352" t="s">
        <v>16741</v>
      </c>
      <c r="B7042" s="2352" t="s">
        <v>6823</v>
      </c>
      <c r="C7042" s="2352" t="s">
        <v>6823</v>
      </c>
      <c r="D7042" s="2352" t="s">
        <v>7055</v>
      </c>
      <c r="E7042" s="355">
        <v>30</v>
      </c>
      <c r="F7042" s="1662">
        <v>10</v>
      </c>
    </row>
    <row r="7043" spans="1:6" ht="15" customHeight="1" x14ac:dyDescent="0.25">
      <c r="A7043" s="2352" t="s">
        <v>7056</v>
      </c>
      <c r="B7043" s="2352" t="s">
        <v>6823</v>
      </c>
      <c r="C7043" s="2352" t="s">
        <v>6823</v>
      </c>
      <c r="D7043" s="2352" t="s">
        <v>7057</v>
      </c>
      <c r="E7043" s="355">
        <v>10</v>
      </c>
      <c r="F7043" s="1662">
        <v>2</v>
      </c>
    </row>
    <row r="7044" spans="1:6" ht="15" customHeight="1" x14ac:dyDescent="0.25">
      <c r="A7044" s="2352" t="s">
        <v>7058</v>
      </c>
      <c r="B7044" s="2352" t="s">
        <v>6823</v>
      </c>
      <c r="C7044" s="2352" t="s">
        <v>6823</v>
      </c>
      <c r="D7044" s="2352" t="s">
        <v>7059</v>
      </c>
      <c r="E7044" s="355">
        <v>100</v>
      </c>
      <c r="F7044" s="1662">
        <v>20</v>
      </c>
    </row>
    <row r="7045" spans="1:6" ht="15" customHeight="1" x14ac:dyDescent="0.25">
      <c r="A7045" s="2352" t="s">
        <v>7060</v>
      </c>
      <c r="B7045" s="2352" t="s">
        <v>6823</v>
      </c>
      <c r="C7045" s="2352" t="s">
        <v>6823</v>
      </c>
      <c r="D7045" s="2352" t="s">
        <v>7061</v>
      </c>
      <c r="E7045" s="355">
        <v>100</v>
      </c>
      <c r="F7045" s="1662">
        <v>10</v>
      </c>
    </row>
    <row r="7046" spans="1:6" ht="15" customHeight="1" x14ac:dyDescent="0.25">
      <c r="A7046" s="2352" t="s">
        <v>7060</v>
      </c>
      <c r="B7046" s="2352" t="s">
        <v>6823</v>
      </c>
      <c r="C7046" s="2352" t="s">
        <v>6823</v>
      </c>
      <c r="D7046" s="2352" t="s">
        <v>7062</v>
      </c>
      <c r="E7046" s="355">
        <v>100</v>
      </c>
      <c r="F7046" s="1662">
        <v>15</v>
      </c>
    </row>
    <row r="7047" spans="1:6" ht="15" customHeight="1" x14ac:dyDescent="0.25">
      <c r="A7047" s="2352" t="s">
        <v>7060</v>
      </c>
      <c r="B7047" s="2352" t="s">
        <v>6823</v>
      </c>
      <c r="C7047" s="2352" t="s">
        <v>6823</v>
      </c>
      <c r="D7047" s="2352" t="s">
        <v>7063</v>
      </c>
      <c r="E7047" s="355">
        <v>250</v>
      </c>
      <c r="F7047" s="1662">
        <v>90</v>
      </c>
    </row>
    <row r="7048" spans="1:6" ht="15" customHeight="1" x14ac:dyDescent="0.25">
      <c r="A7048" s="2352" t="s">
        <v>7064</v>
      </c>
      <c r="B7048" s="2352" t="s">
        <v>6823</v>
      </c>
      <c r="C7048" s="2352" t="s">
        <v>6823</v>
      </c>
      <c r="D7048" s="2352" t="s">
        <v>7065</v>
      </c>
      <c r="E7048" s="355">
        <v>60</v>
      </c>
      <c r="F7048" s="1662">
        <v>20</v>
      </c>
    </row>
    <row r="7049" spans="1:6" ht="15" customHeight="1" x14ac:dyDescent="0.25">
      <c r="A7049" s="2352" t="s">
        <v>7066</v>
      </c>
      <c r="B7049" s="2352" t="s">
        <v>6823</v>
      </c>
      <c r="C7049" s="2352" t="s">
        <v>6823</v>
      </c>
      <c r="D7049" s="2352" t="s">
        <v>7067</v>
      </c>
      <c r="E7049" s="355">
        <v>160</v>
      </c>
      <c r="F7049" s="1662">
        <v>20</v>
      </c>
    </row>
    <row r="7050" spans="1:6" ht="15" customHeight="1" x14ac:dyDescent="0.25">
      <c r="A7050" s="2352" t="s">
        <v>7066</v>
      </c>
      <c r="B7050" s="2352" t="s">
        <v>6823</v>
      </c>
      <c r="C7050" s="2352" t="s">
        <v>6823</v>
      </c>
      <c r="D7050" s="2352" t="s">
        <v>7068</v>
      </c>
      <c r="E7050" s="355">
        <v>160</v>
      </c>
      <c r="F7050" s="1662">
        <v>100</v>
      </c>
    </row>
    <row r="7051" spans="1:6" ht="15" customHeight="1" x14ac:dyDescent="0.25">
      <c r="A7051" s="2352" t="s">
        <v>7066</v>
      </c>
      <c r="B7051" s="2352" t="s">
        <v>6823</v>
      </c>
      <c r="C7051" s="2352" t="s">
        <v>6823</v>
      </c>
      <c r="D7051" s="2352" t="s">
        <v>7069</v>
      </c>
      <c r="E7051" s="355">
        <v>250</v>
      </c>
      <c r="F7051" s="1662">
        <v>90</v>
      </c>
    </row>
    <row r="7052" spans="1:6" ht="15" customHeight="1" x14ac:dyDescent="0.25">
      <c r="A7052" s="2352" t="s">
        <v>7070</v>
      </c>
      <c r="B7052" s="2352" t="s">
        <v>6823</v>
      </c>
      <c r="C7052" s="2352" t="s">
        <v>6823</v>
      </c>
      <c r="D7052" s="2352" t="s">
        <v>7071</v>
      </c>
      <c r="E7052" s="355">
        <v>30</v>
      </c>
      <c r="F7052" s="1662">
        <v>5</v>
      </c>
    </row>
    <row r="7053" spans="1:6" ht="15" customHeight="1" x14ac:dyDescent="0.25">
      <c r="A7053" s="2352" t="s">
        <v>7072</v>
      </c>
      <c r="B7053" s="2352" t="s">
        <v>6823</v>
      </c>
      <c r="C7053" s="2352" t="s">
        <v>6823</v>
      </c>
      <c r="D7053" s="2352" t="s">
        <v>7073</v>
      </c>
      <c r="E7053" s="355">
        <v>60</v>
      </c>
      <c r="F7053" s="1662">
        <v>5</v>
      </c>
    </row>
    <row r="7054" spans="1:6" ht="15" customHeight="1" x14ac:dyDescent="0.25">
      <c r="A7054" s="2352" t="s">
        <v>7074</v>
      </c>
      <c r="B7054" s="2352" t="s">
        <v>6823</v>
      </c>
      <c r="C7054" s="2352" t="s">
        <v>6823</v>
      </c>
      <c r="D7054" s="2352" t="s">
        <v>7075</v>
      </c>
      <c r="E7054" s="355">
        <v>30</v>
      </c>
      <c r="F7054" s="1662">
        <v>15</v>
      </c>
    </row>
    <row r="7055" spans="1:6" ht="15" customHeight="1" x14ac:dyDescent="0.25">
      <c r="A7055" s="2352" t="s">
        <v>7077</v>
      </c>
      <c r="B7055" s="2352" t="s">
        <v>6823</v>
      </c>
      <c r="C7055" s="2352" t="s">
        <v>6823</v>
      </c>
      <c r="D7055" s="2352" t="s">
        <v>7078</v>
      </c>
      <c r="E7055" s="355">
        <v>160</v>
      </c>
      <c r="F7055" s="1662">
        <v>60</v>
      </c>
    </row>
    <row r="7056" spans="1:6" ht="15" customHeight="1" x14ac:dyDescent="0.25">
      <c r="A7056" s="2352" t="s">
        <v>7077</v>
      </c>
      <c r="B7056" s="2352" t="s">
        <v>6823</v>
      </c>
      <c r="C7056" s="2352" t="s">
        <v>6823</v>
      </c>
      <c r="D7056" s="2352" t="s">
        <v>7079</v>
      </c>
      <c r="E7056" s="355">
        <v>250</v>
      </c>
      <c r="F7056" s="1662">
        <v>90</v>
      </c>
    </row>
    <row r="7057" spans="1:6" ht="15" customHeight="1" x14ac:dyDescent="0.25">
      <c r="A7057" s="2352" t="s">
        <v>7077</v>
      </c>
      <c r="B7057" s="2352" t="s">
        <v>6823</v>
      </c>
      <c r="C7057" s="2352" t="s">
        <v>6823</v>
      </c>
      <c r="D7057" s="2352" t="s">
        <v>7080</v>
      </c>
      <c r="E7057" s="355">
        <v>400</v>
      </c>
      <c r="F7057" s="1662">
        <v>240</v>
      </c>
    </row>
    <row r="7058" spans="1:6" ht="15" customHeight="1" x14ac:dyDescent="0.25">
      <c r="A7058" s="2352" t="s">
        <v>7077</v>
      </c>
      <c r="B7058" s="2352" t="s">
        <v>6823</v>
      </c>
      <c r="C7058" s="2352" t="s">
        <v>6823</v>
      </c>
      <c r="D7058" s="2352" t="s">
        <v>7081</v>
      </c>
      <c r="E7058" s="355">
        <v>160</v>
      </c>
      <c r="F7058" s="1662">
        <v>40</v>
      </c>
    </row>
    <row r="7059" spans="1:6" ht="15" customHeight="1" x14ac:dyDescent="0.25">
      <c r="A7059" s="2352" t="s">
        <v>7077</v>
      </c>
      <c r="B7059" s="2352" t="s">
        <v>6823</v>
      </c>
      <c r="C7059" s="2352" t="s">
        <v>6823</v>
      </c>
      <c r="D7059" s="2352" t="s">
        <v>7082</v>
      </c>
      <c r="E7059" s="355">
        <v>250</v>
      </c>
      <c r="F7059" s="1662">
        <v>90</v>
      </c>
    </row>
    <row r="7060" spans="1:6" ht="15" customHeight="1" x14ac:dyDescent="0.25">
      <c r="A7060" s="2352" t="s">
        <v>7083</v>
      </c>
      <c r="B7060" s="2352" t="s">
        <v>6823</v>
      </c>
      <c r="C7060" s="2352" t="s">
        <v>6823</v>
      </c>
      <c r="D7060" s="2352" t="s">
        <v>7084</v>
      </c>
      <c r="E7060" s="355">
        <v>60</v>
      </c>
      <c r="F7060" s="1662">
        <v>10</v>
      </c>
    </row>
    <row r="7061" spans="1:6" ht="15" customHeight="1" x14ac:dyDescent="0.25">
      <c r="A7061" s="2352" t="s">
        <v>7085</v>
      </c>
      <c r="B7061" s="2352" t="s">
        <v>6823</v>
      </c>
      <c r="C7061" s="2352" t="s">
        <v>6823</v>
      </c>
      <c r="D7061" s="2352" t="s">
        <v>7086</v>
      </c>
      <c r="E7061" s="355">
        <v>30</v>
      </c>
      <c r="F7061" s="1662">
        <v>5</v>
      </c>
    </row>
    <row r="7062" spans="1:6" ht="15" customHeight="1" x14ac:dyDescent="0.25">
      <c r="A7062" s="2352" t="s">
        <v>7087</v>
      </c>
      <c r="B7062" s="2352" t="s">
        <v>6823</v>
      </c>
      <c r="C7062" s="2352" t="s">
        <v>6823</v>
      </c>
      <c r="D7062" s="2352" t="s">
        <v>7088</v>
      </c>
      <c r="E7062" s="355">
        <v>100</v>
      </c>
      <c r="F7062" s="1662">
        <v>30</v>
      </c>
    </row>
    <row r="7063" spans="1:6" ht="15" customHeight="1" x14ac:dyDescent="0.25">
      <c r="A7063" s="2352" t="s">
        <v>7089</v>
      </c>
      <c r="B7063" s="2352" t="s">
        <v>6823</v>
      </c>
      <c r="C7063" s="2352" t="s">
        <v>6823</v>
      </c>
      <c r="D7063" s="2352" t="s">
        <v>7090</v>
      </c>
      <c r="E7063" s="355">
        <v>60</v>
      </c>
      <c r="F7063" s="1662">
        <v>50</v>
      </c>
    </row>
    <row r="7064" spans="1:6" ht="15" customHeight="1" x14ac:dyDescent="0.25">
      <c r="A7064" s="2352" t="s">
        <v>7060</v>
      </c>
      <c r="B7064" s="2352" t="s">
        <v>6823</v>
      </c>
      <c r="C7064" s="2352" t="s">
        <v>6823</v>
      </c>
      <c r="D7064" s="2352" t="s">
        <v>7091</v>
      </c>
      <c r="E7064" s="355">
        <v>60</v>
      </c>
      <c r="F7064" s="1662">
        <v>5</v>
      </c>
    </row>
    <row r="7065" spans="1:6" ht="15" customHeight="1" x14ac:dyDescent="0.25">
      <c r="A7065" s="2352" t="s">
        <v>7092</v>
      </c>
      <c r="B7065" s="2352" t="s">
        <v>6823</v>
      </c>
      <c r="C7065" s="2352" t="s">
        <v>6823</v>
      </c>
      <c r="D7065" s="2352" t="s">
        <v>7093</v>
      </c>
      <c r="E7065" s="355">
        <v>30</v>
      </c>
      <c r="F7065" s="1662">
        <v>5</v>
      </c>
    </row>
    <row r="7066" spans="1:6" ht="15" customHeight="1" x14ac:dyDescent="0.25">
      <c r="A7066" s="2352" t="s">
        <v>7092</v>
      </c>
      <c r="B7066" s="2352" t="s">
        <v>6823</v>
      </c>
      <c r="C7066" s="2352" t="s">
        <v>6823</v>
      </c>
      <c r="D7066" s="2352" t="s">
        <v>7094</v>
      </c>
      <c r="E7066" s="355">
        <v>250</v>
      </c>
      <c r="F7066" s="1662">
        <v>150</v>
      </c>
    </row>
    <row r="7067" spans="1:6" ht="15" customHeight="1" x14ac:dyDescent="0.25">
      <c r="A7067" s="2352" t="s">
        <v>7095</v>
      </c>
      <c r="B7067" s="2352" t="s">
        <v>6823</v>
      </c>
      <c r="C7067" s="2352" t="s">
        <v>6823</v>
      </c>
      <c r="D7067" s="2352" t="s">
        <v>7096</v>
      </c>
      <c r="E7067" s="355">
        <v>100</v>
      </c>
      <c r="F7067" s="1662">
        <v>40</v>
      </c>
    </row>
    <row r="7068" spans="1:6" ht="15" customHeight="1" x14ac:dyDescent="0.25">
      <c r="A7068" s="2352" t="s">
        <v>7095</v>
      </c>
      <c r="B7068" s="2352" t="s">
        <v>6823</v>
      </c>
      <c r="C7068" s="2352" t="s">
        <v>6823</v>
      </c>
      <c r="D7068" s="2352" t="s">
        <v>7097</v>
      </c>
      <c r="E7068" s="355">
        <v>30</v>
      </c>
      <c r="F7068" s="1662">
        <v>10</v>
      </c>
    </row>
    <row r="7069" spans="1:6" ht="15" customHeight="1" x14ac:dyDescent="0.25">
      <c r="A7069" s="2352" t="s">
        <v>7098</v>
      </c>
      <c r="B7069" s="2352" t="s">
        <v>6823</v>
      </c>
      <c r="C7069" s="2352" t="s">
        <v>6823</v>
      </c>
      <c r="D7069" s="2352" t="s">
        <v>7099</v>
      </c>
      <c r="E7069" s="355">
        <v>10</v>
      </c>
      <c r="F7069" s="1662">
        <v>2</v>
      </c>
    </row>
    <row r="7070" spans="1:6" ht="15" customHeight="1" x14ac:dyDescent="0.25">
      <c r="A7070" s="2352" t="s">
        <v>7100</v>
      </c>
      <c r="B7070" s="2352" t="s">
        <v>6823</v>
      </c>
      <c r="C7070" s="2352" t="s">
        <v>6823</v>
      </c>
      <c r="D7070" s="2352" t="s">
        <v>7101</v>
      </c>
      <c r="E7070" s="355">
        <v>100</v>
      </c>
      <c r="F7070" s="1662">
        <v>20</v>
      </c>
    </row>
    <row r="7071" spans="1:6" ht="15" customHeight="1" x14ac:dyDescent="0.25">
      <c r="A7071" s="2352" t="s">
        <v>5957</v>
      </c>
      <c r="B7071" s="2352" t="s">
        <v>6823</v>
      </c>
      <c r="C7071" s="2352" t="s">
        <v>6823</v>
      </c>
      <c r="D7071" s="2352" t="s">
        <v>7102</v>
      </c>
      <c r="E7071" s="355">
        <v>30</v>
      </c>
      <c r="F7071" s="1662">
        <v>20</v>
      </c>
    </row>
    <row r="7072" spans="1:6" ht="15" customHeight="1" x14ac:dyDescent="0.25">
      <c r="A7072" s="2352" t="s">
        <v>6523</v>
      </c>
      <c r="B7072" s="2352" t="s">
        <v>6823</v>
      </c>
      <c r="C7072" s="2352" t="s">
        <v>6823</v>
      </c>
      <c r="D7072" s="2352" t="s">
        <v>7103</v>
      </c>
      <c r="E7072" s="355">
        <v>60</v>
      </c>
      <c r="F7072" s="1662">
        <v>30</v>
      </c>
    </row>
    <row r="7073" spans="1:6" ht="15" customHeight="1" x14ac:dyDescent="0.25">
      <c r="A7073" s="2352" t="s">
        <v>7104</v>
      </c>
      <c r="B7073" s="2352" t="s">
        <v>6823</v>
      </c>
      <c r="C7073" s="2352" t="s">
        <v>6823</v>
      </c>
      <c r="D7073" s="2352" t="s">
        <v>7105</v>
      </c>
      <c r="E7073" s="355">
        <v>30</v>
      </c>
      <c r="F7073" s="1662">
        <v>5</v>
      </c>
    </row>
    <row r="7074" spans="1:6" ht="15" customHeight="1" x14ac:dyDescent="0.25">
      <c r="A7074" s="2352" t="s">
        <v>7106</v>
      </c>
      <c r="B7074" s="2352" t="s">
        <v>6823</v>
      </c>
      <c r="C7074" s="2352" t="s">
        <v>6823</v>
      </c>
      <c r="D7074" s="2352" t="s">
        <v>7107</v>
      </c>
      <c r="E7074" s="355">
        <v>160</v>
      </c>
      <c r="F7074" s="1662">
        <v>60</v>
      </c>
    </row>
    <row r="7075" spans="1:6" ht="15" customHeight="1" x14ac:dyDescent="0.25">
      <c r="A7075" s="2352" t="s">
        <v>6978</v>
      </c>
      <c r="B7075" s="2352" t="s">
        <v>6823</v>
      </c>
      <c r="C7075" s="2352" t="s">
        <v>6823</v>
      </c>
      <c r="D7075" s="2352" t="s">
        <v>7108</v>
      </c>
      <c r="E7075" s="355">
        <v>250</v>
      </c>
      <c r="F7075" s="1662">
        <v>150</v>
      </c>
    </row>
    <row r="7076" spans="1:6" ht="15" customHeight="1" x14ac:dyDescent="0.25">
      <c r="A7076" s="2352" t="s">
        <v>6978</v>
      </c>
      <c r="B7076" s="2352" t="s">
        <v>6823</v>
      </c>
      <c r="C7076" s="2352" t="s">
        <v>6823</v>
      </c>
      <c r="D7076" s="2352" t="s">
        <v>7109</v>
      </c>
      <c r="E7076" s="355">
        <v>250</v>
      </c>
      <c r="F7076" s="1662">
        <v>150</v>
      </c>
    </row>
    <row r="7077" spans="1:6" ht="15" customHeight="1" x14ac:dyDescent="0.25">
      <c r="A7077" s="2352" t="s">
        <v>6978</v>
      </c>
      <c r="B7077" s="2352" t="s">
        <v>6823</v>
      </c>
      <c r="C7077" s="2352" t="s">
        <v>6823</v>
      </c>
      <c r="D7077" s="2352" t="s">
        <v>7110</v>
      </c>
      <c r="E7077" s="355">
        <v>250</v>
      </c>
      <c r="F7077" s="1662">
        <v>90</v>
      </c>
    </row>
    <row r="7078" spans="1:6" ht="15" customHeight="1" x14ac:dyDescent="0.25">
      <c r="A7078" s="2352" t="s">
        <v>6486</v>
      </c>
      <c r="B7078" s="2352" t="s">
        <v>6823</v>
      </c>
      <c r="C7078" s="2352" t="s">
        <v>6823</v>
      </c>
      <c r="D7078" s="2352" t="s">
        <v>7111</v>
      </c>
      <c r="E7078" s="355">
        <v>60</v>
      </c>
      <c r="F7078" s="1662">
        <v>10</v>
      </c>
    </row>
    <row r="7079" spans="1:6" ht="15" customHeight="1" x14ac:dyDescent="0.25">
      <c r="A7079" s="2352" t="s">
        <v>6997</v>
      </c>
      <c r="B7079" s="2352" t="s">
        <v>6823</v>
      </c>
      <c r="C7079" s="2352" t="s">
        <v>6823</v>
      </c>
      <c r="D7079" s="2352" t="s">
        <v>7112</v>
      </c>
      <c r="E7079" s="355">
        <v>60</v>
      </c>
      <c r="F7079" s="1662">
        <v>30</v>
      </c>
    </row>
    <row r="7080" spans="1:6" ht="15" customHeight="1" x14ac:dyDescent="0.25">
      <c r="A7080" s="2352" t="s">
        <v>7113</v>
      </c>
      <c r="B7080" s="2352" t="s">
        <v>6823</v>
      </c>
      <c r="C7080" s="2352" t="s">
        <v>6823</v>
      </c>
      <c r="D7080" s="2352" t="s">
        <v>7114</v>
      </c>
      <c r="E7080" s="355">
        <v>30</v>
      </c>
      <c r="F7080" s="1662">
        <v>10</v>
      </c>
    </row>
    <row r="7081" spans="1:6" ht="15" customHeight="1" x14ac:dyDescent="0.25">
      <c r="A7081" s="2352" t="s">
        <v>7115</v>
      </c>
      <c r="B7081" s="2352" t="s">
        <v>6823</v>
      </c>
      <c r="C7081" s="2352" t="s">
        <v>6823</v>
      </c>
      <c r="D7081" s="2352" t="s">
        <v>7116</v>
      </c>
      <c r="E7081" s="355">
        <v>60</v>
      </c>
      <c r="F7081" s="1662">
        <v>10</v>
      </c>
    </row>
    <row r="7082" spans="1:6" ht="15" customHeight="1" x14ac:dyDescent="0.25">
      <c r="A7082" s="2352" t="s">
        <v>7115</v>
      </c>
      <c r="B7082" s="2352" t="s">
        <v>6823</v>
      </c>
      <c r="C7082" s="2352" t="s">
        <v>6823</v>
      </c>
      <c r="D7082" s="2352" t="s">
        <v>7117</v>
      </c>
      <c r="E7082" s="355">
        <v>60</v>
      </c>
      <c r="F7082" s="1662">
        <v>10</v>
      </c>
    </row>
    <row r="7083" spans="1:6" ht="15" customHeight="1" x14ac:dyDescent="0.25">
      <c r="A7083" s="2352" t="s">
        <v>7118</v>
      </c>
      <c r="B7083" s="2352" t="s">
        <v>6823</v>
      </c>
      <c r="C7083" s="2352" t="s">
        <v>6823</v>
      </c>
      <c r="D7083" s="2352" t="s">
        <v>7119</v>
      </c>
      <c r="E7083" s="355">
        <v>60</v>
      </c>
      <c r="F7083" s="1662">
        <v>10</v>
      </c>
    </row>
    <row r="7084" spans="1:6" ht="15" customHeight="1" x14ac:dyDescent="0.25">
      <c r="A7084" s="2352" t="s">
        <v>7120</v>
      </c>
      <c r="B7084" s="2352" t="s">
        <v>6823</v>
      </c>
      <c r="C7084" s="2352" t="s">
        <v>6823</v>
      </c>
      <c r="D7084" s="2352" t="s">
        <v>7121</v>
      </c>
      <c r="E7084" s="355">
        <v>100</v>
      </c>
      <c r="F7084" s="1662">
        <v>70</v>
      </c>
    </row>
    <row r="7085" spans="1:6" ht="15" customHeight="1" x14ac:dyDescent="0.25">
      <c r="A7085" s="2352" t="s">
        <v>7122</v>
      </c>
      <c r="B7085" s="2352" t="s">
        <v>6823</v>
      </c>
      <c r="C7085" s="2352" t="s">
        <v>6823</v>
      </c>
      <c r="D7085" s="2352" t="s">
        <v>7123</v>
      </c>
      <c r="E7085" s="355">
        <v>30</v>
      </c>
      <c r="F7085" s="1662">
        <v>5</v>
      </c>
    </row>
    <row r="7086" spans="1:6" ht="15" customHeight="1" x14ac:dyDescent="0.25">
      <c r="A7086" s="2352" t="s">
        <v>7124</v>
      </c>
      <c r="B7086" s="2352" t="s">
        <v>6823</v>
      </c>
      <c r="C7086" s="2352" t="s">
        <v>6823</v>
      </c>
      <c r="D7086" s="2352" t="s">
        <v>7125</v>
      </c>
      <c r="E7086" s="355">
        <v>30</v>
      </c>
      <c r="F7086" s="1662">
        <v>5</v>
      </c>
    </row>
    <row r="7087" spans="1:6" ht="15" customHeight="1" x14ac:dyDescent="0.25">
      <c r="A7087" s="2352" t="s">
        <v>7126</v>
      </c>
      <c r="B7087" s="2352" t="s">
        <v>6823</v>
      </c>
      <c r="C7087" s="2352" t="s">
        <v>6823</v>
      </c>
      <c r="D7087" s="2352" t="s">
        <v>7127</v>
      </c>
      <c r="E7087" s="355">
        <v>30</v>
      </c>
      <c r="F7087" s="1662">
        <v>10</v>
      </c>
    </row>
    <row r="7088" spans="1:6" ht="15" customHeight="1" x14ac:dyDescent="0.25">
      <c r="A7088" s="2352" t="s">
        <v>7128</v>
      </c>
      <c r="B7088" s="2352" t="s">
        <v>6823</v>
      </c>
      <c r="C7088" s="2352" t="s">
        <v>6823</v>
      </c>
      <c r="D7088" s="2352" t="s">
        <v>7129</v>
      </c>
      <c r="E7088" s="355">
        <v>30</v>
      </c>
      <c r="F7088" s="1662">
        <v>10</v>
      </c>
    </row>
    <row r="7089" spans="1:6" ht="15" customHeight="1" x14ac:dyDescent="0.25">
      <c r="A7089" s="2352" t="s">
        <v>7130</v>
      </c>
      <c r="B7089" s="2352" t="s">
        <v>6823</v>
      </c>
      <c r="C7089" s="2352" t="s">
        <v>6823</v>
      </c>
      <c r="D7089" s="2352" t="s">
        <v>7131</v>
      </c>
      <c r="E7089" s="355">
        <v>100</v>
      </c>
      <c r="F7089" s="1662">
        <v>60</v>
      </c>
    </row>
    <row r="7090" spans="1:6" ht="15" customHeight="1" x14ac:dyDescent="0.25">
      <c r="A7090" s="2352" t="s">
        <v>7132</v>
      </c>
      <c r="B7090" s="2352" t="s">
        <v>6823</v>
      </c>
      <c r="C7090" s="2352" t="s">
        <v>6823</v>
      </c>
      <c r="D7090" s="2352" t="s">
        <v>7133</v>
      </c>
      <c r="E7090" s="355">
        <v>100</v>
      </c>
      <c r="F7090" s="1662">
        <v>40</v>
      </c>
    </row>
    <row r="7091" spans="1:6" ht="15" customHeight="1" x14ac:dyDescent="0.25">
      <c r="A7091" s="2352" t="s">
        <v>7134</v>
      </c>
      <c r="B7091" s="2352" t="s">
        <v>6823</v>
      </c>
      <c r="C7091" s="2352" t="s">
        <v>6823</v>
      </c>
      <c r="D7091" s="2352" t="s">
        <v>7135</v>
      </c>
      <c r="E7091" s="355">
        <v>100</v>
      </c>
      <c r="F7091" s="1662">
        <v>10</v>
      </c>
    </row>
    <row r="7092" spans="1:6" ht="15" customHeight="1" x14ac:dyDescent="0.25">
      <c r="A7092" s="2352" t="s">
        <v>7136</v>
      </c>
      <c r="B7092" s="2352" t="s">
        <v>6823</v>
      </c>
      <c r="C7092" s="2352" t="s">
        <v>6823</v>
      </c>
      <c r="D7092" s="2352" t="s">
        <v>7137</v>
      </c>
      <c r="E7092" s="355">
        <v>30</v>
      </c>
      <c r="F7092" s="1662">
        <v>10</v>
      </c>
    </row>
    <row r="7093" spans="1:6" ht="15" customHeight="1" x14ac:dyDescent="0.25">
      <c r="A7093" s="2352" t="s">
        <v>6978</v>
      </c>
      <c r="B7093" s="2352" t="s">
        <v>6823</v>
      </c>
      <c r="C7093" s="2352" t="s">
        <v>6823</v>
      </c>
      <c r="D7093" s="2352" t="s">
        <v>7138</v>
      </c>
      <c r="E7093" s="355">
        <v>250</v>
      </c>
      <c r="F7093" s="1662">
        <v>90</v>
      </c>
    </row>
    <row r="7094" spans="1:6" ht="15" customHeight="1" x14ac:dyDescent="0.25">
      <c r="A7094" s="2352" t="s">
        <v>7139</v>
      </c>
      <c r="B7094" s="2352" t="s">
        <v>6823</v>
      </c>
      <c r="C7094" s="2352" t="s">
        <v>6823</v>
      </c>
      <c r="D7094" s="2352" t="s">
        <v>7140</v>
      </c>
      <c r="E7094" s="355">
        <v>60</v>
      </c>
      <c r="F7094" s="1662">
        <v>20</v>
      </c>
    </row>
    <row r="7095" spans="1:6" ht="15" customHeight="1" x14ac:dyDescent="0.25">
      <c r="A7095" s="2352" t="s">
        <v>6843</v>
      </c>
      <c r="B7095" s="2352" t="s">
        <v>6823</v>
      </c>
      <c r="C7095" s="2352" t="s">
        <v>6823</v>
      </c>
      <c r="D7095" s="2352" t="s">
        <v>7142</v>
      </c>
      <c r="E7095" s="355">
        <v>250</v>
      </c>
      <c r="F7095" s="1662">
        <v>90</v>
      </c>
    </row>
    <row r="7096" spans="1:6" ht="15" customHeight="1" x14ac:dyDescent="0.25">
      <c r="A7096" s="2352" t="s">
        <v>6914</v>
      </c>
      <c r="B7096" s="2352" t="s">
        <v>6823</v>
      </c>
      <c r="C7096" s="2352" t="s">
        <v>6823</v>
      </c>
      <c r="D7096" s="2352" t="s">
        <v>7143</v>
      </c>
      <c r="E7096" s="355">
        <v>160</v>
      </c>
      <c r="F7096" s="1662">
        <v>60</v>
      </c>
    </row>
    <row r="7097" spans="1:6" ht="15" customHeight="1" x14ac:dyDescent="0.25">
      <c r="A7097" s="2352" t="s">
        <v>7144</v>
      </c>
      <c r="B7097" s="2352" t="s">
        <v>6823</v>
      </c>
      <c r="C7097" s="2352" t="s">
        <v>6823</v>
      </c>
      <c r="D7097" s="2352" t="s">
        <v>7145</v>
      </c>
      <c r="E7097" s="355">
        <v>30</v>
      </c>
      <c r="F7097" s="1662">
        <v>5</v>
      </c>
    </row>
    <row r="7098" spans="1:6" ht="15" customHeight="1" x14ac:dyDescent="0.25">
      <c r="A7098" s="2352" t="s">
        <v>7146</v>
      </c>
      <c r="B7098" s="2352" t="s">
        <v>6823</v>
      </c>
      <c r="C7098" s="2352" t="s">
        <v>6823</v>
      </c>
      <c r="D7098" s="2352" t="s">
        <v>7147</v>
      </c>
      <c r="E7098" s="355">
        <v>160</v>
      </c>
      <c r="F7098" s="1662">
        <v>100</v>
      </c>
    </row>
    <row r="7099" spans="1:6" ht="15" customHeight="1" x14ac:dyDescent="0.25">
      <c r="A7099" s="2352" t="s">
        <v>7148</v>
      </c>
      <c r="B7099" s="2352" t="s">
        <v>6823</v>
      </c>
      <c r="C7099" s="2352" t="s">
        <v>6823</v>
      </c>
      <c r="D7099" s="2352" t="s">
        <v>7149</v>
      </c>
      <c r="E7099" s="355">
        <v>30</v>
      </c>
      <c r="F7099" s="1662">
        <v>5</v>
      </c>
    </row>
    <row r="7100" spans="1:6" ht="15" customHeight="1" x14ac:dyDescent="0.25">
      <c r="A7100" s="2352" t="s">
        <v>7150</v>
      </c>
      <c r="B7100" s="2352" t="s">
        <v>6823</v>
      </c>
      <c r="C7100" s="2352" t="s">
        <v>6823</v>
      </c>
      <c r="D7100" s="2352" t="s">
        <v>7151</v>
      </c>
      <c r="E7100" s="355">
        <v>100</v>
      </c>
      <c r="F7100" s="1662">
        <v>10</v>
      </c>
    </row>
    <row r="7101" spans="1:6" ht="15" customHeight="1" x14ac:dyDescent="0.25">
      <c r="A7101" s="2352" t="s">
        <v>7150</v>
      </c>
      <c r="B7101" s="2352" t="s">
        <v>6823</v>
      </c>
      <c r="C7101" s="2352" t="s">
        <v>6823</v>
      </c>
      <c r="D7101" s="2352" t="s">
        <v>7152</v>
      </c>
      <c r="E7101" s="355">
        <v>100</v>
      </c>
      <c r="F7101" s="1662">
        <v>10</v>
      </c>
    </row>
    <row r="7102" spans="1:6" ht="15" customHeight="1" x14ac:dyDescent="0.25">
      <c r="A7102" s="2352" t="s">
        <v>7150</v>
      </c>
      <c r="B7102" s="2352" t="s">
        <v>6823</v>
      </c>
      <c r="C7102" s="2352" t="s">
        <v>6823</v>
      </c>
      <c r="D7102" s="2352" t="s">
        <v>7153</v>
      </c>
      <c r="E7102" s="355">
        <v>100</v>
      </c>
      <c r="F7102" s="1662">
        <v>10</v>
      </c>
    </row>
    <row r="7103" spans="1:6" ht="15" customHeight="1" x14ac:dyDescent="0.25">
      <c r="A7103" s="2352" t="s">
        <v>7030</v>
      </c>
      <c r="B7103" s="2352" t="s">
        <v>6823</v>
      </c>
      <c r="C7103" s="2352" t="s">
        <v>6823</v>
      </c>
      <c r="D7103" s="2352" t="s">
        <v>7154</v>
      </c>
      <c r="E7103" s="355">
        <v>40</v>
      </c>
      <c r="F7103" s="1662">
        <v>10</v>
      </c>
    </row>
    <row r="7104" spans="1:6" ht="15" customHeight="1" x14ac:dyDescent="0.25">
      <c r="A7104" s="2352" t="s">
        <v>6499</v>
      </c>
      <c r="B7104" s="2352" t="s">
        <v>6823</v>
      </c>
      <c r="C7104" s="2352" t="s">
        <v>6823</v>
      </c>
      <c r="D7104" s="2352" t="s">
        <v>7155</v>
      </c>
      <c r="E7104" s="355">
        <v>160</v>
      </c>
      <c r="F7104" s="1662">
        <v>100</v>
      </c>
    </row>
    <row r="7105" spans="1:6" ht="15" customHeight="1" x14ac:dyDescent="0.25">
      <c r="A7105" s="2352" t="s">
        <v>7156</v>
      </c>
      <c r="B7105" s="2352" t="s">
        <v>6823</v>
      </c>
      <c r="C7105" s="2352" t="s">
        <v>6823</v>
      </c>
      <c r="D7105" s="2352" t="s">
        <v>7157</v>
      </c>
      <c r="E7105" s="355">
        <v>30</v>
      </c>
      <c r="F7105" s="1662">
        <v>5</v>
      </c>
    </row>
    <row r="7106" spans="1:6" ht="15" customHeight="1" x14ac:dyDescent="0.25">
      <c r="A7106" s="2352" t="s">
        <v>7158</v>
      </c>
      <c r="B7106" s="2352" t="s">
        <v>6823</v>
      </c>
      <c r="C7106" s="2352" t="s">
        <v>6823</v>
      </c>
      <c r="D7106" s="2352" t="s">
        <v>7159</v>
      </c>
      <c r="E7106" s="355">
        <v>30</v>
      </c>
      <c r="F7106" s="1662">
        <v>5</v>
      </c>
    </row>
    <row r="7107" spans="1:6" ht="15" customHeight="1" x14ac:dyDescent="0.25">
      <c r="A7107" s="2352" t="s">
        <v>7160</v>
      </c>
      <c r="B7107" s="2352" t="s">
        <v>6823</v>
      </c>
      <c r="C7107" s="2352" t="s">
        <v>6823</v>
      </c>
      <c r="D7107" s="2352" t="s">
        <v>7161</v>
      </c>
      <c r="E7107" s="355">
        <v>60</v>
      </c>
      <c r="F7107" s="1662">
        <v>30</v>
      </c>
    </row>
    <row r="7108" spans="1:6" ht="15" customHeight="1" x14ac:dyDescent="0.25">
      <c r="A7108" s="2352" t="s">
        <v>7162</v>
      </c>
      <c r="B7108" s="2352" t="s">
        <v>6823</v>
      </c>
      <c r="C7108" s="2352" t="s">
        <v>6823</v>
      </c>
      <c r="D7108" s="2352" t="s">
        <v>7163</v>
      </c>
      <c r="E7108" s="355">
        <v>30</v>
      </c>
      <c r="F7108" s="1662">
        <v>10</v>
      </c>
    </row>
    <row r="7109" spans="1:6" ht="15" customHeight="1" x14ac:dyDescent="0.25">
      <c r="A7109" s="2352" t="s">
        <v>7164</v>
      </c>
      <c r="B7109" s="2352" t="s">
        <v>6823</v>
      </c>
      <c r="C7109" s="2352" t="s">
        <v>6823</v>
      </c>
      <c r="D7109" s="2352" t="s">
        <v>7165</v>
      </c>
      <c r="E7109" s="355">
        <v>160</v>
      </c>
      <c r="F7109" s="1662">
        <v>60</v>
      </c>
    </row>
    <row r="7110" spans="1:6" ht="15" customHeight="1" x14ac:dyDescent="0.25">
      <c r="A7110" s="2352" t="s">
        <v>7150</v>
      </c>
      <c r="B7110" s="2352" t="s">
        <v>6823</v>
      </c>
      <c r="C7110" s="2352" t="s">
        <v>6823</v>
      </c>
      <c r="D7110" s="2352" t="s">
        <v>7166</v>
      </c>
      <c r="E7110" s="355">
        <v>250</v>
      </c>
      <c r="F7110" s="1662">
        <v>150</v>
      </c>
    </row>
    <row r="7111" spans="1:6" ht="15" customHeight="1" x14ac:dyDescent="0.25">
      <c r="A7111" s="2352" t="s">
        <v>7043</v>
      </c>
      <c r="B7111" s="2352" t="s">
        <v>6823</v>
      </c>
      <c r="C7111" s="2352" t="s">
        <v>6823</v>
      </c>
      <c r="D7111" s="2352" t="s">
        <v>7167</v>
      </c>
      <c r="E7111" s="355" t="s">
        <v>4202</v>
      </c>
      <c r="F7111" s="1662">
        <v>250</v>
      </c>
    </row>
    <row r="7112" spans="1:6" ht="15" customHeight="1" x14ac:dyDescent="0.25">
      <c r="A7112" s="2352" t="s">
        <v>7168</v>
      </c>
      <c r="B7112" s="2352" t="s">
        <v>6823</v>
      </c>
      <c r="C7112" s="2352" t="s">
        <v>6823</v>
      </c>
      <c r="D7112" s="2352" t="s">
        <v>7169</v>
      </c>
      <c r="E7112" s="355">
        <v>100</v>
      </c>
      <c r="F7112" s="1662">
        <v>10</v>
      </c>
    </row>
    <row r="7113" spans="1:6" ht="15" customHeight="1" x14ac:dyDescent="0.25">
      <c r="A7113" s="2352" t="s">
        <v>6914</v>
      </c>
      <c r="B7113" s="2352" t="s">
        <v>6823</v>
      </c>
      <c r="C7113" s="2352" t="s">
        <v>6823</v>
      </c>
      <c r="D7113" s="2352" t="s">
        <v>7170</v>
      </c>
      <c r="E7113" s="355">
        <v>160</v>
      </c>
      <c r="F7113" s="1662">
        <v>20</v>
      </c>
    </row>
    <row r="7114" spans="1:6" ht="15" customHeight="1" x14ac:dyDescent="0.25">
      <c r="A7114" s="2352" t="s">
        <v>7171</v>
      </c>
      <c r="B7114" s="2352" t="s">
        <v>6823</v>
      </c>
      <c r="C7114" s="2352" t="s">
        <v>6823</v>
      </c>
      <c r="D7114" s="2352" t="s">
        <v>7172</v>
      </c>
      <c r="E7114" s="355">
        <v>60</v>
      </c>
      <c r="F7114" s="1662">
        <v>30</v>
      </c>
    </row>
    <row r="7115" spans="1:6" ht="15" customHeight="1" x14ac:dyDescent="0.25">
      <c r="A7115" s="2352" t="s">
        <v>6896</v>
      </c>
      <c r="B7115" s="2352" t="s">
        <v>6823</v>
      </c>
      <c r="C7115" s="2352" t="s">
        <v>6823</v>
      </c>
      <c r="D7115" s="2352" t="s">
        <v>7173</v>
      </c>
      <c r="E7115" s="355">
        <v>100</v>
      </c>
      <c r="F7115" s="1662">
        <v>20</v>
      </c>
    </row>
    <row r="7116" spans="1:6" ht="15" customHeight="1" x14ac:dyDescent="0.25">
      <c r="A7116" s="2352" t="s">
        <v>7174</v>
      </c>
      <c r="B7116" s="2352" t="s">
        <v>6823</v>
      </c>
      <c r="C7116" s="2352" t="s">
        <v>6823</v>
      </c>
      <c r="D7116" s="2352" t="s">
        <v>7175</v>
      </c>
      <c r="E7116" s="355">
        <v>30</v>
      </c>
      <c r="F7116" s="1662">
        <v>5</v>
      </c>
    </row>
    <row r="7117" spans="1:6" ht="15" customHeight="1" x14ac:dyDescent="0.25">
      <c r="A7117" s="2352" t="s">
        <v>6084</v>
      </c>
      <c r="B7117" s="2352" t="s">
        <v>6823</v>
      </c>
      <c r="C7117" s="2352" t="s">
        <v>6823</v>
      </c>
      <c r="D7117" s="2352" t="s">
        <v>7176</v>
      </c>
      <c r="E7117" s="355">
        <v>10</v>
      </c>
      <c r="F7117" s="1662">
        <v>5</v>
      </c>
    </row>
    <row r="7118" spans="1:6" ht="15" customHeight="1" x14ac:dyDescent="0.25">
      <c r="A7118" s="2352" t="s">
        <v>7177</v>
      </c>
      <c r="B7118" s="2352" t="s">
        <v>6823</v>
      </c>
      <c r="C7118" s="2352" t="s">
        <v>6823</v>
      </c>
      <c r="D7118" s="2352" t="s">
        <v>7178</v>
      </c>
      <c r="E7118" s="355">
        <v>100</v>
      </c>
      <c r="F7118" s="1662">
        <v>40</v>
      </c>
    </row>
    <row r="7119" spans="1:6" ht="15" customHeight="1" x14ac:dyDescent="0.25">
      <c r="A7119" s="2352" t="s">
        <v>6986</v>
      </c>
      <c r="B7119" s="2352" t="s">
        <v>6823</v>
      </c>
      <c r="C7119" s="2352" t="s">
        <v>6823</v>
      </c>
      <c r="D7119" s="2352" t="s">
        <v>7179</v>
      </c>
      <c r="E7119" s="355">
        <v>160</v>
      </c>
      <c r="F7119" s="1662" t="s">
        <v>7180</v>
      </c>
    </row>
    <row r="7120" spans="1:6" ht="15" customHeight="1" x14ac:dyDescent="0.25">
      <c r="A7120" s="2352" t="s">
        <v>6822</v>
      </c>
      <c r="B7120" s="2352" t="s">
        <v>6823</v>
      </c>
      <c r="C7120" s="2352" t="s">
        <v>6823</v>
      </c>
      <c r="D7120" s="2352" t="s">
        <v>7181</v>
      </c>
      <c r="E7120" s="355">
        <v>160</v>
      </c>
      <c r="F7120" s="1662" t="s">
        <v>7180</v>
      </c>
    </row>
    <row r="7121" spans="1:6" ht="15" customHeight="1" x14ac:dyDescent="0.25">
      <c r="A7121" s="2352" t="s">
        <v>6822</v>
      </c>
      <c r="B7121" s="2352" t="s">
        <v>6823</v>
      </c>
      <c r="C7121" s="2352" t="s">
        <v>6823</v>
      </c>
      <c r="D7121" s="2352" t="s">
        <v>7182</v>
      </c>
      <c r="E7121" s="355">
        <v>250</v>
      </c>
      <c r="F7121" s="1662" t="s">
        <v>7180</v>
      </c>
    </row>
    <row r="7122" spans="1:6" ht="15" customHeight="1" x14ac:dyDescent="0.25">
      <c r="A7122" s="2352" t="s">
        <v>6822</v>
      </c>
      <c r="B7122" s="2352" t="s">
        <v>6823</v>
      </c>
      <c r="C7122" s="2352" t="s">
        <v>6823</v>
      </c>
      <c r="D7122" s="2352" t="s">
        <v>7183</v>
      </c>
      <c r="E7122" s="355">
        <v>250</v>
      </c>
      <c r="F7122" s="1662" t="s">
        <v>7180</v>
      </c>
    </row>
    <row r="7123" spans="1:6" ht="15" customHeight="1" x14ac:dyDescent="0.25">
      <c r="A7123" s="2352" t="s">
        <v>6878</v>
      </c>
      <c r="B7123" s="2352" t="s">
        <v>6823</v>
      </c>
      <c r="C7123" s="2352" t="s">
        <v>6823</v>
      </c>
      <c r="D7123" s="2352" t="s">
        <v>7184</v>
      </c>
      <c r="E7123" s="355">
        <v>250</v>
      </c>
      <c r="F7123" s="1662" t="s">
        <v>7180</v>
      </c>
    </row>
    <row r="7124" spans="1:6" ht="15" customHeight="1" x14ac:dyDescent="0.25">
      <c r="A7124" s="2352" t="s">
        <v>7150</v>
      </c>
      <c r="B7124" s="2352" t="s">
        <v>6823</v>
      </c>
      <c r="C7124" s="2352" t="s">
        <v>6823</v>
      </c>
      <c r="D7124" s="2352" t="s">
        <v>7185</v>
      </c>
      <c r="E7124" s="355">
        <v>250</v>
      </c>
      <c r="F7124" s="1662" t="s">
        <v>7180</v>
      </c>
    </row>
    <row r="7125" spans="1:6" ht="15" customHeight="1" x14ac:dyDescent="0.25">
      <c r="A7125" s="2352" t="s">
        <v>7150</v>
      </c>
      <c r="B7125" s="2352" t="s">
        <v>6823</v>
      </c>
      <c r="C7125" s="2352" t="s">
        <v>6823</v>
      </c>
      <c r="D7125" s="2352" t="s">
        <v>7186</v>
      </c>
      <c r="E7125" s="355">
        <v>250</v>
      </c>
      <c r="F7125" s="1662" t="s">
        <v>7180</v>
      </c>
    </row>
    <row r="7126" spans="1:6" ht="15" customHeight="1" x14ac:dyDescent="0.25">
      <c r="A7126" s="2352" t="s">
        <v>7002</v>
      </c>
      <c r="B7126" s="2352" t="s">
        <v>6823</v>
      </c>
      <c r="C7126" s="2352" t="s">
        <v>6823</v>
      </c>
      <c r="D7126" s="2352" t="s">
        <v>7187</v>
      </c>
      <c r="E7126" s="355">
        <v>160</v>
      </c>
      <c r="F7126" s="1662" t="s">
        <v>7180</v>
      </c>
    </row>
    <row r="7127" spans="1:6" ht="15" customHeight="1" x14ac:dyDescent="0.25">
      <c r="A7127" s="2352" t="s">
        <v>7043</v>
      </c>
      <c r="B7127" s="2352" t="s">
        <v>6823</v>
      </c>
      <c r="C7127" s="2352" t="s">
        <v>6823</v>
      </c>
      <c r="D7127" s="2352" t="s">
        <v>7188</v>
      </c>
      <c r="E7127" s="355">
        <v>100</v>
      </c>
      <c r="F7127" s="1662" t="s">
        <v>7180</v>
      </c>
    </row>
    <row r="7128" spans="1:6" ht="15" customHeight="1" x14ac:dyDescent="0.25">
      <c r="A7128" s="2352" t="s">
        <v>7066</v>
      </c>
      <c r="B7128" s="2352" t="s">
        <v>6823</v>
      </c>
      <c r="C7128" s="2352" t="s">
        <v>6823</v>
      </c>
      <c r="D7128" s="2352" t="s">
        <v>7189</v>
      </c>
      <c r="E7128" s="355">
        <v>160</v>
      </c>
      <c r="F7128" s="1662" t="s">
        <v>7180</v>
      </c>
    </row>
    <row r="7129" spans="1:6" ht="15" customHeight="1" x14ac:dyDescent="0.25">
      <c r="A7129" s="2352" t="s">
        <v>7030</v>
      </c>
      <c r="B7129" s="2352" t="s">
        <v>6823</v>
      </c>
      <c r="C7129" s="2352" t="s">
        <v>6823</v>
      </c>
      <c r="D7129" s="2352" t="s">
        <v>7190</v>
      </c>
      <c r="E7129" s="355">
        <v>30</v>
      </c>
      <c r="F7129" s="1662" t="s">
        <v>7180</v>
      </c>
    </row>
    <row r="7130" spans="1:6" ht="15" customHeight="1" x14ac:dyDescent="0.25">
      <c r="A7130" s="2352" t="s">
        <v>7030</v>
      </c>
      <c r="B7130" s="2352" t="s">
        <v>6823</v>
      </c>
      <c r="C7130" s="2352" t="s">
        <v>6823</v>
      </c>
      <c r="D7130" s="2352" t="s">
        <v>7191</v>
      </c>
      <c r="E7130" s="355">
        <v>10</v>
      </c>
      <c r="F7130" s="1662" t="s">
        <v>7180</v>
      </c>
    </row>
    <row r="7131" spans="1:6" ht="15" customHeight="1" x14ac:dyDescent="0.25">
      <c r="A7131" s="2352" t="s">
        <v>7100</v>
      </c>
      <c r="B7131" s="2352" t="s">
        <v>6823</v>
      </c>
      <c r="C7131" s="2352" t="s">
        <v>6823</v>
      </c>
      <c r="D7131" s="2352" t="s">
        <v>7192</v>
      </c>
      <c r="E7131" s="355">
        <v>250</v>
      </c>
      <c r="F7131" s="1662" t="s">
        <v>7180</v>
      </c>
    </row>
    <row r="7132" spans="1:6" ht="15" customHeight="1" x14ac:dyDescent="0.25">
      <c r="A7132" s="2352" t="s">
        <v>7150</v>
      </c>
      <c r="B7132" s="2352" t="s">
        <v>6823</v>
      </c>
      <c r="C7132" s="2352" t="s">
        <v>6823</v>
      </c>
      <c r="D7132" s="2352" t="s">
        <v>7193</v>
      </c>
      <c r="E7132" s="355">
        <v>100</v>
      </c>
      <c r="F7132" s="1662" t="s">
        <v>7180</v>
      </c>
    </row>
    <row r="7133" spans="1:6" ht="15" customHeight="1" x14ac:dyDescent="0.25">
      <c r="A7133" s="2352" t="s">
        <v>14943</v>
      </c>
      <c r="B7133" s="2352" t="s">
        <v>11235</v>
      </c>
      <c r="C7133" s="2352" t="s">
        <v>11235</v>
      </c>
      <c r="D7133" s="2352" t="s">
        <v>11236</v>
      </c>
      <c r="E7133" s="355">
        <v>10</v>
      </c>
      <c r="F7133" s="1662">
        <v>0</v>
      </c>
    </row>
    <row r="7134" spans="1:6" ht="15" customHeight="1" x14ac:dyDescent="0.25">
      <c r="A7134" s="2352" t="s">
        <v>13816</v>
      </c>
      <c r="B7134" s="2352" t="s">
        <v>11235</v>
      </c>
      <c r="C7134" s="2352" t="s">
        <v>11235</v>
      </c>
      <c r="D7134" s="2352" t="s">
        <v>11237</v>
      </c>
      <c r="E7134" s="355">
        <v>100</v>
      </c>
      <c r="F7134" s="1662">
        <v>20</v>
      </c>
    </row>
    <row r="7135" spans="1:6" ht="15" customHeight="1" x14ac:dyDescent="0.25">
      <c r="A7135" s="2352" t="s">
        <v>14944</v>
      </c>
      <c r="B7135" s="2352" t="s">
        <v>11235</v>
      </c>
      <c r="C7135" s="2352" t="s">
        <v>11235</v>
      </c>
      <c r="D7135" s="2352" t="s">
        <v>11238</v>
      </c>
      <c r="E7135" s="355">
        <v>63</v>
      </c>
      <c r="F7135" s="1662">
        <v>10</v>
      </c>
    </row>
    <row r="7136" spans="1:6" ht="15" customHeight="1" x14ac:dyDescent="0.25">
      <c r="A7136" s="2352" t="s">
        <v>14945</v>
      </c>
      <c r="B7136" s="2352" t="s">
        <v>11235</v>
      </c>
      <c r="C7136" s="2352" t="s">
        <v>11235</v>
      </c>
      <c r="D7136" s="2352" t="s">
        <v>11239</v>
      </c>
      <c r="E7136" s="355">
        <v>30</v>
      </c>
      <c r="F7136" s="1662">
        <v>10</v>
      </c>
    </row>
    <row r="7137" spans="1:6" ht="15" customHeight="1" x14ac:dyDescent="0.25">
      <c r="A7137" s="2352" t="s">
        <v>14509</v>
      </c>
      <c r="B7137" s="2352" t="s">
        <v>11235</v>
      </c>
      <c r="C7137" s="2352" t="s">
        <v>11235</v>
      </c>
      <c r="D7137" s="2352" t="s">
        <v>11240</v>
      </c>
      <c r="E7137" s="355">
        <v>100</v>
      </c>
      <c r="F7137" s="1662">
        <v>40</v>
      </c>
    </row>
    <row r="7138" spans="1:6" ht="15" customHeight="1" x14ac:dyDescent="0.25">
      <c r="A7138" s="2352" t="s">
        <v>14898</v>
      </c>
      <c r="B7138" s="2352" t="s">
        <v>11235</v>
      </c>
      <c r="C7138" s="2352" t="s">
        <v>11235</v>
      </c>
      <c r="D7138" s="2352" t="s">
        <v>11241</v>
      </c>
      <c r="E7138" s="355">
        <v>40</v>
      </c>
      <c r="F7138" s="1662">
        <v>5</v>
      </c>
    </row>
    <row r="7139" spans="1:6" ht="15" customHeight="1" x14ac:dyDescent="0.25">
      <c r="A7139" s="2352" t="s">
        <v>14946</v>
      </c>
      <c r="B7139" s="2352" t="s">
        <v>11235</v>
      </c>
      <c r="C7139" s="2352" t="s">
        <v>11235</v>
      </c>
      <c r="D7139" s="2352" t="s">
        <v>11242</v>
      </c>
      <c r="E7139" s="355">
        <v>250</v>
      </c>
      <c r="F7139" s="1662">
        <v>30</v>
      </c>
    </row>
    <row r="7140" spans="1:6" ht="15" customHeight="1" x14ac:dyDescent="0.25">
      <c r="A7140" s="2352" t="s">
        <v>14947</v>
      </c>
      <c r="B7140" s="2352" t="s">
        <v>11235</v>
      </c>
      <c r="C7140" s="2352" t="s">
        <v>11235</v>
      </c>
      <c r="D7140" s="2352" t="s">
        <v>11243</v>
      </c>
      <c r="E7140" s="355">
        <v>100</v>
      </c>
      <c r="F7140" s="1662">
        <v>50</v>
      </c>
    </row>
    <row r="7141" spans="1:6" ht="15" customHeight="1" x14ac:dyDescent="0.25">
      <c r="A7141" s="2352" t="s">
        <v>14947</v>
      </c>
      <c r="B7141" s="2352" t="s">
        <v>11235</v>
      </c>
      <c r="C7141" s="2352" t="s">
        <v>11235</v>
      </c>
      <c r="D7141" s="2352" t="s">
        <v>11244</v>
      </c>
      <c r="E7141" s="355">
        <v>100</v>
      </c>
      <c r="F7141" s="1662">
        <v>40</v>
      </c>
    </row>
    <row r="7142" spans="1:6" ht="15" customHeight="1" x14ac:dyDescent="0.25">
      <c r="A7142" s="2352" t="s">
        <v>14946</v>
      </c>
      <c r="B7142" s="2352" t="s">
        <v>11235</v>
      </c>
      <c r="C7142" s="2352" t="s">
        <v>11235</v>
      </c>
      <c r="D7142" s="2352" t="s">
        <v>11245</v>
      </c>
      <c r="E7142" s="355">
        <v>100</v>
      </c>
      <c r="F7142" s="1662">
        <v>5</v>
      </c>
    </row>
    <row r="7143" spans="1:6" ht="15" customHeight="1" x14ac:dyDescent="0.25">
      <c r="A7143" s="2352" t="s">
        <v>14948</v>
      </c>
      <c r="B7143" s="2352" t="s">
        <v>11235</v>
      </c>
      <c r="C7143" s="2352" t="s">
        <v>11235</v>
      </c>
      <c r="D7143" s="2352" t="s">
        <v>11246</v>
      </c>
      <c r="E7143" s="355">
        <v>250</v>
      </c>
      <c r="F7143" s="1662">
        <v>150</v>
      </c>
    </row>
    <row r="7144" spans="1:6" ht="15" customHeight="1" x14ac:dyDescent="0.25">
      <c r="A7144" s="2352" t="s">
        <v>14946</v>
      </c>
      <c r="B7144" s="2352" t="s">
        <v>11235</v>
      </c>
      <c r="C7144" s="2352" t="s">
        <v>11235</v>
      </c>
      <c r="D7144" s="2352" t="s">
        <v>11247</v>
      </c>
      <c r="E7144" s="355">
        <v>160</v>
      </c>
      <c r="F7144" s="1662">
        <v>60</v>
      </c>
    </row>
    <row r="7145" spans="1:6" ht="15" customHeight="1" x14ac:dyDescent="0.25">
      <c r="A7145" s="2352" t="s">
        <v>14947</v>
      </c>
      <c r="B7145" s="2352" t="s">
        <v>11235</v>
      </c>
      <c r="C7145" s="2352" t="s">
        <v>11235</v>
      </c>
      <c r="D7145" s="2352" t="s">
        <v>11248</v>
      </c>
      <c r="E7145" s="355">
        <v>400</v>
      </c>
      <c r="F7145" s="1662">
        <v>100</v>
      </c>
    </row>
    <row r="7146" spans="1:6" ht="15" customHeight="1" x14ac:dyDescent="0.25">
      <c r="A7146" s="2352" t="s">
        <v>14949</v>
      </c>
      <c r="B7146" s="2352" t="s">
        <v>11235</v>
      </c>
      <c r="C7146" s="2352" t="s">
        <v>11235</v>
      </c>
      <c r="D7146" s="2352" t="s">
        <v>11249</v>
      </c>
      <c r="E7146" s="355">
        <v>250</v>
      </c>
      <c r="F7146" s="1662">
        <v>100</v>
      </c>
    </row>
    <row r="7147" spans="1:6" ht="15" customHeight="1" x14ac:dyDescent="0.25">
      <c r="A7147" s="2352" t="s">
        <v>14949</v>
      </c>
      <c r="B7147" s="2352" t="s">
        <v>11235</v>
      </c>
      <c r="C7147" s="2352" t="s">
        <v>11235</v>
      </c>
      <c r="D7147" s="2352" t="s">
        <v>11250</v>
      </c>
      <c r="E7147" s="355">
        <v>40</v>
      </c>
      <c r="F7147" s="1662">
        <v>10</v>
      </c>
    </row>
    <row r="7148" spans="1:6" ht="15" customHeight="1" x14ac:dyDescent="0.25">
      <c r="A7148" s="2352" t="s">
        <v>14949</v>
      </c>
      <c r="B7148" s="2352" t="s">
        <v>11235</v>
      </c>
      <c r="C7148" s="2352" t="s">
        <v>11235</v>
      </c>
      <c r="D7148" s="2352" t="s">
        <v>11251</v>
      </c>
      <c r="E7148" s="355">
        <v>160</v>
      </c>
      <c r="F7148" s="1662">
        <v>50</v>
      </c>
    </row>
    <row r="7149" spans="1:6" ht="15" customHeight="1" x14ac:dyDescent="0.25">
      <c r="A7149" s="2352" t="s">
        <v>14949</v>
      </c>
      <c r="B7149" s="2352" t="s">
        <v>11235</v>
      </c>
      <c r="C7149" s="2352" t="s">
        <v>11235</v>
      </c>
      <c r="D7149" s="2352" t="s">
        <v>11252</v>
      </c>
      <c r="E7149" s="355">
        <v>100</v>
      </c>
      <c r="F7149" s="1662">
        <v>20</v>
      </c>
    </row>
    <row r="7150" spans="1:6" ht="15" customHeight="1" x14ac:dyDescent="0.25">
      <c r="A7150" s="2352" t="s">
        <v>14950</v>
      </c>
      <c r="B7150" s="2352" t="s">
        <v>11235</v>
      </c>
      <c r="C7150" s="2352" t="s">
        <v>11235</v>
      </c>
      <c r="D7150" s="2352" t="s">
        <v>11253</v>
      </c>
      <c r="E7150" s="355">
        <v>20</v>
      </c>
      <c r="F7150" s="1662">
        <v>10</v>
      </c>
    </row>
    <row r="7151" spans="1:6" ht="15" customHeight="1" x14ac:dyDescent="0.25">
      <c r="A7151" s="2352" t="s">
        <v>14951</v>
      </c>
      <c r="B7151" s="2352" t="s">
        <v>11235</v>
      </c>
      <c r="C7151" s="2352" t="s">
        <v>11235</v>
      </c>
      <c r="D7151" s="2352" t="s">
        <v>11254</v>
      </c>
      <c r="E7151" s="355">
        <v>30</v>
      </c>
      <c r="F7151" s="1662">
        <v>10</v>
      </c>
    </row>
    <row r="7152" spans="1:6" ht="15" customHeight="1" x14ac:dyDescent="0.25">
      <c r="A7152" s="2352" t="s">
        <v>3920</v>
      </c>
      <c r="B7152" s="2352" t="s">
        <v>11235</v>
      </c>
      <c r="C7152" s="2352" t="s">
        <v>11235</v>
      </c>
      <c r="D7152" s="2352" t="s">
        <v>11255</v>
      </c>
      <c r="E7152" s="355">
        <v>10</v>
      </c>
      <c r="F7152" s="1662">
        <v>0</v>
      </c>
    </row>
    <row r="7153" spans="1:6" ht="15" customHeight="1" x14ac:dyDescent="0.25">
      <c r="A7153" s="2352" t="s">
        <v>14952</v>
      </c>
      <c r="B7153" s="2352" t="s">
        <v>11235</v>
      </c>
      <c r="C7153" s="2352" t="s">
        <v>11235</v>
      </c>
      <c r="D7153" s="2352" t="s">
        <v>11256</v>
      </c>
      <c r="E7153" s="355">
        <v>20</v>
      </c>
      <c r="F7153" s="1662">
        <v>5</v>
      </c>
    </row>
    <row r="7154" spans="1:6" ht="15" customHeight="1" x14ac:dyDescent="0.25">
      <c r="A7154" s="2352" t="s">
        <v>13816</v>
      </c>
      <c r="B7154" s="2352" t="s">
        <v>11235</v>
      </c>
      <c r="C7154" s="2352" t="s">
        <v>11235</v>
      </c>
      <c r="D7154" s="2352" t="s">
        <v>11257</v>
      </c>
      <c r="E7154" s="355">
        <v>160</v>
      </c>
      <c r="F7154" s="1662">
        <v>100</v>
      </c>
    </row>
    <row r="7155" spans="1:6" ht="15" customHeight="1" x14ac:dyDescent="0.25">
      <c r="A7155" s="2352" t="s">
        <v>14953</v>
      </c>
      <c r="B7155" s="2352" t="s">
        <v>11235</v>
      </c>
      <c r="C7155" s="2352" t="s">
        <v>11235</v>
      </c>
      <c r="D7155" s="2352" t="s">
        <v>11258</v>
      </c>
      <c r="E7155" s="355">
        <v>100</v>
      </c>
      <c r="F7155" s="1662">
        <v>30</v>
      </c>
    </row>
    <row r="7156" spans="1:6" ht="15" customHeight="1" x14ac:dyDescent="0.25">
      <c r="A7156" s="2352" t="s">
        <v>14954</v>
      </c>
      <c r="B7156" s="2352" t="s">
        <v>11235</v>
      </c>
      <c r="C7156" s="2352" t="s">
        <v>11235</v>
      </c>
      <c r="D7156" s="2352" t="s">
        <v>11259</v>
      </c>
      <c r="E7156" s="355">
        <v>63</v>
      </c>
      <c r="F7156" s="1662">
        <v>10</v>
      </c>
    </row>
    <row r="7157" spans="1:6" ht="15" customHeight="1" x14ac:dyDescent="0.25">
      <c r="A7157" s="2352" t="s">
        <v>14955</v>
      </c>
      <c r="B7157" s="2352" t="s">
        <v>11235</v>
      </c>
      <c r="C7157" s="2352" t="s">
        <v>11235</v>
      </c>
      <c r="D7157" s="2352" t="s">
        <v>11260</v>
      </c>
      <c r="E7157" s="355">
        <v>10</v>
      </c>
      <c r="F7157" s="1662">
        <v>0</v>
      </c>
    </row>
    <row r="7158" spans="1:6" ht="15" customHeight="1" x14ac:dyDescent="0.25">
      <c r="A7158" s="2352" t="s">
        <v>14956</v>
      </c>
      <c r="B7158" s="2352" t="s">
        <v>11235</v>
      </c>
      <c r="C7158" s="2352" t="s">
        <v>11235</v>
      </c>
      <c r="D7158" s="2352" t="s">
        <v>11261</v>
      </c>
      <c r="E7158" s="355">
        <v>100</v>
      </c>
      <c r="F7158" s="1662">
        <v>10</v>
      </c>
    </row>
    <row r="7159" spans="1:6" ht="15" customHeight="1" x14ac:dyDescent="0.25">
      <c r="A7159" s="2352" t="s">
        <v>14957</v>
      </c>
      <c r="B7159" s="2352" t="s">
        <v>11235</v>
      </c>
      <c r="C7159" s="2352" t="s">
        <v>11235</v>
      </c>
      <c r="D7159" s="2352" t="s">
        <v>11262</v>
      </c>
      <c r="E7159" s="355">
        <v>30</v>
      </c>
      <c r="F7159" s="1662">
        <v>5</v>
      </c>
    </row>
    <row r="7160" spans="1:6" ht="15" customHeight="1" x14ac:dyDescent="0.25">
      <c r="A7160" s="2352" t="s">
        <v>14958</v>
      </c>
      <c r="B7160" s="2352" t="s">
        <v>11235</v>
      </c>
      <c r="C7160" s="2352" t="s">
        <v>11235</v>
      </c>
      <c r="D7160" s="2352" t="s">
        <v>11263</v>
      </c>
      <c r="E7160" s="355">
        <v>10</v>
      </c>
      <c r="F7160" s="1662">
        <v>0</v>
      </c>
    </row>
    <row r="7161" spans="1:6" ht="15" customHeight="1" x14ac:dyDescent="0.25">
      <c r="A7161" s="2352" t="s">
        <v>14959</v>
      </c>
      <c r="B7161" s="2352" t="s">
        <v>11235</v>
      </c>
      <c r="C7161" s="2352" t="s">
        <v>11235</v>
      </c>
      <c r="D7161" s="2352" t="s">
        <v>11264</v>
      </c>
      <c r="E7161" s="355">
        <v>100</v>
      </c>
      <c r="F7161" s="1662">
        <v>20</v>
      </c>
    </row>
    <row r="7162" spans="1:6" ht="15" customHeight="1" x14ac:dyDescent="0.25">
      <c r="A7162" s="2352" t="s">
        <v>14959</v>
      </c>
      <c r="B7162" s="2352" t="s">
        <v>11235</v>
      </c>
      <c r="C7162" s="2352" t="s">
        <v>11235</v>
      </c>
      <c r="D7162" s="2352" t="s">
        <v>11265</v>
      </c>
      <c r="E7162" s="355">
        <v>160</v>
      </c>
      <c r="F7162" s="1662">
        <v>30</v>
      </c>
    </row>
    <row r="7163" spans="1:6" ht="15" customHeight="1" x14ac:dyDescent="0.25">
      <c r="A7163" s="2352" t="s">
        <v>14959</v>
      </c>
      <c r="B7163" s="2352" t="s">
        <v>11235</v>
      </c>
      <c r="C7163" s="2352" t="s">
        <v>11235</v>
      </c>
      <c r="D7163" s="2352" t="s">
        <v>11266</v>
      </c>
      <c r="E7163" s="355">
        <v>250</v>
      </c>
      <c r="F7163" s="1662">
        <v>150</v>
      </c>
    </row>
    <row r="7164" spans="1:6" ht="15" customHeight="1" x14ac:dyDescent="0.25">
      <c r="A7164" s="2352" t="s">
        <v>14959</v>
      </c>
      <c r="B7164" s="2352" t="s">
        <v>11235</v>
      </c>
      <c r="C7164" s="2352" t="s">
        <v>11235</v>
      </c>
      <c r="D7164" s="2352" t="s">
        <v>11267</v>
      </c>
      <c r="E7164" s="355">
        <v>160</v>
      </c>
      <c r="F7164" s="1662">
        <v>30</v>
      </c>
    </row>
    <row r="7165" spans="1:6" ht="15" customHeight="1" x14ac:dyDescent="0.25">
      <c r="A7165" s="2352" t="s">
        <v>14960</v>
      </c>
      <c r="B7165" s="2352" t="s">
        <v>11235</v>
      </c>
      <c r="C7165" s="2352" t="s">
        <v>11235</v>
      </c>
      <c r="D7165" s="2352" t="s">
        <v>11268</v>
      </c>
      <c r="E7165" s="355">
        <v>30</v>
      </c>
      <c r="F7165" s="1662">
        <v>5</v>
      </c>
    </row>
    <row r="7166" spans="1:6" ht="15" customHeight="1" x14ac:dyDescent="0.25">
      <c r="A7166" s="2352" t="s">
        <v>9072</v>
      </c>
      <c r="B7166" s="2352" t="s">
        <v>11235</v>
      </c>
      <c r="C7166" s="2352" t="s">
        <v>11235</v>
      </c>
      <c r="D7166" s="2352" t="s">
        <v>11269</v>
      </c>
      <c r="E7166" s="355">
        <v>30</v>
      </c>
      <c r="F7166" s="1662">
        <v>10</v>
      </c>
    </row>
    <row r="7167" spans="1:6" ht="15" customHeight="1" x14ac:dyDescent="0.25">
      <c r="A7167" s="2352" t="s">
        <v>14961</v>
      </c>
      <c r="B7167" s="2352" t="s">
        <v>11235</v>
      </c>
      <c r="C7167" s="2352" t="s">
        <v>11235</v>
      </c>
      <c r="D7167" s="2352" t="s">
        <v>11270</v>
      </c>
      <c r="E7167" s="355">
        <v>60</v>
      </c>
      <c r="F7167" s="1662">
        <v>0</v>
      </c>
    </row>
    <row r="7168" spans="1:6" ht="15" customHeight="1" x14ac:dyDescent="0.25">
      <c r="A7168" s="2352" t="s">
        <v>14962</v>
      </c>
      <c r="B7168" s="2352" t="s">
        <v>11235</v>
      </c>
      <c r="C7168" s="2352" t="s">
        <v>11235</v>
      </c>
      <c r="D7168" s="2352" t="s">
        <v>11271</v>
      </c>
      <c r="E7168" s="355">
        <v>0</v>
      </c>
      <c r="F7168" s="1662">
        <v>0</v>
      </c>
    </row>
    <row r="7169" spans="1:6" ht="15" customHeight="1" x14ac:dyDescent="0.25">
      <c r="A7169" s="2352" t="s">
        <v>4402</v>
      </c>
      <c r="B7169" s="2352" t="s">
        <v>11235</v>
      </c>
      <c r="C7169" s="2352" t="s">
        <v>11235</v>
      </c>
      <c r="D7169" s="2352" t="s">
        <v>11272</v>
      </c>
      <c r="E7169" s="355">
        <v>60</v>
      </c>
      <c r="F7169" s="1662">
        <v>10</v>
      </c>
    </row>
    <row r="7170" spans="1:6" ht="15" customHeight="1" x14ac:dyDescent="0.25">
      <c r="A7170" s="2352" t="s">
        <v>4402</v>
      </c>
      <c r="B7170" s="2352" t="s">
        <v>11235</v>
      </c>
      <c r="C7170" s="2352" t="s">
        <v>11235</v>
      </c>
      <c r="D7170" s="2352" t="s">
        <v>11273</v>
      </c>
      <c r="E7170" s="355">
        <v>20</v>
      </c>
      <c r="F7170" s="1662">
        <v>10</v>
      </c>
    </row>
    <row r="7171" spans="1:6" ht="15" customHeight="1" x14ac:dyDescent="0.25">
      <c r="A7171" s="2352" t="s">
        <v>14963</v>
      </c>
      <c r="B7171" s="2352" t="s">
        <v>11235</v>
      </c>
      <c r="C7171" s="2352" t="s">
        <v>11235</v>
      </c>
      <c r="D7171" s="2352" t="s">
        <v>11274</v>
      </c>
      <c r="E7171" s="355">
        <v>10</v>
      </c>
      <c r="F7171" s="1662">
        <v>0</v>
      </c>
    </row>
    <row r="7172" spans="1:6" ht="15" customHeight="1" x14ac:dyDescent="0.25">
      <c r="A7172" s="2352" t="s">
        <v>14579</v>
      </c>
      <c r="B7172" s="2352" t="s">
        <v>11235</v>
      </c>
      <c r="C7172" s="2352" t="s">
        <v>11235</v>
      </c>
      <c r="D7172" s="2352" t="s">
        <v>11275</v>
      </c>
      <c r="E7172" s="355">
        <v>30</v>
      </c>
      <c r="F7172" s="1662">
        <v>10</v>
      </c>
    </row>
    <row r="7173" spans="1:6" ht="15" customHeight="1" x14ac:dyDescent="0.25">
      <c r="A7173" s="2352" t="s">
        <v>14964</v>
      </c>
      <c r="B7173" s="2352" t="s">
        <v>11235</v>
      </c>
      <c r="C7173" s="2352" t="s">
        <v>11235</v>
      </c>
      <c r="D7173" s="2352" t="s">
        <v>11276</v>
      </c>
      <c r="E7173" s="355">
        <v>20</v>
      </c>
      <c r="F7173" s="1662">
        <v>0</v>
      </c>
    </row>
    <row r="7174" spans="1:6" ht="15" customHeight="1" x14ac:dyDescent="0.25">
      <c r="A7174" s="2352" t="s">
        <v>10033</v>
      </c>
      <c r="B7174" s="2352" t="s">
        <v>11235</v>
      </c>
      <c r="C7174" s="2352" t="s">
        <v>11235</v>
      </c>
      <c r="D7174" s="2352" t="s">
        <v>11277</v>
      </c>
      <c r="E7174" s="355">
        <v>30</v>
      </c>
      <c r="F7174" s="1662">
        <v>5</v>
      </c>
    </row>
    <row r="7175" spans="1:6" ht="15" customHeight="1" x14ac:dyDescent="0.25">
      <c r="A7175" s="2352" t="s">
        <v>4229</v>
      </c>
      <c r="B7175" s="2352" t="s">
        <v>11235</v>
      </c>
      <c r="C7175" s="2352" t="s">
        <v>11235</v>
      </c>
      <c r="D7175" s="2352" t="s">
        <v>11278</v>
      </c>
      <c r="E7175" s="355">
        <v>160</v>
      </c>
      <c r="F7175" s="1662">
        <v>80</v>
      </c>
    </row>
    <row r="7176" spans="1:6" ht="15" customHeight="1" x14ac:dyDescent="0.25">
      <c r="A7176" s="2352" t="s">
        <v>14965</v>
      </c>
      <c r="B7176" s="2352" t="s">
        <v>11235</v>
      </c>
      <c r="C7176" s="2352" t="s">
        <v>11235</v>
      </c>
      <c r="D7176" s="2352" t="s">
        <v>11279</v>
      </c>
      <c r="E7176" s="355">
        <v>30</v>
      </c>
      <c r="F7176" s="1662">
        <v>10</v>
      </c>
    </row>
    <row r="7177" spans="1:6" ht="15" customHeight="1" x14ac:dyDescent="0.25">
      <c r="A7177" s="2352" t="s">
        <v>14966</v>
      </c>
      <c r="B7177" s="2352" t="s">
        <v>11235</v>
      </c>
      <c r="C7177" s="2352" t="s">
        <v>11235</v>
      </c>
      <c r="D7177" s="2352" t="s">
        <v>11280</v>
      </c>
      <c r="E7177" s="355">
        <v>25</v>
      </c>
      <c r="F7177" s="1662">
        <v>10</v>
      </c>
    </row>
    <row r="7178" spans="1:6" ht="15" customHeight="1" x14ac:dyDescent="0.25">
      <c r="A7178" s="2352" t="s">
        <v>14507</v>
      </c>
      <c r="B7178" s="2352" t="s">
        <v>11235</v>
      </c>
      <c r="C7178" s="2352" t="s">
        <v>11235</v>
      </c>
      <c r="D7178" s="2352" t="s">
        <v>11281</v>
      </c>
      <c r="E7178" s="355">
        <v>63</v>
      </c>
      <c r="F7178" s="1662">
        <v>20</v>
      </c>
    </row>
    <row r="7179" spans="1:6" ht="15" customHeight="1" x14ac:dyDescent="0.25">
      <c r="A7179" s="2352" t="s">
        <v>14507</v>
      </c>
      <c r="B7179" s="2352" t="s">
        <v>11235</v>
      </c>
      <c r="C7179" s="2352" t="s">
        <v>11235</v>
      </c>
      <c r="D7179" s="2352" t="s">
        <v>11282</v>
      </c>
      <c r="E7179" s="355">
        <v>20</v>
      </c>
      <c r="F7179" s="1662">
        <v>5</v>
      </c>
    </row>
    <row r="7180" spans="1:6" ht="15" customHeight="1" x14ac:dyDescent="0.25">
      <c r="A7180" s="2352" t="s">
        <v>14967</v>
      </c>
      <c r="B7180" s="2352" t="s">
        <v>11235</v>
      </c>
      <c r="C7180" s="2352" t="s">
        <v>11235</v>
      </c>
      <c r="D7180" s="2352" t="s">
        <v>11283</v>
      </c>
      <c r="E7180" s="355">
        <v>0</v>
      </c>
      <c r="F7180" s="1662">
        <v>0</v>
      </c>
    </row>
    <row r="7181" spans="1:6" ht="15" customHeight="1" x14ac:dyDescent="0.25">
      <c r="A7181" s="2352" t="s">
        <v>14968</v>
      </c>
      <c r="B7181" s="2352" t="s">
        <v>11235</v>
      </c>
      <c r="C7181" s="2352" t="s">
        <v>11235</v>
      </c>
      <c r="D7181" s="2352" t="s">
        <v>11284</v>
      </c>
      <c r="E7181" s="355">
        <v>30</v>
      </c>
      <c r="F7181" s="1662">
        <v>5</v>
      </c>
    </row>
    <row r="7182" spans="1:6" ht="15" customHeight="1" x14ac:dyDescent="0.25">
      <c r="A7182" s="2352" t="s">
        <v>14969</v>
      </c>
      <c r="B7182" s="2352" t="s">
        <v>11235</v>
      </c>
      <c r="C7182" s="2352" t="s">
        <v>11235</v>
      </c>
      <c r="D7182" s="2352" t="s">
        <v>11285</v>
      </c>
      <c r="E7182" s="355">
        <v>100</v>
      </c>
      <c r="F7182" s="1662">
        <v>5</v>
      </c>
    </row>
    <row r="7183" spans="1:6" ht="15" customHeight="1" x14ac:dyDescent="0.25">
      <c r="A7183" s="2352" t="s">
        <v>4007</v>
      </c>
      <c r="B7183" s="2352" t="s">
        <v>11235</v>
      </c>
      <c r="C7183" s="2352" t="s">
        <v>11235</v>
      </c>
      <c r="D7183" s="2352" t="s">
        <v>11286</v>
      </c>
      <c r="E7183" s="355">
        <v>30</v>
      </c>
      <c r="F7183" s="1662">
        <v>20</v>
      </c>
    </row>
    <row r="7184" spans="1:6" ht="15" customHeight="1" x14ac:dyDescent="0.25">
      <c r="A7184" s="2352" t="s">
        <v>4007</v>
      </c>
      <c r="B7184" s="2352" t="s">
        <v>11235</v>
      </c>
      <c r="C7184" s="2352" t="s">
        <v>11235</v>
      </c>
      <c r="D7184" s="2352" t="s">
        <v>11287</v>
      </c>
      <c r="E7184" s="355">
        <v>20</v>
      </c>
      <c r="F7184" s="1662">
        <v>5</v>
      </c>
    </row>
    <row r="7185" spans="1:6" ht="15" customHeight="1" x14ac:dyDescent="0.25">
      <c r="A7185" s="2352" t="s">
        <v>4609</v>
      </c>
      <c r="B7185" s="2352" t="s">
        <v>11235</v>
      </c>
      <c r="C7185" s="2352" t="s">
        <v>11235</v>
      </c>
      <c r="D7185" s="2352" t="s">
        <v>11288</v>
      </c>
      <c r="E7185" s="355">
        <v>30</v>
      </c>
      <c r="F7185" s="1662">
        <v>10</v>
      </c>
    </row>
    <row r="7186" spans="1:6" ht="15" customHeight="1" x14ac:dyDescent="0.25">
      <c r="A7186" s="2352" t="s">
        <v>14970</v>
      </c>
      <c r="B7186" s="2352" t="s">
        <v>11235</v>
      </c>
      <c r="C7186" s="2352" t="s">
        <v>11235</v>
      </c>
      <c r="D7186" s="2352" t="s">
        <v>11289</v>
      </c>
      <c r="E7186" s="355">
        <v>100</v>
      </c>
      <c r="F7186" s="1662">
        <v>60</v>
      </c>
    </row>
    <row r="7187" spans="1:6" ht="15" customHeight="1" x14ac:dyDescent="0.25">
      <c r="A7187" s="2352" t="s">
        <v>14971</v>
      </c>
      <c r="B7187" s="2352" t="s">
        <v>11235</v>
      </c>
      <c r="C7187" s="2352" t="s">
        <v>11235</v>
      </c>
      <c r="D7187" s="2352" t="s">
        <v>11290</v>
      </c>
      <c r="E7187" s="355">
        <v>40</v>
      </c>
      <c r="F7187" s="1662">
        <v>20</v>
      </c>
    </row>
    <row r="7188" spans="1:6" ht="15" customHeight="1" x14ac:dyDescent="0.25">
      <c r="A7188" s="2352" t="s">
        <v>4904</v>
      </c>
      <c r="B7188" s="2352" t="s">
        <v>11235</v>
      </c>
      <c r="C7188" s="2352" t="s">
        <v>11235</v>
      </c>
      <c r="D7188" s="2352" t="s">
        <v>11291</v>
      </c>
      <c r="E7188" s="355">
        <v>20</v>
      </c>
      <c r="F7188" s="1662">
        <v>15</v>
      </c>
    </row>
    <row r="7189" spans="1:6" ht="15" customHeight="1" x14ac:dyDescent="0.25">
      <c r="A7189" s="2352" t="s">
        <v>14972</v>
      </c>
      <c r="B7189" s="2352" t="s">
        <v>11235</v>
      </c>
      <c r="C7189" s="2352" t="s">
        <v>11235</v>
      </c>
      <c r="D7189" s="2352" t="s">
        <v>11292</v>
      </c>
      <c r="E7189" s="355">
        <v>20</v>
      </c>
      <c r="F7189" s="1662">
        <v>5</v>
      </c>
    </row>
    <row r="7190" spans="1:6" ht="15" customHeight="1" x14ac:dyDescent="0.25">
      <c r="A7190" s="2352" t="s">
        <v>14973</v>
      </c>
      <c r="B7190" s="2352" t="s">
        <v>11235</v>
      </c>
      <c r="C7190" s="2352" t="s">
        <v>11235</v>
      </c>
      <c r="D7190" s="2352" t="s">
        <v>11293</v>
      </c>
      <c r="E7190" s="355">
        <v>60</v>
      </c>
      <c r="F7190" s="1662">
        <v>30</v>
      </c>
    </row>
    <row r="7191" spans="1:6" ht="15" customHeight="1" x14ac:dyDescent="0.25">
      <c r="A7191" s="2352" t="s">
        <v>14974</v>
      </c>
      <c r="B7191" s="2352" t="s">
        <v>11235</v>
      </c>
      <c r="C7191" s="2352" t="s">
        <v>11235</v>
      </c>
      <c r="D7191" s="2352" t="s">
        <v>11294</v>
      </c>
      <c r="E7191" s="355">
        <v>30</v>
      </c>
      <c r="F7191" s="1662">
        <v>15</v>
      </c>
    </row>
    <row r="7192" spans="1:6" ht="15" customHeight="1" x14ac:dyDescent="0.25">
      <c r="A7192" s="2352" t="s">
        <v>14975</v>
      </c>
      <c r="B7192" s="2352" t="s">
        <v>11235</v>
      </c>
      <c r="C7192" s="2352" t="s">
        <v>11235</v>
      </c>
      <c r="D7192" s="2352" t="s">
        <v>11295</v>
      </c>
      <c r="E7192" s="355">
        <v>100</v>
      </c>
      <c r="F7192" s="1662">
        <v>30</v>
      </c>
    </row>
    <row r="7193" spans="1:6" ht="15" customHeight="1" x14ac:dyDescent="0.25">
      <c r="A7193" s="2352" t="s">
        <v>14976</v>
      </c>
      <c r="B7193" s="2352" t="s">
        <v>11235</v>
      </c>
      <c r="C7193" s="2352" t="s">
        <v>11235</v>
      </c>
      <c r="D7193" s="2352" t="s">
        <v>11296</v>
      </c>
      <c r="E7193" s="355">
        <v>30</v>
      </c>
      <c r="F7193" s="1662">
        <v>10</v>
      </c>
    </row>
    <row r="7194" spans="1:6" ht="15" customHeight="1" x14ac:dyDescent="0.25">
      <c r="A7194" s="2352" t="s">
        <v>10553</v>
      </c>
      <c r="B7194" s="2352" t="s">
        <v>11235</v>
      </c>
      <c r="C7194" s="2352" t="s">
        <v>11235</v>
      </c>
      <c r="D7194" s="2352" t="s">
        <v>11297</v>
      </c>
      <c r="E7194" s="355">
        <v>10</v>
      </c>
      <c r="F7194" s="1662">
        <v>0</v>
      </c>
    </row>
    <row r="7195" spans="1:6" ht="15" customHeight="1" x14ac:dyDescent="0.25">
      <c r="A7195" s="2352" t="s">
        <v>9636</v>
      </c>
      <c r="B7195" s="2352" t="s">
        <v>11235</v>
      </c>
      <c r="C7195" s="2352" t="s">
        <v>11235</v>
      </c>
      <c r="D7195" s="2352" t="s">
        <v>11298</v>
      </c>
      <c r="E7195" s="355">
        <v>160</v>
      </c>
      <c r="F7195" s="1662">
        <v>40</v>
      </c>
    </row>
    <row r="7196" spans="1:6" ht="15" customHeight="1" x14ac:dyDescent="0.25">
      <c r="A7196" s="2352" t="s">
        <v>7928</v>
      </c>
      <c r="B7196" s="2352" t="s">
        <v>11235</v>
      </c>
      <c r="C7196" s="2352" t="s">
        <v>11235</v>
      </c>
      <c r="D7196" s="2352" t="s">
        <v>11299</v>
      </c>
      <c r="E7196" s="355">
        <v>160</v>
      </c>
      <c r="F7196" s="1662">
        <v>90</v>
      </c>
    </row>
    <row r="7197" spans="1:6" ht="15" customHeight="1" x14ac:dyDescent="0.25">
      <c r="A7197" s="2352" t="s">
        <v>14977</v>
      </c>
      <c r="B7197" s="2352" t="s">
        <v>11235</v>
      </c>
      <c r="C7197" s="2352" t="s">
        <v>11235</v>
      </c>
      <c r="D7197" s="2352" t="s">
        <v>11300</v>
      </c>
      <c r="E7197" s="355">
        <v>30</v>
      </c>
      <c r="F7197" s="1662">
        <v>0</v>
      </c>
    </row>
    <row r="7198" spans="1:6" ht="15" customHeight="1" x14ac:dyDescent="0.25">
      <c r="A7198" s="2352" t="s">
        <v>14977</v>
      </c>
      <c r="B7198" s="2352" t="s">
        <v>11235</v>
      </c>
      <c r="C7198" s="2352" t="s">
        <v>11235</v>
      </c>
      <c r="D7198" s="2352" t="s">
        <v>11301</v>
      </c>
      <c r="E7198" s="355">
        <v>100</v>
      </c>
      <c r="F7198" s="1662">
        <v>50</v>
      </c>
    </row>
    <row r="7199" spans="1:6" ht="15" customHeight="1" x14ac:dyDescent="0.25">
      <c r="A7199" s="2352" t="s">
        <v>14978</v>
      </c>
      <c r="B7199" s="2352" t="s">
        <v>11235</v>
      </c>
      <c r="C7199" s="2352" t="s">
        <v>11235</v>
      </c>
      <c r="D7199" s="2352" t="s">
        <v>11302</v>
      </c>
      <c r="E7199" s="355">
        <v>10</v>
      </c>
      <c r="F7199" s="1662">
        <v>0</v>
      </c>
    </row>
    <row r="7200" spans="1:6" ht="15" customHeight="1" x14ac:dyDescent="0.25">
      <c r="A7200" s="2352" t="s">
        <v>14446</v>
      </c>
      <c r="B7200" s="2352" t="s">
        <v>11235</v>
      </c>
      <c r="C7200" s="2352" t="s">
        <v>11235</v>
      </c>
      <c r="D7200" s="2352" t="s">
        <v>11303</v>
      </c>
      <c r="E7200" s="355">
        <v>100</v>
      </c>
      <c r="F7200" s="1662">
        <v>40</v>
      </c>
    </row>
    <row r="7201" spans="1:6" ht="15" customHeight="1" x14ac:dyDescent="0.25">
      <c r="A7201" s="2352" t="s">
        <v>14446</v>
      </c>
      <c r="B7201" s="2352" t="s">
        <v>11235</v>
      </c>
      <c r="C7201" s="2352" t="s">
        <v>11235</v>
      </c>
      <c r="D7201" s="2352" t="s">
        <v>11304</v>
      </c>
      <c r="E7201" s="355">
        <v>0</v>
      </c>
      <c r="F7201" s="1662">
        <v>0</v>
      </c>
    </row>
    <row r="7202" spans="1:6" ht="15" customHeight="1" x14ac:dyDescent="0.25">
      <c r="A7202" s="2352" t="s">
        <v>14446</v>
      </c>
      <c r="B7202" s="2352" t="s">
        <v>11235</v>
      </c>
      <c r="C7202" s="2352" t="s">
        <v>11235</v>
      </c>
      <c r="D7202" s="2352" t="s">
        <v>11305</v>
      </c>
      <c r="E7202" s="355">
        <v>100</v>
      </c>
      <c r="F7202" s="1662">
        <v>90</v>
      </c>
    </row>
    <row r="7203" spans="1:6" ht="15" customHeight="1" x14ac:dyDescent="0.25">
      <c r="A7203" s="2352" t="s">
        <v>14979</v>
      </c>
      <c r="B7203" s="2352" t="s">
        <v>11235</v>
      </c>
      <c r="C7203" s="2352" t="s">
        <v>11235</v>
      </c>
      <c r="D7203" s="2352" t="s">
        <v>11306</v>
      </c>
      <c r="E7203" s="355">
        <v>10</v>
      </c>
      <c r="F7203" s="1662">
        <v>0</v>
      </c>
    </row>
    <row r="7204" spans="1:6" ht="15" customHeight="1" x14ac:dyDescent="0.25">
      <c r="A7204" s="2352" t="s">
        <v>14980</v>
      </c>
      <c r="B7204" s="2352" t="s">
        <v>11235</v>
      </c>
      <c r="C7204" s="2352" t="s">
        <v>11235</v>
      </c>
      <c r="D7204" s="2352" t="s">
        <v>11307</v>
      </c>
      <c r="E7204" s="355">
        <v>160</v>
      </c>
      <c r="F7204" s="1662">
        <v>50</v>
      </c>
    </row>
    <row r="7205" spans="1:6" ht="15" customHeight="1" x14ac:dyDescent="0.25">
      <c r="A7205" s="2352" t="s">
        <v>14945</v>
      </c>
      <c r="B7205" s="2352" t="s">
        <v>11235</v>
      </c>
      <c r="C7205" s="2352" t="s">
        <v>11235</v>
      </c>
      <c r="D7205" s="2352" t="s">
        <v>11308</v>
      </c>
      <c r="E7205" s="355">
        <v>63</v>
      </c>
      <c r="F7205" s="1662">
        <v>10</v>
      </c>
    </row>
    <row r="7206" spans="1:6" ht="15" customHeight="1" x14ac:dyDescent="0.25">
      <c r="A7206" s="2352" t="s">
        <v>14981</v>
      </c>
      <c r="B7206" s="2352" t="s">
        <v>11235</v>
      </c>
      <c r="C7206" s="2352" t="s">
        <v>11235</v>
      </c>
      <c r="D7206" s="2352" t="s">
        <v>11309</v>
      </c>
      <c r="E7206" s="355">
        <v>100</v>
      </c>
      <c r="F7206" s="1662">
        <v>10</v>
      </c>
    </row>
    <row r="7207" spans="1:6" ht="15" customHeight="1" x14ac:dyDescent="0.25">
      <c r="A7207" s="2352" t="s">
        <v>14981</v>
      </c>
      <c r="B7207" s="2352" t="s">
        <v>11235</v>
      </c>
      <c r="C7207" s="2352" t="s">
        <v>11235</v>
      </c>
      <c r="D7207" s="2352" t="s">
        <v>11310</v>
      </c>
      <c r="E7207" s="355">
        <v>100</v>
      </c>
      <c r="F7207" s="1662">
        <v>30</v>
      </c>
    </row>
    <row r="7208" spans="1:6" ht="15" customHeight="1" x14ac:dyDescent="0.25">
      <c r="A7208" s="2352" t="s">
        <v>14981</v>
      </c>
      <c r="B7208" s="2352" t="s">
        <v>11235</v>
      </c>
      <c r="C7208" s="2352" t="s">
        <v>11235</v>
      </c>
      <c r="D7208" s="2352" t="s">
        <v>11311</v>
      </c>
      <c r="E7208" s="355">
        <v>160</v>
      </c>
      <c r="F7208" s="1662">
        <v>20</v>
      </c>
    </row>
    <row r="7209" spans="1:6" ht="15" customHeight="1" x14ac:dyDescent="0.25">
      <c r="A7209" s="2352" t="s">
        <v>14981</v>
      </c>
      <c r="B7209" s="2352" t="s">
        <v>11235</v>
      </c>
      <c r="C7209" s="2352" t="s">
        <v>11235</v>
      </c>
      <c r="D7209" s="2352" t="s">
        <v>19370</v>
      </c>
      <c r="E7209" s="355">
        <v>63</v>
      </c>
      <c r="F7209" s="1662">
        <v>10</v>
      </c>
    </row>
    <row r="7210" spans="1:6" ht="15" customHeight="1" x14ac:dyDescent="0.25">
      <c r="A7210" s="2352" t="s">
        <v>14981</v>
      </c>
      <c r="B7210" s="2352" t="s">
        <v>11235</v>
      </c>
      <c r="C7210" s="2352" t="s">
        <v>11235</v>
      </c>
      <c r="D7210" s="2352" t="s">
        <v>11312</v>
      </c>
      <c r="E7210" s="355">
        <v>160</v>
      </c>
      <c r="F7210" s="1662">
        <v>100</v>
      </c>
    </row>
    <row r="7211" spans="1:6" ht="15" customHeight="1" x14ac:dyDescent="0.25">
      <c r="A7211" s="2352" t="s">
        <v>14982</v>
      </c>
      <c r="B7211" s="2352" t="s">
        <v>11235</v>
      </c>
      <c r="C7211" s="2352" t="s">
        <v>11235</v>
      </c>
      <c r="D7211" s="2352" t="s">
        <v>11313</v>
      </c>
      <c r="E7211" s="355">
        <v>25</v>
      </c>
      <c r="F7211" s="1662">
        <v>5</v>
      </c>
    </row>
    <row r="7212" spans="1:6" ht="15" customHeight="1" x14ac:dyDescent="0.25">
      <c r="A7212" s="2352" t="s">
        <v>14983</v>
      </c>
      <c r="B7212" s="2352" t="s">
        <v>11235</v>
      </c>
      <c r="C7212" s="2352" t="s">
        <v>11235</v>
      </c>
      <c r="D7212" s="2352" t="s">
        <v>11314</v>
      </c>
      <c r="E7212" s="355">
        <v>160</v>
      </c>
      <c r="F7212" s="1662">
        <v>50</v>
      </c>
    </row>
    <row r="7213" spans="1:6" ht="15" customHeight="1" x14ac:dyDescent="0.25">
      <c r="A7213" s="2352" t="s">
        <v>14984</v>
      </c>
      <c r="B7213" s="2352" t="s">
        <v>11235</v>
      </c>
      <c r="C7213" s="2352" t="s">
        <v>11235</v>
      </c>
      <c r="D7213" s="2352" t="s">
        <v>11315</v>
      </c>
      <c r="E7213" s="355">
        <v>250</v>
      </c>
      <c r="F7213" s="1662">
        <v>40</v>
      </c>
    </row>
    <row r="7214" spans="1:6" ht="15" customHeight="1" x14ac:dyDescent="0.25">
      <c r="A7214" s="2352" t="s">
        <v>14984</v>
      </c>
      <c r="B7214" s="2352" t="s">
        <v>11235</v>
      </c>
      <c r="C7214" s="2352" t="s">
        <v>11235</v>
      </c>
      <c r="D7214" s="2352" t="s">
        <v>11316</v>
      </c>
      <c r="E7214" s="355">
        <v>160</v>
      </c>
      <c r="F7214" s="1662">
        <v>20</v>
      </c>
    </row>
    <row r="7215" spans="1:6" ht="15" customHeight="1" x14ac:dyDescent="0.25">
      <c r="A7215" s="2352" t="s">
        <v>14985</v>
      </c>
      <c r="B7215" s="2352" t="s">
        <v>11235</v>
      </c>
      <c r="C7215" s="2352" t="s">
        <v>11235</v>
      </c>
      <c r="D7215" s="2352" t="s">
        <v>11317</v>
      </c>
      <c r="E7215" s="355">
        <v>40</v>
      </c>
      <c r="F7215" s="1662">
        <v>30</v>
      </c>
    </row>
    <row r="7216" spans="1:6" ht="15" customHeight="1" x14ac:dyDescent="0.25">
      <c r="A7216" s="2352" t="s">
        <v>14985</v>
      </c>
      <c r="B7216" s="2352" t="s">
        <v>11235</v>
      </c>
      <c r="C7216" s="2352" t="s">
        <v>11235</v>
      </c>
      <c r="D7216" s="2352" t="s">
        <v>11318</v>
      </c>
      <c r="E7216" s="355">
        <v>0</v>
      </c>
      <c r="F7216" s="1662">
        <v>0</v>
      </c>
    </row>
    <row r="7217" spans="1:6" ht="15" customHeight="1" x14ac:dyDescent="0.25">
      <c r="A7217" s="2352" t="s">
        <v>4324</v>
      </c>
      <c r="B7217" s="2352" t="s">
        <v>11235</v>
      </c>
      <c r="C7217" s="2352" t="s">
        <v>11235</v>
      </c>
      <c r="D7217" s="2352" t="s">
        <v>11319</v>
      </c>
      <c r="E7217" s="355">
        <v>5</v>
      </c>
      <c r="F7217" s="1662">
        <v>0</v>
      </c>
    </row>
    <row r="7218" spans="1:6" ht="15" customHeight="1" x14ac:dyDescent="0.25">
      <c r="A7218" s="2352" t="s">
        <v>14986</v>
      </c>
      <c r="B7218" s="2352" t="s">
        <v>11235</v>
      </c>
      <c r="C7218" s="2352" t="s">
        <v>11235</v>
      </c>
      <c r="D7218" s="2352" t="s">
        <v>11320</v>
      </c>
      <c r="E7218" s="355">
        <v>100</v>
      </c>
      <c r="F7218" s="1662">
        <v>0</v>
      </c>
    </row>
    <row r="7219" spans="1:6" ht="15" customHeight="1" x14ac:dyDescent="0.25">
      <c r="A7219" s="2352" t="s">
        <v>13863</v>
      </c>
      <c r="B7219" s="2352" t="s">
        <v>11235</v>
      </c>
      <c r="C7219" s="2352" t="s">
        <v>11235</v>
      </c>
      <c r="D7219" s="2352" t="s">
        <v>11321</v>
      </c>
      <c r="E7219" s="355">
        <v>0</v>
      </c>
      <c r="F7219" s="1662">
        <v>0</v>
      </c>
    </row>
    <row r="7220" spans="1:6" ht="15" customHeight="1" x14ac:dyDescent="0.25">
      <c r="A7220" s="2352" t="s">
        <v>13863</v>
      </c>
      <c r="B7220" s="2352" t="s">
        <v>11235</v>
      </c>
      <c r="C7220" s="2352" t="s">
        <v>11235</v>
      </c>
      <c r="D7220" s="2352" t="s">
        <v>11322</v>
      </c>
      <c r="E7220" s="355">
        <v>10</v>
      </c>
      <c r="F7220" s="1662">
        <v>0</v>
      </c>
    </row>
    <row r="7221" spans="1:6" ht="15" customHeight="1" x14ac:dyDescent="0.25">
      <c r="A7221" s="2352" t="s">
        <v>12100</v>
      </c>
      <c r="B7221" s="2352" t="s">
        <v>11235</v>
      </c>
      <c r="C7221" s="2352" t="s">
        <v>11235</v>
      </c>
      <c r="D7221" s="2352" t="s">
        <v>11323</v>
      </c>
      <c r="E7221" s="355">
        <v>20</v>
      </c>
      <c r="F7221" s="1662">
        <v>5</v>
      </c>
    </row>
    <row r="7222" spans="1:6" ht="15" customHeight="1" x14ac:dyDescent="0.25">
      <c r="A7222" s="2352" t="s">
        <v>8065</v>
      </c>
      <c r="B7222" s="2352" t="s">
        <v>11235</v>
      </c>
      <c r="C7222" s="2352" t="s">
        <v>11235</v>
      </c>
      <c r="D7222" s="2352" t="s">
        <v>11324</v>
      </c>
      <c r="E7222" s="355">
        <v>60</v>
      </c>
      <c r="F7222" s="1662">
        <v>10</v>
      </c>
    </row>
    <row r="7223" spans="1:6" ht="15" customHeight="1" x14ac:dyDescent="0.25">
      <c r="A7223" s="2352" t="s">
        <v>14987</v>
      </c>
      <c r="B7223" s="2352" t="s">
        <v>11235</v>
      </c>
      <c r="C7223" s="2352" t="s">
        <v>11235</v>
      </c>
      <c r="D7223" s="2352" t="s">
        <v>11325</v>
      </c>
      <c r="E7223" s="355">
        <v>30</v>
      </c>
      <c r="F7223" s="1662">
        <v>10</v>
      </c>
    </row>
    <row r="7224" spans="1:6" ht="15" customHeight="1" x14ac:dyDescent="0.25">
      <c r="A7224" s="2352" t="s">
        <v>14988</v>
      </c>
      <c r="B7224" s="2352" t="s">
        <v>11235</v>
      </c>
      <c r="C7224" s="2352" t="s">
        <v>11235</v>
      </c>
      <c r="D7224" s="2352" t="s">
        <v>11326</v>
      </c>
      <c r="E7224" s="355">
        <v>25</v>
      </c>
      <c r="F7224" s="1662">
        <v>15</v>
      </c>
    </row>
    <row r="7225" spans="1:6" ht="15" customHeight="1" x14ac:dyDescent="0.25">
      <c r="A7225" s="2352" t="s">
        <v>14989</v>
      </c>
      <c r="B7225" s="2352" t="s">
        <v>11235</v>
      </c>
      <c r="C7225" s="2352" t="s">
        <v>11235</v>
      </c>
      <c r="D7225" s="2352" t="s">
        <v>11327</v>
      </c>
      <c r="E7225" s="355">
        <v>30</v>
      </c>
      <c r="F7225" s="1662">
        <v>20</v>
      </c>
    </row>
    <row r="7226" spans="1:6" ht="15" customHeight="1" x14ac:dyDescent="0.25">
      <c r="A7226" s="2352" t="s">
        <v>14990</v>
      </c>
      <c r="B7226" s="2352" t="s">
        <v>11235</v>
      </c>
      <c r="C7226" s="2352" t="s">
        <v>11235</v>
      </c>
      <c r="D7226" s="2352" t="s">
        <v>11328</v>
      </c>
      <c r="E7226" s="355">
        <v>50</v>
      </c>
      <c r="F7226" s="1662">
        <v>20</v>
      </c>
    </row>
    <row r="7227" spans="1:6" ht="15" customHeight="1" x14ac:dyDescent="0.25">
      <c r="A7227" s="2352" t="s">
        <v>11620</v>
      </c>
      <c r="B7227" s="2352" t="s">
        <v>11235</v>
      </c>
      <c r="C7227" s="2352" t="s">
        <v>11235</v>
      </c>
      <c r="D7227" s="2352" t="s">
        <v>11329</v>
      </c>
      <c r="E7227" s="355">
        <v>25</v>
      </c>
      <c r="F7227" s="1662">
        <v>15</v>
      </c>
    </row>
    <row r="7228" spans="1:6" ht="15" customHeight="1" x14ac:dyDescent="0.25">
      <c r="A7228" s="2352" t="s">
        <v>14991</v>
      </c>
      <c r="B7228" s="2352" t="s">
        <v>11235</v>
      </c>
      <c r="C7228" s="2352" t="s">
        <v>11235</v>
      </c>
      <c r="D7228" s="2352" t="s">
        <v>11330</v>
      </c>
      <c r="E7228" s="355">
        <v>30</v>
      </c>
      <c r="F7228" s="1662">
        <v>10</v>
      </c>
    </row>
    <row r="7229" spans="1:6" ht="15" customHeight="1" x14ac:dyDescent="0.25">
      <c r="A7229" s="2352" t="s">
        <v>14991</v>
      </c>
      <c r="B7229" s="2352" t="s">
        <v>11235</v>
      </c>
      <c r="C7229" s="2352" t="s">
        <v>11235</v>
      </c>
      <c r="D7229" s="2352" t="s">
        <v>11331</v>
      </c>
      <c r="E7229" s="355">
        <v>30</v>
      </c>
      <c r="F7229" s="1662">
        <v>5</v>
      </c>
    </row>
    <row r="7230" spans="1:6" ht="15" customHeight="1" x14ac:dyDescent="0.25">
      <c r="A7230" s="2352" t="s">
        <v>14992</v>
      </c>
      <c r="B7230" s="2352" t="s">
        <v>11235</v>
      </c>
      <c r="C7230" s="2352" t="s">
        <v>11235</v>
      </c>
      <c r="D7230" s="2352" t="s">
        <v>11332</v>
      </c>
      <c r="E7230" s="355">
        <v>100</v>
      </c>
      <c r="F7230" s="1662">
        <v>0</v>
      </c>
    </row>
    <row r="7231" spans="1:6" ht="15" customHeight="1" x14ac:dyDescent="0.25">
      <c r="A7231" s="2352" t="s">
        <v>4433</v>
      </c>
      <c r="B7231" s="2352" t="s">
        <v>11235</v>
      </c>
      <c r="C7231" s="2352" t="s">
        <v>11235</v>
      </c>
      <c r="D7231" s="2352" t="s">
        <v>11333</v>
      </c>
      <c r="E7231" s="355">
        <v>100</v>
      </c>
      <c r="F7231" s="1662">
        <v>40</v>
      </c>
    </row>
    <row r="7232" spans="1:6" ht="15" customHeight="1" x14ac:dyDescent="0.25">
      <c r="A7232" s="2352" t="s">
        <v>4433</v>
      </c>
      <c r="B7232" s="2352" t="s">
        <v>11235</v>
      </c>
      <c r="C7232" s="2352" t="s">
        <v>11235</v>
      </c>
      <c r="D7232" s="2352" t="s">
        <v>11334</v>
      </c>
      <c r="E7232" s="355">
        <v>100</v>
      </c>
      <c r="F7232" s="1662">
        <v>60</v>
      </c>
    </row>
    <row r="7233" spans="1:6" ht="15" customHeight="1" x14ac:dyDescent="0.25">
      <c r="A7233" s="2352" t="s">
        <v>4433</v>
      </c>
      <c r="B7233" s="2352" t="s">
        <v>11235</v>
      </c>
      <c r="C7233" s="2352" t="s">
        <v>11235</v>
      </c>
      <c r="D7233" s="2352" t="s">
        <v>11335</v>
      </c>
      <c r="E7233" s="355">
        <v>160</v>
      </c>
      <c r="F7233" s="1662">
        <v>60</v>
      </c>
    </row>
    <row r="7234" spans="1:6" ht="15" customHeight="1" x14ac:dyDescent="0.25">
      <c r="A7234" s="2352" t="s">
        <v>8002</v>
      </c>
      <c r="B7234" s="2352" t="s">
        <v>11235</v>
      </c>
      <c r="C7234" s="2352" t="s">
        <v>11235</v>
      </c>
      <c r="D7234" s="2352" t="s">
        <v>11336</v>
      </c>
      <c r="E7234" s="355">
        <v>10</v>
      </c>
      <c r="F7234" s="1662">
        <v>3</v>
      </c>
    </row>
    <row r="7235" spans="1:6" ht="15" customHeight="1" x14ac:dyDescent="0.25">
      <c r="A7235" s="2352" t="s">
        <v>14993</v>
      </c>
      <c r="B7235" s="2352" t="s">
        <v>11235</v>
      </c>
      <c r="C7235" s="2352" t="s">
        <v>11235</v>
      </c>
      <c r="D7235" s="2352" t="s">
        <v>11337</v>
      </c>
      <c r="E7235" s="355">
        <v>30</v>
      </c>
      <c r="F7235" s="1662">
        <v>10</v>
      </c>
    </row>
    <row r="7236" spans="1:6" ht="15" customHeight="1" x14ac:dyDescent="0.25">
      <c r="A7236" s="2352" t="s">
        <v>14994</v>
      </c>
      <c r="B7236" s="2352" t="s">
        <v>11235</v>
      </c>
      <c r="C7236" s="2352" t="s">
        <v>11235</v>
      </c>
      <c r="D7236" s="2352" t="s">
        <v>11338</v>
      </c>
      <c r="E7236" s="355">
        <v>40</v>
      </c>
      <c r="F7236" s="1662">
        <v>20</v>
      </c>
    </row>
    <row r="7237" spans="1:6" ht="15" customHeight="1" x14ac:dyDescent="0.25">
      <c r="A7237" s="2352" t="s">
        <v>8465</v>
      </c>
      <c r="B7237" s="2352" t="s">
        <v>11235</v>
      </c>
      <c r="C7237" s="2352" t="s">
        <v>11235</v>
      </c>
      <c r="D7237" s="2352" t="s">
        <v>19371</v>
      </c>
      <c r="E7237" s="355">
        <v>25</v>
      </c>
      <c r="F7237" s="1662">
        <v>0</v>
      </c>
    </row>
    <row r="7238" spans="1:6" ht="15" customHeight="1" x14ac:dyDescent="0.25">
      <c r="A7238" s="2352" t="s">
        <v>8465</v>
      </c>
      <c r="B7238" s="2352" t="s">
        <v>11235</v>
      </c>
      <c r="C7238" s="2352" t="s">
        <v>11235</v>
      </c>
      <c r="D7238" s="2352" t="s">
        <v>11339</v>
      </c>
      <c r="E7238" s="355">
        <v>60</v>
      </c>
      <c r="F7238" s="1662">
        <v>10</v>
      </c>
    </row>
    <row r="7239" spans="1:6" ht="15" customHeight="1" x14ac:dyDescent="0.25">
      <c r="A7239" s="2352" t="s">
        <v>14995</v>
      </c>
      <c r="B7239" s="2352" t="s">
        <v>11235</v>
      </c>
      <c r="C7239" s="2352" t="s">
        <v>11235</v>
      </c>
      <c r="D7239" s="2352" t="s">
        <v>11340</v>
      </c>
      <c r="E7239" s="355">
        <v>10</v>
      </c>
      <c r="F7239" s="1662">
        <v>0</v>
      </c>
    </row>
    <row r="7240" spans="1:6" ht="15" customHeight="1" x14ac:dyDescent="0.25">
      <c r="A7240" s="2352" t="s">
        <v>14511</v>
      </c>
      <c r="B7240" s="2352" t="s">
        <v>11235</v>
      </c>
      <c r="C7240" s="2352" t="s">
        <v>11235</v>
      </c>
      <c r="D7240" s="2352" t="s">
        <v>11341</v>
      </c>
      <c r="E7240" s="355">
        <v>25</v>
      </c>
      <c r="F7240" s="1662">
        <v>5</v>
      </c>
    </row>
    <row r="7241" spans="1:6" ht="15" customHeight="1" x14ac:dyDescent="0.25">
      <c r="A7241" s="2352" t="s">
        <v>6528</v>
      </c>
      <c r="B7241" s="2352" t="s">
        <v>11235</v>
      </c>
      <c r="C7241" s="2352" t="s">
        <v>11235</v>
      </c>
      <c r="D7241" s="2352" t="s">
        <v>11342</v>
      </c>
      <c r="E7241" s="355">
        <v>30</v>
      </c>
      <c r="F7241" s="1662">
        <v>10</v>
      </c>
    </row>
    <row r="7242" spans="1:6" ht="15" customHeight="1" x14ac:dyDescent="0.25">
      <c r="A7242" s="2352" t="s">
        <v>14941</v>
      </c>
      <c r="B7242" s="2352" t="s">
        <v>11235</v>
      </c>
      <c r="C7242" s="2352" t="s">
        <v>11235</v>
      </c>
      <c r="D7242" s="2352" t="s">
        <v>11343</v>
      </c>
      <c r="E7242" s="355">
        <v>30</v>
      </c>
      <c r="F7242" s="1662">
        <v>10</v>
      </c>
    </row>
    <row r="7243" spans="1:6" ht="15" customHeight="1" x14ac:dyDescent="0.25">
      <c r="A7243" s="2352" t="s">
        <v>14996</v>
      </c>
      <c r="B7243" s="2352" t="s">
        <v>11235</v>
      </c>
      <c r="C7243" s="2352" t="s">
        <v>11235</v>
      </c>
      <c r="D7243" s="2352" t="s">
        <v>11344</v>
      </c>
      <c r="E7243" s="355">
        <v>30</v>
      </c>
      <c r="F7243" s="1662">
        <v>5</v>
      </c>
    </row>
    <row r="7244" spans="1:6" ht="15" customHeight="1" x14ac:dyDescent="0.25">
      <c r="A7244" s="2352" t="s">
        <v>14997</v>
      </c>
      <c r="B7244" s="2352" t="s">
        <v>11235</v>
      </c>
      <c r="C7244" s="2352" t="s">
        <v>11235</v>
      </c>
      <c r="D7244" s="2352" t="s">
        <v>11345</v>
      </c>
      <c r="E7244" s="355">
        <v>60</v>
      </c>
      <c r="F7244" s="1662">
        <v>10</v>
      </c>
    </row>
    <row r="7245" spans="1:6" ht="15" customHeight="1" x14ac:dyDescent="0.25">
      <c r="A7245" s="2352" t="s">
        <v>14998</v>
      </c>
      <c r="B7245" s="2352" t="s">
        <v>11235</v>
      </c>
      <c r="C7245" s="2352" t="s">
        <v>11235</v>
      </c>
      <c r="D7245" s="2352" t="s">
        <v>11346</v>
      </c>
      <c r="E7245" s="355">
        <v>25</v>
      </c>
      <c r="F7245" s="1662">
        <v>10</v>
      </c>
    </row>
    <row r="7246" spans="1:6" ht="15" customHeight="1" x14ac:dyDescent="0.25">
      <c r="A7246" s="2352" t="s">
        <v>14999</v>
      </c>
      <c r="B7246" s="2352" t="s">
        <v>11235</v>
      </c>
      <c r="C7246" s="2352" t="s">
        <v>11235</v>
      </c>
      <c r="D7246" s="2352" t="s">
        <v>11347</v>
      </c>
      <c r="E7246" s="355">
        <v>40</v>
      </c>
      <c r="F7246" s="1662">
        <v>10</v>
      </c>
    </row>
    <row r="7247" spans="1:6" ht="15" customHeight="1" x14ac:dyDescent="0.25">
      <c r="A7247" s="2352" t="s">
        <v>15000</v>
      </c>
      <c r="B7247" s="2352" t="s">
        <v>11235</v>
      </c>
      <c r="C7247" s="2352" t="s">
        <v>11235</v>
      </c>
      <c r="D7247" s="2352" t="s">
        <v>11348</v>
      </c>
      <c r="E7247" s="355">
        <v>30</v>
      </c>
      <c r="F7247" s="1662">
        <v>10</v>
      </c>
    </row>
    <row r="7248" spans="1:6" ht="15" customHeight="1" x14ac:dyDescent="0.25">
      <c r="A7248" s="2352" t="s">
        <v>15001</v>
      </c>
      <c r="B7248" s="2352" t="s">
        <v>11235</v>
      </c>
      <c r="C7248" s="2352" t="s">
        <v>11235</v>
      </c>
      <c r="D7248" s="2352" t="s">
        <v>11349</v>
      </c>
      <c r="E7248" s="355">
        <v>10</v>
      </c>
      <c r="F7248" s="1662">
        <v>0</v>
      </c>
    </row>
    <row r="7249" spans="1:6" ht="15" customHeight="1" x14ac:dyDescent="0.25">
      <c r="A7249" s="2352" t="s">
        <v>15002</v>
      </c>
      <c r="B7249" s="2352" t="s">
        <v>11235</v>
      </c>
      <c r="C7249" s="2352" t="s">
        <v>11235</v>
      </c>
      <c r="D7249" s="2352" t="s">
        <v>11350</v>
      </c>
      <c r="E7249" s="355">
        <v>10</v>
      </c>
      <c r="F7249" s="1662">
        <v>0</v>
      </c>
    </row>
    <row r="7250" spans="1:6" ht="15" customHeight="1" x14ac:dyDescent="0.25">
      <c r="A7250" s="2352" t="s">
        <v>10711</v>
      </c>
      <c r="B7250" s="2352" t="s">
        <v>11235</v>
      </c>
      <c r="C7250" s="2352" t="s">
        <v>11235</v>
      </c>
      <c r="D7250" s="2352" t="s">
        <v>11351</v>
      </c>
      <c r="E7250" s="355">
        <v>10</v>
      </c>
      <c r="F7250" s="1662">
        <v>0</v>
      </c>
    </row>
    <row r="7251" spans="1:6" ht="15" customHeight="1" x14ac:dyDescent="0.25">
      <c r="A7251" s="2352" t="s">
        <v>15003</v>
      </c>
      <c r="B7251" s="2352" t="s">
        <v>11235</v>
      </c>
      <c r="C7251" s="2352" t="s">
        <v>11235</v>
      </c>
      <c r="D7251" s="2352" t="s">
        <v>11352</v>
      </c>
      <c r="E7251" s="355">
        <v>25</v>
      </c>
      <c r="F7251" s="1662">
        <v>5</v>
      </c>
    </row>
    <row r="7252" spans="1:6" ht="15" customHeight="1" x14ac:dyDescent="0.25">
      <c r="A7252" s="2352" t="s">
        <v>15004</v>
      </c>
      <c r="B7252" s="2352" t="s">
        <v>11235</v>
      </c>
      <c r="C7252" s="2352" t="s">
        <v>11235</v>
      </c>
      <c r="D7252" s="2352" t="s">
        <v>11353</v>
      </c>
      <c r="E7252" s="355">
        <v>30</v>
      </c>
      <c r="F7252" s="1662">
        <v>10</v>
      </c>
    </row>
    <row r="7253" spans="1:6" ht="15" customHeight="1" x14ac:dyDescent="0.25">
      <c r="A7253" s="2352" t="s">
        <v>15005</v>
      </c>
      <c r="B7253" s="2352" t="s">
        <v>11235</v>
      </c>
      <c r="C7253" s="2352" t="s">
        <v>11235</v>
      </c>
      <c r="D7253" s="2352" t="s">
        <v>11354</v>
      </c>
      <c r="E7253" s="355">
        <v>0</v>
      </c>
      <c r="F7253" s="1662">
        <v>0</v>
      </c>
    </row>
    <row r="7254" spans="1:6" ht="15" customHeight="1" x14ac:dyDescent="0.25">
      <c r="A7254" s="2352" t="s">
        <v>15006</v>
      </c>
      <c r="B7254" s="2352" t="s">
        <v>11235</v>
      </c>
      <c r="C7254" s="2352" t="s">
        <v>11235</v>
      </c>
      <c r="D7254" s="2352" t="s">
        <v>11355</v>
      </c>
      <c r="E7254" s="355">
        <v>100</v>
      </c>
      <c r="F7254" s="1662">
        <v>0</v>
      </c>
    </row>
    <row r="7255" spans="1:6" ht="15" customHeight="1" x14ac:dyDescent="0.25">
      <c r="A7255" s="2352" t="s">
        <v>15007</v>
      </c>
      <c r="B7255" s="2352" t="s">
        <v>11235</v>
      </c>
      <c r="C7255" s="2352" t="s">
        <v>11235</v>
      </c>
      <c r="D7255" s="2352" t="s">
        <v>11356</v>
      </c>
      <c r="E7255" s="355">
        <v>25</v>
      </c>
      <c r="F7255" s="1662">
        <v>15</v>
      </c>
    </row>
    <row r="7256" spans="1:6" ht="15" customHeight="1" x14ac:dyDescent="0.25">
      <c r="A7256" s="2352" t="s">
        <v>15008</v>
      </c>
      <c r="B7256" s="2352" t="s">
        <v>11235</v>
      </c>
      <c r="C7256" s="2352" t="s">
        <v>11235</v>
      </c>
      <c r="D7256" s="2352" t="s">
        <v>11357</v>
      </c>
      <c r="E7256" s="355">
        <v>10</v>
      </c>
      <c r="F7256" s="1662">
        <v>0</v>
      </c>
    </row>
    <row r="7257" spans="1:6" ht="15" customHeight="1" x14ac:dyDescent="0.25">
      <c r="A7257" s="2352" t="s">
        <v>6471</v>
      </c>
      <c r="B7257" s="2352" t="s">
        <v>11235</v>
      </c>
      <c r="C7257" s="2352" t="s">
        <v>11235</v>
      </c>
      <c r="D7257" s="2352" t="s">
        <v>11358</v>
      </c>
      <c r="E7257" s="355">
        <v>30</v>
      </c>
      <c r="F7257" s="1662">
        <v>10</v>
      </c>
    </row>
    <row r="7258" spans="1:6" ht="15" customHeight="1" x14ac:dyDescent="0.25">
      <c r="A7258" s="2352" t="s">
        <v>4792</v>
      </c>
      <c r="B7258" s="2352" t="s">
        <v>11235</v>
      </c>
      <c r="C7258" s="2352" t="s">
        <v>11235</v>
      </c>
      <c r="D7258" s="2352" t="s">
        <v>11359</v>
      </c>
      <c r="E7258" s="355">
        <v>20</v>
      </c>
      <c r="F7258" s="1662">
        <v>5</v>
      </c>
    </row>
    <row r="7259" spans="1:6" ht="15" customHeight="1" x14ac:dyDescent="0.25">
      <c r="A7259" s="2352" t="s">
        <v>14116</v>
      </c>
      <c r="B7259" s="2352" t="s">
        <v>11235</v>
      </c>
      <c r="C7259" s="2352" t="s">
        <v>11235</v>
      </c>
      <c r="D7259" s="2352" t="s">
        <v>11360</v>
      </c>
      <c r="E7259" s="355">
        <v>60</v>
      </c>
      <c r="F7259" s="1662">
        <v>20</v>
      </c>
    </row>
    <row r="7260" spans="1:6" ht="15" customHeight="1" x14ac:dyDescent="0.25">
      <c r="A7260" s="2352" t="s">
        <v>14116</v>
      </c>
      <c r="B7260" s="2352" t="s">
        <v>11235</v>
      </c>
      <c r="C7260" s="2352" t="s">
        <v>11235</v>
      </c>
      <c r="D7260" s="2352" t="s">
        <v>11361</v>
      </c>
      <c r="E7260" s="355">
        <v>30</v>
      </c>
      <c r="F7260" s="1662">
        <v>10</v>
      </c>
    </row>
    <row r="7261" spans="1:6" ht="15" customHeight="1" x14ac:dyDescent="0.25">
      <c r="A7261" s="2352" t="s">
        <v>10191</v>
      </c>
      <c r="B7261" s="2352" t="s">
        <v>11235</v>
      </c>
      <c r="C7261" s="2352" t="s">
        <v>11235</v>
      </c>
      <c r="D7261" s="2352" t="s">
        <v>11362</v>
      </c>
      <c r="E7261" s="355">
        <v>20</v>
      </c>
      <c r="F7261" s="1662">
        <v>10</v>
      </c>
    </row>
    <row r="7262" spans="1:6" ht="15" customHeight="1" x14ac:dyDescent="0.25">
      <c r="A7262" s="2352" t="s">
        <v>10191</v>
      </c>
      <c r="B7262" s="2352" t="s">
        <v>11235</v>
      </c>
      <c r="C7262" s="2352" t="s">
        <v>11235</v>
      </c>
      <c r="D7262" s="2352" t="s">
        <v>11363</v>
      </c>
      <c r="E7262" s="355">
        <v>60</v>
      </c>
      <c r="F7262" s="1662">
        <v>20</v>
      </c>
    </row>
    <row r="7263" spans="1:6" ht="15" customHeight="1" x14ac:dyDescent="0.25">
      <c r="A7263" s="2352" t="s">
        <v>15009</v>
      </c>
      <c r="B7263" s="2352" t="s">
        <v>11235</v>
      </c>
      <c r="C7263" s="2352" t="s">
        <v>11235</v>
      </c>
      <c r="D7263" s="2352" t="s">
        <v>11364</v>
      </c>
      <c r="E7263" s="355">
        <v>30</v>
      </c>
      <c r="F7263" s="1662">
        <v>5</v>
      </c>
    </row>
    <row r="7264" spans="1:6" ht="15" customHeight="1" x14ac:dyDescent="0.25">
      <c r="A7264" s="2352" t="s">
        <v>15010</v>
      </c>
      <c r="B7264" s="2352" t="s">
        <v>11235</v>
      </c>
      <c r="C7264" s="2352" t="s">
        <v>11235</v>
      </c>
      <c r="D7264" s="2352" t="s">
        <v>11365</v>
      </c>
      <c r="E7264" s="355">
        <v>30</v>
      </c>
      <c r="F7264" s="1662">
        <v>10</v>
      </c>
    </row>
    <row r="7265" spans="1:6" ht="15" customHeight="1" x14ac:dyDescent="0.25">
      <c r="A7265" s="2352" t="s">
        <v>14067</v>
      </c>
      <c r="B7265" s="2352" t="s">
        <v>11235</v>
      </c>
      <c r="C7265" s="2352" t="s">
        <v>11235</v>
      </c>
      <c r="D7265" s="2352" t="s">
        <v>11366</v>
      </c>
      <c r="E7265" s="355">
        <v>20</v>
      </c>
      <c r="F7265" s="1662">
        <v>10</v>
      </c>
    </row>
    <row r="7266" spans="1:6" ht="15" customHeight="1" x14ac:dyDescent="0.25">
      <c r="A7266" s="2352" t="s">
        <v>14509</v>
      </c>
      <c r="B7266" s="2352" t="s">
        <v>11235</v>
      </c>
      <c r="C7266" s="2352" t="s">
        <v>11235</v>
      </c>
      <c r="D7266" s="2352" t="s">
        <v>11367</v>
      </c>
      <c r="E7266" s="355">
        <v>250</v>
      </c>
      <c r="F7266" s="1662">
        <v>50</v>
      </c>
    </row>
    <row r="7267" spans="1:6" ht="15" customHeight="1" x14ac:dyDescent="0.25">
      <c r="A7267" s="2352" t="s">
        <v>15011</v>
      </c>
      <c r="B7267" s="2352" t="s">
        <v>11235</v>
      </c>
      <c r="C7267" s="2352" t="s">
        <v>11235</v>
      </c>
      <c r="D7267" s="2352" t="s">
        <v>11368</v>
      </c>
      <c r="E7267" s="355">
        <v>63</v>
      </c>
      <c r="F7267" s="1662">
        <v>10</v>
      </c>
    </row>
    <row r="7268" spans="1:6" ht="15" customHeight="1" x14ac:dyDescent="0.25">
      <c r="A7268" s="2352" t="s">
        <v>15012</v>
      </c>
      <c r="B7268" s="2352" t="s">
        <v>11235</v>
      </c>
      <c r="C7268" s="2352" t="s">
        <v>11235</v>
      </c>
      <c r="D7268" s="2352" t="s">
        <v>11369</v>
      </c>
      <c r="E7268" s="355">
        <v>0</v>
      </c>
      <c r="F7268" s="1662">
        <v>0</v>
      </c>
    </row>
    <row r="7269" spans="1:6" ht="15" customHeight="1" x14ac:dyDescent="0.25">
      <c r="A7269" s="2352" t="s">
        <v>15013</v>
      </c>
      <c r="B7269" s="2352" t="s">
        <v>11235</v>
      </c>
      <c r="C7269" s="2352" t="s">
        <v>11235</v>
      </c>
      <c r="D7269" s="2352" t="s">
        <v>11370</v>
      </c>
      <c r="E7269" s="355">
        <v>0</v>
      </c>
      <c r="F7269" s="1662">
        <v>0</v>
      </c>
    </row>
    <row r="7270" spans="1:6" ht="15" customHeight="1" x14ac:dyDescent="0.25">
      <c r="A7270" s="2352" t="s">
        <v>15014</v>
      </c>
      <c r="B7270" s="2352" t="s">
        <v>11235</v>
      </c>
      <c r="C7270" s="2352" t="s">
        <v>11235</v>
      </c>
      <c r="D7270" s="2352" t="s">
        <v>11371</v>
      </c>
      <c r="E7270" s="355">
        <v>160</v>
      </c>
      <c r="F7270" s="1662">
        <v>120</v>
      </c>
    </row>
    <row r="7271" spans="1:6" ht="15" customHeight="1" x14ac:dyDescent="0.25">
      <c r="A7271" s="2352" t="s">
        <v>15014</v>
      </c>
      <c r="B7271" s="2352" t="s">
        <v>11235</v>
      </c>
      <c r="C7271" s="2352" t="s">
        <v>11235</v>
      </c>
      <c r="D7271" s="2352" t="s">
        <v>11372</v>
      </c>
      <c r="E7271" s="355">
        <v>100</v>
      </c>
      <c r="F7271" s="1662">
        <v>10</v>
      </c>
    </row>
    <row r="7272" spans="1:6" ht="15" customHeight="1" x14ac:dyDescent="0.25">
      <c r="A7272" s="2352" t="s">
        <v>4497</v>
      </c>
      <c r="B7272" s="2352" t="s">
        <v>11235</v>
      </c>
      <c r="C7272" s="2352" t="s">
        <v>11235</v>
      </c>
      <c r="D7272" s="2352" t="s">
        <v>11373</v>
      </c>
      <c r="E7272" s="355">
        <v>20</v>
      </c>
      <c r="F7272" s="1662">
        <v>10</v>
      </c>
    </row>
    <row r="7273" spans="1:6" ht="15" customHeight="1" x14ac:dyDescent="0.25">
      <c r="A7273" s="2352" t="s">
        <v>5310</v>
      </c>
      <c r="B7273" s="2352" t="s">
        <v>11235</v>
      </c>
      <c r="C7273" s="2352" t="s">
        <v>11235</v>
      </c>
      <c r="D7273" s="2352" t="s">
        <v>11374</v>
      </c>
      <c r="E7273" s="355">
        <v>30</v>
      </c>
      <c r="F7273" s="1662">
        <v>10</v>
      </c>
    </row>
    <row r="7274" spans="1:6" ht="15" customHeight="1" x14ac:dyDescent="0.25">
      <c r="A7274" s="2352" t="s">
        <v>6540</v>
      </c>
      <c r="B7274" s="2352" t="s">
        <v>11235</v>
      </c>
      <c r="C7274" s="2352" t="s">
        <v>11235</v>
      </c>
      <c r="D7274" s="2352" t="s">
        <v>11375</v>
      </c>
      <c r="E7274" s="355">
        <v>30</v>
      </c>
      <c r="F7274" s="1662">
        <v>20</v>
      </c>
    </row>
    <row r="7275" spans="1:6" ht="15" customHeight="1" x14ac:dyDescent="0.25">
      <c r="A7275" s="2352" t="s">
        <v>15015</v>
      </c>
      <c r="B7275" s="2352" t="s">
        <v>11235</v>
      </c>
      <c r="C7275" s="2352" t="s">
        <v>11235</v>
      </c>
      <c r="D7275" s="2352" t="s">
        <v>11376</v>
      </c>
      <c r="E7275" s="355">
        <v>40</v>
      </c>
      <c r="F7275" s="1662">
        <v>20</v>
      </c>
    </row>
    <row r="7276" spans="1:6" ht="15" customHeight="1" x14ac:dyDescent="0.25">
      <c r="A7276" s="2352" t="s">
        <v>15016</v>
      </c>
      <c r="B7276" s="2352" t="s">
        <v>11235</v>
      </c>
      <c r="C7276" s="2352" t="s">
        <v>11235</v>
      </c>
      <c r="D7276" s="2352" t="s">
        <v>11377</v>
      </c>
      <c r="E7276" s="355">
        <v>30</v>
      </c>
      <c r="F7276" s="1662">
        <v>10</v>
      </c>
    </row>
    <row r="7277" spans="1:6" ht="15" customHeight="1" x14ac:dyDescent="0.25">
      <c r="A7277" s="2352" t="s">
        <v>15017</v>
      </c>
      <c r="B7277" s="2352" t="s">
        <v>11235</v>
      </c>
      <c r="C7277" s="2352" t="s">
        <v>11235</v>
      </c>
      <c r="D7277" s="2352" t="s">
        <v>11378</v>
      </c>
      <c r="E7277" s="355">
        <v>20</v>
      </c>
      <c r="F7277" s="1662">
        <v>0</v>
      </c>
    </row>
    <row r="7278" spans="1:6" ht="15" customHeight="1" x14ac:dyDescent="0.25">
      <c r="A7278" s="2352" t="s">
        <v>15018</v>
      </c>
      <c r="B7278" s="2352" t="s">
        <v>11235</v>
      </c>
      <c r="C7278" s="2352" t="s">
        <v>11235</v>
      </c>
      <c r="D7278" s="2352" t="s">
        <v>11379</v>
      </c>
      <c r="E7278" s="355">
        <v>20</v>
      </c>
      <c r="F7278" s="1662">
        <v>5</v>
      </c>
    </row>
    <row r="7279" spans="1:6" ht="15" customHeight="1" x14ac:dyDescent="0.25">
      <c r="A7279" s="2352" t="s">
        <v>7220</v>
      </c>
      <c r="B7279" s="2352" t="s">
        <v>11235</v>
      </c>
      <c r="C7279" s="2352" t="s">
        <v>11235</v>
      </c>
      <c r="D7279" s="2352" t="s">
        <v>11380</v>
      </c>
      <c r="E7279" s="355">
        <v>30</v>
      </c>
      <c r="F7279" s="1662">
        <v>15</v>
      </c>
    </row>
    <row r="7280" spans="1:6" ht="15" customHeight="1" x14ac:dyDescent="0.25">
      <c r="A7280" s="2352" t="s">
        <v>15019</v>
      </c>
      <c r="B7280" s="2352" t="s">
        <v>11235</v>
      </c>
      <c r="C7280" s="2352" t="s">
        <v>11235</v>
      </c>
      <c r="D7280" s="2352" t="s">
        <v>11381</v>
      </c>
      <c r="E7280" s="355">
        <v>25</v>
      </c>
      <c r="F7280" s="1662">
        <v>10</v>
      </c>
    </row>
    <row r="7281" spans="1:6" ht="15" customHeight="1" x14ac:dyDescent="0.25">
      <c r="A7281" s="2352" t="s">
        <v>6451</v>
      </c>
      <c r="B7281" s="2352" t="s">
        <v>11235</v>
      </c>
      <c r="C7281" s="2352" t="s">
        <v>11235</v>
      </c>
      <c r="D7281" s="2352" t="s">
        <v>11382</v>
      </c>
      <c r="E7281" s="355">
        <v>60</v>
      </c>
      <c r="F7281" s="1662">
        <v>30</v>
      </c>
    </row>
    <row r="7282" spans="1:6" ht="15" customHeight="1" x14ac:dyDescent="0.25">
      <c r="A7282" s="2352" t="s">
        <v>6451</v>
      </c>
      <c r="B7282" s="2352" t="s">
        <v>11235</v>
      </c>
      <c r="C7282" s="2352" t="s">
        <v>11235</v>
      </c>
      <c r="D7282" s="2352" t="s">
        <v>11383</v>
      </c>
      <c r="E7282" s="355">
        <v>50</v>
      </c>
      <c r="F7282" s="1662">
        <v>20</v>
      </c>
    </row>
    <row r="7283" spans="1:6" ht="15" customHeight="1" x14ac:dyDescent="0.25">
      <c r="A7283" s="2352" t="s">
        <v>15020</v>
      </c>
      <c r="B7283" s="2352" t="s">
        <v>11235</v>
      </c>
      <c r="C7283" s="2352" t="s">
        <v>11235</v>
      </c>
      <c r="D7283" s="2352" t="s">
        <v>11384</v>
      </c>
      <c r="E7283" s="355">
        <v>20</v>
      </c>
      <c r="F7283" s="1662">
        <v>0</v>
      </c>
    </row>
    <row r="7284" spans="1:6" ht="15" customHeight="1" x14ac:dyDescent="0.25">
      <c r="A7284" s="2352" t="s">
        <v>3938</v>
      </c>
      <c r="B7284" s="2352" t="s">
        <v>11235</v>
      </c>
      <c r="C7284" s="2352" t="s">
        <v>11235</v>
      </c>
      <c r="D7284" s="2352" t="s">
        <v>11385</v>
      </c>
      <c r="E7284" s="355">
        <v>30</v>
      </c>
      <c r="F7284" s="1662">
        <v>0</v>
      </c>
    </row>
    <row r="7285" spans="1:6" ht="15" customHeight="1" x14ac:dyDescent="0.25">
      <c r="A7285" s="2352" t="s">
        <v>15021</v>
      </c>
      <c r="B7285" s="2352" t="s">
        <v>11235</v>
      </c>
      <c r="C7285" s="2352" t="s">
        <v>11235</v>
      </c>
      <c r="D7285" s="2352" t="s">
        <v>11386</v>
      </c>
      <c r="E7285" s="355">
        <v>100</v>
      </c>
      <c r="F7285" s="1662">
        <v>20</v>
      </c>
    </row>
    <row r="7286" spans="1:6" ht="15" customHeight="1" x14ac:dyDescent="0.25">
      <c r="A7286" s="2352" t="s">
        <v>15021</v>
      </c>
      <c r="B7286" s="2352" t="s">
        <v>11235</v>
      </c>
      <c r="C7286" s="2352" t="s">
        <v>11235</v>
      </c>
      <c r="D7286" s="2352" t="s">
        <v>11387</v>
      </c>
      <c r="E7286" s="355">
        <v>160</v>
      </c>
      <c r="F7286" s="1662">
        <v>20</v>
      </c>
    </row>
    <row r="7287" spans="1:6" ht="15" customHeight="1" x14ac:dyDescent="0.25">
      <c r="A7287" s="2352" t="s">
        <v>15021</v>
      </c>
      <c r="B7287" s="2352" t="s">
        <v>11235</v>
      </c>
      <c r="C7287" s="2352" t="s">
        <v>11235</v>
      </c>
      <c r="D7287" s="2352" t="s">
        <v>11388</v>
      </c>
      <c r="E7287" s="355">
        <v>100</v>
      </c>
      <c r="F7287" s="1662">
        <v>30</v>
      </c>
    </row>
    <row r="7288" spans="1:6" ht="15" customHeight="1" x14ac:dyDescent="0.25">
      <c r="A7288" s="2352" t="s">
        <v>15021</v>
      </c>
      <c r="B7288" s="2352" t="s">
        <v>11235</v>
      </c>
      <c r="C7288" s="2352" t="s">
        <v>11235</v>
      </c>
      <c r="D7288" s="2352" t="s">
        <v>11389</v>
      </c>
      <c r="E7288" s="355">
        <v>160</v>
      </c>
      <c r="F7288" s="1662">
        <v>40</v>
      </c>
    </row>
    <row r="7289" spans="1:6" ht="15" customHeight="1" x14ac:dyDescent="0.25">
      <c r="A7289" s="2352" t="s">
        <v>15022</v>
      </c>
      <c r="B7289" s="2352" t="s">
        <v>11235</v>
      </c>
      <c r="C7289" s="2352" t="s">
        <v>11235</v>
      </c>
      <c r="D7289" s="2352" t="s">
        <v>11390</v>
      </c>
      <c r="E7289" s="355">
        <v>20</v>
      </c>
      <c r="F7289" s="1662">
        <v>3</v>
      </c>
    </row>
    <row r="7290" spans="1:6" ht="15" customHeight="1" x14ac:dyDescent="0.25">
      <c r="A7290" s="2352" t="s">
        <v>15023</v>
      </c>
      <c r="B7290" s="2352" t="s">
        <v>11235</v>
      </c>
      <c r="C7290" s="2352" t="s">
        <v>11235</v>
      </c>
      <c r="D7290" s="2352" t="s">
        <v>11391</v>
      </c>
      <c r="E7290" s="355">
        <v>20</v>
      </c>
      <c r="F7290" s="1662">
        <v>5</v>
      </c>
    </row>
    <row r="7291" spans="1:6" ht="15" customHeight="1" x14ac:dyDescent="0.25">
      <c r="A7291" s="2352" t="s">
        <v>15023</v>
      </c>
      <c r="B7291" s="2352" t="s">
        <v>11235</v>
      </c>
      <c r="C7291" s="2352" t="s">
        <v>11235</v>
      </c>
      <c r="D7291" s="2352" t="s">
        <v>11392</v>
      </c>
      <c r="E7291" s="355">
        <v>60</v>
      </c>
      <c r="F7291" s="1662">
        <v>0</v>
      </c>
    </row>
    <row r="7292" spans="1:6" ht="15" customHeight="1" x14ac:dyDescent="0.25">
      <c r="A7292" s="2352" t="s">
        <v>15024</v>
      </c>
      <c r="B7292" s="2352" t="s">
        <v>11235</v>
      </c>
      <c r="C7292" s="2352" t="s">
        <v>11235</v>
      </c>
      <c r="D7292" s="2352" t="s">
        <v>11393</v>
      </c>
      <c r="E7292" s="355">
        <v>100</v>
      </c>
      <c r="F7292" s="1662">
        <v>80</v>
      </c>
    </row>
    <row r="7293" spans="1:6" ht="15" customHeight="1" x14ac:dyDescent="0.25">
      <c r="A7293" s="2352" t="s">
        <v>14499</v>
      </c>
      <c r="B7293" s="2352" t="s">
        <v>11235</v>
      </c>
      <c r="C7293" s="2352" t="s">
        <v>11235</v>
      </c>
      <c r="D7293" s="2352" t="s">
        <v>11394</v>
      </c>
      <c r="E7293" s="355">
        <v>30</v>
      </c>
      <c r="F7293" s="1662">
        <v>10</v>
      </c>
    </row>
    <row r="7294" spans="1:6" ht="15" customHeight="1" x14ac:dyDescent="0.25">
      <c r="A7294" s="2352" t="s">
        <v>15025</v>
      </c>
      <c r="B7294" s="2352" t="s">
        <v>11235</v>
      </c>
      <c r="C7294" s="2352" t="s">
        <v>11235</v>
      </c>
      <c r="D7294" s="2352" t="s">
        <v>11395</v>
      </c>
      <c r="E7294" s="355">
        <v>0</v>
      </c>
      <c r="F7294" s="1662">
        <v>0</v>
      </c>
    </row>
    <row r="7295" spans="1:6" ht="15" customHeight="1" x14ac:dyDescent="0.25">
      <c r="A7295" s="2352" t="s">
        <v>15026</v>
      </c>
      <c r="B7295" s="2352" t="s">
        <v>11235</v>
      </c>
      <c r="C7295" s="2352" t="s">
        <v>11235</v>
      </c>
      <c r="D7295" s="2352" t="s">
        <v>11396</v>
      </c>
      <c r="E7295" s="355">
        <v>60</v>
      </c>
      <c r="F7295" s="1662">
        <v>5</v>
      </c>
    </row>
    <row r="7296" spans="1:6" ht="15" customHeight="1" x14ac:dyDescent="0.25">
      <c r="A7296" s="2352" t="s">
        <v>14458</v>
      </c>
      <c r="B7296" s="2352" t="s">
        <v>11235</v>
      </c>
      <c r="C7296" s="2352" t="s">
        <v>11235</v>
      </c>
      <c r="D7296" s="2352" t="s">
        <v>11397</v>
      </c>
      <c r="E7296" s="355">
        <v>30</v>
      </c>
      <c r="F7296" s="1662">
        <v>20</v>
      </c>
    </row>
    <row r="7297" spans="1:6" ht="15" customHeight="1" x14ac:dyDescent="0.25">
      <c r="A7297" s="2352" t="s">
        <v>14396</v>
      </c>
      <c r="B7297" s="2352" t="s">
        <v>11235</v>
      </c>
      <c r="C7297" s="2352" t="s">
        <v>11235</v>
      </c>
      <c r="D7297" s="2352" t="s">
        <v>11398</v>
      </c>
      <c r="E7297" s="355">
        <v>30</v>
      </c>
      <c r="F7297" s="1662">
        <v>20</v>
      </c>
    </row>
    <row r="7298" spans="1:6" ht="15" customHeight="1" x14ac:dyDescent="0.25">
      <c r="A7298" s="2352" t="s">
        <v>15027</v>
      </c>
      <c r="B7298" s="2352" t="s">
        <v>11235</v>
      </c>
      <c r="C7298" s="2352" t="s">
        <v>11235</v>
      </c>
      <c r="D7298" s="2352" t="s">
        <v>11399</v>
      </c>
      <c r="E7298" s="355">
        <v>20</v>
      </c>
      <c r="F7298" s="1662">
        <v>0</v>
      </c>
    </row>
    <row r="7299" spans="1:6" ht="15" customHeight="1" x14ac:dyDescent="0.25">
      <c r="A7299" s="2352" t="s">
        <v>15028</v>
      </c>
      <c r="B7299" s="2352" t="s">
        <v>11235</v>
      </c>
      <c r="C7299" s="2352" t="s">
        <v>11235</v>
      </c>
      <c r="D7299" s="2352" t="s">
        <v>11400</v>
      </c>
      <c r="E7299" s="355">
        <v>100</v>
      </c>
      <c r="F7299" s="1662">
        <v>20</v>
      </c>
    </row>
    <row r="7300" spans="1:6" ht="15" customHeight="1" x14ac:dyDescent="0.25">
      <c r="A7300" s="2352" t="s">
        <v>15029</v>
      </c>
      <c r="B7300" s="2352" t="s">
        <v>11235</v>
      </c>
      <c r="C7300" s="2352" t="s">
        <v>11235</v>
      </c>
      <c r="D7300" s="2352" t="s">
        <v>11401</v>
      </c>
      <c r="E7300" s="355">
        <v>25</v>
      </c>
      <c r="F7300" s="1662">
        <v>10</v>
      </c>
    </row>
    <row r="7301" spans="1:6" ht="15" customHeight="1" x14ac:dyDescent="0.25">
      <c r="A7301" s="2352" t="s">
        <v>15030</v>
      </c>
      <c r="B7301" s="2352" t="s">
        <v>11235</v>
      </c>
      <c r="C7301" s="2352" t="s">
        <v>11235</v>
      </c>
      <c r="D7301" s="2352" t="s">
        <v>11402</v>
      </c>
      <c r="E7301" s="355">
        <v>20</v>
      </c>
      <c r="F7301" s="1662">
        <v>20</v>
      </c>
    </row>
    <row r="7302" spans="1:6" ht="15" customHeight="1" x14ac:dyDescent="0.25">
      <c r="A7302" s="2352" t="s">
        <v>15031</v>
      </c>
      <c r="B7302" s="2352" t="s">
        <v>11235</v>
      </c>
      <c r="C7302" s="2352" t="s">
        <v>11235</v>
      </c>
      <c r="D7302" s="2352" t="s">
        <v>11403</v>
      </c>
      <c r="E7302" s="355">
        <v>25</v>
      </c>
      <c r="F7302" s="1662">
        <v>10</v>
      </c>
    </row>
    <row r="7303" spans="1:6" ht="15" customHeight="1" x14ac:dyDescent="0.25">
      <c r="A7303" s="2352" t="s">
        <v>15032</v>
      </c>
      <c r="B7303" s="2352" t="s">
        <v>11235</v>
      </c>
      <c r="C7303" s="2352" t="s">
        <v>11235</v>
      </c>
      <c r="D7303" s="2352" t="s">
        <v>11404</v>
      </c>
      <c r="E7303" s="355">
        <v>20</v>
      </c>
      <c r="F7303" s="1662">
        <v>5</v>
      </c>
    </row>
    <row r="7304" spans="1:6" ht="15" customHeight="1" x14ac:dyDescent="0.25">
      <c r="A7304" s="2352" t="s">
        <v>4413</v>
      </c>
      <c r="B7304" s="2352" t="s">
        <v>11235</v>
      </c>
      <c r="C7304" s="2352" t="s">
        <v>11235</v>
      </c>
      <c r="D7304" s="2352" t="s">
        <v>11405</v>
      </c>
      <c r="E7304" s="355">
        <v>30</v>
      </c>
      <c r="F7304" s="1662">
        <v>10</v>
      </c>
    </row>
    <row r="7305" spans="1:6" ht="15" customHeight="1" x14ac:dyDescent="0.25">
      <c r="A7305" s="2352" t="s">
        <v>15033</v>
      </c>
      <c r="B7305" s="2352" t="s">
        <v>11235</v>
      </c>
      <c r="C7305" s="2352" t="s">
        <v>11235</v>
      </c>
      <c r="D7305" s="2352" t="s">
        <v>11406</v>
      </c>
      <c r="E7305" s="355">
        <v>160</v>
      </c>
      <c r="F7305" s="1662">
        <v>80</v>
      </c>
    </row>
    <row r="7306" spans="1:6" ht="15" customHeight="1" x14ac:dyDescent="0.25">
      <c r="A7306" s="2352" t="s">
        <v>15033</v>
      </c>
      <c r="B7306" s="2352" t="s">
        <v>11235</v>
      </c>
      <c r="C7306" s="2352" t="s">
        <v>11235</v>
      </c>
      <c r="D7306" s="2352" t="s">
        <v>11407</v>
      </c>
      <c r="E7306" s="355">
        <v>100</v>
      </c>
      <c r="F7306" s="1662">
        <v>50</v>
      </c>
    </row>
    <row r="7307" spans="1:6" ht="15" customHeight="1" x14ac:dyDescent="0.25">
      <c r="A7307" s="2352" t="s">
        <v>15034</v>
      </c>
      <c r="B7307" s="2352" t="s">
        <v>11235</v>
      </c>
      <c r="C7307" s="2352" t="s">
        <v>11235</v>
      </c>
      <c r="D7307" s="2352" t="s">
        <v>11408</v>
      </c>
      <c r="E7307" s="355">
        <v>10</v>
      </c>
      <c r="F7307" s="1662">
        <v>0</v>
      </c>
    </row>
    <row r="7308" spans="1:6" ht="15" customHeight="1" x14ac:dyDescent="0.25">
      <c r="A7308" s="2352" t="s">
        <v>6418</v>
      </c>
      <c r="B7308" s="2352" t="s">
        <v>11235</v>
      </c>
      <c r="C7308" s="2352" t="s">
        <v>11235</v>
      </c>
      <c r="D7308" s="2352" t="s">
        <v>11409</v>
      </c>
      <c r="E7308" s="355">
        <v>10</v>
      </c>
      <c r="F7308" s="1662">
        <v>0</v>
      </c>
    </row>
    <row r="7309" spans="1:6" ht="15" customHeight="1" x14ac:dyDescent="0.25">
      <c r="A7309" s="2352" t="s">
        <v>7475</v>
      </c>
      <c r="B7309" s="2352" t="s">
        <v>11235</v>
      </c>
      <c r="C7309" s="2352" t="s">
        <v>11235</v>
      </c>
      <c r="D7309" s="2352" t="s">
        <v>11410</v>
      </c>
      <c r="E7309" s="355">
        <v>40</v>
      </c>
      <c r="F7309" s="1662">
        <v>20</v>
      </c>
    </row>
    <row r="7310" spans="1:6" ht="15" customHeight="1" x14ac:dyDescent="0.25">
      <c r="A7310" s="2352" t="s">
        <v>7826</v>
      </c>
      <c r="B7310" s="2352" t="s">
        <v>11235</v>
      </c>
      <c r="C7310" s="2352" t="s">
        <v>11235</v>
      </c>
      <c r="D7310" s="2352" t="s">
        <v>11411</v>
      </c>
      <c r="E7310" s="355">
        <v>30</v>
      </c>
      <c r="F7310" s="1662">
        <v>10</v>
      </c>
    </row>
    <row r="7311" spans="1:6" ht="15" customHeight="1" x14ac:dyDescent="0.25">
      <c r="A7311" s="2352" t="s">
        <v>15035</v>
      </c>
      <c r="B7311" s="2352" t="s">
        <v>11235</v>
      </c>
      <c r="C7311" s="2352" t="s">
        <v>11235</v>
      </c>
      <c r="D7311" s="2352" t="s">
        <v>11412</v>
      </c>
      <c r="E7311" s="355">
        <v>20</v>
      </c>
      <c r="F7311" s="1662">
        <v>10</v>
      </c>
    </row>
    <row r="7312" spans="1:6" ht="15" customHeight="1" x14ac:dyDescent="0.25">
      <c r="A7312" s="2352" t="s">
        <v>15036</v>
      </c>
      <c r="B7312" s="2352" t="s">
        <v>11235</v>
      </c>
      <c r="C7312" s="2352" t="s">
        <v>11235</v>
      </c>
      <c r="D7312" s="2352" t="s">
        <v>11413</v>
      </c>
      <c r="E7312" s="355">
        <v>100</v>
      </c>
      <c r="F7312" s="1662">
        <v>30</v>
      </c>
    </row>
    <row r="7313" spans="1:6" ht="15" customHeight="1" x14ac:dyDescent="0.25">
      <c r="A7313" s="2352" t="s">
        <v>15037</v>
      </c>
      <c r="B7313" s="2352" t="s">
        <v>11235</v>
      </c>
      <c r="C7313" s="2352" t="s">
        <v>11235</v>
      </c>
      <c r="D7313" s="2352" t="s">
        <v>11414</v>
      </c>
      <c r="E7313" s="355">
        <v>10</v>
      </c>
      <c r="F7313" s="1662">
        <v>0</v>
      </c>
    </row>
    <row r="7314" spans="1:6" ht="15" customHeight="1" x14ac:dyDescent="0.25">
      <c r="A7314" s="2352" t="s">
        <v>15038</v>
      </c>
      <c r="B7314" s="2352" t="s">
        <v>11235</v>
      </c>
      <c r="C7314" s="2352" t="s">
        <v>11235</v>
      </c>
      <c r="D7314" s="2352" t="s">
        <v>11415</v>
      </c>
      <c r="E7314" s="355">
        <v>25</v>
      </c>
      <c r="F7314" s="1662">
        <v>5</v>
      </c>
    </row>
    <row r="7315" spans="1:6" ht="15" customHeight="1" x14ac:dyDescent="0.25">
      <c r="A7315" s="2352" t="s">
        <v>15039</v>
      </c>
      <c r="B7315" s="2352" t="s">
        <v>11235</v>
      </c>
      <c r="C7315" s="2352" t="s">
        <v>11235</v>
      </c>
      <c r="D7315" s="2352" t="s">
        <v>11416</v>
      </c>
      <c r="E7315" s="355">
        <v>25</v>
      </c>
      <c r="F7315" s="1662">
        <v>5</v>
      </c>
    </row>
    <row r="7316" spans="1:6" ht="15" customHeight="1" x14ac:dyDescent="0.25">
      <c r="A7316" s="2352" t="s">
        <v>15040</v>
      </c>
      <c r="B7316" s="2352" t="s">
        <v>11235</v>
      </c>
      <c r="C7316" s="2352" t="s">
        <v>11235</v>
      </c>
      <c r="D7316" s="2352" t="s">
        <v>11417</v>
      </c>
      <c r="E7316" s="355">
        <v>30</v>
      </c>
      <c r="F7316" s="1662">
        <v>10</v>
      </c>
    </row>
    <row r="7317" spans="1:6" ht="15" customHeight="1" x14ac:dyDescent="0.25">
      <c r="A7317" s="2352" t="s">
        <v>15041</v>
      </c>
      <c r="B7317" s="2352" t="s">
        <v>11235</v>
      </c>
      <c r="C7317" s="2352" t="s">
        <v>11235</v>
      </c>
      <c r="D7317" s="2352" t="s">
        <v>11418</v>
      </c>
      <c r="E7317" s="355">
        <v>20</v>
      </c>
      <c r="F7317" s="1662">
        <v>10</v>
      </c>
    </row>
    <row r="7318" spans="1:6" ht="15" customHeight="1" x14ac:dyDescent="0.25">
      <c r="A7318" s="2352" t="s">
        <v>8146</v>
      </c>
      <c r="B7318" s="2352" t="s">
        <v>11235</v>
      </c>
      <c r="C7318" s="2352" t="s">
        <v>11235</v>
      </c>
      <c r="D7318" s="2352" t="s">
        <v>11419</v>
      </c>
      <c r="E7318" s="355">
        <v>40</v>
      </c>
      <c r="F7318" s="1662">
        <v>10</v>
      </c>
    </row>
    <row r="7319" spans="1:6" ht="15" customHeight="1" x14ac:dyDescent="0.25">
      <c r="A7319" s="2352" t="s">
        <v>4391</v>
      </c>
      <c r="B7319" s="2352" t="s">
        <v>11235</v>
      </c>
      <c r="C7319" s="2352" t="s">
        <v>11235</v>
      </c>
      <c r="D7319" s="2352" t="s">
        <v>11420</v>
      </c>
      <c r="E7319" s="355">
        <v>25</v>
      </c>
      <c r="F7319" s="1662">
        <v>15</v>
      </c>
    </row>
    <row r="7320" spans="1:6" ht="15" customHeight="1" x14ac:dyDescent="0.25">
      <c r="A7320" s="2352" t="s">
        <v>15042</v>
      </c>
      <c r="B7320" s="2352" t="s">
        <v>11235</v>
      </c>
      <c r="C7320" s="2352" t="s">
        <v>11235</v>
      </c>
      <c r="D7320" s="2352" t="s">
        <v>11421</v>
      </c>
      <c r="E7320" s="355">
        <v>30</v>
      </c>
      <c r="F7320" s="1662">
        <v>5</v>
      </c>
    </row>
    <row r="7321" spans="1:6" ht="15" customHeight="1" x14ac:dyDescent="0.25">
      <c r="A7321" s="2352" t="s">
        <v>7438</v>
      </c>
      <c r="B7321" s="2352" t="s">
        <v>11235</v>
      </c>
      <c r="C7321" s="2352" t="s">
        <v>11235</v>
      </c>
      <c r="D7321" s="2352" t="s">
        <v>11422</v>
      </c>
      <c r="E7321" s="355">
        <v>63</v>
      </c>
      <c r="F7321" s="1662">
        <v>30</v>
      </c>
    </row>
    <row r="7322" spans="1:6" ht="15" customHeight="1" x14ac:dyDescent="0.25">
      <c r="A7322" s="2352" t="s">
        <v>7438</v>
      </c>
      <c r="B7322" s="2352" t="s">
        <v>11235</v>
      </c>
      <c r="C7322" s="2352" t="s">
        <v>11235</v>
      </c>
      <c r="D7322" s="2352" t="s">
        <v>11423</v>
      </c>
      <c r="E7322" s="355">
        <v>100</v>
      </c>
      <c r="F7322" s="1662">
        <v>80</v>
      </c>
    </row>
    <row r="7323" spans="1:6" ht="15" customHeight="1" x14ac:dyDescent="0.25">
      <c r="A7323" s="2352" t="s">
        <v>15043</v>
      </c>
      <c r="B7323" s="2352" t="s">
        <v>11235</v>
      </c>
      <c r="C7323" s="2352" t="s">
        <v>11235</v>
      </c>
      <c r="D7323" s="2352" t="s">
        <v>11424</v>
      </c>
      <c r="E7323" s="355">
        <v>20</v>
      </c>
      <c r="F7323" s="1662">
        <v>5</v>
      </c>
    </row>
    <row r="7324" spans="1:6" ht="15" customHeight="1" x14ac:dyDescent="0.25">
      <c r="A7324" s="2352" t="s">
        <v>15044</v>
      </c>
      <c r="B7324" s="2352" t="s">
        <v>11235</v>
      </c>
      <c r="C7324" s="2352" t="s">
        <v>11235</v>
      </c>
      <c r="D7324" s="2352" t="s">
        <v>11425</v>
      </c>
      <c r="E7324" s="355">
        <v>10</v>
      </c>
      <c r="F7324" s="1662">
        <v>0</v>
      </c>
    </row>
    <row r="7325" spans="1:6" ht="15" customHeight="1" x14ac:dyDescent="0.25">
      <c r="A7325" s="2352" t="s">
        <v>15045</v>
      </c>
      <c r="B7325" s="2352" t="s">
        <v>11235</v>
      </c>
      <c r="C7325" s="2352" t="s">
        <v>11235</v>
      </c>
      <c r="D7325" s="2352" t="s">
        <v>11426</v>
      </c>
      <c r="E7325" s="355">
        <v>30</v>
      </c>
      <c r="F7325" s="1662">
        <v>10</v>
      </c>
    </row>
    <row r="7326" spans="1:6" ht="15" customHeight="1" x14ac:dyDescent="0.25">
      <c r="A7326" s="2352" t="s">
        <v>6426</v>
      </c>
      <c r="B7326" s="2352" t="s">
        <v>11235</v>
      </c>
      <c r="C7326" s="2352" t="s">
        <v>11235</v>
      </c>
      <c r="D7326" s="2352" t="s">
        <v>11427</v>
      </c>
      <c r="E7326" s="355">
        <v>60</v>
      </c>
      <c r="F7326" s="1662">
        <v>10</v>
      </c>
    </row>
    <row r="7327" spans="1:6" ht="15" customHeight="1" x14ac:dyDescent="0.25">
      <c r="A7327" s="2352" t="s">
        <v>6426</v>
      </c>
      <c r="B7327" s="2352" t="s">
        <v>11235</v>
      </c>
      <c r="C7327" s="2352" t="s">
        <v>11235</v>
      </c>
      <c r="D7327" s="2352" t="s">
        <v>11428</v>
      </c>
      <c r="E7327" s="355">
        <v>20</v>
      </c>
      <c r="F7327" s="1662">
        <v>10</v>
      </c>
    </row>
    <row r="7328" spans="1:6" ht="15" customHeight="1" x14ac:dyDescent="0.25">
      <c r="A7328" s="2352" t="s">
        <v>15046</v>
      </c>
      <c r="B7328" s="2352" t="s">
        <v>11235</v>
      </c>
      <c r="C7328" s="2352" t="s">
        <v>11235</v>
      </c>
      <c r="D7328" s="2352" t="s">
        <v>11429</v>
      </c>
      <c r="E7328" s="355">
        <v>30</v>
      </c>
      <c r="F7328" s="1662">
        <v>5</v>
      </c>
    </row>
    <row r="7329" spans="1:6" ht="15" customHeight="1" x14ac:dyDescent="0.25">
      <c r="A7329" s="2352" t="s">
        <v>15047</v>
      </c>
      <c r="B7329" s="2352" t="s">
        <v>11235</v>
      </c>
      <c r="C7329" s="2352" t="s">
        <v>11235</v>
      </c>
      <c r="D7329" s="2352" t="s">
        <v>11430</v>
      </c>
      <c r="E7329" s="355">
        <v>30</v>
      </c>
      <c r="F7329" s="1662">
        <v>10</v>
      </c>
    </row>
    <row r="7330" spans="1:6" ht="15" customHeight="1" x14ac:dyDescent="0.25">
      <c r="A7330" s="2352" t="s">
        <v>15048</v>
      </c>
      <c r="B7330" s="2352" t="s">
        <v>11235</v>
      </c>
      <c r="C7330" s="2352" t="s">
        <v>11235</v>
      </c>
      <c r="D7330" s="2352" t="s">
        <v>11431</v>
      </c>
      <c r="E7330" s="355">
        <v>20</v>
      </c>
      <c r="F7330" s="1662">
        <v>5</v>
      </c>
    </row>
    <row r="7331" spans="1:6" ht="15" customHeight="1" x14ac:dyDescent="0.25">
      <c r="A7331" s="2352" t="s">
        <v>15049</v>
      </c>
      <c r="B7331" s="2352" t="s">
        <v>11235</v>
      </c>
      <c r="C7331" s="2352" t="s">
        <v>11235</v>
      </c>
      <c r="D7331" s="2352" t="s">
        <v>11432</v>
      </c>
      <c r="E7331" s="355">
        <v>20</v>
      </c>
      <c r="F7331" s="1662">
        <v>5</v>
      </c>
    </row>
    <row r="7332" spans="1:6" ht="15" customHeight="1" x14ac:dyDescent="0.25">
      <c r="A7332" s="2352" t="s">
        <v>15050</v>
      </c>
      <c r="B7332" s="2352" t="s">
        <v>11235</v>
      </c>
      <c r="C7332" s="2352" t="s">
        <v>11235</v>
      </c>
      <c r="D7332" s="2352" t="s">
        <v>11433</v>
      </c>
      <c r="E7332" s="355">
        <v>20</v>
      </c>
      <c r="F7332" s="1662">
        <v>5</v>
      </c>
    </row>
    <row r="7333" spans="1:6" ht="15" customHeight="1" x14ac:dyDescent="0.25">
      <c r="A7333" s="2352" t="s">
        <v>5163</v>
      </c>
      <c r="B7333" s="2352" t="s">
        <v>11235</v>
      </c>
      <c r="C7333" s="2352" t="s">
        <v>11235</v>
      </c>
      <c r="D7333" s="2352" t="s">
        <v>11434</v>
      </c>
      <c r="E7333" s="355">
        <v>30</v>
      </c>
      <c r="F7333" s="1662">
        <v>0</v>
      </c>
    </row>
    <row r="7334" spans="1:6" ht="15" customHeight="1" x14ac:dyDescent="0.25">
      <c r="A7334" s="2352" t="s">
        <v>15051</v>
      </c>
      <c r="B7334" s="2352" t="s">
        <v>11235</v>
      </c>
      <c r="C7334" s="2352" t="s">
        <v>11235</v>
      </c>
      <c r="D7334" s="2352" t="s">
        <v>11435</v>
      </c>
      <c r="E7334" s="355">
        <v>20</v>
      </c>
      <c r="F7334" s="1662">
        <v>10</v>
      </c>
    </row>
    <row r="7335" spans="1:6" ht="15" customHeight="1" x14ac:dyDescent="0.25">
      <c r="A7335" s="2352" t="s">
        <v>15052</v>
      </c>
      <c r="B7335" s="2352" t="s">
        <v>11235</v>
      </c>
      <c r="C7335" s="2352" t="s">
        <v>11235</v>
      </c>
      <c r="D7335" s="2352" t="s">
        <v>11436</v>
      </c>
      <c r="E7335" s="355">
        <v>25</v>
      </c>
      <c r="F7335" s="1662">
        <v>10</v>
      </c>
    </row>
    <row r="7336" spans="1:6" ht="15" customHeight="1" x14ac:dyDescent="0.25">
      <c r="A7336" s="2352" t="s">
        <v>7594</v>
      </c>
      <c r="B7336" s="2352" t="s">
        <v>11235</v>
      </c>
      <c r="C7336" s="2352" t="s">
        <v>11235</v>
      </c>
      <c r="D7336" s="2352" t="s">
        <v>11437</v>
      </c>
      <c r="E7336" s="355">
        <v>30</v>
      </c>
      <c r="F7336" s="1662">
        <v>10</v>
      </c>
    </row>
    <row r="7337" spans="1:6" ht="15" customHeight="1" x14ac:dyDescent="0.25">
      <c r="A7337" s="2352" t="s">
        <v>15053</v>
      </c>
      <c r="B7337" s="2352" t="s">
        <v>11235</v>
      </c>
      <c r="C7337" s="2352" t="s">
        <v>11235</v>
      </c>
      <c r="D7337" s="2352" t="s">
        <v>11438</v>
      </c>
      <c r="E7337" s="355">
        <v>160</v>
      </c>
      <c r="F7337" s="1662">
        <v>100</v>
      </c>
    </row>
    <row r="7338" spans="1:6" ht="15" customHeight="1" x14ac:dyDescent="0.25">
      <c r="A7338" s="2352" t="s">
        <v>15053</v>
      </c>
      <c r="B7338" s="2352" t="s">
        <v>11235</v>
      </c>
      <c r="C7338" s="2352" t="s">
        <v>11235</v>
      </c>
      <c r="D7338" s="2352" t="s">
        <v>11439</v>
      </c>
      <c r="E7338" s="355">
        <v>60</v>
      </c>
      <c r="F7338" s="1662">
        <v>10</v>
      </c>
    </row>
    <row r="7339" spans="1:6" ht="15" customHeight="1" x14ac:dyDescent="0.25">
      <c r="A7339" s="2352" t="s">
        <v>15053</v>
      </c>
      <c r="B7339" s="2352" t="s">
        <v>11235</v>
      </c>
      <c r="C7339" s="2352" t="s">
        <v>11235</v>
      </c>
      <c r="D7339" s="2352" t="s">
        <v>11440</v>
      </c>
      <c r="E7339" s="355">
        <v>30</v>
      </c>
      <c r="F7339" s="1662">
        <v>5</v>
      </c>
    </row>
    <row r="7340" spans="1:6" ht="15" customHeight="1" x14ac:dyDescent="0.25">
      <c r="A7340" s="2352" t="s">
        <v>4713</v>
      </c>
      <c r="B7340" s="2352" t="s">
        <v>11235</v>
      </c>
      <c r="C7340" s="2352" t="s">
        <v>11235</v>
      </c>
      <c r="D7340" s="2352" t="s">
        <v>11441</v>
      </c>
      <c r="E7340" s="355">
        <v>0</v>
      </c>
      <c r="F7340" s="1662">
        <v>0</v>
      </c>
    </row>
    <row r="7341" spans="1:6" ht="15" customHeight="1" x14ac:dyDescent="0.25">
      <c r="A7341" s="2352" t="s">
        <v>15054</v>
      </c>
      <c r="B7341" s="2352" t="s">
        <v>11235</v>
      </c>
      <c r="C7341" s="2352" t="s">
        <v>11235</v>
      </c>
      <c r="D7341" s="2352" t="s">
        <v>11442</v>
      </c>
      <c r="E7341" s="355">
        <v>20</v>
      </c>
      <c r="F7341" s="1662">
        <v>5</v>
      </c>
    </row>
    <row r="7342" spans="1:6" ht="15" customHeight="1" x14ac:dyDescent="0.25">
      <c r="A7342" s="2352" t="s">
        <v>15055</v>
      </c>
      <c r="B7342" s="2352" t="s">
        <v>11235</v>
      </c>
      <c r="C7342" s="2352" t="s">
        <v>11235</v>
      </c>
      <c r="D7342" s="2352" t="s">
        <v>11443</v>
      </c>
      <c r="E7342" s="355">
        <v>30</v>
      </c>
      <c r="F7342" s="1662">
        <v>0</v>
      </c>
    </row>
    <row r="7343" spans="1:6" ht="15" customHeight="1" x14ac:dyDescent="0.25">
      <c r="A7343" s="2352" t="s">
        <v>5060</v>
      </c>
      <c r="B7343" s="2352" t="s">
        <v>11235</v>
      </c>
      <c r="C7343" s="2352" t="s">
        <v>11235</v>
      </c>
      <c r="D7343" s="2352" t="s">
        <v>11444</v>
      </c>
      <c r="E7343" s="355">
        <v>60</v>
      </c>
      <c r="F7343" s="1662">
        <v>30</v>
      </c>
    </row>
    <row r="7344" spans="1:6" ht="15" customHeight="1" x14ac:dyDescent="0.25">
      <c r="A7344" s="2352" t="s">
        <v>5060</v>
      </c>
      <c r="B7344" s="2352" t="s">
        <v>11235</v>
      </c>
      <c r="C7344" s="2352" t="s">
        <v>11235</v>
      </c>
      <c r="D7344" s="2352" t="s">
        <v>11445</v>
      </c>
      <c r="E7344" s="355">
        <v>250</v>
      </c>
      <c r="F7344" s="1662">
        <v>180</v>
      </c>
    </row>
    <row r="7345" spans="1:6" ht="15" customHeight="1" x14ac:dyDescent="0.25">
      <c r="A7345" s="2352" t="s">
        <v>15056</v>
      </c>
      <c r="B7345" s="2352" t="s">
        <v>11235</v>
      </c>
      <c r="C7345" s="2352" t="s">
        <v>11235</v>
      </c>
      <c r="D7345" s="2352" t="s">
        <v>11446</v>
      </c>
      <c r="E7345" s="355">
        <v>0</v>
      </c>
      <c r="F7345" s="1662">
        <v>0</v>
      </c>
    </row>
    <row r="7346" spans="1:6" ht="15" customHeight="1" x14ac:dyDescent="0.25">
      <c r="A7346" s="2352" t="s">
        <v>4195</v>
      </c>
      <c r="B7346" s="2352" t="s">
        <v>11235</v>
      </c>
      <c r="C7346" s="2352" t="s">
        <v>11235</v>
      </c>
      <c r="D7346" s="2352" t="s">
        <v>11447</v>
      </c>
      <c r="E7346" s="355">
        <v>0</v>
      </c>
      <c r="F7346" s="1662">
        <v>0</v>
      </c>
    </row>
    <row r="7347" spans="1:6" ht="15" customHeight="1" x14ac:dyDescent="0.25">
      <c r="A7347" s="2352" t="s">
        <v>15057</v>
      </c>
      <c r="B7347" s="2352" t="s">
        <v>11235</v>
      </c>
      <c r="C7347" s="2352" t="s">
        <v>11235</v>
      </c>
      <c r="D7347" s="2352" t="s">
        <v>11448</v>
      </c>
      <c r="E7347" s="355">
        <v>20</v>
      </c>
      <c r="F7347" s="1662">
        <v>10</v>
      </c>
    </row>
    <row r="7348" spans="1:6" ht="15" customHeight="1" x14ac:dyDescent="0.25">
      <c r="A7348" s="2352" t="s">
        <v>15058</v>
      </c>
      <c r="B7348" s="2352" t="s">
        <v>11235</v>
      </c>
      <c r="C7348" s="2352" t="s">
        <v>11235</v>
      </c>
      <c r="D7348" s="2352" t="s">
        <v>11449</v>
      </c>
      <c r="E7348" s="355">
        <v>0</v>
      </c>
      <c r="F7348" s="1662">
        <v>0</v>
      </c>
    </row>
    <row r="7349" spans="1:6" ht="15" customHeight="1" x14ac:dyDescent="0.25">
      <c r="A7349" s="2352" t="s">
        <v>15059</v>
      </c>
      <c r="B7349" s="2352" t="s">
        <v>11235</v>
      </c>
      <c r="C7349" s="2352" t="s">
        <v>11235</v>
      </c>
      <c r="D7349" s="2352" t="s">
        <v>11450</v>
      </c>
      <c r="E7349" s="355">
        <v>20</v>
      </c>
      <c r="F7349" s="1662">
        <v>0</v>
      </c>
    </row>
    <row r="7350" spans="1:6" ht="15" customHeight="1" x14ac:dyDescent="0.25">
      <c r="A7350" s="2352" t="s">
        <v>15060</v>
      </c>
      <c r="B7350" s="2352" t="s">
        <v>11235</v>
      </c>
      <c r="C7350" s="2352" t="s">
        <v>11235</v>
      </c>
      <c r="D7350" s="2352" t="s">
        <v>11451</v>
      </c>
      <c r="E7350" s="355">
        <v>20</v>
      </c>
      <c r="F7350" s="1662">
        <v>10</v>
      </c>
    </row>
    <row r="7351" spans="1:6" ht="15" customHeight="1" x14ac:dyDescent="0.25">
      <c r="A7351" s="2352" t="s">
        <v>10993</v>
      </c>
      <c r="B7351" s="2352" t="s">
        <v>11235</v>
      </c>
      <c r="C7351" s="2352" t="s">
        <v>11235</v>
      </c>
      <c r="D7351" s="2352" t="s">
        <v>11452</v>
      </c>
      <c r="E7351" s="355">
        <v>10</v>
      </c>
      <c r="F7351" s="1662">
        <v>0</v>
      </c>
    </row>
    <row r="7352" spans="1:6" ht="15" customHeight="1" x14ac:dyDescent="0.25">
      <c r="A7352" s="2352" t="s">
        <v>4031</v>
      </c>
      <c r="B7352" s="2352" t="s">
        <v>11235</v>
      </c>
      <c r="C7352" s="2352" t="s">
        <v>11235</v>
      </c>
      <c r="D7352" s="2352" t="s">
        <v>11453</v>
      </c>
      <c r="E7352" s="355">
        <v>100</v>
      </c>
      <c r="F7352" s="1662">
        <v>0</v>
      </c>
    </row>
    <row r="7353" spans="1:6" ht="15" customHeight="1" x14ac:dyDescent="0.25">
      <c r="A7353" s="2352" t="s">
        <v>4218</v>
      </c>
      <c r="B7353" s="2352" t="s">
        <v>11235</v>
      </c>
      <c r="C7353" s="2352" t="s">
        <v>11235</v>
      </c>
      <c r="D7353" s="2352" t="s">
        <v>11454</v>
      </c>
      <c r="E7353" s="355">
        <v>30</v>
      </c>
      <c r="F7353" s="1662">
        <v>10</v>
      </c>
    </row>
    <row r="7354" spans="1:6" ht="15" customHeight="1" x14ac:dyDescent="0.25">
      <c r="A7354" s="2352" t="s">
        <v>9404</v>
      </c>
      <c r="B7354" s="2352" t="s">
        <v>11235</v>
      </c>
      <c r="C7354" s="2352" t="s">
        <v>11235</v>
      </c>
      <c r="D7354" s="2352" t="s">
        <v>11455</v>
      </c>
      <c r="E7354" s="355">
        <v>60</v>
      </c>
      <c r="F7354" s="1662">
        <v>5</v>
      </c>
    </row>
    <row r="7355" spans="1:6" ht="15" customHeight="1" x14ac:dyDescent="0.25">
      <c r="A7355" s="2352" t="s">
        <v>7672</v>
      </c>
      <c r="B7355" s="2352" t="s">
        <v>11235</v>
      </c>
      <c r="C7355" s="2352" t="s">
        <v>11235</v>
      </c>
      <c r="D7355" s="2352" t="s">
        <v>11456</v>
      </c>
      <c r="E7355" s="355">
        <v>20</v>
      </c>
      <c r="F7355" s="1662">
        <v>0</v>
      </c>
    </row>
    <row r="7356" spans="1:6" ht="15" customHeight="1" x14ac:dyDescent="0.25">
      <c r="A7356" s="2352" t="s">
        <v>14962</v>
      </c>
      <c r="B7356" s="2352" t="s">
        <v>11235</v>
      </c>
      <c r="C7356" s="2352" t="s">
        <v>11235</v>
      </c>
      <c r="D7356" s="2352" t="s">
        <v>11457</v>
      </c>
      <c r="E7356" s="355">
        <v>20</v>
      </c>
      <c r="F7356" s="1662">
        <v>10</v>
      </c>
    </row>
    <row r="7357" spans="1:6" ht="15" customHeight="1" x14ac:dyDescent="0.25">
      <c r="A7357" s="2352" t="s">
        <v>15061</v>
      </c>
      <c r="B7357" s="2352" t="s">
        <v>11235</v>
      </c>
      <c r="C7357" s="2352" t="s">
        <v>11235</v>
      </c>
      <c r="D7357" s="2352" t="s">
        <v>11458</v>
      </c>
      <c r="E7357" s="355">
        <v>50</v>
      </c>
      <c r="F7357" s="1662">
        <v>0</v>
      </c>
    </row>
    <row r="7358" spans="1:6" ht="15" customHeight="1" x14ac:dyDescent="0.25">
      <c r="A7358" s="2352" t="s">
        <v>4692</v>
      </c>
      <c r="B7358" s="2352" t="s">
        <v>11235</v>
      </c>
      <c r="C7358" s="2352" t="s">
        <v>11235</v>
      </c>
      <c r="D7358" s="2352" t="s">
        <v>11459</v>
      </c>
      <c r="E7358" s="355">
        <v>30</v>
      </c>
      <c r="F7358" s="1662">
        <v>10</v>
      </c>
    </row>
    <row r="7359" spans="1:6" ht="15" customHeight="1" x14ac:dyDescent="0.25">
      <c r="A7359" s="2352" t="s">
        <v>4692</v>
      </c>
      <c r="B7359" s="2352" t="s">
        <v>11235</v>
      </c>
      <c r="C7359" s="2352" t="s">
        <v>11235</v>
      </c>
      <c r="D7359" s="2352" t="s">
        <v>11460</v>
      </c>
      <c r="E7359" s="355">
        <v>30</v>
      </c>
      <c r="F7359" s="1662">
        <v>10</v>
      </c>
    </row>
    <row r="7360" spans="1:6" ht="15" customHeight="1" x14ac:dyDescent="0.25">
      <c r="A7360" s="2352" t="s">
        <v>19372</v>
      </c>
      <c r="B7360" s="2352" t="s">
        <v>11235</v>
      </c>
      <c r="C7360" s="2352" t="s">
        <v>11235</v>
      </c>
      <c r="D7360" s="2352" t="s">
        <v>19373</v>
      </c>
      <c r="E7360" s="355">
        <v>10</v>
      </c>
      <c r="F7360" s="1662">
        <v>3</v>
      </c>
    </row>
    <row r="7361" spans="1:6" ht="15" customHeight="1" x14ac:dyDescent="0.25">
      <c r="A7361" s="2352" t="s">
        <v>14399</v>
      </c>
      <c r="B7361" s="2352" t="s">
        <v>11235</v>
      </c>
      <c r="C7361" s="2352" t="s">
        <v>11235</v>
      </c>
      <c r="D7361" s="2352" t="s">
        <v>11461</v>
      </c>
      <c r="E7361" s="355">
        <v>30</v>
      </c>
      <c r="F7361" s="1662">
        <v>10</v>
      </c>
    </row>
    <row r="7362" spans="1:6" ht="15" customHeight="1" x14ac:dyDescent="0.25">
      <c r="A7362" s="2352" t="s">
        <v>14898</v>
      </c>
      <c r="B7362" s="2352" t="s">
        <v>11235</v>
      </c>
      <c r="C7362" s="2352" t="s">
        <v>11235</v>
      </c>
      <c r="D7362" s="2352" t="s">
        <v>11462</v>
      </c>
      <c r="E7362" s="355">
        <v>100</v>
      </c>
      <c r="F7362" s="1662">
        <v>20</v>
      </c>
    </row>
    <row r="7363" spans="1:6" ht="15" customHeight="1" x14ac:dyDescent="0.25">
      <c r="A7363" s="2352" t="s">
        <v>14898</v>
      </c>
      <c r="B7363" s="2352" t="s">
        <v>11235</v>
      </c>
      <c r="C7363" s="2352" t="s">
        <v>11235</v>
      </c>
      <c r="D7363" s="2352" t="s">
        <v>11463</v>
      </c>
      <c r="E7363" s="355">
        <v>160</v>
      </c>
      <c r="F7363" s="1662">
        <v>40</v>
      </c>
    </row>
    <row r="7364" spans="1:6" ht="15" customHeight="1" x14ac:dyDescent="0.25">
      <c r="A7364" s="2352" t="s">
        <v>14947</v>
      </c>
      <c r="B7364" s="2352" t="s">
        <v>11235</v>
      </c>
      <c r="C7364" s="2352" t="s">
        <v>11235</v>
      </c>
      <c r="D7364" s="2352" t="s">
        <v>11464</v>
      </c>
      <c r="E7364" s="355">
        <v>63</v>
      </c>
      <c r="F7364" s="1662">
        <v>40</v>
      </c>
    </row>
    <row r="7365" spans="1:6" ht="15" customHeight="1" x14ac:dyDescent="0.25">
      <c r="A7365" s="2352" t="s">
        <v>14986</v>
      </c>
      <c r="B7365" s="2352" t="s">
        <v>11235</v>
      </c>
      <c r="C7365" s="2352" t="s">
        <v>11235</v>
      </c>
      <c r="D7365" s="2352" t="s">
        <v>11465</v>
      </c>
      <c r="E7365" s="355">
        <v>100</v>
      </c>
      <c r="F7365" s="1662">
        <v>0</v>
      </c>
    </row>
    <row r="7366" spans="1:6" ht="15" customHeight="1" x14ac:dyDescent="0.25">
      <c r="A7366" s="2352" t="s">
        <v>14509</v>
      </c>
      <c r="B7366" s="2352" t="s">
        <v>11235</v>
      </c>
      <c r="C7366" s="2352" t="s">
        <v>11235</v>
      </c>
      <c r="D7366" s="2352" t="s">
        <v>11466</v>
      </c>
      <c r="E7366" s="355">
        <v>100</v>
      </c>
      <c r="F7366" s="1662">
        <v>20</v>
      </c>
    </row>
    <row r="7367" spans="1:6" ht="15" customHeight="1" x14ac:dyDescent="0.25">
      <c r="A7367" s="2352" t="s">
        <v>15062</v>
      </c>
      <c r="B7367" s="2352" t="s">
        <v>11235</v>
      </c>
      <c r="C7367" s="2352" t="s">
        <v>11235</v>
      </c>
      <c r="D7367" s="2352" t="s">
        <v>11467</v>
      </c>
      <c r="E7367" s="355">
        <v>30</v>
      </c>
      <c r="F7367" s="1662">
        <v>0</v>
      </c>
    </row>
    <row r="7368" spans="1:6" ht="15" customHeight="1" x14ac:dyDescent="0.25">
      <c r="A7368" s="2352" t="s">
        <v>15063</v>
      </c>
      <c r="B7368" s="2352" t="s">
        <v>11235</v>
      </c>
      <c r="C7368" s="2352" t="s">
        <v>11235</v>
      </c>
      <c r="D7368" s="2352" t="s">
        <v>11468</v>
      </c>
      <c r="E7368" s="355">
        <v>25</v>
      </c>
      <c r="F7368" s="1662">
        <v>10</v>
      </c>
    </row>
    <row r="7369" spans="1:6" ht="15" customHeight="1" x14ac:dyDescent="0.25">
      <c r="A7369" s="2352" t="s">
        <v>9114</v>
      </c>
      <c r="B7369" s="2352" t="s">
        <v>11235</v>
      </c>
      <c r="C7369" s="2352" t="s">
        <v>11235</v>
      </c>
      <c r="D7369" s="2352" t="s">
        <v>11469</v>
      </c>
      <c r="E7369" s="355">
        <v>30</v>
      </c>
      <c r="F7369" s="1662">
        <v>5</v>
      </c>
    </row>
    <row r="7370" spans="1:6" ht="15" customHeight="1" x14ac:dyDescent="0.25">
      <c r="A7370" s="2352" t="s">
        <v>14984</v>
      </c>
      <c r="B7370" s="2352" t="s">
        <v>11235</v>
      </c>
      <c r="C7370" s="2352" t="s">
        <v>11235</v>
      </c>
      <c r="D7370" s="2352" t="s">
        <v>11470</v>
      </c>
      <c r="E7370" s="355">
        <v>63</v>
      </c>
      <c r="F7370" s="1662">
        <v>10</v>
      </c>
    </row>
    <row r="7371" spans="1:6" ht="15" customHeight="1" x14ac:dyDescent="0.25">
      <c r="A7371" s="2352" t="s">
        <v>15064</v>
      </c>
      <c r="B7371" s="2352" t="s">
        <v>11235</v>
      </c>
      <c r="C7371" s="2352" t="s">
        <v>11235</v>
      </c>
      <c r="D7371" s="2352" t="s">
        <v>11471</v>
      </c>
      <c r="E7371" s="355">
        <v>63</v>
      </c>
      <c r="F7371" s="1662">
        <v>10</v>
      </c>
    </row>
    <row r="7372" spans="1:6" ht="15" customHeight="1" x14ac:dyDescent="0.25">
      <c r="A7372" s="2352" t="s">
        <v>9352</v>
      </c>
      <c r="B7372" s="2352" t="s">
        <v>11235</v>
      </c>
      <c r="C7372" s="2352" t="s">
        <v>11235</v>
      </c>
      <c r="D7372" s="2352" t="s">
        <v>11472</v>
      </c>
      <c r="E7372" s="355">
        <v>20</v>
      </c>
      <c r="F7372" s="1662">
        <v>10</v>
      </c>
    </row>
    <row r="7373" spans="1:6" ht="15" customHeight="1" x14ac:dyDescent="0.25">
      <c r="A7373" s="2352" t="s">
        <v>4229</v>
      </c>
      <c r="B7373" s="2352" t="s">
        <v>11235</v>
      </c>
      <c r="C7373" s="2352" t="s">
        <v>11235</v>
      </c>
      <c r="D7373" s="2352" t="s">
        <v>4901</v>
      </c>
      <c r="E7373" s="355">
        <v>250</v>
      </c>
      <c r="F7373" s="1662">
        <v>60</v>
      </c>
    </row>
    <row r="7374" spans="1:6" ht="15" customHeight="1" x14ac:dyDescent="0.25">
      <c r="A7374" s="2352" t="s">
        <v>10778</v>
      </c>
      <c r="B7374" s="2352" t="s">
        <v>11235</v>
      </c>
      <c r="C7374" s="2352" t="s">
        <v>11235</v>
      </c>
      <c r="D7374" s="2352" t="s">
        <v>11473</v>
      </c>
      <c r="E7374" s="355">
        <v>100</v>
      </c>
      <c r="F7374" s="1662">
        <v>0</v>
      </c>
    </row>
    <row r="7375" spans="1:6" ht="15" customHeight="1" x14ac:dyDescent="0.25">
      <c r="A7375" s="2352" t="s">
        <v>15065</v>
      </c>
      <c r="B7375" s="2352" t="s">
        <v>11235</v>
      </c>
      <c r="C7375" s="2352" t="s">
        <v>11235</v>
      </c>
      <c r="D7375" s="2352" t="s">
        <v>11474</v>
      </c>
      <c r="E7375" s="355">
        <v>0</v>
      </c>
      <c r="F7375" s="1662">
        <v>0</v>
      </c>
    </row>
    <row r="7376" spans="1:6" ht="15" customHeight="1" x14ac:dyDescent="0.25">
      <c r="A7376" s="2352" t="s">
        <v>15066</v>
      </c>
      <c r="B7376" s="2352" t="s">
        <v>11235</v>
      </c>
      <c r="C7376" s="2352" t="s">
        <v>11235</v>
      </c>
      <c r="D7376" s="2352" t="s">
        <v>11475</v>
      </c>
      <c r="E7376" s="355">
        <v>0</v>
      </c>
      <c r="F7376" s="1662">
        <v>0</v>
      </c>
    </row>
    <row r="7377" spans="1:6" ht="15" customHeight="1" x14ac:dyDescent="0.25">
      <c r="A7377" s="2352" t="s">
        <v>15067</v>
      </c>
      <c r="B7377" s="2352" t="s">
        <v>11235</v>
      </c>
      <c r="C7377" s="2352" t="s">
        <v>11235</v>
      </c>
      <c r="D7377" s="2352" t="s">
        <v>19374</v>
      </c>
      <c r="E7377" s="355">
        <v>30</v>
      </c>
      <c r="F7377" s="1662">
        <v>10</v>
      </c>
    </row>
    <row r="7378" spans="1:6" ht="15" customHeight="1" x14ac:dyDescent="0.25">
      <c r="A7378" s="2352" t="s">
        <v>15068</v>
      </c>
      <c r="B7378" s="2352" t="s">
        <v>11235</v>
      </c>
      <c r="C7378" s="2352" t="s">
        <v>11235</v>
      </c>
      <c r="D7378" s="2352" t="s">
        <v>11476</v>
      </c>
      <c r="E7378" s="355">
        <v>0</v>
      </c>
      <c r="F7378" s="1662">
        <v>0</v>
      </c>
    </row>
    <row r="7379" spans="1:6" ht="15" customHeight="1" x14ac:dyDescent="0.25">
      <c r="A7379" s="2352" t="s">
        <v>4735</v>
      </c>
      <c r="B7379" s="2352" t="s">
        <v>11235</v>
      </c>
      <c r="C7379" s="2352" t="s">
        <v>11235</v>
      </c>
      <c r="D7379" s="2352" t="s">
        <v>11477</v>
      </c>
      <c r="E7379" s="355">
        <v>60</v>
      </c>
      <c r="F7379" s="1662">
        <v>20</v>
      </c>
    </row>
    <row r="7380" spans="1:6" ht="15" customHeight="1" x14ac:dyDescent="0.25">
      <c r="A7380" s="2352" t="s">
        <v>15069</v>
      </c>
      <c r="B7380" s="2352" t="s">
        <v>11235</v>
      </c>
      <c r="C7380" s="2352" t="s">
        <v>11235</v>
      </c>
      <c r="D7380" s="2352" t="s">
        <v>11478</v>
      </c>
      <c r="E7380" s="355">
        <v>25</v>
      </c>
      <c r="F7380" s="1662">
        <v>5</v>
      </c>
    </row>
    <row r="7381" spans="1:6" ht="15" customHeight="1" x14ac:dyDescent="0.25">
      <c r="A7381" s="2352" t="s">
        <v>9944</v>
      </c>
      <c r="B7381" s="2352" t="s">
        <v>11235</v>
      </c>
      <c r="C7381" s="2352" t="s">
        <v>11235</v>
      </c>
      <c r="D7381" s="2352" t="s">
        <v>11479</v>
      </c>
      <c r="E7381" s="355">
        <v>250</v>
      </c>
      <c r="F7381" s="1662">
        <v>160</v>
      </c>
    </row>
    <row r="7382" spans="1:6" ht="15" customHeight="1" x14ac:dyDescent="0.25">
      <c r="A7382" s="2352" t="s">
        <v>14946</v>
      </c>
      <c r="B7382" s="2352" t="s">
        <v>11235</v>
      </c>
      <c r="C7382" s="2352" t="s">
        <v>11235</v>
      </c>
      <c r="D7382" s="2352" t="s">
        <v>11480</v>
      </c>
      <c r="E7382" s="355">
        <v>250</v>
      </c>
      <c r="F7382" s="1662">
        <v>50</v>
      </c>
    </row>
    <row r="7383" spans="1:6" ht="15" customHeight="1" x14ac:dyDescent="0.25">
      <c r="A7383" s="2352" t="s">
        <v>14947</v>
      </c>
      <c r="B7383" s="2352" t="s">
        <v>11235</v>
      </c>
      <c r="C7383" s="2352" t="s">
        <v>11235</v>
      </c>
      <c r="D7383" s="2352" t="s">
        <v>11481</v>
      </c>
      <c r="E7383" s="355">
        <v>400</v>
      </c>
      <c r="F7383" s="1662">
        <v>120</v>
      </c>
    </row>
    <row r="7384" spans="1:6" ht="15" customHeight="1" x14ac:dyDescent="0.25">
      <c r="A7384" s="2352" t="s">
        <v>13816</v>
      </c>
      <c r="B7384" s="2352" t="s">
        <v>11235</v>
      </c>
      <c r="C7384" s="2352" t="s">
        <v>11235</v>
      </c>
      <c r="D7384" s="2352" t="s">
        <v>11482</v>
      </c>
      <c r="E7384" s="355">
        <v>250</v>
      </c>
      <c r="F7384" s="1662">
        <v>60</v>
      </c>
    </row>
    <row r="7385" spans="1:6" ht="15" customHeight="1" x14ac:dyDescent="0.25">
      <c r="A7385" s="2352" t="s">
        <v>14946</v>
      </c>
      <c r="B7385" s="2352" t="s">
        <v>11235</v>
      </c>
      <c r="C7385" s="2352" t="s">
        <v>11235</v>
      </c>
      <c r="D7385" s="2352" t="s">
        <v>11483</v>
      </c>
      <c r="E7385" s="355">
        <v>400</v>
      </c>
      <c r="F7385" s="1662">
        <v>130</v>
      </c>
    </row>
    <row r="7386" spans="1:6" ht="15" customHeight="1" x14ac:dyDescent="0.25">
      <c r="A7386" s="2352" t="s">
        <v>14959</v>
      </c>
      <c r="B7386" s="2352" t="s">
        <v>11235</v>
      </c>
      <c r="C7386" s="2352" t="s">
        <v>11235</v>
      </c>
      <c r="D7386" s="2352" t="s">
        <v>11484</v>
      </c>
      <c r="E7386" s="355">
        <v>250</v>
      </c>
      <c r="F7386" s="1662">
        <v>100</v>
      </c>
    </row>
    <row r="7387" spans="1:6" ht="15" customHeight="1" x14ac:dyDescent="0.25">
      <c r="A7387" s="2352" t="s">
        <v>14959</v>
      </c>
      <c r="B7387" s="2352" t="s">
        <v>11235</v>
      </c>
      <c r="C7387" s="2352" t="s">
        <v>11235</v>
      </c>
      <c r="D7387" s="2352" t="s">
        <v>11485</v>
      </c>
      <c r="E7387" s="355">
        <v>250</v>
      </c>
      <c r="F7387" s="1662">
        <v>150</v>
      </c>
    </row>
    <row r="7388" spans="1:6" ht="15" customHeight="1" x14ac:dyDescent="0.25">
      <c r="A7388" s="2352" t="s">
        <v>6581</v>
      </c>
      <c r="B7388" s="2352" t="s">
        <v>11235</v>
      </c>
      <c r="C7388" s="2352" t="s">
        <v>11235</v>
      </c>
      <c r="D7388" s="2352" t="s">
        <v>11486</v>
      </c>
      <c r="E7388" s="355">
        <v>250</v>
      </c>
      <c r="F7388" s="1662">
        <v>80</v>
      </c>
    </row>
    <row r="7389" spans="1:6" ht="15" customHeight="1" x14ac:dyDescent="0.25">
      <c r="A7389" s="2352" t="s">
        <v>4916</v>
      </c>
      <c r="B7389" s="2352" t="s">
        <v>11235</v>
      </c>
      <c r="C7389" s="2352" t="s">
        <v>11235</v>
      </c>
      <c r="D7389" s="2352" t="s">
        <v>11487</v>
      </c>
      <c r="E7389" s="355">
        <v>100</v>
      </c>
      <c r="F7389" s="1662">
        <v>10</v>
      </c>
    </row>
    <row r="7390" spans="1:6" ht="15" customHeight="1" x14ac:dyDescent="0.25">
      <c r="A7390" s="2352" t="s">
        <v>14945</v>
      </c>
      <c r="B7390" s="2352" t="s">
        <v>11235</v>
      </c>
      <c r="C7390" s="2352" t="s">
        <v>11235</v>
      </c>
      <c r="D7390" s="2352" t="s">
        <v>11488</v>
      </c>
      <c r="E7390" s="355">
        <v>100</v>
      </c>
      <c r="F7390" s="1662">
        <v>20</v>
      </c>
    </row>
    <row r="7391" spans="1:6" ht="15" customHeight="1" x14ac:dyDescent="0.25">
      <c r="A7391" s="2352" t="s">
        <v>14984</v>
      </c>
      <c r="B7391" s="2352" t="s">
        <v>11235</v>
      </c>
      <c r="C7391" s="2352" t="s">
        <v>11235</v>
      </c>
      <c r="D7391" s="2352" t="s">
        <v>11489</v>
      </c>
      <c r="E7391" s="355">
        <v>160</v>
      </c>
      <c r="F7391" s="1662">
        <v>10</v>
      </c>
    </row>
    <row r="7392" spans="1:6" ht="15" customHeight="1" x14ac:dyDescent="0.25">
      <c r="A7392" s="2352" t="s">
        <v>14543</v>
      </c>
      <c r="B7392" s="2352" t="s">
        <v>11235</v>
      </c>
      <c r="C7392" s="2352" t="s">
        <v>11235</v>
      </c>
      <c r="D7392" s="2352" t="s">
        <v>11490</v>
      </c>
      <c r="E7392" s="355">
        <v>250</v>
      </c>
      <c r="F7392" s="1662">
        <v>100</v>
      </c>
    </row>
    <row r="7393" spans="1:6" ht="15" customHeight="1" x14ac:dyDescent="0.25">
      <c r="A7393" s="2352" t="s">
        <v>14543</v>
      </c>
      <c r="B7393" s="2352" t="s">
        <v>11235</v>
      </c>
      <c r="C7393" s="2352" t="s">
        <v>11235</v>
      </c>
      <c r="D7393" s="2352" t="s">
        <v>11491</v>
      </c>
      <c r="E7393" s="355">
        <v>250</v>
      </c>
      <c r="F7393" s="1662">
        <v>60</v>
      </c>
    </row>
    <row r="7394" spans="1:6" ht="15" customHeight="1" x14ac:dyDescent="0.25">
      <c r="A7394" s="2352" t="s">
        <v>4433</v>
      </c>
      <c r="B7394" s="2352" t="s">
        <v>11235</v>
      </c>
      <c r="C7394" s="2352" t="s">
        <v>11235</v>
      </c>
      <c r="D7394" s="2352" t="s">
        <v>11492</v>
      </c>
      <c r="E7394" s="355">
        <v>100</v>
      </c>
      <c r="F7394" s="1662">
        <v>20</v>
      </c>
    </row>
    <row r="7395" spans="1:6" ht="15" customHeight="1" x14ac:dyDescent="0.25">
      <c r="A7395" s="2352" t="s">
        <v>4433</v>
      </c>
      <c r="B7395" s="2352" t="s">
        <v>11235</v>
      </c>
      <c r="C7395" s="2352" t="s">
        <v>11235</v>
      </c>
      <c r="D7395" s="2352" t="s">
        <v>11493</v>
      </c>
      <c r="E7395" s="355">
        <v>250</v>
      </c>
      <c r="F7395" s="1662">
        <v>80</v>
      </c>
    </row>
    <row r="7396" spans="1:6" ht="15" customHeight="1" x14ac:dyDescent="0.25">
      <c r="A7396" s="2352" t="s">
        <v>4433</v>
      </c>
      <c r="B7396" s="2352" t="s">
        <v>11235</v>
      </c>
      <c r="C7396" s="2352" t="s">
        <v>11235</v>
      </c>
      <c r="D7396" s="2352" t="s">
        <v>11494</v>
      </c>
      <c r="E7396" s="355">
        <v>250</v>
      </c>
      <c r="F7396" s="1662">
        <v>150</v>
      </c>
    </row>
    <row r="7397" spans="1:6" ht="15" customHeight="1" x14ac:dyDescent="0.25">
      <c r="A7397" s="2352" t="s">
        <v>15070</v>
      </c>
      <c r="B7397" s="2352" t="s">
        <v>11235</v>
      </c>
      <c r="C7397" s="2352" t="s">
        <v>11235</v>
      </c>
      <c r="D7397" s="2352" t="s">
        <v>11495</v>
      </c>
      <c r="E7397" s="355">
        <v>250</v>
      </c>
      <c r="F7397" s="1662">
        <v>100</v>
      </c>
    </row>
    <row r="7398" spans="1:6" ht="15" customHeight="1" x14ac:dyDescent="0.25">
      <c r="A7398" s="2352" t="s">
        <v>15070</v>
      </c>
      <c r="B7398" s="2352" t="s">
        <v>11235</v>
      </c>
      <c r="C7398" s="2352" t="s">
        <v>11235</v>
      </c>
      <c r="D7398" s="2352" t="s">
        <v>19375</v>
      </c>
      <c r="E7398" s="355">
        <v>250</v>
      </c>
      <c r="F7398" s="1662">
        <v>10</v>
      </c>
    </row>
    <row r="7399" spans="1:6" ht="15" customHeight="1" x14ac:dyDescent="0.25">
      <c r="A7399" s="2352" t="s">
        <v>15070</v>
      </c>
      <c r="B7399" s="2352" t="s">
        <v>11235</v>
      </c>
      <c r="C7399" s="2352" t="s">
        <v>11235</v>
      </c>
      <c r="D7399" s="2352" t="s">
        <v>11496</v>
      </c>
      <c r="E7399" s="355">
        <v>400</v>
      </c>
      <c r="F7399" s="1662">
        <v>100</v>
      </c>
    </row>
    <row r="7400" spans="1:6" ht="15" customHeight="1" x14ac:dyDescent="0.25">
      <c r="A7400" s="2352" t="s">
        <v>15021</v>
      </c>
      <c r="B7400" s="2352" t="s">
        <v>11235</v>
      </c>
      <c r="C7400" s="2352" t="s">
        <v>11235</v>
      </c>
      <c r="D7400" s="2352" t="s">
        <v>11497</v>
      </c>
      <c r="E7400" s="355">
        <v>160</v>
      </c>
      <c r="F7400" s="1662">
        <v>120</v>
      </c>
    </row>
    <row r="7401" spans="1:6" ht="15" customHeight="1" x14ac:dyDescent="0.25">
      <c r="A7401" s="2352" t="s">
        <v>15021</v>
      </c>
      <c r="B7401" s="2352" t="s">
        <v>11235</v>
      </c>
      <c r="C7401" s="2352" t="s">
        <v>11235</v>
      </c>
      <c r="D7401" s="2352" t="s">
        <v>11498</v>
      </c>
      <c r="E7401" s="355">
        <v>400</v>
      </c>
      <c r="F7401" s="1662">
        <v>250</v>
      </c>
    </row>
    <row r="7402" spans="1:6" ht="15" customHeight="1" x14ac:dyDescent="0.25">
      <c r="A7402" s="2352" t="s">
        <v>14948</v>
      </c>
      <c r="B7402" s="2352" t="s">
        <v>11235</v>
      </c>
      <c r="C7402" s="2352" t="s">
        <v>11235</v>
      </c>
      <c r="D7402" s="2352" t="s">
        <v>11499</v>
      </c>
      <c r="E7402" s="355">
        <v>160</v>
      </c>
      <c r="F7402" s="1662">
        <v>100</v>
      </c>
    </row>
    <row r="7403" spans="1:6" ht="15" customHeight="1" x14ac:dyDescent="0.25">
      <c r="A7403" s="2352" t="s">
        <v>14948</v>
      </c>
      <c r="B7403" s="2352" t="s">
        <v>11235</v>
      </c>
      <c r="C7403" s="2352" t="s">
        <v>11235</v>
      </c>
      <c r="D7403" s="2352" t="s">
        <v>11500</v>
      </c>
      <c r="E7403" s="355">
        <v>160</v>
      </c>
      <c r="F7403" s="1662">
        <v>100</v>
      </c>
    </row>
    <row r="7404" spans="1:6" ht="15" customHeight="1" x14ac:dyDescent="0.25">
      <c r="A7404" s="2352" t="s">
        <v>14948</v>
      </c>
      <c r="B7404" s="2352" t="s">
        <v>11235</v>
      </c>
      <c r="C7404" s="2352" t="s">
        <v>11235</v>
      </c>
      <c r="D7404" s="2352" t="s">
        <v>11501</v>
      </c>
      <c r="E7404" s="355">
        <v>160</v>
      </c>
      <c r="F7404" s="1662">
        <v>20</v>
      </c>
    </row>
    <row r="7405" spans="1:6" ht="15" customHeight="1" x14ac:dyDescent="0.25">
      <c r="A7405" s="2352" t="s">
        <v>15071</v>
      </c>
      <c r="B7405" s="2352" t="s">
        <v>11235</v>
      </c>
      <c r="C7405" s="2352" t="s">
        <v>11235</v>
      </c>
      <c r="D7405" s="2352" t="s">
        <v>11502</v>
      </c>
      <c r="E7405" s="355">
        <v>250</v>
      </c>
      <c r="F7405" s="1662">
        <v>80</v>
      </c>
    </row>
    <row r="7406" spans="1:6" ht="15" customHeight="1" x14ac:dyDescent="0.25">
      <c r="A7406" s="2352" t="s">
        <v>15036</v>
      </c>
      <c r="B7406" s="2352" t="s">
        <v>11235</v>
      </c>
      <c r="C7406" s="2352" t="s">
        <v>11235</v>
      </c>
      <c r="D7406" s="2352" t="s">
        <v>11503</v>
      </c>
      <c r="E7406" s="355">
        <v>100</v>
      </c>
      <c r="F7406" s="1662">
        <v>60</v>
      </c>
    </row>
    <row r="7407" spans="1:6" ht="15" customHeight="1" x14ac:dyDescent="0.25">
      <c r="A7407" s="2352" t="s">
        <v>14898</v>
      </c>
      <c r="B7407" s="2352" t="s">
        <v>11235</v>
      </c>
      <c r="C7407" s="2352" t="s">
        <v>11235</v>
      </c>
      <c r="D7407" s="2352" t="s">
        <v>11504</v>
      </c>
      <c r="E7407" s="355">
        <v>250</v>
      </c>
      <c r="F7407" s="1662">
        <v>50</v>
      </c>
    </row>
    <row r="7408" spans="1:6" ht="15" customHeight="1" x14ac:dyDescent="0.25">
      <c r="A7408" s="2352" t="s">
        <v>14898</v>
      </c>
      <c r="B7408" s="2352" t="s">
        <v>11235</v>
      </c>
      <c r="C7408" s="2352" t="s">
        <v>11235</v>
      </c>
      <c r="D7408" s="2352" t="s">
        <v>11505</v>
      </c>
      <c r="E7408" s="355">
        <v>400</v>
      </c>
      <c r="F7408" s="1662">
        <v>360</v>
      </c>
    </row>
    <row r="7409" spans="1:6" ht="15" customHeight="1" x14ac:dyDescent="0.25">
      <c r="A7409" s="2352" t="s">
        <v>15053</v>
      </c>
      <c r="B7409" s="2352" t="s">
        <v>11235</v>
      </c>
      <c r="C7409" s="2352" t="s">
        <v>11235</v>
      </c>
      <c r="D7409" s="2352" t="s">
        <v>11506</v>
      </c>
      <c r="E7409" s="355">
        <v>400</v>
      </c>
      <c r="F7409" s="1662">
        <v>280</v>
      </c>
    </row>
    <row r="7410" spans="1:6" ht="15" customHeight="1" x14ac:dyDescent="0.25">
      <c r="A7410" s="2352" t="s">
        <v>15053</v>
      </c>
      <c r="B7410" s="2352" t="s">
        <v>11235</v>
      </c>
      <c r="C7410" s="2352" t="s">
        <v>11235</v>
      </c>
      <c r="D7410" s="2352" t="s">
        <v>11507</v>
      </c>
      <c r="E7410" s="355">
        <v>160</v>
      </c>
      <c r="F7410" s="1662">
        <v>50</v>
      </c>
    </row>
    <row r="7411" spans="1:6" ht="15" customHeight="1" x14ac:dyDescent="0.25">
      <c r="A7411" s="2352" t="s">
        <v>15072</v>
      </c>
      <c r="B7411" s="2352" t="s">
        <v>11235</v>
      </c>
      <c r="C7411" s="2352" t="s">
        <v>11235</v>
      </c>
      <c r="D7411" s="2352" t="s">
        <v>11508</v>
      </c>
      <c r="E7411" s="355">
        <v>250</v>
      </c>
      <c r="F7411" s="1662">
        <v>20</v>
      </c>
    </row>
    <row r="7412" spans="1:6" ht="15" customHeight="1" x14ac:dyDescent="0.25">
      <c r="A7412" s="2352" t="s">
        <v>10291</v>
      </c>
      <c r="B7412" s="2352" t="s">
        <v>11235</v>
      </c>
      <c r="C7412" s="2352" t="s">
        <v>11235</v>
      </c>
      <c r="D7412" s="2352" t="s">
        <v>11509</v>
      </c>
      <c r="E7412" s="355">
        <v>250</v>
      </c>
      <c r="F7412" s="1662">
        <v>210</v>
      </c>
    </row>
    <row r="7413" spans="1:6" ht="15" customHeight="1" x14ac:dyDescent="0.25">
      <c r="A7413" s="2352" t="s">
        <v>15053</v>
      </c>
      <c r="B7413" s="2352" t="s">
        <v>11235</v>
      </c>
      <c r="C7413" s="2352" t="s">
        <v>11235</v>
      </c>
      <c r="D7413" s="2352" t="s">
        <v>11510</v>
      </c>
      <c r="E7413" s="355">
        <v>400</v>
      </c>
      <c r="F7413" s="1662">
        <v>280</v>
      </c>
    </row>
    <row r="7414" spans="1:6" ht="15" customHeight="1" x14ac:dyDescent="0.25">
      <c r="A7414" s="2352" t="s">
        <v>8065</v>
      </c>
      <c r="B7414" s="2352" t="s">
        <v>11235</v>
      </c>
      <c r="C7414" s="2352" t="s">
        <v>11235</v>
      </c>
      <c r="D7414" s="2352" t="s">
        <v>11511</v>
      </c>
      <c r="E7414" s="355">
        <v>250</v>
      </c>
      <c r="F7414" s="1662">
        <v>70</v>
      </c>
    </row>
    <row r="7415" spans="1:6" ht="15" customHeight="1" x14ac:dyDescent="0.25">
      <c r="A7415" s="2352" t="s">
        <v>14947</v>
      </c>
      <c r="B7415" s="2352" t="s">
        <v>11235</v>
      </c>
      <c r="C7415" s="2352" t="s">
        <v>11235</v>
      </c>
      <c r="D7415" s="2352" t="s">
        <v>11512</v>
      </c>
      <c r="E7415" s="355">
        <v>400</v>
      </c>
      <c r="F7415" s="1662">
        <v>250</v>
      </c>
    </row>
    <row r="7416" spans="1:6" ht="15" customHeight="1" x14ac:dyDescent="0.25">
      <c r="A7416" s="2352" t="s">
        <v>15073</v>
      </c>
      <c r="B7416" s="2352" t="s">
        <v>11235</v>
      </c>
      <c r="C7416" s="2352" t="s">
        <v>11235</v>
      </c>
      <c r="D7416" s="2352" t="s">
        <v>11513</v>
      </c>
      <c r="E7416" s="355">
        <v>10</v>
      </c>
      <c r="F7416" s="1662">
        <v>0</v>
      </c>
    </row>
    <row r="7417" spans="1:6" ht="15" customHeight="1" x14ac:dyDescent="0.25">
      <c r="A7417" s="2352" t="s">
        <v>15074</v>
      </c>
      <c r="B7417" s="2352" t="s">
        <v>11235</v>
      </c>
      <c r="C7417" s="2352" t="s">
        <v>11235</v>
      </c>
      <c r="D7417" s="2352" t="s">
        <v>11514</v>
      </c>
      <c r="E7417" s="355">
        <v>10</v>
      </c>
      <c r="F7417" s="1662">
        <v>0</v>
      </c>
    </row>
    <row r="7418" spans="1:6" ht="15" customHeight="1" x14ac:dyDescent="0.25">
      <c r="A7418" s="2352" t="s">
        <v>15075</v>
      </c>
      <c r="B7418" s="2352" t="s">
        <v>11235</v>
      </c>
      <c r="C7418" s="2352" t="s">
        <v>11235</v>
      </c>
      <c r="D7418" s="2352" t="s">
        <v>11515</v>
      </c>
      <c r="E7418" s="355">
        <v>20</v>
      </c>
      <c r="F7418" s="1662">
        <v>5</v>
      </c>
    </row>
    <row r="7419" spans="1:6" ht="15" customHeight="1" x14ac:dyDescent="0.25">
      <c r="A7419" s="2352" t="s">
        <v>14946</v>
      </c>
      <c r="B7419" s="2352" t="s">
        <v>11235</v>
      </c>
      <c r="C7419" s="2352" t="s">
        <v>11235</v>
      </c>
      <c r="D7419" s="2352" t="s">
        <v>11516</v>
      </c>
      <c r="E7419" s="355">
        <v>100</v>
      </c>
      <c r="F7419" s="1662">
        <v>40</v>
      </c>
    </row>
    <row r="7420" spans="1:6" ht="15" customHeight="1" x14ac:dyDescent="0.25">
      <c r="A7420" s="2352" t="s">
        <v>14744</v>
      </c>
      <c r="B7420" s="2352" t="s">
        <v>11235</v>
      </c>
      <c r="C7420" s="2352" t="s">
        <v>11235</v>
      </c>
      <c r="D7420" s="2352" t="s">
        <v>11517</v>
      </c>
      <c r="E7420" s="355">
        <v>10</v>
      </c>
      <c r="F7420" s="1662">
        <v>0</v>
      </c>
    </row>
    <row r="7421" spans="1:6" ht="15" customHeight="1" x14ac:dyDescent="0.25">
      <c r="A7421" s="2352" t="s">
        <v>14959</v>
      </c>
      <c r="B7421" s="2352" t="s">
        <v>11235</v>
      </c>
      <c r="C7421" s="2352" t="s">
        <v>11235</v>
      </c>
      <c r="D7421" s="2352" t="s">
        <v>11518</v>
      </c>
      <c r="E7421" s="355">
        <v>10</v>
      </c>
      <c r="F7421" s="1662">
        <v>0</v>
      </c>
    </row>
    <row r="7422" spans="1:6" ht="15" customHeight="1" x14ac:dyDescent="0.25">
      <c r="A7422" s="2352" t="s">
        <v>15076</v>
      </c>
      <c r="B7422" s="2352" t="s">
        <v>11235</v>
      </c>
      <c r="C7422" s="2352" t="s">
        <v>11235</v>
      </c>
      <c r="D7422" s="2352" t="s">
        <v>11519</v>
      </c>
      <c r="E7422" s="355">
        <v>25</v>
      </c>
      <c r="F7422" s="1662">
        <v>10</v>
      </c>
    </row>
    <row r="7423" spans="1:6" ht="15" customHeight="1" x14ac:dyDescent="0.25">
      <c r="A7423" s="2352" t="s">
        <v>4904</v>
      </c>
      <c r="B7423" s="2352" t="s">
        <v>11235</v>
      </c>
      <c r="C7423" s="2352" t="s">
        <v>11235</v>
      </c>
      <c r="D7423" s="2352" t="s">
        <v>11520</v>
      </c>
      <c r="E7423" s="355">
        <v>10</v>
      </c>
      <c r="F7423" s="1662">
        <v>0</v>
      </c>
    </row>
    <row r="7424" spans="1:6" ht="15" customHeight="1" x14ac:dyDescent="0.25">
      <c r="A7424" s="2352" t="s">
        <v>9569</v>
      </c>
      <c r="B7424" s="2352" t="s">
        <v>11235</v>
      </c>
      <c r="C7424" s="2352" t="s">
        <v>11235</v>
      </c>
      <c r="D7424" s="2352" t="s">
        <v>11521</v>
      </c>
      <c r="E7424" s="355">
        <v>10</v>
      </c>
      <c r="F7424" s="1662">
        <v>0</v>
      </c>
    </row>
    <row r="7425" spans="1:6" ht="15" customHeight="1" x14ac:dyDescent="0.25">
      <c r="A7425" s="2352" t="s">
        <v>15077</v>
      </c>
      <c r="B7425" s="2352" t="s">
        <v>11235</v>
      </c>
      <c r="C7425" s="2352" t="s">
        <v>11235</v>
      </c>
      <c r="D7425" s="2352" t="s">
        <v>11522</v>
      </c>
      <c r="E7425" s="355">
        <v>10</v>
      </c>
      <c r="F7425" s="1662">
        <v>0</v>
      </c>
    </row>
    <row r="7426" spans="1:6" ht="15" customHeight="1" x14ac:dyDescent="0.25">
      <c r="A7426" s="2352" t="s">
        <v>8031</v>
      </c>
      <c r="B7426" s="2352" t="s">
        <v>11235</v>
      </c>
      <c r="C7426" s="2352" t="s">
        <v>11235</v>
      </c>
      <c r="D7426" s="2352" t="s">
        <v>11523</v>
      </c>
      <c r="E7426" s="355">
        <v>30</v>
      </c>
      <c r="F7426" s="1662">
        <v>10</v>
      </c>
    </row>
    <row r="7427" spans="1:6" ht="15" customHeight="1" x14ac:dyDescent="0.25">
      <c r="A7427" s="2352" t="s">
        <v>6415</v>
      </c>
      <c r="B7427" s="2352" t="s">
        <v>11235</v>
      </c>
      <c r="C7427" s="2352" t="s">
        <v>11235</v>
      </c>
      <c r="D7427" s="2352" t="s">
        <v>11524</v>
      </c>
      <c r="E7427" s="355">
        <v>10</v>
      </c>
      <c r="F7427" s="1662">
        <v>0</v>
      </c>
    </row>
    <row r="7428" spans="1:6" ht="15" customHeight="1" x14ac:dyDescent="0.25">
      <c r="A7428" s="2352" t="s">
        <v>15078</v>
      </c>
      <c r="B7428" s="2352" t="s">
        <v>11235</v>
      </c>
      <c r="C7428" s="2352" t="s">
        <v>11235</v>
      </c>
      <c r="D7428" s="2352" t="s">
        <v>11525</v>
      </c>
      <c r="E7428" s="355">
        <v>10</v>
      </c>
      <c r="F7428" s="1662">
        <v>0</v>
      </c>
    </row>
    <row r="7429" spans="1:6" ht="15" customHeight="1" x14ac:dyDescent="0.25">
      <c r="A7429" s="2352" t="s">
        <v>14761</v>
      </c>
      <c r="B7429" s="2352" t="s">
        <v>11235</v>
      </c>
      <c r="C7429" s="2352" t="s">
        <v>11235</v>
      </c>
      <c r="D7429" s="2352" t="s">
        <v>11526</v>
      </c>
      <c r="E7429" s="355">
        <v>10</v>
      </c>
      <c r="F7429" s="1662">
        <v>0</v>
      </c>
    </row>
    <row r="7430" spans="1:6" ht="15" customHeight="1" x14ac:dyDescent="0.25">
      <c r="A7430" s="2352" t="s">
        <v>6703</v>
      </c>
      <c r="B7430" s="2352" t="s">
        <v>11235</v>
      </c>
      <c r="C7430" s="2352" t="s">
        <v>11235</v>
      </c>
      <c r="D7430" s="2352" t="s">
        <v>11527</v>
      </c>
      <c r="E7430" s="355">
        <v>10</v>
      </c>
      <c r="F7430" s="1662">
        <v>0</v>
      </c>
    </row>
    <row r="7431" spans="1:6" ht="15" customHeight="1" x14ac:dyDescent="0.25">
      <c r="A7431" s="2352" t="s">
        <v>13863</v>
      </c>
      <c r="B7431" s="2352" t="s">
        <v>11235</v>
      </c>
      <c r="C7431" s="2352" t="s">
        <v>11235</v>
      </c>
      <c r="D7431" s="2352" t="s">
        <v>11528</v>
      </c>
      <c r="E7431" s="355">
        <v>10</v>
      </c>
      <c r="F7431" s="1662">
        <v>0</v>
      </c>
    </row>
    <row r="7432" spans="1:6" ht="15" customHeight="1" x14ac:dyDescent="0.25">
      <c r="A7432" s="2352" t="s">
        <v>15079</v>
      </c>
      <c r="B7432" s="2352" t="s">
        <v>11235</v>
      </c>
      <c r="C7432" s="2352" t="s">
        <v>11235</v>
      </c>
      <c r="D7432" s="2352" t="s">
        <v>11529</v>
      </c>
      <c r="E7432" s="355">
        <v>0</v>
      </c>
      <c r="F7432" s="1662">
        <v>0</v>
      </c>
    </row>
    <row r="7433" spans="1:6" ht="15" customHeight="1" x14ac:dyDescent="0.25">
      <c r="A7433" s="2352" t="s">
        <v>15080</v>
      </c>
      <c r="B7433" s="2352" t="s">
        <v>11235</v>
      </c>
      <c r="C7433" s="2352" t="s">
        <v>11235</v>
      </c>
      <c r="D7433" s="2352" t="s">
        <v>11530</v>
      </c>
      <c r="E7433" s="355">
        <v>5</v>
      </c>
      <c r="F7433" s="1662">
        <v>0</v>
      </c>
    </row>
    <row r="7434" spans="1:6" ht="15" customHeight="1" x14ac:dyDescent="0.25">
      <c r="A7434" s="2352" t="s">
        <v>6476</v>
      </c>
      <c r="B7434" s="2352" t="s">
        <v>11235</v>
      </c>
      <c r="C7434" s="2352" t="s">
        <v>11235</v>
      </c>
      <c r="D7434" s="2352" t="s">
        <v>11531</v>
      </c>
      <c r="E7434" s="355">
        <v>10</v>
      </c>
      <c r="F7434" s="1662">
        <v>0</v>
      </c>
    </row>
    <row r="7435" spans="1:6" ht="15" customHeight="1" x14ac:dyDescent="0.25">
      <c r="A7435" s="2352" t="s">
        <v>15081</v>
      </c>
      <c r="B7435" s="2352" t="s">
        <v>11235</v>
      </c>
      <c r="C7435" s="2352" t="s">
        <v>11235</v>
      </c>
      <c r="D7435" s="2352" t="s">
        <v>11532</v>
      </c>
      <c r="E7435" s="355">
        <v>10</v>
      </c>
      <c r="F7435" s="1662">
        <v>0</v>
      </c>
    </row>
    <row r="7436" spans="1:6" ht="15" customHeight="1" x14ac:dyDescent="0.25">
      <c r="A7436" s="2352" t="s">
        <v>15082</v>
      </c>
      <c r="B7436" s="2352" t="s">
        <v>11235</v>
      </c>
      <c r="C7436" s="2352" t="s">
        <v>11235</v>
      </c>
      <c r="D7436" s="2352" t="s">
        <v>11533</v>
      </c>
      <c r="E7436" s="355">
        <v>63</v>
      </c>
      <c r="F7436" s="1662">
        <v>10</v>
      </c>
    </row>
    <row r="7437" spans="1:6" ht="15" customHeight="1" x14ac:dyDescent="0.25">
      <c r="A7437" s="2352" t="s">
        <v>15083</v>
      </c>
      <c r="B7437" s="2352" t="s">
        <v>11235</v>
      </c>
      <c r="C7437" s="2352" t="s">
        <v>11235</v>
      </c>
      <c r="D7437" s="2352" t="s">
        <v>11534</v>
      </c>
      <c r="E7437" s="355">
        <v>10</v>
      </c>
      <c r="F7437" s="1662">
        <v>0</v>
      </c>
    </row>
    <row r="7438" spans="1:6" ht="15" customHeight="1" x14ac:dyDescent="0.25">
      <c r="A7438" s="2352" t="s">
        <v>15084</v>
      </c>
      <c r="B7438" s="2352" t="s">
        <v>11235</v>
      </c>
      <c r="C7438" s="2352" t="s">
        <v>11235</v>
      </c>
      <c r="D7438" s="2352" t="s">
        <v>11535</v>
      </c>
      <c r="E7438" s="355">
        <v>10</v>
      </c>
      <c r="F7438" s="1662">
        <v>0</v>
      </c>
    </row>
    <row r="7439" spans="1:6" ht="15" customHeight="1" x14ac:dyDescent="0.25">
      <c r="A7439" s="2352" t="s">
        <v>15085</v>
      </c>
      <c r="B7439" s="2352" t="s">
        <v>11235</v>
      </c>
      <c r="C7439" s="2352" t="s">
        <v>11235</v>
      </c>
      <c r="D7439" s="2352" t="s">
        <v>11536</v>
      </c>
      <c r="E7439" s="355">
        <v>60</v>
      </c>
      <c r="F7439" s="1662">
        <v>10</v>
      </c>
    </row>
    <row r="7440" spans="1:6" ht="15" customHeight="1" x14ac:dyDescent="0.25">
      <c r="A7440" s="2352" t="s">
        <v>14067</v>
      </c>
      <c r="B7440" s="2352" t="s">
        <v>11235</v>
      </c>
      <c r="C7440" s="2352" t="s">
        <v>11235</v>
      </c>
      <c r="D7440" s="2352" t="s">
        <v>11537</v>
      </c>
      <c r="E7440" s="355">
        <v>10</v>
      </c>
      <c r="F7440" s="1662">
        <v>0</v>
      </c>
    </row>
    <row r="7441" spans="1:6" ht="15" customHeight="1" x14ac:dyDescent="0.25">
      <c r="A7441" s="2352" t="s">
        <v>15086</v>
      </c>
      <c r="B7441" s="2352" t="s">
        <v>11235</v>
      </c>
      <c r="C7441" s="2352" t="s">
        <v>11235</v>
      </c>
      <c r="D7441" s="2352" t="s">
        <v>11538</v>
      </c>
      <c r="E7441" s="355">
        <v>0</v>
      </c>
      <c r="F7441" s="1662">
        <v>0</v>
      </c>
    </row>
    <row r="7442" spans="1:6" ht="15" customHeight="1" x14ac:dyDescent="0.25">
      <c r="A7442" s="2352" t="s">
        <v>15087</v>
      </c>
      <c r="B7442" s="2352" t="s">
        <v>11235</v>
      </c>
      <c r="C7442" s="2352" t="s">
        <v>11235</v>
      </c>
      <c r="D7442" s="2352" t="s">
        <v>11539</v>
      </c>
      <c r="E7442" s="355">
        <v>0</v>
      </c>
      <c r="F7442" s="1662">
        <v>0</v>
      </c>
    </row>
    <row r="7443" spans="1:6" ht="15" customHeight="1" x14ac:dyDescent="0.25">
      <c r="A7443" s="2352" t="s">
        <v>14424</v>
      </c>
      <c r="B7443" s="2352" t="s">
        <v>11235</v>
      </c>
      <c r="C7443" s="2352" t="s">
        <v>11235</v>
      </c>
      <c r="D7443" s="2352" t="s">
        <v>11540</v>
      </c>
      <c r="E7443" s="355">
        <v>10</v>
      </c>
      <c r="F7443" s="1662">
        <v>3</v>
      </c>
    </row>
    <row r="7444" spans="1:6" ht="15" customHeight="1" x14ac:dyDescent="0.25">
      <c r="A7444" s="2352" t="s">
        <v>15088</v>
      </c>
      <c r="B7444" s="2352" t="s">
        <v>11235</v>
      </c>
      <c r="C7444" s="2352" t="s">
        <v>11235</v>
      </c>
      <c r="D7444" s="2352" t="s">
        <v>11541</v>
      </c>
      <c r="E7444" s="355">
        <v>30</v>
      </c>
      <c r="F7444" s="1662">
        <v>15</v>
      </c>
    </row>
    <row r="7445" spans="1:6" ht="15" customHeight="1" x14ac:dyDescent="0.25">
      <c r="A7445" s="2352" t="s">
        <v>15089</v>
      </c>
      <c r="B7445" s="2352" t="s">
        <v>11235</v>
      </c>
      <c r="C7445" s="2352" t="s">
        <v>11235</v>
      </c>
      <c r="D7445" s="2352" t="s">
        <v>11542</v>
      </c>
      <c r="E7445" s="355">
        <v>10</v>
      </c>
      <c r="F7445" s="1662">
        <v>0</v>
      </c>
    </row>
    <row r="7446" spans="1:6" ht="15" customHeight="1" x14ac:dyDescent="0.25">
      <c r="A7446" s="2352" t="s">
        <v>4869</v>
      </c>
      <c r="B7446" s="2352" t="s">
        <v>11235</v>
      </c>
      <c r="C7446" s="2352" t="s">
        <v>11235</v>
      </c>
      <c r="D7446" s="2352" t="s">
        <v>11543</v>
      </c>
      <c r="E7446" s="355">
        <v>10</v>
      </c>
      <c r="F7446" s="1662">
        <v>0</v>
      </c>
    </row>
    <row r="7447" spans="1:6" ht="15" customHeight="1" x14ac:dyDescent="0.25">
      <c r="A7447" s="2352" t="s">
        <v>15090</v>
      </c>
      <c r="B7447" s="2352" t="s">
        <v>11235</v>
      </c>
      <c r="C7447" s="2352" t="s">
        <v>11235</v>
      </c>
      <c r="D7447" s="2352" t="s">
        <v>11544</v>
      </c>
      <c r="E7447" s="355">
        <v>10</v>
      </c>
      <c r="F7447" s="1662">
        <v>0</v>
      </c>
    </row>
    <row r="7448" spans="1:6" ht="15" customHeight="1" x14ac:dyDescent="0.25">
      <c r="A7448" s="2352" t="s">
        <v>4381</v>
      </c>
      <c r="B7448" s="2352" t="s">
        <v>11235</v>
      </c>
      <c r="C7448" s="2352" t="s">
        <v>11235</v>
      </c>
      <c r="D7448" s="2352" t="s">
        <v>11545</v>
      </c>
      <c r="E7448" s="355">
        <v>10</v>
      </c>
      <c r="F7448" s="1662">
        <v>0</v>
      </c>
    </row>
    <row r="7449" spans="1:6" ht="15" customHeight="1" x14ac:dyDescent="0.25">
      <c r="A7449" s="2352" t="s">
        <v>15091</v>
      </c>
      <c r="B7449" s="2352" t="s">
        <v>11235</v>
      </c>
      <c r="C7449" s="2352" t="s">
        <v>11235</v>
      </c>
      <c r="D7449" s="2352" t="s">
        <v>11546</v>
      </c>
      <c r="E7449" s="355">
        <v>0</v>
      </c>
      <c r="F7449" s="1662">
        <v>0</v>
      </c>
    </row>
    <row r="7450" spans="1:6" ht="15" customHeight="1" x14ac:dyDescent="0.25">
      <c r="A7450" s="2352" t="s">
        <v>9114</v>
      </c>
      <c r="B7450" s="2352" t="s">
        <v>11235</v>
      </c>
      <c r="C7450" s="2352" t="s">
        <v>11235</v>
      </c>
      <c r="D7450" s="2352" t="s">
        <v>11547</v>
      </c>
      <c r="E7450" s="355">
        <v>10</v>
      </c>
      <c r="F7450" s="1662">
        <v>0</v>
      </c>
    </row>
    <row r="7451" spans="1:6" ht="15" customHeight="1" x14ac:dyDescent="0.25">
      <c r="A7451" s="2352" t="s">
        <v>9114</v>
      </c>
      <c r="B7451" s="2352" t="s">
        <v>11235</v>
      </c>
      <c r="C7451" s="2352" t="s">
        <v>11235</v>
      </c>
      <c r="D7451" s="2352" t="s">
        <v>11548</v>
      </c>
      <c r="E7451" s="355">
        <v>20</v>
      </c>
      <c r="F7451" s="1662">
        <v>5</v>
      </c>
    </row>
    <row r="7452" spans="1:6" ht="15" customHeight="1" x14ac:dyDescent="0.25">
      <c r="A7452" s="2352" t="s">
        <v>15092</v>
      </c>
      <c r="B7452" s="2352" t="s">
        <v>11235</v>
      </c>
      <c r="C7452" s="2352" t="s">
        <v>11235</v>
      </c>
      <c r="D7452" s="2352" t="s">
        <v>11549</v>
      </c>
      <c r="E7452" s="355">
        <v>0</v>
      </c>
      <c r="F7452" s="1662">
        <v>0</v>
      </c>
    </row>
    <row r="7453" spans="1:6" ht="15" customHeight="1" x14ac:dyDescent="0.25">
      <c r="A7453" s="2352" t="s">
        <v>15093</v>
      </c>
      <c r="B7453" s="2352" t="s">
        <v>11235</v>
      </c>
      <c r="C7453" s="2352" t="s">
        <v>11235</v>
      </c>
      <c r="D7453" s="2352" t="s">
        <v>11550</v>
      </c>
      <c r="E7453" s="355">
        <v>10</v>
      </c>
      <c r="F7453" s="1662">
        <v>0</v>
      </c>
    </row>
    <row r="7454" spans="1:6" ht="15" customHeight="1" x14ac:dyDescent="0.25">
      <c r="A7454" s="2352" t="s">
        <v>15094</v>
      </c>
      <c r="B7454" s="2352" t="s">
        <v>11235</v>
      </c>
      <c r="C7454" s="2352" t="s">
        <v>11235</v>
      </c>
      <c r="D7454" s="2352" t="s">
        <v>11551</v>
      </c>
      <c r="E7454" s="355">
        <v>0</v>
      </c>
      <c r="F7454" s="1662">
        <v>0</v>
      </c>
    </row>
    <row r="7455" spans="1:6" ht="15" customHeight="1" x14ac:dyDescent="0.25">
      <c r="A7455" s="2352" t="s">
        <v>4438</v>
      </c>
      <c r="B7455" s="2352" t="s">
        <v>11235</v>
      </c>
      <c r="C7455" s="2352" t="s">
        <v>11235</v>
      </c>
      <c r="D7455" s="2352" t="s">
        <v>11552</v>
      </c>
      <c r="E7455" s="355">
        <v>30</v>
      </c>
      <c r="F7455" s="1662">
        <v>10</v>
      </c>
    </row>
    <row r="7456" spans="1:6" ht="15" customHeight="1" x14ac:dyDescent="0.25">
      <c r="A7456" s="2352" t="s">
        <v>15095</v>
      </c>
      <c r="B7456" s="2352" t="s">
        <v>11235</v>
      </c>
      <c r="C7456" s="2352" t="s">
        <v>11235</v>
      </c>
      <c r="D7456" s="2352" t="s">
        <v>11553</v>
      </c>
      <c r="E7456" s="355">
        <v>10</v>
      </c>
      <c r="F7456" s="1662">
        <v>0</v>
      </c>
    </row>
    <row r="7457" spans="1:6" ht="15" customHeight="1" x14ac:dyDescent="0.25">
      <c r="A7457" s="2352" t="s">
        <v>15096</v>
      </c>
      <c r="B7457" s="2352" t="s">
        <v>11235</v>
      </c>
      <c r="C7457" s="2352" t="s">
        <v>11235</v>
      </c>
      <c r="D7457" s="2352" t="s">
        <v>11554</v>
      </c>
      <c r="E7457" s="355">
        <v>25</v>
      </c>
      <c r="F7457" s="1662">
        <v>10</v>
      </c>
    </row>
    <row r="7458" spans="1:6" ht="15" customHeight="1" x14ac:dyDescent="0.25">
      <c r="A7458" s="2352" t="s">
        <v>15097</v>
      </c>
      <c r="B7458" s="2352" t="s">
        <v>11235</v>
      </c>
      <c r="C7458" s="2352" t="s">
        <v>11235</v>
      </c>
      <c r="D7458" s="2352" t="s">
        <v>11555</v>
      </c>
      <c r="E7458" s="355">
        <v>20</v>
      </c>
      <c r="F7458" s="1662">
        <v>5</v>
      </c>
    </row>
    <row r="7459" spans="1:6" ht="15" customHeight="1" x14ac:dyDescent="0.25">
      <c r="A7459" s="2352" t="s">
        <v>15098</v>
      </c>
      <c r="B7459" s="2352" t="s">
        <v>11235</v>
      </c>
      <c r="C7459" s="2352" t="s">
        <v>11235</v>
      </c>
      <c r="D7459" s="2352" t="s">
        <v>11556</v>
      </c>
      <c r="E7459" s="355">
        <v>10</v>
      </c>
      <c r="F7459" s="1662">
        <v>0</v>
      </c>
    </row>
    <row r="7460" spans="1:6" ht="15" customHeight="1" x14ac:dyDescent="0.25">
      <c r="A7460" s="2352" t="s">
        <v>15099</v>
      </c>
      <c r="B7460" s="2352" t="s">
        <v>11235</v>
      </c>
      <c r="C7460" s="2352" t="s">
        <v>11235</v>
      </c>
      <c r="D7460" s="2352" t="s">
        <v>11557</v>
      </c>
      <c r="E7460" s="355">
        <v>0</v>
      </c>
      <c r="F7460" s="1662">
        <v>0</v>
      </c>
    </row>
    <row r="7461" spans="1:6" ht="15" customHeight="1" x14ac:dyDescent="0.25">
      <c r="A7461" s="2352" t="s">
        <v>15100</v>
      </c>
      <c r="B7461" s="2352" t="s">
        <v>11235</v>
      </c>
      <c r="C7461" s="2352" t="s">
        <v>11235</v>
      </c>
      <c r="D7461" s="2352" t="s">
        <v>11558</v>
      </c>
      <c r="E7461" s="355">
        <v>63</v>
      </c>
      <c r="F7461" s="1662">
        <v>10</v>
      </c>
    </row>
    <row r="7462" spans="1:6" ht="15" customHeight="1" x14ac:dyDescent="0.25">
      <c r="A7462" s="2352" t="s">
        <v>14947</v>
      </c>
      <c r="B7462" s="2352" t="s">
        <v>11235</v>
      </c>
      <c r="C7462" s="2352" t="s">
        <v>11235</v>
      </c>
      <c r="D7462" s="2352" t="s">
        <v>11559</v>
      </c>
      <c r="E7462" s="355">
        <v>250</v>
      </c>
      <c r="F7462" s="1662">
        <v>50</v>
      </c>
    </row>
    <row r="7463" spans="1:6" ht="15" customHeight="1" x14ac:dyDescent="0.25">
      <c r="A7463" s="2352" t="s">
        <v>9404</v>
      </c>
      <c r="B7463" s="2352" t="s">
        <v>11235</v>
      </c>
      <c r="C7463" s="2352" t="s">
        <v>11235</v>
      </c>
      <c r="D7463" s="2352" t="s">
        <v>11560</v>
      </c>
      <c r="E7463" s="355">
        <v>10</v>
      </c>
      <c r="F7463" s="1662">
        <v>0</v>
      </c>
    </row>
    <row r="7464" spans="1:6" ht="15" customHeight="1" x14ac:dyDescent="0.25">
      <c r="A7464" s="2352" t="s">
        <v>15101</v>
      </c>
      <c r="B7464" s="2352" t="s">
        <v>11235</v>
      </c>
      <c r="C7464" s="2352" t="s">
        <v>11235</v>
      </c>
      <c r="D7464" s="2352" t="s">
        <v>11561</v>
      </c>
      <c r="E7464" s="355">
        <v>0</v>
      </c>
      <c r="F7464" s="1662">
        <v>0</v>
      </c>
    </row>
    <row r="7465" spans="1:6" ht="15" customHeight="1" x14ac:dyDescent="0.25">
      <c r="A7465" s="2352" t="s">
        <v>4381</v>
      </c>
      <c r="B7465" s="2352" t="s">
        <v>11235</v>
      </c>
      <c r="C7465" s="2352" t="s">
        <v>11235</v>
      </c>
      <c r="D7465" s="2352" t="s">
        <v>11562</v>
      </c>
      <c r="E7465" s="355">
        <v>10</v>
      </c>
      <c r="F7465" s="1662">
        <v>0</v>
      </c>
    </row>
    <row r="7466" spans="1:6" ht="15" customHeight="1" x14ac:dyDescent="0.25">
      <c r="A7466" s="2352" t="s">
        <v>15102</v>
      </c>
      <c r="B7466" s="2352" t="s">
        <v>11235</v>
      </c>
      <c r="C7466" s="2352" t="s">
        <v>11235</v>
      </c>
      <c r="D7466" s="2352" t="s">
        <v>11563</v>
      </c>
      <c r="E7466" s="355">
        <v>10</v>
      </c>
      <c r="F7466" s="1662">
        <v>0</v>
      </c>
    </row>
    <row r="7467" spans="1:6" ht="15" customHeight="1" x14ac:dyDescent="0.25">
      <c r="A7467" s="2354" t="s">
        <v>7194</v>
      </c>
      <c r="B7467" s="2354" t="s">
        <v>7195</v>
      </c>
      <c r="C7467" s="2354" t="s">
        <v>7195</v>
      </c>
      <c r="D7467" s="2354" t="s">
        <v>7196</v>
      </c>
      <c r="E7467" s="2344">
        <v>60</v>
      </c>
      <c r="F7467" s="2355">
        <v>40</v>
      </c>
    </row>
    <row r="7468" spans="1:6" ht="15" customHeight="1" x14ac:dyDescent="0.25">
      <c r="A7468" s="2354" t="s">
        <v>7197</v>
      </c>
      <c r="B7468" s="2354" t="s">
        <v>7195</v>
      </c>
      <c r="C7468" s="2354" t="s">
        <v>7195</v>
      </c>
      <c r="D7468" s="2354" t="s">
        <v>7198</v>
      </c>
      <c r="E7468" s="2344">
        <v>630</v>
      </c>
      <c r="F7468" s="2355">
        <v>120</v>
      </c>
    </row>
    <row r="7469" spans="1:6" ht="15" customHeight="1" x14ac:dyDescent="0.25">
      <c r="A7469" s="2354" t="s">
        <v>7197</v>
      </c>
      <c r="B7469" s="2354" t="s">
        <v>7195</v>
      </c>
      <c r="C7469" s="2354" t="s">
        <v>7195</v>
      </c>
      <c r="D7469" s="2354" t="s">
        <v>7199</v>
      </c>
      <c r="E7469" s="2344">
        <v>400</v>
      </c>
      <c r="F7469" s="2355">
        <v>150</v>
      </c>
    </row>
    <row r="7470" spans="1:6" ht="15" customHeight="1" x14ac:dyDescent="0.25">
      <c r="A7470" s="2354" t="s">
        <v>7197</v>
      </c>
      <c r="B7470" s="2354" t="s">
        <v>7195</v>
      </c>
      <c r="C7470" s="2354" t="s">
        <v>7195</v>
      </c>
      <c r="D7470" s="2354" t="s">
        <v>7200</v>
      </c>
      <c r="E7470" s="2344">
        <v>400</v>
      </c>
      <c r="F7470" s="2355">
        <v>130</v>
      </c>
    </row>
    <row r="7471" spans="1:6" ht="15" customHeight="1" x14ac:dyDescent="0.25">
      <c r="A7471" s="2354" t="s">
        <v>7197</v>
      </c>
      <c r="B7471" s="2354" t="s">
        <v>7195</v>
      </c>
      <c r="C7471" s="2354" t="s">
        <v>7195</v>
      </c>
      <c r="D7471" s="2354" t="s">
        <v>7201</v>
      </c>
      <c r="E7471" s="2344">
        <v>400</v>
      </c>
      <c r="F7471" s="2355">
        <v>150</v>
      </c>
    </row>
    <row r="7472" spans="1:6" ht="15" customHeight="1" x14ac:dyDescent="0.25">
      <c r="A7472" s="2354" t="s">
        <v>7197</v>
      </c>
      <c r="B7472" s="2354" t="s">
        <v>7195</v>
      </c>
      <c r="C7472" s="2354" t="s">
        <v>7195</v>
      </c>
      <c r="D7472" s="2354" t="s">
        <v>7202</v>
      </c>
      <c r="E7472" s="2344">
        <v>250</v>
      </c>
      <c r="F7472" s="2355">
        <v>200</v>
      </c>
    </row>
    <row r="7473" spans="1:6" ht="15" customHeight="1" x14ac:dyDescent="0.25">
      <c r="A7473" s="2354" t="s">
        <v>7203</v>
      </c>
      <c r="B7473" s="2354" t="s">
        <v>7195</v>
      </c>
      <c r="C7473" s="2354" t="s">
        <v>7195</v>
      </c>
      <c r="D7473" s="2354" t="s">
        <v>7204</v>
      </c>
      <c r="E7473" s="2344">
        <v>180</v>
      </c>
      <c r="F7473" s="2355">
        <v>100</v>
      </c>
    </row>
    <row r="7474" spans="1:6" ht="15" customHeight="1" x14ac:dyDescent="0.25">
      <c r="A7474" s="2354" t="s">
        <v>4263</v>
      </c>
      <c r="B7474" s="2354" t="s">
        <v>7195</v>
      </c>
      <c r="C7474" s="2354" t="s">
        <v>7195</v>
      </c>
      <c r="D7474" s="2354" t="s">
        <v>4334</v>
      </c>
      <c r="E7474" s="2344">
        <v>63</v>
      </c>
      <c r="F7474" s="2355">
        <v>60</v>
      </c>
    </row>
    <row r="7475" spans="1:6" ht="15" customHeight="1" x14ac:dyDescent="0.25">
      <c r="A7475" s="2354" t="s">
        <v>7203</v>
      </c>
      <c r="B7475" s="2354" t="s">
        <v>7195</v>
      </c>
      <c r="C7475" s="2354" t="s">
        <v>7195</v>
      </c>
      <c r="D7475" s="2354" t="s">
        <v>7205</v>
      </c>
      <c r="E7475" s="2344">
        <v>60</v>
      </c>
      <c r="F7475" s="2355">
        <v>30</v>
      </c>
    </row>
    <row r="7476" spans="1:6" ht="15" customHeight="1" x14ac:dyDescent="0.25">
      <c r="A7476" s="2354" t="s">
        <v>14042</v>
      </c>
      <c r="B7476" s="2354" t="s">
        <v>7195</v>
      </c>
      <c r="C7476" s="2354" t="s">
        <v>7195</v>
      </c>
      <c r="D7476" s="2354" t="s">
        <v>7206</v>
      </c>
      <c r="E7476" s="2344">
        <v>30</v>
      </c>
      <c r="F7476" s="2355">
        <v>0</v>
      </c>
    </row>
    <row r="7477" spans="1:6" ht="15" customHeight="1" x14ac:dyDescent="0.25">
      <c r="A7477" s="2354" t="s">
        <v>14043</v>
      </c>
      <c r="B7477" s="2354" t="s">
        <v>7195</v>
      </c>
      <c r="C7477" s="2354" t="s">
        <v>7195</v>
      </c>
      <c r="D7477" s="2354" t="s">
        <v>7207</v>
      </c>
      <c r="E7477" s="2344">
        <v>160</v>
      </c>
      <c r="F7477" s="2355">
        <v>50</v>
      </c>
    </row>
    <row r="7478" spans="1:6" ht="15" customHeight="1" x14ac:dyDescent="0.25">
      <c r="A7478" s="2354" t="s">
        <v>7208</v>
      </c>
      <c r="B7478" s="2354" t="s">
        <v>7195</v>
      </c>
      <c r="C7478" s="2354" t="s">
        <v>7195</v>
      </c>
      <c r="D7478" s="2354" t="s">
        <v>7209</v>
      </c>
      <c r="E7478" s="2344">
        <v>30</v>
      </c>
      <c r="F7478" s="2355">
        <v>15</v>
      </c>
    </row>
    <row r="7479" spans="1:6" ht="15" customHeight="1" x14ac:dyDescent="0.25">
      <c r="A7479" s="2354" t="s">
        <v>14044</v>
      </c>
      <c r="B7479" s="2354" t="s">
        <v>7195</v>
      </c>
      <c r="C7479" s="2354" t="s">
        <v>7195</v>
      </c>
      <c r="D7479" s="2354" t="s">
        <v>7210</v>
      </c>
      <c r="E7479" s="2344">
        <v>63</v>
      </c>
      <c r="F7479" s="2355">
        <v>15</v>
      </c>
    </row>
    <row r="7480" spans="1:6" ht="15" customHeight="1" x14ac:dyDescent="0.25">
      <c r="A7480" s="2354" t="s">
        <v>7211</v>
      </c>
      <c r="B7480" s="2354" t="s">
        <v>7195</v>
      </c>
      <c r="C7480" s="2354" t="s">
        <v>7195</v>
      </c>
      <c r="D7480" s="2354" t="s">
        <v>7212</v>
      </c>
      <c r="E7480" s="2344">
        <v>60</v>
      </c>
      <c r="F7480" s="2355">
        <v>15</v>
      </c>
    </row>
    <row r="7481" spans="1:6" ht="15" customHeight="1" x14ac:dyDescent="0.25">
      <c r="A7481" s="2354" t="s">
        <v>6506</v>
      </c>
      <c r="B7481" s="2354" t="s">
        <v>7195</v>
      </c>
      <c r="C7481" s="2354" t="s">
        <v>7195</v>
      </c>
      <c r="D7481" s="2354" t="s">
        <v>7213</v>
      </c>
      <c r="E7481" s="2344">
        <v>63</v>
      </c>
      <c r="F7481" s="2355">
        <v>10</v>
      </c>
    </row>
    <row r="7482" spans="1:6" ht="15" customHeight="1" x14ac:dyDescent="0.25">
      <c r="A7482" s="2354" t="s">
        <v>6506</v>
      </c>
      <c r="B7482" s="2354" t="s">
        <v>7195</v>
      </c>
      <c r="C7482" s="2354" t="s">
        <v>7195</v>
      </c>
      <c r="D7482" s="2354" t="s">
        <v>7214</v>
      </c>
      <c r="E7482" s="2344">
        <v>63</v>
      </c>
      <c r="F7482" s="2355">
        <v>15</v>
      </c>
    </row>
    <row r="7483" spans="1:6" ht="15" customHeight="1" x14ac:dyDescent="0.25">
      <c r="A7483" s="2354" t="s">
        <v>3918</v>
      </c>
      <c r="B7483" s="2354" t="s">
        <v>7195</v>
      </c>
      <c r="C7483" s="2354" t="s">
        <v>7195</v>
      </c>
      <c r="D7483" s="2354" t="s">
        <v>4348</v>
      </c>
      <c r="E7483" s="2344">
        <v>60</v>
      </c>
      <c r="F7483" s="2355">
        <v>55</v>
      </c>
    </row>
    <row r="7484" spans="1:6" ht="15" customHeight="1" x14ac:dyDescent="0.25">
      <c r="A7484" s="2354" t="s">
        <v>4802</v>
      </c>
      <c r="B7484" s="2354" t="s">
        <v>7195</v>
      </c>
      <c r="C7484" s="2354" t="s">
        <v>7195</v>
      </c>
      <c r="D7484" s="2354" t="s">
        <v>7215</v>
      </c>
      <c r="E7484" s="2344">
        <v>100</v>
      </c>
      <c r="F7484" s="2355">
        <v>70</v>
      </c>
    </row>
    <row r="7485" spans="1:6" ht="15" customHeight="1" x14ac:dyDescent="0.25">
      <c r="A7485" s="2354" t="s">
        <v>4802</v>
      </c>
      <c r="B7485" s="2354" t="s">
        <v>7195</v>
      </c>
      <c r="C7485" s="2354" t="s">
        <v>7195</v>
      </c>
      <c r="D7485" s="2354" t="s">
        <v>7216</v>
      </c>
      <c r="E7485" s="2344">
        <v>250</v>
      </c>
      <c r="F7485" s="2355">
        <v>245</v>
      </c>
    </row>
    <row r="7486" spans="1:6" ht="15" customHeight="1" x14ac:dyDescent="0.25">
      <c r="A7486" s="2354" t="s">
        <v>7220</v>
      </c>
      <c r="B7486" s="2354" t="s">
        <v>7195</v>
      </c>
      <c r="C7486" s="2354" t="s">
        <v>7195</v>
      </c>
      <c r="D7486" s="2354" t="s">
        <v>7217</v>
      </c>
      <c r="E7486" s="2344">
        <v>160</v>
      </c>
      <c r="F7486" s="2355">
        <v>15</v>
      </c>
    </row>
    <row r="7487" spans="1:6" ht="15" customHeight="1" x14ac:dyDescent="0.25">
      <c r="A7487" s="2354" t="s">
        <v>7220</v>
      </c>
      <c r="B7487" s="2354" t="s">
        <v>7195</v>
      </c>
      <c r="C7487" s="2354" t="s">
        <v>7195</v>
      </c>
      <c r="D7487" s="2354" t="s">
        <v>7218</v>
      </c>
      <c r="E7487" s="2344">
        <v>100</v>
      </c>
      <c r="F7487" s="2355">
        <v>15</v>
      </c>
    </row>
    <row r="7488" spans="1:6" ht="15" customHeight="1" x14ac:dyDescent="0.25">
      <c r="A7488" s="2354" t="s">
        <v>7220</v>
      </c>
      <c r="B7488" s="2354" t="s">
        <v>7195</v>
      </c>
      <c r="C7488" s="2354" t="s">
        <v>7195</v>
      </c>
      <c r="D7488" s="2354" t="s">
        <v>7219</v>
      </c>
      <c r="E7488" s="2344">
        <v>63</v>
      </c>
      <c r="F7488" s="2355">
        <v>20</v>
      </c>
    </row>
    <row r="7489" spans="1:6" ht="15" customHeight="1" x14ac:dyDescent="0.25">
      <c r="A7489" s="2354" t="s">
        <v>7220</v>
      </c>
      <c r="B7489" s="2354" t="s">
        <v>7195</v>
      </c>
      <c r="C7489" s="2354" t="s">
        <v>7195</v>
      </c>
      <c r="D7489" s="2354" t="s">
        <v>7221</v>
      </c>
      <c r="E7489" s="2344">
        <v>100</v>
      </c>
      <c r="F7489" s="2355">
        <v>50</v>
      </c>
    </row>
    <row r="7490" spans="1:6" ht="15" customHeight="1" x14ac:dyDescent="0.25">
      <c r="A7490" s="2354" t="s">
        <v>7222</v>
      </c>
      <c r="B7490" s="2354" t="s">
        <v>7195</v>
      </c>
      <c r="C7490" s="2354" t="s">
        <v>7195</v>
      </c>
      <c r="D7490" s="2354" t="s">
        <v>7223</v>
      </c>
      <c r="E7490" s="2344">
        <v>10</v>
      </c>
      <c r="F7490" s="2355">
        <v>3</v>
      </c>
    </row>
    <row r="7491" spans="1:6" ht="15" customHeight="1" x14ac:dyDescent="0.25">
      <c r="A7491" s="2354" t="s">
        <v>7224</v>
      </c>
      <c r="B7491" s="2354" t="s">
        <v>7195</v>
      </c>
      <c r="C7491" s="2354" t="s">
        <v>7195</v>
      </c>
      <c r="D7491" s="2354" t="s">
        <v>7225</v>
      </c>
      <c r="E7491" s="2344">
        <v>63</v>
      </c>
      <c r="F7491" s="2355">
        <v>35</v>
      </c>
    </row>
    <row r="7492" spans="1:6" ht="15" customHeight="1" x14ac:dyDescent="0.25">
      <c r="A7492" s="2354" t="s">
        <v>7226</v>
      </c>
      <c r="B7492" s="2354" t="s">
        <v>7195</v>
      </c>
      <c r="C7492" s="2354" t="s">
        <v>7195</v>
      </c>
      <c r="D7492" s="2354" t="s">
        <v>7227</v>
      </c>
      <c r="E7492" s="2344">
        <v>30</v>
      </c>
      <c r="F7492" s="2355">
        <v>15</v>
      </c>
    </row>
    <row r="7493" spans="1:6" ht="15" customHeight="1" x14ac:dyDescent="0.25">
      <c r="A7493" s="2354" t="s">
        <v>7228</v>
      </c>
      <c r="B7493" s="2354" t="s">
        <v>7195</v>
      </c>
      <c r="C7493" s="2354" t="s">
        <v>7195</v>
      </c>
      <c r="D7493" s="2354" t="s">
        <v>7229</v>
      </c>
      <c r="E7493" s="2344">
        <v>30</v>
      </c>
      <c r="F7493" s="2355">
        <v>10</v>
      </c>
    </row>
    <row r="7494" spans="1:6" ht="15" customHeight="1" x14ac:dyDescent="0.25">
      <c r="A7494" s="2354" t="s">
        <v>7230</v>
      </c>
      <c r="B7494" s="2354" t="s">
        <v>7195</v>
      </c>
      <c r="C7494" s="2354" t="s">
        <v>7195</v>
      </c>
      <c r="D7494" s="2354" t="s">
        <v>7231</v>
      </c>
      <c r="E7494" s="2344">
        <v>40</v>
      </c>
      <c r="F7494" s="2355">
        <v>10</v>
      </c>
    </row>
    <row r="7495" spans="1:6" ht="15" customHeight="1" x14ac:dyDescent="0.25">
      <c r="A7495" s="2354" t="s">
        <v>7232</v>
      </c>
      <c r="B7495" s="2354" t="s">
        <v>7195</v>
      </c>
      <c r="C7495" s="2354" t="s">
        <v>7195</v>
      </c>
      <c r="D7495" s="2354" t="s">
        <v>7233</v>
      </c>
      <c r="E7495" s="2344">
        <v>30</v>
      </c>
      <c r="F7495" s="2355">
        <v>20</v>
      </c>
    </row>
    <row r="7496" spans="1:6" ht="15" customHeight="1" x14ac:dyDescent="0.25">
      <c r="A7496" s="2354" t="s">
        <v>14045</v>
      </c>
      <c r="B7496" s="2354" t="s">
        <v>7195</v>
      </c>
      <c r="C7496" s="2354" t="s">
        <v>7195</v>
      </c>
      <c r="D7496" s="2354" t="s">
        <v>7234</v>
      </c>
      <c r="E7496" s="2344">
        <v>40</v>
      </c>
      <c r="F7496" s="2355">
        <v>10</v>
      </c>
    </row>
    <row r="7497" spans="1:6" ht="15" customHeight="1" x14ac:dyDescent="0.25">
      <c r="A7497" s="2354" t="s">
        <v>4063</v>
      </c>
      <c r="B7497" s="2354" t="s">
        <v>7195</v>
      </c>
      <c r="C7497" s="2354" t="s">
        <v>7195</v>
      </c>
      <c r="D7497" s="2354" t="s">
        <v>7235</v>
      </c>
      <c r="E7497" s="2344">
        <v>63</v>
      </c>
      <c r="F7497" s="2355">
        <v>20</v>
      </c>
    </row>
    <row r="7498" spans="1:6" ht="15" customHeight="1" x14ac:dyDescent="0.25">
      <c r="A7498" s="2354" t="s">
        <v>7239</v>
      </c>
      <c r="B7498" s="2354" t="s">
        <v>7195</v>
      </c>
      <c r="C7498" s="2354" t="s">
        <v>7195</v>
      </c>
      <c r="D7498" s="2354" t="s">
        <v>7236</v>
      </c>
      <c r="E7498" s="2344">
        <v>400</v>
      </c>
      <c r="F7498" s="2355">
        <v>400</v>
      </c>
    </row>
    <row r="7499" spans="1:6" ht="15" customHeight="1" x14ac:dyDescent="0.25">
      <c r="A7499" s="2354" t="s">
        <v>7239</v>
      </c>
      <c r="B7499" s="2354" t="s">
        <v>7195</v>
      </c>
      <c r="C7499" s="2354" t="s">
        <v>7195</v>
      </c>
      <c r="D7499" s="2354" t="s">
        <v>7237</v>
      </c>
      <c r="E7499" s="2344">
        <v>160</v>
      </c>
      <c r="F7499" s="2355">
        <v>50</v>
      </c>
    </row>
    <row r="7500" spans="1:6" ht="15" customHeight="1" x14ac:dyDescent="0.25">
      <c r="A7500" s="2354" t="s">
        <v>7239</v>
      </c>
      <c r="B7500" s="2354" t="s">
        <v>7195</v>
      </c>
      <c r="C7500" s="2354" t="s">
        <v>7195</v>
      </c>
      <c r="D7500" s="2354" t="s">
        <v>7238</v>
      </c>
      <c r="E7500" s="2344">
        <v>250</v>
      </c>
      <c r="F7500" s="2355">
        <v>200</v>
      </c>
    </row>
    <row r="7501" spans="1:6" ht="15" customHeight="1" x14ac:dyDescent="0.25">
      <c r="A7501" s="2354" t="s">
        <v>7239</v>
      </c>
      <c r="B7501" s="2354" t="s">
        <v>7195</v>
      </c>
      <c r="C7501" s="2354" t="s">
        <v>7195</v>
      </c>
      <c r="D7501" s="2354" t="s">
        <v>7240</v>
      </c>
      <c r="E7501" s="2344">
        <v>250</v>
      </c>
      <c r="F7501" s="2355">
        <v>200</v>
      </c>
    </row>
    <row r="7502" spans="1:6" ht="15" customHeight="1" x14ac:dyDescent="0.25">
      <c r="A7502" s="2354" t="s">
        <v>7239</v>
      </c>
      <c r="B7502" s="2354" t="s">
        <v>7195</v>
      </c>
      <c r="C7502" s="2354" t="s">
        <v>7195</v>
      </c>
      <c r="D7502" s="2354" t="s">
        <v>7241</v>
      </c>
      <c r="E7502" s="2344">
        <v>400</v>
      </c>
      <c r="F7502" s="2355">
        <v>350</v>
      </c>
    </row>
    <row r="7503" spans="1:6" ht="15" customHeight="1" x14ac:dyDescent="0.25">
      <c r="A7503" s="2354" t="s">
        <v>7239</v>
      </c>
      <c r="B7503" s="2354" t="s">
        <v>7195</v>
      </c>
      <c r="C7503" s="2354" t="s">
        <v>7195</v>
      </c>
      <c r="D7503" s="2354" t="s">
        <v>7242</v>
      </c>
      <c r="E7503" s="2344">
        <v>400</v>
      </c>
      <c r="F7503" s="2355">
        <v>350</v>
      </c>
    </row>
    <row r="7504" spans="1:6" ht="15" customHeight="1" x14ac:dyDescent="0.25">
      <c r="A7504" s="2354" t="s">
        <v>7243</v>
      </c>
      <c r="B7504" s="2354" t="s">
        <v>7195</v>
      </c>
      <c r="C7504" s="2354" t="s">
        <v>7195</v>
      </c>
      <c r="D7504" s="2354" t="s">
        <v>7244</v>
      </c>
      <c r="E7504" s="2344">
        <v>160</v>
      </c>
      <c r="F7504" s="2355">
        <v>60</v>
      </c>
    </row>
    <row r="7505" spans="1:6" ht="15" customHeight="1" x14ac:dyDescent="0.25">
      <c r="A7505" s="2354" t="s">
        <v>7243</v>
      </c>
      <c r="B7505" s="2354" t="s">
        <v>7195</v>
      </c>
      <c r="C7505" s="2354" t="s">
        <v>7195</v>
      </c>
      <c r="D7505" s="2354" t="s">
        <v>7245</v>
      </c>
      <c r="E7505" s="2344">
        <v>250</v>
      </c>
      <c r="F7505" s="2355">
        <v>160</v>
      </c>
    </row>
    <row r="7506" spans="1:6" ht="15" customHeight="1" x14ac:dyDescent="0.25">
      <c r="A7506" s="2354" t="s">
        <v>7243</v>
      </c>
      <c r="B7506" s="2354" t="s">
        <v>7195</v>
      </c>
      <c r="C7506" s="2354" t="s">
        <v>7195</v>
      </c>
      <c r="D7506" s="2354" t="s">
        <v>7246</v>
      </c>
      <c r="E7506" s="2344">
        <v>250</v>
      </c>
      <c r="F7506" s="2355">
        <v>120</v>
      </c>
    </row>
    <row r="7507" spans="1:6" ht="15" customHeight="1" x14ac:dyDescent="0.25">
      <c r="A7507" s="2354" t="s">
        <v>7243</v>
      </c>
      <c r="B7507" s="2354" t="s">
        <v>7195</v>
      </c>
      <c r="C7507" s="2354" t="s">
        <v>7195</v>
      </c>
      <c r="D7507" s="2354" t="s">
        <v>7247</v>
      </c>
      <c r="E7507" s="2344">
        <v>100</v>
      </c>
      <c r="F7507" s="2355">
        <v>10</v>
      </c>
    </row>
    <row r="7508" spans="1:6" ht="15" customHeight="1" x14ac:dyDescent="0.25">
      <c r="A7508" s="2354" t="s">
        <v>7243</v>
      </c>
      <c r="B7508" s="2354" t="s">
        <v>7195</v>
      </c>
      <c r="C7508" s="2354" t="s">
        <v>7195</v>
      </c>
      <c r="D7508" s="2354" t="s">
        <v>7248</v>
      </c>
      <c r="E7508" s="2344">
        <v>250</v>
      </c>
      <c r="F7508" s="2355">
        <v>15</v>
      </c>
    </row>
    <row r="7509" spans="1:6" ht="15" customHeight="1" x14ac:dyDescent="0.25">
      <c r="A7509" s="2354" t="s">
        <v>7243</v>
      </c>
      <c r="B7509" s="2354" t="s">
        <v>7195</v>
      </c>
      <c r="C7509" s="2354" t="s">
        <v>7195</v>
      </c>
      <c r="D7509" s="2354" t="s">
        <v>7249</v>
      </c>
      <c r="E7509" s="2344">
        <v>100</v>
      </c>
      <c r="F7509" s="2355">
        <v>15</v>
      </c>
    </row>
    <row r="7510" spans="1:6" ht="15" customHeight="1" x14ac:dyDescent="0.25">
      <c r="A7510" s="2354" t="s">
        <v>7250</v>
      </c>
      <c r="B7510" s="2354" t="s">
        <v>7195</v>
      </c>
      <c r="C7510" s="2354" t="s">
        <v>7195</v>
      </c>
      <c r="D7510" s="2354" t="s">
        <v>7251</v>
      </c>
      <c r="E7510" s="2344">
        <v>100</v>
      </c>
      <c r="F7510" s="2355">
        <v>60</v>
      </c>
    </row>
    <row r="7511" spans="1:6" ht="15" customHeight="1" x14ac:dyDescent="0.25">
      <c r="A7511" s="2354" t="s">
        <v>7252</v>
      </c>
      <c r="B7511" s="2354" t="s">
        <v>7195</v>
      </c>
      <c r="C7511" s="2354" t="s">
        <v>7195</v>
      </c>
      <c r="D7511" s="2354" t="s">
        <v>7253</v>
      </c>
      <c r="E7511" s="2344">
        <v>100</v>
      </c>
      <c r="F7511" s="2355">
        <v>25</v>
      </c>
    </row>
    <row r="7512" spans="1:6" ht="15" customHeight="1" x14ac:dyDescent="0.25">
      <c r="A7512" s="2354" t="s">
        <v>7254</v>
      </c>
      <c r="B7512" s="2354" t="s">
        <v>7195</v>
      </c>
      <c r="C7512" s="2354" t="s">
        <v>7195</v>
      </c>
      <c r="D7512" s="2354" t="s">
        <v>7255</v>
      </c>
      <c r="E7512" s="2344">
        <v>400</v>
      </c>
      <c r="F7512" s="2355">
        <v>250</v>
      </c>
    </row>
    <row r="7513" spans="1:6" ht="15" customHeight="1" x14ac:dyDescent="0.25">
      <c r="A7513" s="2354" t="s">
        <v>14046</v>
      </c>
      <c r="B7513" s="2354" t="s">
        <v>7195</v>
      </c>
      <c r="C7513" s="2354" t="s">
        <v>7195</v>
      </c>
      <c r="D7513" s="2354" t="s">
        <v>7256</v>
      </c>
      <c r="E7513" s="2344">
        <v>160</v>
      </c>
      <c r="F7513" s="2355">
        <v>100</v>
      </c>
    </row>
    <row r="7514" spans="1:6" ht="15" customHeight="1" x14ac:dyDescent="0.25">
      <c r="A7514" s="2354" t="s">
        <v>6424</v>
      </c>
      <c r="B7514" s="2354" t="s">
        <v>7195</v>
      </c>
      <c r="C7514" s="2354" t="s">
        <v>7195</v>
      </c>
      <c r="D7514" s="2354" t="s">
        <v>7257</v>
      </c>
      <c r="E7514" s="2344">
        <v>30</v>
      </c>
      <c r="F7514" s="2355">
        <v>0</v>
      </c>
    </row>
    <row r="7515" spans="1:6" ht="15" customHeight="1" x14ac:dyDescent="0.25">
      <c r="A7515" s="2354" t="s">
        <v>7258</v>
      </c>
      <c r="B7515" s="2354" t="s">
        <v>7195</v>
      </c>
      <c r="C7515" s="2354" t="s">
        <v>7195</v>
      </c>
      <c r="D7515" s="2354" t="s">
        <v>7259</v>
      </c>
      <c r="E7515" s="2344">
        <v>60</v>
      </c>
      <c r="F7515" s="2355">
        <v>55</v>
      </c>
    </row>
    <row r="7516" spans="1:6" ht="15" customHeight="1" x14ac:dyDescent="0.25">
      <c r="A7516" s="2354" t="s">
        <v>7260</v>
      </c>
      <c r="B7516" s="2354" t="s">
        <v>7195</v>
      </c>
      <c r="C7516" s="2354" t="s">
        <v>7195</v>
      </c>
      <c r="D7516" s="2354" t="s">
        <v>7261</v>
      </c>
      <c r="E7516" s="2344">
        <v>60</v>
      </c>
      <c r="F7516" s="2355">
        <v>25</v>
      </c>
    </row>
    <row r="7517" spans="1:6" ht="15" customHeight="1" x14ac:dyDescent="0.25">
      <c r="A7517" s="2354" t="s">
        <v>12088</v>
      </c>
      <c r="B7517" s="2354" t="s">
        <v>7195</v>
      </c>
      <c r="C7517" s="2354" t="s">
        <v>7195</v>
      </c>
      <c r="D7517" s="2354" t="s">
        <v>7262</v>
      </c>
      <c r="E7517" s="2344">
        <v>100</v>
      </c>
      <c r="F7517" s="2355">
        <v>50</v>
      </c>
    </row>
    <row r="7518" spans="1:6" ht="15" customHeight="1" x14ac:dyDescent="0.25">
      <c r="A7518" s="2354" t="s">
        <v>7263</v>
      </c>
      <c r="B7518" s="2354" t="s">
        <v>7195</v>
      </c>
      <c r="C7518" s="2354" t="s">
        <v>7195</v>
      </c>
      <c r="D7518" s="2354" t="s">
        <v>7264</v>
      </c>
      <c r="E7518" s="2344">
        <v>60</v>
      </c>
      <c r="F7518" s="2355">
        <v>35</v>
      </c>
    </row>
    <row r="7519" spans="1:6" ht="15" customHeight="1" x14ac:dyDescent="0.25">
      <c r="A7519" s="2354" t="s">
        <v>7265</v>
      </c>
      <c r="B7519" s="2354" t="s">
        <v>7195</v>
      </c>
      <c r="C7519" s="2354" t="s">
        <v>7195</v>
      </c>
      <c r="D7519" s="2354" t="s">
        <v>7266</v>
      </c>
      <c r="E7519" s="2344">
        <v>63</v>
      </c>
      <c r="F7519" s="2355">
        <v>55</v>
      </c>
    </row>
    <row r="7520" spans="1:6" ht="15" customHeight="1" x14ac:dyDescent="0.25">
      <c r="A7520" s="2354" t="s">
        <v>7267</v>
      </c>
      <c r="B7520" s="2354" t="s">
        <v>7195</v>
      </c>
      <c r="C7520" s="2354" t="s">
        <v>7195</v>
      </c>
      <c r="D7520" s="2354" t="s">
        <v>7268</v>
      </c>
      <c r="E7520" s="2344">
        <v>60</v>
      </c>
      <c r="F7520" s="2355">
        <v>5</v>
      </c>
    </row>
    <row r="7521" spans="1:6" ht="15" customHeight="1" x14ac:dyDescent="0.25">
      <c r="A7521" s="2354" t="s">
        <v>4870</v>
      </c>
      <c r="B7521" s="2354" t="s">
        <v>7195</v>
      </c>
      <c r="C7521" s="2354" t="s">
        <v>7195</v>
      </c>
      <c r="D7521" s="2354" t="s">
        <v>7269</v>
      </c>
      <c r="E7521" s="2344">
        <v>60</v>
      </c>
      <c r="F7521" s="2355">
        <v>25</v>
      </c>
    </row>
    <row r="7522" spans="1:6" ht="15" customHeight="1" x14ac:dyDescent="0.25">
      <c r="A7522" s="2354" t="s">
        <v>14047</v>
      </c>
      <c r="B7522" s="2354" t="s">
        <v>7195</v>
      </c>
      <c r="C7522" s="2354" t="s">
        <v>7195</v>
      </c>
      <c r="D7522" s="2354" t="s">
        <v>7270</v>
      </c>
      <c r="E7522" s="2344">
        <v>100</v>
      </c>
      <c r="F7522" s="2355">
        <v>25</v>
      </c>
    </row>
    <row r="7523" spans="1:6" ht="15" customHeight="1" x14ac:dyDescent="0.25">
      <c r="A7523" s="2354" t="s">
        <v>4153</v>
      </c>
      <c r="B7523" s="2354" t="s">
        <v>7195</v>
      </c>
      <c r="C7523" s="2354" t="s">
        <v>7195</v>
      </c>
      <c r="D7523" s="2354" t="s">
        <v>7271</v>
      </c>
      <c r="E7523" s="2344">
        <v>60</v>
      </c>
      <c r="F7523" s="2355">
        <v>20</v>
      </c>
    </row>
    <row r="7524" spans="1:6" ht="15" customHeight="1" x14ac:dyDescent="0.25">
      <c r="A7524" s="2354" t="s">
        <v>7272</v>
      </c>
      <c r="B7524" s="2354" t="s">
        <v>7195</v>
      </c>
      <c r="C7524" s="2354" t="s">
        <v>7195</v>
      </c>
      <c r="D7524" s="2354" t="s">
        <v>7273</v>
      </c>
      <c r="E7524" s="2344">
        <v>160</v>
      </c>
      <c r="F7524" s="2355">
        <v>70</v>
      </c>
    </row>
    <row r="7525" spans="1:6" ht="15" customHeight="1" x14ac:dyDescent="0.25">
      <c r="A7525" s="2354" t="s">
        <v>7272</v>
      </c>
      <c r="B7525" s="2354" t="s">
        <v>7195</v>
      </c>
      <c r="C7525" s="2354" t="s">
        <v>7195</v>
      </c>
      <c r="D7525" s="2354" t="s">
        <v>7274</v>
      </c>
      <c r="E7525" s="2344">
        <v>100</v>
      </c>
      <c r="F7525" s="2355">
        <v>50</v>
      </c>
    </row>
    <row r="7526" spans="1:6" ht="15" customHeight="1" x14ac:dyDescent="0.25">
      <c r="A7526" s="2354" t="s">
        <v>6701</v>
      </c>
      <c r="B7526" s="2354" t="s">
        <v>7195</v>
      </c>
      <c r="C7526" s="2354" t="s">
        <v>7195</v>
      </c>
      <c r="D7526" s="2354" t="s">
        <v>7275</v>
      </c>
      <c r="E7526" s="2344">
        <v>100</v>
      </c>
      <c r="F7526" s="2355">
        <v>85</v>
      </c>
    </row>
    <row r="7527" spans="1:6" ht="15" customHeight="1" x14ac:dyDescent="0.25">
      <c r="A7527" s="2354" t="s">
        <v>5502</v>
      </c>
      <c r="B7527" s="2354" t="s">
        <v>7195</v>
      </c>
      <c r="C7527" s="2354" t="s">
        <v>7195</v>
      </c>
      <c r="D7527" s="2354" t="s">
        <v>7276</v>
      </c>
      <c r="E7527" s="2344">
        <v>100</v>
      </c>
      <c r="F7527" s="2355">
        <v>50</v>
      </c>
    </row>
    <row r="7528" spans="1:6" ht="15" customHeight="1" x14ac:dyDescent="0.25">
      <c r="A7528" s="2354" t="s">
        <v>7277</v>
      </c>
      <c r="B7528" s="2354" t="s">
        <v>7195</v>
      </c>
      <c r="C7528" s="2354" t="s">
        <v>7195</v>
      </c>
      <c r="D7528" s="2354" t="s">
        <v>7278</v>
      </c>
      <c r="E7528" s="2344">
        <v>250</v>
      </c>
      <c r="F7528" s="2355">
        <v>150</v>
      </c>
    </row>
    <row r="7529" spans="1:6" ht="15" customHeight="1" x14ac:dyDescent="0.25">
      <c r="A7529" s="2354" t="s">
        <v>7277</v>
      </c>
      <c r="B7529" s="2354" t="s">
        <v>7195</v>
      </c>
      <c r="C7529" s="2354" t="s">
        <v>7195</v>
      </c>
      <c r="D7529" s="2354" t="s">
        <v>7279</v>
      </c>
      <c r="E7529" s="2344">
        <v>160</v>
      </c>
      <c r="F7529" s="2355">
        <v>70</v>
      </c>
    </row>
    <row r="7530" spans="1:6" ht="15" customHeight="1" x14ac:dyDescent="0.25">
      <c r="A7530" s="2354" t="s">
        <v>7277</v>
      </c>
      <c r="B7530" s="2354" t="s">
        <v>7195</v>
      </c>
      <c r="C7530" s="2354" t="s">
        <v>7195</v>
      </c>
      <c r="D7530" s="2354" t="s">
        <v>7280</v>
      </c>
      <c r="E7530" s="2344">
        <v>100</v>
      </c>
      <c r="F7530" s="2355">
        <v>10</v>
      </c>
    </row>
    <row r="7531" spans="1:6" ht="15" customHeight="1" x14ac:dyDescent="0.25">
      <c r="A7531" s="2354" t="s">
        <v>7277</v>
      </c>
      <c r="B7531" s="2354" t="s">
        <v>7195</v>
      </c>
      <c r="C7531" s="2354" t="s">
        <v>7195</v>
      </c>
      <c r="D7531" s="2354" t="s">
        <v>7281</v>
      </c>
      <c r="E7531" s="2344">
        <v>160</v>
      </c>
      <c r="F7531" s="2355">
        <v>120</v>
      </c>
    </row>
    <row r="7532" spans="1:6" ht="15" customHeight="1" x14ac:dyDescent="0.25">
      <c r="A7532" s="2354" t="s">
        <v>7282</v>
      </c>
      <c r="B7532" s="2354" t="s">
        <v>7195</v>
      </c>
      <c r="C7532" s="2354" t="s">
        <v>7195</v>
      </c>
      <c r="D7532" s="2354" t="s">
        <v>7283</v>
      </c>
      <c r="E7532" s="2344">
        <v>60</v>
      </c>
      <c r="F7532" s="2355">
        <v>60</v>
      </c>
    </row>
    <row r="7533" spans="1:6" ht="15" customHeight="1" x14ac:dyDescent="0.25">
      <c r="A7533" s="2354" t="s">
        <v>6471</v>
      </c>
      <c r="B7533" s="2354" t="s">
        <v>7195</v>
      </c>
      <c r="C7533" s="2354" t="s">
        <v>7195</v>
      </c>
      <c r="D7533" s="2354" t="s">
        <v>7284</v>
      </c>
      <c r="E7533" s="2344">
        <v>60</v>
      </c>
      <c r="F7533" s="2355">
        <v>10</v>
      </c>
    </row>
    <row r="7534" spans="1:6" ht="15" customHeight="1" x14ac:dyDescent="0.25">
      <c r="A7534" s="2354" t="s">
        <v>7285</v>
      </c>
      <c r="B7534" s="2354" t="s">
        <v>7195</v>
      </c>
      <c r="C7534" s="2354" t="s">
        <v>7195</v>
      </c>
      <c r="D7534" s="2354" t="s">
        <v>7286</v>
      </c>
      <c r="E7534" s="2344">
        <v>160</v>
      </c>
      <c r="F7534" s="2355">
        <v>100</v>
      </c>
    </row>
    <row r="7535" spans="1:6" ht="15" customHeight="1" x14ac:dyDescent="0.25">
      <c r="A7535" s="2354" t="s">
        <v>7285</v>
      </c>
      <c r="B7535" s="2354" t="s">
        <v>7195</v>
      </c>
      <c r="C7535" s="2354" t="s">
        <v>7195</v>
      </c>
      <c r="D7535" s="2354" t="s">
        <v>7287</v>
      </c>
      <c r="E7535" s="2344">
        <v>160</v>
      </c>
      <c r="F7535" s="2355">
        <v>50</v>
      </c>
    </row>
    <row r="7536" spans="1:6" ht="15" customHeight="1" x14ac:dyDescent="0.25">
      <c r="A7536" s="2354" t="s">
        <v>7285</v>
      </c>
      <c r="B7536" s="2354" t="s">
        <v>7195</v>
      </c>
      <c r="C7536" s="2354" t="s">
        <v>7195</v>
      </c>
      <c r="D7536" s="2354" t="s">
        <v>7288</v>
      </c>
      <c r="E7536" s="2344">
        <v>100</v>
      </c>
      <c r="F7536" s="2355">
        <v>50</v>
      </c>
    </row>
    <row r="7537" spans="1:6" ht="15" customHeight="1" x14ac:dyDescent="0.25">
      <c r="A7537" s="2354" t="s">
        <v>7285</v>
      </c>
      <c r="B7537" s="2354" t="s">
        <v>7195</v>
      </c>
      <c r="C7537" s="2354" t="s">
        <v>7195</v>
      </c>
      <c r="D7537" s="2354" t="s">
        <v>7289</v>
      </c>
      <c r="E7537" s="2344">
        <v>250</v>
      </c>
      <c r="F7537" s="2355">
        <v>230</v>
      </c>
    </row>
    <row r="7538" spans="1:6" ht="15" customHeight="1" x14ac:dyDescent="0.25">
      <c r="A7538" s="2354" t="s">
        <v>7285</v>
      </c>
      <c r="B7538" s="2354" t="s">
        <v>7195</v>
      </c>
      <c r="C7538" s="2354" t="s">
        <v>7195</v>
      </c>
      <c r="D7538" s="2354" t="s">
        <v>7290</v>
      </c>
      <c r="E7538" s="2344">
        <v>250</v>
      </c>
      <c r="F7538" s="2355">
        <v>210</v>
      </c>
    </row>
    <row r="7539" spans="1:6" ht="15" customHeight="1" x14ac:dyDescent="0.25">
      <c r="A7539" s="2354" t="s">
        <v>7285</v>
      </c>
      <c r="B7539" s="2354" t="s">
        <v>7195</v>
      </c>
      <c r="C7539" s="2354" t="s">
        <v>7195</v>
      </c>
      <c r="D7539" s="2354" t="s">
        <v>7291</v>
      </c>
      <c r="E7539" s="2344">
        <v>250</v>
      </c>
      <c r="F7539" s="2355">
        <v>250</v>
      </c>
    </row>
    <row r="7540" spans="1:6" ht="15" customHeight="1" x14ac:dyDescent="0.25">
      <c r="A7540" s="2354" t="s">
        <v>7285</v>
      </c>
      <c r="B7540" s="2354" t="s">
        <v>7195</v>
      </c>
      <c r="C7540" s="2354" t="s">
        <v>7195</v>
      </c>
      <c r="D7540" s="2354" t="s">
        <v>7292</v>
      </c>
      <c r="E7540" s="2344">
        <v>160</v>
      </c>
      <c r="F7540" s="2355">
        <v>100</v>
      </c>
    </row>
    <row r="7541" spans="1:6" ht="15" customHeight="1" x14ac:dyDescent="0.25">
      <c r="A7541" s="2354" t="s">
        <v>7293</v>
      </c>
      <c r="B7541" s="2354" t="s">
        <v>7195</v>
      </c>
      <c r="C7541" s="2354" t="s">
        <v>7195</v>
      </c>
      <c r="D7541" s="2354" t="s">
        <v>7294</v>
      </c>
      <c r="E7541" s="2344">
        <v>100</v>
      </c>
      <c r="F7541" s="2355">
        <v>30</v>
      </c>
    </row>
    <row r="7542" spans="1:6" ht="15" customHeight="1" x14ac:dyDescent="0.25">
      <c r="A7542" s="2354" t="s">
        <v>7293</v>
      </c>
      <c r="B7542" s="2354" t="s">
        <v>7195</v>
      </c>
      <c r="C7542" s="2354" t="s">
        <v>7195</v>
      </c>
      <c r="D7542" s="2354" t="s">
        <v>7295</v>
      </c>
      <c r="E7542" s="2344">
        <v>100</v>
      </c>
      <c r="F7542" s="2355">
        <v>15</v>
      </c>
    </row>
    <row r="7543" spans="1:6" ht="15" customHeight="1" x14ac:dyDescent="0.25">
      <c r="A7543" s="2354" t="s">
        <v>7296</v>
      </c>
      <c r="B7543" s="2354" t="s">
        <v>7195</v>
      </c>
      <c r="C7543" s="2354" t="s">
        <v>7195</v>
      </c>
      <c r="D7543" s="2354" t="s">
        <v>7297</v>
      </c>
      <c r="E7543" s="2344">
        <v>60</v>
      </c>
      <c r="F7543" s="2355">
        <v>40</v>
      </c>
    </row>
    <row r="7544" spans="1:6" ht="15" customHeight="1" x14ac:dyDescent="0.25">
      <c r="A7544" s="2354" t="s">
        <v>7298</v>
      </c>
      <c r="B7544" s="2354" t="s">
        <v>7195</v>
      </c>
      <c r="C7544" s="2354" t="s">
        <v>7195</v>
      </c>
      <c r="D7544" s="2354" t="s">
        <v>7299</v>
      </c>
      <c r="E7544" s="2344">
        <v>60</v>
      </c>
      <c r="F7544" s="2355">
        <v>20</v>
      </c>
    </row>
    <row r="7545" spans="1:6" ht="15" customHeight="1" x14ac:dyDescent="0.25">
      <c r="A7545" s="2354" t="s">
        <v>7298</v>
      </c>
      <c r="B7545" s="2354" t="s">
        <v>7195</v>
      </c>
      <c r="C7545" s="2354" t="s">
        <v>7195</v>
      </c>
      <c r="D7545" s="2354" t="s">
        <v>7300</v>
      </c>
      <c r="E7545" s="2344">
        <v>100</v>
      </c>
      <c r="F7545" s="2355">
        <v>95</v>
      </c>
    </row>
    <row r="7546" spans="1:6" ht="15" customHeight="1" x14ac:dyDescent="0.25">
      <c r="A7546" s="2354" t="s">
        <v>7301</v>
      </c>
      <c r="B7546" s="2354" t="s">
        <v>7195</v>
      </c>
      <c r="C7546" s="2354" t="s">
        <v>7195</v>
      </c>
      <c r="D7546" s="2354" t="s">
        <v>7302</v>
      </c>
      <c r="E7546" s="2344">
        <v>100</v>
      </c>
      <c r="F7546" s="2355">
        <v>10</v>
      </c>
    </row>
    <row r="7547" spans="1:6" ht="15" customHeight="1" x14ac:dyDescent="0.25">
      <c r="A7547" s="2354" t="s">
        <v>7301</v>
      </c>
      <c r="B7547" s="2354" t="s">
        <v>7195</v>
      </c>
      <c r="C7547" s="2354" t="s">
        <v>7195</v>
      </c>
      <c r="D7547" s="2354" t="s">
        <v>7303</v>
      </c>
      <c r="E7547" s="2344">
        <v>250</v>
      </c>
      <c r="F7547" s="2355">
        <v>245</v>
      </c>
    </row>
    <row r="7548" spans="1:6" ht="15" customHeight="1" x14ac:dyDescent="0.25">
      <c r="A7548" s="2354" t="s">
        <v>7304</v>
      </c>
      <c r="B7548" s="2354" t="s">
        <v>7195</v>
      </c>
      <c r="C7548" s="2354" t="s">
        <v>7195</v>
      </c>
      <c r="D7548" s="2354" t="s">
        <v>7305</v>
      </c>
      <c r="E7548" s="2344">
        <v>100</v>
      </c>
      <c r="F7548" s="2355">
        <v>30</v>
      </c>
    </row>
    <row r="7549" spans="1:6" ht="15" customHeight="1" x14ac:dyDescent="0.25">
      <c r="A7549" s="2354" t="s">
        <v>7306</v>
      </c>
      <c r="B7549" s="2354" t="s">
        <v>7195</v>
      </c>
      <c r="C7549" s="2354" t="s">
        <v>7195</v>
      </c>
      <c r="D7549" s="2354" t="s">
        <v>7307</v>
      </c>
      <c r="E7549" s="2344">
        <v>30</v>
      </c>
      <c r="F7549" s="2355">
        <v>20</v>
      </c>
    </row>
    <row r="7550" spans="1:6" ht="15" customHeight="1" x14ac:dyDescent="0.25">
      <c r="A7550" s="2354" t="s">
        <v>14048</v>
      </c>
      <c r="B7550" s="2354" t="s">
        <v>7195</v>
      </c>
      <c r="C7550" s="2354" t="s">
        <v>7195</v>
      </c>
      <c r="D7550" s="2354" t="s">
        <v>7308</v>
      </c>
      <c r="E7550" s="2344">
        <v>160</v>
      </c>
      <c r="F7550" s="2355">
        <v>80</v>
      </c>
    </row>
    <row r="7551" spans="1:6" ht="15" customHeight="1" x14ac:dyDescent="0.25">
      <c r="A7551" s="2354" t="s">
        <v>7309</v>
      </c>
      <c r="B7551" s="2354" t="s">
        <v>7195</v>
      </c>
      <c r="C7551" s="2354" t="s">
        <v>7195</v>
      </c>
      <c r="D7551" s="2354" t="s">
        <v>7310</v>
      </c>
      <c r="E7551" s="2344">
        <v>60</v>
      </c>
      <c r="F7551" s="2355">
        <v>10</v>
      </c>
    </row>
    <row r="7552" spans="1:6" ht="15" customHeight="1" x14ac:dyDescent="0.25">
      <c r="A7552" s="2354" t="s">
        <v>14049</v>
      </c>
      <c r="B7552" s="2354" t="s">
        <v>7195</v>
      </c>
      <c r="C7552" s="2354" t="s">
        <v>7195</v>
      </c>
      <c r="D7552" s="2354" t="s">
        <v>7311</v>
      </c>
      <c r="E7552" s="2344">
        <v>30</v>
      </c>
      <c r="F7552" s="2355">
        <v>0</v>
      </c>
    </row>
    <row r="7553" spans="1:6" ht="15" customHeight="1" x14ac:dyDescent="0.25">
      <c r="A7553" s="2354" t="s">
        <v>7293</v>
      </c>
      <c r="B7553" s="2354" t="s">
        <v>7195</v>
      </c>
      <c r="C7553" s="2354" t="s">
        <v>7195</v>
      </c>
      <c r="D7553" s="2354" t="s">
        <v>7312</v>
      </c>
      <c r="E7553" s="2344">
        <v>30</v>
      </c>
      <c r="F7553" s="2355">
        <v>10</v>
      </c>
    </row>
    <row r="7554" spans="1:6" ht="15" customHeight="1" x14ac:dyDescent="0.25">
      <c r="A7554" s="2354" t="s">
        <v>14050</v>
      </c>
      <c r="B7554" s="2354" t="s">
        <v>7195</v>
      </c>
      <c r="C7554" s="2354" t="s">
        <v>7195</v>
      </c>
      <c r="D7554" s="2354" t="s">
        <v>7313</v>
      </c>
      <c r="E7554" s="2344">
        <v>25</v>
      </c>
      <c r="F7554" s="2355">
        <v>5</v>
      </c>
    </row>
    <row r="7555" spans="1:6" ht="15" customHeight="1" x14ac:dyDescent="0.25">
      <c r="A7555" s="2354" t="s">
        <v>7314</v>
      </c>
      <c r="B7555" s="2354" t="s">
        <v>7195</v>
      </c>
      <c r="C7555" s="2354" t="s">
        <v>7195</v>
      </c>
      <c r="D7555" s="2354" t="s">
        <v>7315</v>
      </c>
      <c r="E7555" s="2344">
        <v>100</v>
      </c>
      <c r="F7555" s="2355">
        <v>50</v>
      </c>
    </row>
    <row r="7556" spans="1:6" ht="15" customHeight="1" x14ac:dyDescent="0.25">
      <c r="A7556" s="2354" t="s">
        <v>7314</v>
      </c>
      <c r="B7556" s="2354" t="s">
        <v>7195</v>
      </c>
      <c r="C7556" s="2354" t="s">
        <v>7195</v>
      </c>
      <c r="D7556" s="2354" t="s">
        <v>7316</v>
      </c>
      <c r="E7556" s="2344">
        <v>250</v>
      </c>
      <c r="F7556" s="2355">
        <v>180</v>
      </c>
    </row>
    <row r="7557" spans="1:6" ht="15" customHeight="1" x14ac:dyDescent="0.25">
      <c r="A7557" s="2354" t="s">
        <v>7314</v>
      </c>
      <c r="B7557" s="2354" t="s">
        <v>7195</v>
      </c>
      <c r="C7557" s="2354" t="s">
        <v>7195</v>
      </c>
      <c r="D7557" s="2354" t="s">
        <v>7317</v>
      </c>
      <c r="E7557" s="2344">
        <v>160</v>
      </c>
      <c r="F7557" s="2355">
        <v>60</v>
      </c>
    </row>
    <row r="7558" spans="1:6" ht="15" customHeight="1" x14ac:dyDescent="0.25">
      <c r="A7558" s="2354" t="s">
        <v>7314</v>
      </c>
      <c r="B7558" s="2354" t="s">
        <v>7195</v>
      </c>
      <c r="C7558" s="2354" t="s">
        <v>7195</v>
      </c>
      <c r="D7558" s="2354" t="s">
        <v>7318</v>
      </c>
      <c r="E7558" s="2344">
        <v>250</v>
      </c>
      <c r="F7558" s="2355">
        <v>245</v>
      </c>
    </row>
    <row r="7559" spans="1:6" ht="15" customHeight="1" x14ac:dyDescent="0.25">
      <c r="A7559" s="2354" t="s">
        <v>9072</v>
      </c>
      <c r="B7559" s="2354" t="s">
        <v>7195</v>
      </c>
      <c r="C7559" s="2354" t="s">
        <v>7195</v>
      </c>
      <c r="D7559" s="2354" t="s">
        <v>7319</v>
      </c>
      <c r="E7559" s="2344">
        <v>100</v>
      </c>
      <c r="F7559" s="2355">
        <v>70</v>
      </c>
    </row>
    <row r="7560" spans="1:6" ht="15" customHeight="1" x14ac:dyDescent="0.25">
      <c r="A7560" s="2354" t="s">
        <v>11750</v>
      </c>
      <c r="B7560" s="2354" t="s">
        <v>7195</v>
      </c>
      <c r="C7560" s="2354" t="s">
        <v>7195</v>
      </c>
      <c r="D7560" s="2354" t="s">
        <v>7320</v>
      </c>
      <c r="E7560" s="2344">
        <v>100</v>
      </c>
      <c r="F7560" s="2355">
        <v>40</v>
      </c>
    </row>
    <row r="7561" spans="1:6" ht="15" customHeight="1" x14ac:dyDescent="0.25">
      <c r="A7561" s="2354" t="s">
        <v>11750</v>
      </c>
      <c r="B7561" s="2354" t="s">
        <v>7195</v>
      </c>
      <c r="C7561" s="2354" t="s">
        <v>7195</v>
      </c>
      <c r="D7561" s="2354" t="s">
        <v>7321</v>
      </c>
      <c r="E7561" s="2344">
        <v>250</v>
      </c>
      <c r="F7561" s="2355">
        <v>120</v>
      </c>
    </row>
    <row r="7562" spans="1:6" ht="15" customHeight="1" x14ac:dyDescent="0.25">
      <c r="A7562" s="2354" t="s">
        <v>7322</v>
      </c>
      <c r="B7562" s="2354" t="s">
        <v>7195</v>
      </c>
      <c r="C7562" s="2354" t="s">
        <v>7195</v>
      </c>
      <c r="D7562" s="2354" t="s">
        <v>7323</v>
      </c>
      <c r="E7562" s="2344">
        <v>100</v>
      </c>
      <c r="F7562" s="2355">
        <v>50</v>
      </c>
    </row>
    <row r="7563" spans="1:6" ht="15" customHeight="1" x14ac:dyDescent="0.25">
      <c r="A7563" s="2354" t="s">
        <v>7324</v>
      </c>
      <c r="B7563" s="2354" t="s">
        <v>7195</v>
      </c>
      <c r="C7563" s="2354" t="s">
        <v>7195</v>
      </c>
      <c r="D7563" s="2354" t="s">
        <v>7325</v>
      </c>
      <c r="E7563" s="2344">
        <v>100</v>
      </c>
      <c r="F7563" s="2355">
        <v>70</v>
      </c>
    </row>
    <row r="7564" spans="1:6" ht="15" customHeight="1" x14ac:dyDescent="0.25">
      <c r="A7564" s="2354" t="s">
        <v>7326</v>
      </c>
      <c r="B7564" s="2354" t="s">
        <v>7195</v>
      </c>
      <c r="C7564" s="2354" t="s">
        <v>7195</v>
      </c>
      <c r="D7564" s="2354" t="s">
        <v>7327</v>
      </c>
      <c r="E7564" s="2344">
        <v>30</v>
      </c>
      <c r="F7564" s="2355">
        <v>15</v>
      </c>
    </row>
    <row r="7565" spans="1:6" ht="15" customHeight="1" x14ac:dyDescent="0.25">
      <c r="A7565" s="2354" t="s">
        <v>14051</v>
      </c>
      <c r="B7565" s="2354" t="s">
        <v>7195</v>
      </c>
      <c r="C7565" s="2354" t="s">
        <v>7195</v>
      </c>
      <c r="D7565" s="2354" t="s">
        <v>7328</v>
      </c>
      <c r="E7565" s="2344">
        <v>10</v>
      </c>
      <c r="F7565" s="2355">
        <v>5</v>
      </c>
    </row>
    <row r="7566" spans="1:6" ht="15" customHeight="1" x14ac:dyDescent="0.25">
      <c r="A7566" s="2354" t="s">
        <v>7329</v>
      </c>
      <c r="B7566" s="2354" t="s">
        <v>7195</v>
      </c>
      <c r="C7566" s="2354" t="s">
        <v>7195</v>
      </c>
      <c r="D7566" s="2354" t="s">
        <v>7330</v>
      </c>
      <c r="E7566" s="2344">
        <v>160</v>
      </c>
      <c r="F7566" s="2355">
        <v>120</v>
      </c>
    </row>
    <row r="7567" spans="1:6" ht="15" customHeight="1" x14ac:dyDescent="0.25">
      <c r="A7567" s="2354" t="s">
        <v>7331</v>
      </c>
      <c r="B7567" s="2354" t="s">
        <v>7195</v>
      </c>
      <c r="C7567" s="2354" t="s">
        <v>7195</v>
      </c>
      <c r="D7567" s="2354" t="s">
        <v>7332</v>
      </c>
      <c r="E7567" s="2344">
        <v>30</v>
      </c>
      <c r="F7567" s="2355">
        <v>25</v>
      </c>
    </row>
    <row r="7568" spans="1:6" ht="15" customHeight="1" x14ac:dyDescent="0.25">
      <c r="A7568" s="2354" t="s">
        <v>7333</v>
      </c>
      <c r="B7568" s="2354" t="s">
        <v>7195</v>
      </c>
      <c r="C7568" s="2354" t="s">
        <v>7195</v>
      </c>
      <c r="D7568" s="2354" t="s">
        <v>7334</v>
      </c>
      <c r="E7568" s="2344">
        <v>30</v>
      </c>
      <c r="F7568" s="2355">
        <v>10</v>
      </c>
    </row>
    <row r="7569" spans="1:6" ht="15" customHeight="1" x14ac:dyDescent="0.25">
      <c r="A7569" s="2354" t="s">
        <v>6974</v>
      </c>
      <c r="B7569" s="2354" t="s">
        <v>7195</v>
      </c>
      <c r="C7569" s="2354" t="s">
        <v>7195</v>
      </c>
      <c r="D7569" s="2354" t="s">
        <v>7335</v>
      </c>
      <c r="E7569" s="2344">
        <v>63</v>
      </c>
      <c r="F7569" s="2355">
        <v>10</v>
      </c>
    </row>
    <row r="7570" spans="1:6" ht="15" customHeight="1" x14ac:dyDescent="0.25">
      <c r="A7570" s="2354" t="s">
        <v>6974</v>
      </c>
      <c r="B7570" s="2354" t="s">
        <v>7195</v>
      </c>
      <c r="C7570" s="2354" t="s">
        <v>7195</v>
      </c>
      <c r="D7570" s="2354" t="s">
        <v>7336</v>
      </c>
      <c r="E7570" s="2344">
        <v>60</v>
      </c>
      <c r="F7570" s="2355">
        <v>25</v>
      </c>
    </row>
    <row r="7571" spans="1:6" ht="15" customHeight="1" x14ac:dyDescent="0.25">
      <c r="A7571" s="2354" t="s">
        <v>7337</v>
      </c>
      <c r="B7571" s="2354" t="s">
        <v>7195</v>
      </c>
      <c r="C7571" s="2354" t="s">
        <v>7195</v>
      </c>
      <c r="D7571" s="2354" t="s">
        <v>7338</v>
      </c>
      <c r="E7571" s="2344">
        <v>30</v>
      </c>
      <c r="F7571" s="2355">
        <v>5</v>
      </c>
    </row>
    <row r="7572" spans="1:6" ht="15" customHeight="1" x14ac:dyDescent="0.25">
      <c r="A7572" s="2354" t="s">
        <v>7339</v>
      </c>
      <c r="B7572" s="2354" t="s">
        <v>7195</v>
      </c>
      <c r="C7572" s="2354" t="s">
        <v>7195</v>
      </c>
      <c r="D7572" s="2354" t="s">
        <v>7340</v>
      </c>
      <c r="E7572" s="2344">
        <v>100</v>
      </c>
      <c r="F7572" s="2355">
        <v>5</v>
      </c>
    </row>
    <row r="7573" spans="1:6" ht="15" customHeight="1" x14ac:dyDescent="0.25">
      <c r="A7573" s="2354" t="s">
        <v>7339</v>
      </c>
      <c r="B7573" s="2354" t="s">
        <v>7195</v>
      </c>
      <c r="C7573" s="2354" t="s">
        <v>7195</v>
      </c>
      <c r="D7573" s="2354" t="s">
        <v>7341</v>
      </c>
      <c r="E7573" s="2344">
        <v>60</v>
      </c>
      <c r="F7573" s="2355">
        <v>55</v>
      </c>
    </row>
    <row r="7574" spans="1:6" ht="15" customHeight="1" x14ac:dyDescent="0.25">
      <c r="A7574" s="2354" t="s">
        <v>7339</v>
      </c>
      <c r="B7574" s="2354" t="s">
        <v>7195</v>
      </c>
      <c r="C7574" s="2354" t="s">
        <v>7195</v>
      </c>
      <c r="D7574" s="2354" t="s">
        <v>7342</v>
      </c>
      <c r="E7574" s="2344">
        <v>63</v>
      </c>
      <c r="F7574" s="2355">
        <v>5</v>
      </c>
    </row>
    <row r="7575" spans="1:6" ht="15" customHeight="1" x14ac:dyDescent="0.25">
      <c r="A7575" s="2354" t="s">
        <v>7343</v>
      </c>
      <c r="B7575" s="2354" t="s">
        <v>7195</v>
      </c>
      <c r="C7575" s="2354" t="s">
        <v>7195</v>
      </c>
      <c r="D7575" s="2354" t="s">
        <v>7344</v>
      </c>
      <c r="E7575" s="2344">
        <v>10</v>
      </c>
      <c r="F7575" s="2355">
        <v>0</v>
      </c>
    </row>
    <row r="7576" spans="1:6" ht="15" customHeight="1" x14ac:dyDescent="0.25">
      <c r="A7576" s="2354" t="s">
        <v>7345</v>
      </c>
      <c r="B7576" s="2354" t="s">
        <v>7195</v>
      </c>
      <c r="C7576" s="2354" t="s">
        <v>7195</v>
      </c>
      <c r="D7576" s="2354" t="s">
        <v>7346</v>
      </c>
      <c r="E7576" s="2344">
        <v>40</v>
      </c>
      <c r="F7576" s="2355">
        <v>0</v>
      </c>
    </row>
    <row r="7577" spans="1:6" ht="15" customHeight="1" x14ac:dyDescent="0.25">
      <c r="A7577" s="2354" t="s">
        <v>7347</v>
      </c>
      <c r="B7577" s="2354" t="s">
        <v>7195</v>
      </c>
      <c r="C7577" s="2354" t="s">
        <v>7195</v>
      </c>
      <c r="D7577" s="2354" t="s">
        <v>7348</v>
      </c>
      <c r="E7577" s="2344">
        <v>100</v>
      </c>
      <c r="F7577" s="2355">
        <v>70</v>
      </c>
    </row>
    <row r="7578" spans="1:6" ht="15" customHeight="1" x14ac:dyDescent="0.25">
      <c r="A7578" s="2354" t="s">
        <v>4153</v>
      </c>
      <c r="B7578" s="2354" t="s">
        <v>7195</v>
      </c>
      <c r="C7578" s="2354" t="s">
        <v>7195</v>
      </c>
      <c r="D7578" s="2354" t="s">
        <v>7349</v>
      </c>
      <c r="E7578" s="2344">
        <v>100</v>
      </c>
      <c r="F7578" s="2355">
        <v>5</v>
      </c>
    </row>
    <row r="7579" spans="1:6" ht="15" customHeight="1" x14ac:dyDescent="0.25">
      <c r="A7579" s="2354" t="s">
        <v>7350</v>
      </c>
      <c r="B7579" s="2354" t="s">
        <v>7195</v>
      </c>
      <c r="C7579" s="2354" t="s">
        <v>7195</v>
      </c>
      <c r="D7579" s="2354" t="s">
        <v>7351</v>
      </c>
      <c r="E7579" s="2344">
        <v>63</v>
      </c>
      <c r="F7579" s="2355">
        <v>50</v>
      </c>
    </row>
    <row r="7580" spans="1:6" ht="15" customHeight="1" x14ac:dyDescent="0.25">
      <c r="A7580" s="2354" t="s">
        <v>7350</v>
      </c>
      <c r="B7580" s="2354" t="s">
        <v>7195</v>
      </c>
      <c r="C7580" s="2354" t="s">
        <v>7195</v>
      </c>
      <c r="D7580" s="2354" t="s">
        <v>7352</v>
      </c>
      <c r="E7580" s="2344">
        <v>30</v>
      </c>
      <c r="F7580" s="2355">
        <v>10</v>
      </c>
    </row>
    <row r="7581" spans="1:6" ht="15" customHeight="1" x14ac:dyDescent="0.25">
      <c r="A7581" s="2354" t="s">
        <v>7353</v>
      </c>
      <c r="B7581" s="2354" t="s">
        <v>7195</v>
      </c>
      <c r="C7581" s="2354" t="s">
        <v>7195</v>
      </c>
      <c r="D7581" s="2354" t="s">
        <v>7354</v>
      </c>
      <c r="E7581" s="2344">
        <v>100</v>
      </c>
      <c r="F7581" s="2355">
        <v>60</v>
      </c>
    </row>
    <row r="7582" spans="1:6" ht="15" customHeight="1" x14ac:dyDescent="0.25">
      <c r="A7582" s="2354" t="s">
        <v>4153</v>
      </c>
      <c r="B7582" s="2354" t="s">
        <v>7195</v>
      </c>
      <c r="C7582" s="2354" t="s">
        <v>7195</v>
      </c>
      <c r="D7582" s="2354" t="s">
        <v>7355</v>
      </c>
      <c r="E7582" s="2344">
        <v>30</v>
      </c>
      <c r="F7582" s="2355">
        <v>10</v>
      </c>
    </row>
    <row r="7583" spans="1:6" ht="15" customHeight="1" x14ac:dyDescent="0.25">
      <c r="A7583" s="2354" t="s">
        <v>6517</v>
      </c>
      <c r="B7583" s="2354" t="s">
        <v>7195</v>
      </c>
      <c r="C7583" s="2354" t="s">
        <v>7195</v>
      </c>
      <c r="D7583" s="2354" t="s">
        <v>7356</v>
      </c>
      <c r="E7583" s="2344">
        <v>160</v>
      </c>
      <c r="F7583" s="2355">
        <v>100</v>
      </c>
    </row>
    <row r="7584" spans="1:6" ht="15" customHeight="1" x14ac:dyDescent="0.25">
      <c r="A7584" s="2354" t="s">
        <v>7357</v>
      </c>
      <c r="B7584" s="2354" t="s">
        <v>7195</v>
      </c>
      <c r="C7584" s="2354" t="s">
        <v>7195</v>
      </c>
      <c r="D7584" s="2354" t="s">
        <v>7358</v>
      </c>
      <c r="E7584" s="2344">
        <v>63</v>
      </c>
      <c r="F7584" s="2355">
        <v>30</v>
      </c>
    </row>
    <row r="7585" spans="1:6" ht="15" customHeight="1" x14ac:dyDescent="0.25">
      <c r="A7585" s="2354" t="s">
        <v>7359</v>
      </c>
      <c r="B7585" s="2354" t="s">
        <v>7195</v>
      </c>
      <c r="C7585" s="2354" t="s">
        <v>7195</v>
      </c>
      <c r="D7585" s="2354" t="s">
        <v>7360</v>
      </c>
      <c r="E7585" s="2344">
        <v>400</v>
      </c>
      <c r="F7585" s="2355">
        <v>250</v>
      </c>
    </row>
    <row r="7586" spans="1:6" ht="15" customHeight="1" x14ac:dyDescent="0.25">
      <c r="A7586" s="2354" t="s">
        <v>7359</v>
      </c>
      <c r="B7586" s="2354" t="s">
        <v>7195</v>
      </c>
      <c r="C7586" s="2354" t="s">
        <v>7195</v>
      </c>
      <c r="D7586" s="2354" t="s">
        <v>7361</v>
      </c>
      <c r="E7586" s="2344">
        <v>250</v>
      </c>
      <c r="F7586" s="2355">
        <v>230</v>
      </c>
    </row>
    <row r="7587" spans="1:6" ht="15" customHeight="1" x14ac:dyDescent="0.25">
      <c r="A7587" s="2354" t="s">
        <v>7359</v>
      </c>
      <c r="B7587" s="2354" t="s">
        <v>7195</v>
      </c>
      <c r="C7587" s="2354" t="s">
        <v>7195</v>
      </c>
      <c r="D7587" s="2354" t="s">
        <v>7362</v>
      </c>
      <c r="E7587" s="2344">
        <v>63</v>
      </c>
      <c r="F7587" s="2355">
        <v>63</v>
      </c>
    </row>
    <row r="7588" spans="1:6" ht="15" customHeight="1" x14ac:dyDescent="0.25">
      <c r="A7588" s="2354" t="s">
        <v>7359</v>
      </c>
      <c r="B7588" s="2354" t="s">
        <v>7195</v>
      </c>
      <c r="C7588" s="2354" t="s">
        <v>7195</v>
      </c>
      <c r="D7588" s="2354" t="s">
        <v>7363</v>
      </c>
      <c r="E7588" s="2344">
        <v>400</v>
      </c>
      <c r="F7588" s="2355">
        <v>400</v>
      </c>
    </row>
    <row r="7589" spans="1:6" ht="15" customHeight="1" x14ac:dyDescent="0.25">
      <c r="A7589" s="2354" t="s">
        <v>7359</v>
      </c>
      <c r="B7589" s="2354" t="s">
        <v>7195</v>
      </c>
      <c r="C7589" s="2354" t="s">
        <v>7195</v>
      </c>
      <c r="D7589" s="2354" t="s">
        <v>7364</v>
      </c>
      <c r="E7589" s="2344">
        <v>100</v>
      </c>
      <c r="F7589" s="2355">
        <v>100</v>
      </c>
    </row>
    <row r="7590" spans="1:6" ht="15" customHeight="1" x14ac:dyDescent="0.25">
      <c r="A7590" s="2354" t="s">
        <v>7365</v>
      </c>
      <c r="B7590" s="2354" t="s">
        <v>7195</v>
      </c>
      <c r="C7590" s="2354" t="s">
        <v>7195</v>
      </c>
      <c r="D7590" s="2354" t="s">
        <v>7366</v>
      </c>
      <c r="E7590" s="2344">
        <v>60</v>
      </c>
      <c r="F7590" s="2355">
        <v>40</v>
      </c>
    </row>
    <row r="7591" spans="1:6" ht="15" customHeight="1" x14ac:dyDescent="0.25">
      <c r="A7591" s="2354" t="s">
        <v>7367</v>
      </c>
      <c r="B7591" s="2354" t="s">
        <v>7195</v>
      </c>
      <c r="C7591" s="2354" t="s">
        <v>7195</v>
      </c>
      <c r="D7591" s="2354" t="s">
        <v>7368</v>
      </c>
      <c r="E7591" s="2344">
        <v>60</v>
      </c>
      <c r="F7591" s="2355">
        <v>40</v>
      </c>
    </row>
    <row r="7592" spans="1:6" ht="15" customHeight="1" x14ac:dyDescent="0.25">
      <c r="A7592" s="2354" t="s">
        <v>7369</v>
      </c>
      <c r="B7592" s="2354" t="s">
        <v>7195</v>
      </c>
      <c r="C7592" s="2354" t="s">
        <v>7195</v>
      </c>
      <c r="D7592" s="2354" t="s">
        <v>7370</v>
      </c>
      <c r="E7592" s="2344">
        <v>10</v>
      </c>
      <c r="F7592" s="2355">
        <v>5</v>
      </c>
    </row>
    <row r="7593" spans="1:6" ht="15" customHeight="1" x14ac:dyDescent="0.25">
      <c r="A7593" s="2354" t="s">
        <v>7371</v>
      </c>
      <c r="B7593" s="2354" t="s">
        <v>7195</v>
      </c>
      <c r="C7593" s="2354" t="s">
        <v>7195</v>
      </c>
      <c r="D7593" s="2354" t="s">
        <v>4478</v>
      </c>
      <c r="E7593" s="2344">
        <v>100</v>
      </c>
      <c r="F7593" s="2355">
        <v>70</v>
      </c>
    </row>
    <row r="7594" spans="1:6" ht="15" customHeight="1" x14ac:dyDescent="0.25">
      <c r="A7594" s="2354" t="s">
        <v>7372</v>
      </c>
      <c r="B7594" s="2354" t="s">
        <v>7195</v>
      </c>
      <c r="C7594" s="2354" t="s">
        <v>7195</v>
      </c>
      <c r="D7594" s="2354" t="s">
        <v>7373</v>
      </c>
      <c r="E7594" s="2344">
        <v>60</v>
      </c>
      <c r="F7594" s="2355">
        <v>35</v>
      </c>
    </row>
    <row r="7595" spans="1:6" ht="15" customHeight="1" x14ac:dyDescent="0.25">
      <c r="A7595" s="2354" t="s">
        <v>7374</v>
      </c>
      <c r="B7595" s="2354" t="s">
        <v>7195</v>
      </c>
      <c r="C7595" s="2354" t="s">
        <v>7195</v>
      </c>
      <c r="D7595" s="2354" t="s">
        <v>7375</v>
      </c>
      <c r="E7595" s="2344">
        <v>30</v>
      </c>
      <c r="F7595" s="2355">
        <v>10</v>
      </c>
    </row>
    <row r="7596" spans="1:6" ht="15" customHeight="1" x14ac:dyDescent="0.25">
      <c r="A7596" s="2354" t="s">
        <v>7376</v>
      </c>
      <c r="B7596" s="2354" t="s">
        <v>7195</v>
      </c>
      <c r="C7596" s="2354" t="s">
        <v>7195</v>
      </c>
      <c r="D7596" s="2354" t="s">
        <v>7377</v>
      </c>
      <c r="E7596" s="2344">
        <v>100</v>
      </c>
      <c r="F7596" s="2355">
        <v>10</v>
      </c>
    </row>
    <row r="7597" spans="1:6" ht="15" customHeight="1" x14ac:dyDescent="0.25">
      <c r="A7597" s="2354" t="s">
        <v>7376</v>
      </c>
      <c r="B7597" s="2354" t="s">
        <v>7195</v>
      </c>
      <c r="C7597" s="2354" t="s">
        <v>7195</v>
      </c>
      <c r="D7597" s="2354" t="s">
        <v>7378</v>
      </c>
      <c r="E7597" s="2344">
        <v>100</v>
      </c>
      <c r="F7597" s="2355">
        <v>10</v>
      </c>
    </row>
    <row r="7598" spans="1:6" ht="15" customHeight="1" x14ac:dyDescent="0.25">
      <c r="A7598" s="2354" t="s">
        <v>7197</v>
      </c>
      <c r="B7598" s="2354" t="s">
        <v>7195</v>
      </c>
      <c r="C7598" s="2354" t="s">
        <v>7195</v>
      </c>
      <c r="D7598" s="2354" t="s">
        <v>7379</v>
      </c>
      <c r="E7598" s="2344">
        <v>160</v>
      </c>
      <c r="F7598" s="2355">
        <v>25</v>
      </c>
    </row>
    <row r="7599" spans="1:6" ht="15" customHeight="1" x14ac:dyDescent="0.25">
      <c r="A7599" s="2354" t="s">
        <v>7197</v>
      </c>
      <c r="B7599" s="2354" t="s">
        <v>7195</v>
      </c>
      <c r="C7599" s="2354" t="s">
        <v>7195</v>
      </c>
      <c r="D7599" s="2354" t="s">
        <v>7380</v>
      </c>
      <c r="E7599" s="2344">
        <v>160</v>
      </c>
      <c r="F7599" s="2355">
        <v>160</v>
      </c>
    </row>
    <row r="7600" spans="1:6" ht="15" customHeight="1" x14ac:dyDescent="0.25">
      <c r="A7600" s="2354" t="s">
        <v>7197</v>
      </c>
      <c r="B7600" s="2354" t="s">
        <v>7195</v>
      </c>
      <c r="C7600" s="2354" t="s">
        <v>7195</v>
      </c>
      <c r="D7600" s="2354" t="s">
        <v>7381</v>
      </c>
      <c r="E7600" s="2344">
        <v>160</v>
      </c>
      <c r="F7600" s="2355">
        <v>10</v>
      </c>
    </row>
    <row r="7601" spans="1:6" ht="15" customHeight="1" x14ac:dyDescent="0.25">
      <c r="A7601" s="2354" t="s">
        <v>7197</v>
      </c>
      <c r="B7601" s="2354" t="s">
        <v>7195</v>
      </c>
      <c r="C7601" s="2354" t="s">
        <v>7195</v>
      </c>
      <c r="D7601" s="2354" t="s">
        <v>7382</v>
      </c>
      <c r="E7601" s="2344">
        <v>160</v>
      </c>
      <c r="F7601" s="2355">
        <v>0</v>
      </c>
    </row>
    <row r="7602" spans="1:6" ht="15" customHeight="1" x14ac:dyDescent="0.25">
      <c r="A7602" s="2354" t="s">
        <v>7197</v>
      </c>
      <c r="B7602" s="2354" t="s">
        <v>7195</v>
      </c>
      <c r="C7602" s="2354" t="s">
        <v>7195</v>
      </c>
      <c r="D7602" s="2354" t="s">
        <v>7383</v>
      </c>
      <c r="E7602" s="2344">
        <v>160</v>
      </c>
      <c r="F7602" s="2355">
        <v>10</v>
      </c>
    </row>
    <row r="7603" spans="1:6" ht="15" customHeight="1" x14ac:dyDescent="0.25">
      <c r="A7603" s="2354" t="s">
        <v>7197</v>
      </c>
      <c r="B7603" s="2354" t="s">
        <v>7195</v>
      </c>
      <c r="C7603" s="2354" t="s">
        <v>7195</v>
      </c>
      <c r="D7603" s="2354" t="s">
        <v>7384</v>
      </c>
      <c r="E7603" s="2344">
        <v>250</v>
      </c>
      <c r="F7603" s="2355">
        <v>0</v>
      </c>
    </row>
    <row r="7604" spans="1:6" ht="15" customHeight="1" x14ac:dyDescent="0.25">
      <c r="A7604" s="2354" t="s">
        <v>7385</v>
      </c>
      <c r="B7604" s="2354" t="s">
        <v>7195</v>
      </c>
      <c r="C7604" s="2354" t="s">
        <v>7195</v>
      </c>
      <c r="D7604" s="2354" t="s">
        <v>7386</v>
      </c>
      <c r="E7604" s="2344">
        <v>100</v>
      </c>
      <c r="F7604" s="2355">
        <v>70</v>
      </c>
    </row>
    <row r="7605" spans="1:6" ht="15" customHeight="1" x14ac:dyDescent="0.25">
      <c r="A7605" s="2354" t="s">
        <v>7387</v>
      </c>
      <c r="B7605" s="2354" t="s">
        <v>7195</v>
      </c>
      <c r="C7605" s="2354" t="s">
        <v>7195</v>
      </c>
      <c r="D7605" s="2354" t="s">
        <v>7388</v>
      </c>
      <c r="E7605" s="2344">
        <v>60</v>
      </c>
      <c r="F7605" s="2355">
        <v>10</v>
      </c>
    </row>
    <row r="7606" spans="1:6" ht="15" customHeight="1" x14ac:dyDescent="0.25">
      <c r="A7606" s="2354" t="s">
        <v>7389</v>
      </c>
      <c r="B7606" s="2354" t="s">
        <v>7195</v>
      </c>
      <c r="C7606" s="2354" t="s">
        <v>7195</v>
      </c>
      <c r="D7606" s="2354" t="s">
        <v>7390</v>
      </c>
      <c r="E7606" s="2344">
        <v>30</v>
      </c>
      <c r="F7606" s="2355">
        <v>10</v>
      </c>
    </row>
    <row r="7607" spans="1:6" ht="15" customHeight="1" x14ac:dyDescent="0.25">
      <c r="A7607" s="2354" t="s">
        <v>7391</v>
      </c>
      <c r="B7607" s="2354" t="s">
        <v>7195</v>
      </c>
      <c r="C7607" s="2354" t="s">
        <v>7195</v>
      </c>
      <c r="D7607" s="2354" t="s">
        <v>7392</v>
      </c>
      <c r="E7607" s="2344">
        <v>100</v>
      </c>
      <c r="F7607" s="2355">
        <v>15</v>
      </c>
    </row>
    <row r="7608" spans="1:6" ht="15" customHeight="1" x14ac:dyDescent="0.25">
      <c r="A7608" s="2354" t="s">
        <v>7391</v>
      </c>
      <c r="B7608" s="2354" t="s">
        <v>7195</v>
      </c>
      <c r="C7608" s="2354" t="s">
        <v>7195</v>
      </c>
      <c r="D7608" s="2354" t="s">
        <v>7393</v>
      </c>
      <c r="E7608" s="2344">
        <v>250</v>
      </c>
      <c r="F7608" s="2355">
        <v>150</v>
      </c>
    </row>
    <row r="7609" spans="1:6" ht="15" customHeight="1" x14ac:dyDescent="0.25">
      <c r="A7609" s="2354" t="s">
        <v>7391</v>
      </c>
      <c r="B7609" s="2354" t="s">
        <v>7195</v>
      </c>
      <c r="C7609" s="2354" t="s">
        <v>7195</v>
      </c>
      <c r="D7609" s="2354" t="s">
        <v>7394</v>
      </c>
      <c r="E7609" s="2344">
        <v>250</v>
      </c>
      <c r="F7609" s="2355">
        <v>120</v>
      </c>
    </row>
    <row r="7610" spans="1:6" ht="15" customHeight="1" x14ac:dyDescent="0.25">
      <c r="A7610" s="2354" t="s">
        <v>7391</v>
      </c>
      <c r="B7610" s="2354" t="s">
        <v>7195</v>
      </c>
      <c r="C7610" s="2354" t="s">
        <v>7195</v>
      </c>
      <c r="D7610" s="2354" t="s">
        <v>7395</v>
      </c>
      <c r="E7610" s="2344">
        <v>160</v>
      </c>
      <c r="F7610" s="2355">
        <v>100</v>
      </c>
    </row>
    <row r="7611" spans="1:6" ht="15" customHeight="1" x14ac:dyDescent="0.25">
      <c r="A7611" s="2354" t="s">
        <v>7396</v>
      </c>
      <c r="B7611" s="2354" t="s">
        <v>7195</v>
      </c>
      <c r="C7611" s="2354" t="s">
        <v>7195</v>
      </c>
      <c r="D7611" s="2354" t="s">
        <v>7397</v>
      </c>
      <c r="E7611" s="2344">
        <v>100</v>
      </c>
      <c r="F7611" s="2355">
        <v>10</v>
      </c>
    </row>
    <row r="7612" spans="1:6" ht="15" customHeight="1" x14ac:dyDescent="0.25">
      <c r="A7612" s="2354" t="s">
        <v>4764</v>
      </c>
      <c r="B7612" s="2354" t="s">
        <v>7195</v>
      </c>
      <c r="C7612" s="2354" t="s">
        <v>7195</v>
      </c>
      <c r="D7612" s="2354" t="s">
        <v>7398</v>
      </c>
      <c r="E7612" s="2344">
        <v>60</v>
      </c>
      <c r="F7612" s="2355">
        <v>15</v>
      </c>
    </row>
    <row r="7613" spans="1:6" ht="15" customHeight="1" x14ac:dyDescent="0.25">
      <c r="A7613" s="2354" t="s">
        <v>4764</v>
      </c>
      <c r="B7613" s="2354" t="s">
        <v>7195</v>
      </c>
      <c r="C7613" s="2354" t="s">
        <v>7195</v>
      </c>
      <c r="D7613" s="2354" t="s">
        <v>7399</v>
      </c>
      <c r="E7613" s="2344">
        <v>100</v>
      </c>
      <c r="F7613" s="2355">
        <v>25</v>
      </c>
    </row>
    <row r="7614" spans="1:6" ht="15" customHeight="1" x14ac:dyDescent="0.25">
      <c r="A7614" s="2354" t="s">
        <v>4764</v>
      </c>
      <c r="B7614" s="2354" t="s">
        <v>7195</v>
      </c>
      <c r="C7614" s="2354" t="s">
        <v>7195</v>
      </c>
      <c r="D7614" s="2354" t="s">
        <v>7400</v>
      </c>
      <c r="E7614" s="2344">
        <v>60</v>
      </c>
      <c r="F7614" s="2355">
        <v>50</v>
      </c>
    </row>
    <row r="7615" spans="1:6" ht="15" customHeight="1" x14ac:dyDescent="0.25">
      <c r="A7615" s="2354" t="s">
        <v>7401</v>
      </c>
      <c r="B7615" s="2354" t="s">
        <v>7195</v>
      </c>
      <c r="C7615" s="2354" t="s">
        <v>7195</v>
      </c>
      <c r="D7615" s="2354" t="s">
        <v>7402</v>
      </c>
      <c r="E7615" s="2344">
        <v>30</v>
      </c>
      <c r="F7615" s="2355">
        <v>20</v>
      </c>
    </row>
    <row r="7616" spans="1:6" ht="15" customHeight="1" x14ac:dyDescent="0.25">
      <c r="A7616" s="2354" t="s">
        <v>7403</v>
      </c>
      <c r="B7616" s="2354" t="s">
        <v>7195</v>
      </c>
      <c r="C7616" s="2354" t="s">
        <v>7195</v>
      </c>
      <c r="D7616" s="2354" t="s">
        <v>7404</v>
      </c>
      <c r="E7616" s="2344">
        <v>30</v>
      </c>
      <c r="F7616" s="2355">
        <v>20</v>
      </c>
    </row>
    <row r="7617" spans="1:6" ht="15" customHeight="1" x14ac:dyDescent="0.25">
      <c r="A7617" s="2354" t="s">
        <v>14052</v>
      </c>
      <c r="B7617" s="2354" t="s">
        <v>7195</v>
      </c>
      <c r="C7617" s="2354" t="s">
        <v>7195</v>
      </c>
      <c r="D7617" s="2354" t="s">
        <v>7405</v>
      </c>
      <c r="E7617" s="2344">
        <v>30</v>
      </c>
      <c r="F7617" s="2355">
        <v>20</v>
      </c>
    </row>
    <row r="7618" spans="1:6" ht="15" customHeight="1" x14ac:dyDescent="0.25">
      <c r="A7618" s="2354" t="s">
        <v>7406</v>
      </c>
      <c r="B7618" s="2354" t="s">
        <v>7195</v>
      </c>
      <c r="C7618" s="2354" t="s">
        <v>7195</v>
      </c>
      <c r="D7618" s="2354" t="s">
        <v>7407</v>
      </c>
      <c r="E7618" s="2344">
        <v>100</v>
      </c>
      <c r="F7618" s="2355">
        <v>95</v>
      </c>
    </row>
    <row r="7619" spans="1:6" ht="15" customHeight="1" x14ac:dyDescent="0.25">
      <c r="A7619" s="2354" t="s">
        <v>7408</v>
      </c>
      <c r="B7619" s="2354" t="s">
        <v>7195</v>
      </c>
      <c r="C7619" s="2354" t="s">
        <v>7195</v>
      </c>
      <c r="D7619" s="2354" t="s">
        <v>7409</v>
      </c>
      <c r="E7619" s="2344">
        <v>100</v>
      </c>
      <c r="F7619" s="2355">
        <v>20</v>
      </c>
    </row>
    <row r="7620" spans="1:6" ht="15" customHeight="1" x14ac:dyDescent="0.25">
      <c r="A7620" s="2354" t="s">
        <v>7408</v>
      </c>
      <c r="B7620" s="2354" t="s">
        <v>7195</v>
      </c>
      <c r="C7620" s="2354" t="s">
        <v>7195</v>
      </c>
      <c r="D7620" s="2354" t="s">
        <v>7410</v>
      </c>
      <c r="E7620" s="2344">
        <v>160</v>
      </c>
      <c r="F7620" s="2355">
        <v>152</v>
      </c>
    </row>
    <row r="7621" spans="1:6" ht="15" customHeight="1" x14ac:dyDescent="0.25">
      <c r="A7621" s="2354" t="s">
        <v>7408</v>
      </c>
      <c r="B7621" s="2354" t="s">
        <v>7195</v>
      </c>
      <c r="C7621" s="2354" t="s">
        <v>7195</v>
      </c>
      <c r="D7621" s="2354" t="s">
        <v>7411</v>
      </c>
      <c r="E7621" s="2344">
        <v>63</v>
      </c>
      <c r="F7621" s="2355">
        <v>15</v>
      </c>
    </row>
    <row r="7622" spans="1:6" ht="15" customHeight="1" x14ac:dyDescent="0.25">
      <c r="A7622" s="2354" t="s">
        <v>14053</v>
      </c>
      <c r="B7622" s="2354" t="s">
        <v>7195</v>
      </c>
      <c r="C7622" s="2354" t="s">
        <v>7195</v>
      </c>
      <c r="D7622" s="2354" t="s">
        <v>7412</v>
      </c>
      <c r="E7622" s="2344">
        <v>25</v>
      </c>
      <c r="F7622" s="2355">
        <v>15</v>
      </c>
    </row>
    <row r="7623" spans="1:6" ht="15" customHeight="1" x14ac:dyDescent="0.25">
      <c r="A7623" s="2354" t="s">
        <v>7413</v>
      </c>
      <c r="B7623" s="2354" t="s">
        <v>7195</v>
      </c>
      <c r="C7623" s="2354" t="s">
        <v>7195</v>
      </c>
      <c r="D7623" s="2354" t="s">
        <v>7414</v>
      </c>
      <c r="E7623" s="2344">
        <v>30</v>
      </c>
      <c r="F7623" s="2355">
        <v>15</v>
      </c>
    </row>
    <row r="7624" spans="1:6" ht="15" customHeight="1" x14ac:dyDescent="0.25">
      <c r="A7624" s="2354" t="s">
        <v>7415</v>
      </c>
      <c r="B7624" s="2354" t="s">
        <v>7195</v>
      </c>
      <c r="C7624" s="2354" t="s">
        <v>7195</v>
      </c>
      <c r="D7624" s="2354" t="s">
        <v>7416</v>
      </c>
      <c r="E7624" s="2344">
        <v>30</v>
      </c>
      <c r="F7624" s="2355">
        <v>10</v>
      </c>
    </row>
    <row r="7625" spans="1:6" ht="15" customHeight="1" x14ac:dyDescent="0.25">
      <c r="A7625" s="2354" t="s">
        <v>7417</v>
      </c>
      <c r="B7625" s="2354" t="s">
        <v>7195</v>
      </c>
      <c r="C7625" s="2354" t="s">
        <v>7195</v>
      </c>
      <c r="D7625" s="2354" t="s">
        <v>7418</v>
      </c>
      <c r="E7625" s="2344">
        <v>100</v>
      </c>
      <c r="F7625" s="2355">
        <v>50</v>
      </c>
    </row>
    <row r="7626" spans="1:6" ht="15" customHeight="1" x14ac:dyDescent="0.25">
      <c r="A7626" s="2354" t="s">
        <v>7417</v>
      </c>
      <c r="B7626" s="2354" t="s">
        <v>7195</v>
      </c>
      <c r="C7626" s="2354" t="s">
        <v>7195</v>
      </c>
      <c r="D7626" s="2354" t="s">
        <v>7419</v>
      </c>
      <c r="E7626" s="2344">
        <v>400</v>
      </c>
      <c r="F7626" s="2355">
        <v>310</v>
      </c>
    </row>
    <row r="7627" spans="1:6" ht="15" customHeight="1" x14ac:dyDescent="0.25">
      <c r="A7627" s="2354" t="s">
        <v>7417</v>
      </c>
      <c r="B7627" s="2354" t="s">
        <v>7195</v>
      </c>
      <c r="C7627" s="2354" t="s">
        <v>7195</v>
      </c>
      <c r="D7627" s="2354" t="s">
        <v>7420</v>
      </c>
      <c r="E7627" s="2344">
        <v>250</v>
      </c>
      <c r="F7627" s="2355">
        <v>60</v>
      </c>
    </row>
    <row r="7628" spans="1:6" ht="15" customHeight="1" x14ac:dyDescent="0.25">
      <c r="A7628" s="2354" t="s">
        <v>7421</v>
      </c>
      <c r="B7628" s="2354" t="s">
        <v>7195</v>
      </c>
      <c r="C7628" s="2354" t="s">
        <v>7195</v>
      </c>
      <c r="D7628" s="2354" t="s">
        <v>7422</v>
      </c>
      <c r="E7628" s="2344">
        <v>160</v>
      </c>
      <c r="F7628" s="2355">
        <v>100</v>
      </c>
    </row>
    <row r="7629" spans="1:6" ht="15" customHeight="1" x14ac:dyDescent="0.25">
      <c r="A7629" s="2354" t="s">
        <v>7421</v>
      </c>
      <c r="B7629" s="2354" t="s">
        <v>7195</v>
      </c>
      <c r="C7629" s="2354" t="s">
        <v>7195</v>
      </c>
      <c r="D7629" s="2354" t="s">
        <v>7423</v>
      </c>
      <c r="E7629" s="2344">
        <v>400</v>
      </c>
      <c r="F7629" s="2355">
        <v>320</v>
      </c>
    </row>
    <row r="7630" spans="1:6" ht="15" customHeight="1" x14ac:dyDescent="0.25">
      <c r="A7630" s="2354" t="s">
        <v>7421</v>
      </c>
      <c r="B7630" s="2354" t="s">
        <v>7195</v>
      </c>
      <c r="C7630" s="2354" t="s">
        <v>7195</v>
      </c>
      <c r="D7630" s="2354" t="s">
        <v>7424</v>
      </c>
      <c r="E7630" s="2344">
        <v>100</v>
      </c>
      <c r="F7630" s="2355">
        <v>80</v>
      </c>
    </row>
    <row r="7631" spans="1:6" ht="15" customHeight="1" x14ac:dyDescent="0.25">
      <c r="A7631" s="2354" t="s">
        <v>7425</v>
      </c>
      <c r="B7631" s="2354" t="s">
        <v>7195</v>
      </c>
      <c r="C7631" s="2354" t="s">
        <v>7195</v>
      </c>
      <c r="D7631" s="2354" t="s">
        <v>7426</v>
      </c>
      <c r="E7631" s="2344">
        <v>63</v>
      </c>
      <c r="F7631" s="2355">
        <v>45</v>
      </c>
    </row>
    <row r="7632" spans="1:6" ht="15" customHeight="1" x14ac:dyDescent="0.25">
      <c r="A7632" s="2354" t="s">
        <v>7427</v>
      </c>
      <c r="B7632" s="2354" t="s">
        <v>7195</v>
      </c>
      <c r="C7632" s="2354" t="s">
        <v>7195</v>
      </c>
      <c r="D7632" s="2354" t="s">
        <v>7428</v>
      </c>
      <c r="E7632" s="2344">
        <v>60</v>
      </c>
      <c r="F7632" s="2355">
        <v>15</v>
      </c>
    </row>
    <row r="7633" spans="1:6" ht="15" customHeight="1" x14ac:dyDescent="0.25">
      <c r="A7633" s="2354" t="s">
        <v>7429</v>
      </c>
      <c r="B7633" s="2354" t="s">
        <v>7195</v>
      </c>
      <c r="C7633" s="2354" t="s">
        <v>7195</v>
      </c>
      <c r="D7633" s="2354" t="s">
        <v>7430</v>
      </c>
      <c r="E7633" s="2344">
        <v>60</v>
      </c>
      <c r="F7633" s="2355">
        <v>15</v>
      </c>
    </row>
    <row r="7634" spans="1:6" ht="15" customHeight="1" x14ac:dyDescent="0.25">
      <c r="A7634" s="2354" t="s">
        <v>7431</v>
      </c>
      <c r="B7634" s="2354" t="s">
        <v>7195</v>
      </c>
      <c r="C7634" s="2354" t="s">
        <v>7195</v>
      </c>
      <c r="D7634" s="2354" t="s">
        <v>7432</v>
      </c>
      <c r="E7634" s="2344">
        <v>100</v>
      </c>
      <c r="F7634" s="2355">
        <v>25</v>
      </c>
    </row>
    <row r="7635" spans="1:6" ht="15" customHeight="1" x14ac:dyDescent="0.25">
      <c r="A7635" s="2354" t="s">
        <v>4391</v>
      </c>
      <c r="B7635" s="2354" t="s">
        <v>7195</v>
      </c>
      <c r="C7635" s="2354" t="s">
        <v>7195</v>
      </c>
      <c r="D7635" s="2354" t="s">
        <v>7433</v>
      </c>
      <c r="E7635" s="2344">
        <v>250</v>
      </c>
      <c r="F7635" s="2355">
        <v>230</v>
      </c>
    </row>
    <row r="7636" spans="1:6" ht="15" customHeight="1" x14ac:dyDescent="0.25">
      <c r="A7636" s="2354" t="s">
        <v>6541</v>
      </c>
      <c r="B7636" s="2354" t="s">
        <v>7195</v>
      </c>
      <c r="C7636" s="2354" t="s">
        <v>7195</v>
      </c>
      <c r="D7636" s="2354" t="s">
        <v>7434</v>
      </c>
      <c r="E7636" s="2344">
        <v>63</v>
      </c>
      <c r="F7636" s="2355">
        <v>20</v>
      </c>
    </row>
    <row r="7637" spans="1:6" ht="15" customHeight="1" x14ac:dyDescent="0.25">
      <c r="A7637" s="2354" t="s">
        <v>4153</v>
      </c>
      <c r="B7637" s="2354" t="s">
        <v>7195</v>
      </c>
      <c r="C7637" s="2354" t="s">
        <v>7195</v>
      </c>
      <c r="D7637" s="2354" t="s">
        <v>7435</v>
      </c>
      <c r="E7637" s="2344">
        <v>250</v>
      </c>
      <c r="F7637" s="2355">
        <v>150</v>
      </c>
    </row>
    <row r="7638" spans="1:6" ht="15" customHeight="1" x14ac:dyDescent="0.25">
      <c r="A7638" s="2354" t="s">
        <v>4153</v>
      </c>
      <c r="B7638" s="2354" t="s">
        <v>7195</v>
      </c>
      <c r="C7638" s="2354" t="s">
        <v>7195</v>
      </c>
      <c r="D7638" s="2354" t="s">
        <v>7436</v>
      </c>
      <c r="E7638" s="2344">
        <v>160</v>
      </c>
      <c r="F7638" s="2355">
        <v>35</v>
      </c>
    </row>
    <row r="7639" spans="1:6" ht="15" customHeight="1" x14ac:dyDescent="0.25">
      <c r="A7639" s="2354" t="s">
        <v>4153</v>
      </c>
      <c r="B7639" s="2354" t="s">
        <v>7195</v>
      </c>
      <c r="C7639" s="2354" t="s">
        <v>7195</v>
      </c>
      <c r="D7639" s="2354" t="s">
        <v>7437</v>
      </c>
      <c r="E7639" s="2344">
        <v>160</v>
      </c>
      <c r="F7639" s="2355">
        <v>80</v>
      </c>
    </row>
    <row r="7640" spans="1:6" ht="15" customHeight="1" x14ac:dyDescent="0.25">
      <c r="A7640" s="2354" t="s">
        <v>7438</v>
      </c>
      <c r="B7640" s="2354" t="s">
        <v>7195</v>
      </c>
      <c r="C7640" s="2354" t="s">
        <v>7195</v>
      </c>
      <c r="D7640" s="2354" t="s">
        <v>7439</v>
      </c>
      <c r="E7640" s="2344">
        <v>60</v>
      </c>
      <c r="F7640" s="2355">
        <v>55</v>
      </c>
    </row>
    <row r="7641" spans="1:6" ht="15" customHeight="1" x14ac:dyDescent="0.25">
      <c r="A7641" s="2354" t="s">
        <v>4153</v>
      </c>
      <c r="B7641" s="2354" t="s">
        <v>7195</v>
      </c>
      <c r="C7641" s="2354" t="s">
        <v>7195</v>
      </c>
      <c r="D7641" s="2354" t="s">
        <v>7440</v>
      </c>
      <c r="E7641" s="2344">
        <v>400</v>
      </c>
      <c r="F7641" s="2355">
        <v>150</v>
      </c>
    </row>
    <row r="7642" spans="1:6" ht="15" customHeight="1" x14ac:dyDescent="0.25">
      <c r="A7642" s="2354" t="s">
        <v>7441</v>
      </c>
      <c r="B7642" s="2354" t="s">
        <v>7195</v>
      </c>
      <c r="C7642" s="2354" t="s">
        <v>7195</v>
      </c>
      <c r="D7642" s="2354" t="s">
        <v>7442</v>
      </c>
      <c r="E7642" s="2344">
        <v>60</v>
      </c>
      <c r="F7642" s="2355">
        <v>0</v>
      </c>
    </row>
    <row r="7643" spans="1:6" ht="15" customHeight="1" x14ac:dyDescent="0.25">
      <c r="A7643" s="2354" t="s">
        <v>7443</v>
      </c>
      <c r="B7643" s="2354" t="s">
        <v>7195</v>
      </c>
      <c r="C7643" s="2354" t="s">
        <v>7195</v>
      </c>
      <c r="D7643" s="2354" t="s">
        <v>7444</v>
      </c>
      <c r="E7643" s="2344">
        <v>60</v>
      </c>
      <c r="F7643" s="2355">
        <v>55</v>
      </c>
    </row>
    <row r="7644" spans="1:6" ht="15" customHeight="1" x14ac:dyDescent="0.25">
      <c r="A7644" s="2354" t="s">
        <v>14054</v>
      </c>
      <c r="B7644" s="2354" t="s">
        <v>7195</v>
      </c>
      <c r="C7644" s="2354" t="s">
        <v>7195</v>
      </c>
      <c r="D7644" s="2354" t="s">
        <v>7445</v>
      </c>
      <c r="E7644" s="2344">
        <v>100</v>
      </c>
      <c r="F7644" s="2355">
        <v>60</v>
      </c>
    </row>
    <row r="7645" spans="1:6" ht="15" customHeight="1" x14ac:dyDescent="0.25">
      <c r="A7645" s="2354" t="s">
        <v>14055</v>
      </c>
      <c r="B7645" s="2354" t="s">
        <v>7195</v>
      </c>
      <c r="C7645" s="2354" t="s">
        <v>7195</v>
      </c>
      <c r="D7645" s="2354" t="s">
        <v>7446</v>
      </c>
      <c r="E7645" s="2344">
        <v>30</v>
      </c>
      <c r="F7645" s="2355">
        <v>30</v>
      </c>
    </row>
    <row r="7646" spans="1:6" ht="15" customHeight="1" x14ac:dyDescent="0.25">
      <c r="A7646" s="2354" t="s">
        <v>4299</v>
      </c>
      <c r="B7646" s="2354" t="s">
        <v>7195</v>
      </c>
      <c r="C7646" s="2354" t="s">
        <v>7195</v>
      </c>
      <c r="D7646" s="2354" t="s">
        <v>7447</v>
      </c>
      <c r="E7646" s="2344">
        <v>30</v>
      </c>
      <c r="F7646" s="2355">
        <v>15</v>
      </c>
    </row>
    <row r="7647" spans="1:6" ht="15" customHeight="1" x14ac:dyDescent="0.25">
      <c r="A7647" s="2354" t="s">
        <v>4153</v>
      </c>
      <c r="B7647" s="2354" t="s">
        <v>7195</v>
      </c>
      <c r="C7647" s="2354" t="s">
        <v>7195</v>
      </c>
      <c r="D7647" s="2354" t="s">
        <v>7448</v>
      </c>
      <c r="E7647" s="2344">
        <v>160</v>
      </c>
      <c r="F7647" s="2355">
        <v>100</v>
      </c>
    </row>
    <row r="7648" spans="1:6" ht="15" customHeight="1" x14ac:dyDescent="0.25">
      <c r="A7648" s="2354" t="s">
        <v>7449</v>
      </c>
      <c r="B7648" s="2354" t="s">
        <v>7195</v>
      </c>
      <c r="C7648" s="2354" t="s">
        <v>7195</v>
      </c>
      <c r="D7648" s="2354" t="s">
        <v>7450</v>
      </c>
      <c r="E7648" s="2344">
        <v>63</v>
      </c>
      <c r="F7648" s="2355">
        <v>55</v>
      </c>
    </row>
    <row r="7649" spans="1:6" ht="15" customHeight="1" x14ac:dyDescent="0.25">
      <c r="A7649" s="2354" t="s">
        <v>7451</v>
      </c>
      <c r="B7649" s="2354" t="s">
        <v>7195</v>
      </c>
      <c r="C7649" s="2354" t="s">
        <v>7195</v>
      </c>
      <c r="D7649" s="2354" t="s">
        <v>7452</v>
      </c>
      <c r="E7649" s="2344">
        <v>160</v>
      </c>
      <c r="F7649" s="2355">
        <v>20</v>
      </c>
    </row>
    <row r="7650" spans="1:6" ht="15" customHeight="1" x14ac:dyDescent="0.25">
      <c r="A7650" s="2354" t="s">
        <v>7451</v>
      </c>
      <c r="B7650" s="2354" t="s">
        <v>7195</v>
      </c>
      <c r="C7650" s="2354" t="s">
        <v>7195</v>
      </c>
      <c r="D7650" s="2354" t="s">
        <v>7453</v>
      </c>
      <c r="E7650" s="2344">
        <v>400</v>
      </c>
      <c r="F7650" s="2355">
        <v>220</v>
      </c>
    </row>
    <row r="7651" spans="1:6" ht="15" customHeight="1" x14ac:dyDescent="0.25">
      <c r="A7651" s="2354" t="s">
        <v>7454</v>
      </c>
      <c r="B7651" s="2354" t="s">
        <v>7195</v>
      </c>
      <c r="C7651" s="2354" t="s">
        <v>7195</v>
      </c>
      <c r="D7651" s="2354" t="s">
        <v>7455</v>
      </c>
      <c r="E7651" s="2344">
        <v>63</v>
      </c>
      <c r="F7651" s="2355">
        <v>0</v>
      </c>
    </row>
    <row r="7652" spans="1:6" ht="15" customHeight="1" x14ac:dyDescent="0.25">
      <c r="A7652" s="2354" t="s">
        <v>7456</v>
      </c>
      <c r="B7652" s="2354" t="s">
        <v>7195</v>
      </c>
      <c r="C7652" s="2354" t="s">
        <v>7195</v>
      </c>
      <c r="D7652" s="2354" t="s">
        <v>7457</v>
      </c>
      <c r="E7652" s="2344">
        <v>10</v>
      </c>
      <c r="F7652" s="2355">
        <v>5</v>
      </c>
    </row>
    <row r="7653" spans="1:6" ht="15" customHeight="1" x14ac:dyDescent="0.25">
      <c r="A7653" s="2354" t="s">
        <v>7458</v>
      </c>
      <c r="B7653" s="2354" t="s">
        <v>7195</v>
      </c>
      <c r="C7653" s="2354" t="s">
        <v>7195</v>
      </c>
      <c r="D7653" s="2354" t="s">
        <v>7459</v>
      </c>
      <c r="E7653" s="2344">
        <v>100</v>
      </c>
      <c r="F7653" s="2355">
        <v>60</v>
      </c>
    </row>
    <row r="7654" spans="1:6" ht="15" customHeight="1" x14ac:dyDescent="0.25">
      <c r="A7654" s="2354" t="s">
        <v>14056</v>
      </c>
      <c r="B7654" s="2354" t="s">
        <v>7195</v>
      </c>
      <c r="C7654" s="2354" t="s">
        <v>7195</v>
      </c>
      <c r="D7654" s="2354" t="s">
        <v>7460</v>
      </c>
      <c r="E7654" s="2344">
        <v>250</v>
      </c>
      <c r="F7654" s="2355">
        <v>120</v>
      </c>
    </row>
    <row r="7655" spans="1:6" ht="15" customHeight="1" x14ac:dyDescent="0.25">
      <c r="A7655" s="2354" t="s">
        <v>14056</v>
      </c>
      <c r="B7655" s="2354" t="s">
        <v>7195</v>
      </c>
      <c r="C7655" s="2354" t="s">
        <v>7195</v>
      </c>
      <c r="D7655" s="2354" t="s">
        <v>7461</v>
      </c>
      <c r="E7655" s="2344">
        <v>160</v>
      </c>
      <c r="F7655" s="2355">
        <v>155</v>
      </c>
    </row>
    <row r="7656" spans="1:6" ht="15" customHeight="1" x14ac:dyDescent="0.25">
      <c r="A7656" s="2354" t="s">
        <v>14056</v>
      </c>
      <c r="B7656" s="2354" t="s">
        <v>7195</v>
      </c>
      <c r="C7656" s="2354" t="s">
        <v>7195</v>
      </c>
      <c r="D7656" s="2354" t="s">
        <v>7462</v>
      </c>
      <c r="E7656" s="2344">
        <v>400</v>
      </c>
      <c r="F7656" s="2355">
        <v>395</v>
      </c>
    </row>
    <row r="7657" spans="1:6" ht="15" customHeight="1" x14ac:dyDescent="0.25">
      <c r="A7657" s="2354" t="s">
        <v>7463</v>
      </c>
      <c r="B7657" s="2354" t="s">
        <v>7195</v>
      </c>
      <c r="C7657" s="2354" t="s">
        <v>7195</v>
      </c>
      <c r="D7657" s="2354" t="s">
        <v>7464</v>
      </c>
      <c r="E7657" s="2344">
        <v>160</v>
      </c>
      <c r="F7657" s="2355">
        <v>65</v>
      </c>
    </row>
    <row r="7658" spans="1:6" ht="15" customHeight="1" x14ac:dyDescent="0.25">
      <c r="A7658" s="2354" t="s">
        <v>7465</v>
      </c>
      <c r="B7658" s="2354" t="s">
        <v>7195</v>
      </c>
      <c r="C7658" s="2354" t="s">
        <v>7195</v>
      </c>
      <c r="D7658" s="2354" t="s">
        <v>7466</v>
      </c>
      <c r="E7658" s="2344">
        <v>160</v>
      </c>
      <c r="F7658" s="2355">
        <v>80</v>
      </c>
    </row>
    <row r="7659" spans="1:6" ht="15" customHeight="1" x14ac:dyDescent="0.25">
      <c r="A7659" s="2354" t="s">
        <v>7465</v>
      </c>
      <c r="B7659" s="2354" t="s">
        <v>7195</v>
      </c>
      <c r="C7659" s="2354" t="s">
        <v>7195</v>
      </c>
      <c r="D7659" s="2354" t="s">
        <v>7467</v>
      </c>
      <c r="E7659" s="2344">
        <v>100</v>
      </c>
      <c r="F7659" s="2355">
        <v>50</v>
      </c>
    </row>
    <row r="7660" spans="1:6" ht="15" customHeight="1" x14ac:dyDescent="0.25">
      <c r="A7660" s="2354" t="s">
        <v>14057</v>
      </c>
      <c r="B7660" s="2354" t="s">
        <v>7195</v>
      </c>
      <c r="C7660" s="2354" t="s">
        <v>7195</v>
      </c>
      <c r="D7660" s="2354" t="s">
        <v>7468</v>
      </c>
      <c r="E7660" s="2344">
        <v>100</v>
      </c>
      <c r="F7660" s="2355">
        <v>50</v>
      </c>
    </row>
    <row r="7661" spans="1:6" ht="15" customHeight="1" x14ac:dyDescent="0.25">
      <c r="A7661" s="2354" t="s">
        <v>7469</v>
      </c>
      <c r="B7661" s="2354" t="s">
        <v>7195</v>
      </c>
      <c r="C7661" s="2354" t="s">
        <v>7195</v>
      </c>
      <c r="D7661" s="2354" t="s">
        <v>7470</v>
      </c>
      <c r="E7661" s="2344">
        <v>100</v>
      </c>
      <c r="F7661" s="2355">
        <v>20</v>
      </c>
    </row>
    <row r="7662" spans="1:6" ht="15" customHeight="1" x14ac:dyDescent="0.25">
      <c r="A7662" s="2354" t="s">
        <v>7471</v>
      </c>
      <c r="B7662" s="2354" t="s">
        <v>7195</v>
      </c>
      <c r="C7662" s="2354" t="s">
        <v>7195</v>
      </c>
      <c r="D7662" s="2354" t="s">
        <v>7472</v>
      </c>
      <c r="E7662" s="2344">
        <v>160</v>
      </c>
      <c r="F7662" s="2355">
        <v>70</v>
      </c>
    </row>
    <row r="7663" spans="1:6" ht="15" customHeight="1" x14ac:dyDescent="0.25">
      <c r="A7663" s="2354" t="s">
        <v>7471</v>
      </c>
      <c r="B7663" s="2354" t="s">
        <v>7195</v>
      </c>
      <c r="C7663" s="2354" t="s">
        <v>7195</v>
      </c>
      <c r="D7663" s="2354" t="s">
        <v>7473</v>
      </c>
      <c r="E7663" s="2344">
        <v>250</v>
      </c>
      <c r="F7663" s="2355">
        <v>240</v>
      </c>
    </row>
    <row r="7664" spans="1:6" ht="15" customHeight="1" x14ac:dyDescent="0.25">
      <c r="A7664" s="2354" t="s">
        <v>7471</v>
      </c>
      <c r="B7664" s="2354" t="s">
        <v>7195</v>
      </c>
      <c r="C7664" s="2354" t="s">
        <v>7195</v>
      </c>
      <c r="D7664" s="2354" t="s">
        <v>7474</v>
      </c>
      <c r="E7664" s="2344">
        <v>250</v>
      </c>
      <c r="F7664" s="2355">
        <v>250</v>
      </c>
    </row>
    <row r="7665" spans="1:6" ht="15" customHeight="1" x14ac:dyDescent="0.25">
      <c r="A7665" s="2354" t="s">
        <v>7475</v>
      </c>
      <c r="B7665" s="2354" t="s">
        <v>7195</v>
      </c>
      <c r="C7665" s="2354" t="s">
        <v>7195</v>
      </c>
      <c r="D7665" s="2354" t="s">
        <v>7476</v>
      </c>
      <c r="E7665" s="2344">
        <v>100</v>
      </c>
      <c r="F7665" s="2355">
        <v>15</v>
      </c>
    </row>
    <row r="7666" spans="1:6" ht="15" customHeight="1" x14ac:dyDescent="0.25">
      <c r="A7666" s="2354" t="s">
        <v>7477</v>
      </c>
      <c r="B7666" s="2354" t="s">
        <v>7195</v>
      </c>
      <c r="C7666" s="2354" t="s">
        <v>7195</v>
      </c>
      <c r="D7666" s="2354" t="s">
        <v>7478</v>
      </c>
      <c r="E7666" s="2344">
        <v>100</v>
      </c>
      <c r="F7666" s="2355">
        <v>95</v>
      </c>
    </row>
    <row r="7667" spans="1:6" ht="15" customHeight="1" x14ac:dyDescent="0.25">
      <c r="A7667" s="2354" t="s">
        <v>7479</v>
      </c>
      <c r="B7667" s="2354" t="s">
        <v>7195</v>
      </c>
      <c r="C7667" s="2354" t="s">
        <v>7195</v>
      </c>
      <c r="D7667" s="2354" t="s">
        <v>7480</v>
      </c>
      <c r="E7667" s="2344">
        <v>30</v>
      </c>
      <c r="F7667" s="2355">
        <v>5</v>
      </c>
    </row>
    <row r="7668" spans="1:6" ht="15" customHeight="1" x14ac:dyDescent="0.25">
      <c r="A7668" s="2354" t="s">
        <v>7481</v>
      </c>
      <c r="B7668" s="2354" t="s">
        <v>7195</v>
      </c>
      <c r="C7668" s="2354" t="s">
        <v>7195</v>
      </c>
      <c r="D7668" s="2354" t="s">
        <v>7482</v>
      </c>
      <c r="E7668" s="2344">
        <v>63</v>
      </c>
      <c r="F7668" s="2355">
        <v>60</v>
      </c>
    </row>
    <row r="7669" spans="1:6" ht="15" customHeight="1" x14ac:dyDescent="0.25">
      <c r="A7669" s="2354" t="s">
        <v>7250</v>
      </c>
      <c r="B7669" s="2354" t="s">
        <v>7195</v>
      </c>
      <c r="C7669" s="2354" t="s">
        <v>7195</v>
      </c>
      <c r="D7669" s="2354" t="s">
        <v>7483</v>
      </c>
      <c r="E7669" s="2344">
        <v>60</v>
      </c>
      <c r="F7669" s="2355" t="s">
        <v>7180</v>
      </c>
    </row>
    <row r="7670" spans="1:6" ht="15" customHeight="1" x14ac:dyDescent="0.25">
      <c r="A7670" s="2354" t="s">
        <v>7471</v>
      </c>
      <c r="B7670" s="2354" t="s">
        <v>7195</v>
      </c>
      <c r="C7670" s="2354" t="s">
        <v>7195</v>
      </c>
      <c r="D7670" s="2354" t="s">
        <v>7484</v>
      </c>
      <c r="E7670" s="2344">
        <v>63</v>
      </c>
      <c r="F7670" s="2355" t="s">
        <v>7180</v>
      </c>
    </row>
    <row r="7671" spans="1:6" ht="15" customHeight="1" x14ac:dyDescent="0.25">
      <c r="A7671" s="2354" t="s">
        <v>7463</v>
      </c>
      <c r="B7671" s="2354" t="s">
        <v>7195</v>
      </c>
      <c r="C7671" s="2354" t="s">
        <v>7195</v>
      </c>
      <c r="D7671" s="2354" t="s">
        <v>7485</v>
      </c>
      <c r="E7671" s="2344">
        <v>250</v>
      </c>
      <c r="F7671" s="2355" t="s">
        <v>7180</v>
      </c>
    </row>
    <row r="7672" spans="1:6" ht="15" customHeight="1" x14ac:dyDescent="0.25">
      <c r="A7672" s="2354" t="s">
        <v>7463</v>
      </c>
      <c r="B7672" s="2354" t="s">
        <v>7195</v>
      </c>
      <c r="C7672" s="2354" t="s">
        <v>7195</v>
      </c>
      <c r="D7672" s="2354" t="s">
        <v>7486</v>
      </c>
      <c r="E7672" s="2344">
        <v>400</v>
      </c>
      <c r="F7672" s="2355" t="s">
        <v>7180</v>
      </c>
    </row>
    <row r="7673" spans="1:6" ht="15" customHeight="1" x14ac:dyDescent="0.25">
      <c r="A7673" s="2354" t="s">
        <v>14056</v>
      </c>
      <c r="B7673" s="2354" t="s">
        <v>7195</v>
      </c>
      <c r="C7673" s="2354" t="s">
        <v>7195</v>
      </c>
      <c r="D7673" s="2354" t="s">
        <v>7487</v>
      </c>
      <c r="E7673" s="2344">
        <v>160</v>
      </c>
      <c r="F7673" s="2355" t="s">
        <v>7180</v>
      </c>
    </row>
    <row r="7674" spans="1:6" ht="15" customHeight="1" x14ac:dyDescent="0.25">
      <c r="A7674" s="2354" t="s">
        <v>7454</v>
      </c>
      <c r="B7674" s="2354" t="s">
        <v>7195</v>
      </c>
      <c r="C7674" s="2354" t="s">
        <v>7195</v>
      </c>
      <c r="D7674" s="2354" t="s">
        <v>7488</v>
      </c>
      <c r="E7674" s="2344">
        <v>400</v>
      </c>
      <c r="F7674" s="2355" t="s">
        <v>7180</v>
      </c>
    </row>
    <row r="7675" spans="1:6" ht="15" customHeight="1" x14ac:dyDescent="0.25">
      <c r="A7675" s="2354" t="s">
        <v>7454</v>
      </c>
      <c r="B7675" s="2354" t="s">
        <v>7195</v>
      </c>
      <c r="C7675" s="2354" t="s">
        <v>7195</v>
      </c>
      <c r="D7675" s="2354" t="s">
        <v>7489</v>
      </c>
      <c r="E7675" s="2344">
        <v>250</v>
      </c>
      <c r="F7675" s="2355" t="s">
        <v>7180</v>
      </c>
    </row>
    <row r="7676" spans="1:6" ht="15" customHeight="1" x14ac:dyDescent="0.25">
      <c r="A7676" s="2354" t="s">
        <v>7421</v>
      </c>
      <c r="B7676" s="2354" t="s">
        <v>7195</v>
      </c>
      <c r="C7676" s="2354" t="s">
        <v>7195</v>
      </c>
      <c r="D7676" s="2354" t="s">
        <v>7490</v>
      </c>
      <c r="E7676" s="2344">
        <v>160</v>
      </c>
      <c r="F7676" s="2355" t="s">
        <v>7180</v>
      </c>
    </row>
    <row r="7677" spans="1:6" ht="15" customHeight="1" x14ac:dyDescent="0.25">
      <c r="A7677" s="2354" t="s">
        <v>7491</v>
      </c>
      <c r="B7677" s="2354" t="s">
        <v>7195</v>
      </c>
      <c r="C7677" s="2354" t="s">
        <v>7195</v>
      </c>
      <c r="D7677" s="2354" t="s">
        <v>7492</v>
      </c>
      <c r="E7677" s="2344">
        <v>100</v>
      </c>
      <c r="F7677" s="2355" t="s">
        <v>7180</v>
      </c>
    </row>
    <row r="7678" spans="1:6" ht="15" customHeight="1" x14ac:dyDescent="0.25">
      <c r="A7678" s="2354" t="s">
        <v>7391</v>
      </c>
      <c r="B7678" s="2354" t="s">
        <v>7195</v>
      </c>
      <c r="C7678" s="2354" t="s">
        <v>7195</v>
      </c>
      <c r="D7678" s="2354" t="s">
        <v>7493</v>
      </c>
      <c r="E7678" s="2344">
        <v>160</v>
      </c>
      <c r="F7678" s="2355" t="s">
        <v>7180</v>
      </c>
    </row>
    <row r="7679" spans="1:6" ht="15" customHeight="1" x14ac:dyDescent="0.25">
      <c r="A7679" s="2354" t="s">
        <v>7391</v>
      </c>
      <c r="B7679" s="2354" t="s">
        <v>7195</v>
      </c>
      <c r="C7679" s="2354" t="s">
        <v>7195</v>
      </c>
      <c r="D7679" s="2354" t="s">
        <v>7494</v>
      </c>
      <c r="E7679" s="2344">
        <v>250</v>
      </c>
      <c r="F7679" s="2355" t="s">
        <v>7180</v>
      </c>
    </row>
    <row r="7680" spans="1:6" ht="15" customHeight="1" x14ac:dyDescent="0.25">
      <c r="A7680" s="2354" t="s">
        <v>11750</v>
      </c>
      <c r="B7680" s="2354" t="s">
        <v>7195</v>
      </c>
      <c r="C7680" s="2354" t="s">
        <v>7195</v>
      </c>
      <c r="D7680" s="2354" t="s">
        <v>7495</v>
      </c>
      <c r="E7680" s="2344">
        <v>160</v>
      </c>
      <c r="F7680" s="2355" t="s">
        <v>7180</v>
      </c>
    </row>
    <row r="7681" spans="1:6" ht="15" customHeight="1" x14ac:dyDescent="0.25">
      <c r="A7681" s="2354" t="s">
        <v>7314</v>
      </c>
      <c r="B7681" s="2354" t="s">
        <v>7195</v>
      </c>
      <c r="C7681" s="2354" t="s">
        <v>7195</v>
      </c>
      <c r="D7681" s="2354" t="s">
        <v>7496</v>
      </c>
      <c r="E7681" s="2344">
        <v>250</v>
      </c>
      <c r="F7681" s="2355" t="s">
        <v>7180</v>
      </c>
    </row>
    <row r="7682" spans="1:6" ht="15" customHeight="1" x14ac:dyDescent="0.25">
      <c r="A7682" s="2352" t="s">
        <v>14172</v>
      </c>
      <c r="B7682" s="2352" t="s">
        <v>5782</v>
      </c>
      <c r="C7682" s="2352" t="s">
        <v>5782</v>
      </c>
      <c r="D7682" s="2352" t="s">
        <v>20081</v>
      </c>
      <c r="E7682" s="355">
        <v>160</v>
      </c>
      <c r="F7682" s="1662">
        <v>120</v>
      </c>
    </row>
    <row r="7683" spans="1:6" ht="15" customHeight="1" x14ac:dyDescent="0.25">
      <c r="A7683" s="2352" t="s">
        <v>14173</v>
      </c>
      <c r="B7683" s="2352" t="s">
        <v>5782</v>
      </c>
      <c r="C7683" s="2352" t="s">
        <v>5782</v>
      </c>
      <c r="D7683" s="2352" t="s">
        <v>5783</v>
      </c>
      <c r="E7683" s="355">
        <v>100</v>
      </c>
      <c r="F7683" s="1662">
        <v>25</v>
      </c>
    </row>
    <row r="7684" spans="1:6" ht="15" customHeight="1" x14ac:dyDescent="0.25">
      <c r="A7684" s="2352" t="s">
        <v>10128</v>
      </c>
      <c r="B7684" s="2352" t="s">
        <v>5782</v>
      </c>
      <c r="C7684" s="2352" t="s">
        <v>5782</v>
      </c>
      <c r="D7684" s="2352" t="s">
        <v>5784</v>
      </c>
      <c r="E7684" s="355">
        <v>100</v>
      </c>
      <c r="F7684" s="1662">
        <v>40</v>
      </c>
    </row>
    <row r="7685" spans="1:6" ht="15" customHeight="1" x14ac:dyDescent="0.25">
      <c r="A7685" s="2352" t="s">
        <v>14174</v>
      </c>
      <c r="B7685" s="2352" t="s">
        <v>5782</v>
      </c>
      <c r="C7685" s="2352" t="s">
        <v>5782</v>
      </c>
      <c r="D7685" s="2352" t="s">
        <v>5785</v>
      </c>
      <c r="E7685" s="355">
        <v>60</v>
      </c>
      <c r="F7685" s="1662">
        <v>35</v>
      </c>
    </row>
    <row r="7686" spans="1:6" ht="15" customHeight="1" x14ac:dyDescent="0.25">
      <c r="A7686" s="2352" t="s">
        <v>14172</v>
      </c>
      <c r="B7686" s="2352" t="s">
        <v>5782</v>
      </c>
      <c r="C7686" s="2352" t="s">
        <v>5782</v>
      </c>
      <c r="D7686" s="2352" t="s">
        <v>5786</v>
      </c>
      <c r="E7686" s="355">
        <v>100</v>
      </c>
      <c r="F7686" s="1662">
        <v>20</v>
      </c>
    </row>
    <row r="7687" spans="1:6" ht="15" customHeight="1" x14ac:dyDescent="0.25">
      <c r="A7687" s="2352" t="s">
        <v>14172</v>
      </c>
      <c r="B7687" s="2352" t="s">
        <v>5782</v>
      </c>
      <c r="C7687" s="2352" t="s">
        <v>5782</v>
      </c>
      <c r="D7687" s="2352" t="s">
        <v>20082</v>
      </c>
      <c r="E7687" s="355">
        <v>630</v>
      </c>
      <c r="F7687" s="1662">
        <v>60</v>
      </c>
    </row>
    <row r="7688" spans="1:6" ht="15" customHeight="1" x14ac:dyDescent="0.25">
      <c r="A7688" s="2352" t="s">
        <v>9286</v>
      </c>
      <c r="B7688" s="2352" t="s">
        <v>5782</v>
      </c>
      <c r="C7688" s="2352" t="s">
        <v>5782</v>
      </c>
      <c r="D7688" s="2352" t="s">
        <v>5787</v>
      </c>
      <c r="E7688" s="355">
        <v>40</v>
      </c>
      <c r="F7688" s="1662">
        <v>15</v>
      </c>
    </row>
    <row r="7689" spans="1:6" ht="15" customHeight="1" x14ac:dyDescent="0.25">
      <c r="A7689" s="2352" t="s">
        <v>14175</v>
      </c>
      <c r="B7689" s="2352" t="s">
        <v>5782</v>
      </c>
      <c r="C7689" s="2352" t="s">
        <v>5782</v>
      </c>
      <c r="D7689" s="2352" t="s">
        <v>5788</v>
      </c>
      <c r="E7689" s="355">
        <v>100</v>
      </c>
      <c r="F7689" s="1662">
        <v>15</v>
      </c>
    </row>
    <row r="7690" spans="1:6" ht="15" customHeight="1" x14ac:dyDescent="0.25">
      <c r="A7690" s="2352" t="s">
        <v>14175</v>
      </c>
      <c r="B7690" s="2352" t="s">
        <v>5782</v>
      </c>
      <c r="C7690" s="2352" t="s">
        <v>5782</v>
      </c>
      <c r="D7690" s="2352" t="s">
        <v>5789</v>
      </c>
      <c r="E7690" s="355">
        <v>100</v>
      </c>
      <c r="F7690" s="1662">
        <v>15</v>
      </c>
    </row>
    <row r="7691" spans="1:6" ht="15" customHeight="1" x14ac:dyDescent="0.25">
      <c r="A7691" s="2352" t="s">
        <v>14175</v>
      </c>
      <c r="B7691" s="2352" t="s">
        <v>5782</v>
      </c>
      <c r="C7691" s="2352" t="s">
        <v>5782</v>
      </c>
      <c r="D7691" s="2352" t="s">
        <v>5790</v>
      </c>
      <c r="E7691" s="355">
        <v>250</v>
      </c>
      <c r="F7691" s="1662">
        <v>70</v>
      </c>
    </row>
    <row r="7692" spans="1:6" ht="15" customHeight="1" x14ac:dyDescent="0.25">
      <c r="A7692" s="2352" t="s">
        <v>14175</v>
      </c>
      <c r="B7692" s="2352" t="s">
        <v>5782</v>
      </c>
      <c r="C7692" s="2352" t="s">
        <v>5782</v>
      </c>
      <c r="D7692" s="2352" t="s">
        <v>5791</v>
      </c>
      <c r="E7692" s="355">
        <v>100</v>
      </c>
      <c r="F7692" s="1662">
        <v>50</v>
      </c>
    </row>
    <row r="7693" spans="1:6" ht="15" customHeight="1" x14ac:dyDescent="0.25">
      <c r="A7693" s="2352" t="s">
        <v>4594</v>
      </c>
      <c r="B7693" s="2352" t="s">
        <v>5782</v>
      </c>
      <c r="C7693" s="2352" t="s">
        <v>5782</v>
      </c>
      <c r="D7693" s="2352" t="s">
        <v>5792</v>
      </c>
      <c r="E7693" s="355">
        <v>250</v>
      </c>
      <c r="F7693" s="1662">
        <v>15</v>
      </c>
    </row>
    <row r="7694" spans="1:6" ht="15" customHeight="1" x14ac:dyDescent="0.25">
      <c r="A7694" s="2352" t="s">
        <v>14176</v>
      </c>
      <c r="B7694" s="2352" t="s">
        <v>5782</v>
      </c>
      <c r="C7694" s="2352" t="s">
        <v>5782</v>
      </c>
      <c r="D7694" s="2352" t="s">
        <v>5793</v>
      </c>
      <c r="E7694" s="355">
        <v>160</v>
      </c>
      <c r="F7694" s="1662">
        <v>25</v>
      </c>
    </row>
    <row r="7695" spans="1:6" ht="15" customHeight="1" x14ac:dyDescent="0.25">
      <c r="A7695" s="2352" t="s">
        <v>5794</v>
      </c>
      <c r="B7695" s="2352" t="s">
        <v>5782</v>
      </c>
      <c r="C7695" s="2352" t="s">
        <v>5782</v>
      </c>
      <c r="D7695" s="2352" t="s">
        <v>5795</v>
      </c>
      <c r="E7695" s="355">
        <v>160</v>
      </c>
      <c r="F7695" s="1662">
        <v>40</v>
      </c>
    </row>
    <row r="7696" spans="1:6" ht="15" customHeight="1" x14ac:dyDescent="0.25">
      <c r="A7696" s="2352" t="s">
        <v>4594</v>
      </c>
      <c r="B7696" s="2352" t="s">
        <v>5782</v>
      </c>
      <c r="C7696" s="2352" t="s">
        <v>5782</v>
      </c>
      <c r="D7696" s="2352" t="s">
        <v>5796</v>
      </c>
      <c r="E7696" s="355">
        <v>400</v>
      </c>
      <c r="F7696" s="1662">
        <v>160</v>
      </c>
    </row>
    <row r="7697" spans="1:6" ht="15" customHeight="1" x14ac:dyDescent="0.25">
      <c r="A7697" s="2352" t="s">
        <v>4594</v>
      </c>
      <c r="B7697" s="2352" t="s">
        <v>5782</v>
      </c>
      <c r="C7697" s="2352" t="s">
        <v>5782</v>
      </c>
      <c r="D7697" s="2352" t="s">
        <v>5797</v>
      </c>
      <c r="E7697" s="355">
        <v>400</v>
      </c>
      <c r="F7697" s="1662">
        <v>370</v>
      </c>
    </row>
    <row r="7698" spans="1:6" ht="15" customHeight="1" x14ac:dyDescent="0.25">
      <c r="A7698" s="2352" t="s">
        <v>5798</v>
      </c>
      <c r="B7698" s="2352" t="s">
        <v>5782</v>
      </c>
      <c r="C7698" s="2352" t="s">
        <v>5782</v>
      </c>
      <c r="D7698" s="2352" t="s">
        <v>5799</v>
      </c>
      <c r="E7698" s="355">
        <v>100</v>
      </c>
      <c r="F7698" s="1662">
        <v>10</v>
      </c>
    </row>
    <row r="7699" spans="1:6" ht="15" customHeight="1" x14ac:dyDescent="0.25">
      <c r="A7699" s="2352" t="s">
        <v>14177</v>
      </c>
      <c r="B7699" s="2352" t="s">
        <v>5782</v>
      </c>
      <c r="C7699" s="2352" t="s">
        <v>5782</v>
      </c>
      <c r="D7699" s="2352" t="s">
        <v>5800</v>
      </c>
      <c r="E7699" s="355">
        <v>100</v>
      </c>
      <c r="F7699" s="1662">
        <v>15</v>
      </c>
    </row>
    <row r="7700" spans="1:6" ht="15" customHeight="1" x14ac:dyDescent="0.25">
      <c r="A7700" s="2352" t="s">
        <v>11600</v>
      </c>
      <c r="B7700" s="2352" t="s">
        <v>5782</v>
      </c>
      <c r="C7700" s="2352" t="s">
        <v>5782</v>
      </c>
      <c r="D7700" s="2352" t="s">
        <v>5801</v>
      </c>
      <c r="E7700" s="355">
        <v>60</v>
      </c>
      <c r="F7700" s="1662">
        <v>15</v>
      </c>
    </row>
    <row r="7701" spans="1:6" ht="15" customHeight="1" x14ac:dyDescent="0.25">
      <c r="A7701" s="2352" t="s">
        <v>14178</v>
      </c>
      <c r="B7701" s="2352" t="s">
        <v>5782</v>
      </c>
      <c r="C7701" s="2352" t="s">
        <v>5782</v>
      </c>
      <c r="D7701" s="2352" t="s">
        <v>5802</v>
      </c>
      <c r="E7701" s="355">
        <v>63</v>
      </c>
      <c r="F7701" s="1662">
        <v>20</v>
      </c>
    </row>
    <row r="7702" spans="1:6" ht="15" customHeight="1" x14ac:dyDescent="0.25">
      <c r="A7702" s="2352" t="s">
        <v>10790</v>
      </c>
      <c r="B7702" s="2352" t="s">
        <v>5782</v>
      </c>
      <c r="C7702" s="2352" t="s">
        <v>5782</v>
      </c>
      <c r="D7702" s="2352" t="s">
        <v>5803</v>
      </c>
      <c r="E7702" s="355">
        <v>100</v>
      </c>
      <c r="F7702" s="1662">
        <v>30</v>
      </c>
    </row>
    <row r="7703" spans="1:6" ht="15" customHeight="1" x14ac:dyDescent="0.25">
      <c r="A7703" s="2352" t="s">
        <v>14179</v>
      </c>
      <c r="B7703" s="2352" t="s">
        <v>5782</v>
      </c>
      <c r="C7703" s="2352" t="s">
        <v>5782</v>
      </c>
      <c r="D7703" s="2352" t="s">
        <v>5804</v>
      </c>
      <c r="E7703" s="355">
        <v>60</v>
      </c>
      <c r="F7703" s="1662">
        <v>15</v>
      </c>
    </row>
    <row r="7704" spans="1:6" ht="15" customHeight="1" x14ac:dyDescent="0.25">
      <c r="A7704" s="2352" t="s">
        <v>14180</v>
      </c>
      <c r="B7704" s="2352" t="s">
        <v>5782</v>
      </c>
      <c r="C7704" s="2352" t="s">
        <v>5782</v>
      </c>
      <c r="D7704" s="2352" t="s">
        <v>5805</v>
      </c>
      <c r="E7704" s="355">
        <v>60</v>
      </c>
      <c r="F7704" s="1662">
        <v>15</v>
      </c>
    </row>
    <row r="7705" spans="1:6" ht="15" customHeight="1" x14ac:dyDescent="0.25">
      <c r="A7705" s="2352" t="s">
        <v>7369</v>
      </c>
      <c r="B7705" s="2352" t="s">
        <v>5782</v>
      </c>
      <c r="C7705" s="2352" t="s">
        <v>5782</v>
      </c>
      <c r="D7705" s="2352" t="s">
        <v>5806</v>
      </c>
      <c r="E7705" s="355">
        <v>30</v>
      </c>
      <c r="F7705" s="1662">
        <v>5</v>
      </c>
    </row>
    <row r="7706" spans="1:6" ht="15" customHeight="1" x14ac:dyDescent="0.25">
      <c r="A7706" s="2352" t="s">
        <v>14181</v>
      </c>
      <c r="B7706" s="2352" t="s">
        <v>5782</v>
      </c>
      <c r="C7706" s="2352" t="s">
        <v>5782</v>
      </c>
      <c r="D7706" s="2352" t="s">
        <v>5807</v>
      </c>
      <c r="E7706" s="355">
        <v>60</v>
      </c>
      <c r="F7706" s="1662">
        <v>15</v>
      </c>
    </row>
    <row r="7707" spans="1:6" ht="15" customHeight="1" x14ac:dyDescent="0.25">
      <c r="A7707" s="2352" t="s">
        <v>4212</v>
      </c>
      <c r="B7707" s="2352" t="s">
        <v>5782</v>
      </c>
      <c r="C7707" s="2352" t="s">
        <v>5782</v>
      </c>
      <c r="D7707" s="2352" t="s">
        <v>5808</v>
      </c>
      <c r="E7707" s="355">
        <v>100</v>
      </c>
      <c r="F7707" s="1662">
        <v>65</v>
      </c>
    </row>
    <row r="7708" spans="1:6" ht="15" customHeight="1" x14ac:dyDescent="0.25">
      <c r="A7708" s="2352" t="s">
        <v>3824</v>
      </c>
      <c r="B7708" s="2352" t="s">
        <v>5782</v>
      </c>
      <c r="C7708" s="2352" t="s">
        <v>5782</v>
      </c>
      <c r="D7708" s="2352" t="s">
        <v>5809</v>
      </c>
      <c r="E7708" s="355">
        <v>100</v>
      </c>
      <c r="F7708" s="1662">
        <v>15</v>
      </c>
    </row>
    <row r="7709" spans="1:6" ht="15" customHeight="1" x14ac:dyDescent="0.25">
      <c r="A7709" s="2352" t="s">
        <v>3824</v>
      </c>
      <c r="B7709" s="2352" t="s">
        <v>5782</v>
      </c>
      <c r="C7709" s="2352" t="s">
        <v>5782</v>
      </c>
      <c r="D7709" s="2352" t="s">
        <v>5810</v>
      </c>
      <c r="E7709" s="355">
        <v>160</v>
      </c>
      <c r="F7709" s="1662">
        <v>25</v>
      </c>
    </row>
    <row r="7710" spans="1:6" ht="15" customHeight="1" x14ac:dyDescent="0.25">
      <c r="A7710" s="2352" t="s">
        <v>14182</v>
      </c>
      <c r="B7710" s="2352" t="s">
        <v>5782</v>
      </c>
      <c r="C7710" s="2352" t="s">
        <v>5782</v>
      </c>
      <c r="D7710" s="2352" t="s">
        <v>5811</v>
      </c>
      <c r="E7710" s="355">
        <v>63</v>
      </c>
      <c r="F7710" s="1662">
        <v>20</v>
      </c>
    </row>
    <row r="7711" spans="1:6" ht="15" customHeight="1" x14ac:dyDescent="0.25">
      <c r="A7711" s="2352" t="s">
        <v>14183</v>
      </c>
      <c r="B7711" s="2352" t="s">
        <v>5782</v>
      </c>
      <c r="C7711" s="2352" t="s">
        <v>5782</v>
      </c>
      <c r="D7711" s="2352" t="s">
        <v>5812</v>
      </c>
      <c r="E7711" s="355">
        <v>250</v>
      </c>
      <c r="F7711" s="1662">
        <v>30</v>
      </c>
    </row>
    <row r="7712" spans="1:6" ht="15" customHeight="1" x14ac:dyDescent="0.25">
      <c r="A7712" s="2352" t="s">
        <v>14184</v>
      </c>
      <c r="B7712" s="2352" t="s">
        <v>5782</v>
      </c>
      <c r="C7712" s="2352" t="s">
        <v>5782</v>
      </c>
      <c r="D7712" s="2352" t="s">
        <v>5813</v>
      </c>
      <c r="E7712" s="355">
        <v>10</v>
      </c>
      <c r="F7712" s="1662">
        <v>1</v>
      </c>
    </row>
    <row r="7713" spans="1:6" ht="15" customHeight="1" x14ac:dyDescent="0.25">
      <c r="A7713" s="2352" t="s">
        <v>14185</v>
      </c>
      <c r="B7713" s="2352" t="s">
        <v>5782</v>
      </c>
      <c r="C7713" s="2352" t="s">
        <v>5782</v>
      </c>
      <c r="D7713" s="2352" t="s">
        <v>5814</v>
      </c>
      <c r="E7713" s="355">
        <v>100</v>
      </c>
      <c r="F7713" s="1662">
        <v>15</v>
      </c>
    </row>
    <row r="7714" spans="1:6" ht="15" customHeight="1" x14ac:dyDescent="0.25">
      <c r="A7714" s="2352" t="s">
        <v>14186</v>
      </c>
      <c r="B7714" s="2352" t="s">
        <v>5782</v>
      </c>
      <c r="C7714" s="2352" t="s">
        <v>5782</v>
      </c>
      <c r="D7714" s="2352" t="s">
        <v>5815</v>
      </c>
      <c r="E7714" s="355">
        <v>10</v>
      </c>
      <c r="F7714" s="1662">
        <v>1</v>
      </c>
    </row>
    <row r="7715" spans="1:6" ht="15" customHeight="1" x14ac:dyDescent="0.25">
      <c r="A7715" s="2352" t="s">
        <v>14187</v>
      </c>
      <c r="B7715" s="2352" t="s">
        <v>5782</v>
      </c>
      <c r="C7715" s="2352" t="s">
        <v>5782</v>
      </c>
      <c r="D7715" s="2352" t="s">
        <v>5816</v>
      </c>
      <c r="E7715" s="355">
        <v>160</v>
      </c>
      <c r="F7715" s="1662">
        <v>20</v>
      </c>
    </row>
    <row r="7716" spans="1:6" ht="15" customHeight="1" x14ac:dyDescent="0.25">
      <c r="A7716" s="2352" t="s">
        <v>14188</v>
      </c>
      <c r="B7716" s="2352" t="s">
        <v>5782</v>
      </c>
      <c r="C7716" s="2352" t="s">
        <v>5782</v>
      </c>
      <c r="D7716" s="2352" t="s">
        <v>5817</v>
      </c>
      <c r="E7716" s="355">
        <v>30</v>
      </c>
      <c r="F7716" s="1662">
        <v>5</v>
      </c>
    </row>
    <row r="7717" spans="1:6" ht="15" customHeight="1" x14ac:dyDescent="0.25">
      <c r="A7717" s="2352" t="s">
        <v>14189</v>
      </c>
      <c r="B7717" s="2352" t="s">
        <v>5782</v>
      </c>
      <c r="C7717" s="2352" t="s">
        <v>5782</v>
      </c>
      <c r="D7717" s="2352" t="s">
        <v>5818</v>
      </c>
      <c r="E7717" s="355">
        <v>63</v>
      </c>
      <c r="F7717" s="1662">
        <v>5</v>
      </c>
    </row>
    <row r="7718" spans="1:6" ht="15" customHeight="1" x14ac:dyDescent="0.25">
      <c r="A7718" s="2352" t="s">
        <v>14190</v>
      </c>
      <c r="B7718" s="2352" t="s">
        <v>5782</v>
      </c>
      <c r="C7718" s="2352" t="s">
        <v>5782</v>
      </c>
      <c r="D7718" s="2352" t="s">
        <v>5819</v>
      </c>
      <c r="E7718" s="355">
        <v>30</v>
      </c>
      <c r="F7718" s="1662">
        <v>10</v>
      </c>
    </row>
    <row r="7719" spans="1:6" ht="15" customHeight="1" x14ac:dyDescent="0.25">
      <c r="A7719" s="2352" t="s">
        <v>14191</v>
      </c>
      <c r="B7719" s="2352" t="s">
        <v>5782</v>
      </c>
      <c r="C7719" s="2352" t="s">
        <v>5782</v>
      </c>
      <c r="D7719" s="2352" t="s">
        <v>5820</v>
      </c>
      <c r="E7719" s="355">
        <v>60</v>
      </c>
      <c r="F7719" s="1662">
        <v>12</v>
      </c>
    </row>
    <row r="7720" spans="1:6" ht="15" customHeight="1" x14ac:dyDescent="0.25">
      <c r="A7720" s="2352" t="s">
        <v>14192</v>
      </c>
      <c r="B7720" s="2352" t="s">
        <v>5782</v>
      </c>
      <c r="C7720" s="2352" t="s">
        <v>5782</v>
      </c>
      <c r="D7720" s="2352" t="s">
        <v>5821</v>
      </c>
      <c r="E7720" s="355">
        <v>100</v>
      </c>
      <c r="F7720" s="1662">
        <v>10</v>
      </c>
    </row>
    <row r="7721" spans="1:6" ht="15" customHeight="1" x14ac:dyDescent="0.25">
      <c r="A7721" s="2352" t="s">
        <v>4153</v>
      </c>
      <c r="B7721" s="2352" t="s">
        <v>5782</v>
      </c>
      <c r="C7721" s="2352" t="s">
        <v>5782</v>
      </c>
      <c r="D7721" s="2352" t="s">
        <v>5822</v>
      </c>
      <c r="E7721" s="355">
        <v>30</v>
      </c>
      <c r="F7721" s="1662">
        <v>5</v>
      </c>
    </row>
    <row r="7722" spans="1:6" ht="15" customHeight="1" x14ac:dyDescent="0.25">
      <c r="A7722" s="2352" t="s">
        <v>14193</v>
      </c>
      <c r="B7722" s="2352" t="s">
        <v>5782</v>
      </c>
      <c r="C7722" s="2352" t="s">
        <v>5782</v>
      </c>
      <c r="D7722" s="2352" t="s">
        <v>5823</v>
      </c>
      <c r="E7722" s="355">
        <v>60</v>
      </c>
      <c r="F7722" s="1662">
        <v>5</v>
      </c>
    </row>
    <row r="7723" spans="1:6" ht="15" customHeight="1" x14ac:dyDescent="0.25">
      <c r="A7723" s="2352" t="s">
        <v>6701</v>
      </c>
      <c r="B7723" s="2352" t="s">
        <v>5782</v>
      </c>
      <c r="C7723" s="2352" t="s">
        <v>5782</v>
      </c>
      <c r="D7723" s="2352" t="s">
        <v>5824</v>
      </c>
      <c r="E7723" s="355">
        <v>100</v>
      </c>
      <c r="F7723" s="1662">
        <v>15</v>
      </c>
    </row>
    <row r="7724" spans="1:6" ht="15" customHeight="1" x14ac:dyDescent="0.25">
      <c r="A7724" s="2352" t="s">
        <v>10790</v>
      </c>
      <c r="B7724" s="2352" t="s">
        <v>5782</v>
      </c>
      <c r="C7724" s="2352" t="s">
        <v>5782</v>
      </c>
      <c r="D7724" s="2352" t="s">
        <v>5825</v>
      </c>
      <c r="E7724" s="355">
        <v>100</v>
      </c>
      <c r="F7724" s="1662">
        <v>5</v>
      </c>
    </row>
    <row r="7725" spans="1:6" ht="15" customHeight="1" x14ac:dyDescent="0.25">
      <c r="A7725" s="2352" t="s">
        <v>14194</v>
      </c>
      <c r="B7725" s="2352" t="s">
        <v>5782</v>
      </c>
      <c r="C7725" s="2352" t="s">
        <v>5782</v>
      </c>
      <c r="D7725" s="2352" t="s">
        <v>5826</v>
      </c>
      <c r="E7725" s="355">
        <v>100</v>
      </c>
      <c r="F7725" s="1662">
        <v>25</v>
      </c>
    </row>
    <row r="7726" spans="1:6" ht="15" customHeight="1" x14ac:dyDescent="0.25">
      <c r="A7726" s="2352" t="s">
        <v>14195</v>
      </c>
      <c r="B7726" s="2352" t="s">
        <v>5782</v>
      </c>
      <c r="C7726" s="2352" t="s">
        <v>5782</v>
      </c>
      <c r="D7726" s="2352" t="s">
        <v>5827</v>
      </c>
      <c r="E7726" s="355">
        <v>30</v>
      </c>
      <c r="F7726" s="1662">
        <v>5</v>
      </c>
    </row>
    <row r="7727" spans="1:6" ht="15" customHeight="1" x14ac:dyDescent="0.25">
      <c r="A7727" s="2352" t="s">
        <v>14196</v>
      </c>
      <c r="B7727" s="2352" t="s">
        <v>5782</v>
      </c>
      <c r="C7727" s="2352" t="s">
        <v>5782</v>
      </c>
      <c r="D7727" s="2352" t="s">
        <v>5828</v>
      </c>
      <c r="E7727" s="355">
        <v>20</v>
      </c>
      <c r="F7727" s="1662">
        <v>5</v>
      </c>
    </row>
    <row r="7728" spans="1:6" ht="15" customHeight="1" x14ac:dyDescent="0.25">
      <c r="A7728" s="2352" t="s">
        <v>10790</v>
      </c>
      <c r="B7728" s="2352" t="s">
        <v>5782</v>
      </c>
      <c r="C7728" s="2352" t="s">
        <v>5782</v>
      </c>
      <c r="D7728" s="2352" t="s">
        <v>5829</v>
      </c>
      <c r="E7728" s="355">
        <v>160</v>
      </c>
      <c r="F7728" s="1662">
        <v>25</v>
      </c>
    </row>
    <row r="7729" spans="1:6" ht="15" customHeight="1" x14ac:dyDescent="0.25">
      <c r="A7729" s="2352" t="s">
        <v>10790</v>
      </c>
      <c r="B7729" s="2352" t="s">
        <v>5782</v>
      </c>
      <c r="C7729" s="2352" t="s">
        <v>5782</v>
      </c>
      <c r="D7729" s="2352" t="s">
        <v>5830</v>
      </c>
      <c r="E7729" s="355">
        <v>250</v>
      </c>
      <c r="F7729" s="1662">
        <v>55</v>
      </c>
    </row>
    <row r="7730" spans="1:6" ht="15" customHeight="1" x14ac:dyDescent="0.25">
      <c r="A7730" s="2352" t="s">
        <v>14197</v>
      </c>
      <c r="B7730" s="2352" t="s">
        <v>5782</v>
      </c>
      <c r="C7730" s="2352" t="s">
        <v>5782</v>
      </c>
      <c r="D7730" s="2352" t="s">
        <v>5831</v>
      </c>
      <c r="E7730" s="355">
        <v>100</v>
      </c>
      <c r="F7730" s="1662">
        <v>20</v>
      </c>
    </row>
    <row r="7731" spans="1:6" ht="15" customHeight="1" x14ac:dyDescent="0.25">
      <c r="A7731" s="2352" t="s">
        <v>14198</v>
      </c>
      <c r="B7731" s="2352" t="s">
        <v>5782</v>
      </c>
      <c r="C7731" s="2352" t="s">
        <v>5782</v>
      </c>
      <c r="D7731" s="2352" t="s">
        <v>5832</v>
      </c>
      <c r="E7731" s="355">
        <v>20</v>
      </c>
      <c r="F7731" s="1662">
        <v>15</v>
      </c>
    </row>
    <row r="7732" spans="1:6" ht="15" customHeight="1" x14ac:dyDescent="0.25">
      <c r="A7732" s="2352" t="s">
        <v>10568</v>
      </c>
      <c r="B7732" s="2352" t="s">
        <v>5782</v>
      </c>
      <c r="C7732" s="2352" t="s">
        <v>5782</v>
      </c>
      <c r="D7732" s="2352" t="s">
        <v>5833</v>
      </c>
      <c r="E7732" s="355">
        <v>63</v>
      </c>
      <c r="F7732" s="1662">
        <v>30</v>
      </c>
    </row>
    <row r="7733" spans="1:6" ht="15" customHeight="1" x14ac:dyDescent="0.25">
      <c r="A7733" s="2352" t="s">
        <v>14199</v>
      </c>
      <c r="B7733" s="2352" t="s">
        <v>5782</v>
      </c>
      <c r="C7733" s="2352" t="s">
        <v>5782</v>
      </c>
      <c r="D7733" s="2352" t="s">
        <v>5834</v>
      </c>
      <c r="E7733" s="355">
        <v>160</v>
      </c>
      <c r="F7733" s="1662">
        <v>20</v>
      </c>
    </row>
    <row r="7734" spans="1:6" ht="15" customHeight="1" x14ac:dyDescent="0.25">
      <c r="A7734" s="2352" t="s">
        <v>14199</v>
      </c>
      <c r="B7734" s="2352" t="s">
        <v>5782</v>
      </c>
      <c r="C7734" s="2352" t="s">
        <v>5782</v>
      </c>
      <c r="D7734" s="2352" t="s">
        <v>5835</v>
      </c>
      <c r="E7734" s="355">
        <v>100</v>
      </c>
      <c r="F7734" s="1662">
        <v>12</v>
      </c>
    </row>
    <row r="7735" spans="1:6" ht="15" customHeight="1" x14ac:dyDescent="0.25">
      <c r="A7735" s="2352" t="s">
        <v>14199</v>
      </c>
      <c r="B7735" s="2352" t="s">
        <v>5782</v>
      </c>
      <c r="C7735" s="2352" t="s">
        <v>5782</v>
      </c>
      <c r="D7735" s="2352" t="s">
        <v>5836</v>
      </c>
      <c r="E7735" s="355">
        <v>100</v>
      </c>
      <c r="F7735" s="1662">
        <v>40</v>
      </c>
    </row>
    <row r="7736" spans="1:6" ht="15" customHeight="1" x14ac:dyDescent="0.25">
      <c r="A7736" s="2352" t="s">
        <v>14199</v>
      </c>
      <c r="B7736" s="2352" t="s">
        <v>5782</v>
      </c>
      <c r="C7736" s="2352" t="s">
        <v>5782</v>
      </c>
      <c r="D7736" s="2352" t="s">
        <v>5837</v>
      </c>
      <c r="E7736" s="355">
        <v>160</v>
      </c>
      <c r="F7736" s="1662">
        <v>105</v>
      </c>
    </row>
    <row r="7737" spans="1:6" ht="15" customHeight="1" x14ac:dyDescent="0.25">
      <c r="A7737" s="2352" t="s">
        <v>14199</v>
      </c>
      <c r="B7737" s="2352" t="s">
        <v>5782</v>
      </c>
      <c r="C7737" s="2352" t="s">
        <v>5782</v>
      </c>
      <c r="D7737" s="2352" t="s">
        <v>5838</v>
      </c>
      <c r="E7737" s="355">
        <v>100</v>
      </c>
      <c r="F7737" s="1662">
        <v>5</v>
      </c>
    </row>
    <row r="7738" spans="1:6" ht="15" customHeight="1" x14ac:dyDescent="0.25">
      <c r="A7738" s="2352" t="s">
        <v>14199</v>
      </c>
      <c r="B7738" s="2352" t="s">
        <v>5782</v>
      </c>
      <c r="C7738" s="2352" t="s">
        <v>5782</v>
      </c>
      <c r="D7738" s="2352" t="s">
        <v>5839</v>
      </c>
      <c r="E7738" s="355">
        <v>250</v>
      </c>
      <c r="F7738" s="1662">
        <v>45</v>
      </c>
    </row>
    <row r="7739" spans="1:6" ht="15" customHeight="1" x14ac:dyDescent="0.25">
      <c r="A7739" s="2352" t="s">
        <v>14199</v>
      </c>
      <c r="B7739" s="2352" t="s">
        <v>5782</v>
      </c>
      <c r="C7739" s="2352" t="s">
        <v>5782</v>
      </c>
      <c r="D7739" s="2352" t="s">
        <v>5840</v>
      </c>
      <c r="E7739" s="355">
        <v>30</v>
      </c>
      <c r="F7739" s="1662">
        <v>2</v>
      </c>
    </row>
    <row r="7740" spans="1:6" ht="15" customHeight="1" x14ac:dyDescent="0.25">
      <c r="A7740" s="2352" t="s">
        <v>6078</v>
      </c>
      <c r="B7740" s="2352" t="s">
        <v>5782</v>
      </c>
      <c r="C7740" s="2352" t="s">
        <v>5782</v>
      </c>
      <c r="D7740" s="2352" t="s">
        <v>5841</v>
      </c>
      <c r="E7740" s="355">
        <v>160</v>
      </c>
      <c r="F7740" s="1662">
        <v>10</v>
      </c>
    </row>
    <row r="7741" spans="1:6" ht="15" customHeight="1" x14ac:dyDescent="0.25">
      <c r="A7741" s="2352" t="s">
        <v>6078</v>
      </c>
      <c r="B7741" s="2352" t="s">
        <v>5782</v>
      </c>
      <c r="C7741" s="2352" t="s">
        <v>5782</v>
      </c>
      <c r="D7741" s="2352" t="s">
        <v>5842</v>
      </c>
      <c r="E7741" s="355">
        <v>100</v>
      </c>
      <c r="F7741" s="1662">
        <v>10</v>
      </c>
    </row>
    <row r="7742" spans="1:6" ht="15" customHeight="1" x14ac:dyDescent="0.25">
      <c r="A7742" s="2352" t="s">
        <v>6078</v>
      </c>
      <c r="B7742" s="2352" t="s">
        <v>5782</v>
      </c>
      <c r="C7742" s="2352" t="s">
        <v>5782</v>
      </c>
      <c r="D7742" s="2352" t="s">
        <v>5843</v>
      </c>
      <c r="E7742" s="355">
        <v>250</v>
      </c>
      <c r="F7742" s="1662">
        <v>155</v>
      </c>
    </row>
    <row r="7743" spans="1:6" ht="15" customHeight="1" x14ac:dyDescent="0.25">
      <c r="A7743" s="2352" t="s">
        <v>5798</v>
      </c>
      <c r="B7743" s="2352" t="s">
        <v>5782</v>
      </c>
      <c r="C7743" s="2352" t="s">
        <v>5782</v>
      </c>
      <c r="D7743" s="2352" t="s">
        <v>5844</v>
      </c>
      <c r="E7743" s="355">
        <v>250</v>
      </c>
      <c r="F7743" s="1662">
        <v>130</v>
      </c>
    </row>
    <row r="7744" spans="1:6" ht="15" customHeight="1" x14ac:dyDescent="0.25">
      <c r="A7744" s="2352" t="s">
        <v>14200</v>
      </c>
      <c r="B7744" s="2352" t="s">
        <v>5782</v>
      </c>
      <c r="C7744" s="2352" t="s">
        <v>5782</v>
      </c>
      <c r="D7744" s="2352" t="s">
        <v>5845</v>
      </c>
      <c r="E7744" s="355">
        <v>60</v>
      </c>
      <c r="F7744" s="1662">
        <v>10</v>
      </c>
    </row>
    <row r="7745" spans="1:6" ht="15" customHeight="1" x14ac:dyDescent="0.25">
      <c r="A7745" s="2352" t="s">
        <v>14201</v>
      </c>
      <c r="B7745" s="2352" t="s">
        <v>5782</v>
      </c>
      <c r="C7745" s="2352" t="s">
        <v>5782</v>
      </c>
      <c r="D7745" s="2352" t="s">
        <v>5846</v>
      </c>
      <c r="E7745" s="355">
        <v>20</v>
      </c>
      <c r="F7745" s="1662">
        <v>3</v>
      </c>
    </row>
    <row r="7746" spans="1:6" ht="15" customHeight="1" x14ac:dyDescent="0.25">
      <c r="A7746" s="2352" t="s">
        <v>14202</v>
      </c>
      <c r="B7746" s="2352" t="s">
        <v>5782</v>
      </c>
      <c r="C7746" s="2352" t="s">
        <v>5782</v>
      </c>
      <c r="D7746" s="2352" t="s">
        <v>5847</v>
      </c>
      <c r="E7746" s="355">
        <v>60</v>
      </c>
      <c r="F7746" s="1662">
        <v>10</v>
      </c>
    </row>
    <row r="7747" spans="1:6" ht="15" customHeight="1" x14ac:dyDescent="0.25">
      <c r="A7747" s="2352" t="s">
        <v>14203</v>
      </c>
      <c r="B7747" s="2352" t="s">
        <v>5782</v>
      </c>
      <c r="C7747" s="2352" t="s">
        <v>5782</v>
      </c>
      <c r="D7747" s="2352" t="s">
        <v>5848</v>
      </c>
      <c r="E7747" s="355">
        <v>60</v>
      </c>
      <c r="F7747" s="1662">
        <v>10</v>
      </c>
    </row>
    <row r="7748" spans="1:6" ht="15" customHeight="1" x14ac:dyDescent="0.25">
      <c r="A7748" s="2352" t="s">
        <v>5798</v>
      </c>
      <c r="B7748" s="2352" t="s">
        <v>5782</v>
      </c>
      <c r="C7748" s="2352" t="s">
        <v>5782</v>
      </c>
      <c r="D7748" s="2352" t="s">
        <v>5849</v>
      </c>
      <c r="E7748" s="355">
        <v>30</v>
      </c>
      <c r="F7748" s="1662">
        <v>5</v>
      </c>
    </row>
    <row r="7749" spans="1:6" ht="15" customHeight="1" x14ac:dyDescent="0.25">
      <c r="A7749" s="2352" t="s">
        <v>14204</v>
      </c>
      <c r="B7749" s="2352" t="s">
        <v>5782</v>
      </c>
      <c r="C7749" s="2352" t="s">
        <v>5782</v>
      </c>
      <c r="D7749" s="2352" t="s">
        <v>5850</v>
      </c>
      <c r="E7749" s="355">
        <v>100</v>
      </c>
      <c r="F7749" s="1662">
        <v>15</v>
      </c>
    </row>
    <row r="7750" spans="1:6" ht="15" customHeight="1" x14ac:dyDescent="0.25">
      <c r="A7750" s="2352" t="s">
        <v>14205</v>
      </c>
      <c r="B7750" s="2352" t="s">
        <v>5782</v>
      </c>
      <c r="C7750" s="2352" t="s">
        <v>5782</v>
      </c>
      <c r="D7750" s="2352" t="s">
        <v>5851</v>
      </c>
      <c r="E7750" s="355">
        <v>63</v>
      </c>
      <c r="F7750" s="1662">
        <v>20</v>
      </c>
    </row>
    <row r="7751" spans="1:6" ht="15" customHeight="1" x14ac:dyDescent="0.25">
      <c r="A7751" s="2352" t="s">
        <v>14206</v>
      </c>
      <c r="B7751" s="2352" t="s">
        <v>5782</v>
      </c>
      <c r="C7751" s="2352" t="s">
        <v>5782</v>
      </c>
      <c r="D7751" s="2352" t="s">
        <v>5852</v>
      </c>
      <c r="E7751" s="355">
        <v>25</v>
      </c>
      <c r="F7751" s="1662">
        <v>5</v>
      </c>
    </row>
    <row r="7752" spans="1:6" ht="15" customHeight="1" x14ac:dyDescent="0.25">
      <c r="A7752" s="2352" t="s">
        <v>14207</v>
      </c>
      <c r="B7752" s="2352" t="s">
        <v>5782</v>
      </c>
      <c r="C7752" s="2352" t="s">
        <v>5782</v>
      </c>
      <c r="D7752" s="2352" t="s">
        <v>5853</v>
      </c>
      <c r="E7752" s="355">
        <v>100</v>
      </c>
      <c r="F7752" s="1662">
        <v>25</v>
      </c>
    </row>
    <row r="7753" spans="1:6" ht="15" customHeight="1" x14ac:dyDescent="0.25">
      <c r="A7753" s="2352" t="s">
        <v>5798</v>
      </c>
      <c r="B7753" s="2352" t="s">
        <v>5782</v>
      </c>
      <c r="C7753" s="2352" t="s">
        <v>5782</v>
      </c>
      <c r="D7753" s="2352" t="s">
        <v>5854</v>
      </c>
      <c r="E7753" s="355">
        <v>100</v>
      </c>
      <c r="F7753" s="1662">
        <v>3</v>
      </c>
    </row>
    <row r="7754" spans="1:6" ht="15" customHeight="1" x14ac:dyDescent="0.25">
      <c r="A7754" s="2352" t="s">
        <v>14208</v>
      </c>
      <c r="B7754" s="2352" t="s">
        <v>5782</v>
      </c>
      <c r="C7754" s="2352" t="s">
        <v>5782</v>
      </c>
      <c r="D7754" s="2352" t="s">
        <v>5855</v>
      </c>
      <c r="E7754" s="355">
        <v>100</v>
      </c>
      <c r="F7754" s="1662">
        <v>15</v>
      </c>
    </row>
    <row r="7755" spans="1:6" ht="15" customHeight="1" x14ac:dyDescent="0.25">
      <c r="A7755" s="2352" t="s">
        <v>14209</v>
      </c>
      <c r="B7755" s="2352" t="s">
        <v>5782</v>
      </c>
      <c r="C7755" s="2352" t="s">
        <v>5782</v>
      </c>
      <c r="D7755" s="2352" t="s">
        <v>5856</v>
      </c>
      <c r="E7755" s="355">
        <v>100</v>
      </c>
      <c r="F7755" s="1662">
        <v>15</v>
      </c>
    </row>
    <row r="7756" spans="1:6" ht="15" customHeight="1" x14ac:dyDescent="0.25">
      <c r="A7756" s="2352" t="s">
        <v>14210</v>
      </c>
      <c r="B7756" s="2352" t="s">
        <v>5782</v>
      </c>
      <c r="C7756" s="2352" t="s">
        <v>5782</v>
      </c>
      <c r="D7756" s="2352" t="s">
        <v>5857</v>
      </c>
      <c r="E7756" s="355">
        <v>100</v>
      </c>
      <c r="F7756" s="1662">
        <v>25</v>
      </c>
    </row>
    <row r="7757" spans="1:6" ht="15" customHeight="1" x14ac:dyDescent="0.25">
      <c r="A7757" s="2352" t="s">
        <v>14211</v>
      </c>
      <c r="B7757" s="2352" t="s">
        <v>5782</v>
      </c>
      <c r="C7757" s="2352" t="s">
        <v>5782</v>
      </c>
      <c r="D7757" s="2352" t="s">
        <v>5858</v>
      </c>
      <c r="E7757" s="355">
        <v>30</v>
      </c>
      <c r="F7757" s="1662">
        <v>10</v>
      </c>
    </row>
    <row r="7758" spans="1:6" ht="15" customHeight="1" x14ac:dyDescent="0.25">
      <c r="A7758" s="2352" t="s">
        <v>14212</v>
      </c>
      <c r="B7758" s="2352" t="s">
        <v>5782</v>
      </c>
      <c r="C7758" s="2352" t="s">
        <v>5782</v>
      </c>
      <c r="D7758" s="2352" t="s">
        <v>5859</v>
      </c>
      <c r="E7758" s="355">
        <v>250</v>
      </c>
      <c r="F7758" s="1662">
        <v>80</v>
      </c>
    </row>
    <row r="7759" spans="1:6" ht="15" customHeight="1" x14ac:dyDescent="0.25">
      <c r="A7759" s="2352" t="s">
        <v>14213</v>
      </c>
      <c r="B7759" s="2352" t="s">
        <v>5782</v>
      </c>
      <c r="C7759" s="2352" t="s">
        <v>5782</v>
      </c>
      <c r="D7759" s="2352" t="s">
        <v>5860</v>
      </c>
      <c r="E7759" s="355">
        <v>100</v>
      </c>
      <c r="F7759" s="1662">
        <v>65</v>
      </c>
    </row>
    <row r="7760" spans="1:6" ht="15" customHeight="1" x14ac:dyDescent="0.25">
      <c r="A7760" s="2352" t="s">
        <v>14214</v>
      </c>
      <c r="B7760" s="2352" t="s">
        <v>5782</v>
      </c>
      <c r="C7760" s="2352" t="s">
        <v>5782</v>
      </c>
      <c r="D7760" s="2352" t="s">
        <v>5861</v>
      </c>
      <c r="E7760" s="355">
        <v>63</v>
      </c>
      <c r="F7760" s="1662">
        <v>24</v>
      </c>
    </row>
    <row r="7761" spans="1:6" ht="15" customHeight="1" x14ac:dyDescent="0.25">
      <c r="A7761" s="2352" t="s">
        <v>14215</v>
      </c>
      <c r="B7761" s="2352" t="s">
        <v>5782</v>
      </c>
      <c r="C7761" s="2352" t="s">
        <v>5782</v>
      </c>
      <c r="D7761" s="2352" t="s">
        <v>5862</v>
      </c>
      <c r="E7761" s="355">
        <v>100</v>
      </c>
      <c r="F7761" s="1662">
        <v>30</v>
      </c>
    </row>
    <row r="7762" spans="1:6" ht="15" customHeight="1" x14ac:dyDescent="0.25">
      <c r="A7762" s="2352" t="s">
        <v>14216</v>
      </c>
      <c r="B7762" s="2352" t="s">
        <v>5782</v>
      </c>
      <c r="C7762" s="2352" t="s">
        <v>5782</v>
      </c>
      <c r="D7762" s="2352" t="s">
        <v>5863</v>
      </c>
      <c r="E7762" s="355">
        <v>100</v>
      </c>
      <c r="F7762" s="1662">
        <v>8</v>
      </c>
    </row>
    <row r="7763" spans="1:6" ht="15" customHeight="1" x14ac:dyDescent="0.25">
      <c r="A7763" s="2352" t="s">
        <v>14217</v>
      </c>
      <c r="B7763" s="2352" t="s">
        <v>5782</v>
      </c>
      <c r="C7763" s="2352" t="s">
        <v>5782</v>
      </c>
      <c r="D7763" s="2352" t="s">
        <v>5864</v>
      </c>
      <c r="E7763" s="355">
        <v>100</v>
      </c>
      <c r="F7763" s="1662">
        <v>10</v>
      </c>
    </row>
    <row r="7764" spans="1:6" ht="15" customHeight="1" x14ac:dyDescent="0.25">
      <c r="A7764" s="2352" t="s">
        <v>14212</v>
      </c>
      <c r="B7764" s="2352" t="s">
        <v>5782</v>
      </c>
      <c r="C7764" s="2352" t="s">
        <v>5782</v>
      </c>
      <c r="D7764" s="2352" t="s">
        <v>5865</v>
      </c>
      <c r="E7764" s="355">
        <v>100</v>
      </c>
      <c r="F7764" s="1662">
        <v>5</v>
      </c>
    </row>
    <row r="7765" spans="1:6" ht="15" customHeight="1" x14ac:dyDescent="0.25">
      <c r="A7765" s="2352" t="s">
        <v>14212</v>
      </c>
      <c r="B7765" s="2352" t="s">
        <v>5782</v>
      </c>
      <c r="C7765" s="2352" t="s">
        <v>5782</v>
      </c>
      <c r="D7765" s="2352" t="s">
        <v>5866</v>
      </c>
      <c r="E7765" s="355">
        <v>100</v>
      </c>
      <c r="F7765" s="1662">
        <v>15</v>
      </c>
    </row>
    <row r="7766" spans="1:6" ht="15" customHeight="1" x14ac:dyDescent="0.25">
      <c r="A7766" s="2352" t="s">
        <v>14212</v>
      </c>
      <c r="B7766" s="2352" t="s">
        <v>5782</v>
      </c>
      <c r="C7766" s="2352" t="s">
        <v>5782</v>
      </c>
      <c r="D7766" s="2352" t="s">
        <v>5867</v>
      </c>
      <c r="E7766" s="355">
        <v>630</v>
      </c>
      <c r="F7766" s="1662">
        <v>125</v>
      </c>
    </row>
    <row r="7767" spans="1:6" ht="15" customHeight="1" x14ac:dyDescent="0.25">
      <c r="A7767" s="2352" t="s">
        <v>14212</v>
      </c>
      <c r="B7767" s="2352" t="s">
        <v>5782</v>
      </c>
      <c r="C7767" s="2352" t="s">
        <v>5782</v>
      </c>
      <c r="D7767" s="2352" t="s">
        <v>5868</v>
      </c>
      <c r="E7767" s="355">
        <v>250</v>
      </c>
      <c r="F7767" s="1662">
        <v>180</v>
      </c>
    </row>
    <row r="7768" spans="1:6" ht="15" customHeight="1" x14ac:dyDescent="0.25">
      <c r="A7768" s="2352" t="s">
        <v>14218</v>
      </c>
      <c r="B7768" s="2352" t="s">
        <v>5782</v>
      </c>
      <c r="C7768" s="2352" t="s">
        <v>5782</v>
      </c>
      <c r="D7768" s="2352" t="s">
        <v>5869</v>
      </c>
      <c r="E7768" s="355">
        <v>30</v>
      </c>
      <c r="F7768" s="1662">
        <v>5</v>
      </c>
    </row>
    <row r="7769" spans="1:6" ht="15" customHeight="1" x14ac:dyDescent="0.25">
      <c r="A7769" s="2352" t="s">
        <v>14219</v>
      </c>
      <c r="B7769" s="2352" t="s">
        <v>5782</v>
      </c>
      <c r="C7769" s="2352" t="s">
        <v>5782</v>
      </c>
      <c r="D7769" s="2352" t="s">
        <v>5870</v>
      </c>
      <c r="E7769" s="355">
        <v>60</v>
      </c>
      <c r="F7769" s="1662">
        <v>25</v>
      </c>
    </row>
    <row r="7770" spans="1:6" ht="15" customHeight="1" x14ac:dyDescent="0.25">
      <c r="A7770" s="2352" t="s">
        <v>6860</v>
      </c>
      <c r="B7770" s="2352" t="s">
        <v>5782</v>
      </c>
      <c r="C7770" s="2352" t="s">
        <v>5782</v>
      </c>
      <c r="D7770" s="2352" t="s">
        <v>5871</v>
      </c>
      <c r="E7770" s="355">
        <v>60</v>
      </c>
      <c r="F7770" s="1662">
        <v>5</v>
      </c>
    </row>
    <row r="7771" spans="1:6" ht="15" customHeight="1" x14ac:dyDescent="0.25">
      <c r="A7771" s="2352" t="s">
        <v>14220</v>
      </c>
      <c r="B7771" s="2352" t="s">
        <v>5782</v>
      </c>
      <c r="C7771" s="2352" t="s">
        <v>5782</v>
      </c>
      <c r="D7771" s="2352" t="s">
        <v>5872</v>
      </c>
      <c r="E7771" s="355">
        <v>250</v>
      </c>
      <c r="F7771" s="1662">
        <v>30</v>
      </c>
    </row>
    <row r="7772" spans="1:6" ht="15" customHeight="1" x14ac:dyDescent="0.25">
      <c r="A7772" s="2352" t="s">
        <v>14221</v>
      </c>
      <c r="B7772" s="2352" t="s">
        <v>5782</v>
      </c>
      <c r="C7772" s="2352" t="s">
        <v>5782</v>
      </c>
      <c r="D7772" s="2352" t="s">
        <v>5873</v>
      </c>
      <c r="E7772" s="355">
        <v>100</v>
      </c>
      <c r="F7772" s="1662">
        <v>50</v>
      </c>
    </row>
    <row r="7773" spans="1:6" ht="15" customHeight="1" x14ac:dyDescent="0.25">
      <c r="A7773" s="2352" t="s">
        <v>14222</v>
      </c>
      <c r="B7773" s="2352" t="s">
        <v>5782</v>
      </c>
      <c r="C7773" s="2352" t="s">
        <v>5782</v>
      </c>
      <c r="D7773" s="2352" t="s">
        <v>5874</v>
      </c>
      <c r="E7773" s="355">
        <v>60</v>
      </c>
      <c r="F7773" s="1662">
        <v>15</v>
      </c>
    </row>
    <row r="7774" spans="1:6" ht="15" customHeight="1" x14ac:dyDescent="0.25">
      <c r="A7774" s="2349" t="s">
        <v>14223</v>
      </c>
      <c r="B7774" s="2349" t="s">
        <v>5782</v>
      </c>
      <c r="C7774" s="2349" t="s">
        <v>5782</v>
      </c>
      <c r="D7774" s="2349" t="s">
        <v>5875</v>
      </c>
      <c r="E7774" s="2350">
        <v>10</v>
      </c>
      <c r="F7774" s="1663">
        <v>1</v>
      </c>
    </row>
    <row r="7775" spans="1:6" ht="15" customHeight="1" x14ac:dyDescent="0.25">
      <c r="A7775" s="2349" t="s">
        <v>14224</v>
      </c>
      <c r="B7775" s="2349" t="s">
        <v>5782</v>
      </c>
      <c r="C7775" s="2349" t="s">
        <v>5782</v>
      </c>
      <c r="D7775" s="2349" t="s">
        <v>5876</v>
      </c>
      <c r="E7775" s="2350">
        <v>30</v>
      </c>
      <c r="F7775" s="1663">
        <v>5</v>
      </c>
    </row>
    <row r="7776" spans="1:6" ht="15" customHeight="1" x14ac:dyDescent="0.25">
      <c r="A7776" s="2349" t="s">
        <v>14225</v>
      </c>
      <c r="B7776" s="2349" t="s">
        <v>5782</v>
      </c>
      <c r="C7776" s="2349" t="s">
        <v>5782</v>
      </c>
      <c r="D7776" s="2349" t="s">
        <v>5877</v>
      </c>
      <c r="E7776" s="2350">
        <v>30</v>
      </c>
      <c r="F7776" s="1663">
        <v>5</v>
      </c>
    </row>
    <row r="7777" spans="1:6" ht="15" customHeight="1" x14ac:dyDescent="0.25">
      <c r="A7777" s="2349" t="s">
        <v>14226</v>
      </c>
      <c r="B7777" s="2349" t="s">
        <v>5782</v>
      </c>
      <c r="C7777" s="2349" t="s">
        <v>5782</v>
      </c>
      <c r="D7777" s="2349" t="s">
        <v>5878</v>
      </c>
      <c r="E7777" s="2350">
        <v>250</v>
      </c>
      <c r="F7777" s="1663">
        <v>145</v>
      </c>
    </row>
    <row r="7778" spans="1:6" ht="15" customHeight="1" x14ac:dyDescent="0.25">
      <c r="A7778" s="2349" t="s">
        <v>14227</v>
      </c>
      <c r="B7778" s="2349" t="s">
        <v>5782</v>
      </c>
      <c r="C7778" s="2349" t="s">
        <v>5782</v>
      </c>
      <c r="D7778" s="2349" t="s">
        <v>5879</v>
      </c>
      <c r="E7778" s="2350">
        <v>60</v>
      </c>
      <c r="F7778" s="1663">
        <v>10</v>
      </c>
    </row>
    <row r="7779" spans="1:6" ht="15" customHeight="1" x14ac:dyDescent="0.25">
      <c r="A7779" s="2349" t="s">
        <v>14228</v>
      </c>
      <c r="B7779" s="2349" t="s">
        <v>5782</v>
      </c>
      <c r="C7779" s="2349" t="s">
        <v>5782</v>
      </c>
      <c r="D7779" s="2349" t="s">
        <v>5880</v>
      </c>
      <c r="E7779" s="2350">
        <v>10</v>
      </c>
      <c r="F7779" s="1663">
        <v>1</v>
      </c>
    </row>
    <row r="7780" spans="1:6" ht="15" customHeight="1" x14ac:dyDescent="0.25">
      <c r="A7780" s="2349" t="s">
        <v>6091</v>
      </c>
      <c r="B7780" s="2349" t="s">
        <v>5782</v>
      </c>
      <c r="C7780" s="2349" t="s">
        <v>5782</v>
      </c>
      <c r="D7780" s="2349" t="s">
        <v>5881</v>
      </c>
      <c r="E7780" s="2350">
        <v>60</v>
      </c>
      <c r="F7780" s="1663">
        <v>10</v>
      </c>
    </row>
    <row r="7781" spans="1:6" ht="15" customHeight="1" x14ac:dyDescent="0.25">
      <c r="A7781" s="2349" t="s">
        <v>5926</v>
      </c>
      <c r="B7781" s="2349" t="s">
        <v>5782</v>
      </c>
      <c r="C7781" s="2349" t="s">
        <v>5782</v>
      </c>
      <c r="D7781" s="2349" t="s">
        <v>5882</v>
      </c>
      <c r="E7781" s="2350">
        <v>100</v>
      </c>
      <c r="F7781" s="1663">
        <v>15</v>
      </c>
    </row>
    <row r="7782" spans="1:6" ht="15" customHeight="1" x14ac:dyDescent="0.25">
      <c r="A7782" s="2349" t="s">
        <v>5926</v>
      </c>
      <c r="B7782" s="2349" t="s">
        <v>5782</v>
      </c>
      <c r="C7782" s="2349" t="s">
        <v>5782</v>
      </c>
      <c r="D7782" s="2349" t="s">
        <v>5883</v>
      </c>
      <c r="E7782" s="2350">
        <v>100</v>
      </c>
      <c r="F7782" s="1663">
        <v>15</v>
      </c>
    </row>
    <row r="7783" spans="1:6" ht="15" customHeight="1" x14ac:dyDescent="0.25">
      <c r="A7783" s="2349" t="s">
        <v>14229</v>
      </c>
      <c r="B7783" s="2349" t="s">
        <v>5782</v>
      </c>
      <c r="C7783" s="2349" t="s">
        <v>5782</v>
      </c>
      <c r="D7783" s="2349" t="s">
        <v>5884</v>
      </c>
      <c r="E7783" s="2350">
        <v>60</v>
      </c>
      <c r="F7783" s="1663">
        <v>10</v>
      </c>
    </row>
    <row r="7784" spans="1:6" ht="15" customHeight="1" x14ac:dyDescent="0.25">
      <c r="A7784" s="2349" t="s">
        <v>14230</v>
      </c>
      <c r="B7784" s="2349" t="s">
        <v>5782</v>
      </c>
      <c r="C7784" s="2349" t="s">
        <v>5782</v>
      </c>
      <c r="D7784" s="2349" t="s">
        <v>5885</v>
      </c>
      <c r="E7784" s="2350">
        <v>30</v>
      </c>
      <c r="F7784" s="1663">
        <v>5</v>
      </c>
    </row>
    <row r="7785" spans="1:6" ht="15" customHeight="1" x14ac:dyDescent="0.25">
      <c r="A7785" s="2349" t="s">
        <v>14231</v>
      </c>
      <c r="B7785" s="2349" t="s">
        <v>5782</v>
      </c>
      <c r="C7785" s="2349" t="s">
        <v>5782</v>
      </c>
      <c r="D7785" s="2349" t="s">
        <v>5886</v>
      </c>
      <c r="E7785" s="2350">
        <v>160</v>
      </c>
      <c r="F7785" s="1663">
        <v>65</v>
      </c>
    </row>
    <row r="7786" spans="1:6" ht="15" customHeight="1" x14ac:dyDescent="0.25">
      <c r="A7786" s="2349" t="s">
        <v>14232</v>
      </c>
      <c r="B7786" s="2349" t="s">
        <v>5782</v>
      </c>
      <c r="C7786" s="2349" t="s">
        <v>5782</v>
      </c>
      <c r="D7786" s="2349" t="s">
        <v>5887</v>
      </c>
      <c r="E7786" s="2350">
        <v>100</v>
      </c>
      <c r="F7786" s="1663">
        <v>60</v>
      </c>
    </row>
    <row r="7787" spans="1:6" ht="15" customHeight="1" x14ac:dyDescent="0.25">
      <c r="A7787" s="2349" t="s">
        <v>5888</v>
      </c>
      <c r="B7787" s="2349" t="s">
        <v>5782</v>
      </c>
      <c r="C7787" s="2349" t="s">
        <v>5782</v>
      </c>
      <c r="D7787" s="2349" t="s">
        <v>5889</v>
      </c>
      <c r="E7787" s="2350">
        <v>100</v>
      </c>
      <c r="F7787" s="1663">
        <v>45</v>
      </c>
    </row>
    <row r="7788" spans="1:6" ht="15" customHeight="1" x14ac:dyDescent="0.25">
      <c r="A7788" s="2349" t="s">
        <v>14233</v>
      </c>
      <c r="B7788" s="2349" t="s">
        <v>5782</v>
      </c>
      <c r="C7788" s="2349" t="s">
        <v>5782</v>
      </c>
      <c r="D7788" s="2349" t="s">
        <v>5890</v>
      </c>
      <c r="E7788" s="2350">
        <v>60</v>
      </c>
      <c r="F7788" s="1663">
        <v>15</v>
      </c>
    </row>
    <row r="7789" spans="1:6" ht="15" customHeight="1" x14ac:dyDescent="0.25">
      <c r="A7789" s="2349" t="s">
        <v>14234</v>
      </c>
      <c r="B7789" s="2349" t="s">
        <v>5782</v>
      </c>
      <c r="C7789" s="2349" t="s">
        <v>5782</v>
      </c>
      <c r="D7789" s="2349" t="s">
        <v>5891</v>
      </c>
      <c r="E7789" s="2350">
        <v>160</v>
      </c>
      <c r="F7789" s="1663">
        <v>70</v>
      </c>
    </row>
    <row r="7790" spans="1:6" ht="15" customHeight="1" x14ac:dyDescent="0.25">
      <c r="A7790" s="2349" t="s">
        <v>14234</v>
      </c>
      <c r="B7790" s="2349" t="s">
        <v>5782</v>
      </c>
      <c r="C7790" s="2349" t="s">
        <v>5782</v>
      </c>
      <c r="D7790" s="2349" t="s">
        <v>5892</v>
      </c>
      <c r="E7790" s="2350">
        <v>100</v>
      </c>
      <c r="F7790" s="1663">
        <v>45</v>
      </c>
    </row>
    <row r="7791" spans="1:6" ht="15" customHeight="1" x14ac:dyDescent="0.25">
      <c r="A7791" s="2349" t="s">
        <v>14235</v>
      </c>
      <c r="B7791" s="2349" t="s">
        <v>5782</v>
      </c>
      <c r="C7791" s="2349" t="s">
        <v>5782</v>
      </c>
      <c r="D7791" s="2349" t="s">
        <v>5893</v>
      </c>
      <c r="E7791" s="2350">
        <v>100</v>
      </c>
      <c r="F7791" s="1663">
        <v>55</v>
      </c>
    </row>
    <row r="7792" spans="1:6" ht="15" customHeight="1" x14ac:dyDescent="0.25">
      <c r="A7792" s="2349" t="s">
        <v>5894</v>
      </c>
      <c r="B7792" s="2349" t="s">
        <v>5782</v>
      </c>
      <c r="C7792" s="2349" t="s">
        <v>5782</v>
      </c>
      <c r="D7792" s="2349" t="s">
        <v>5895</v>
      </c>
      <c r="E7792" s="2350">
        <v>160</v>
      </c>
      <c r="F7792" s="1663">
        <v>25</v>
      </c>
    </row>
    <row r="7793" spans="1:6" ht="15" customHeight="1" x14ac:dyDescent="0.25">
      <c r="A7793" s="2349" t="s">
        <v>5894</v>
      </c>
      <c r="B7793" s="2349" t="s">
        <v>5782</v>
      </c>
      <c r="C7793" s="2349" t="s">
        <v>5782</v>
      </c>
      <c r="D7793" s="2349" t="s">
        <v>5896</v>
      </c>
      <c r="E7793" s="2350">
        <v>100</v>
      </c>
      <c r="F7793" s="1663">
        <v>15</v>
      </c>
    </row>
    <row r="7794" spans="1:6" ht="15" customHeight="1" x14ac:dyDescent="0.25">
      <c r="A7794" s="2349" t="s">
        <v>5894</v>
      </c>
      <c r="B7794" s="2349" t="s">
        <v>5782</v>
      </c>
      <c r="C7794" s="2349" t="s">
        <v>5782</v>
      </c>
      <c r="D7794" s="2349" t="s">
        <v>5897</v>
      </c>
      <c r="E7794" s="2350">
        <v>100</v>
      </c>
      <c r="F7794" s="1663">
        <v>15</v>
      </c>
    </row>
    <row r="7795" spans="1:6" ht="15" customHeight="1" x14ac:dyDescent="0.25">
      <c r="A7795" s="2349" t="s">
        <v>5894</v>
      </c>
      <c r="B7795" s="2349" t="s">
        <v>5782</v>
      </c>
      <c r="C7795" s="2349" t="s">
        <v>5782</v>
      </c>
      <c r="D7795" s="2349" t="s">
        <v>5898</v>
      </c>
      <c r="E7795" s="2350">
        <v>400</v>
      </c>
      <c r="F7795" s="1663">
        <v>230</v>
      </c>
    </row>
    <row r="7796" spans="1:6" ht="15" customHeight="1" x14ac:dyDescent="0.25">
      <c r="A7796" s="2349" t="s">
        <v>5894</v>
      </c>
      <c r="B7796" s="2349" t="s">
        <v>5782</v>
      </c>
      <c r="C7796" s="2349" t="s">
        <v>5782</v>
      </c>
      <c r="D7796" s="2349" t="s">
        <v>5899</v>
      </c>
      <c r="E7796" s="2350">
        <v>100</v>
      </c>
      <c r="F7796" s="1663">
        <v>20</v>
      </c>
    </row>
    <row r="7797" spans="1:6" ht="15" customHeight="1" x14ac:dyDescent="0.25">
      <c r="A7797" s="2349" t="s">
        <v>5894</v>
      </c>
      <c r="B7797" s="2349" t="s">
        <v>5782</v>
      </c>
      <c r="C7797" s="2349" t="s">
        <v>5782</v>
      </c>
      <c r="D7797" s="2349" t="s">
        <v>5900</v>
      </c>
      <c r="E7797" s="2350">
        <v>100</v>
      </c>
      <c r="F7797" s="1663">
        <v>15</v>
      </c>
    </row>
    <row r="7798" spans="1:6" ht="15" customHeight="1" x14ac:dyDescent="0.25">
      <c r="A7798" s="2349" t="s">
        <v>5894</v>
      </c>
      <c r="B7798" s="2349" t="s">
        <v>5782</v>
      </c>
      <c r="C7798" s="2349" t="s">
        <v>5782</v>
      </c>
      <c r="D7798" s="2349" t="s">
        <v>5901</v>
      </c>
      <c r="E7798" s="2350">
        <v>400</v>
      </c>
      <c r="F7798" s="1663">
        <v>125</v>
      </c>
    </row>
    <row r="7799" spans="1:6" ht="15" customHeight="1" x14ac:dyDescent="0.25">
      <c r="A7799" s="2349" t="s">
        <v>5894</v>
      </c>
      <c r="B7799" s="2349" t="s">
        <v>5782</v>
      </c>
      <c r="C7799" s="2349" t="s">
        <v>5782</v>
      </c>
      <c r="D7799" s="2349" t="s">
        <v>5902</v>
      </c>
      <c r="E7799" s="2350">
        <v>160</v>
      </c>
      <c r="F7799" s="1663">
        <v>45</v>
      </c>
    </row>
    <row r="7800" spans="1:6" ht="15" customHeight="1" x14ac:dyDescent="0.25">
      <c r="A7800" s="2349" t="s">
        <v>14236</v>
      </c>
      <c r="B7800" s="2349" t="s">
        <v>5782</v>
      </c>
      <c r="C7800" s="2349" t="s">
        <v>5782</v>
      </c>
      <c r="D7800" s="2349" t="s">
        <v>5903</v>
      </c>
      <c r="E7800" s="2350">
        <v>100</v>
      </c>
      <c r="F7800" s="1663">
        <v>15</v>
      </c>
    </row>
    <row r="7801" spans="1:6" ht="15" customHeight="1" x14ac:dyDescent="0.25">
      <c r="A7801" s="2349" t="s">
        <v>14237</v>
      </c>
      <c r="B7801" s="2349" t="s">
        <v>5782</v>
      </c>
      <c r="C7801" s="2349" t="s">
        <v>5782</v>
      </c>
      <c r="D7801" s="2349" t="s">
        <v>5904</v>
      </c>
      <c r="E7801" s="2350">
        <v>160</v>
      </c>
      <c r="F7801" s="1663">
        <v>85</v>
      </c>
    </row>
    <row r="7802" spans="1:6" ht="15" customHeight="1" x14ac:dyDescent="0.25">
      <c r="A7802" s="2349" t="s">
        <v>14231</v>
      </c>
      <c r="B7802" s="2349" t="s">
        <v>5782</v>
      </c>
      <c r="C7802" s="2349" t="s">
        <v>5782</v>
      </c>
      <c r="D7802" s="2349" t="s">
        <v>5905</v>
      </c>
      <c r="E7802" s="2350">
        <v>160</v>
      </c>
      <c r="F7802" s="1663">
        <v>45</v>
      </c>
    </row>
    <row r="7803" spans="1:6" ht="15" customHeight="1" x14ac:dyDescent="0.25">
      <c r="A7803" s="2349" t="s">
        <v>14238</v>
      </c>
      <c r="B7803" s="2349" t="s">
        <v>5782</v>
      </c>
      <c r="C7803" s="2349" t="s">
        <v>5782</v>
      </c>
      <c r="D7803" s="2349" t="s">
        <v>5906</v>
      </c>
      <c r="E7803" s="2350">
        <v>60</v>
      </c>
      <c r="F7803" s="1663">
        <v>15</v>
      </c>
    </row>
    <row r="7804" spans="1:6" ht="15" customHeight="1" x14ac:dyDescent="0.25">
      <c r="A7804" s="2349" t="s">
        <v>14040</v>
      </c>
      <c r="B7804" s="2349" t="s">
        <v>5782</v>
      </c>
      <c r="C7804" s="2349" t="s">
        <v>5782</v>
      </c>
      <c r="D7804" s="2349" t="s">
        <v>5907</v>
      </c>
      <c r="E7804" s="2350">
        <v>100</v>
      </c>
      <c r="F7804" s="1663">
        <v>15</v>
      </c>
    </row>
    <row r="7805" spans="1:6" ht="15" customHeight="1" x14ac:dyDescent="0.25">
      <c r="A7805" s="2349" t="s">
        <v>14234</v>
      </c>
      <c r="B7805" s="2349" t="s">
        <v>5782</v>
      </c>
      <c r="C7805" s="2349" t="s">
        <v>5782</v>
      </c>
      <c r="D7805" s="2349" t="s">
        <v>5908</v>
      </c>
      <c r="E7805" s="2350">
        <v>100</v>
      </c>
      <c r="F7805" s="1663">
        <v>20</v>
      </c>
    </row>
    <row r="7806" spans="1:6" ht="15" customHeight="1" x14ac:dyDescent="0.25">
      <c r="A7806" s="2349" t="s">
        <v>14234</v>
      </c>
      <c r="B7806" s="2349" t="s">
        <v>5782</v>
      </c>
      <c r="C7806" s="2349" t="s">
        <v>5782</v>
      </c>
      <c r="D7806" s="2349" t="s">
        <v>5909</v>
      </c>
      <c r="E7806" s="2350">
        <v>100</v>
      </c>
      <c r="F7806" s="1663">
        <v>25</v>
      </c>
    </row>
    <row r="7807" spans="1:6" ht="15" customHeight="1" x14ac:dyDescent="0.25">
      <c r="A7807" s="2349" t="s">
        <v>14231</v>
      </c>
      <c r="B7807" s="2349" t="s">
        <v>5782</v>
      </c>
      <c r="C7807" s="2349" t="s">
        <v>5782</v>
      </c>
      <c r="D7807" s="2349" t="s">
        <v>5910</v>
      </c>
      <c r="E7807" s="2350">
        <v>250</v>
      </c>
      <c r="F7807" s="1663">
        <v>135</v>
      </c>
    </row>
    <row r="7808" spans="1:6" ht="15" customHeight="1" x14ac:dyDescent="0.25">
      <c r="A7808" s="2349" t="s">
        <v>5912</v>
      </c>
      <c r="B7808" s="2349" t="s">
        <v>5782</v>
      </c>
      <c r="C7808" s="2349" t="s">
        <v>5782</v>
      </c>
      <c r="D7808" s="2349" t="s">
        <v>5911</v>
      </c>
      <c r="E7808" s="2350">
        <v>100</v>
      </c>
      <c r="F7808" s="1663">
        <v>15</v>
      </c>
    </row>
    <row r="7809" spans="1:6" ht="15" customHeight="1" x14ac:dyDescent="0.25">
      <c r="A7809" s="2349" t="s">
        <v>5912</v>
      </c>
      <c r="B7809" s="2349" t="s">
        <v>5782</v>
      </c>
      <c r="C7809" s="2349" t="s">
        <v>5782</v>
      </c>
      <c r="D7809" s="2349" t="s">
        <v>5913</v>
      </c>
      <c r="E7809" s="2350">
        <v>250</v>
      </c>
      <c r="F7809" s="1663">
        <v>50</v>
      </c>
    </row>
    <row r="7810" spans="1:6" ht="15" customHeight="1" x14ac:dyDescent="0.25">
      <c r="A7810" s="2349" t="s">
        <v>14239</v>
      </c>
      <c r="B7810" s="2349" t="s">
        <v>5782</v>
      </c>
      <c r="C7810" s="2349" t="s">
        <v>5782</v>
      </c>
      <c r="D7810" s="2349" t="s">
        <v>5914</v>
      </c>
      <c r="E7810" s="2350">
        <v>30</v>
      </c>
      <c r="F7810" s="1663">
        <v>5</v>
      </c>
    </row>
    <row r="7811" spans="1:6" ht="15" customHeight="1" x14ac:dyDescent="0.25">
      <c r="A7811" s="2349" t="s">
        <v>14240</v>
      </c>
      <c r="B7811" s="2349" t="s">
        <v>5782</v>
      </c>
      <c r="C7811" s="2349" t="s">
        <v>5782</v>
      </c>
      <c r="D7811" s="2349" t="s">
        <v>5915</v>
      </c>
      <c r="E7811" s="2350">
        <v>100</v>
      </c>
      <c r="F7811" s="1663">
        <v>15</v>
      </c>
    </row>
    <row r="7812" spans="1:6" ht="15" customHeight="1" x14ac:dyDescent="0.25">
      <c r="A7812" s="2349" t="s">
        <v>14241</v>
      </c>
      <c r="B7812" s="2349" t="s">
        <v>5782</v>
      </c>
      <c r="C7812" s="2349" t="s">
        <v>5782</v>
      </c>
      <c r="D7812" s="2349" t="s">
        <v>5916</v>
      </c>
      <c r="E7812" s="2350">
        <v>60</v>
      </c>
      <c r="F7812" s="1663">
        <v>15</v>
      </c>
    </row>
    <row r="7813" spans="1:6" ht="15" customHeight="1" x14ac:dyDescent="0.25">
      <c r="A7813" s="2349" t="s">
        <v>5917</v>
      </c>
      <c r="B7813" s="2349" t="s">
        <v>5782</v>
      </c>
      <c r="C7813" s="2349" t="s">
        <v>5782</v>
      </c>
      <c r="D7813" s="2349" t="s">
        <v>5918</v>
      </c>
      <c r="E7813" s="2350">
        <v>100</v>
      </c>
      <c r="F7813" s="1663">
        <v>18</v>
      </c>
    </row>
    <row r="7814" spans="1:6" ht="15" customHeight="1" x14ac:dyDescent="0.25">
      <c r="A7814" s="2349" t="s">
        <v>6840</v>
      </c>
      <c r="B7814" s="2349" t="s">
        <v>5782</v>
      </c>
      <c r="C7814" s="2349" t="s">
        <v>5782</v>
      </c>
      <c r="D7814" s="2349" t="s">
        <v>5919</v>
      </c>
      <c r="E7814" s="2350">
        <v>100</v>
      </c>
      <c r="F7814" s="1663">
        <v>25</v>
      </c>
    </row>
    <row r="7815" spans="1:6" ht="15" customHeight="1" x14ac:dyDescent="0.25">
      <c r="A7815" s="2349" t="s">
        <v>14242</v>
      </c>
      <c r="B7815" s="2349" t="s">
        <v>5782</v>
      </c>
      <c r="C7815" s="2349" t="s">
        <v>5782</v>
      </c>
      <c r="D7815" s="2349" t="s">
        <v>5920</v>
      </c>
      <c r="E7815" s="2350">
        <v>63</v>
      </c>
      <c r="F7815" s="1663">
        <v>15</v>
      </c>
    </row>
    <row r="7816" spans="1:6" ht="15" customHeight="1" x14ac:dyDescent="0.25">
      <c r="A7816" s="2349" t="s">
        <v>14243</v>
      </c>
      <c r="B7816" s="2349" t="s">
        <v>5782</v>
      </c>
      <c r="C7816" s="2349" t="s">
        <v>5782</v>
      </c>
      <c r="D7816" s="2349" t="s">
        <v>5921</v>
      </c>
      <c r="E7816" s="2350">
        <v>60</v>
      </c>
      <c r="F7816" s="1663">
        <v>20</v>
      </c>
    </row>
    <row r="7817" spans="1:6" ht="15" customHeight="1" x14ac:dyDescent="0.25">
      <c r="A7817" s="2349" t="s">
        <v>14244</v>
      </c>
      <c r="B7817" s="2349" t="s">
        <v>5782</v>
      </c>
      <c r="C7817" s="2349" t="s">
        <v>5782</v>
      </c>
      <c r="D7817" s="2349" t="s">
        <v>5922</v>
      </c>
      <c r="E7817" s="2350">
        <v>30</v>
      </c>
      <c r="F7817" s="1663">
        <v>5</v>
      </c>
    </row>
    <row r="7818" spans="1:6" ht="15" customHeight="1" x14ac:dyDescent="0.25">
      <c r="A7818" s="2349" t="s">
        <v>5926</v>
      </c>
      <c r="B7818" s="2349" t="s">
        <v>5782</v>
      </c>
      <c r="C7818" s="2349" t="s">
        <v>5782</v>
      </c>
      <c r="D7818" s="2349" t="s">
        <v>5923</v>
      </c>
      <c r="E7818" s="2350">
        <v>250</v>
      </c>
      <c r="F7818" s="1663">
        <v>55</v>
      </c>
    </row>
    <row r="7819" spans="1:6" ht="15" customHeight="1" x14ac:dyDescent="0.25">
      <c r="A7819" s="2349" t="s">
        <v>14245</v>
      </c>
      <c r="B7819" s="2349" t="s">
        <v>5782</v>
      </c>
      <c r="C7819" s="2349" t="s">
        <v>5782</v>
      </c>
      <c r="D7819" s="2349" t="s">
        <v>5924</v>
      </c>
      <c r="E7819" s="2350">
        <v>100</v>
      </c>
      <c r="F7819" s="1663">
        <v>15</v>
      </c>
    </row>
    <row r="7820" spans="1:6" ht="15" customHeight="1" x14ac:dyDescent="0.25">
      <c r="A7820" s="2349" t="s">
        <v>14245</v>
      </c>
      <c r="B7820" s="2349" t="s">
        <v>5782</v>
      </c>
      <c r="C7820" s="2349" t="s">
        <v>5782</v>
      </c>
      <c r="D7820" s="2349" t="s">
        <v>5925</v>
      </c>
      <c r="E7820" s="2350">
        <v>100</v>
      </c>
      <c r="F7820" s="1663">
        <v>20</v>
      </c>
    </row>
    <row r="7821" spans="1:6" ht="15" customHeight="1" x14ac:dyDescent="0.25">
      <c r="A7821" s="2349" t="s">
        <v>5926</v>
      </c>
      <c r="B7821" s="2349" t="s">
        <v>5782</v>
      </c>
      <c r="C7821" s="2349" t="s">
        <v>5782</v>
      </c>
      <c r="D7821" s="2349" t="s">
        <v>5927</v>
      </c>
      <c r="E7821" s="2350">
        <v>160</v>
      </c>
      <c r="F7821" s="1663">
        <v>55</v>
      </c>
    </row>
    <row r="7822" spans="1:6" ht="15" customHeight="1" x14ac:dyDescent="0.25">
      <c r="A7822" s="2349" t="s">
        <v>14246</v>
      </c>
      <c r="B7822" s="2349" t="s">
        <v>5782</v>
      </c>
      <c r="C7822" s="2349" t="s">
        <v>5782</v>
      </c>
      <c r="D7822" s="2349" t="s">
        <v>5928</v>
      </c>
      <c r="E7822" s="2350">
        <v>60</v>
      </c>
      <c r="F7822" s="1663">
        <v>12</v>
      </c>
    </row>
    <row r="7823" spans="1:6" ht="15" customHeight="1" x14ac:dyDescent="0.25">
      <c r="A7823" s="2349" t="s">
        <v>14247</v>
      </c>
      <c r="B7823" s="2349" t="s">
        <v>5782</v>
      </c>
      <c r="C7823" s="2349" t="s">
        <v>5782</v>
      </c>
      <c r="D7823" s="2349" t="s">
        <v>5929</v>
      </c>
      <c r="E7823" s="2350">
        <v>60</v>
      </c>
      <c r="F7823" s="1663">
        <v>10</v>
      </c>
    </row>
    <row r="7824" spans="1:6" ht="15" customHeight="1" x14ac:dyDescent="0.25">
      <c r="A7824" s="2349" t="s">
        <v>14248</v>
      </c>
      <c r="B7824" s="2349" t="s">
        <v>5782</v>
      </c>
      <c r="C7824" s="2349" t="s">
        <v>5782</v>
      </c>
      <c r="D7824" s="2349" t="s">
        <v>5930</v>
      </c>
      <c r="E7824" s="2350">
        <v>63</v>
      </c>
      <c r="F7824" s="1663">
        <v>5</v>
      </c>
    </row>
    <row r="7825" spans="1:6" ht="15" customHeight="1" x14ac:dyDescent="0.25">
      <c r="A7825" s="2349" t="s">
        <v>14249</v>
      </c>
      <c r="B7825" s="2349" t="s">
        <v>5782</v>
      </c>
      <c r="C7825" s="2349" t="s">
        <v>5782</v>
      </c>
      <c r="D7825" s="2349" t="s">
        <v>5931</v>
      </c>
      <c r="E7825" s="2350">
        <v>30</v>
      </c>
      <c r="F7825" s="1663">
        <v>5</v>
      </c>
    </row>
    <row r="7826" spans="1:6" ht="15" customHeight="1" x14ac:dyDescent="0.25">
      <c r="A7826" s="2349" t="s">
        <v>14250</v>
      </c>
      <c r="B7826" s="2349" t="s">
        <v>5782</v>
      </c>
      <c r="C7826" s="2349" t="s">
        <v>5782</v>
      </c>
      <c r="D7826" s="2349" t="s">
        <v>5932</v>
      </c>
      <c r="E7826" s="2350">
        <v>10</v>
      </c>
      <c r="F7826" s="1663">
        <v>1</v>
      </c>
    </row>
    <row r="7827" spans="1:6" ht="15" customHeight="1" x14ac:dyDescent="0.25">
      <c r="A7827" s="2349" t="s">
        <v>14251</v>
      </c>
      <c r="B7827" s="2349" t="s">
        <v>5782</v>
      </c>
      <c r="C7827" s="2349" t="s">
        <v>5782</v>
      </c>
      <c r="D7827" s="2349" t="s">
        <v>5933</v>
      </c>
      <c r="E7827" s="2350">
        <v>250</v>
      </c>
      <c r="F7827" s="1663">
        <v>10</v>
      </c>
    </row>
    <row r="7828" spans="1:6" ht="15" customHeight="1" x14ac:dyDescent="0.25">
      <c r="A7828" s="2349" t="s">
        <v>5934</v>
      </c>
      <c r="B7828" s="2349" t="s">
        <v>5782</v>
      </c>
      <c r="C7828" s="2349" t="s">
        <v>5782</v>
      </c>
      <c r="D7828" s="2349" t="s">
        <v>5935</v>
      </c>
      <c r="E7828" s="2350">
        <v>100</v>
      </c>
      <c r="F7828" s="1663">
        <v>40</v>
      </c>
    </row>
    <row r="7829" spans="1:6" ht="15" customHeight="1" x14ac:dyDescent="0.25">
      <c r="A7829" s="2349" t="s">
        <v>13268</v>
      </c>
      <c r="B7829" s="2349" t="s">
        <v>5782</v>
      </c>
      <c r="C7829" s="2349" t="s">
        <v>5782</v>
      </c>
      <c r="D7829" s="2349" t="s">
        <v>5936</v>
      </c>
      <c r="E7829" s="2350">
        <v>60</v>
      </c>
      <c r="F7829" s="1663">
        <v>15</v>
      </c>
    </row>
    <row r="7830" spans="1:6" ht="15" customHeight="1" x14ac:dyDescent="0.25">
      <c r="A7830" s="2349" t="s">
        <v>14252</v>
      </c>
      <c r="B7830" s="2349" t="s">
        <v>5782</v>
      </c>
      <c r="C7830" s="2349" t="s">
        <v>5782</v>
      </c>
      <c r="D7830" s="2349" t="s">
        <v>5937</v>
      </c>
      <c r="E7830" s="2350">
        <v>60</v>
      </c>
      <c r="F7830" s="1663">
        <v>15</v>
      </c>
    </row>
    <row r="7831" spans="1:6" ht="15" customHeight="1" x14ac:dyDescent="0.25">
      <c r="A7831" s="2349" t="s">
        <v>14253</v>
      </c>
      <c r="B7831" s="2349" t="s">
        <v>5782</v>
      </c>
      <c r="C7831" s="2349" t="s">
        <v>5782</v>
      </c>
      <c r="D7831" s="2349" t="s">
        <v>5938</v>
      </c>
      <c r="E7831" s="2350">
        <v>100</v>
      </c>
      <c r="F7831" s="1663">
        <v>25</v>
      </c>
    </row>
    <row r="7832" spans="1:6" ht="15" customHeight="1" x14ac:dyDescent="0.25">
      <c r="A7832" s="2349" t="s">
        <v>7124</v>
      </c>
      <c r="B7832" s="2349" t="s">
        <v>5782</v>
      </c>
      <c r="C7832" s="2349" t="s">
        <v>5782</v>
      </c>
      <c r="D7832" s="2349" t="s">
        <v>5939</v>
      </c>
      <c r="E7832" s="2350">
        <v>35</v>
      </c>
      <c r="F7832" s="1663">
        <v>8</v>
      </c>
    </row>
    <row r="7833" spans="1:6" ht="15" customHeight="1" x14ac:dyDescent="0.25">
      <c r="A7833" s="2349" t="s">
        <v>14254</v>
      </c>
      <c r="B7833" s="2349" t="s">
        <v>5782</v>
      </c>
      <c r="C7833" s="2349" t="s">
        <v>5782</v>
      </c>
      <c r="D7833" s="2349" t="s">
        <v>5940</v>
      </c>
      <c r="E7833" s="2350">
        <v>63</v>
      </c>
      <c r="F7833" s="1663">
        <v>15</v>
      </c>
    </row>
    <row r="7834" spans="1:6" ht="15" customHeight="1" x14ac:dyDescent="0.25">
      <c r="A7834" s="2349" t="s">
        <v>5934</v>
      </c>
      <c r="B7834" s="2349" t="s">
        <v>5782</v>
      </c>
      <c r="C7834" s="2349" t="s">
        <v>5782</v>
      </c>
      <c r="D7834" s="2349" t="s">
        <v>5941</v>
      </c>
      <c r="E7834" s="2350">
        <v>63</v>
      </c>
      <c r="F7834" s="1663">
        <v>10</v>
      </c>
    </row>
    <row r="7835" spans="1:6" ht="15" customHeight="1" x14ac:dyDescent="0.25">
      <c r="A7835" s="2349" t="s">
        <v>14255</v>
      </c>
      <c r="B7835" s="2349" t="s">
        <v>5782</v>
      </c>
      <c r="C7835" s="2349" t="s">
        <v>5782</v>
      </c>
      <c r="D7835" s="2349" t="s">
        <v>5942</v>
      </c>
      <c r="E7835" s="2350">
        <v>100</v>
      </c>
      <c r="F7835" s="1663">
        <v>20</v>
      </c>
    </row>
    <row r="7836" spans="1:6" ht="15" customHeight="1" x14ac:dyDescent="0.25">
      <c r="A7836" s="2349" t="s">
        <v>14256</v>
      </c>
      <c r="B7836" s="2349" t="s">
        <v>5782</v>
      </c>
      <c r="C7836" s="2349" t="s">
        <v>5782</v>
      </c>
      <c r="D7836" s="2349" t="s">
        <v>5943</v>
      </c>
      <c r="E7836" s="2350">
        <v>100</v>
      </c>
      <c r="F7836" s="1663">
        <v>23</v>
      </c>
    </row>
    <row r="7837" spans="1:6" ht="15" customHeight="1" x14ac:dyDescent="0.25">
      <c r="A7837" s="2349" t="s">
        <v>14257</v>
      </c>
      <c r="B7837" s="2349" t="s">
        <v>5782</v>
      </c>
      <c r="C7837" s="2349" t="s">
        <v>5782</v>
      </c>
      <c r="D7837" s="2349" t="s">
        <v>5944</v>
      </c>
      <c r="E7837" s="2350">
        <v>10</v>
      </c>
      <c r="F7837" s="1663">
        <v>1</v>
      </c>
    </row>
    <row r="7838" spans="1:6" ht="15" customHeight="1" x14ac:dyDescent="0.25">
      <c r="A7838" s="2349" t="s">
        <v>14258</v>
      </c>
      <c r="B7838" s="2349" t="s">
        <v>5782</v>
      </c>
      <c r="C7838" s="2349" t="s">
        <v>5782</v>
      </c>
      <c r="D7838" s="2349" t="s">
        <v>5945</v>
      </c>
      <c r="E7838" s="2350">
        <v>63</v>
      </c>
      <c r="F7838" s="1663">
        <v>15</v>
      </c>
    </row>
    <row r="7839" spans="1:6" ht="15" customHeight="1" x14ac:dyDescent="0.25">
      <c r="A7839" s="2349" t="s">
        <v>5948</v>
      </c>
      <c r="B7839" s="2349" t="s">
        <v>5782</v>
      </c>
      <c r="C7839" s="2349" t="s">
        <v>5782</v>
      </c>
      <c r="D7839" s="2349" t="s">
        <v>5946</v>
      </c>
      <c r="E7839" s="2350">
        <v>100</v>
      </c>
      <c r="F7839" s="1663">
        <v>19</v>
      </c>
    </row>
    <row r="7840" spans="1:6" ht="15" customHeight="1" x14ac:dyDescent="0.25">
      <c r="A7840" s="2349" t="s">
        <v>5948</v>
      </c>
      <c r="B7840" s="2349" t="s">
        <v>5782</v>
      </c>
      <c r="C7840" s="2349" t="s">
        <v>5782</v>
      </c>
      <c r="D7840" s="2349" t="s">
        <v>5947</v>
      </c>
      <c r="E7840" s="2350">
        <v>63</v>
      </c>
      <c r="F7840" s="1663">
        <v>15</v>
      </c>
    </row>
    <row r="7841" spans="1:6" ht="15" customHeight="1" x14ac:dyDescent="0.25">
      <c r="A7841" s="2349" t="s">
        <v>5948</v>
      </c>
      <c r="B7841" s="2349" t="s">
        <v>5782</v>
      </c>
      <c r="C7841" s="2349" t="s">
        <v>5782</v>
      </c>
      <c r="D7841" s="2349" t="s">
        <v>5949</v>
      </c>
      <c r="E7841" s="2350">
        <v>60</v>
      </c>
      <c r="F7841" s="1663">
        <v>10</v>
      </c>
    </row>
    <row r="7842" spans="1:6" ht="15" customHeight="1" x14ac:dyDescent="0.25">
      <c r="A7842" s="2349" t="s">
        <v>10005</v>
      </c>
      <c r="B7842" s="2349" t="s">
        <v>9941</v>
      </c>
      <c r="C7842" s="2349" t="s">
        <v>9941</v>
      </c>
      <c r="D7842" s="2349" t="s">
        <v>9942</v>
      </c>
      <c r="E7842" s="2350">
        <v>400</v>
      </c>
      <c r="F7842" s="1663">
        <v>280</v>
      </c>
    </row>
    <row r="7843" spans="1:6" ht="15" customHeight="1" x14ac:dyDescent="0.25">
      <c r="A7843" s="2349" t="s">
        <v>14784</v>
      </c>
      <c r="B7843" s="2349" t="s">
        <v>9941</v>
      </c>
      <c r="C7843" s="2349" t="s">
        <v>9941</v>
      </c>
      <c r="D7843" s="2349" t="s">
        <v>9943</v>
      </c>
      <c r="E7843" s="2350">
        <v>250</v>
      </c>
      <c r="F7843" s="1663">
        <v>25</v>
      </c>
    </row>
    <row r="7844" spans="1:6" ht="15" customHeight="1" x14ac:dyDescent="0.25">
      <c r="A7844" s="2349" t="s">
        <v>9944</v>
      </c>
      <c r="B7844" s="2349" t="s">
        <v>9941</v>
      </c>
      <c r="C7844" s="2349" t="s">
        <v>9941</v>
      </c>
      <c r="D7844" s="2349" t="s">
        <v>9945</v>
      </c>
      <c r="E7844" s="2350">
        <v>400</v>
      </c>
      <c r="F7844" s="1663">
        <v>80</v>
      </c>
    </row>
    <row r="7845" spans="1:6" ht="15" customHeight="1" x14ac:dyDescent="0.25">
      <c r="A7845" s="2349" t="s">
        <v>9946</v>
      </c>
      <c r="B7845" s="2349" t="s">
        <v>9941</v>
      </c>
      <c r="C7845" s="2349" t="s">
        <v>9941</v>
      </c>
      <c r="D7845" s="2349" t="s">
        <v>9947</v>
      </c>
      <c r="E7845" s="2350">
        <v>250</v>
      </c>
      <c r="F7845" s="1663">
        <v>50</v>
      </c>
    </row>
    <row r="7846" spans="1:6" ht="15" customHeight="1" x14ac:dyDescent="0.25">
      <c r="A7846" s="2349" t="s">
        <v>14785</v>
      </c>
      <c r="B7846" s="2349" t="s">
        <v>9941</v>
      </c>
      <c r="C7846" s="2349" t="s">
        <v>9941</v>
      </c>
      <c r="D7846" s="2349" t="s">
        <v>9948</v>
      </c>
      <c r="E7846" s="2350">
        <v>160</v>
      </c>
      <c r="F7846" s="1663">
        <v>16</v>
      </c>
    </row>
    <row r="7847" spans="1:6" ht="15" customHeight="1" x14ac:dyDescent="0.25">
      <c r="A7847" s="2349" t="s">
        <v>10364</v>
      </c>
      <c r="B7847" s="2349" t="s">
        <v>9941</v>
      </c>
      <c r="C7847" s="2349" t="s">
        <v>9941</v>
      </c>
      <c r="D7847" s="2349" t="s">
        <v>9949</v>
      </c>
      <c r="E7847" s="2350">
        <v>160</v>
      </c>
      <c r="F7847" s="1663">
        <v>32</v>
      </c>
    </row>
    <row r="7848" spans="1:6" ht="15" customHeight="1" x14ac:dyDescent="0.25">
      <c r="A7848" s="2349" t="s">
        <v>14786</v>
      </c>
      <c r="B7848" s="2349" t="s">
        <v>9941</v>
      </c>
      <c r="C7848" s="2349" t="s">
        <v>9941</v>
      </c>
      <c r="D7848" s="2349" t="s">
        <v>9950</v>
      </c>
      <c r="E7848" s="2350">
        <v>250</v>
      </c>
      <c r="F7848" s="1663">
        <v>175</v>
      </c>
    </row>
    <row r="7849" spans="1:6" ht="15" customHeight="1" x14ac:dyDescent="0.25">
      <c r="A7849" s="2349" t="s">
        <v>9951</v>
      </c>
      <c r="B7849" s="2349" t="s">
        <v>9941</v>
      </c>
      <c r="C7849" s="2349" t="s">
        <v>9941</v>
      </c>
      <c r="D7849" s="2349" t="s">
        <v>9952</v>
      </c>
      <c r="E7849" s="2350">
        <v>250</v>
      </c>
      <c r="F7849" s="1663">
        <v>225</v>
      </c>
    </row>
    <row r="7850" spans="1:6" ht="15" customHeight="1" x14ac:dyDescent="0.25">
      <c r="A7850" s="2349" t="s">
        <v>9953</v>
      </c>
      <c r="B7850" s="2349" t="s">
        <v>9941</v>
      </c>
      <c r="C7850" s="2349" t="s">
        <v>9941</v>
      </c>
      <c r="D7850" s="2349" t="s">
        <v>9954</v>
      </c>
      <c r="E7850" s="2350">
        <v>250</v>
      </c>
      <c r="F7850" s="1663">
        <v>25</v>
      </c>
    </row>
    <row r="7851" spans="1:6" ht="15" customHeight="1" x14ac:dyDescent="0.25">
      <c r="A7851" s="2349" t="s">
        <v>9955</v>
      </c>
      <c r="B7851" s="2349" t="s">
        <v>9941</v>
      </c>
      <c r="C7851" s="2349" t="s">
        <v>9941</v>
      </c>
      <c r="D7851" s="2349" t="s">
        <v>9956</v>
      </c>
      <c r="E7851" s="2350">
        <v>63</v>
      </c>
      <c r="F7851" s="1663">
        <v>6.3</v>
      </c>
    </row>
    <row r="7852" spans="1:6" ht="15" customHeight="1" x14ac:dyDescent="0.25">
      <c r="A7852" s="2349" t="s">
        <v>9953</v>
      </c>
      <c r="B7852" s="2349" t="s">
        <v>9941</v>
      </c>
      <c r="C7852" s="2349" t="s">
        <v>9941</v>
      </c>
      <c r="D7852" s="2349" t="s">
        <v>9957</v>
      </c>
      <c r="E7852" s="2350">
        <v>320</v>
      </c>
      <c r="F7852" s="1663">
        <v>32</v>
      </c>
    </row>
    <row r="7853" spans="1:6" ht="15" customHeight="1" x14ac:dyDescent="0.25">
      <c r="A7853" s="2349" t="s">
        <v>14787</v>
      </c>
      <c r="B7853" s="2349" t="s">
        <v>9941</v>
      </c>
      <c r="C7853" s="2349" t="s">
        <v>9941</v>
      </c>
      <c r="D7853" s="2349" t="s">
        <v>9958</v>
      </c>
      <c r="E7853" s="2350">
        <v>250</v>
      </c>
      <c r="F7853" s="1663">
        <v>75</v>
      </c>
    </row>
    <row r="7854" spans="1:6" ht="15" customHeight="1" x14ac:dyDescent="0.25">
      <c r="A7854" s="2349" t="s">
        <v>9959</v>
      </c>
      <c r="B7854" s="2349" t="s">
        <v>9941</v>
      </c>
      <c r="C7854" s="2349" t="s">
        <v>9941</v>
      </c>
      <c r="D7854" s="2349" t="s">
        <v>9960</v>
      </c>
      <c r="E7854" s="2350">
        <v>250</v>
      </c>
      <c r="F7854" s="1663">
        <v>175</v>
      </c>
    </row>
    <row r="7855" spans="1:6" ht="15" customHeight="1" x14ac:dyDescent="0.25">
      <c r="A7855" s="2349" t="s">
        <v>9961</v>
      </c>
      <c r="B7855" s="2349" t="s">
        <v>9941</v>
      </c>
      <c r="C7855" s="2349" t="s">
        <v>9941</v>
      </c>
      <c r="D7855" s="2349" t="s">
        <v>9962</v>
      </c>
      <c r="E7855" s="2350">
        <v>160</v>
      </c>
      <c r="F7855" s="1663">
        <v>96</v>
      </c>
    </row>
    <row r="7856" spans="1:6" ht="15" customHeight="1" x14ac:dyDescent="0.25">
      <c r="A7856" s="2349" t="s">
        <v>9964</v>
      </c>
      <c r="B7856" s="2349" t="s">
        <v>9941</v>
      </c>
      <c r="C7856" s="2349" t="s">
        <v>9941</v>
      </c>
      <c r="D7856" s="2349" t="s">
        <v>9963</v>
      </c>
      <c r="E7856" s="2350">
        <v>250</v>
      </c>
      <c r="F7856" s="1663">
        <v>100</v>
      </c>
    </row>
    <row r="7857" spans="1:6" ht="15" customHeight="1" x14ac:dyDescent="0.25">
      <c r="A7857" s="2349" t="s">
        <v>9964</v>
      </c>
      <c r="B7857" s="2349" t="s">
        <v>9941</v>
      </c>
      <c r="C7857" s="2349" t="s">
        <v>9941</v>
      </c>
      <c r="D7857" s="2349" t="s">
        <v>9965</v>
      </c>
      <c r="E7857" s="2350">
        <v>30</v>
      </c>
      <c r="F7857" s="1663">
        <v>3</v>
      </c>
    </row>
    <row r="7858" spans="1:6" ht="15" customHeight="1" x14ac:dyDescent="0.25">
      <c r="A7858" s="2349" t="s">
        <v>9964</v>
      </c>
      <c r="B7858" s="2349" t="s">
        <v>9941</v>
      </c>
      <c r="C7858" s="2349" t="s">
        <v>9941</v>
      </c>
      <c r="D7858" s="2349" t="s">
        <v>9966</v>
      </c>
      <c r="E7858" s="2350">
        <v>100</v>
      </c>
      <c r="F7858" s="1663">
        <v>10</v>
      </c>
    </row>
    <row r="7859" spans="1:6" ht="15" customHeight="1" x14ac:dyDescent="0.25">
      <c r="A7859" s="2349" t="s">
        <v>9964</v>
      </c>
      <c r="B7859" s="2349" t="s">
        <v>9941</v>
      </c>
      <c r="C7859" s="2349" t="s">
        <v>9941</v>
      </c>
      <c r="D7859" s="2349" t="s">
        <v>9967</v>
      </c>
      <c r="E7859" s="2350">
        <v>30</v>
      </c>
      <c r="F7859" s="1663">
        <v>6</v>
      </c>
    </row>
    <row r="7860" spans="1:6" ht="15" customHeight="1" x14ac:dyDescent="0.25">
      <c r="A7860" s="2349" t="s">
        <v>14788</v>
      </c>
      <c r="B7860" s="2349" t="s">
        <v>9941</v>
      </c>
      <c r="C7860" s="2349" t="s">
        <v>9941</v>
      </c>
      <c r="D7860" s="2349" t="s">
        <v>9968</v>
      </c>
      <c r="E7860" s="2350">
        <v>250</v>
      </c>
      <c r="F7860" s="1663">
        <v>75</v>
      </c>
    </row>
    <row r="7861" spans="1:6" ht="15" customHeight="1" x14ac:dyDescent="0.25">
      <c r="A7861" s="2349" t="s">
        <v>14789</v>
      </c>
      <c r="B7861" s="2349" t="s">
        <v>9941</v>
      </c>
      <c r="C7861" s="2349" t="s">
        <v>9941</v>
      </c>
      <c r="D7861" s="2349" t="s">
        <v>9969</v>
      </c>
      <c r="E7861" s="2350">
        <v>60</v>
      </c>
      <c r="F7861" s="1663">
        <v>0</v>
      </c>
    </row>
    <row r="7862" spans="1:6" ht="15" customHeight="1" x14ac:dyDescent="0.25">
      <c r="A7862" s="2349" t="s">
        <v>14790</v>
      </c>
      <c r="B7862" s="2349" t="s">
        <v>9941</v>
      </c>
      <c r="C7862" s="2349" t="s">
        <v>9941</v>
      </c>
      <c r="D7862" s="2349" t="s">
        <v>9970</v>
      </c>
      <c r="E7862" s="2350">
        <v>60</v>
      </c>
      <c r="F7862" s="1663">
        <v>12</v>
      </c>
    </row>
    <row r="7863" spans="1:6" ht="15" customHeight="1" x14ac:dyDescent="0.25">
      <c r="A7863" s="2349" t="s">
        <v>14791</v>
      </c>
      <c r="B7863" s="2349" t="s">
        <v>9941</v>
      </c>
      <c r="C7863" s="2349" t="s">
        <v>9941</v>
      </c>
      <c r="D7863" s="2349" t="s">
        <v>9971</v>
      </c>
      <c r="E7863" s="2350">
        <v>160</v>
      </c>
      <c r="F7863" s="1663">
        <v>48</v>
      </c>
    </row>
    <row r="7864" spans="1:6" ht="15" customHeight="1" x14ac:dyDescent="0.25">
      <c r="A7864" s="2349" t="s">
        <v>14791</v>
      </c>
      <c r="B7864" s="2349" t="s">
        <v>9941</v>
      </c>
      <c r="C7864" s="2349" t="s">
        <v>9941</v>
      </c>
      <c r="D7864" s="2349" t="s">
        <v>9972</v>
      </c>
      <c r="E7864" s="2350">
        <v>160</v>
      </c>
      <c r="F7864" s="1663">
        <v>0</v>
      </c>
    </row>
    <row r="7865" spans="1:6" ht="15" customHeight="1" x14ac:dyDescent="0.25">
      <c r="A7865" s="2349" t="s">
        <v>14792</v>
      </c>
      <c r="B7865" s="2349" t="s">
        <v>9941</v>
      </c>
      <c r="C7865" s="2349" t="s">
        <v>9941</v>
      </c>
      <c r="D7865" s="2349" t="s">
        <v>9973</v>
      </c>
      <c r="E7865" s="2350">
        <v>250</v>
      </c>
      <c r="F7865" s="1663">
        <v>100</v>
      </c>
    </row>
    <row r="7866" spans="1:6" ht="15" customHeight="1" x14ac:dyDescent="0.25">
      <c r="A7866" s="2349" t="s">
        <v>14793</v>
      </c>
      <c r="B7866" s="2349" t="s">
        <v>9941</v>
      </c>
      <c r="C7866" s="2349" t="s">
        <v>9941</v>
      </c>
      <c r="D7866" s="2349" t="s">
        <v>9974</v>
      </c>
      <c r="E7866" s="2350">
        <v>60</v>
      </c>
      <c r="F7866" s="1663">
        <v>54</v>
      </c>
    </row>
    <row r="7867" spans="1:6" ht="15" customHeight="1" x14ac:dyDescent="0.25">
      <c r="A7867" s="2349" t="s">
        <v>14794</v>
      </c>
      <c r="B7867" s="2349" t="s">
        <v>9941</v>
      </c>
      <c r="C7867" s="2349" t="s">
        <v>9941</v>
      </c>
      <c r="D7867" s="2349" t="s">
        <v>9975</v>
      </c>
      <c r="E7867" s="2350">
        <v>250</v>
      </c>
      <c r="F7867" s="1663">
        <v>50</v>
      </c>
    </row>
    <row r="7868" spans="1:6" ht="15" customHeight="1" x14ac:dyDescent="0.25">
      <c r="A7868" s="2349" t="s">
        <v>14795</v>
      </c>
      <c r="B7868" s="2349" t="s">
        <v>9941</v>
      </c>
      <c r="C7868" s="2349" t="s">
        <v>9941</v>
      </c>
      <c r="D7868" s="2349" t="s">
        <v>9976</v>
      </c>
      <c r="E7868" s="2350">
        <v>100</v>
      </c>
      <c r="F7868" s="1663">
        <v>30</v>
      </c>
    </row>
    <row r="7869" spans="1:6" ht="15" customHeight="1" x14ac:dyDescent="0.25">
      <c r="A7869" s="2349" t="s">
        <v>14796</v>
      </c>
      <c r="B7869" s="2349" t="s">
        <v>9941</v>
      </c>
      <c r="C7869" s="2349" t="s">
        <v>9941</v>
      </c>
      <c r="D7869" s="2349" t="s">
        <v>9977</v>
      </c>
      <c r="E7869" s="2350">
        <v>60</v>
      </c>
      <c r="F7869" s="1663">
        <v>6</v>
      </c>
    </row>
    <row r="7870" spans="1:6" ht="15" customHeight="1" x14ac:dyDescent="0.25">
      <c r="A7870" s="2349" t="s">
        <v>14797</v>
      </c>
      <c r="B7870" s="2349" t="s">
        <v>9941</v>
      </c>
      <c r="C7870" s="2349" t="s">
        <v>9941</v>
      </c>
      <c r="D7870" s="2349" t="s">
        <v>9978</v>
      </c>
      <c r="E7870" s="2350">
        <v>100</v>
      </c>
      <c r="F7870" s="1663">
        <v>10</v>
      </c>
    </row>
    <row r="7871" spans="1:6" ht="15" customHeight="1" x14ac:dyDescent="0.25">
      <c r="A7871" s="2349" t="s">
        <v>14798</v>
      </c>
      <c r="B7871" s="2349" t="s">
        <v>9941</v>
      </c>
      <c r="C7871" s="2349" t="s">
        <v>9941</v>
      </c>
      <c r="D7871" s="2349" t="s">
        <v>9979</v>
      </c>
      <c r="E7871" s="2350">
        <v>100</v>
      </c>
      <c r="F7871" s="1663">
        <v>40</v>
      </c>
    </row>
    <row r="7872" spans="1:6" ht="15" customHeight="1" x14ac:dyDescent="0.25">
      <c r="A7872" s="2349" t="s">
        <v>14799</v>
      </c>
      <c r="B7872" s="2349" t="s">
        <v>9941</v>
      </c>
      <c r="C7872" s="2349" t="s">
        <v>9941</v>
      </c>
      <c r="D7872" s="2349" t="s">
        <v>9980</v>
      </c>
      <c r="E7872" s="2350">
        <v>100</v>
      </c>
      <c r="F7872" s="1663">
        <v>60</v>
      </c>
    </row>
    <row r="7873" spans="1:6" ht="15" customHeight="1" x14ac:dyDescent="0.25">
      <c r="A7873" s="2349" t="s">
        <v>4440</v>
      </c>
      <c r="B7873" s="2349" t="s">
        <v>9941</v>
      </c>
      <c r="C7873" s="2349" t="s">
        <v>9941</v>
      </c>
      <c r="D7873" s="2349" t="s">
        <v>9981</v>
      </c>
      <c r="E7873" s="2350">
        <v>100</v>
      </c>
      <c r="F7873" s="1663">
        <v>50</v>
      </c>
    </row>
    <row r="7874" spans="1:6" ht="15" customHeight="1" x14ac:dyDescent="0.25">
      <c r="A7874" s="2349" t="s">
        <v>6483</v>
      </c>
      <c r="B7874" s="2349" t="s">
        <v>9941</v>
      </c>
      <c r="C7874" s="2349" t="s">
        <v>9941</v>
      </c>
      <c r="D7874" s="2349" t="s">
        <v>9982</v>
      </c>
      <c r="E7874" s="2350">
        <v>250</v>
      </c>
      <c r="F7874" s="1663">
        <v>75</v>
      </c>
    </row>
    <row r="7875" spans="1:6" ht="15" customHeight="1" x14ac:dyDescent="0.25">
      <c r="A7875" s="2349" t="s">
        <v>6483</v>
      </c>
      <c r="B7875" s="2349" t="s">
        <v>9941</v>
      </c>
      <c r="C7875" s="2349" t="s">
        <v>9941</v>
      </c>
      <c r="D7875" s="2349" t="s">
        <v>9983</v>
      </c>
      <c r="E7875" s="2350">
        <v>60</v>
      </c>
      <c r="F7875" s="1663">
        <v>42</v>
      </c>
    </row>
    <row r="7876" spans="1:6" ht="15" customHeight="1" x14ac:dyDescent="0.25">
      <c r="A7876" s="2349" t="s">
        <v>6483</v>
      </c>
      <c r="B7876" s="2349" t="s">
        <v>9941</v>
      </c>
      <c r="C7876" s="2349" t="s">
        <v>9941</v>
      </c>
      <c r="D7876" s="2349" t="s">
        <v>9984</v>
      </c>
      <c r="E7876" s="2350">
        <v>63</v>
      </c>
      <c r="F7876" s="1663">
        <v>25.2</v>
      </c>
    </row>
    <row r="7877" spans="1:6" ht="15" customHeight="1" x14ac:dyDescent="0.25">
      <c r="A7877" s="2349" t="s">
        <v>6483</v>
      </c>
      <c r="B7877" s="2349" t="s">
        <v>9941</v>
      </c>
      <c r="C7877" s="2349" t="s">
        <v>9941</v>
      </c>
      <c r="D7877" s="2349" t="s">
        <v>9985</v>
      </c>
      <c r="E7877" s="2350">
        <v>250</v>
      </c>
      <c r="F7877" s="1663">
        <v>125</v>
      </c>
    </row>
    <row r="7878" spans="1:6" ht="15" customHeight="1" x14ac:dyDescent="0.25">
      <c r="A7878" s="2349" t="s">
        <v>6483</v>
      </c>
      <c r="B7878" s="2349" t="s">
        <v>9941</v>
      </c>
      <c r="C7878" s="2349" t="s">
        <v>9941</v>
      </c>
      <c r="D7878" s="2349" t="s">
        <v>9986</v>
      </c>
      <c r="E7878" s="2350">
        <v>250</v>
      </c>
      <c r="F7878" s="1663">
        <v>200</v>
      </c>
    </row>
    <row r="7879" spans="1:6" ht="15" customHeight="1" x14ac:dyDescent="0.25">
      <c r="A7879" s="2349" t="s">
        <v>9988</v>
      </c>
      <c r="B7879" s="2349" t="s">
        <v>9941</v>
      </c>
      <c r="C7879" s="2349" t="s">
        <v>9941</v>
      </c>
      <c r="D7879" s="2349" t="s">
        <v>9987</v>
      </c>
      <c r="E7879" s="2350">
        <v>250</v>
      </c>
      <c r="F7879" s="1663">
        <v>0</v>
      </c>
    </row>
    <row r="7880" spans="1:6" ht="15" customHeight="1" x14ac:dyDescent="0.25">
      <c r="A7880" s="2349" t="s">
        <v>9988</v>
      </c>
      <c r="B7880" s="2349" t="s">
        <v>9941</v>
      </c>
      <c r="C7880" s="2349" t="s">
        <v>9941</v>
      </c>
      <c r="D7880" s="2349" t="s">
        <v>9989</v>
      </c>
      <c r="E7880" s="2350">
        <v>250</v>
      </c>
      <c r="F7880" s="1663">
        <v>75</v>
      </c>
    </row>
    <row r="7881" spans="1:6" ht="15" customHeight="1" x14ac:dyDescent="0.25">
      <c r="A7881" s="2349" t="s">
        <v>9988</v>
      </c>
      <c r="B7881" s="2349" t="s">
        <v>9941</v>
      </c>
      <c r="C7881" s="2349" t="s">
        <v>9941</v>
      </c>
      <c r="D7881" s="2349" t="s">
        <v>9990</v>
      </c>
      <c r="E7881" s="2350">
        <v>160</v>
      </c>
      <c r="F7881" s="1663">
        <v>16</v>
      </c>
    </row>
    <row r="7882" spans="1:6" ht="15" customHeight="1" x14ac:dyDescent="0.25">
      <c r="A7882" s="2349" t="s">
        <v>9988</v>
      </c>
      <c r="B7882" s="2349" t="s">
        <v>9941</v>
      </c>
      <c r="C7882" s="2349" t="s">
        <v>9941</v>
      </c>
      <c r="D7882" s="2349" t="s">
        <v>9991</v>
      </c>
      <c r="E7882" s="2350">
        <v>250</v>
      </c>
      <c r="F7882" s="1663">
        <v>25</v>
      </c>
    </row>
    <row r="7883" spans="1:6" ht="15" customHeight="1" x14ac:dyDescent="0.25">
      <c r="A7883" s="2349" t="s">
        <v>9988</v>
      </c>
      <c r="B7883" s="2349" t="s">
        <v>9941</v>
      </c>
      <c r="C7883" s="2349" t="s">
        <v>9941</v>
      </c>
      <c r="D7883" s="2349" t="s">
        <v>9992</v>
      </c>
      <c r="E7883" s="2350">
        <v>250</v>
      </c>
      <c r="F7883" s="1663">
        <v>50</v>
      </c>
    </row>
    <row r="7884" spans="1:6" ht="15" customHeight="1" x14ac:dyDescent="0.25">
      <c r="A7884" s="2349" t="s">
        <v>9988</v>
      </c>
      <c r="B7884" s="2349" t="s">
        <v>9941</v>
      </c>
      <c r="C7884" s="2349" t="s">
        <v>9941</v>
      </c>
      <c r="D7884" s="2349" t="s">
        <v>9993</v>
      </c>
      <c r="E7884" s="2350">
        <v>100</v>
      </c>
      <c r="F7884" s="1663">
        <v>0</v>
      </c>
    </row>
    <row r="7885" spans="1:6" ht="15" customHeight="1" x14ac:dyDescent="0.25">
      <c r="A7885" s="2349" t="s">
        <v>9988</v>
      </c>
      <c r="B7885" s="2349" t="s">
        <v>9941</v>
      </c>
      <c r="C7885" s="2349" t="s">
        <v>9941</v>
      </c>
      <c r="D7885" s="2349" t="s">
        <v>9994</v>
      </c>
      <c r="E7885" s="2350">
        <v>100</v>
      </c>
      <c r="F7885" s="1663">
        <v>30</v>
      </c>
    </row>
    <row r="7886" spans="1:6" ht="15" customHeight="1" x14ac:dyDescent="0.25">
      <c r="A7886" s="2349" t="s">
        <v>14475</v>
      </c>
      <c r="B7886" s="2349" t="s">
        <v>9941</v>
      </c>
      <c r="C7886" s="2349" t="s">
        <v>9941</v>
      </c>
      <c r="D7886" s="2349" t="s">
        <v>9995</v>
      </c>
      <c r="E7886" s="2350">
        <v>250</v>
      </c>
      <c r="F7886" s="1663">
        <v>75</v>
      </c>
    </row>
    <row r="7887" spans="1:6" ht="15" customHeight="1" x14ac:dyDescent="0.25">
      <c r="A7887" s="2349" t="s">
        <v>8283</v>
      </c>
      <c r="B7887" s="2349" t="s">
        <v>9941</v>
      </c>
      <c r="C7887" s="2349" t="s">
        <v>9941</v>
      </c>
      <c r="D7887" s="2349" t="s">
        <v>9996</v>
      </c>
      <c r="E7887" s="2350">
        <v>250</v>
      </c>
      <c r="F7887" s="1663">
        <v>50</v>
      </c>
    </row>
    <row r="7888" spans="1:6" ht="15" customHeight="1" x14ac:dyDescent="0.25">
      <c r="A7888" s="2349" t="s">
        <v>8418</v>
      </c>
      <c r="B7888" s="2349" t="s">
        <v>9941</v>
      </c>
      <c r="C7888" s="2349" t="s">
        <v>9941</v>
      </c>
      <c r="D7888" s="2349" t="s">
        <v>9997</v>
      </c>
      <c r="E7888" s="2350">
        <v>10</v>
      </c>
      <c r="F7888" s="1663">
        <v>2</v>
      </c>
    </row>
    <row r="7889" spans="1:6" ht="15" customHeight="1" x14ac:dyDescent="0.25">
      <c r="A7889" s="2349" t="s">
        <v>14800</v>
      </c>
      <c r="B7889" s="2349" t="s">
        <v>9941</v>
      </c>
      <c r="C7889" s="2349" t="s">
        <v>9941</v>
      </c>
      <c r="D7889" s="2349" t="s">
        <v>9998</v>
      </c>
      <c r="E7889" s="2350">
        <v>100</v>
      </c>
      <c r="F7889" s="1663">
        <v>10</v>
      </c>
    </row>
    <row r="7890" spans="1:6" ht="15" customHeight="1" x14ac:dyDescent="0.25">
      <c r="A7890" s="2349" t="s">
        <v>14801</v>
      </c>
      <c r="B7890" s="2349" t="s">
        <v>9941</v>
      </c>
      <c r="C7890" s="2349" t="s">
        <v>9941</v>
      </c>
      <c r="D7890" s="2349" t="s">
        <v>9999</v>
      </c>
      <c r="E7890" s="2350">
        <v>100</v>
      </c>
      <c r="F7890" s="1663">
        <v>40</v>
      </c>
    </row>
    <row r="7891" spans="1:6" ht="15" customHeight="1" x14ac:dyDescent="0.25">
      <c r="A7891" s="2349" t="s">
        <v>10000</v>
      </c>
      <c r="B7891" s="2349" t="s">
        <v>9941</v>
      </c>
      <c r="C7891" s="2349" t="s">
        <v>9941</v>
      </c>
      <c r="D7891" s="2349" t="s">
        <v>10001</v>
      </c>
      <c r="E7891" s="2350">
        <v>100</v>
      </c>
      <c r="F7891" s="1663">
        <v>40</v>
      </c>
    </row>
    <row r="7892" spans="1:6" ht="15" customHeight="1" x14ac:dyDescent="0.25">
      <c r="A7892" s="2349" t="s">
        <v>14802</v>
      </c>
      <c r="B7892" s="2349" t="s">
        <v>9941</v>
      </c>
      <c r="C7892" s="2349" t="s">
        <v>9941</v>
      </c>
      <c r="D7892" s="2349" t="s">
        <v>10002</v>
      </c>
      <c r="E7892" s="2350">
        <v>63</v>
      </c>
      <c r="F7892" s="1663">
        <v>31.5</v>
      </c>
    </row>
    <row r="7893" spans="1:6" ht="15" customHeight="1" x14ac:dyDescent="0.25">
      <c r="A7893" s="2349" t="s">
        <v>6596</v>
      </c>
      <c r="B7893" s="2349" t="s">
        <v>9941</v>
      </c>
      <c r="C7893" s="2349" t="s">
        <v>9941</v>
      </c>
      <c r="D7893" s="2349" t="s">
        <v>10003</v>
      </c>
      <c r="E7893" s="2350">
        <v>63</v>
      </c>
      <c r="F7893" s="1663">
        <v>37.799999999999997</v>
      </c>
    </row>
    <row r="7894" spans="1:6" ht="15" customHeight="1" x14ac:dyDescent="0.25">
      <c r="A7894" s="2349" t="s">
        <v>14505</v>
      </c>
      <c r="B7894" s="2349" t="s">
        <v>9941</v>
      </c>
      <c r="C7894" s="2349" t="s">
        <v>9941</v>
      </c>
      <c r="D7894" s="2349" t="s">
        <v>10004</v>
      </c>
      <c r="E7894" s="2350">
        <v>30</v>
      </c>
      <c r="F7894" s="1663">
        <v>0</v>
      </c>
    </row>
    <row r="7895" spans="1:6" ht="15" customHeight="1" x14ac:dyDescent="0.25">
      <c r="A7895" s="2349" t="s">
        <v>10005</v>
      </c>
      <c r="B7895" s="2349" t="s">
        <v>9941</v>
      </c>
      <c r="C7895" s="2349" t="s">
        <v>9941</v>
      </c>
      <c r="D7895" s="2349" t="s">
        <v>10006</v>
      </c>
      <c r="E7895" s="2350">
        <v>250</v>
      </c>
      <c r="F7895" s="1663">
        <v>75</v>
      </c>
    </row>
    <row r="7896" spans="1:6" ht="15" customHeight="1" x14ac:dyDescent="0.25">
      <c r="A7896" s="2349" t="s">
        <v>10005</v>
      </c>
      <c r="B7896" s="2349" t="s">
        <v>9941</v>
      </c>
      <c r="C7896" s="2349" t="s">
        <v>9941</v>
      </c>
      <c r="D7896" s="2349" t="s">
        <v>10007</v>
      </c>
      <c r="E7896" s="2350">
        <v>100</v>
      </c>
      <c r="F7896" s="1663">
        <v>15</v>
      </c>
    </row>
    <row r="7897" spans="1:6" ht="15" customHeight="1" x14ac:dyDescent="0.25">
      <c r="A7897" s="2349" t="s">
        <v>10005</v>
      </c>
      <c r="B7897" s="2349" t="s">
        <v>9941</v>
      </c>
      <c r="C7897" s="2349" t="s">
        <v>9941</v>
      </c>
      <c r="D7897" s="2349" t="s">
        <v>10008</v>
      </c>
      <c r="E7897" s="2350">
        <v>60</v>
      </c>
      <c r="F7897" s="1663">
        <v>12</v>
      </c>
    </row>
    <row r="7898" spans="1:6" ht="15" customHeight="1" x14ac:dyDescent="0.25">
      <c r="A7898" s="2349" t="s">
        <v>10005</v>
      </c>
      <c r="B7898" s="2349" t="s">
        <v>9941</v>
      </c>
      <c r="C7898" s="2349" t="s">
        <v>9941</v>
      </c>
      <c r="D7898" s="2349" t="s">
        <v>10009</v>
      </c>
      <c r="E7898" s="2350">
        <v>60</v>
      </c>
      <c r="F7898" s="1663">
        <v>24</v>
      </c>
    </row>
    <row r="7899" spans="1:6" ht="15" customHeight="1" x14ac:dyDescent="0.25">
      <c r="A7899" s="2349" t="s">
        <v>14501</v>
      </c>
      <c r="B7899" s="2349" t="s">
        <v>9941</v>
      </c>
      <c r="C7899" s="2349" t="s">
        <v>9941</v>
      </c>
      <c r="D7899" s="2349" t="s">
        <v>10010</v>
      </c>
      <c r="E7899" s="2350">
        <v>100</v>
      </c>
      <c r="F7899" s="1663">
        <v>30</v>
      </c>
    </row>
    <row r="7900" spans="1:6" ht="15" customHeight="1" x14ac:dyDescent="0.25">
      <c r="A7900" s="2349" t="s">
        <v>14803</v>
      </c>
      <c r="B7900" s="2349" t="s">
        <v>9941</v>
      </c>
      <c r="C7900" s="2349" t="s">
        <v>9941</v>
      </c>
      <c r="D7900" s="2349" t="s">
        <v>10011</v>
      </c>
      <c r="E7900" s="2350">
        <v>30</v>
      </c>
      <c r="F7900" s="1663">
        <v>6</v>
      </c>
    </row>
    <row r="7901" spans="1:6" ht="15" customHeight="1" x14ac:dyDescent="0.25">
      <c r="A7901" s="2349" t="s">
        <v>10012</v>
      </c>
      <c r="B7901" s="2349" t="s">
        <v>9941</v>
      </c>
      <c r="C7901" s="2349" t="s">
        <v>9941</v>
      </c>
      <c r="D7901" s="2349" t="s">
        <v>10013</v>
      </c>
      <c r="E7901" s="2350">
        <v>60</v>
      </c>
      <c r="F7901" s="1663">
        <v>18</v>
      </c>
    </row>
    <row r="7902" spans="1:6" ht="15" customHeight="1" x14ac:dyDescent="0.25">
      <c r="A7902" s="2349" t="s">
        <v>10012</v>
      </c>
      <c r="B7902" s="2349" t="s">
        <v>9941</v>
      </c>
      <c r="C7902" s="2349" t="s">
        <v>9941</v>
      </c>
      <c r="D7902" s="2349" t="s">
        <v>10014</v>
      </c>
      <c r="E7902" s="2350">
        <v>60</v>
      </c>
      <c r="F7902" s="1663">
        <v>24</v>
      </c>
    </row>
    <row r="7903" spans="1:6" ht="15" customHeight="1" x14ac:dyDescent="0.25">
      <c r="A7903" s="2349" t="s">
        <v>10012</v>
      </c>
      <c r="B7903" s="2349" t="s">
        <v>9941</v>
      </c>
      <c r="C7903" s="2349" t="s">
        <v>9941</v>
      </c>
      <c r="D7903" s="2349" t="s">
        <v>10015</v>
      </c>
      <c r="E7903" s="2350">
        <v>250</v>
      </c>
      <c r="F7903" s="1663">
        <v>25</v>
      </c>
    </row>
    <row r="7904" spans="1:6" ht="15" customHeight="1" x14ac:dyDescent="0.25">
      <c r="A7904" s="2349" t="s">
        <v>10012</v>
      </c>
      <c r="B7904" s="2349" t="s">
        <v>9941</v>
      </c>
      <c r="C7904" s="2349" t="s">
        <v>9941</v>
      </c>
      <c r="D7904" s="2349" t="s">
        <v>10016</v>
      </c>
      <c r="E7904" s="2350">
        <v>250</v>
      </c>
      <c r="F7904" s="1663">
        <v>50</v>
      </c>
    </row>
    <row r="7905" spans="1:6" ht="15" customHeight="1" x14ac:dyDescent="0.25">
      <c r="A7905" s="2349" t="s">
        <v>3914</v>
      </c>
      <c r="B7905" s="2349" t="s">
        <v>9941</v>
      </c>
      <c r="C7905" s="2349" t="s">
        <v>9941</v>
      </c>
      <c r="D7905" s="2349" t="s">
        <v>10017</v>
      </c>
      <c r="E7905" s="2350">
        <v>60</v>
      </c>
      <c r="F7905" s="1663">
        <v>6</v>
      </c>
    </row>
    <row r="7906" spans="1:6" ht="15" customHeight="1" x14ac:dyDescent="0.25">
      <c r="A7906" s="2349" t="s">
        <v>3914</v>
      </c>
      <c r="B7906" s="2349" t="s">
        <v>9941</v>
      </c>
      <c r="C7906" s="2349" t="s">
        <v>9941</v>
      </c>
      <c r="D7906" s="2349" t="s">
        <v>10018</v>
      </c>
      <c r="E7906" s="2350">
        <v>30</v>
      </c>
      <c r="F7906" s="1663">
        <v>6</v>
      </c>
    </row>
    <row r="7907" spans="1:6" ht="15" customHeight="1" x14ac:dyDescent="0.25">
      <c r="A7907" s="2349" t="s">
        <v>10019</v>
      </c>
      <c r="B7907" s="2349" t="s">
        <v>9941</v>
      </c>
      <c r="C7907" s="2349" t="s">
        <v>9941</v>
      </c>
      <c r="D7907" s="2349" t="s">
        <v>10020</v>
      </c>
      <c r="E7907" s="2350">
        <v>25</v>
      </c>
      <c r="F7907" s="1663">
        <v>2.5</v>
      </c>
    </row>
    <row r="7908" spans="1:6" ht="15" customHeight="1" x14ac:dyDescent="0.25">
      <c r="A7908" s="2349" t="s">
        <v>14784</v>
      </c>
      <c r="B7908" s="2349" t="s">
        <v>9941</v>
      </c>
      <c r="C7908" s="2349" t="s">
        <v>9941</v>
      </c>
      <c r="D7908" s="2349" t="s">
        <v>10021</v>
      </c>
      <c r="E7908" s="2350">
        <v>100</v>
      </c>
      <c r="F7908" s="1663">
        <v>10</v>
      </c>
    </row>
    <row r="7909" spans="1:6" ht="15" customHeight="1" x14ac:dyDescent="0.25">
      <c r="A7909" s="2349" t="s">
        <v>14784</v>
      </c>
      <c r="B7909" s="2349" t="s">
        <v>9941</v>
      </c>
      <c r="C7909" s="2349" t="s">
        <v>9941</v>
      </c>
      <c r="D7909" s="2349" t="s">
        <v>10022</v>
      </c>
      <c r="E7909" s="2350">
        <v>250</v>
      </c>
      <c r="F7909" s="1663">
        <v>125</v>
      </c>
    </row>
    <row r="7910" spans="1:6" ht="15" customHeight="1" x14ac:dyDescent="0.25">
      <c r="A7910" s="2349" t="s">
        <v>10023</v>
      </c>
      <c r="B7910" s="2349" t="s">
        <v>9941</v>
      </c>
      <c r="C7910" s="2349" t="s">
        <v>9941</v>
      </c>
      <c r="D7910" s="2349" t="s">
        <v>10024</v>
      </c>
      <c r="E7910" s="2350">
        <v>100</v>
      </c>
      <c r="F7910" s="1663">
        <v>70</v>
      </c>
    </row>
    <row r="7911" spans="1:6" ht="15" customHeight="1" x14ac:dyDescent="0.25">
      <c r="A7911" s="2349" t="s">
        <v>14804</v>
      </c>
      <c r="B7911" s="2349" t="s">
        <v>9941</v>
      </c>
      <c r="C7911" s="2349" t="s">
        <v>9941</v>
      </c>
      <c r="D7911" s="2349" t="s">
        <v>10025</v>
      </c>
      <c r="E7911" s="2350">
        <v>160</v>
      </c>
      <c r="F7911" s="1663">
        <v>16</v>
      </c>
    </row>
    <row r="7912" spans="1:6" ht="15" customHeight="1" x14ac:dyDescent="0.25">
      <c r="A7912" s="2349" t="s">
        <v>8089</v>
      </c>
      <c r="B7912" s="2349" t="s">
        <v>9941</v>
      </c>
      <c r="C7912" s="2349" t="s">
        <v>9941</v>
      </c>
      <c r="D7912" s="2349" t="s">
        <v>10026</v>
      </c>
      <c r="E7912" s="2350">
        <v>250</v>
      </c>
      <c r="F7912" s="1663">
        <v>125</v>
      </c>
    </row>
    <row r="7913" spans="1:6" ht="15" customHeight="1" x14ac:dyDescent="0.25">
      <c r="A7913" s="2349" t="s">
        <v>8089</v>
      </c>
      <c r="B7913" s="2349" t="s">
        <v>9941</v>
      </c>
      <c r="C7913" s="2349" t="s">
        <v>9941</v>
      </c>
      <c r="D7913" s="2349" t="s">
        <v>10027</v>
      </c>
      <c r="E7913" s="2350">
        <v>160</v>
      </c>
      <c r="F7913" s="1663">
        <v>16</v>
      </c>
    </row>
    <row r="7914" spans="1:6" ht="15" customHeight="1" x14ac:dyDescent="0.25">
      <c r="A7914" s="2349" t="s">
        <v>8089</v>
      </c>
      <c r="B7914" s="2349" t="s">
        <v>9941</v>
      </c>
      <c r="C7914" s="2349" t="s">
        <v>9941</v>
      </c>
      <c r="D7914" s="2349" t="s">
        <v>10028</v>
      </c>
      <c r="E7914" s="2350">
        <v>250</v>
      </c>
      <c r="F7914" s="1663">
        <v>75</v>
      </c>
    </row>
    <row r="7915" spans="1:6" ht="15" customHeight="1" x14ac:dyDescent="0.25">
      <c r="A7915" s="2349" t="s">
        <v>14805</v>
      </c>
      <c r="B7915" s="2349" t="s">
        <v>9941</v>
      </c>
      <c r="C7915" s="2349" t="s">
        <v>9941</v>
      </c>
      <c r="D7915" s="2349" t="s">
        <v>10029</v>
      </c>
      <c r="E7915" s="2350">
        <v>60</v>
      </c>
      <c r="F7915" s="1663">
        <v>0</v>
      </c>
    </row>
    <row r="7916" spans="1:6" ht="15" customHeight="1" x14ac:dyDescent="0.25">
      <c r="A7916" s="2349" t="s">
        <v>14805</v>
      </c>
      <c r="B7916" s="2349" t="s">
        <v>9941</v>
      </c>
      <c r="C7916" s="2349" t="s">
        <v>9941</v>
      </c>
      <c r="D7916" s="2349" t="s">
        <v>10030</v>
      </c>
      <c r="E7916" s="2350">
        <v>250</v>
      </c>
      <c r="F7916" s="1663">
        <v>0</v>
      </c>
    </row>
    <row r="7917" spans="1:6" ht="15" customHeight="1" x14ac:dyDescent="0.25">
      <c r="A7917" s="2349" t="s">
        <v>14806</v>
      </c>
      <c r="B7917" s="2349" t="s">
        <v>9941</v>
      </c>
      <c r="C7917" s="2349" t="s">
        <v>9941</v>
      </c>
      <c r="D7917" s="2349" t="s">
        <v>10031</v>
      </c>
      <c r="E7917" s="2350">
        <v>100</v>
      </c>
      <c r="F7917" s="1663">
        <v>0</v>
      </c>
    </row>
    <row r="7918" spans="1:6" ht="15" customHeight="1" x14ac:dyDescent="0.25">
      <c r="A7918" s="2349" t="s">
        <v>14807</v>
      </c>
      <c r="B7918" s="2349" t="s">
        <v>9941</v>
      </c>
      <c r="C7918" s="2349" t="s">
        <v>9941</v>
      </c>
      <c r="D7918" s="2349" t="s">
        <v>10032</v>
      </c>
      <c r="E7918" s="2350">
        <v>250</v>
      </c>
      <c r="F7918" s="1663">
        <v>50</v>
      </c>
    </row>
    <row r="7919" spans="1:6" ht="15" customHeight="1" x14ac:dyDescent="0.25">
      <c r="A7919" s="2349" t="s">
        <v>10033</v>
      </c>
      <c r="B7919" s="2349" t="s">
        <v>9941</v>
      </c>
      <c r="C7919" s="2349" t="s">
        <v>9941</v>
      </c>
      <c r="D7919" s="2349" t="s">
        <v>10034</v>
      </c>
      <c r="E7919" s="2350">
        <v>100</v>
      </c>
      <c r="F7919" s="1663">
        <v>50</v>
      </c>
    </row>
    <row r="7920" spans="1:6" ht="15" customHeight="1" x14ac:dyDescent="0.25">
      <c r="A7920" s="2349" t="s">
        <v>10033</v>
      </c>
      <c r="B7920" s="2349" t="s">
        <v>9941</v>
      </c>
      <c r="C7920" s="2349" t="s">
        <v>9941</v>
      </c>
      <c r="D7920" s="2349" t="s">
        <v>10035</v>
      </c>
      <c r="E7920" s="2350">
        <v>250</v>
      </c>
      <c r="F7920" s="1663">
        <v>200</v>
      </c>
    </row>
    <row r="7921" spans="1:6" ht="15" customHeight="1" x14ac:dyDescent="0.25">
      <c r="A7921" s="2349" t="s">
        <v>10457</v>
      </c>
      <c r="B7921" s="2349" t="s">
        <v>9941</v>
      </c>
      <c r="C7921" s="2349" t="s">
        <v>9941</v>
      </c>
      <c r="D7921" s="2349" t="s">
        <v>10036</v>
      </c>
      <c r="E7921" s="2350">
        <v>250</v>
      </c>
      <c r="F7921" s="1663">
        <v>25</v>
      </c>
    </row>
    <row r="7922" spans="1:6" ht="15" customHeight="1" x14ac:dyDescent="0.25">
      <c r="A7922" s="2349" t="s">
        <v>14808</v>
      </c>
      <c r="B7922" s="2349" t="s">
        <v>9941</v>
      </c>
      <c r="C7922" s="2349" t="s">
        <v>9941</v>
      </c>
      <c r="D7922" s="2349" t="s">
        <v>10037</v>
      </c>
      <c r="E7922" s="2350">
        <v>63</v>
      </c>
      <c r="F7922" s="1663">
        <v>25.2</v>
      </c>
    </row>
    <row r="7923" spans="1:6" ht="15" customHeight="1" x14ac:dyDescent="0.25">
      <c r="A7923" s="2349" t="s">
        <v>14809</v>
      </c>
      <c r="B7923" s="2349" t="s">
        <v>9941</v>
      </c>
      <c r="C7923" s="2349" t="s">
        <v>9941</v>
      </c>
      <c r="D7923" s="2349" t="s">
        <v>10038</v>
      </c>
      <c r="E7923" s="2350">
        <v>40</v>
      </c>
      <c r="F7923" s="1663">
        <v>20</v>
      </c>
    </row>
    <row r="7924" spans="1:6" ht="15" customHeight="1" x14ac:dyDescent="0.25">
      <c r="A7924" s="2349" t="s">
        <v>9944</v>
      </c>
      <c r="B7924" s="2349" t="s">
        <v>9941</v>
      </c>
      <c r="C7924" s="2349" t="s">
        <v>9941</v>
      </c>
      <c r="D7924" s="2349" t="s">
        <v>10039</v>
      </c>
      <c r="E7924" s="2350">
        <v>60</v>
      </c>
      <c r="F7924" s="1663">
        <v>18</v>
      </c>
    </row>
    <row r="7925" spans="1:6" ht="15" customHeight="1" x14ac:dyDescent="0.25">
      <c r="A7925" s="2349" t="s">
        <v>9944</v>
      </c>
      <c r="B7925" s="2349" t="s">
        <v>9941</v>
      </c>
      <c r="C7925" s="2349" t="s">
        <v>9941</v>
      </c>
      <c r="D7925" s="2349" t="s">
        <v>10040</v>
      </c>
      <c r="E7925" s="2350">
        <v>160</v>
      </c>
      <c r="F7925" s="1663">
        <v>32</v>
      </c>
    </row>
    <row r="7926" spans="1:6" ht="15" customHeight="1" x14ac:dyDescent="0.25">
      <c r="A7926" s="2349" t="s">
        <v>9944</v>
      </c>
      <c r="B7926" s="2349" t="s">
        <v>9941</v>
      </c>
      <c r="C7926" s="2349" t="s">
        <v>9941</v>
      </c>
      <c r="D7926" s="2349" t="s">
        <v>10041</v>
      </c>
      <c r="E7926" s="2350">
        <v>250</v>
      </c>
      <c r="F7926" s="1663">
        <v>100</v>
      </c>
    </row>
    <row r="7927" spans="1:6" ht="15" customHeight="1" x14ac:dyDescent="0.25">
      <c r="A7927" s="2349" t="s">
        <v>9944</v>
      </c>
      <c r="B7927" s="2349" t="s">
        <v>9941</v>
      </c>
      <c r="C7927" s="2349" t="s">
        <v>9941</v>
      </c>
      <c r="D7927" s="2349" t="s">
        <v>10042</v>
      </c>
      <c r="E7927" s="2350">
        <v>60</v>
      </c>
      <c r="F7927" s="1663">
        <v>0</v>
      </c>
    </row>
    <row r="7928" spans="1:6" ht="15" customHeight="1" x14ac:dyDescent="0.25">
      <c r="A7928" s="2349" t="s">
        <v>9944</v>
      </c>
      <c r="B7928" s="2349" t="s">
        <v>9941</v>
      </c>
      <c r="C7928" s="2349" t="s">
        <v>9941</v>
      </c>
      <c r="D7928" s="2349" t="s">
        <v>10043</v>
      </c>
      <c r="E7928" s="2350">
        <v>250</v>
      </c>
      <c r="F7928" s="1663">
        <v>100</v>
      </c>
    </row>
    <row r="7929" spans="1:6" ht="15" customHeight="1" x14ac:dyDescent="0.25">
      <c r="A7929" s="2349" t="s">
        <v>14810</v>
      </c>
      <c r="B7929" s="2349" t="s">
        <v>9941</v>
      </c>
      <c r="C7929" s="2349" t="s">
        <v>9941</v>
      </c>
      <c r="D7929" s="2349" t="s">
        <v>10044</v>
      </c>
      <c r="E7929" s="2350">
        <v>63</v>
      </c>
      <c r="F7929" s="1663">
        <v>44.1</v>
      </c>
    </row>
    <row r="7930" spans="1:6" ht="15" customHeight="1" x14ac:dyDescent="0.25">
      <c r="A7930" s="2349" t="s">
        <v>14811</v>
      </c>
      <c r="B7930" s="2349" t="s">
        <v>9941</v>
      </c>
      <c r="C7930" s="2349" t="s">
        <v>9941</v>
      </c>
      <c r="D7930" s="2349" t="s">
        <v>10045</v>
      </c>
      <c r="E7930" s="2350">
        <v>100</v>
      </c>
      <c r="F7930" s="1663">
        <v>30</v>
      </c>
    </row>
    <row r="7931" spans="1:6" ht="15" customHeight="1" x14ac:dyDescent="0.25">
      <c r="A7931" s="2349" t="s">
        <v>14812</v>
      </c>
      <c r="B7931" s="2349" t="s">
        <v>9941</v>
      </c>
      <c r="C7931" s="2349" t="s">
        <v>9941</v>
      </c>
      <c r="D7931" s="2349" t="s">
        <v>10046</v>
      </c>
      <c r="E7931" s="2350">
        <v>100</v>
      </c>
      <c r="F7931" s="1663">
        <v>10</v>
      </c>
    </row>
    <row r="7932" spans="1:6" ht="15" customHeight="1" x14ac:dyDescent="0.25">
      <c r="A7932" s="2349" t="s">
        <v>14813</v>
      </c>
      <c r="B7932" s="2349" t="s">
        <v>9941</v>
      </c>
      <c r="C7932" s="2349" t="s">
        <v>9941</v>
      </c>
      <c r="D7932" s="2349" t="s">
        <v>10047</v>
      </c>
      <c r="E7932" s="2350">
        <v>100</v>
      </c>
      <c r="F7932" s="1663">
        <v>70</v>
      </c>
    </row>
    <row r="7933" spans="1:6" ht="15" customHeight="1" x14ac:dyDescent="0.25">
      <c r="A7933" s="2349" t="s">
        <v>4904</v>
      </c>
      <c r="B7933" s="2349" t="s">
        <v>9941</v>
      </c>
      <c r="C7933" s="2349" t="s">
        <v>9941</v>
      </c>
      <c r="D7933" s="2349" t="s">
        <v>10048</v>
      </c>
      <c r="E7933" s="2350">
        <v>60</v>
      </c>
      <c r="F7933" s="1663">
        <v>9</v>
      </c>
    </row>
    <row r="7934" spans="1:6" ht="15" customHeight="1" x14ac:dyDescent="0.25">
      <c r="A7934" s="2349" t="s">
        <v>14814</v>
      </c>
      <c r="B7934" s="2349" t="s">
        <v>9941</v>
      </c>
      <c r="C7934" s="2349" t="s">
        <v>9941</v>
      </c>
      <c r="D7934" s="2349" t="s">
        <v>10049</v>
      </c>
      <c r="E7934" s="2350">
        <v>160</v>
      </c>
      <c r="F7934" s="1663">
        <v>48</v>
      </c>
    </row>
    <row r="7935" spans="1:6" ht="15" customHeight="1" x14ac:dyDescent="0.25">
      <c r="A7935" s="2349" t="s">
        <v>14004</v>
      </c>
      <c r="B7935" s="2349" t="s">
        <v>9941</v>
      </c>
      <c r="C7935" s="2349" t="s">
        <v>9941</v>
      </c>
      <c r="D7935" s="2349" t="s">
        <v>10050</v>
      </c>
      <c r="E7935" s="2350">
        <v>40</v>
      </c>
      <c r="F7935" s="1663">
        <v>4</v>
      </c>
    </row>
    <row r="7936" spans="1:6" ht="15" customHeight="1" x14ac:dyDescent="0.25">
      <c r="A7936" s="2349" t="s">
        <v>4212</v>
      </c>
      <c r="B7936" s="2349" t="s">
        <v>9941</v>
      </c>
      <c r="C7936" s="2349" t="s">
        <v>9941</v>
      </c>
      <c r="D7936" s="2349" t="s">
        <v>10051</v>
      </c>
      <c r="E7936" s="2350">
        <v>250</v>
      </c>
      <c r="F7936" s="1663">
        <v>100</v>
      </c>
    </row>
    <row r="7937" spans="1:6" ht="15" customHeight="1" x14ac:dyDescent="0.25">
      <c r="A7937" s="2349" t="s">
        <v>14815</v>
      </c>
      <c r="B7937" s="2349" t="s">
        <v>9941</v>
      </c>
      <c r="C7937" s="2349" t="s">
        <v>9941</v>
      </c>
      <c r="D7937" s="2349" t="s">
        <v>10052</v>
      </c>
      <c r="E7937" s="2350">
        <v>63</v>
      </c>
      <c r="F7937" s="1663">
        <v>44.1</v>
      </c>
    </row>
    <row r="7938" spans="1:6" ht="15" customHeight="1" x14ac:dyDescent="0.25">
      <c r="A7938" s="2349" t="s">
        <v>14816</v>
      </c>
      <c r="B7938" s="2349" t="s">
        <v>9941</v>
      </c>
      <c r="C7938" s="2349" t="s">
        <v>9941</v>
      </c>
      <c r="D7938" s="2349" t="s">
        <v>10053</v>
      </c>
      <c r="E7938" s="2350">
        <v>100</v>
      </c>
      <c r="F7938" s="1663">
        <v>50</v>
      </c>
    </row>
    <row r="7939" spans="1:6" ht="15" customHeight="1" x14ac:dyDescent="0.25">
      <c r="A7939" s="2349" t="s">
        <v>4916</v>
      </c>
      <c r="B7939" s="2349" t="s">
        <v>9941</v>
      </c>
      <c r="C7939" s="2349" t="s">
        <v>9941</v>
      </c>
      <c r="D7939" s="2349" t="s">
        <v>10054</v>
      </c>
      <c r="E7939" s="2350">
        <v>30</v>
      </c>
      <c r="F7939" s="1663">
        <v>0</v>
      </c>
    </row>
    <row r="7940" spans="1:6" ht="15" customHeight="1" x14ac:dyDescent="0.25">
      <c r="A7940" s="2349" t="s">
        <v>14758</v>
      </c>
      <c r="B7940" s="2349" t="s">
        <v>9941</v>
      </c>
      <c r="C7940" s="2349" t="s">
        <v>9941</v>
      </c>
      <c r="D7940" s="2349" t="s">
        <v>10055</v>
      </c>
      <c r="E7940" s="2350">
        <v>60</v>
      </c>
      <c r="F7940" s="1663">
        <v>30</v>
      </c>
    </row>
    <row r="7941" spans="1:6" ht="15" customHeight="1" x14ac:dyDescent="0.25">
      <c r="A7941" s="2349" t="s">
        <v>10460</v>
      </c>
      <c r="B7941" s="2349" t="s">
        <v>9941</v>
      </c>
      <c r="C7941" s="2349" t="s">
        <v>9941</v>
      </c>
      <c r="D7941" s="2349" t="s">
        <v>10056</v>
      </c>
      <c r="E7941" s="2350">
        <v>160</v>
      </c>
      <c r="F7941" s="1663">
        <v>48</v>
      </c>
    </row>
    <row r="7942" spans="1:6" ht="15" customHeight="1" x14ac:dyDescent="0.25">
      <c r="A7942" s="2349" t="s">
        <v>10460</v>
      </c>
      <c r="B7942" s="2349" t="s">
        <v>9941</v>
      </c>
      <c r="C7942" s="2349" t="s">
        <v>9941</v>
      </c>
      <c r="D7942" s="2349" t="s">
        <v>10057</v>
      </c>
      <c r="E7942" s="2350">
        <v>250</v>
      </c>
      <c r="F7942" s="1663">
        <v>100</v>
      </c>
    </row>
    <row r="7943" spans="1:6" ht="15" customHeight="1" x14ac:dyDescent="0.25">
      <c r="A7943" s="2349" t="s">
        <v>10058</v>
      </c>
      <c r="B7943" s="2349" t="s">
        <v>9941</v>
      </c>
      <c r="C7943" s="2349" t="s">
        <v>9941</v>
      </c>
      <c r="D7943" s="2349" t="s">
        <v>10059</v>
      </c>
      <c r="E7943" s="2350">
        <v>100</v>
      </c>
      <c r="F7943" s="1663">
        <v>70</v>
      </c>
    </row>
    <row r="7944" spans="1:6" ht="15" customHeight="1" x14ac:dyDescent="0.25">
      <c r="A7944" s="2349" t="s">
        <v>14817</v>
      </c>
      <c r="B7944" s="2349" t="s">
        <v>9941</v>
      </c>
      <c r="C7944" s="2349" t="s">
        <v>9941</v>
      </c>
      <c r="D7944" s="2349" t="s">
        <v>10060</v>
      </c>
      <c r="E7944" s="2350">
        <v>63</v>
      </c>
      <c r="F7944" s="1663">
        <v>6.3</v>
      </c>
    </row>
    <row r="7945" spans="1:6" ht="15" customHeight="1" x14ac:dyDescent="0.25">
      <c r="A7945" s="2349" t="s">
        <v>7928</v>
      </c>
      <c r="B7945" s="2349" t="s">
        <v>9941</v>
      </c>
      <c r="C7945" s="2349" t="s">
        <v>9941</v>
      </c>
      <c r="D7945" s="2349" t="s">
        <v>10061</v>
      </c>
      <c r="E7945" s="2350">
        <v>160</v>
      </c>
      <c r="F7945" s="1663">
        <v>96</v>
      </c>
    </row>
    <row r="7946" spans="1:6" ht="15" customHeight="1" x14ac:dyDescent="0.25">
      <c r="A7946" s="2349" t="s">
        <v>14818</v>
      </c>
      <c r="B7946" s="2349" t="s">
        <v>9941</v>
      </c>
      <c r="C7946" s="2349" t="s">
        <v>9941</v>
      </c>
      <c r="D7946" s="2349" t="s">
        <v>10062</v>
      </c>
      <c r="E7946" s="2350">
        <v>30</v>
      </c>
      <c r="F7946" s="1663">
        <v>15</v>
      </c>
    </row>
    <row r="7947" spans="1:6" ht="15" customHeight="1" x14ac:dyDescent="0.25">
      <c r="A7947" s="2349" t="s">
        <v>14819</v>
      </c>
      <c r="B7947" s="2349" t="s">
        <v>9941</v>
      </c>
      <c r="C7947" s="2349" t="s">
        <v>9941</v>
      </c>
      <c r="D7947" s="2349" t="s">
        <v>10063</v>
      </c>
      <c r="E7947" s="2350">
        <v>60</v>
      </c>
      <c r="F7947" s="1663">
        <v>12</v>
      </c>
    </row>
    <row r="7948" spans="1:6" ht="15" customHeight="1" x14ac:dyDescent="0.25">
      <c r="A7948" s="2349" t="s">
        <v>14819</v>
      </c>
      <c r="B7948" s="2349" t="s">
        <v>9941</v>
      </c>
      <c r="C7948" s="2349" t="s">
        <v>9941</v>
      </c>
      <c r="D7948" s="2349" t="s">
        <v>10064</v>
      </c>
      <c r="E7948" s="2350">
        <v>100</v>
      </c>
      <c r="F7948" s="1663">
        <v>10</v>
      </c>
    </row>
    <row r="7949" spans="1:6" ht="15" customHeight="1" x14ac:dyDescent="0.25">
      <c r="A7949" s="2349" t="s">
        <v>14819</v>
      </c>
      <c r="B7949" s="2349" t="s">
        <v>9941</v>
      </c>
      <c r="C7949" s="2349" t="s">
        <v>9941</v>
      </c>
      <c r="D7949" s="2349" t="s">
        <v>10065</v>
      </c>
      <c r="E7949" s="2350">
        <v>100</v>
      </c>
      <c r="F7949" s="1663">
        <v>20</v>
      </c>
    </row>
    <row r="7950" spans="1:6" ht="15" customHeight="1" x14ac:dyDescent="0.25">
      <c r="A7950" s="2349" t="s">
        <v>14819</v>
      </c>
      <c r="B7950" s="2349" t="s">
        <v>9941</v>
      </c>
      <c r="C7950" s="2349" t="s">
        <v>9941</v>
      </c>
      <c r="D7950" s="2349" t="s">
        <v>10066</v>
      </c>
      <c r="E7950" s="2350">
        <v>250</v>
      </c>
      <c r="F7950" s="1663">
        <v>0</v>
      </c>
    </row>
    <row r="7951" spans="1:6" ht="15" customHeight="1" x14ac:dyDescent="0.25">
      <c r="A7951" s="2349" t="s">
        <v>14820</v>
      </c>
      <c r="B7951" s="2349" t="s">
        <v>9941</v>
      </c>
      <c r="C7951" s="2349" t="s">
        <v>9941</v>
      </c>
      <c r="D7951" s="2349" t="s">
        <v>10067</v>
      </c>
      <c r="E7951" s="2350">
        <v>160</v>
      </c>
      <c r="F7951" s="1663">
        <v>0</v>
      </c>
    </row>
    <row r="7952" spans="1:6" ht="15" customHeight="1" x14ac:dyDescent="0.25">
      <c r="A7952" s="2349" t="s">
        <v>6747</v>
      </c>
      <c r="B7952" s="2349" t="s">
        <v>9941</v>
      </c>
      <c r="C7952" s="2349" t="s">
        <v>9941</v>
      </c>
      <c r="D7952" s="2349" t="s">
        <v>10068</v>
      </c>
      <c r="E7952" s="2350">
        <v>250</v>
      </c>
      <c r="F7952" s="1663">
        <v>225</v>
      </c>
    </row>
    <row r="7953" spans="1:6" ht="15" customHeight="1" x14ac:dyDescent="0.25">
      <c r="A7953" s="2349" t="s">
        <v>10069</v>
      </c>
      <c r="B7953" s="2349" t="s">
        <v>9941</v>
      </c>
      <c r="C7953" s="2349" t="s">
        <v>9941</v>
      </c>
      <c r="D7953" s="2349" t="s">
        <v>10070</v>
      </c>
      <c r="E7953" s="2350">
        <v>180</v>
      </c>
      <c r="F7953" s="1663">
        <v>54</v>
      </c>
    </row>
    <row r="7954" spans="1:6" ht="15" customHeight="1" x14ac:dyDescent="0.25">
      <c r="A7954" s="2349" t="s">
        <v>10069</v>
      </c>
      <c r="B7954" s="2349" t="s">
        <v>9941</v>
      </c>
      <c r="C7954" s="2349" t="s">
        <v>9941</v>
      </c>
      <c r="D7954" s="2349" t="s">
        <v>10071</v>
      </c>
      <c r="E7954" s="2350">
        <v>250</v>
      </c>
      <c r="F7954" s="1663">
        <v>150</v>
      </c>
    </row>
    <row r="7955" spans="1:6" ht="15" customHeight="1" x14ac:dyDescent="0.25">
      <c r="A7955" s="2349" t="s">
        <v>10069</v>
      </c>
      <c r="B7955" s="2349" t="s">
        <v>9941</v>
      </c>
      <c r="C7955" s="2349" t="s">
        <v>9941</v>
      </c>
      <c r="D7955" s="2349" t="s">
        <v>10072</v>
      </c>
      <c r="E7955" s="2350">
        <v>250</v>
      </c>
      <c r="F7955" s="1663">
        <v>175</v>
      </c>
    </row>
    <row r="7956" spans="1:6" ht="15" customHeight="1" x14ac:dyDescent="0.25">
      <c r="A7956" s="2349" t="s">
        <v>7926</v>
      </c>
      <c r="B7956" s="2349" t="s">
        <v>9941</v>
      </c>
      <c r="C7956" s="2349" t="s">
        <v>9941</v>
      </c>
      <c r="D7956" s="2349" t="s">
        <v>10073</v>
      </c>
      <c r="E7956" s="2350">
        <v>60</v>
      </c>
      <c r="F7956" s="1663">
        <v>30</v>
      </c>
    </row>
    <row r="7957" spans="1:6" ht="15" customHeight="1" x14ac:dyDescent="0.25">
      <c r="A7957" s="2349" t="s">
        <v>10074</v>
      </c>
      <c r="B7957" s="2349" t="s">
        <v>9941</v>
      </c>
      <c r="C7957" s="2349" t="s">
        <v>9941</v>
      </c>
      <c r="D7957" s="2349" t="s">
        <v>10075</v>
      </c>
      <c r="E7957" s="2350">
        <v>100</v>
      </c>
      <c r="F7957" s="1663">
        <v>70</v>
      </c>
    </row>
    <row r="7958" spans="1:6" ht="15" customHeight="1" x14ac:dyDescent="0.25">
      <c r="A7958" s="2349" t="s">
        <v>14821</v>
      </c>
      <c r="B7958" s="2349" t="s">
        <v>9941</v>
      </c>
      <c r="C7958" s="2349" t="s">
        <v>9941</v>
      </c>
      <c r="D7958" s="2349" t="s">
        <v>10076</v>
      </c>
      <c r="E7958" s="2350">
        <v>60</v>
      </c>
      <c r="F7958" s="1663">
        <v>24</v>
      </c>
    </row>
    <row r="7959" spans="1:6" ht="15" customHeight="1" x14ac:dyDescent="0.25">
      <c r="A7959" s="2349" t="s">
        <v>10078</v>
      </c>
      <c r="B7959" s="2349" t="s">
        <v>9941</v>
      </c>
      <c r="C7959" s="2349" t="s">
        <v>9941</v>
      </c>
      <c r="D7959" s="2349" t="s">
        <v>10077</v>
      </c>
      <c r="E7959" s="2350">
        <v>100</v>
      </c>
      <c r="F7959" s="1663">
        <v>40</v>
      </c>
    </row>
    <row r="7960" spans="1:6" ht="15" customHeight="1" x14ac:dyDescent="0.25">
      <c r="A7960" s="2349" t="s">
        <v>10078</v>
      </c>
      <c r="B7960" s="2349" t="s">
        <v>9941</v>
      </c>
      <c r="C7960" s="2349" t="s">
        <v>9941</v>
      </c>
      <c r="D7960" s="2349" t="s">
        <v>10079</v>
      </c>
      <c r="E7960" s="2350">
        <v>160</v>
      </c>
      <c r="F7960" s="1663">
        <v>96</v>
      </c>
    </row>
    <row r="7961" spans="1:6" ht="15" customHeight="1" x14ac:dyDescent="0.25">
      <c r="A7961" s="2349" t="s">
        <v>10078</v>
      </c>
      <c r="B7961" s="2349" t="s">
        <v>9941</v>
      </c>
      <c r="C7961" s="2349" t="s">
        <v>9941</v>
      </c>
      <c r="D7961" s="2349" t="s">
        <v>10080</v>
      </c>
      <c r="E7961" s="2350">
        <v>250</v>
      </c>
      <c r="F7961" s="1663">
        <v>150</v>
      </c>
    </row>
    <row r="7962" spans="1:6" ht="15" customHeight="1" x14ac:dyDescent="0.25">
      <c r="A7962" s="2349" t="s">
        <v>14822</v>
      </c>
      <c r="B7962" s="2349" t="s">
        <v>9941</v>
      </c>
      <c r="C7962" s="2349" t="s">
        <v>9941</v>
      </c>
      <c r="D7962" s="2349" t="s">
        <v>10081</v>
      </c>
      <c r="E7962" s="2350">
        <v>100</v>
      </c>
      <c r="F7962" s="1663">
        <v>90</v>
      </c>
    </row>
    <row r="7963" spans="1:6" ht="15" customHeight="1" x14ac:dyDescent="0.25">
      <c r="A7963" s="2349" t="s">
        <v>14823</v>
      </c>
      <c r="B7963" s="2349" t="s">
        <v>9941</v>
      </c>
      <c r="C7963" s="2349" t="s">
        <v>9941</v>
      </c>
      <c r="D7963" s="2349" t="s">
        <v>10082</v>
      </c>
      <c r="E7963" s="2350">
        <v>250</v>
      </c>
      <c r="F7963" s="1663">
        <v>125</v>
      </c>
    </row>
    <row r="7964" spans="1:6" ht="15" customHeight="1" x14ac:dyDescent="0.25">
      <c r="A7964" s="2349" t="s">
        <v>14824</v>
      </c>
      <c r="B7964" s="2349" t="s">
        <v>9941</v>
      </c>
      <c r="C7964" s="2349" t="s">
        <v>9941</v>
      </c>
      <c r="D7964" s="2349" t="s">
        <v>10083</v>
      </c>
      <c r="E7964" s="2350">
        <v>40</v>
      </c>
      <c r="F7964" s="1663">
        <v>4</v>
      </c>
    </row>
    <row r="7965" spans="1:6" ht="15" customHeight="1" x14ac:dyDescent="0.25">
      <c r="A7965" s="2349" t="s">
        <v>14446</v>
      </c>
      <c r="B7965" s="2349" t="s">
        <v>9941</v>
      </c>
      <c r="C7965" s="2349" t="s">
        <v>9941</v>
      </c>
      <c r="D7965" s="2349" t="s">
        <v>10084</v>
      </c>
      <c r="E7965" s="2350">
        <v>100</v>
      </c>
      <c r="F7965" s="1663">
        <v>50</v>
      </c>
    </row>
    <row r="7966" spans="1:6" ht="15" customHeight="1" x14ac:dyDescent="0.25">
      <c r="A7966" s="2349" t="s">
        <v>10085</v>
      </c>
      <c r="B7966" s="2349" t="s">
        <v>9941</v>
      </c>
      <c r="C7966" s="2349" t="s">
        <v>9941</v>
      </c>
      <c r="D7966" s="2349" t="s">
        <v>10086</v>
      </c>
      <c r="E7966" s="2350">
        <v>100</v>
      </c>
      <c r="F7966" s="1663">
        <v>30</v>
      </c>
    </row>
    <row r="7967" spans="1:6" ht="15" customHeight="1" x14ac:dyDescent="0.25">
      <c r="A7967" s="2349" t="s">
        <v>14825</v>
      </c>
      <c r="B7967" s="2349" t="s">
        <v>9941</v>
      </c>
      <c r="C7967" s="2349" t="s">
        <v>9941</v>
      </c>
      <c r="D7967" s="2349" t="s">
        <v>10087</v>
      </c>
      <c r="E7967" s="2350">
        <v>160</v>
      </c>
      <c r="F7967" s="1663">
        <v>32</v>
      </c>
    </row>
    <row r="7968" spans="1:6" ht="15" customHeight="1" x14ac:dyDescent="0.25">
      <c r="A7968" s="2349" t="s">
        <v>14825</v>
      </c>
      <c r="B7968" s="2349" t="s">
        <v>9941</v>
      </c>
      <c r="C7968" s="2349" t="s">
        <v>9941</v>
      </c>
      <c r="D7968" s="2349" t="s">
        <v>10088</v>
      </c>
      <c r="E7968" s="2350">
        <v>160</v>
      </c>
      <c r="F7968" s="1663">
        <v>32</v>
      </c>
    </row>
    <row r="7969" spans="1:6" ht="15" customHeight="1" x14ac:dyDescent="0.25">
      <c r="A7969" s="2349" t="s">
        <v>14826</v>
      </c>
      <c r="B7969" s="2349" t="s">
        <v>9941</v>
      </c>
      <c r="C7969" s="2349" t="s">
        <v>9941</v>
      </c>
      <c r="D7969" s="2349" t="s">
        <v>10089</v>
      </c>
      <c r="E7969" s="2350">
        <v>160</v>
      </c>
      <c r="F7969" s="1663">
        <v>0</v>
      </c>
    </row>
    <row r="7970" spans="1:6" ht="15" customHeight="1" x14ac:dyDescent="0.25">
      <c r="A7970" s="2349" t="s">
        <v>14827</v>
      </c>
      <c r="B7970" s="2349" t="s">
        <v>9941</v>
      </c>
      <c r="C7970" s="2349" t="s">
        <v>9941</v>
      </c>
      <c r="D7970" s="2349" t="s">
        <v>10090</v>
      </c>
      <c r="E7970" s="2350">
        <v>250</v>
      </c>
      <c r="F7970" s="1663">
        <v>175</v>
      </c>
    </row>
    <row r="7971" spans="1:6" ht="15" customHeight="1" x14ac:dyDescent="0.25">
      <c r="A7971" s="2349" t="s">
        <v>14828</v>
      </c>
      <c r="B7971" s="2349" t="s">
        <v>9941</v>
      </c>
      <c r="C7971" s="2349" t="s">
        <v>9941</v>
      </c>
      <c r="D7971" s="2349" t="s">
        <v>10091</v>
      </c>
      <c r="E7971" s="2350">
        <v>100</v>
      </c>
      <c r="F7971" s="1663">
        <v>0</v>
      </c>
    </row>
    <row r="7972" spans="1:6" ht="15" customHeight="1" x14ac:dyDescent="0.25">
      <c r="A7972" s="2349" t="s">
        <v>10092</v>
      </c>
      <c r="B7972" s="2349" t="s">
        <v>9941</v>
      </c>
      <c r="C7972" s="2349" t="s">
        <v>9941</v>
      </c>
      <c r="D7972" s="2349" t="s">
        <v>10093</v>
      </c>
      <c r="E7972" s="2350">
        <v>30</v>
      </c>
      <c r="F7972" s="1663">
        <v>15</v>
      </c>
    </row>
    <row r="7973" spans="1:6" ht="15" customHeight="1" x14ac:dyDescent="0.25">
      <c r="A7973" s="2349" t="s">
        <v>10092</v>
      </c>
      <c r="B7973" s="2349" t="s">
        <v>9941</v>
      </c>
      <c r="C7973" s="2349" t="s">
        <v>9941</v>
      </c>
      <c r="D7973" s="2349" t="s">
        <v>10094</v>
      </c>
      <c r="E7973" s="2350">
        <v>250</v>
      </c>
      <c r="F7973" s="1663">
        <v>125</v>
      </c>
    </row>
    <row r="7974" spans="1:6" ht="15" customHeight="1" x14ac:dyDescent="0.25">
      <c r="A7974" s="2349" t="s">
        <v>10092</v>
      </c>
      <c r="B7974" s="2349" t="s">
        <v>9941</v>
      </c>
      <c r="C7974" s="2349" t="s">
        <v>9941</v>
      </c>
      <c r="D7974" s="2349" t="s">
        <v>10095</v>
      </c>
      <c r="E7974" s="2350">
        <v>100</v>
      </c>
      <c r="F7974" s="1663">
        <v>100</v>
      </c>
    </row>
    <row r="7975" spans="1:6" ht="15" customHeight="1" x14ac:dyDescent="0.25">
      <c r="A7975" s="2349" t="s">
        <v>10092</v>
      </c>
      <c r="B7975" s="2349" t="s">
        <v>9941</v>
      </c>
      <c r="C7975" s="2349" t="s">
        <v>9941</v>
      </c>
      <c r="D7975" s="2349" t="s">
        <v>10096</v>
      </c>
      <c r="E7975" s="2350">
        <v>250</v>
      </c>
      <c r="F7975" s="1663">
        <v>0</v>
      </c>
    </row>
    <row r="7976" spans="1:6" ht="15" customHeight="1" x14ac:dyDescent="0.25">
      <c r="A7976" s="2349" t="s">
        <v>10092</v>
      </c>
      <c r="B7976" s="2349" t="s">
        <v>9941</v>
      </c>
      <c r="C7976" s="2349" t="s">
        <v>9941</v>
      </c>
      <c r="D7976" s="2349" t="s">
        <v>10097</v>
      </c>
      <c r="E7976" s="2350">
        <v>160</v>
      </c>
      <c r="F7976" s="1663">
        <v>32</v>
      </c>
    </row>
    <row r="7977" spans="1:6" ht="15" customHeight="1" x14ac:dyDescent="0.25">
      <c r="A7977" s="2349" t="s">
        <v>14829</v>
      </c>
      <c r="B7977" s="2349" t="s">
        <v>9941</v>
      </c>
      <c r="C7977" s="2349" t="s">
        <v>9941</v>
      </c>
      <c r="D7977" s="2349" t="s">
        <v>10098</v>
      </c>
      <c r="E7977" s="2350">
        <v>30</v>
      </c>
      <c r="F7977" s="1663">
        <v>15</v>
      </c>
    </row>
    <row r="7978" spans="1:6" ht="15" customHeight="1" x14ac:dyDescent="0.25">
      <c r="A7978" s="2349" t="s">
        <v>10099</v>
      </c>
      <c r="B7978" s="2349" t="s">
        <v>9941</v>
      </c>
      <c r="C7978" s="2349" t="s">
        <v>9941</v>
      </c>
      <c r="D7978" s="2349" t="s">
        <v>10100</v>
      </c>
      <c r="E7978" s="2350">
        <v>100</v>
      </c>
      <c r="F7978" s="1663">
        <v>30</v>
      </c>
    </row>
    <row r="7979" spans="1:6" ht="15" customHeight="1" x14ac:dyDescent="0.25">
      <c r="A7979" s="2349" t="s">
        <v>7272</v>
      </c>
      <c r="B7979" s="2349" t="s">
        <v>9941</v>
      </c>
      <c r="C7979" s="2349" t="s">
        <v>9941</v>
      </c>
      <c r="D7979" s="2349" t="s">
        <v>10101</v>
      </c>
      <c r="E7979" s="2350">
        <v>100</v>
      </c>
      <c r="F7979" s="1663">
        <v>20</v>
      </c>
    </row>
    <row r="7980" spans="1:6" ht="15" customHeight="1" x14ac:dyDescent="0.25">
      <c r="A7980" s="2349" t="s">
        <v>6703</v>
      </c>
      <c r="B7980" s="2349" t="s">
        <v>9941</v>
      </c>
      <c r="C7980" s="2349" t="s">
        <v>9941</v>
      </c>
      <c r="D7980" s="2349" t="s">
        <v>10102</v>
      </c>
      <c r="E7980" s="2350">
        <v>250</v>
      </c>
      <c r="F7980" s="1663">
        <v>75</v>
      </c>
    </row>
    <row r="7981" spans="1:6" ht="15" customHeight="1" x14ac:dyDescent="0.25">
      <c r="A7981" s="2349" t="s">
        <v>6703</v>
      </c>
      <c r="B7981" s="2349" t="s">
        <v>9941</v>
      </c>
      <c r="C7981" s="2349" t="s">
        <v>9941</v>
      </c>
      <c r="D7981" s="2349" t="s">
        <v>10103</v>
      </c>
      <c r="E7981" s="2350">
        <v>250</v>
      </c>
      <c r="F7981" s="1663">
        <v>100</v>
      </c>
    </row>
    <row r="7982" spans="1:6" ht="15" customHeight="1" x14ac:dyDescent="0.25">
      <c r="A7982" s="2349" t="s">
        <v>6703</v>
      </c>
      <c r="B7982" s="2349" t="s">
        <v>9941</v>
      </c>
      <c r="C7982" s="2349" t="s">
        <v>9941</v>
      </c>
      <c r="D7982" s="2349" t="s">
        <v>10104</v>
      </c>
      <c r="E7982" s="2350">
        <v>100</v>
      </c>
      <c r="F7982" s="1663">
        <v>30</v>
      </c>
    </row>
    <row r="7983" spans="1:6" ht="15" customHeight="1" x14ac:dyDescent="0.25">
      <c r="A7983" s="2349" t="s">
        <v>14830</v>
      </c>
      <c r="B7983" s="2349" t="s">
        <v>9941</v>
      </c>
      <c r="C7983" s="2349" t="s">
        <v>9941</v>
      </c>
      <c r="D7983" s="2349" t="s">
        <v>10105</v>
      </c>
      <c r="E7983" s="2350">
        <v>60</v>
      </c>
      <c r="F7983" s="1663">
        <v>9</v>
      </c>
    </row>
    <row r="7984" spans="1:6" ht="15" customHeight="1" x14ac:dyDescent="0.25">
      <c r="A7984" s="2349" t="s">
        <v>14831</v>
      </c>
      <c r="B7984" s="2349" t="s">
        <v>9941</v>
      </c>
      <c r="C7984" s="2349" t="s">
        <v>9941</v>
      </c>
      <c r="D7984" s="2349" t="s">
        <v>10106</v>
      </c>
      <c r="E7984" s="2350">
        <v>30</v>
      </c>
      <c r="F7984" s="1663">
        <v>9</v>
      </c>
    </row>
    <row r="7985" spans="1:6" ht="15" customHeight="1" x14ac:dyDescent="0.25">
      <c r="A7985" s="2349" t="s">
        <v>9805</v>
      </c>
      <c r="B7985" s="2349" t="s">
        <v>9941</v>
      </c>
      <c r="C7985" s="2349" t="s">
        <v>9941</v>
      </c>
      <c r="D7985" s="2349" t="s">
        <v>10107</v>
      </c>
      <c r="E7985" s="2350">
        <v>30</v>
      </c>
      <c r="F7985" s="1663">
        <v>6</v>
      </c>
    </row>
    <row r="7986" spans="1:6" ht="15" customHeight="1" x14ac:dyDescent="0.25">
      <c r="A7986" s="2349" t="s">
        <v>5188</v>
      </c>
      <c r="B7986" s="2349" t="s">
        <v>9941</v>
      </c>
      <c r="C7986" s="2349" t="s">
        <v>9941</v>
      </c>
      <c r="D7986" s="2349" t="s">
        <v>10108</v>
      </c>
      <c r="E7986" s="2350">
        <v>250</v>
      </c>
      <c r="F7986" s="1663">
        <v>125</v>
      </c>
    </row>
    <row r="7987" spans="1:6" ht="15" customHeight="1" x14ac:dyDescent="0.25">
      <c r="A7987" s="2349" t="s">
        <v>14832</v>
      </c>
      <c r="B7987" s="2349" t="s">
        <v>9941</v>
      </c>
      <c r="C7987" s="2349" t="s">
        <v>9941</v>
      </c>
      <c r="D7987" s="2349" t="s">
        <v>10109</v>
      </c>
      <c r="E7987" s="2350">
        <v>63</v>
      </c>
      <c r="F7987" s="1663">
        <v>12.6</v>
      </c>
    </row>
    <row r="7988" spans="1:6" ht="15" customHeight="1" x14ac:dyDescent="0.25">
      <c r="A7988" s="2349" t="s">
        <v>14833</v>
      </c>
      <c r="B7988" s="2349" t="s">
        <v>9941</v>
      </c>
      <c r="C7988" s="2349" t="s">
        <v>9941</v>
      </c>
      <c r="D7988" s="2349" t="s">
        <v>10110</v>
      </c>
      <c r="E7988" s="2350">
        <v>30</v>
      </c>
      <c r="F7988" s="1663">
        <v>3</v>
      </c>
    </row>
    <row r="7989" spans="1:6" ht="15" customHeight="1" x14ac:dyDescent="0.25">
      <c r="A7989" s="2349" t="s">
        <v>5502</v>
      </c>
      <c r="B7989" s="2349" t="s">
        <v>9941</v>
      </c>
      <c r="C7989" s="2349" t="s">
        <v>9941</v>
      </c>
      <c r="D7989" s="2349" t="s">
        <v>10111</v>
      </c>
      <c r="E7989" s="2350">
        <v>10</v>
      </c>
      <c r="F7989" s="1663">
        <v>0</v>
      </c>
    </row>
    <row r="7990" spans="1:6" ht="15" customHeight="1" x14ac:dyDescent="0.25">
      <c r="A7990" s="2349" t="s">
        <v>5502</v>
      </c>
      <c r="B7990" s="2349" t="s">
        <v>9941</v>
      </c>
      <c r="C7990" s="2349" t="s">
        <v>9941</v>
      </c>
      <c r="D7990" s="2349" t="s">
        <v>10112</v>
      </c>
      <c r="E7990" s="2350">
        <v>250</v>
      </c>
      <c r="F7990" s="1663">
        <v>100</v>
      </c>
    </row>
    <row r="7991" spans="1:6" ht="15" customHeight="1" x14ac:dyDescent="0.25">
      <c r="A7991" s="2349" t="s">
        <v>14834</v>
      </c>
      <c r="B7991" s="2349" t="s">
        <v>9941</v>
      </c>
      <c r="C7991" s="2349" t="s">
        <v>9941</v>
      </c>
      <c r="D7991" s="2349" t="s">
        <v>10113</v>
      </c>
      <c r="E7991" s="2350">
        <v>60</v>
      </c>
      <c r="F7991" s="1663">
        <v>36</v>
      </c>
    </row>
    <row r="7992" spans="1:6" ht="15" customHeight="1" x14ac:dyDescent="0.25">
      <c r="A7992" s="2349" t="s">
        <v>10115</v>
      </c>
      <c r="B7992" s="2349" t="s">
        <v>9941</v>
      </c>
      <c r="C7992" s="2349" t="s">
        <v>9941</v>
      </c>
      <c r="D7992" s="2349" t="s">
        <v>10114</v>
      </c>
      <c r="E7992" s="2350">
        <v>60</v>
      </c>
      <c r="F7992" s="1663">
        <v>12</v>
      </c>
    </row>
    <row r="7993" spans="1:6" ht="15" customHeight="1" x14ac:dyDescent="0.25">
      <c r="A7993" s="2349" t="s">
        <v>10115</v>
      </c>
      <c r="B7993" s="2349" t="s">
        <v>9941</v>
      </c>
      <c r="C7993" s="2349" t="s">
        <v>9941</v>
      </c>
      <c r="D7993" s="2349" t="s">
        <v>10116</v>
      </c>
      <c r="E7993" s="2350">
        <v>60</v>
      </c>
      <c r="F7993" s="1663">
        <v>48</v>
      </c>
    </row>
    <row r="7994" spans="1:6" ht="15" customHeight="1" x14ac:dyDescent="0.25">
      <c r="A7994" s="2349" t="s">
        <v>14512</v>
      </c>
      <c r="B7994" s="2349" t="s">
        <v>9941</v>
      </c>
      <c r="C7994" s="2349" t="s">
        <v>9941</v>
      </c>
      <c r="D7994" s="2349" t="s">
        <v>10117</v>
      </c>
      <c r="E7994" s="2350">
        <v>100</v>
      </c>
      <c r="F7994" s="1663">
        <v>70</v>
      </c>
    </row>
    <row r="7995" spans="1:6" ht="15" customHeight="1" x14ac:dyDescent="0.25">
      <c r="A7995" s="2349" t="s">
        <v>14835</v>
      </c>
      <c r="B7995" s="2349" t="s">
        <v>9941</v>
      </c>
      <c r="C7995" s="2349" t="s">
        <v>9941</v>
      </c>
      <c r="D7995" s="2349" t="s">
        <v>10118</v>
      </c>
      <c r="E7995" s="2350">
        <v>60</v>
      </c>
      <c r="F7995" s="1663">
        <v>30</v>
      </c>
    </row>
    <row r="7996" spans="1:6" ht="15" customHeight="1" x14ac:dyDescent="0.25">
      <c r="A7996" s="2349" t="s">
        <v>14836</v>
      </c>
      <c r="B7996" s="2349" t="s">
        <v>9941</v>
      </c>
      <c r="C7996" s="2349" t="s">
        <v>9941</v>
      </c>
      <c r="D7996" s="2349" t="s">
        <v>10119</v>
      </c>
      <c r="E7996" s="2350">
        <v>60</v>
      </c>
      <c r="F7996" s="1663">
        <v>24</v>
      </c>
    </row>
    <row r="7997" spans="1:6" ht="15" customHeight="1" x14ac:dyDescent="0.25">
      <c r="A7997" s="2349" t="s">
        <v>10120</v>
      </c>
      <c r="B7997" s="2349" t="s">
        <v>9941</v>
      </c>
      <c r="C7997" s="2349" t="s">
        <v>9941</v>
      </c>
      <c r="D7997" s="2349" t="s">
        <v>10121</v>
      </c>
      <c r="E7997" s="2350">
        <v>100</v>
      </c>
      <c r="F7997" s="1663">
        <v>50</v>
      </c>
    </row>
    <row r="7998" spans="1:6" ht="15" customHeight="1" x14ac:dyDescent="0.25">
      <c r="A7998" s="2349" t="s">
        <v>10120</v>
      </c>
      <c r="B7998" s="2349" t="s">
        <v>9941</v>
      </c>
      <c r="C7998" s="2349" t="s">
        <v>9941</v>
      </c>
      <c r="D7998" s="2349" t="s">
        <v>10122</v>
      </c>
      <c r="E7998" s="2350">
        <v>250</v>
      </c>
      <c r="F7998" s="1663">
        <v>75</v>
      </c>
    </row>
    <row r="7999" spans="1:6" ht="15" customHeight="1" x14ac:dyDescent="0.25">
      <c r="A7999" s="2349" t="s">
        <v>8536</v>
      </c>
      <c r="B7999" s="2349" t="s">
        <v>9941</v>
      </c>
      <c r="C7999" s="2349" t="s">
        <v>9941</v>
      </c>
      <c r="D7999" s="2349" t="s">
        <v>10123</v>
      </c>
      <c r="E7999" s="2350">
        <v>100</v>
      </c>
      <c r="F7999" s="1663">
        <v>40</v>
      </c>
    </row>
    <row r="8000" spans="1:6" ht="15" customHeight="1" x14ac:dyDescent="0.25">
      <c r="A8000" s="2349" t="s">
        <v>14837</v>
      </c>
      <c r="B8000" s="2349" t="s">
        <v>9941</v>
      </c>
      <c r="C8000" s="2349" t="s">
        <v>9941</v>
      </c>
      <c r="D8000" s="2349" t="s">
        <v>10124</v>
      </c>
      <c r="E8000" s="2350">
        <v>160</v>
      </c>
      <c r="F8000" s="1663">
        <v>64</v>
      </c>
    </row>
    <row r="8001" spans="1:6" ht="15" customHeight="1" x14ac:dyDescent="0.25">
      <c r="A8001" s="2349" t="s">
        <v>10479</v>
      </c>
      <c r="B8001" s="2349" t="s">
        <v>9941</v>
      </c>
      <c r="C8001" s="2349" t="s">
        <v>9941</v>
      </c>
      <c r="D8001" s="2349" t="s">
        <v>10125</v>
      </c>
      <c r="E8001" s="2350">
        <v>100</v>
      </c>
      <c r="F8001" s="1663">
        <v>30</v>
      </c>
    </row>
    <row r="8002" spans="1:6" ht="15" customHeight="1" x14ac:dyDescent="0.25">
      <c r="A8002" s="2349" t="s">
        <v>14838</v>
      </c>
      <c r="B8002" s="2349" t="s">
        <v>9941</v>
      </c>
      <c r="C8002" s="2349" t="s">
        <v>9941</v>
      </c>
      <c r="D8002" s="2349" t="s">
        <v>10126</v>
      </c>
      <c r="E8002" s="2350">
        <v>20</v>
      </c>
      <c r="F8002" s="1663">
        <v>8</v>
      </c>
    </row>
    <row r="8003" spans="1:6" ht="15" customHeight="1" x14ac:dyDescent="0.25">
      <c r="A8003" s="2349" t="s">
        <v>14506</v>
      </c>
      <c r="B8003" s="2349" t="s">
        <v>9941</v>
      </c>
      <c r="C8003" s="2349" t="s">
        <v>9941</v>
      </c>
      <c r="D8003" s="2349" t="s">
        <v>10127</v>
      </c>
      <c r="E8003" s="2350">
        <v>250</v>
      </c>
      <c r="F8003" s="1663">
        <v>100</v>
      </c>
    </row>
    <row r="8004" spans="1:6" ht="15" customHeight="1" x14ac:dyDescent="0.25">
      <c r="A8004" s="2349" t="s">
        <v>10128</v>
      </c>
      <c r="B8004" s="2349" t="s">
        <v>9941</v>
      </c>
      <c r="C8004" s="2349" t="s">
        <v>9941</v>
      </c>
      <c r="D8004" s="2349" t="s">
        <v>10129</v>
      </c>
      <c r="E8004" s="2350">
        <v>250</v>
      </c>
      <c r="F8004" s="1663">
        <v>75</v>
      </c>
    </row>
    <row r="8005" spans="1:6" ht="15" customHeight="1" x14ac:dyDescent="0.25">
      <c r="A8005" s="2349" t="s">
        <v>10128</v>
      </c>
      <c r="B8005" s="2349" t="s">
        <v>9941</v>
      </c>
      <c r="C8005" s="2349" t="s">
        <v>9941</v>
      </c>
      <c r="D8005" s="2349" t="s">
        <v>10130</v>
      </c>
      <c r="E8005" s="2350">
        <v>60</v>
      </c>
      <c r="F8005" s="1663">
        <v>18</v>
      </c>
    </row>
    <row r="8006" spans="1:6" ht="15" customHeight="1" x14ac:dyDescent="0.25">
      <c r="A8006" s="2349" t="s">
        <v>10128</v>
      </c>
      <c r="B8006" s="2349" t="s">
        <v>9941</v>
      </c>
      <c r="C8006" s="2349" t="s">
        <v>9941</v>
      </c>
      <c r="D8006" s="2349" t="s">
        <v>10131</v>
      </c>
      <c r="E8006" s="2350">
        <v>30</v>
      </c>
      <c r="F8006" s="1663">
        <v>3</v>
      </c>
    </row>
    <row r="8007" spans="1:6" ht="15" customHeight="1" x14ac:dyDescent="0.25">
      <c r="A8007" s="2349" t="s">
        <v>10128</v>
      </c>
      <c r="B8007" s="2349" t="s">
        <v>9941</v>
      </c>
      <c r="C8007" s="2349" t="s">
        <v>9941</v>
      </c>
      <c r="D8007" s="2349" t="s">
        <v>10132</v>
      </c>
      <c r="E8007" s="2350">
        <v>63</v>
      </c>
      <c r="F8007" s="1663">
        <v>0</v>
      </c>
    </row>
    <row r="8008" spans="1:6" ht="15" customHeight="1" x14ac:dyDescent="0.25">
      <c r="A8008" s="2349" t="s">
        <v>14839</v>
      </c>
      <c r="B8008" s="2349" t="s">
        <v>9941</v>
      </c>
      <c r="C8008" s="2349" t="s">
        <v>9941</v>
      </c>
      <c r="D8008" s="2349" t="s">
        <v>10133</v>
      </c>
      <c r="E8008" s="2350">
        <v>60</v>
      </c>
      <c r="F8008" s="1663">
        <v>18</v>
      </c>
    </row>
    <row r="8009" spans="1:6" ht="15" customHeight="1" x14ac:dyDescent="0.25">
      <c r="A8009" s="2349" t="s">
        <v>6476</v>
      </c>
      <c r="B8009" s="2349" t="s">
        <v>9941</v>
      </c>
      <c r="C8009" s="2349" t="s">
        <v>9941</v>
      </c>
      <c r="D8009" s="2349" t="s">
        <v>10134</v>
      </c>
      <c r="E8009" s="2350">
        <v>60</v>
      </c>
      <c r="F8009" s="1663">
        <v>6</v>
      </c>
    </row>
    <row r="8010" spans="1:6" ht="15" customHeight="1" x14ac:dyDescent="0.25">
      <c r="A8010" s="2356" t="s">
        <v>6476</v>
      </c>
      <c r="B8010" s="2356" t="s">
        <v>9941</v>
      </c>
      <c r="C8010" s="2356" t="s">
        <v>9941</v>
      </c>
      <c r="D8010" s="2357" t="s">
        <v>10135</v>
      </c>
      <c r="E8010" s="2358" t="s">
        <v>10536</v>
      </c>
      <c r="F8010" s="1664">
        <v>0</v>
      </c>
    </row>
    <row r="8011" spans="1:6" ht="15" customHeight="1" x14ac:dyDescent="0.25">
      <c r="A8011" s="1522" t="s">
        <v>14840</v>
      </c>
      <c r="B8011" s="2356" t="s">
        <v>9941</v>
      </c>
      <c r="C8011" s="2356" t="s">
        <v>9941</v>
      </c>
      <c r="D8011" s="2357" t="s">
        <v>10136</v>
      </c>
      <c r="E8011" s="2358" t="s">
        <v>10536</v>
      </c>
      <c r="F8011" s="1665">
        <v>6</v>
      </c>
    </row>
    <row r="8012" spans="1:6" ht="15" customHeight="1" x14ac:dyDescent="0.25">
      <c r="A8012" s="1522" t="s">
        <v>14841</v>
      </c>
      <c r="B8012" s="2356" t="s">
        <v>9941</v>
      </c>
      <c r="C8012" s="2356" t="s">
        <v>9941</v>
      </c>
      <c r="D8012" s="2357" t="s">
        <v>10137</v>
      </c>
      <c r="E8012" s="2358" t="s">
        <v>10517</v>
      </c>
      <c r="F8012" s="1665">
        <v>44.1</v>
      </c>
    </row>
    <row r="8013" spans="1:6" ht="15" customHeight="1" x14ac:dyDescent="0.25">
      <c r="A8013" s="1522" t="s">
        <v>14842</v>
      </c>
      <c r="B8013" s="2356" t="s">
        <v>9941</v>
      </c>
      <c r="C8013" s="2356" t="s">
        <v>9941</v>
      </c>
      <c r="D8013" s="2357" t="s">
        <v>10138</v>
      </c>
      <c r="E8013" s="2358" t="s">
        <v>10536</v>
      </c>
      <c r="F8013" s="1665">
        <v>9</v>
      </c>
    </row>
    <row r="8014" spans="1:6" ht="15" customHeight="1" x14ac:dyDescent="0.25">
      <c r="A8014" s="1522" t="s">
        <v>10139</v>
      </c>
      <c r="B8014" s="2356" t="s">
        <v>9941</v>
      </c>
      <c r="C8014" s="2356" t="s">
        <v>9941</v>
      </c>
      <c r="D8014" s="2357" t="s">
        <v>10140</v>
      </c>
      <c r="E8014" s="2358" t="s">
        <v>10536</v>
      </c>
      <c r="F8014" s="1665">
        <v>6</v>
      </c>
    </row>
    <row r="8015" spans="1:6" ht="15" customHeight="1" x14ac:dyDescent="0.25">
      <c r="A8015" s="1522" t="s">
        <v>10142</v>
      </c>
      <c r="B8015" s="2356" t="s">
        <v>9941</v>
      </c>
      <c r="C8015" s="2356" t="s">
        <v>9941</v>
      </c>
      <c r="D8015" s="2357" t="s">
        <v>10141</v>
      </c>
      <c r="E8015" s="2358" t="s">
        <v>10530</v>
      </c>
      <c r="F8015" s="1665">
        <v>225</v>
      </c>
    </row>
    <row r="8016" spans="1:6" ht="15" customHeight="1" x14ac:dyDescent="0.25">
      <c r="A8016" s="1522" t="s">
        <v>10142</v>
      </c>
      <c r="B8016" s="2356" t="s">
        <v>9941</v>
      </c>
      <c r="C8016" s="2356" t="s">
        <v>9941</v>
      </c>
      <c r="D8016" s="2357" t="s">
        <v>10143</v>
      </c>
      <c r="E8016" s="2358" t="s">
        <v>10507</v>
      </c>
      <c r="F8016" s="1665">
        <v>40</v>
      </c>
    </row>
    <row r="8017" spans="1:6" ht="15" customHeight="1" x14ac:dyDescent="0.25">
      <c r="A8017" s="1522" t="s">
        <v>10142</v>
      </c>
      <c r="B8017" s="2356" t="s">
        <v>9941</v>
      </c>
      <c r="C8017" s="2356" t="s">
        <v>9941</v>
      </c>
      <c r="D8017" s="2357" t="s">
        <v>10144</v>
      </c>
      <c r="E8017" s="2358" t="s">
        <v>10507</v>
      </c>
      <c r="F8017" s="1665">
        <v>10</v>
      </c>
    </row>
    <row r="8018" spans="1:6" ht="15" customHeight="1" x14ac:dyDescent="0.25">
      <c r="A8018" s="1522" t="s">
        <v>14843</v>
      </c>
      <c r="B8018" s="2356" t="s">
        <v>9941</v>
      </c>
      <c r="C8018" s="2356" t="s">
        <v>9941</v>
      </c>
      <c r="D8018" s="2357" t="s">
        <v>10145</v>
      </c>
      <c r="E8018" s="2358" t="s">
        <v>10507</v>
      </c>
      <c r="F8018" s="1665">
        <v>70</v>
      </c>
    </row>
    <row r="8019" spans="1:6" ht="15" customHeight="1" x14ac:dyDescent="0.25">
      <c r="A8019" s="1522" t="s">
        <v>9946</v>
      </c>
      <c r="B8019" s="2356" t="s">
        <v>9941</v>
      </c>
      <c r="C8019" s="2356" t="s">
        <v>9941</v>
      </c>
      <c r="D8019" s="2357" t="s">
        <v>10146</v>
      </c>
      <c r="E8019" s="2358" t="s">
        <v>10530</v>
      </c>
      <c r="F8019" s="1665">
        <v>75</v>
      </c>
    </row>
    <row r="8020" spans="1:6" ht="15" customHeight="1" x14ac:dyDescent="0.25">
      <c r="A8020" s="1522" t="s">
        <v>9946</v>
      </c>
      <c r="B8020" s="2356" t="s">
        <v>9941</v>
      </c>
      <c r="C8020" s="2356" t="s">
        <v>9941</v>
      </c>
      <c r="D8020" s="2357" t="s">
        <v>10147</v>
      </c>
      <c r="E8020" s="2358" t="s">
        <v>10517</v>
      </c>
      <c r="F8020" s="1665">
        <v>18.899999999999999</v>
      </c>
    </row>
    <row r="8021" spans="1:6" ht="15" customHeight="1" x14ac:dyDescent="0.25">
      <c r="A8021" s="1522" t="s">
        <v>9946</v>
      </c>
      <c r="B8021" s="2356" t="s">
        <v>9941</v>
      </c>
      <c r="C8021" s="2356" t="s">
        <v>9941</v>
      </c>
      <c r="D8021" s="2357" t="s">
        <v>10148</v>
      </c>
      <c r="E8021" s="2358" t="s">
        <v>10530</v>
      </c>
      <c r="F8021" s="1665">
        <v>225</v>
      </c>
    </row>
    <row r="8022" spans="1:6" ht="15" customHeight="1" x14ac:dyDescent="0.25">
      <c r="A8022" s="1522" t="s">
        <v>6421</v>
      </c>
      <c r="B8022" s="2356" t="s">
        <v>9941</v>
      </c>
      <c r="C8022" s="2356" t="s">
        <v>9941</v>
      </c>
      <c r="D8022" s="2357" t="s">
        <v>10149</v>
      </c>
      <c r="E8022" s="2358" t="s">
        <v>10536</v>
      </c>
      <c r="F8022" s="1665">
        <v>3</v>
      </c>
    </row>
    <row r="8023" spans="1:6" ht="15" customHeight="1" x14ac:dyDescent="0.25">
      <c r="A8023" s="1522" t="s">
        <v>14844</v>
      </c>
      <c r="B8023" s="2356" t="s">
        <v>9941</v>
      </c>
      <c r="C8023" s="2356" t="s">
        <v>9941</v>
      </c>
      <c r="D8023" s="2357" t="s">
        <v>10150</v>
      </c>
      <c r="E8023" s="2358" t="s">
        <v>10511</v>
      </c>
      <c r="F8023" s="1665">
        <v>0</v>
      </c>
    </row>
    <row r="8024" spans="1:6" ht="15" customHeight="1" x14ac:dyDescent="0.25">
      <c r="A8024" s="1522" t="s">
        <v>4769</v>
      </c>
      <c r="B8024" s="2356" t="s">
        <v>9941</v>
      </c>
      <c r="C8024" s="2356" t="s">
        <v>9941</v>
      </c>
      <c r="D8024" s="2357" t="s">
        <v>10151</v>
      </c>
      <c r="E8024" s="2358" t="s">
        <v>10509</v>
      </c>
      <c r="F8024" s="1665">
        <v>40</v>
      </c>
    </row>
    <row r="8025" spans="1:6" ht="15" customHeight="1" x14ac:dyDescent="0.25">
      <c r="A8025" s="1522" t="s">
        <v>4769</v>
      </c>
      <c r="B8025" s="2356" t="s">
        <v>9941</v>
      </c>
      <c r="C8025" s="2356" t="s">
        <v>9941</v>
      </c>
      <c r="D8025" s="2357" t="s">
        <v>10152</v>
      </c>
      <c r="E8025" s="2358" t="s">
        <v>10536</v>
      </c>
      <c r="F8025" s="1665">
        <v>0</v>
      </c>
    </row>
    <row r="8026" spans="1:6" ht="15" customHeight="1" x14ac:dyDescent="0.25">
      <c r="A8026" s="1522" t="s">
        <v>4769</v>
      </c>
      <c r="B8026" s="2356" t="s">
        <v>9941</v>
      </c>
      <c r="C8026" s="2356" t="s">
        <v>9941</v>
      </c>
      <c r="D8026" s="2357" t="s">
        <v>10153</v>
      </c>
      <c r="E8026" s="2358" t="s">
        <v>10507</v>
      </c>
      <c r="F8026" s="1665">
        <v>10</v>
      </c>
    </row>
    <row r="8027" spans="1:6" ht="15" customHeight="1" x14ac:dyDescent="0.25">
      <c r="A8027" s="1522" t="s">
        <v>4769</v>
      </c>
      <c r="B8027" s="2356" t="s">
        <v>9941</v>
      </c>
      <c r="C8027" s="2356" t="s">
        <v>9941</v>
      </c>
      <c r="D8027" s="2357" t="s">
        <v>10154</v>
      </c>
      <c r="E8027" s="2358" t="s">
        <v>10534</v>
      </c>
      <c r="F8027" s="1665">
        <v>16</v>
      </c>
    </row>
    <row r="8028" spans="1:6" ht="15" customHeight="1" x14ac:dyDescent="0.25">
      <c r="A8028" s="1522" t="s">
        <v>4769</v>
      </c>
      <c r="B8028" s="2356" t="s">
        <v>9941</v>
      </c>
      <c r="C8028" s="2356" t="s">
        <v>9941</v>
      </c>
      <c r="D8028" s="2357" t="s">
        <v>10155</v>
      </c>
      <c r="E8028" s="2358" t="s">
        <v>10517</v>
      </c>
      <c r="F8028" s="1665">
        <v>12.6</v>
      </c>
    </row>
    <row r="8029" spans="1:6" ht="15" customHeight="1" x14ac:dyDescent="0.25">
      <c r="A8029" s="1522" t="s">
        <v>4769</v>
      </c>
      <c r="B8029" s="2356" t="s">
        <v>9941</v>
      </c>
      <c r="C8029" s="2356" t="s">
        <v>9941</v>
      </c>
      <c r="D8029" s="2357" t="s">
        <v>10156</v>
      </c>
      <c r="E8029" s="2358" t="s">
        <v>10507</v>
      </c>
      <c r="F8029" s="1665">
        <v>0</v>
      </c>
    </row>
    <row r="8030" spans="1:6" ht="15" customHeight="1" x14ac:dyDescent="0.25">
      <c r="A8030" s="1522" t="s">
        <v>9349</v>
      </c>
      <c r="B8030" s="2356" t="s">
        <v>9941</v>
      </c>
      <c r="C8030" s="2356" t="s">
        <v>9941</v>
      </c>
      <c r="D8030" s="2357" t="s">
        <v>10157</v>
      </c>
      <c r="E8030" s="2358" t="s">
        <v>10507</v>
      </c>
      <c r="F8030" s="1665">
        <v>60</v>
      </c>
    </row>
    <row r="8031" spans="1:6" ht="15" customHeight="1" x14ac:dyDescent="0.25">
      <c r="A8031" s="1522" t="s">
        <v>14845</v>
      </c>
      <c r="B8031" s="2356" t="s">
        <v>9941</v>
      </c>
      <c r="C8031" s="2356" t="s">
        <v>9941</v>
      </c>
      <c r="D8031" s="2357" t="s">
        <v>10158</v>
      </c>
      <c r="E8031" s="2358" t="s">
        <v>10530</v>
      </c>
      <c r="F8031" s="1665">
        <v>75</v>
      </c>
    </row>
    <row r="8032" spans="1:6" ht="15" customHeight="1" x14ac:dyDescent="0.25">
      <c r="A8032" s="1522" t="s">
        <v>14846</v>
      </c>
      <c r="B8032" s="2356" t="s">
        <v>9941</v>
      </c>
      <c r="C8032" s="2356" t="s">
        <v>9941</v>
      </c>
      <c r="D8032" s="2357" t="s">
        <v>10159</v>
      </c>
      <c r="E8032" s="2358" t="s">
        <v>10507</v>
      </c>
      <c r="F8032" s="1665">
        <v>20</v>
      </c>
    </row>
    <row r="8033" spans="1:6" ht="15" customHeight="1" x14ac:dyDescent="0.25">
      <c r="A8033" s="1522" t="s">
        <v>14847</v>
      </c>
      <c r="B8033" s="2356" t="s">
        <v>9941</v>
      </c>
      <c r="C8033" s="2356" t="s">
        <v>9941</v>
      </c>
      <c r="D8033" s="2357" t="s">
        <v>10160</v>
      </c>
      <c r="E8033" s="2358" t="s">
        <v>8651</v>
      </c>
      <c r="F8033" s="1665">
        <v>12.5</v>
      </c>
    </row>
    <row r="8034" spans="1:6" ht="15" customHeight="1" x14ac:dyDescent="0.25">
      <c r="A8034" s="1522" t="s">
        <v>10629</v>
      </c>
      <c r="B8034" s="2356" t="s">
        <v>9941</v>
      </c>
      <c r="C8034" s="2356" t="s">
        <v>9941</v>
      </c>
      <c r="D8034" s="2357" t="s">
        <v>10161</v>
      </c>
      <c r="E8034" s="2358" t="s">
        <v>10511</v>
      </c>
      <c r="F8034" s="1665">
        <v>0</v>
      </c>
    </row>
    <row r="8035" spans="1:6" ht="15" customHeight="1" x14ac:dyDescent="0.25">
      <c r="A8035" s="1522" t="s">
        <v>8097</v>
      </c>
      <c r="B8035" s="2356" t="s">
        <v>9941</v>
      </c>
      <c r="C8035" s="2356" t="s">
        <v>9941</v>
      </c>
      <c r="D8035" s="2357" t="s">
        <v>10162</v>
      </c>
      <c r="E8035" s="2358" t="s">
        <v>10530</v>
      </c>
      <c r="F8035" s="1665">
        <v>75</v>
      </c>
    </row>
    <row r="8036" spans="1:6" ht="15" customHeight="1" x14ac:dyDescent="0.25">
      <c r="A8036" s="1522" t="s">
        <v>14848</v>
      </c>
      <c r="B8036" s="2356" t="s">
        <v>9941</v>
      </c>
      <c r="C8036" s="2356" t="s">
        <v>9941</v>
      </c>
      <c r="D8036" s="2357" t="s">
        <v>10163</v>
      </c>
      <c r="E8036" s="2358" t="s">
        <v>10536</v>
      </c>
      <c r="F8036" s="1665">
        <v>0</v>
      </c>
    </row>
    <row r="8037" spans="1:6" ht="15" customHeight="1" x14ac:dyDescent="0.25">
      <c r="A8037" s="1522" t="s">
        <v>14849</v>
      </c>
      <c r="B8037" s="2356" t="s">
        <v>9941</v>
      </c>
      <c r="C8037" s="2356" t="s">
        <v>9941</v>
      </c>
      <c r="D8037" s="2357" t="s">
        <v>10164</v>
      </c>
      <c r="E8037" s="2358" t="s">
        <v>10517</v>
      </c>
      <c r="F8037" s="1665">
        <v>31.5</v>
      </c>
    </row>
    <row r="8038" spans="1:6" ht="15" customHeight="1" x14ac:dyDescent="0.25">
      <c r="A8038" s="1522" t="s">
        <v>10165</v>
      </c>
      <c r="B8038" s="2356" t="s">
        <v>9941</v>
      </c>
      <c r="C8038" s="2356" t="s">
        <v>9941</v>
      </c>
      <c r="D8038" s="2357" t="s">
        <v>10166</v>
      </c>
      <c r="E8038" s="2358" t="s">
        <v>10507</v>
      </c>
      <c r="F8038" s="1665">
        <v>30</v>
      </c>
    </row>
    <row r="8039" spans="1:6" ht="15" customHeight="1" x14ac:dyDescent="0.25">
      <c r="A8039" s="1522" t="s">
        <v>8762</v>
      </c>
      <c r="B8039" s="2356" t="s">
        <v>9941</v>
      </c>
      <c r="C8039" s="2356" t="s">
        <v>9941</v>
      </c>
      <c r="D8039" s="2357" t="s">
        <v>10167</v>
      </c>
      <c r="E8039" s="2358" t="s">
        <v>10511</v>
      </c>
      <c r="F8039" s="1665">
        <v>18</v>
      </c>
    </row>
    <row r="8040" spans="1:6" ht="15" customHeight="1" x14ac:dyDescent="0.25">
      <c r="A8040" s="1522" t="s">
        <v>14850</v>
      </c>
      <c r="B8040" s="2356" t="s">
        <v>9941</v>
      </c>
      <c r="C8040" s="2356" t="s">
        <v>9941</v>
      </c>
      <c r="D8040" s="2357" t="s">
        <v>10168</v>
      </c>
      <c r="E8040" s="2358" t="s">
        <v>10507</v>
      </c>
      <c r="F8040" s="1665">
        <v>30</v>
      </c>
    </row>
    <row r="8041" spans="1:6" ht="15" customHeight="1" x14ac:dyDescent="0.25">
      <c r="A8041" s="1522" t="s">
        <v>10169</v>
      </c>
      <c r="B8041" s="2356" t="s">
        <v>9941</v>
      </c>
      <c r="C8041" s="2356" t="s">
        <v>9941</v>
      </c>
      <c r="D8041" s="2357" t="s">
        <v>10170</v>
      </c>
      <c r="E8041" s="2358" t="s">
        <v>10507</v>
      </c>
      <c r="F8041" s="1665">
        <v>60</v>
      </c>
    </row>
    <row r="8042" spans="1:6" ht="15" customHeight="1" x14ac:dyDescent="0.25">
      <c r="A8042" s="1522" t="s">
        <v>10896</v>
      </c>
      <c r="B8042" s="2356" t="s">
        <v>9941</v>
      </c>
      <c r="C8042" s="2356" t="s">
        <v>9941</v>
      </c>
      <c r="D8042" s="2357" t="s">
        <v>10171</v>
      </c>
      <c r="E8042" s="2358" t="s">
        <v>10507</v>
      </c>
      <c r="F8042" s="1665">
        <v>30</v>
      </c>
    </row>
    <row r="8043" spans="1:6" ht="15" customHeight="1" x14ac:dyDescent="0.25">
      <c r="A8043" s="1522" t="s">
        <v>10172</v>
      </c>
      <c r="B8043" s="2356" t="s">
        <v>9941</v>
      </c>
      <c r="C8043" s="2356" t="s">
        <v>9941</v>
      </c>
      <c r="D8043" s="2357" t="s">
        <v>10173</v>
      </c>
      <c r="E8043" s="2358" t="s">
        <v>10507</v>
      </c>
      <c r="F8043" s="1665">
        <v>15</v>
      </c>
    </row>
    <row r="8044" spans="1:6" ht="15" customHeight="1" x14ac:dyDescent="0.25">
      <c r="A8044" s="1522" t="s">
        <v>14851</v>
      </c>
      <c r="B8044" s="2356" t="s">
        <v>9941</v>
      </c>
      <c r="C8044" s="2356" t="s">
        <v>9941</v>
      </c>
      <c r="D8044" s="2357" t="s">
        <v>10174</v>
      </c>
      <c r="E8044" s="2358" t="s">
        <v>10517</v>
      </c>
      <c r="F8044" s="1665">
        <v>25.2</v>
      </c>
    </row>
    <row r="8045" spans="1:6" ht="15" customHeight="1" x14ac:dyDescent="0.25">
      <c r="A8045" s="1522" t="s">
        <v>3795</v>
      </c>
      <c r="B8045" s="2356" t="s">
        <v>9941</v>
      </c>
      <c r="C8045" s="2356" t="s">
        <v>9941</v>
      </c>
      <c r="D8045" s="2357" t="s">
        <v>10175</v>
      </c>
      <c r="E8045" s="2358" t="s">
        <v>10511</v>
      </c>
      <c r="F8045" s="1665">
        <v>18</v>
      </c>
    </row>
    <row r="8046" spans="1:6" ht="15" customHeight="1" x14ac:dyDescent="0.25">
      <c r="A8046" s="1522" t="s">
        <v>10546</v>
      </c>
      <c r="B8046" s="2356" t="s">
        <v>9941</v>
      </c>
      <c r="C8046" s="2356" t="s">
        <v>9941</v>
      </c>
      <c r="D8046" s="2357" t="s">
        <v>10176</v>
      </c>
      <c r="E8046" s="2358" t="s">
        <v>10517</v>
      </c>
      <c r="F8046" s="1665">
        <v>37.799999999999997</v>
      </c>
    </row>
    <row r="8047" spans="1:6" ht="15" customHeight="1" x14ac:dyDescent="0.25">
      <c r="A8047" s="1522" t="s">
        <v>10178</v>
      </c>
      <c r="B8047" s="2356" t="s">
        <v>9941</v>
      </c>
      <c r="C8047" s="2356" t="s">
        <v>9941</v>
      </c>
      <c r="D8047" s="2357" t="s">
        <v>10177</v>
      </c>
      <c r="E8047" s="2358" t="s">
        <v>10507</v>
      </c>
      <c r="F8047" s="1665">
        <v>90</v>
      </c>
    </row>
    <row r="8048" spans="1:6" ht="15" customHeight="1" x14ac:dyDescent="0.25">
      <c r="A8048" s="1522" t="s">
        <v>10178</v>
      </c>
      <c r="B8048" s="2356" t="s">
        <v>9941</v>
      </c>
      <c r="C8048" s="2356" t="s">
        <v>9941</v>
      </c>
      <c r="D8048" s="2357" t="s">
        <v>10179</v>
      </c>
      <c r="E8048" s="2358" t="s">
        <v>10534</v>
      </c>
      <c r="F8048" s="1665">
        <v>32</v>
      </c>
    </row>
    <row r="8049" spans="1:6" ht="15" customHeight="1" x14ac:dyDescent="0.25">
      <c r="A8049" s="1522" t="s">
        <v>10180</v>
      </c>
      <c r="B8049" s="2356" t="s">
        <v>9941</v>
      </c>
      <c r="C8049" s="2356" t="s">
        <v>9941</v>
      </c>
      <c r="D8049" s="2357" t="s">
        <v>10181</v>
      </c>
      <c r="E8049" s="2358" t="s">
        <v>10507</v>
      </c>
      <c r="F8049" s="1665">
        <v>20</v>
      </c>
    </row>
    <row r="8050" spans="1:6" ht="15" customHeight="1" x14ac:dyDescent="0.25">
      <c r="A8050" s="1522" t="s">
        <v>10180</v>
      </c>
      <c r="B8050" s="2356" t="s">
        <v>9941</v>
      </c>
      <c r="C8050" s="2356" t="s">
        <v>9941</v>
      </c>
      <c r="D8050" s="2357" t="s">
        <v>10182</v>
      </c>
      <c r="E8050" s="2358" t="s">
        <v>3654</v>
      </c>
      <c r="F8050" s="1665">
        <v>0</v>
      </c>
    </row>
    <row r="8051" spans="1:6" ht="15" customHeight="1" x14ac:dyDescent="0.25">
      <c r="A8051" s="1522" t="s">
        <v>10183</v>
      </c>
      <c r="B8051" s="2356" t="s">
        <v>9941</v>
      </c>
      <c r="C8051" s="2356" t="s">
        <v>9941</v>
      </c>
      <c r="D8051" s="2357" t="s">
        <v>10184</v>
      </c>
      <c r="E8051" s="2358" t="s">
        <v>10507</v>
      </c>
      <c r="F8051" s="1665">
        <v>30</v>
      </c>
    </row>
    <row r="8052" spans="1:6" ht="15" customHeight="1" x14ac:dyDescent="0.25">
      <c r="A8052" s="1522" t="s">
        <v>10183</v>
      </c>
      <c r="B8052" s="2356" t="s">
        <v>9941</v>
      </c>
      <c r="C8052" s="2356" t="s">
        <v>9941</v>
      </c>
      <c r="D8052" s="2357" t="s">
        <v>10185</v>
      </c>
      <c r="E8052" s="2358" t="s">
        <v>10507</v>
      </c>
      <c r="F8052" s="1665">
        <v>30</v>
      </c>
    </row>
    <row r="8053" spans="1:6" ht="15" customHeight="1" x14ac:dyDescent="0.25">
      <c r="A8053" s="1522" t="s">
        <v>10183</v>
      </c>
      <c r="B8053" s="2356" t="s">
        <v>9941</v>
      </c>
      <c r="C8053" s="2356" t="s">
        <v>9941</v>
      </c>
      <c r="D8053" s="2357" t="s">
        <v>10186</v>
      </c>
      <c r="E8053" s="2358" t="s">
        <v>10507</v>
      </c>
      <c r="F8053" s="1665">
        <v>40</v>
      </c>
    </row>
    <row r="8054" spans="1:6" ht="15" customHeight="1" x14ac:dyDescent="0.25">
      <c r="A8054" s="1522" t="s">
        <v>10183</v>
      </c>
      <c r="B8054" s="2356" t="s">
        <v>9941</v>
      </c>
      <c r="C8054" s="2356" t="s">
        <v>9941</v>
      </c>
      <c r="D8054" s="2357" t="s">
        <v>10187</v>
      </c>
      <c r="E8054" s="2358" t="s">
        <v>10530</v>
      </c>
      <c r="F8054" s="1665">
        <v>100</v>
      </c>
    </row>
    <row r="8055" spans="1:6" ht="15" customHeight="1" x14ac:dyDescent="0.25">
      <c r="A8055" s="1522" t="s">
        <v>10183</v>
      </c>
      <c r="B8055" s="2356" t="s">
        <v>9941</v>
      </c>
      <c r="C8055" s="2356" t="s">
        <v>9941</v>
      </c>
      <c r="D8055" s="2357" t="s">
        <v>10188</v>
      </c>
      <c r="E8055" s="2358" t="s">
        <v>10530</v>
      </c>
      <c r="F8055" s="1665">
        <v>100</v>
      </c>
    </row>
    <row r="8056" spans="1:6" ht="15" customHeight="1" x14ac:dyDescent="0.25">
      <c r="A8056" s="1522" t="s">
        <v>10189</v>
      </c>
      <c r="B8056" s="2356" t="s">
        <v>9941</v>
      </c>
      <c r="C8056" s="2356" t="s">
        <v>9941</v>
      </c>
      <c r="D8056" s="2357" t="s">
        <v>10190</v>
      </c>
      <c r="E8056" s="2358" t="s">
        <v>10536</v>
      </c>
      <c r="F8056" s="1665">
        <v>6</v>
      </c>
    </row>
    <row r="8057" spans="1:6" ht="15" customHeight="1" x14ac:dyDescent="0.25">
      <c r="A8057" s="1522" t="s">
        <v>10191</v>
      </c>
      <c r="B8057" s="2356" t="s">
        <v>9941</v>
      </c>
      <c r="C8057" s="2356" t="s">
        <v>9941</v>
      </c>
      <c r="D8057" s="2357" t="s">
        <v>10192</v>
      </c>
      <c r="E8057" s="2358" t="s">
        <v>10507</v>
      </c>
      <c r="F8057" s="1665">
        <v>90</v>
      </c>
    </row>
    <row r="8058" spans="1:6" ht="15" customHeight="1" x14ac:dyDescent="0.25">
      <c r="A8058" s="1522" t="s">
        <v>14101</v>
      </c>
      <c r="B8058" s="2356" t="s">
        <v>9941</v>
      </c>
      <c r="C8058" s="2356" t="s">
        <v>9941</v>
      </c>
      <c r="D8058" s="2357" t="s">
        <v>10193</v>
      </c>
      <c r="E8058" s="2358" t="s">
        <v>10530</v>
      </c>
      <c r="F8058" s="1665">
        <v>125</v>
      </c>
    </row>
    <row r="8059" spans="1:6" ht="15" customHeight="1" x14ac:dyDescent="0.25">
      <c r="A8059" s="1522" t="s">
        <v>7873</v>
      </c>
      <c r="B8059" s="2356" t="s">
        <v>9941</v>
      </c>
      <c r="C8059" s="2356" t="s">
        <v>9941</v>
      </c>
      <c r="D8059" s="2357" t="s">
        <v>10194</v>
      </c>
      <c r="E8059" s="2358" t="s">
        <v>10536</v>
      </c>
      <c r="F8059" s="1665">
        <v>9</v>
      </c>
    </row>
    <row r="8060" spans="1:6" ht="15" customHeight="1" x14ac:dyDescent="0.25">
      <c r="A8060" s="1522" t="s">
        <v>8250</v>
      </c>
      <c r="B8060" s="2356" t="s">
        <v>9941</v>
      </c>
      <c r="C8060" s="2356" t="s">
        <v>9941</v>
      </c>
      <c r="D8060" s="2357" t="s">
        <v>10195</v>
      </c>
      <c r="E8060" s="2358" t="s">
        <v>10511</v>
      </c>
      <c r="F8060" s="1665">
        <v>18</v>
      </c>
    </row>
    <row r="8061" spans="1:6" ht="15" customHeight="1" x14ac:dyDescent="0.25">
      <c r="A8061" s="1522" t="s">
        <v>14852</v>
      </c>
      <c r="B8061" s="2356" t="s">
        <v>9941</v>
      </c>
      <c r="C8061" s="2356" t="s">
        <v>9941</v>
      </c>
      <c r="D8061" s="2357" t="s">
        <v>10196</v>
      </c>
      <c r="E8061" s="2358" t="s">
        <v>10511</v>
      </c>
      <c r="F8061" s="1665">
        <v>12</v>
      </c>
    </row>
    <row r="8062" spans="1:6" ht="15" customHeight="1" x14ac:dyDescent="0.25">
      <c r="A8062" s="1522" t="s">
        <v>14853</v>
      </c>
      <c r="B8062" s="2356" t="s">
        <v>9941</v>
      </c>
      <c r="C8062" s="2356" t="s">
        <v>9941</v>
      </c>
      <c r="D8062" s="2357" t="s">
        <v>10197</v>
      </c>
      <c r="E8062" s="2358" t="s">
        <v>10517</v>
      </c>
      <c r="F8062" s="1665">
        <v>25.2</v>
      </c>
    </row>
    <row r="8063" spans="1:6" ht="15" customHeight="1" x14ac:dyDescent="0.25">
      <c r="A8063" s="1522" t="s">
        <v>14854</v>
      </c>
      <c r="B8063" s="2356" t="s">
        <v>9941</v>
      </c>
      <c r="C8063" s="2356" t="s">
        <v>9941</v>
      </c>
      <c r="D8063" s="2357" t="s">
        <v>10198</v>
      </c>
      <c r="E8063" s="2358" t="s">
        <v>10507</v>
      </c>
      <c r="F8063" s="1665">
        <v>40</v>
      </c>
    </row>
    <row r="8064" spans="1:6" ht="15" customHeight="1" x14ac:dyDescent="0.25">
      <c r="A8064" s="1522" t="s">
        <v>10199</v>
      </c>
      <c r="B8064" s="2356" t="s">
        <v>9941</v>
      </c>
      <c r="C8064" s="2356" t="s">
        <v>9941</v>
      </c>
      <c r="D8064" s="2357" t="s">
        <v>10200</v>
      </c>
      <c r="E8064" s="2358" t="s">
        <v>10530</v>
      </c>
      <c r="F8064" s="1665">
        <v>50</v>
      </c>
    </row>
    <row r="8065" spans="1:6" ht="15" customHeight="1" x14ac:dyDescent="0.25">
      <c r="A8065" s="1522" t="s">
        <v>10199</v>
      </c>
      <c r="B8065" s="2356" t="s">
        <v>9941</v>
      </c>
      <c r="C8065" s="2356" t="s">
        <v>9941</v>
      </c>
      <c r="D8065" s="2357" t="s">
        <v>10201</v>
      </c>
      <c r="E8065" s="2358" t="s">
        <v>10530</v>
      </c>
      <c r="F8065" s="1665">
        <v>200</v>
      </c>
    </row>
    <row r="8066" spans="1:6" ht="15" customHeight="1" x14ac:dyDescent="0.25">
      <c r="A8066" s="1522" t="s">
        <v>10199</v>
      </c>
      <c r="B8066" s="2356" t="s">
        <v>9941</v>
      </c>
      <c r="C8066" s="2356" t="s">
        <v>9941</v>
      </c>
      <c r="D8066" s="2357" t="s">
        <v>10202</v>
      </c>
      <c r="E8066" s="2358" t="s">
        <v>10534</v>
      </c>
      <c r="F8066" s="1665">
        <v>48</v>
      </c>
    </row>
    <row r="8067" spans="1:6" ht="15" customHeight="1" x14ac:dyDescent="0.25">
      <c r="A8067" s="1522" t="s">
        <v>10199</v>
      </c>
      <c r="B8067" s="2356" t="s">
        <v>9941</v>
      </c>
      <c r="C8067" s="2356" t="s">
        <v>9941</v>
      </c>
      <c r="D8067" s="2357" t="s">
        <v>10203</v>
      </c>
      <c r="E8067" s="2358" t="s">
        <v>10530</v>
      </c>
      <c r="F8067" s="1665">
        <v>25</v>
      </c>
    </row>
    <row r="8068" spans="1:6" ht="15" customHeight="1" x14ac:dyDescent="0.25">
      <c r="A8068" s="1522" t="s">
        <v>14855</v>
      </c>
      <c r="B8068" s="2356" t="s">
        <v>9941</v>
      </c>
      <c r="C8068" s="2356" t="s">
        <v>9941</v>
      </c>
      <c r="D8068" s="2357" t="s">
        <v>10204</v>
      </c>
      <c r="E8068" s="2358" t="s">
        <v>10507</v>
      </c>
      <c r="F8068" s="1665">
        <v>50</v>
      </c>
    </row>
    <row r="8069" spans="1:6" ht="15" customHeight="1" x14ac:dyDescent="0.25">
      <c r="A8069" s="1522" t="s">
        <v>10205</v>
      </c>
      <c r="B8069" s="2356" t="s">
        <v>9941</v>
      </c>
      <c r="C8069" s="2356" t="s">
        <v>9941</v>
      </c>
      <c r="D8069" s="2357" t="s">
        <v>10206</v>
      </c>
      <c r="E8069" s="2358" t="s">
        <v>10534</v>
      </c>
      <c r="F8069" s="1665">
        <v>48</v>
      </c>
    </row>
    <row r="8070" spans="1:6" ht="15" customHeight="1" x14ac:dyDescent="0.25">
      <c r="A8070" s="1522" t="s">
        <v>10205</v>
      </c>
      <c r="B8070" s="2356" t="s">
        <v>9941</v>
      </c>
      <c r="C8070" s="2356" t="s">
        <v>9941</v>
      </c>
      <c r="D8070" s="2357" t="s">
        <v>10207</v>
      </c>
      <c r="E8070" s="2358" t="s">
        <v>10530</v>
      </c>
      <c r="F8070" s="1665">
        <v>225</v>
      </c>
    </row>
    <row r="8071" spans="1:6" ht="15" customHeight="1" x14ac:dyDescent="0.25">
      <c r="A8071" s="1522" t="s">
        <v>10205</v>
      </c>
      <c r="B8071" s="2356" t="s">
        <v>9941</v>
      </c>
      <c r="C8071" s="2356" t="s">
        <v>9941</v>
      </c>
      <c r="D8071" s="2357" t="s">
        <v>10208</v>
      </c>
      <c r="E8071" s="2358" t="s">
        <v>10507</v>
      </c>
      <c r="F8071" s="1665">
        <v>50</v>
      </c>
    </row>
    <row r="8072" spans="1:6" ht="15" customHeight="1" x14ac:dyDescent="0.25">
      <c r="A8072" s="1522" t="s">
        <v>8242</v>
      </c>
      <c r="B8072" s="2356" t="s">
        <v>9941</v>
      </c>
      <c r="C8072" s="2356" t="s">
        <v>9941</v>
      </c>
      <c r="D8072" s="2357" t="s">
        <v>10209</v>
      </c>
      <c r="E8072" s="2358" t="s">
        <v>10536</v>
      </c>
      <c r="F8072" s="1665">
        <v>6</v>
      </c>
    </row>
    <row r="8073" spans="1:6" ht="15" customHeight="1" x14ac:dyDescent="0.25">
      <c r="A8073" s="1522" t="s">
        <v>10211</v>
      </c>
      <c r="B8073" s="2356" t="s">
        <v>9941</v>
      </c>
      <c r="C8073" s="2356" t="s">
        <v>9941</v>
      </c>
      <c r="D8073" s="2357" t="s">
        <v>10210</v>
      </c>
      <c r="E8073" s="2358" t="s">
        <v>10536</v>
      </c>
      <c r="F8073" s="1665">
        <v>9</v>
      </c>
    </row>
    <row r="8074" spans="1:6" ht="15" customHeight="1" x14ac:dyDescent="0.25">
      <c r="A8074" s="1522" t="s">
        <v>10211</v>
      </c>
      <c r="B8074" s="2356" t="s">
        <v>9941</v>
      </c>
      <c r="C8074" s="2356" t="s">
        <v>9941</v>
      </c>
      <c r="D8074" s="2357" t="s">
        <v>10212</v>
      </c>
      <c r="E8074" s="2358" t="s">
        <v>10536</v>
      </c>
      <c r="F8074" s="1665">
        <v>21</v>
      </c>
    </row>
    <row r="8075" spans="1:6" ht="15" customHeight="1" x14ac:dyDescent="0.25">
      <c r="A8075" s="1522" t="s">
        <v>14856</v>
      </c>
      <c r="B8075" s="2356" t="s">
        <v>9941</v>
      </c>
      <c r="C8075" s="2356" t="s">
        <v>9941</v>
      </c>
      <c r="D8075" s="2357" t="s">
        <v>10213</v>
      </c>
      <c r="E8075" s="2358" t="s">
        <v>10511</v>
      </c>
      <c r="F8075" s="1665">
        <v>24</v>
      </c>
    </row>
    <row r="8076" spans="1:6" ht="15" customHeight="1" x14ac:dyDescent="0.25">
      <c r="A8076" s="1522" t="s">
        <v>14857</v>
      </c>
      <c r="B8076" s="2356" t="s">
        <v>9941</v>
      </c>
      <c r="C8076" s="2356" t="s">
        <v>9941</v>
      </c>
      <c r="D8076" s="2357" t="s">
        <v>10214</v>
      </c>
      <c r="E8076" s="2358" t="s">
        <v>10507</v>
      </c>
      <c r="F8076" s="1665">
        <v>70</v>
      </c>
    </row>
    <row r="8077" spans="1:6" ht="15" customHeight="1" x14ac:dyDescent="0.25">
      <c r="A8077" s="1522" t="s">
        <v>10215</v>
      </c>
      <c r="B8077" s="2356" t="s">
        <v>9941</v>
      </c>
      <c r="C8077" s="2356" t="s">
        <v>9941</v>
      </c>
      <c r="D8077" s="2357" t="s">
        <v>10216</v>
      </c>
      <c r="E8077" s="2358" t="s">
        <v>10511</v>
      </c>
      <c r="F8077" s="1665">
        <v>12</v>
      </c>
    </row>
    <row r="8078" spans="1:6" ht="15" customHeight="1" x14ac:dyDescent="0.25">
      <c r="A8078" s="1522" t="s">
        <v>14858</v>
      </c>
      <c r="B8078" s="2356" t="s">
        <v>9941</v>
      </c>
      <c r="C8078" s="2356" t="s">
        <v>9941</v>
      </c>
      <c r="D8078" s="2357" t="s">
        <v>10217</v>
      </c>
      <c r="E8078" s="2358" t="s">
        <v>10507</v>
      </c>
      <c r="F8078" s="1665">
        <v>80</v>
      </c>
    </row>
    <row r="8079" spans="1:6" ht="15" customHeight="1" x14ac:dyDescent="0.25">
      <c r="A8079" s="1522" t="s">
        <v>10218</v>
      </c>
      <c r="B8079" s="2356" t="s">
        <v>9941</v>
      </c>
      <c r="C8079" s="2356" t="s">
        <v>9941</v>
      </c>
      <c r="D8079" s="2357" t="s">
        <v>10219</v>
      </c>
      <c r="E8079" s="2358" t="s">
        <v>10530</v>
      </c>
      <c r="F8079" s="1665">
        <v>0</v>
      </c>
    </row>
    <row r="8080" spans="1:6" ht="15" customHeight="1" x14ac:dyDescent="0.25">
      <c r="A8080" s="1522" t="s">
        <v>10218</v>
      </c>
      <c r="B8080" s="2356" t="s">
        <v>9941</v>
      </c>
      <c r="C8080" s="2356" t="s">
        <v>9941</v>
      </c>
      <c r="D8080" s="2357" t="s">
        <v>10220</v>
      </c>
      <c r="E8080" s="2358" t="s">
        <v>10530</v>
      </c>
      <c r="F8080" s="1665">
        <v>50</v>
      </c>
    </row>
    <row r="8081" spans="1:6" ht="15" customHeight="1" x14ac:dyDescent="0.25">
      <c r="A8081" s="1522" t="s">
        <v>14859</v>
      </c>
      <c r="B8081" s="2356" t="s">
        <v>9941</v>
      </c>
      <c r="C8081" s="2356" t="s">
        <v>9941</v>
      </c>
      <c r="D8081" s="2357" t="s">
        <v>10221</v>
      </c>
      <c r="E8081" s="2358" t="s">
        <v>10511</v>
      </c>
      <c r="F8081" s="1665">
        <v>30</v>
      </c>
    </row>
    <row r="8082" spans="1:6" ht="15" customHeight="1" x14ac:dyDescent="0.25">
      <c r="A8082" s="1522" t="s">
        <v>14860</v>
      </c>
      <c r="B8082" s="2356" t="s">
        <v>9941</v>
      </c>
      <c r="C8082" s="2356" t="s">
        <v>9941</v>
      </c>
      <c r="D8082" s="2357" t="s">
        <v>10222</v>
      </c>
      <c r="E8082" s="2358" t="s">
        <v>10536</v>
      </c>
      <c r="F8082" s="1665">
        <v>3</v>
      </c>
    </row>
    <row r="8083" spans="1:6" ht="15" customHeight="1" x14ac:dyDescent="0.25">
      <c r="A8083" s="1522" t="s">
        <v>10225</v>
      </c>
      <c r="B8083" s="2356" t="s">
        <v>9941</v>
      </c>
      <c r="C8083" s="2356" t="s">
        <v>9941</v>
      </c>
      <c r="D8083" s="2357" t="s">
        <v>10223</v>
      </c>
      <c r="E8083" s="2358" t="s">
        <v>10536</v>
      </c>
      <c r="F8083" s="1665">
        <v>0</v>
      </c>
    </row>
    <row r="8084" spans="1:6" ht="15" customHeight="1" x14ac:dyDescent="0.25">
      <c r="A8084" s="1522" t="s">
        <v>10225</v>
      </c>
      <c r="B8084" s="2356" t="s">
        <v>9941</v>
      </c>
      <c r="C8084" s="2356" t="s">
        <v>9941</v>
      </c>
      <c r="D8084" s="2357" t="s">
        <v>10224</v>
      </c>
      <c r="E8084" s="2358" t="s">
        <v>10530</v>
      </c>
      <c r="F8084" s="1665">
        <v>225</v>
      </c>
    </row>
    <row r="8085" spans="1:6" ht="15" customHeight="1" x14ac:dyDescent="0.25">
      <c r="A8085" s="1522" t="s">
        <v>10225</v>
      </c>
      <c r="B8085" s="2356" t="s">
        <v>9941</v>
      </c>
      <c r="C8085" s="2356" t="s">
        <v>9941</v>
      </c>
      <c r="D8085" s="2357" t="s">
        <v>10226</v>
      </c>
      <c r="E8085" s="2358" t="s">
        <v>10530</v>
      </c>
      <c r="F8085" s="1665">
        <v>225</v>
      </c>
    </row>
    <row r="8086" spans="1:6" ht="15" customHeight="1" x14ac:dyDescent="0.25">
      <c r="A8086" s="1522" t="s">
        <v>10225</v>
      </c>
      <c r="B8086" s="2356" t="s">
        <v>9941</v>
      </c>
      <c r="C8086" s="2356" t="s">
        <v>9941</v>
      </c>
      <c r="D8086" s="2357" t="s">
        <v>10227</v>
      </c>
      <c r="E8086" s="2358" t="s">
        <v>10536</v>
      </c>
      <c r="F8086" s="1665">
        <v>0</v>
      </c>
    </row>
    <row r="8087" spans="1:6" ht="15" customHeight="1" x14ac:dyDescent="0.25">
      <c r="A8087" s="1522" t="s">
        <v>10225</v>
      </c>
      <c r="B8087" s="2356" t="s">
        <v>9941</v>
      </c>
      <c r="C8087" s="2356" t="s">
        <v>9941</v>
      </c>
      <c r="D8087" s="2357" t="s">
        <v>10228</v>
      </c>
      <c r="E8087" s="2358" t="s">
        <v>10530</v>
      </c>
      <c r="F8087" s="1665">
        <v>125</v>
      </c>
    </row>
    <row r="8088" spans="1:6" ht="15" customHeight="1" x14ac:dyDescent="0.25">
      <c r="A8088" s="1522" t="s">
        <v>14861</v>
      </c>
      <c r="B8088" s="2356" t="s">
        <v>9941</v>
      </c>
      <c r="C8088" s="2356" t="s">
        <v>9941</v>
      </c>
      <c r="D8088" s="2357" t="s">
        <v>10229</v>
      </c>
      <c r="E8088" s="2358" t="s">
        <v>10511</v>
      </c>
      <c r="F8088" s="1665">
        <v>0</v>
      </c>
    </row>
    <row r="8089" spans="1:6" ht="15" customHeight="1" x14ac:dyDescent="0.25">
      <c r="A8089" s="1522" t="s">
        <v>14862</v>
      </c>
      <c r="B8089" s="2356" t="s">
        <v>9941</v>
      </c>
      <c r="C8089" s="2356" t="s">
        <v>9941</v>
      </c>
      <c r="D8089" s="2357" t="s">
        <v>10230</v>
      </c>
      <c r="E8089" s="2358" t="s">
        <v>10530</v>
      </c>
      <c r="F8089" s="1665">
        <v>100</v>
      </c>
    </row>
    <row r="8090" spans="1:6" ht="15" customHeight="1" x14ac:dyDescent="0.25">
      <c r="A8090" s="1522" t="s">
        <v>10231</v>
      </c>
      <c r="B8090" s="2356" t="s">
        <v>9941</v>
      </c>
      <c r="C8090" s="2356" t="s">
        <v>9941</v>
      </c>
      <c r="D8090" s="2357" t="s">
        <v>10232</v>
      </c>
      <c r="E8090" s="2358" t="s">
        <v>10517</v>
      </c>
      <c r="F8090" s="1665">
        <v>25.2</v>
      </c>
    </row>
    <row r="8091" spans="1:6" ht="15" customHeight="1" x14ac:dyDescent="0.25">
      <c r="A8091" s="1522" t="s">
        <v>14863</v>
      </c>
      <c r="B8091" s="2356" t="s">
        <v>9941</v>
      </c>
      <c r="C8091" s="2356" t="s">
        <v>9941</v>
      </c>
      <c r="D8091" s="2357" t="s">
        <v>10233</v>
      </c>
      <c r="E8091" s="2358" t="s">
        <v>10507</v>
      </c>
      <c r="F8091" s="1665">
        <v>70</v>
      </c>
    </row>
    <row r="8092" spans="1:6" ht="15" customHeight="1" x14ac:dyDescent="0.25">
      <c r="A8092" s="1522" t="s">
        <v>14864</v>
      </c>
      <c r="B8092" s="2356" t="s">
        <v>9941</v>
      </c>
      <c r="C8092" s="2356" t="s">
        <v>9941</v>
      </c>
      <c r="D8092" s="2357" t="s">
        <v>10234</v>
      </c>
      <c r="E8092" s="2358" t="s">
        <v>10530</v>
      </c>
      <c r="F8092" s="1665">
        <v>150</v>
      </c>
    </row>
    <row r="8093" spans="1:6" ht="15" customHeight="1" x14ac:dyDescent="0.25">
      <c r="A8093" s="1522" t="s">
        <v>10235</v>
      </c>
      <c r="B8093" s="2356" t="s">
        <v>9941</v>
      </c>
      <c r="C8093" s="2356" t="s">
        <v>9941</v>
      </c>
      <c r="D8093" s="2357" t="s">
        <v>10236</v>
      </c>
      <c r="E8093" s="2358" t="s">
        <v>10534</v>
      </c>
      <c r="F8093" s="1665">
        <v>144</v>
      </c>
    </row>
    <row r="8094" spans="1:6" ht="15" customHeight="1" x14ac:dyDescent="0.25">
      <c r="A8094" s="1522" t="s">
        <v>4592</v>
      </c>
      <c r="B8094" s="2356" t="s">
        <v>9941</v>
      </c>
      <c r="C8094" s="2356" t="s">
        <v>9941</v>
      </c>
      <c r="D8094" s="2357" t="s">
        <v>10237</v>
      </c>
      <c r="E8094" s="2358" t="s">
        <v>10530</v>
      </c>
      <c r="F8094" s="1665">
        <v>125</v>
      </c>
    </row>
    <row r="8095" spans="1:6" ht="15" customHeight="1" x14ac:dyDescent="0.25">
      <c r="A8095" s="1522" t="s">
        <v>10238</v>
      </c>
      <c r="B8095" s="2356" t="s">
        <v>9941</v>
      </c>
      <c r="C8095" s="2356" t="s">
        <v>9941</v>
      </c>
      <c r="D8095" s="2357" t="s">
        <v>10239</v>
      </c>
      <c r="E8095" s="2358" t="s">
        <v>10511</v>
      </c>
      <c r="F8095" s="1665">
        <v>6</v>
      </c>
    </row>
    <row r="8096" spans="1:6" ht="15" customHeight="1" x14ac:dyDescent="0.25">
      <c r="A8096" s="1522" t="s">
        <v>10238</v>
      </c>
      <c r="B8096" s="2356" t="s">
        <v>9941</v>
      </c>
      <c r="C8096" s="2356" t="s">
        <v>9941</v>
      </c>
      <c r="D8096" s="2357" t="s">
        <v>10240</v>
      </c>
      <c r="E8096" s="2358" t="s">
        <v>10534</v>
      </c>
      <c r="F8096" s="1665">
        <v>80</v>
      </c>
    </row>
    <row r="8097" spans="1:6" ht="15" customHeight="1" x14ac:dyDescent="0.25">
      <c r="A8097" s="1522" t="s">
        <v>14865</v>
      </c>
      <c r="B8097" s="2356" t="s">
        <v>9941</v>
      </c>
      <c r="C8097" s="2356" t="s">
        <v>9941</v>
      </c>
      <c r="D8097" s="2357" t="s">
        <v>10241</v>
      </c>
      <c r="E8097" s="2358" t="s">
        <v>10530</v>
      </c>
      <c r="F8097" s="1665">
        <v>37.5</v>
      </c>
    </row>
    <row r="8098" spans="1:6" ht="15" customHeight="1" x14ac:dyDescent="0.25">
      <c r="A8098" s="1522" t="s">
        <v>7987</v>
      </c>
      <c r="B8098" s="2356" t="s">
        <v>9941</v>
      </c>
      <c r="C8098" s="2356" t="s">
        <v>9941</v>
      </c>
      <c r="D8098" s="2357" t="s">
        <v>10242</v>
      </c>
      <c r="E8098" s="2358" t="s">
        <v>10534</v>
      </c>
      <c r="F8098" s="1665">
        <v>32</v>
      </c>
    </row>
    <row r="8099" spans="1:6" ht="15" customHeight="1" x14ac:dyDescent="0.25">
      <c r="A8099" s="1522" t="s">
        <v>3938</v>
      </c>
      <c r="B8099" s="2356" t="s">
        <v>9941</v>
      </c>
      <c r="C8099" s="2356" t="s">
        <v>9941</v>
      </c>
      <c r="D8099" s="2357" t="s">
        <v>10243</v>
      </c>
      <c r="E8099" s="2358" t="s">
        <v>3654</v>
      </c>
      <c r="F8099" s="1665">
        <v>0</v>
      </c>
    </row>
    <row r="8100" spans="1:6" ht="15" customHeight="1" x14ac:dyDescent="0.25">
      <c r="A8100" s="1522" t="s">
        <v>14866</v>
      </c>
      <c r="B8100" s="2356" t="s">
        <v>9941</v>
      </c>
      <c r="C8100" s="2356" t="s">
        <v>9941</v>
      </c>
      <c r="D8100" s="2357" t="s">
        <v>10244</v>
      </c>
      <c r="E8100" s="2358" t="s">
        <v>10507</v>
      </c>
      <c r="F8100" s="1665">
        <v>30</v>
      </c>
    </row>
    <row r="8101" spans="1:6" ht="15" customHeight="1" x14ac:dyDescent="0.25">
      <c r="A8101" s="1522" t="s">
        <v>10245</v>
      </c>
      <c r="B8101" s="2356" t="s">
        <v>9941</v>
      </c>
      <c r="C8101" s="2356" t="s">
        <v>9941</v>
      </c>
      <c r="D8101" s="2357" t="s">
        <v>10246</v>
      </c>
      <c r="E8101" s="2358" t="s">
        <v>10536</v>
      </c>
      <c r="F8101" s="1665">
        <v>15</v>
      </c>
    </row>
    <row r="8102" spans="1:6" ht="15" customHeight="1" x14ac:dyDescent="0.25">
      <c r="A8102" s="1522" t="s">
        <v>10247</v>
      </c>
      <c r="B8102" s="2356" t="s">
        <v>9941</v>
      </c>
      <c r="C8102" s="2356" t="s">
        <v>9941</v>
      </c>
      <c r="D8102" s="2357" t="s">
        <v>10248</v>
      </c>
      <c r="E8102" s="2358" t="s">
        <v>10536</v>
      </c>
      <c r="F8102" s="1665">
        <v>9</v>
      </c>
    </row>
    <row r="8103" spans="1:6" ht="15" customHeight="1" x14ac:dyDescent="0.25">
      <c r="A8103" s="1522" t="s">
        <v>9389</v>
      </c>
      <c r="B8103" s="2356" t="s">
        <v>9941</v>
      </c>
      <c r="C8103" s="2356" t="s">
        <v>9941</v>
      </c>
      <c r="D8103" s="2357" t="s">
        <v>10249</v>
      </c>
      <c r="E8103" s="2358" t="s">
        <v>10511</v>
      </c>
      <c r="F8103" s="1665">
        <v>9</v>
      </c>
    </row>
    <row r="8104" spans="1:6" ht="15" customHeight="1" x14ac:dyDescent="0.25">
      <c r="A8104" s="1522" t="s">
        <v>9389</v>
      </c>
      <c r="B8104" s="2356" t="s">
        <v>9941</v>
      </c>
      <c r="C8104" s="2356" t="s">
        <v>9941</v>
      </c>
      <c r="D8104" s="2357" t="s">
        <v>10250</v>
      </c>
      <c r="E8104" s="2358" t="s">
        <v>10507</v>
      </c>
      <c r="F8104" s="1665">
        <v>20</v>
      </c>
    </row>
    <row r="8105" spans="1:6" ht="15" customHeight="1" x14ac:dyDescent="0.25">
      <c r="A8105" s="1522" t="s">
        <v>9389</v>
      </c>
      <c r="B8105" s="2356" t="s">
        <v>9941</v>
      </c>
      <c r="C8105" s="2356" t="s">
        <v>9941</v>
      </c>
      <c r="D8105" s="2357" t="s">
        <v>10251</v>
      </c>
      <c r="E8105" s="2358" t="s">
        <v>10507</v>
      </c>
      <c r="F8105" s="1666">
        <v>20</v>
      </c>
    </row>
    <row r="8106" spans="1:6" ht="15" customHeight="1" x14ac:dyDescent="0.25">
      <c r="A8106" s="1522" t="s">
        <v>9389</v>
      </c>
      <c r="B8106" s="2356" t="s">
        <v>9941</v>
      </c>
      <c r="C8106" s="2356" t="s">
        <v>9941</v>
      </c>
      <c r="D8106" s="2357" t="s">
        <v>10252</v>
      </c>
      <c r="E8106" s="2358" t="s">
        <v>10511</v>
      </c>
      <c r="F8106" s="1665">
        <v>30</v>
      </c>
    </row>
    <row r="8107" spans="1:6" ht="15" customHeight="1" x14ac:dyDescent="0.25">
      <c r="A8107" s="1522" t="s">
        <v>9389</v>
      </c>
      <c r="B8107" s="2356" t="s">
        <v>9941</v>
      </c>
      <c r="C8107" s="2356" t="s">
        <v>9941</v>
      </c>
      <c r="D8107" s="2357" t="s">
        <v>10253</v>
      </c>
      <c r="E8107" s="2358" t="s">
        <v>10511</v>
      </c>
      <c r="F8107" s="1665">
        <v>30</v>
      </c>
    </row>
    <row r="8108" spans="1:6" ht="15" customHeight="1" x14ac:dyDescent="0.25">
      <c r="A8108" s="1522" t="s">
        <v>9389</v>
      </c>
      <c r="B8108" s="2356" t="s">
        <v>9941</v>
      </c>
      <c r="C8108" s="2356" t="s">
        <v>9941</v>
      </c>
      <c r="D8108" s="2357" t="s">
        <v>10254</v>
      </c>
      <c r="E8108" s="2358" t="s">
        <v>10507</v>
      </c>
      <c r="F8108" s="1665">
        <v>50</v>
      </c>
    </row>
    <row r="8109" spans="1:6" ht="15" customHeight="1" x14ac:dyDescent="0.25">
      <c r="A8109" s="1522" t="s">
        <v>9389</v>
      </c>
      <c r="B8109" s="2356" t="s">
        <v>9941</v>
      </c>
      <c r="C8109" s="2356" t="s">
        <v>9941</v>
      </c>
      <c r="D8109" s="2357" t="s">
        <v>10255</v>
      </c>
      <c r="E8109" s="2358" t="s">
        <v>10507</v>
      </c>
      <c r="F8109" s="1665">
        <v>50</v>
      </c>
    </row>
    <row r="8110" spans="1:6" ht="15" customHeight="1" x14ac:dyDescent="0.25">
      <c r="A8110" s="1522" t="s">
        <v>7529</v>
      </c>
      <c r="B8110" s="2356" t="s">
        <v>9941</v>
      </c>
      <c r="C8110" s="2356" t="s">
        <v>9941</v>
      </c>
      <c r="D8110" s="2357" t="s">
        <v>10256</v>
      </c>
      <c r="E8110" s="2358" t="s">
        <v>10530</v>
      </c>
      <c r="F8110" s="1665">
        <v>150</v>
      </c>
    </row>
    <row r="8111" spans="1:6" ht="15" customHeight="1" x14ac:dyDescent="0.25">
      <c r="A8111" s="2359" t="s">
        <v>10257</v>
      </c>
      <c r="B8111" s="2356" t="s">
        <v>9941</v>
      </c>
      <c r="C8111" s="2356" t="s">
        <v>9941</v>
      </c>
      <c r="D8111" s="2357" t="s">
        <v>10258</v>
      </c>
      <c r="E8111" s="2358" t="s">
        <v>10530</v>
      </c>
      <c r="F8111" s="1666">
        <v>50</v>
      </c>
    </row>
    <row r="8112" spans="1:6" ht="15" customHeight="1" x14ac:dyDescent="0.25">
      <c r="A8112" s="2359" t="s">
        <v>10259</v>
      </c>
      <c r="B8112" s="2356" t="s">
        <v>9941</v>
      </c>
      <c r="C8112" s="2356" t="s">
        <v>9941</v>
      </c>
      <c r="D8112" s="2357" t="s">
        <v>10260</v>
      </c>
      <c r="E8112" s="2358" t="s">
        <v>10507</v>
      </c>
      <c r="F8112" s="1662">
        <v>30</v>
      </c>
    </row>
    <row r="8113" spans="1:6" ht="15" customHeight="1" x14ac:dyDescent="0.25">
      <c r="A8113" s="2359" t="s">
        <v>10259</v>
      </c>
      <c r="B8113" s="2356" t="s">
        <v>9941</v>
      </c>
      <c r="C8113" s="2356" t="s">
        <v>9941</v>
      </c>
      <c r="D8113" s="2357" t="s">
        <v>10261</v>
      </c>
      <c r="E8113" s="2358" t="s">
        <v>10507</v>
      </c>
      <c r="F8113" s="1666">
        <v>40</v>
      </c>
    </row>
    <row r="8114" spans="1:6" ht="15" customHeight="1" x14ac:dyDescent="0.25">
      <c r="A8114" s="2359" t="s">
        <v>10259</v>
      </c>
      <c r="B8114" s="2356" t="s">
        <v>9941</v>
      </c>
      <c r="C8114" s="2356" t="s">
        <v>9941</v>
      </c>
      <c r="D8114" s="2357" t="s">
        <v>10262</v>
      </c>
      <c r="E8114" s="2358" t="s">
        <v>10507</v>
      </c>
      <c r="F8114" s="1666">
        <v>40</v>
      </c>
    </row>
    <row r="8115" spans="1:6" ht="15" customHeight="1" x14ac:dyDescent="0.25">
      <c r="A8115" s="2359" t="s">
        <v>10259</v>
      </c>
      <c r="B8115" s="2356" t="s">
        <v>9941</v>
      </c>
      <c r="C8115" s="2356" t="s">
        <v>9941</v>
      </c>
      <c r="D8115" s="2357" t="s">
        <v>10263</v>
      </c>
      <c r="E8115" s="2358" t="s">
        <v>10507</v>
      </c>
      <c r="F8115" s="1666">
        <v>40</v>
      </c>
    </row>
    <row r="8116" spans="1:6" ht="15" customHeight="1" x14ac:dyDescent="0.25">
      <c r="A8116" s="2359" t="s">
        <v>10266</v>
      </c>
      <c r="B8116" s="2356" t="s">
        <v>9941</v>
      </c>
      <c r="C8116" s="2356" t="s">
        <v>9941</v>
      </c>
      <c r="D8116" s="2357" t="s">
        <v>10264</v>
      </c>
      <c r="E8116" s="2358" t="s">
        <v>10507</v>
      </c>
      <c r="F8116" s="1666">
        <v>20</v>
      </c>
    </row>
    <row r="8117" spans="1:6" ht="15" customHeight="1" x14ac:dyDescent="0.25">
      <c r="A8117" s="2359" t="s">
        <v>10266</v>
      </c>
      <c r="B8117" s="2356" t="s">
        <v>9941</v>
      </c>
      <c r="C8117" s="2356" t="s">
        <v>9941</v>
      </c>
      <c r="D8117" s="2357" t="s">
        <v>10265</v>
      </c>
      <c r="E8117" s="2358" t="s">
        <v>10530</v>
      </c>
      <c r="F8117" s="1666">
        <v>125</v>
      </c>
    </row>
    <row r="8118" spans="1:6" ht="15" customHeight="1" x14ac:dyDescent="0.25">
      <c r="A8118" s="2359" t="s">
        <v>10266</v>
      </c>
      <c r="B8118" s="2356" t="s">
        <v>9941</v>
      </c>
      <c r="C8118" s="2356" t="s">
        <v>9941</v>
      </c>
      <c r="D8118" s="2357" t="s">
        <v>10267</v>
      </c>
      <c r="E8118" s="2358" t="s">
        <v>10511</v>
      </c>
      <c r="F8118" s="1666">
        <v>24</v>
      </c>
    </row>
    <row r="8119" spans="1:6" ht="15" customHeight="1" x14ac:dyDescent="0.25">
      <c r="A8119" s="2359" t="s">
        <v>14867</v>
      </c>
      <c r="B8119" s="2356" t="s">
        <v>9941</v>
      </c>
      <c r="C8119" s="2356" t="s">
        <v>9941</v>
      </c>
      <c r="D8119" s="2357" t="s">
        <v>10268</v>
      </c>
      <c r="E8119" s="2358" t="s">
        <v>10530</v>
      </c>
      <c r="F8119" s="1666">
        <v>125</v>
      </c>
    </row>
    <row r="8120" spans="1:6" ht="15" customHeight="1" x14ac:dyDescent="0.25">
      <c r="A8120" s="2359" t="s">
        <v>8115</v>
      </c>
      <c r="B8120" s="2356" t="s">
        <v>9941</v>
      </c>
      <c r="C8120" s="2356" t="s">
        <v>9941</v>
      </c>
      <c r="D8120" s="2357" t="s">
        <v>10269</v>
      </c>
      <c r="E8120" s="2358" t="s">
        <v>3654</v>
      </c>
      <c r="F8120" s="1666">
        <v>0</v>
      </c>
    </row>
    <row r="8121" spans="1:6" ht="15" customHeight="1" x14ac:dyDescent="0.25">
      <c r="A8121" s="2359" t="s">
        <v>14868</v>
      </c>
      <c r="B8121" s="2356" t="s">
        <v>9941</v>
      </c>
      <c r="C8121" s="2356" t="s">
        <v>9941</v>
      </c>
      <c r="D8121" s="2357" t="s">
        <v>10270</v>
      </c>
      <c r="E8121" s="2358" t="s">
        <v>10517</v>
      </c>
      <c r="F8121" s="1666">
        <v>18.899999999999999</v>
      </c>
    </row>
    <row r="8122" spans="1:6" ht="15" customHeight="1" x14ac:dyDescent="0.25">
      <c r="A8122" s="2359" t="s">
        <v>6564</v>
      </c>
      <c r="B8122" s="2356" t="s">
        <v>9941</v>
      </c>
      <c r="C8122" s="2356" t="s">
        <v>9941</v>
      </c>
      <c r="D8122" s="2357" t="s">
        <v>10271</v>
      </c>
      <c r="E8122" s="2358" t="s">
        <v>10530</v>
      </c>
      <c r="F8122" s="1666">
        <v>75</v>
      </c>
    </row>
    <row r="8123" spans="1:6" ht="15" customHeight="1" x14ac:dyDescent="0.25">
      <c r="A8123" s="2359" t="s">
        <v>14869</v>
      </c>
      <c r="B8123" s="2356" t="s">
        <v>9941</v>
      </c>
      <c r="C8123" s="2356" t="s">
        <v>9941</v>
      </c>
      <c r="D8123" s="2357" t="s">
        <v>10272</v>
      </c>
      <c r="E8123" s="2358" t="s">
        <v>10507</v>
      </c>
      <c r="F8123" s="1666">
        <v>30</v>
      </c>
    </row>
    <row r="8124" spans="1:6" ht="15" customHeight="1" x14ac:dyDescent="0.25">
      <c r="A8124" s="2359" t="s">
        <v>10273</v>
      </c>
      <c r="B8124" s="2356" t="s">
        <v>9941</v>
      </c>
      <c r="C8124" s="2356" t="s">
        <v>9941</v>
      </c>
      <c r="D8124" s="2357" t="s">
        <v>10274</v>
      </c>
      <c r="E8124" s="2358" t="s">
        <v>10507</v>
      </c>
      <c r="F8124" s="1666">
        <v>10</v>
      </c>
    </row>
    <row r="8125" spans="1:6" ht="15" customHeight="1" x14ac:dyDescent="0.25">
      <c r="A8125" s="2359" t="s">
        <v>10273</v>
      </c>
      <c r="B8125" s="2356" t="s">
        <v>9941</v>
      </c>
      <c r="C8125" s="2356" t="s">
        <v>9941</v>
      </c>
      <c r="D8125" s="2357" t="s">
        <v>10275</v>
      </c>
      <c r="E8125" s="2358" t="s">
        <v>10517</v>
      </c>
      <c r="F8125" s="1666">
        <v>6.3</v>
      </c>
    </row>
    <row r="8126" spans="1:6" ht="15" customHeight="1" x14ac:dyDescent="0.25">
      <c r="A8126" s="2359" t="s">
        <v>10273</v>
      </c>
      <c r="B8126" s="2356" t="s">
        <v>9941</v>
      </c>
      <c r="C8126" s="2356" t="s">
        <v>9941</v>
      </c>
      <c r="D8126" s="2357" t="s">
        <v>10276</v>
      </c>
      <c r="E8126" s="2358" t="s">
        <v>10536</v>
      </c>
      <c r="F8126" s="1666">
        <v>3</v>
      </c>
    </row>
    <row r="8127" spans="1:6" ht="15" customHeight="1" x14ac:dyDescent="0.25">
      <c r="A8127" s="2359" t="s">
        <v>10273</v>
      </c>
      <c r="B8127" s="2356" t="s">
        <v>9941</v>
      </c>
      <c r="C8127" s="2356" t="s">
        <v>9941</v>
      </c>
      <c r="D8127" s="2357" t="s">
        <v>10277</v>
      </c>
      <c r="E8127" s="2358" t="s">
        <v>10530</v>
      </c>
      <c r="F8127" s="1666">
        <v>125</v>
      </c>
    </row>
    <row r="8128" spans="1:6" ht="15" customHeight="1" x14ac:dyDescent="0.25">
      <c r="A8128" s="2359" t="s">
        <v>10273</v>
      </c>
      <c r="B8128" s="2356" t="s">
        <v>9941</v>
      </c>
      <c r="C8128" s="2356" t="s">
        <v>9941</v>
      </c>
      <c r="D8128" s="2357" t="s">
        <v>10278</v>
      </c>
      <c r="E8128" s="2358" t="s">
        <v>10509</v>
      </c>
      <c r="F8128" s="1666">
        <v>200</v>
      </c>
    </row>
    <row r="8129" spans="1:6" ht="15" customHeight="1" x14ac:dyDescent="0.25">
      <c r="A8129" s="2359" t="s">
        <v>10273</v>
      </c>
      <c r="B8129" s="2356" t="s">
        <v>9941</v>
      </c>
      <c r="C8129" s="2356" t="s">
        <v>9941</v>
      </c>
      <c r="D8129" s="2357" t="s">
        <v>10279</v>
      </c>
      <c r="E8129" s="2358" t="s">
        <v>10530</v>
      </c>
      <c r="F8129" s="1666">
        <v>50</v>
      </c>
    </row>
    <row r="8130" spans="1:6" ht="15" customHeight="1" x14ac:dyDescent="0.25">
      <c r="A8130" s="2359" t="s">
        <v>14870</v>
      </c>
      <c r="B8130" s="2356" t="s">
        <v>9941</v>
      </c>
      <c r="C8130" s="2356" t="s">
        <v>9941</v>
      </c>
      <c r="D8130" s="2357" t="s">
        <v>10280</v>
      </c>
      <c r="E8130" s="2358" t="s">
        <v>8651</v>
      </c>
      <c r="F8130" s="1666">
        <v>23.75</v>
      </c>
    </row>
    <row r="8131" spans="1:6" ht="15" customHeight="1" x14ac:dyDescent="0.25">
      <c r="A8131" s="2359" t="s">
        <v>14871</v>
      </c>
      <c r="B8131" s="2356" t="s">
        <v>9941</v>
      </c>
      <c r="C8131" s="2356" t="s">
        <v>9941</v>
      </c>
      <c r="D8131" s="2357" t="s">
        <v>10281</v>
      </c>
      <c r="E8131" s="2358" t="s">
        <v>10507</v>
      </c>
      <c r="F8131" s="1666">
        <v>20</v>
      </c>
    </row>
    <row r="8132" spans="1:6" ht="15" customHeight="1" x14ac:dyDescent="0.25">
      <c r="A8132" s="2359" t="s">
        <v>14872</v>
      </c>
      <c r="B8132" s="2356" t="s">
        <v>9941</v>
      </c>
      <c r="C8132" s="2356" t="s">
        <v>9941</v>
      </c>
      <c r="D8132" s="2357" t="s">
        <v>10282</v>
      </c>
      <c r="E8132" s="2358" t="s">
        <v>10507</v>
      </c>
      <c r="F8132" s="1666">
        <v>30</v>
      </c>
    </row>
    <row r="8133" spans="1:6" ht="15" customHeight="1" x14ac:dyDescent="0.25">
      <c r="A8133" s="2359" t="s">
        <v>10283</v>
      </c>
      <c r="B8133" s="2356" t="s">
        <v>9941</v>
      </c>
      <c r="C8133" s="2356" t="s">
        <v>9941</v>
      </c>
      <c r="D8133" s="2357" t="s">
        <v>10284</v>
      </c>
      <c r="E8133" s="2358" t="s">
        <v>10530</v>
      </c>
      <c r="F8133" s="1666">
        <v>250</v>
      </c>
    </row>
    <row r="8134" spans="1:6" ht="15" customHeight="1" x14ac:dyDescent="0.25">
      <c r="A8134" s="2359" t="s">
        <v>12693</v>
      </c>
      <c r="B8134" s="2356" t="s">
        <v>9941</v>
      </c>
      <c r="C8134" s="2356" t="s">
        <v>9941</v>
      </c>
      <c r="D8134" s="2357" t="s">
        <v>10285</v>
      </c>
      <c r="E8134" s="2358" t="s">
        <v>10507</v>
      </c>
      <c r="F8134" s="1666">
        <v>50</v>
      </c>
    </row>
    <row r="8135" spans="1:6" ht="15" customHeight="1" x14ac:dyDescent="0.25">
      <c r="A8135" s="2359" t="s">
        <v>14764</v>
      </c>
      <c r="B8135" s="2356" t="s">
        <v>9941</v>
      </c>
      <c r="C8135" s="2356" t="s">
        <v>9941</v>
      </c>
      <c r="D8135" s="2357" t="s">
        <v>10286</v>
      </c>
      <c r="E8135" s="2358" t="s">
        <v>10507</v>
      </c>
      <c r="F8135" s="1666">
        <v>25</v>
      </c>
    </row>
    <row r="8136" spans="1:6" ht="15" customHeight="1" x14ac:dyDescent="0.25">
      <c r="A8136" s="2359" t="s">
        <v>10287</v>
      </c>
      <c r="B8136" s="2356" t="s">
        <v>9941</v>
      </c>
      <c r="C8136" s="2356" t="s">
        <v>9941</v>
      </c>
      <c r="D8136" s="2357" t="s">
        <v>10288</v>
      </c>
      <c r="E8136" s="2358" t="s">
        <v>10507</v>
      </c>
      <c r="F8136" s="1666">
        <v>0</v>
      </c>
    </row>
    <row r="8137" spans="1:6" ht="15" customHeight="1" x14ac:dyDescent="0.25">
      <c r="A8137" s="2359" t="s">
        <v>14873</v>
      </c>
      <c r="B8137" s="2356" t="s">
        <v>9941</v>
      </c>
      <c r="C8137" s="2356" t="s">
        <v>9941</v>
      </c>
      <c r="D8137" s="2357" t="s">
        <v>10289</v>
      </c>
      <c r="E8137" s="2358" t="s">
        <v>10536</v>
      </c>
      <c r="F8137" s="1666">
        <v>0</v>
      </c>
    </row>
    <row r="8138" spans="1:6" ht="15" customHeight="1" x14ac:dyDescent="0.25">
      <c r="A8138" s="2359" t="s">
        <v>14874</v>
      </c>
      <c r="B8138" s="2356" t="s">
        <v>9941</v>
      </c>
      <c r="C8138" s="2356" t="s">
        <v>9941</v>
      </c>
      <c r="D8138" s="2357" t="s">
        <v>10290</v>
      </c>
      <c r="E8138" s="2358" t="s">
        <v>10511</v>
      </c>
      <c r="F8138" s="1666">
        <v>18</v>
      </c>
    </row>
    <row r="8139" spans="1:6" ht="15" customHeight="1" x14ac:dyDescent="0.25">
      <c r="A8139" s="2359" t="s">
        <v>10291</v>
      </c>
      <c r="B8139" s="2356" t="s">
        <v>9941</v>
      </c>
      <c r="C8139" s="2356" t="s">
        <v>9941</v>
      </c>
      <c r="D8139" s="2357" t="s">
        <v>10292</v>
      </c>
      <c r="E8139" s="2358" t="s">
        <v>10536</v>
      </c>
      <c r="F8139" s="1666">
        <v>18</v>
      </c>
    </row>
    <row r="8140" spans="1:6" ht="15" customHeight="1" x14ac:dyDescent="0.25">
      <c r="A8140" s="2359" t="s">
        <v>6520</v>
      </c>
      <c r="B8140" s="2356" t="s">
        <v>9941</v>
      </c>
      <c r="C8140" s="2356" t="s">
        <v>9941</v>
      </c>
      <c r="D8140" s="2357" t="s">
        <v>10293</v>
      </c>
      <c r="E8140" s="2358" t="s">
        <v>10511</v>
      </c>
      <c r="F8140" s="1666">
        <v>12</v>
      </c>
    </row>
    <row r="8141" spans="1:6" ht="15" customHeight="1" x14ac:dyDescent="0.25">
      <c r="A8141" s="2359" t="s">
        <v>6520</v>
      </c>
      <c r="B8141" s="2356" t="s">
        <v>9941</v>
      </c>
      <c r="C8141" s="2356" t="s">
        <v>9941</v>
      </c>
      <c r="D8141" s="2357" t="s">
        <v>10294</v>
      </c>
      <c r="E8141" s="2358" t="s">
        <v>10511</v>
      </c>
      <c r="F8141" s="1666">
        <v>24</v>
      </c>
    </row>
    <row r="8142" spans="1:6" ht="15" customHeight="1" x14ac:dyDescent="0.25">
      <c r="A8142" s="2359" t="s">
        <v>6520</v>
      </c>
      <c r="B8142" s="2356" t="s">
        <v>9941</v>
      </c>
      <c r="C8142" s="2356" t="s">
        <v>9941</v>
      </c>
      <c r="D8142" s="2357" t="s">
        <v>10295</v>
      </c>
      <c r="E8142" s="2358" t="s">
        <v>10507</v>
      </c>
      <c r="F8142" s="1666">
        <v>95</v>
      </c>
    </row>
    <row r="8143" spans="1:6" ht="15" customHeight="1" x14ac:dyDescent="0.25">
      <c r="A8143" s="2359" t="s">
        <v>6520</v>
      </c>
      <c r="B8143" s="2356" t="s">
        <v>9941</v>
      </c>
      <c r="C8143" s="2356" t="s">
        <v>9941</v>
      </c>
      <c r="D8143" s="2357" t="s">
        <v>10296</v>
      </c>
      <c r="E8143" s="2358" t="s">
        <v>10507</v>
      </c>
      <c r="F8143" s="1666">
        <v>95</v>
      </c>
    </row>
    <row r="8144" spans="1:6" ht="15" customHeight="1" x14ac:dyDescent="0.25">
      <c r="A8144" s="2359" t="s">
        <v>6520</v>
      </c>
      <c r="B8144" s="2356" t="s">
        <v>9941</v>
      </c>
      <c r="C8144" s="2356" t="s">
        <v>9941</v>
      </c>
      <c r="D8144" s="2357" t="s">
        <v>10297</v>
      </c>
      <c r="E8144" s="2358" t="s">
        <v>10534</v>
      </c>
      <c r="F8144" s="1666">
        <v>96</v>
      </c>
    </row>
    <row r="8145" spans="1:6" ht="15" customHeight="1" x14ac:dyDescent="0.25">
      <c r="A8145" s="2359" t="s">
        <v>10298</v>
      </c>
      <c r="B8145" s="2356" t="s">
        <v>9941</v>
      </c>
      <c r="C8145" s="2356" t="s">
        <v>9941</v>
      </c>
      <c r="D8145" s="2357" t="s">
        <v>10299</v>
      </c>
      <c r="E8145" s="2358" t="s">
        <v>10530</v>
      </c>
      <c r="F8145" s="1666">
        <v>125</v>
      </c>
    </row>
    <row r="8146" spans="1:6" ht="15" customHeight="1" x14ac:dyDescent="0.25">
      <c r="A8146" s="2359" t="s">
        <v>7792</v>
      </c>
      <c r="B8146" s="2356" t="s">
        <v>9941</v>
      </c>
      <c r="C8146" s="2356" t="s">
        <v>9941</v>
      </c>
      <c r="D8146" s="2357" t="s">
        <v>10300</v>
      </c>
      <c r="E8146" s="2358" t="s">
        <v>10520</v>
      </c>
      <c r="F8146" s="1666">
        <v>4</v>
      </c>
    </row>
    <row r="8147" spans="1:6" ht="15" customHeight="1" x14ac:dyDescent="0.25">
      <c r="A8147" s="2359" t="s">
        <v>14875</v>
      </c>
      <c r="B8147" s="2356" t="s">
        <v>9941</v>
      </c>
      <c r="C8147" s="2356" t="s">
        <v>9941</v>
      </c>
      <c r="D8147" s="2357" t="s">
        <v>10301</v>
      </c>
      <c r="E8147" s="2358" t="s">
        <v>10511</v>
      </c>
      <c r="F8147" s="1666">
        <v>24</v>
      </c>
    </row>
    <row r="8148" spans="1:6" ht="15" customHeight="1" x14ac:dyDescent="0.25">
      <c r="A8148" s="2359" t="s">
        <v>14876</v>
      </c>
      <c r="B8148" s="2356" t="s">
        <v>9941</v>
      </c>
      <c r="C8148" s="2356" t="s">
        <v>9941</v>
      </c>
      <c r="D8148" s="2357" t="s">
        <v>10302</v>
      </c>
      <c r="E8148" s="2358" t="s">
        <v>10507</v>
      </c>
      <c r="F8148" s="1666">
        <v>60</v>
      </c>
    </row>
    <row r="8149" spans="1:6" ht="15" customHeight="1" x14ac:dyDescent="0.25">
      <c r="A8149" s="2359" t="s">
        <v>14877</v>
      </c>
      <c r="B8149" s="2356" t="s">
        <v>9941</v>
      </c>
      <c r="C8149" s="2356" t="s">
        <v>9941</v>
      </c>
      <c r="D8149" s="2357" t="s">
        <v>10303</v>
      </c>
      <c r="E8149" s="2358" t="s">
        <v>10536</v>
      </c>
      <c r="F8149" s="1666">
        <v>15</v>
      </c>
    </row>
    <row r="8150" spans="1:6" ht="15" customHeight="1" x14ac:dyDescent="0.25">
      <c r="A8150" s="2359" t="s">
        <v>4413</v>
      </c>
      <c r="B8150" s="2356" t="s">
        <v>9941</v>
      </c>
      <c r="C8150" s="2356" t="s">
        <v>9941</v>
      </c>
      <c r="D8150" s="2357" t="s">
        <v>10304</v>
      </c>
      <c r="E8150" s="2358" t="s">
        <v>10507</v>
      </c>
      <c r="F8150" s="1666">
        <v>100</v>
      </c>
    </row>
    <row r="8151" spans="1:6" ht="15" customHeight="1" x14ac:dyDescent="0.25">
      <c r="A8151" s="2359" t="s">
        <v>14878</v>
      </c>
      <c r="B8151" s="2356" t="s">
        <v>9941</v>
      </c>
      <c r="C8151" s="2356" t="s">
        <v>9941</v>
      </c>
      <c r="D8151" s="2357" t="s">
        <v>10305</v>
      </c>
      <c r="E8151" s="2358" t="s">
        <v>10517</v>
      </c>
      <c r="F8151" s="1666">
        <v>12.6</v>
      </c>
    </row>
    <row r="8152" spans="1:6" ht="15" customHeight="1" x14ac:dyDescent="0.25">
      <c r="A8152" s="2359" t="s">
        <v>14879</v>
      </c>
      <c r="B8152" s="2356" t="s">
        <v>9941</v>
      </c>
      <c r="C8152" s="2356" t="s">
        <v>9941</v>
      </c>
      <c r="D8152" s="2357" t="s">
        <v>10306</v>
      </c>
      <c r="E8152" s="2358" t="s">
        <v>10511</v>
      </c>
      <c r="F8152" s="1666">
        <v>9</v>
      </c>
    </row>
    <row r="8153" spans="1:6" ht="15" customHeight="1" x14ac:dyDescent="0.25">
      <c r="A8153" s="2359" t="s">
        <v>10307</v>
      </c>
      <c r="B8153" s="2356" t="s">
        <v>9941</v>
      </c>
      <c r="C8153" s="2356" t="s">
        <v>9941</v>
      </c>
      <c r="D8153" s="2357" t="s">
        <v>10308</v>
      </c>
      <c r="E8153" s="2358" t="s">
        <v>10507</v>
      </c>
      <c r="F8153" s="1666">
        <v>70</v>
      </c>
    </row>
    <row r="8154" spans="1:6" ht="15" customHeight="1" x14ac:dyDescent="0.25">
      <c r="A8154" s="2359" t="s">
        <v>10307</v>
      </c>
      <c r="B8154" s="2356" t="s">
        <v>9941</v>
      </c>
      <c r="C8154" s="2356" t="s">
        <v>9941</v>
      </c>
      <c r="D8154" s="2357" t="s">
        <v>10309</v>
      </c>
      <c r="E8154" s="2358" t="s">
        <v>10507</v>
      </c>
      <c r="F8154" s="1666">
        <v>70</v>
      </c>
    </row>
    <row r="8155" spans="1:6" ht="15" customHeight="1" x14ac:dyDescent="0.25">
      <c r="A8155" s="2359" t="s">
        <v>14880</v>
      </c>
      <c r="B8155" s="2356" t="s">
        <v>9941</v>
      </c>
      <c r="C8155" s="2356" t="s">
        <v>9941</v>
      </c>
      <c r="D8155" s="2357" t="s">
        <v>10310</v>
      </c>
      <c r="E8155" s="2358" t="s">
        <v>10530</v>
      </c>
      <c r="F8155" s="1666">
        <v>250</v>
      </c>
    </row>
    <row r="8156" spans="1:6" ht="15" customHeight="1" x14ac:dyDescent="0.25">
      <c r="A8156" s="2359" t="s">
        <v>4622</v>
      </c>
      <c r="B8156" s="2356" t="s">
        <v>9941</v>
      </c>
      <c r="C8156" s="2356" t="s">
        <v>9941</v>
      </c>
      <c r="D8156" s="2357" t="s">
        <v>10311</v>
      </c>
      <c r="E8156" s="2358" t="s">
        <v>10517</v>
      </c>
      <c r="F8156" s="1666">
        <v>12.6</v>
      </c>
    </row>
    <row r="8157" spans="1:6" ht="15" customHeight="1" x14ac:dyDescent="0.25">
      <c r="A8157" s="2359" t="s">
        <v>4622</v>
      </c>
      <c r="B8157" s="2356" t="s">
        <v>9941</v>
      </c>
      <c r="C8157" s="2356" t="s">
        <v>9941</v>
      </c>
      <c r="D8157" s="2357" t="s">
        <v>10312</v>
      </c>
      <c r="E8157" s="2358" t="s">
        <v>10534</v>
      </c>
      <c r="F8157" s="1666">
        <v>16</v>
      </c>
    </row>
    <row r="8158" spans="1:6" ht="15" customHeight="1" x14ac:dyDescent="0.25">
      <c r="A8158" s="2359" t="s">
        <v>14881</v>
      </c>
      <c r="B8158" s="2356" t="s">
        <v>9941</v>
      </c>
      <c r="C8158" s="2356" t="s">
        <v>9941</v>
      </c>
      <c r="D8158" s="2357" t="s">
        <v>10313</v>
      </c>
      <c r="E8158" s="2358" t="s">
        <v>10517</v>
      </c>
      <c r="F8158" s="1666">
        <v>37.799999999999997</v>
      </c>
    </row>
    <row r="8159" spans="1:6" ht="15" customHeight="1" x14ac:dyDescent="0.25">
      <c r="A8159" s="2359" t="s">
        <v>7475</v>
      </c>
      <c r="B8159" s="2356" t="s">
        <v>9941</v>
      </c>
      <c r="C8159" s="2356" t="s">
        <v>9941</v>
      </c>
      <c r="D8159" s="2357" t="s">
        <v>10314</v>
      </c>
      <c r="E8159" s="2358" t="s">
        <v>10507</v>
      </c>
      <c r="F8159" s="1666">
        <v>30</v>
      </c>
    </row>
    <row r="8160" spans="1:6" ht="15" customHeight="1" x14ac:dyDescent="0.25">
      <c r="A8160" s="2359" t="s">
        <v>10316</v>
      </c>
      <c r="B8160" s="2356" t="s">
        <v>9941</v>
      </c>
      <c r="C8160" s="2356" t="s">
        <v>9941</v>
      </c>
      <c r="D8160" s="2357" t="s">
        <v>10315</v>
      </c>
      <c r="E8160" s="2358" t="s">
        <v>10511</v>
      </c>
      <c r="F8160" s="1666">
        <v>30</v>
      </c>
    </row>
    <row r="8161" spans="1:6" ht="15" customHeight="1" x14ac:dyDescent="0.25">
      <c r="A8161" s="2359" t="s">
        <v>10316</v>
      </c>
      <c r="B8161" s="2356" t="s">
        <v>9941</v>
      </c>
      <c r="C8161" s="2356" t="s">
        <v>9941</v>
      </c>
      <c r="D8161" s="2357" t="s">
        <v>10317</v>
      </c>
      <c r="E8161" s="2358" t="s">
        <v>10507</v>
      </c>
      <c r="F8161" s="1666">
        <v>40</v>
      </c>
    </row>
    <row r="8162" spans="1:6" ht="15" customHeight="1" x14ac:dyDescent="0.25">
      <c r="A8162" s="2359" t="s">
        <v>10316</v>
      </c>
      <c r="B8162" s="2356" t="s">
        <v>9941</v>
      </c>
      <c r="C8162" s="2356" t="s">
        <v>9941</v>
      </c>
      <c r="D8162" s="2357" t="s">
        <v>10318</v>
      </c>
      <c r="E8162" s="2358" t="s">
        <v>10507</v>
      </c>
      <c r="F8162" s="1666">
        <v>40</v>
      </c>
    </row>
    <row r="8163" spans="1:6" ht="15" customHeight="1" x14ac:dyDescent="0.25">
      <c r="A8163" s="2359" t="s">
        <v>10320</v>
      </c>
      <c r="B8163" s="2356" t="s">
        <v>9941</v>
      </c>
      <c r="C8163" s="2356" t="s">
        <v>9941</v>
      </c>
      <c r="D8163" s="2357" t="s">
        <v>10319</v>
      </c>
      <c r="E8163" s="2358" t="s">
        <v>10530</v>
      </c>
      <c r="F8163" s="1666">
        <v>0</v>
      </c>
    </row>
    <row r="8164" spans="1:6" ht="15" customHeight="1" x14ac:dyDescent="0.25">
      <c r="A8164" s="2359" t="s">
        <v>10320</v>
      </c>
      <c r="B8164" s="2356" t="s">
        <v>9941</v>
      </c>
      <c r="C8164" s="2356" t="s">
        <v>9941</v>
      </c>
      <c r="D8164" s="2357" t="s">
        <v>10321</v>
      </c>
      <c r="E8164" s="2358" t="s">
        <v>10530</v>
      </c>
      <c r="F8164" s="1666">
        <v>0</v>
      </c>
    </row>
    <row r="8165" spans="1:6" ht="15" customHeight="1" x14ac:dyDescent="0.25">
      <c r="A8165" s="2359" t="s">
        <v>14882</v>
      </c>
      <c r="B8165" s="2356" t="s">
        <v>9941</v>
      </c>
      <c r="C8165" s="2356" t="s">
        <v>9941</v>
      </c>
      <c r="D8165" s="2357" t="s">
        <v>10322</v>
      </c>
      <c r="E8165" s="2358" t="s">
        <v>10530</v>
      </c>
      <c r="F8165" s="1666">
        <v>37.5</v>
      </c>
    </row>
    <row r="8166" spans="1:6" ht="15" customHeight="1" x14ac:dyDescent="0.25">
      <c r="A8166" s="2359" t="s">
        <v>14883</v>
      </c>
      <c r="B8166" s="2356" t="s">
        <v>9941</v>
      </c>
      <c r="C8166" s="2356" t="s">
        <v>9941</v>
      </c>
      <c r="D8166" s="2357" t="s">
        <v>10323</v>
      </c>
      <c r="E8166" s="2358" t="s">
        <v>10536</v>
      </c>
      <c r="F8166" s="1666">
        <v>7.5</v>
      </c>
    </row>
    <row r="8167" spans="1:6" ht="15" customHeight="1" x14ac:dyDescent="0.25">
      <c r="A8167" s="2359" t="s">
        <v>14884</v>
      </c>
      <c r="B8167" s="2356" t="s">
        <v>9941</v>
      </c>
      <c r="C8167" s="2356" t="s">
        <v>9941</v>
      </c>
      <c r="D8167" s="2357" t="s">
        <v>10324</v>
      </c>
      <c r="E8167" s="2358" t="s">
        <v>10511</v>
      </c>
      <c r="F8167" s="1666">
        <v>12</v>
      </c>
    </row>
    <row r="8168" spans="1:6" ht="15" customHeight="1" x14ac:dyDescent="0.25">
      <c r="A8168" s="2359" t="s">
        <v>10325</v>
      </c>
      <c r="B8168" s="2356" t="s">
        <v>9941</v>
      </c>
      <c r="C8168" s="2356" t="s">
        <v>9941</v>
      </c>
      <c r="D8168" s="2357" t="s">
        <v>10326</v>
      </c>
      <c r="E8168" s="2358" t="s">
        <v>10536</v>
      </c>
      <c r="F8168" s="1666">
        <v>3</v>
      </c>
    </row>
    <row r="8169" spans="1:6" ht="15" customHeight="1" x14ac:dyDescent="0.25">
      <c r="A8169" s="2359" t="s">
        <v>14885</v>
      </c>
      <c r="B8169" s="2356" t="s">
        <v>9941</v>
      </c>
      <c r="C8169" s="2356" t="s">
        <v>9941</v>
      </c>
      <c r="D8169" s="2357" t="s">
        <v>10327</v>
      </c>
      <c r="E8169" s="2358" t="s">
        <v>10517</v>
      </c>
      <c r="F8169" s="1666">
        <v>12.6</v>
      </c>
    </row>
    <row r="8170" spans="1:6" ht="15" customHeight="1" x14ac:dyDescent="0.25">
      <c r="A8170" s="2359" t="s">
        <v>10329</v>
      </c>
      <c r="B8170" s="2356" t="s">
        <v>9941</v>
      </c>
      <c r="C8170" s="2356" t="s">
        <v>9941</v>
      </c>
      <c r="D8170" s="2357" t="s">
        <v>10328</v>
      </c>
      <c r="E8170" s="2358" t="s">
        <v>10530</v>
      </c>
      <c r="F8170" s="1666">
        <v>0</v>
      </c>
    </row>
    <row r="8171" spans="1:6" ht="15" customHeight="1" x14ac:dyDescent="0.25">
      <c r="A8171" s="2359" t="s">
        <v>10329</v>
      </c>
      <c r="B8171" s="2356" t="s">
        <v>9941</v>
      </c>
      <c r="C8171" s="2356" t="s">
        <v>9941</v>
      </c>
      <c r="D8171" s="2357" t="s">
        <v>10330</v>
      </c>
      <c r="E8171" s="2358" t="s">
        <v>10530</v>
      </c>
      <c r="F8171" s="1666">
        <v>125</v>
      </c>
    </row>
    <row r="8172" spans="1:6" ht="15" customHeight="1" x14ac:dyDescent="0.25">
      <c r="A8172" s="2359" t="s">
        <v>14886</v>
      </c>
      <c r="B8172" s="2356" t="s">
        <v>9941</v>
      </c>
      <c r="C8172" s="2356" t="s">
        <v>9941</v>
      </c>
      <c r="D8172" s="2357" t="s">
        <v>10331</v>
      </c>
      <c r="E8172" s="2358" t="s">
        <v>10530</v>
      </c>
      <c r="F8172" s="1666">
        <v>100</v>
      </c>
    </row>
    <row r="8173" spans="1:6" ht="15" customHeight="1" x14ac:dyDescent="0.25">
      <c r="A8173" s="2359" t="s">
        <v>14887</v>
      </c>
      <c r="B8173" s="2356" t="s">
        <v>9941</v>
      </c>
      <c r="C8173" s="2356" t="s">
        <v>9941</v>
      </c>
      <c r="D8173" s="2357" t="s">
        <v>10332</v>
      </c>
      <c r="E8173" s="2358" t="s">
        <v>10530</v>
      </c>
      <c r="F8173" s="1666">
        <v>100</v>
      </c>
    </row>
    <row r="8174" spans="1:6" ht="15" customHeight="1" x14ac:dyDescent="0.25">
      <c r="A8174" s="2359" t="s">
        <v>14888</v>
      </c>
      <c r="B8174" s="2356" t="s">
        <v>9941</v>
      </c>
      <c r="C8174" s="2356" t="s">
        <v>9941</v>
      </c>
      <c r="D8174" s="2357" t="s">
        <v>10333</v>
      </c>
      <c r="E8174" s="2358" t="s">
        <v>10507</v>
      </c>
      <c r="F8174" s="1666">
        <v>80</v>
      </c>
    </row>
    <row r="8175" spans="1:6" ht="15" customHeight="1" x14ac:dyDescent="0.25">
      <c r="A8175" s="2359" t="s">
        <v>10334</v>
      </c>
      <c r="B8175" s="2356" t="s">
        <v>9941</v>
      </c>
      <c r="C8175" s="2356" t="s">
        <v>9941</v>
      </c>
      <c r="D8175" s="2357" t="s">
        <v>10335</v>
      </c>
      <c r="E8175" s="2358" t="s">
        <v>10511</v>
      </c>
      <c r="F8175" s="1666">
        <v>30</v>
      </c>
    </row>
    <row r="8176" spans="1:6" ht="15" customHeight="1" x14ac:dyDescent="0.25">
      <c r="A8176" s="2359" t="s">
        <v>14889</v>
      </c>
      <c r="B8176" s="2356" t="s">
        <v>9941</v>
      </c>
      <c r="C8176" s="2356" t="s">
        <v>9941</v>
      </c>
      <c r="D8176" s="2357" t="s">
        <v>10336</v>
      </c>
      <c r="E8176" s="2358" t="s">
        <v>10507</v>
      </c>
      <c r="F8176" s="1666">
        <v>60</v>
      </c>
    </row>
    <row r="8177" spans="1:6" ht="15" customHeight="1" x14ac:dyDescent="0.25">
      <c r="A8177" s="2359" t="s">
        <v>7882</v>
      </c>
      <c r="B8177" s="2356" t="s">
        <v>9941</v>
      </c>
      <c r="C8177" s="2356" t="s">
        <v>9941</v>
      </c>
      <c r="D8177" s="2357" t="s">
        <v>10337</v>
      </c>
      <c r="E8177" s="2358" t="s">
        <v>10534</v>
      </c>
      <c r="F8177" s="1666">
        <v>144</v>
      </c>
    </row>
    <row r="8178" spans="1:6" ht="15" customHeight="1" x14ac:dyDescent="0.25">
      <c r="A8178" s="2359" t="s">
        <v>7882</v>
      </c>
      <c r="B8178" s="2356" t="s">
        <v>9941</v>
      </c>
      <c r="C8178" s="2356" t="s">
        <v>9941</v>
      </c>
      <c r="D8178" s="2357" t="s">
        <v>10338</v>
      </c>
      <c r="E8178" s="2358" t="s">
        <v>10534</v>
      </c>
      <c r="F8178" s="1666">
        <v>16</v>
      </c>
    </row>
    <row r="8179" spans="1:6" ht="15" customHeight="1" x14ac:dyDescent="0.25">
      <c r="A8179" s="2359" t="s">
        <v>7882</v>
      </c>
      <c r="B8179" s="2356" t="s">
        <v>9941</v>
      </c>
      <c r="C8179" s="2356" t="s">
        <v>9941</v>
      </c>
      <c r="D8179" s="2357" t="s">
        <v>10339</v>
      </c>
      <c r="E8179" s="2358" t="s">
        <v>13677</v>
      </c>
      <c r="F8179" s="1666">
        <v>36</v>
      </c>
    </row>
    <row r="8180" spans="1:6" ht="15" customHeight="1" x14ac:dyDescent="0.25">
      <c r="A8180" s="2359" t="s">
        <v>7882</v>
      </c>
      <c r="B8180" s="2356" t="s">
        <v>9941</v>
      </c>
      <c r="C8180" s="2356" t="s">
        <v>9941</v>
      </c>
      <c r="D8180" s="2357" t="s">
        <v>10340</v>
      </c>
      <c r="E8180" s="2358" t="s">
        <v>10530</v>
      </c>
      <c r="F8180" s="1666">
        <v>87.5</v>
      </c>
    </row>
    <row r="8181" spans="1:6" ht="15" customHeight="1" x14ac:dyDescent="0.25">
      <c r="A8181" s="2359" t="s">
        <v>6420</v>
      </c>
      <c r="B8181" s="2356" t="s">
        <v>9941</v>
      </c>
      <c r="C8181" s="2356" t="s">
        <v>9941</v>
      </c>
      <c r="D8181" s="2357" t="s">
        <v>10341</v>
      </c>
      <c r="E8181" s="2358" t="s">
        <v>10530</v>
      </c>
      <c r="F8181" s="1666">
        <v>100</v>
      </c>
    </row>
    <row r="8182" spans="1:6" ht="15" customHeight="1" x14ac:dyDescent="0.25">
      <c r="A8182" s="2359" t="s">
        <v>14890</v>
      </c>
      <c r="B8182" s="2356" t="s">
        <v>9941</v>
      </c>
      <c r="C8182" s="2356" t="s">
        <v>9941</v>
      </c>
      <c r="D8182" s="2357" t="s">
        <v>10342</v>
      </c>
      <c r="E8182" s="2358" t="s">
        <v>10536</v>
      </c>
      <c r="F8182" s="1666">
        <v>12</v>
      </c>
    </row>
    <row r="8183" spans="1:6" ht="15" customHeight="1" x14ac:dyDescent="0.25">
      <c r="A8183" s="2359" t="s">
        <v>8146</v>
      </c>
      <c r="B8183" s="2356" t="s">
        <v>9941</v>
      </c>
      <c r="C8183" s="2356" t="s">
        <v>9941</v>
      </c>
      <c r="D8183" s="2357" t="s">
        <v>10343</v>
      </c>
      <c r="E8183" s="2358" t="s">
        <v>10511</v>
      </c>
      <c r="F8183" s="1666">
        <v>18</v>
      </c>
    </row>
    <row r="8184" spans="1:6" ht="15" customHeight="1" x14ac:dyDescent="0.25">
      <c r="A8184" s="2359" t="s">
        <v>4391</v>
      </c>
      <c r="B8184" s="2356" t="s">
        <v>9941</v>
      </c>
      <c r="C8184" s="2356" t="s">
        <v>9941</v>
      </c>
      <c r="D8184" s="2357" t="s">
        <v>10344</v>
      </c>
      <c r="E8184" s="2358" t="s">
        <v>10530</v>
      </c>
      <c r="F8184" s="1666">
        <v>100</v>
      </c>
    </row>
    <row r="8185" spans="1:6" ht="15" customHeight="1" x14ac:dyDescent="0.25">
      <c r="A8185" s="2359" t="s">
        <v>4391</v>
      </c>
      <c r="B8185" s="2356" t="s">
        <v>9941</v>
      </c>
      <c r="C8185" s="2356" t="s">
        <v>9941</v>
      </c>
      <c r="D8185" s="2357" t="s">
        <v>10345</v>
      </c>
      <c r="E8185" s="2358" t="s">
        <v>10536</v>
      </c>
      <c r="F8185" s="1666">
        <v>12</v>
      </c>
    </row>
    <row r="8186" spans="1:6" ht="15" customHeight="1" x14ac:dyDescent="0.25">
      <c r="A8186" s="2359" t="s">
        <v>4391</v>
      </c>
      <c r="B8186" s="2356" t="s">
        <v>9941</v>
      </c>
      <c r="C8186" s="2356" t="s">
        <v>9941</v>
      </c>
      <c r="D8186" s="2357" t="s">
        <v>10346</v>
      </c>
      <c r="E8186" s="2358" t="s">
        <v>10511</v>
      </c>
      <c r="F8186" s="1666">
        <v>6</v>
      </c>
    </row>
    <row r="8187" spans="1:6" ht="15" customHeight="1" x14ac:dyDescent="0.25">
      <c r="A8187" s="2359" t="s">
        <v>4391</v>
      </c>
      <c r="B8187" s="2356" t="s">
        <v>9941</v>
      </c>
      <c r="C8187" s="2356" t="s">
        <v>9941</v>
      </c>
      <c r="D8187" s="2357" t="s">
        <v>10347</v>
      </c>
      <c r="E8187" s="2358" t="s">
        <v>10530</v>
      </c>
      <c r="F8187" s="1666">
        <v>625</v>
      </c>
    </row>
    <row r="8188" spans="1:6" ht="15" customHeight="1" x14ac:dyDescent="0.25">
      <c r="A8188" s="2359" t="s">
        <v>10348</v>
      </c>
      <c r="B8188" s="2356" t="s">
        <v>9941</v>
      </c>
      <c r="C8188" s="2356" t="s">
        <v>9941</v>
      </c>
      <c r="D8188" s="2357" t="s">
        <v>10349</v>
      </c>
      <c r="E8188" s="2358" t="s">
        <v>10517</v>
      </c>
      <c r="F8188" s="1666">
        <v>6.3</v>
      </c>
    </row>
    <row r="8189" spans="1:6" ht="15" customHeight="1" x14ac:dyDescent="0.25">
      <c r="A8189" s="2359" t="s">
        <v>10350</v>
      </c>
      <c r="B8189" s="2356" t="s">
        <v>9941</v>
      </c>
      <c r="C8189" s="2356" t="s">
        <v>9941</v>
      </c>
      <c r="D8189" s="2357" t="s">
        <v>10351</v>
      </c>
      <c r="E8189" s="2358" t="s">
        <v>10511</v>
      </c>
      <c r="F8189" s="1666">
        <v>30</v>
      </c>
    </row>
    <row r="8190" spans="1:6" ht="15" customHeight="1" x14ac:dyDescent="0.25">
      <c r="A8190" s="2359" t="s">
        <v>10350</v>
      </c>
      <c r="B8190" s="2356" t="s">
        <v>9941</v>
      </c>
      <c r="C8190" s="2356" t="s">
        <v>9941</v>
      </c>
      <c r="D8190" s="2357" t="s">
        <v>10352</v>
      </c>
      <c r="E8190" s="2358" t="s">
        <v>3654</v>
      </c>
      <c r="F8190" s="1666">
        <v>0</v>
      </c>
    </row>
    <row r="8191" spans="1:6" ht="15" customHeight="1" x14ac:dyDescent="0.25">
      <c r="A8191" s="2359" t="s">
        <v>14891</v>
      </c>
      <c r="B8191" s="2356" t="s">
        <v>9941</v>
      </c>
      <c r="C8191" s="2356" t="s">
        <v>9941</v>
      </c>
      <c r="D8191" s="2357" t="s">
        <v>10353</v>
      </c>
      <c r="E8191" s="2358" t="s">
        <v>10507</v>
      </c>
      <c r="F8191" s="1666">
        <v>0</v>
      </c>
    </row>
    <row r="8192" spans="1:6" ht="15" customHeight="1" x14ac:dyDescent="0.25">
      <c r="A8192" s="2359" t="s">
        <v>10354</v>
      </c>
      <c r="B8192" s="2356" t="s">
        <v>9941</v>
      </c>
      <c r="C8192" s="2356" t="s">
        <v>9941</v>
      </c>
      <c r="D8192" s="2357" t="s">
        <v>10355</v>
      </c>
      <c r="E8192" s="2358" t="s">
        <v>10530</v>
      </c>
      <c r="F8192" s="1666">
        <v>100</v>
      </c>
    </row>
    <row r="8193" spans="1:6" ht="15" customHeight="1" x14ac:dyDescent="0.25">
      <c r="A8193" s="2359" t="s">
        <v>3741</v>
      </c>
      <c r="B8193" s="2356" t="s">
        <v>9941</v>
      </c>
      <c r="C8193" s="2356" t="s">
        <v>9941</v>
      </c>
      <c r="D8193" s="2357" t="s">
        <v>10356</v>
      </c>
      <c r="E8193" s="2358" t="s">
        <v>10511</v>
      </c>
      <c r="F8193" s="1666">
        <v>30</v>
      </c>
    </row>
    <row r="8194" spans="1:6" ht="15" customHeight="1" x14ac:dyDescent="0.25">
      <c r="A8194" s="2359" t="s">
        <v>3741</v>
      </c>
      <c r="B8194" s="2356" t="s">
        <v>9941</v>
      </c>
      <c r="C8194" s="2356" t="s">
        <v>9941</v>
      </c>
      <c r="D8194" s="2357" t="s">
        <v>10357</v>
      </c>
      <c r="E8194" s="2358" t="s">
        <v>10530</v>
      </c>
      <c r="F8194" s="1666">
        <v>125</v>
      </c>
    </row>
    <row r="8195" spans="1:6" ht="15" customHeight="1" x14ac:dyDescent="0.25">
      <c r="A8195" s="2359" t="s">
        <v>14892</v>
      </c>
      <c r="B8195" s="2356" t="s">
        <v>9941</v>
      </c>
      <c r="C8195" s="2356" t="s">
        <v>9941</v>
      </c>
      <c r="D8195" s="2357" t="s">
        <v>10358</v>
      </c>
      <c r="E8195" s="2358" t="s">
        <v>10517</v>
      </c>
      <c r="F8195" s="1666">
        <v>18.899999999999999</v>
      </c>
    </row>
    <row r="8196" spans="1:6" ht="15" customHeight="1" x14ac:dyDescent="0.25">
      <c r="A8196" s="2359" t="s">
        <v>14893</v>
      </c>
      <c r="B8196" s="2356" t="s">
        <v>9941</v>
      </c>
      <c r="C8196" s="2356" t="s">
        <v>9941</v>
      </c>
      <c r="D8196" s="2357" t="s">
        <v>10359</v>
      </c>
      <c r="E8196" s="2358" t="s">
        <v>10530</v>
      </c>
      <c r="F8196" s="1666">
        <v>100</v>
      </c>
    </row>
    <row r="8197" spans="1:6" ht="15" customHeight="1" x14ac:dyDescent="0.25">
      <c r="A8197" s="2359" t="s">
        <v>9961</v>
      </c>
      <c r="B8197" s="2356" t="s">
        <v>9941</v>
      </c>
      <c r="C8197" s="2356" t="s">
        <v>9941</v>
      </c>
      <c r="D8197" s="2357" t="s">
        <v>10360</v>
      </c>
      <c r="E8197" s="2358" t="s">
        <v>10507</v>
      </c>
      <c r="F8197" s="1666">
        <v>30</v>
      </c>
    </row>
    <row r="8198" spans="1:6" ht="15" customHeight="1" x14ac:dyDescent="0.25">
      <c r="A8198" s="2359" t="s">
        <v>10364</v>
      </c>
      <c r="B8198" s="2356" t="s">
        <v>9941</v>
      </c>
      <c r="C8198" s="2356" t="s">
        <v>9941</v>
      </c>
      <c r="D8198" s="2357" t="s">
        <v>10361</v>
      </c>
      <c r="E8198" s="2358" t="s">
        <v>10509</v>
      </c>
      <c r="F8198" s="1666">
        <v>400</v>
      </c>
    </row>
    <row r="8199" spans="1:6" ht="15" customHeight="1" x14ac:dyDescent="0.25">
      <c r="A8199" s="2359" t="s">
        <v>10364</v>
      </c>
      <c r="B8199" s="2356" t="s">
        <v>9941</v>
      </c>
      <c r="C8199" s="2356" t="s">
        <v>9941</v>
      </c>
      <c r="D8199" s="2357" t="s">
        <v>10362</v>
      </c>
      <c r="E8199" s="2358" t="s">
        <v>10530</v>
      </c>
      <c r="F8199" s="1666">
        <v>25</v>
      </c>
    </row>
    <row r="8200" spans="1:6" ht="15" customHeight="1" x14ac:dyDescent="0.25">
      <c r="A8200" s="2359" t="s">
        <v>10364</v>
      </c>
      <c r="B8200" s="2356" t="s">
        <v>9941</v>
      </c>
      <c r="C8200" s="2356" t="s">
        <v>9941</v>
      </c>
      <c r="D8200" s="2357" t="s">
        <v>10363</v>
      </c>
      <c r="E8200" s="2358" t="s">
        <v>10530</v>
      </c>
      <c r="F8200" s="1666">
        <v>0</v>
      </c>
    </row>
    <row r="8201" spans="1:6" ht="15" customHeight="1" x14ac:dyDescent="0.25">
      <c r="A8201" s="2359" t="s">
        <v>10364</v>
      </c>
      <c r="B8201" s="2356" t="s">
        <v>9941</v>
      </c>
      <c r="C8201" s="2356" t="s">
        <v>9941</v>
      </c>
      <c r="D8201" s="2357" t="s">
        <v>10365</v>
      </c>
      <c r="E8201" s="2358" t="s">
        <v>10511</v>
      </c>
      <c r="F8201" s="1666">
        <v>3</v>
      </c>
    </row>
    <row r="8202" spans="1:6" ht="15" customHeight="1" x14ac:dyDescent="0.25">
      <c r="A8202" s="2359" t="s">
        <v>10364</v>
      </c>
      <c r="B8202" s="2356" t="s">
        <v>9941</v>
      </c>
      <c r="C8202" s="2356" t="s">
        <v>9941</v>
      </c>
      <c r="D8202" s="2357" t="s">
        <v>10366</v>
      </c>
      <c r="E8202" s="2358" t="s">
        <v>10507</v>
      </c>
      <c r="F8202" s="1666">
        <v>50</v>
      </c>
    </row>
    <row r="8203" spans="1:6" ht="15" customHeight="1" x14ac:dyDescent="0.25">
      <c r="A8203" s="2359" t="s">
        <v>14894</v>
      </c>
      <c r="B8203" s="2356" t="s">
        <v>9941</v>
      </c>
      <c r="C8203" s="2356" t="s">
        <v>9941</v>
      </c>
      <c r="D8203" s="2357" t="s">
        <v>10367</v>
      </c>
      <c r="E8203" s="2358" t="s">
        <v>10507</v>
      </c>
      <c r="F8203" s="1666">
        <v>90</v>
      </c>
    </row>
    <row r="8204" spans="1:6" ht="15" customHeight="1" x14ac:dyDescent="0.25">
      <c r="A8204" s="2359" t="s">
        <v>14895</v>
      </c>
      <c r="B8204" s="2356" t="s">
        <v>9941</v>
      </c>
      <c r="C8204" s="2356" t="s">
        <v>9941</v>
      </c>
      <c r="D8204" s="2357" t="s">
        <v>10368</v>
      </c>
      <c r="E8204" s="2358" t="s">
        <v>10507</v>
      </c>
      <c r="F8204" s="1666">
        <v>30</v>
      </c>
    </row>
    <row r="8205" spans="1:6" ht="15" customHeight="1" x14ac:dyDescent="0.25">
      <c r="A8205" s="2359" t="s">
        <v>14896</v>
      </c>
      <c r="B8205" s="2356" t="s">
        <v>9941</v>
      </c>
      <c r="C8205" s="2356" t="s">
        <v>9941</v>
      </c>
      <c r="D8205" s="2357" t="s">
        <v>10369</v>
      </c>
      <c r="E8205" s="2358" t="s">
        <v>10530</v>
      </c>
      <c r="F8205" s="1666">
        <v>75</v>
      </c>
    </row>
    <row r="8206" spans="1:6" ht="15" customHeight="1" x14ac:dyDescent="0.25">
      <c r="A8206" s="2359" t="s">
        <v>14896</v>
      </c>
      <c r="B8206" s="2356" t="s">
        <v>9941</v>
      </c>
      <c r="C8206" s="2356" t="s">
        <v>9941</v>
      </c>
      <c r="D8206" s="2357" t="s">
        <v>10370</v>
      </c>
      <c r="E8206" s="2358" t="s">
        <v>10530</v>
      </c>
      <c r="F8206" s="1666">
        <v>100</v>
      </c>
    </row>
    <row r="8207" spans="1:6" ht="15" customHeight="1" x14ac:dyDescent="0.25">
      <c r="A8207" s="2359" t="s">
        <v>14896</v>
      </c>
      <c r="B8207" s="2356" t="s">
        <v>9941</v>
      </c>
      <c r="C8207" s="2356" t="s">
        <v>9941</v>
      </c>
      <c r="D8207" s="2357" t="s">
        <v>10371</v>
      </c>
      <c r="E8207" s="2358" t="s">
        <v>10530</v>
      </c>
      <c r="F8207" s="1666">
        <v>50</v>
      </c>
    </row>
    <row r="8208" spans="1:6" ht="15" customHeight="1" x14ac:dyDescent="0.25">
      <c r="A8208" s="2359" t="s">
        <v>14896</v>
      </c>
      <c r="B8208" s="2356" t="s">
        <v>9941</v>
      </c>
      <c r="C8208" s="2356" t="s">
        <v>9941</v>
      </c>
      <c r="D8208" s="2357" t="s">
        <v>10372</v>
      </c>
      <c r="E8208" s="2358" t="s">
        <v>10511</v>
      </c>
      <c r="F8208" s="1666">
        <v>6</v>
      </c>
    </row>
    <row r="8209" spans="1:6" ht="15" customHeight="1" x14ac:dyDescent="0.25">
      <c r="A8209" s="2359" t="s">
        <v>14896</v>
      </c>
      <c r="B8209" s="2356" t="s">
        <v>9941</v>
      </c>
      <c r="C8209" s="2356" t="s">
        <v>9941</v>
      </c>
      <c r="D8209" s="2357" t="s">
        <v>10373</v>
      </c>
      <c r="E8209" s="2358" t="s">
        <v>10530</v>
      </c>
      <c r="F8209" s="1666">
        <v>125</v>
      </c>
    </row>
    <row r="8210" spans="1:6" ht="15" customHeight="1" x14ac:dyDescent="0.25">
      <c r="A8210" s="2359" t="s">
        <v>14897</v>
      </c>
      <c r="B8210" s="2356" t="s">
        <v>9941</v>
      </c>
      <c r="C8210" s="2356" t="s">
        <v>9941</v>
      </c>
      <c r="D8210" s="2357" t="s">
        <v>10374</v>
      </c>
      <c r="E8210" s="2358" t="s">
        <v>10507</v>
      </c>
      <c r="F8210" s="1666">
        <v>30</v>
      </c>
    </row>
    <row r="8211" spans="1:6" ht="15" customHeight="1" x14ac:dyDescent="0.25">
      <c r="A8211" s="2359" t="s">
        <v>14898</v>
      </c>
      <c r="B8211" s="2356" t="s">
        <v>9941</v>
      </c>
      <c r="C8211" s="2356" t="s">
        <v>9941</v>
      </c>
      <c r="D8211" s="2357" t="s">
        <v>10375</v>
      </c>
      <c r="E8211" s="2358" t="s">
        <v>10507</v>
      </c>
      <c r="F8211" s="1666">
        <v>20</v>
      </c>
    </row>
    <row r="8212" spans="1:6" ht="15" customHeight="1" x14ac:dyDescent="0.25">
      <c r="A8212" s="2359" t="s">
        <v>10376</v>
      </c>
      <c r="B8212" s="2356" t="s">
        <v>9941</v>
      </c>
      <c r="C8212" s="2356" t="s">
        <v>9941</v>
      </c>
      <c r="D8212" s="2357" t="s">
        <v>10377</v>
      </c>
      <c r="E8212" s="2358" t="s">
        <v>10536</v>
      </c>
      <c r="F8212" s="1666">
        <v>9</v>
      </c>
    </row>
    <row r="8213" spans="1:6" ht="15" customHeight="1" x14ac:dyDescent="0.25">
      <c r="A8213" s="2359" t="s">
        <v>14899</v>
      </c>
      <c r="B8213" s="2356" t="s">
        <v>9941</v>
      </c>
      <c r="C8213" s="2356" t="s">
        <v>9941</v>
      </c>
      <c r="D8213" s="2357" t="s">
        <v>10378</v>
      </c>
      <c r="E8213" s="2358" t="s">
        <v>10507</v>
      </c>
      <c r="F8213" s="1666">
        <v>60</v>
      </c>
    </row>
    <row r="8214" spans="1:6" ht="15" customHeight="1" x14ac:dyDescent="0.25">
      <c r="A8214" s="2359" t="s">
        <v>14900</v>
      </c>
      <c r="B8214" s="2356" t="s">
        <v>9941</v>
      </c>
      <c r="C8214" s="2356" t="s">
        <v>9941</v>
      </c>
      <c r="D8214" s="2357" t="s">
        <v>10379</v>
      </c>
      <c r="E8214" s="2358" t="s">
        <v>10511</v>
      </c>
      <c r="F8214" s="1666">
        <v>36</v>
      </c>
    </row>
    <row r="8215" spans="1:6" ht="15" customHeight="1" x14ac:dyDescent="0.25">
      <c r="A8215" s="2359" t="s">
        <v>14901</v>
      </c>
      <c r="B8215" s="2356" t="s">
        <v>9941</v>
      </c>
      <c r="C8215" s="2356" t="s">
        <v>9941</v>
      </c>
      <c r="D8215" s="2357" t="s">
        <v>10380</v>
      </c>
      <c r="E8215" s="2358" t="s">
        <v>10517</v>
      </c>
      <c r="F8215" s="1666">
        <v>6.3</v>
      </c>
    </row>
    <row r="8216" spans="1:6" ht="15" customHeight="1" x14ac:dyDescent="0.25">
      <c r="A8216" s="2359" t="s">
        <v>10381</v>
      </c>
      <c r="B8216" s="2356" t="s">
        <v>9941</v>
      </c>
      <c r="C8216" s="2356" t="s">
        <v>9941</v>
      </c>
      <c r="D8216" s="2357" t="s">
        <v>10382</v>
      </c>
      <c r="E8216" s="2358" t="s">
        <v>10511</v>
      </c>
      <c r="F8216" s="1666">
        <v>12</v>
      </c>
    </row>
    <row r="8217" spans="1:6" ht="15" customHeight="1" x14ac:dyDescent="0.25">
      <c r="A8217" s="2359" t="s">
        <v>14902</v>
      </c>
      <c r="B8217" s="2356" t="s">
        <v>9941</v>
      </c>
      <c r="C8217" s="2356" t="s">
        <v>9941</v>
      </c>
      <c r="D8217" s="2357" t="s">
        <v>10383</v>
      </c>
      <c r="E8217" s="2358" t="s">
        <v>10536</v>
      </c>
      <c r="F8217" s="1666">
        <v>24</v>
      </c>
    </row>
    <row r="8218" spans="1:6" ht="15" customHeight="1" x14ac:dyDescent="0.25">
      <c r="A8218" s="2359" t="s">
        <v>14903</v>
      </c>
      <c r="B8218" s="2356" t="s">
        <v>9941</v>
      </c>
      <c r="C8218" s="2356" t="s">
        <v>9941</v>
      </c>
      <c r="D8218" s="2357" t="s">
        <v>10384</v>
      </c>
      <c r="E8218" s="2358" t="s">
        <v>10536</v>
      </c>
      <c r="F8218" s="1666">
        <v>15</v>
      </c>
    </row>
    <row r="8219" spans="1:6" ht="15" customHeight="1" x14ac:dyDescent="0.25">
      <c r="A8219" s="2359" t="s">
        <v>7996</v>
      </c>
      <c r="B8219" s="2356" t="s">
        <v>9941</v>
      </c>
      <c r="C8219" s="2356" t="s">
        <v>9941</v>
      </c>
      <c r="D8219" s="2357" t="s">
        <v>10385</v>
      </c>
      <c r="E8219" s="2358" t="s">
        <v>10511</v>
      </c>
      <c r="F8219" s="1666">
        <v>30</v>
      </c>
    </row>
    <row r="8220" spans="1:6" ht="15" customHeight="1" x14ac:dyDescent="0.25">
      <c r="A8220" s="2359" t="s">
        <v>6419</v>
      </c>
      <c r="B8220" s="2356" t="s">
        <v>9941</v>
      </c>
      <c r="C8220" s="2356" t="s">
        <v>9941</v>
      </c>
      <c r="D8220" s="2357" t="s">
        <v>10386</v>
      </c>
      <c r="E8220" s="2358" t="s">
        <v>10507</v>
      </c>
      <c r="F8220" s="1666">
        <v>30</v>
      </c>
    </row>
    <row r="8221" spans="1:6" ht="15" customHeight="1" x14ac:dyDescent="0.25">
      <c r="A8221" s="2359" t="s">
        <v>14904</v>
      </c>
      <c r="B8221" s="2356" t="s">
        <v>9941</v>
      </c>
      <c r="C8221" s="2356" t="s">
        <v>9941</v>
      </c>
      <c r="D8221" s="2357" t="s">
        <v>10387</v>
      </c>
      <c r="E8221" s="2358" t="s">
        <v>10507</v>
      </c>
      <c r="F8221" s="1666">
        <v>0</v>
      </c>
    </row>
    <row r="8222" spans="1:6" ht="15" customHeight="1" x14ac:dyDescent="0.25">
      <c r="A8222" s="2359" t="s">
        <v>14905</v>
      </c>
      <c r="B8222" s="2356" t="s">
        <v>9941</v>
      </c>
      <c r="C8222" s="2356" t="s">
        <v>9941</v>
      </c>
      <c r="D8222" s="2357" t="s">
        <v>10388</v>
      </c>
      <c r="E8222" s="2358" t="s">
        <v>10517</v>
      </c>
      <c r="F8222" s="1666">
        <v>31.5</v>
      </c>
    </row>
    <row r="8223" spans="1:6" ht="15" customHeight="1" x14ac:dyDescent="0.25">
      <c r="A8223" s="2359" t="s">
        <v>14906</v>
      </c>
      <c r="B8223" s="2356" t="s">
        <v>9941</v>
      </c>
      <c r="C8223" s="2356" t="s">
        <v>9941</v>
      </c>
      <c r="D8223" s="2357" t="s">
        <v>10389</v>
      </c>
      <c r="E8223" s="2358" t="s">
        <v>10517</v>
      </c>
      <c r="F8223" s="1666">
        <v>12.6</v>
      </c>
    </row>
    <row r="8224" spans="1:6" ht="15" customHeight="1" x14ac:dyDescent="0.25">
      <c r="A8224" s="2359" t="s">
        <v>10390</v>
      </c>
      <c r="B8224" s="2356" t="s">
        <v>9941</v>
      </c>
      <c r="C8224" s="2356" t="s">
        <v>9941</v>
      </c>
      <c r="D8224" s="2357" t="s">
        <v>10391</v>
      </c>
      <c r="E8224" s="2358" t="s">
        <v>10517</v>
      </c>
      <c r="F8224" s="1666">
        <v>6.3</v>
      </c>
    </row>
    <row r="8225" spans="1:6" ht="15" customHeight="1" x14ac:dyDescent="0.25">
      <c r="A8225" s="2359" t="s">
        <v>10390</v>
      </c>
      <c r="B8225" s="2356" t="s">
        <v>9941</v>
      </c>
      <c r="C8225" s="2356" t="s">
        <v>9941</v>
      </c>
      <c r="D8225" s="2357" t="s">
        <v>10392</v>
      </c>
      <c r="E8225" s="2358" t="s">
        <v>10530</v>
      </c>
      <c r="F8225" s="1666">
        <v>0</v>
      </c>
    </row>
    <row r="8226" spans="1:6" ht="15" customHeight="1" x14ac:dyDescent="0.25">
      <c r="A8226" s="2359" t="s">
        <v>14907</v>
      </c>
      <c r="B8226" s="2356" t="s">
        <v>9941</v>
      </c>
      <c r="C8226" s="2356" t="s">
        <v>9941</v>
      </c>
      <c r="D8226" s="2357" t="s">
        <v>10393</v>
      </c>
      <c r="E8226" s="2358" t="s">
        <v>10511</v>
      </c>
      <c r="F8226" s="1666">
        <v>0</v>
      </c>
    </row>
    <row r="8227" spans="1:6" ht="15" customHeight="1" x14ac:dyDescent="0.25">
      <c r="A8227" s="2359" t="s">
        <v>14908</v>
      </c>
      <c r="B8227" s="2356" t="s">
        <v>9941</v>
      </c>
      <c r="C8227" s="2356" t="s">
        <v>9941</v>
      </c>
      <c r="D8227" s="2357" t="s">
        <v>10394</v>
      </c>
      <c r="E8227" s="2358" t="s">
        <v>10534</v>
      </c>
      <c r="F8227" s="1666">
        <v>112</v>
      </c>
    </row>
    <row r="8228" spans="1:6" ht="15" customHeight="1" x14ac:dyDescent="0.25">
      <c r="A8228" s="2359" t="s">
        <v>14909</v>
      </c>
      <c r="B8228" s="2356" t="s">
        <v>9941</v>
      </c>
      <c r="C8228" s="2356" t="s">
        <v>9941</v>
      </c>
      <c r="D8228" s="2357" t="s">
        <v>10395</v>
      </c>
      <c r="E8228" s="2358" t="s">
        <v>10511</v>
      </c>
      <c r="F8228" s="1666">
        <v>18</v>
      </c>
    </row>
    <row r="8229" spans="1:6" ht="15" customHeight="1" x14ac:dyDescent="0.25">
      <c r="A8229" s="2359" t="s">
        <v>14910</v>
      </c>
      <c r="B8229" s="2356" t="s">
        <v>9941</v>
      </c>
      <c r="C8229" s="2356" t="s">
        <v>9941</v>
      </c>
      <c r="D8229" s="2357" t="s">
        <v>10396</v>
      </c>
      <c r="E8229" s="2358" t="s">
        <v>10536</v>
      </c>
      <c r="F8229" s="1666">
        <v>24</v>
      </c>
    </row>
    <row r="8230" spans="1:6" ht="15" customHeight="1" x14ac:dyDescent="0.25">
      <c r="A8230" s="2359" t="s">
        <v>10397</v>
      </c>
      <c r="B8230" s="2356" t="s">
        <v>9941</v>
      </c>
      <c r="C8230" s="2356" t="s">
        <v>9941</v>
      </c>
      <c r="D8230" s="2357" t="s">
        <v>10398</v>
      </c>
      <c r="E8230" s="2358" t="s">
        <v>10507</v>
      </c>
      <c r="F8230" s="1666">
        <v>15</v>
      </c>
    </row>
    <row r="8231" spans="1:6" ht="15" customHeight="1" x14ac:dyDescent="0.25">
      <c r="A8231" s="2359" t="s">
        <v>14786</v>
      </c>
      <c r="B8231" s="2356" t="s">
        <v>9941</v>
      </c>
      <c r="C8231" s="2356" t="s">
        <v>9941</v>
      </c>
      <c r="D8231" s="2357" t="s">
        <v>10399</v>
      </c>
      <c r="E8231" s="2358" t="s">
        <v>10507</v>
      </c>
      <c r="F8231" s="1666">
        <v>30</v>
      </c>
    </row>
    <row r="8232" spans="1:6" ht="15" customHeight="1" x14ac:dyDescent="0.25">
      <c r="A8232" s="2359" t="s">
        <v>9284</v>
      </c>
      <c r="B8232" s="2356" t="s">
        <v>9941</v>
      </c>
      <c r="C8232" s="2356" t="s">
        <v>9941</v>
      </c>
      <c r="D8232" s="2357" t="s">
        <v>10400</v>
      </c>
      <c r="E8232" s="2358" t="s">
        <v>10536</v>
      </c>
      <c r="F8232" s="1666">
        <v>3</v>
      </c>
    </row>
    <row r="8233" spans="1:6" ht="15" customHeight="1" x14ac:dyDescent="0.25">
      <c r="A8233" s="2359" t="s">
        <v>14911</v>
      </c>
      <c r="B8233" s="2356" t="s">
        <v>9941</v>
      </c>
      <c r="C8233" s="2356" t="s">
        <v>9941</v>
      </c>
      <c r="D8233" s="2357" t="s">
        <v>10401</v>
      </c>
      <c r="E8233" s="2358" t="s">
        <v>10511</v>
      </c>
      <c r="F8233" s="1666">
        <v>30</v>
      </c>
    </row>
    <row r="8234" spans="1:6" ht="15" customHeight="1" x14ac:dyDescent="0.25">
      <c r="A8234" s="2359" t="s">
        <v>9619</v>
      </c>
      <c r="B8234" s="2356" t="s">
        <v>9941</v>
      </c>
      <c r="C8234" s="2356" t="s">
        <v>9941</v>
      </c>
      <c r="D8234" s="2357" t="s">
        <v>10402</v>
      </c>
      <c r="E8234" s="2358" t="s">
        <v>10530</v>
      </c>
      <c r="F8234" s="1666">
        <v>37.5</v>
      </c>
    </row>
    <row r="8235" spans="1:6" ht="15" customHeight="1" x14ac:dyDescent="0.25">
      <c r="A8235" s="2359" t="s">
        <v>14912</v>
      </c>
      <c r="B8235" s="2356" t="s">
        <v>9941</v>
      </c>
      <c r="C8235" s="2356" t="s">
        <v>9941</v>
      </c>
      <c r="D8235" s="2357" t="s">
        <v>10403</v>
      </c>
      <c r="E8235" s="2358" t="s">
        <v>10534</v>
      </c>
      <c r="F8235" s="1666">
        <v>48</v>
      </c>
    </row>
    <row r="8236" spans="1:6" ht="15" customHeight="1" x14ac:dyDescent="0.25">
      <c r="A8236" s="2359" t="s">
        <v>14913</v>
      </c>
      <c r="B8236" s="2356" t="s">
        <v>9941</v>
      </c>
      <c r="C8236" s="2356" t="s">
        <v>9941</v>
      </c>
      <c r="D8236" s="2357" t="s">
        <v>10404</v>
      </c>
      <c r="E8236" s="2358" t="s">
        <v>10530</v>
      </c>
      <c r="F8236" s="1666">
        <v>100</v>
      </c>
    </row>
    <row r="8237" spans="1:6" ht="15" customHeight="1" x14ac:dyDescent="0.25">
      <c r="A8237" s="2359" t="s">
        <v>14914</v>
      </c>
      <c r="B8237" s="2356" t="s">
        <v>9941</v>
      </c>
      <c r="C8237" s="2356" t="s">
        <v>9941</v>
      </c>
      <c r="D8237" s="2357" t="s">
        <v>10405</v>
      </c>
      <c r="E8237" s="2358" t="s">
        <v>10520</v>
      </c>
      <c r="F8237" s="1666">
        <v>4</v>
      </c>
    </row>
    <row r="8238" spans="1:6" ht="15" customHeight="1" x14ac:dyDescent="0.25">
      <c r="A8238" s="2359" t="s">
        <v>14915</v>
      </c>
      <c r="B8238" s="2356" t="s">
        <v>9941</v>
      </c>
      <c r="C8238" s="2356" t="s">
        <v>9941</v>
      </c>
      <c r="D8238" s="2357" t="s">
        <v>10406</v>
      </c>
      <c r="E8238" s="2358" t="s">
        <v>10507</v>
      </c>
      <c r="F8238" s="1666">
        <v>15</v>
      </c>
    </row>
    <row r="8239" spans="1:6" ht="15" customHeight="1" x14ac:dyDescent="0.25">
      <c r="A8239" s="2359" t="s">
        <v>14916</v>
      </c>
      <c r="B8239" s="2356" t="s">
        <v>9941</v>
      </c>
      <c r="C8239" s="2356" t="s">
        <v>9941</v>
      </c>
      <c r="D8239" s="2357" t="s">
        <v>10407</v>
      </c>
      <c r="E8239" s="2358" t="s">
        <v>10530</v>
      </c>
      <c r="F8239" s="1666">
        <v>25</v>
      </c>
    </row>
    <row r="8240" spans="1:6" ht="15" customHeight="1" x14ac:dyDescent="0.25">
      <c r="A8240" s="2359" t="s">
        <v>13430</v>
      </c>
      <c r="B8240" s="2356" t="s">
        <v>9941</v>
      </c>
      <c r="C8240" s="2356" t="s">
        <v>9941</v>
      </c>
      <c r="D8240" s="2357" t="s">
        <v>10408</v>
      </c>
      <c r="E8240" s="2358" t="s">
        <v>10511</v>
      </c>
      <c r="F8240" s="1666">
        <v>12</v>
      </c>
    </row>
    <row r="8241" spans="1:6" ht="15" customHeight="1" x14ac:dyDescent="0.25">
      <c r="A8241" s="2359" t="s">
        <v>4799</v>
      </c>
      <c r="B8241" s="2356" t="s">
        <v>9941</v>
      </c>
      <c r="C8241" s="2356" t="s">
        <v>9941</v>
      </c>
      <c r="D8241" s="2357" t="s">
        <v>10409</v>
      </c>
      <c r="E8241" s="2358" t="s">
        <v>10530</v>
      </c>
      <c r="F8241" s="1666">
        <v>75</v>
      </c>
    </row>
    <row r="8242" spans="1:6" ht="15" customHeight="1" x14ac:dyDescent="0.25">
      <c r="A8242" s="2359" t="s">
        <v>14917</v>
      </c>
      <c r="B8242" s="2356" t="s">
        <v>9941</v>
      </c>
      <c r="C8242" s="2356" t="s">
        <v>9941</v>
      </c>
      <c r="D8242" s="2357" t="s">
        <v>10410</v>
      </c>
      <c r="E8242" s="2358" t="s">
        <v>10536</v>
      </c>
      <c r="F8242" s="1666">
        <v>3</v>
      </c>
    </row>
    <row r="8243" spans="1:6" ht="15" customHeight="1" x14ac:dyDescent="0.25">
      <c r="A8243" s="2359" t="s">
        <v>14918</v>
      </c>
      <c r="B8243" s="2356" t="s">
        <v>9941</v>
      </c>
      <c r="C8243" s="2356" t="s">
        <v>9941</v>
      </c>
      <c r="D8243" s="2357" t="s">
        <v>10411</v>
      </c>
      <c r="E8243" s="2358" t="s">
        <v>10511</v>
      </c>
      <c r="F8243" s="1666">
        <v>24</v>
      </c>
    </row>
    <row r="8244" spans="1:6" ht="15" customHeight="1" x14ac:dyDescent="0.25">
      <c r="A8244" s="2359" t="s">
        <v>14919</v>
      </c>
      <c r="B8244" s="2356" t="s">
        <v>9941</v>
      </c>
      <c r="C8244" s="2356" t="s">
        <v>9941</v>
      </c>
      <c r="D8244" s="2357" t="s">
        <v>10412</v>
      </c>
      <c r="E8244" s="2358" t="s">
        <v>10536</v>
      </c>
      <c r="F8244" s="1666">
        <v>18</v>
      </c>
    </row>
    <row r="8245" spans="1:6" ht="15" customHeight="1" x14ac:dyDescent="0.25">
      <c r="A8245" s="2359" t="s">
        <v>10413</v>
      </c>
      <c r="B8245" s="2356" t="s">
        <v>9941</v>
      </c>
      <c r="C8245" s="2356" t="s">
        <v>9941</v>
      </c>
      <c r="D8245" s="2357" t="s">
        <v>10414</v>
      </c>
      <c r="E8245" s="2358" t="s">
        <v>10536</v>
      </c>
      <c r="F8245" s="1666">
        <v>9</v>
      </c>
    </row>
    <row r="8246" spans="1:6" ht="15" customHeight="1" x14ac:dyDescent="0.25">
      <c r="A8246" s="2359" t="s">
        <v>10413</v>
      </c>
      <c r="B8246" s="2356" t="s">
        <v>9941</v>
      </c>
      <c r="C8246" s="2356" t="s">
        <v>9941</v>
      </c>
      <c r="D8246" s="2357" t="s">
        <v>10415</v>
      </c>
      <c r="E8246" s="2358" t="s">
        <v>10530</v>
      </c>
      <c r="F8246" s="1666">
        <v>75</v>
      </c>
    </row>
    <row r="8247" spans="1:6" ht="15" customHeight="1" x14ac:dyDescent="0.25">
      <c r="A8247" s="2359" t="s">
        <v>6710</v>
      </c>
      <c r="B8247" s="2356" t="s">
        <v>9941</v>
      </c>
      <c r="C8247" s="2356" t="s">
        <v>9941</v>
      </c>
      <c r="D8247" s="2357" t="s">
        <v>10416</v>
      </c>
      <c r="E8247" s="2358" t="s">
        <v>10530</v>
      </c>
      <c r="F8247" s="1666">
        <v>200</v>
      </c>
    </row>
    <row r="8248" spans="1:6" ht="15" customHeight="1" x14ac:dyDescent="0.25">
      <c r="A8248" s="2359" t="s">
        <v>6710</v>
      </c>
      <c r="B8248" s="2356" t="s">
        <v>9941</v>
      </c>
      <c r="C8248" s="2356" t="s">
        <v>9941</v>
      </c>
      <c r="D8248" s="2357" t="s">
        <v>10417</v>
      </c>
      <c r="E8248" s="2358" t="s">
        <v>10530</v>
      </c>
      <c r="F8248" s="1666">
        <v>50</v>
      </c>
    </row>
    <row r="8249" spans="1:6" ht="15" customHeight="1" x14ac:dyDescent="0.25">
      <c r="A8249" s="2359" t="s">
        <v>6710</v>
      </c>
      <c r="B8249" s="2356" t="s">
        <v>9941</v>
      </c>
      <c r="C8249" s="2356" t="s">
        <v>9941</v>
      </c>
      <c r="D8249" s="2357" t="s">
        <v>10418</v>
      </c>
      <c r="E8249" s="2358" t="s">
        <v>10511</v>
      </c>
      <c r="F8249" s="1666">
        <v>30</v>
      </c>
    </row>
    <row r="8250" spans="1:6" ht="15" customHeight="1" x14ac:dyDescent="0.25">
      <c r="A8250" s="2359" t="s">
        <v>6710</v>
      </c>
      <c r="B8250" s="2356" t="s">
        <v>9941</v>
      </c>
      <c r="C8250" s="2356" t="s">
        <v>9941</v>
      </c>
      <c r="D8250" s="2357" t="s">
        <v>10419</v>
      </c>
      <c r="E8250" s="2358" t="s">
        <v>10530</v>
      </c>
      <c r="F8250" s="1666">
        <v>12.5</v>
      </c>
    </row>
    <row r="8251" spans="1:6" ht="15" customHeight="1" x14ac:dyDescent="0.25">
      <c r="A8251" s="2359" t="s">
        <v>9951</v>
      </c>
      <c r="B8251" s="2356" t="s">
        <v>9941</v>
      </c>
      <c r="C8251" s="2356" t="s">
        <v>9941</v>
      </c>
      <c r="D8251" s="2357" t="s">
        <v>10420</v>
      </c>
      <c r="E8251" s="2358" t="s">
        <v>10530</v>
      </c>
      <c r="F8251" s="1666">
        <v>12.5</v>
      </c>
    </row>
    <row r="8252" spans="1:6" ht="15" customHeight="1" x14ac:dyDescent="0.25">
      <c r="A8252" s="2359" t="s">
        <v>9951</v>
      </c>
      <c r="B8252" s="2356" t="s">
        <v>9941</v>
      </c>
      <c r="C8252" s="2356" t="s">
        <v>9941</v>
      </c>
      <c r="D8252" s="2357" t="s">
        <v>10421</v>
      </c>
      <c r="E8252" s="2358" t="s">
        <v>10536</v>
      </c>
      <c r="F8252" s="1666">
        <v>4.5</v>
      </c>
    </row>
    <row r="8253" spans="1:6" ht="15" customHeight="1" x14ac:dyDescent="0.25">
      <c r="A8253" s="2359" t="s">
        <v>9951</v>
      </c>
      <c r="B8253" s="2356" t="s">
        <v>9941</v>
      </c>
      <c r="C8253" s="2356" t="s">
        <v>9941</v>
      </c>
      <c r="D8253" s="2357" t="s">
        <v>10422</v>
      </c>
      <c r="E8253" s="2358" t="s">
        <v>10534</v>
      </c>
      <c r="F8253" s="1666">
        <v>0</v>
      </c>
    </row>
    <row r="8254" spans="1:6" ht="15" customHeight="1" x14ac:dyDescent="0.25">
      <c r="A8254" s="2359" t="s">
        <v>14920</v>
      </c>
      <c r="B8254" s="2356" t="s">
        <v>9941</v>
      </c>
      <c r="C8254" s="2356" t="s">
        <v>9941</v>
      </c>
      <c r="D8254" s="2357" t="s">
        <v>10423</v>
      </c>
      <c r="E8254" s="2358" t="s">
        <v>10511</v>
      </c>
      <c r="F8254" s="1666">
        <v>36</v>
      </c>
    </row>
    <row r="8255" spans="1:6" ht="15" customHeight="1" x14ac:dyDescent="0.25">
      <c r="A8255" s="2359" t="s">
        <v>14921</v>
      </c>
      <c r="B8255" s="2356" t="s">
        <v>9941</v>
      </c>
      <c r="C8255" s="2356" t="s">
        <v>9941</v>
      </c>
      <c r="D8255" s="2357" t="s">
        <v>10424</v>
      </c>
      <c r="E8255" s="2358" t="s">
        <v>10507</v>
      </c>
      <c r="F8255" s="1666">
        <v>30</v>
      </c>
    </row>
    <row r="8256" spans="1:6" ht="15" customHeight="1" x14ac:dyDescent="0.25">
      <c r="A8256" s="2359" t="s">
        <v>14922</v>
      </c>
      <c r="B8256" s="2356" t="s">
        <v>9941</v>
      </c>
      <c r="C8256" s="2356" t="s">
        <v>9941</v>
      </c>
      <c r="D8256" s="2357" t="s">
        <v>10425</v>
      </c>
      <c r="E8256" s="2358" t="s">
        <v>10507</v>
      </c>
      <c r="F8256" s="1666">
        <v>40</v>
      </c>
    </row>
    <row r="8257" spans="1:6" ht="15" customHeight="1" x14ac:dyDescent="0.25">
      <c r="A8257" s="2359" t="s">
        <v>14820</v>
      </c>
      <c r="B8257" s="2356" t="s">
        <v>9941</v>
      </c>
      <c r="C8257" s="2356" t="s">
        <v>9941</v>
      </c>
      <c r="D8257" s="2357" t="s">
        <v>10426</v>
      </c>
      <c r="E8257" s="2358" t="s">
        <v>10530</v>
      </c>
      <c r="F8257" s="1666">
        <v>25</v>
      </c>
    </row>
    <row r="8258" spans="1:6" ht="15" customHeight="1" x14ac:dyDescent="0.25">
      <c r="A8258" s="2359" t="s">
        <v>14923</v>
      </c>
      <c r="B8258" s="2356" t="s">
        <v>9941</v>
      </c>
      <c r="C8258" s="2356" t="s">
        <v>9941</v>
      </c>
      <c r="D8258" s="2357" t="s">
        <v>10427</v>
      </c>
      <c r="E8258" s="2358" t="s">
        <v>10536</v>
      </c>
      <c r="F8258" s="1666">
        <v>3</v>
      </c>
    </row>
    <row r="8259" spans="1:6" ht="15" customHeight="1" x14ac:dyDescent="0.25">
      <c r="A8259" s="2359" t="s">
        <v>10450</v>
      </c>
      <c r="B8259" s="2356" t="s">
        <v>9941</v>
      </c>
      <c r="C8259" s="2356" t="s">
        <v>9941</v>
      </c>
      <c r="D8259" s="2357" t="s">
        <v>10428</v>
      </c>
      <c r="E8259" s="2358" t="s">
        <v>10534</v>
      </c>
      <c r="F8259" s="1666">
        <v>112</v>
      </c>
    </row>
    <row r="8260" spans="1:6" ht="15" customHeight="1" x14ac:dyDescent="0.25">
      <c r="A8260" s="2359" t="s">
        <v>10429</v>
      </c>
      <c r="B8260" s="2356" t="s">
        <v>9941</v>
      </c>
      <c r="C8260" s="2356" t="s">
        <v>9941</v>
      </c>
      <c r="D8260" s="2357" t="s">
        <v>10430</v>
      </c>
      <c r="E8260" s="2358" t="s">
        <v>10511</v>
      </c>
      <c r="F8260" s="1666">
        <v>60</v>
      </c>
    </row>
    <row r="8261" spans="1:6" ht="15" customHeight="1" x14ac:dyDescent="0.25">
      <c r="A8261" s="2359" t="s">
        <v>10450</v>
      </c>
      <c r="B8261" s="2356" t="s">
        <v>9941</v>
      </c>
      <c r="C8261" s="2356" t="s">
        <v>9941</v>
      </c>
      <c r="D8261" s="2357" t="s">
        <v>10431</v>
      </c>
      <c r="E8261" s="2358" t="s">
        <v>10509</v>
      </c>
      <c r="F8261" s="1666">
        <v>240</v>
      </c>
    </row>
    <row r="8262" spans="1:6" ht="15" customHeight="1" x14ac:dyDescent="0.25">
      <c r="A8262" s="2359" t="s">
        <v>10439</v>
      </c>
      <c r="B8262" s="2356" t="s">
        <v>9941</v>
      </c>
      <c r="C8262" s="2356" t="s">
        <v>9941</v>
      </c>
      <c r="D8262" s="2357" t="s">
        <v>10432</v>
      </c>
      <c r="E8262" s="2358" t="s">
        <v>10534</v>
      </c>
      <c r="F8262" s="1666">
        <v>80</v>
      </c>
    </row>
    <row r="8263" spans="1:6" ht="15" customHeight="1" x14ac:dyDescent="0.25">
      <c r="A8263" s="2359" t="s">
        <v>10439</v>
      </c>
      <c r="B8263" s="2356" t="s">
        <v>9941</v>
      </c>
      <c r="C8263" s="2356" t="s">
        <v>9941</v>
      </c>
      <c r="D8263" s="2357" t="s">
        <v>10433</v>
      </c>
      <c r="E8263" s="2358" t="s">
        <v>10536</v>
      </c>
      <c r="F8263" s="1666">
        <v>3</v>
      </c>
    </row>
    <row r="8264" spans="1:6" ht="15" customHeight="1" x14ac:dyDescent="0.25">
      <c r="A8264" s="2359" t="s">
        <v>14924</v>
      </c>
      <c r="B8264" s="2356" t="s">
        <v>9941</v>
      </c>
      <c r="C8264" s="2356" t="s">
        <v>9941</v>
      </c>
      <c r="D8264" s="2357" t="s">
        <v>10434</v>
      </c>
      <c r="E8264" s="2358" t="s">
        <v>10530</v>
      </c>
      <c r="F8264" s="1666">
        <v>25</v>
      </c>
    </row>
    <row r="8265" spans="1:6" ht="15" customHeight="1" x14ac:dyDescent="0.25">
      <c r="A8265" s="2359" t="s">
        <v>14925</v>
      </c>
      <c r="B8265" s="2356" t="s">
        <v>9941</v>
      </c>
      <c r="C8265" s="2356" t="s">
        <v>9941</v>
      </c>
      <c r="D8265" s="2357" t="s">
        <v>10435</v>
      </c>
      <c r="E8265" s="2358" t="s">
        <v>10530</v>
      </c>
      <c r="F8265" s="1666">
        <v>75</v>
      </c>
    </row>
    <row r="8266" spans="1:6" ht="15" customHeight="1" x14ac:dyDescent="0.25">
      <c r="A8266" s="2359" t="s">
        <v>10436</v>
      </c>
      <c r="B8266" s="2356" t="s">
        <v>9941</v>
      </c>
      <c r="C8266" s="2356" t="s">
        <v>9941</v>
      </c>
      <c r="D8266" s="2357" t="s">
        <v>10437</v>
      </c>
      <c r="E8266" s="2358" t="s">
        <v>10530</v>
      </c>
      <c r="F8266" s="1666">
        <v>25</v>
      </c>
    </row>
    <row r="8267" spans="1:6" ht="15" customHeight="1" x14ac:dyDescent="0.25">
      <c r="A8267" s="2359" t="s">
        <v>10436</v>
      </c>
      <c r="B8267" s="2356" t="s">
        <v>9941</v>
      </c>
      <c r="C8267" s="2356" t="s">
        <v>9941</v>
      </c>
      <c r="D8267" s="2357" t="s">
        <v>10438</v>
      </c>
      <c r="E8267" s="2358" t="s">
        <v>10530</v>
      </c>
      <c r="F8267" s="1666">
        <v>25</v>
      </c>
    </row>
    <row r="8268" spans="1:6" ht="15" customHeight="1" x14ac:dyDescent="0.25">
      <c r="A8268" s="2359" t="s">
        <v>10439</v>
      </c>
      <c r="B8268" s="2356" t="s">
        <v>9941</v>
      </c>
      <c r="C8268" s="2356" t="s">
        <v>9941</v>
      </c>
      <c r="D8268" s="2357" t="s">
        <v>10440</v>
      </c>
      <c r="E8268" s="2358" t="s">
        <v>10530</v>
      </c>
      <c r="F8268" s="1666">
        <v>0</v>
      </c>
    </row>
    <row r="8269" spans="1:6" ht="15" customHeight="1" x14ac:dyDescent="0.25">
      <c r="A8269" s="2359" t="s">
        <v>10441</v>
      </c>
      <c r="B8269" s="2356" t="s">
        <v>9941</v>
      </c>
      <c r="C8269" s="2356" t="s">
        <v>9941</v>
      </c>
      <c r="D8269" s="2357" t="s">
        <v>10442</v>
      </c>
      <c r="E8269" s="2358" t="s">
        <v>10534</v>
      </c>
      <c r="F8269" s="1666">
        <v>24</v>
      </c>
    </row>
    <row r="8270" spans="1:6" ht="15" customHeight="1" x14ac:dyDescent="0.25">
      <c r="A8270" s="2359" t="s">
        <v>10441</v>
      </c>
      <c r="B8270" s="2356" t="s">
        <v>9941</v>
      </c>
      <c r="C8270" s="2356" t="s">
        <v>9941</v>
      </c>
      <c r="D8270" s="2357" t="s">
        <v>10443</v>
      </c>
      <c r="E8270" s="2358" t="s">
        <v>10511</v>
      </c>
      <c r="F8270" s="1666">
        <v>30</v>
      </c>
    </row>
    <row r="8271" spans="1:6" ht="15" customHeight="1" x14ac:dyDescent="0.25">
      <c r="A8271" s="2359" t="s">
        <v>10441</v>
      </c>
      <c r="B8271" s="2356" t="s">
        <v>9941</v>
      </c>
      <c r="C8271" s="2356" t="s">
        <v>9941</v>
      </c>
      <c r="D8271" s="2357" t="s">
        <v>10444</v>
      </c>
      <c r="E8271" s="2358" t="s">
        <v>10530</v>
      </c>
      <c r="F8271" s="1666">
        <v>250</v>
      </c>
    </row>
    <row r="8272" spans="1:6" ht="15" customHeight="1" x14ac:dyDescent="0.25">
      <c r="A8272" s="2359" t="s">
        <v>10441</v>
      </c>
      <c r="B8272" s="2356" t="s">
        <v>9941</v>
      </c>
      <c r="C8272" s="2356" t="s">
        <v>9941</v>
      </c>
      <c r="D8272" s="2357" t="s">
        <v>10445</v>
      </c>
      <c r="E8272" s="2358" t="s">
        <v>10507</v>
      </c>
      <c r="F8272" s="1666">
        <v>60</v>
      </c>
    </row>
    <row r="8273" spans="1:6" ht="15" customHeight="1" x14ac:dyDescent="0.25">
      <c r="A8273" s="2359" t="s">
        <v>10429</v>
      </c>
      <c r="B8273" s="2356" t="s">
        <v>9941</v>
      </c>
      <c r="C8273" s="2356" t="s">
        <v>9941</v>
      </c>
      <c r="D8273" s="2357" t="s">
        <v>10446</v>
      </c>
      <c r="E8273" s="2358" t="s">
        <v>10534</v>
      </c>
      <c r="F8273" s="1666">
        <v>24</v>
      </c>
    </row>
    <row r="8274" spans="1:6" ht="15" customHeight="1" x14ac:dyDescent="0.25">
      <c r="A8274" s="2359" t="s">
        <v>10199</v>
      </c>
      <c r="B8274" s="2356" t="s">
        <v>9941</v>
      </c>
      <c r="C8274" s="2356" t="s">
        <v>9941</v>
      </c>
      <c r="D8274" s="2357" t="s">
        <v>10447</v>
      </c>
      <c r="E8274" s="2358" t="s">
        <v>10530</v>
      </c>
      <c r="F8274" s="1666">
        <v>125</v>
      </c>
    </row>
    <row r="8275" spans="1:6" ht="15" customHeight="1" x14ac:dyDescent="0.25">
      <c r="A8275" s="2359" t="s">
        <v>10439</v>
      </c>
      <c r="B8275" s="2356" t="s">
        <v>9941</v>
      </c>
      <c r="C8275" s="2356" t="s">
        <v>9941</v>
      </c>
      <c r="D8275" s="2357" t="s">
        <v>10448</v>
      </c>
      <c r="E8275" s="2358" t="s">
        <v>10536</v>
      </c>
      <c r="F8275" s="1666">
        <v>9</v>
      </c>
    </row>
    <row r="8276" spans="1:6" ht="15" customHeight="1" x14ac:dyDescent="0.25">
      <c r="A8276" s="2359" t="s">
        <v>10439</v>
      </c>
      <c r="B8276" s="2356" t="s">
        <v>9941</v>
      </c>
      <c r="C8276" s="2356" t="s">
        <v>9941</v>
      </c>
      <c r="D8276" s="2357" t="s">
        <v>10449</v>
      </c>
      <c r="E8276" s="2358" t="s">
        <v>10530</v>
      </c>
      <c r="F8276" s="1666">
        <v>50</v>
      </c>
    </row>
    <row r="8277" spans="1:6" ht="15" customHeight="1" x14ac:dyDescent="0.25">
      <c r="A8277" s="2359" t="s">
        <v>10450</v>
      </c>
      <c r="B8277" s="2356" t="s">
        <v>9941</v>
      </c>
      <c r="C8277" s="2356" t="s">
        <v>9941</v>
      </c>
      <c r="D8277" s="2357" t="s">
        <v>10451</v>
      </c>
      <c r="E8277" s="2358" t="s">
        <v>10536</v>
      </c>
      <c r="F8277" s="1666">
        <v>6</v>
      </c>
    </row>
    <row r="8278" spans="1:6" ht="15" customHeight="1" x14ac:dyDescent="0.25">
      <c r="A8278" s="2359" t="s">
        <v>10450</v>
      </c>
      <c r="B8278" s="2356" t="s">
        <v>9941</v>
      </c>
      <c r="C8278" s="2356" t="s">
        <v>9941</v>
      </c>
      <c r="D8278" s="2357" t="s">
        <v>10452</v>
      </c>
      <c r="E8278" s="2358" t="s">
        <v>10534</v>
      </c>
      <c r="F8278" s="1666">
        <v>32</v>
      </c>
    </row>
    <row r="8279" spans="1:6" ht="15" customHeight="1" x14ac:dyDescent="0.25">
      <c r="A8279" s="2359" t="s">
        <v>10329</v>
      </c>
      <c r="B8279" s="2356" t="s">
        <v>9941</v>
      </c>
      <c r="C8279" s="2356" t="s">
        <v>9941</v>
      </c>
      <c r="D8279" s="2357" t="s">
        <v>10453</v>
      </c>
      <c r="E8279" s="2358" t="s">
        <v>10530</v>
      </c>
      <c r="F8279" s="1666">
        <v>0</v>
      </c>
    </row>
    <row r="8280" spans="1:6" ht="15" customHeight="1" x14ac:dyDescent="0.25">
      <c r="A8280" s="2359" t="s">
        <v>9955</v>
      </c>
      <c r="B8280" s="2356" t="s">
        <v>9941</v>
      </c>
      <c r="C8280" s="2356" t="s">
        <v>9941</v>
      </c>
      <c r="D8280" s="2357" t="s">
        <v>10454</v>
      </c>
      <c r="E8280" s="2358" t="s">
        <v>10530</v>
      </c>
      <c r="F8280" s="1666">
        <v>0</v>
      </c>
    </row>
    <row r="8281" spans="1:6" ht="15" customHeight="1" x14ac:dyDescent="0.25">
      <c r="A8281" s="2359" t="s">
        <v>9955</v>
      </c>
      <c r="B8281" s="2356" t="s">
        <v>9941</v>
      </c>
      <c r="C8281" s="2356" t="s">
        <v>9941</v>
      </c>
      <c r="D8281" s="2357" t="s">
        <v>10455</v>
      </c>
      <c r="E8281" s="2358" t="s">
        <v>10534</v>
      </c>
      <c r="F8281" s="1666">
        <v>160</v>
      </c>
    </row>
    <row r="8282" spans="1:6" ht="15" customHeight="1" x14ac:dyDescent="0.25">
      <c r="A8282" s="2359" t="s">
        <v>10439</v>
      </c>
      <c r="B8282" s="2356" t="s">
        <v>9941</v>
      </c>
      <c r="C8282" s="2356" t="s">
        <v>9941</v>
      </c>
      <c r="D8282" s="2357" t="s">
        <v>10456</v>
      </c>
      <c r="E8282" s="2358" t="s">
        <v>10530</v>
      </c>
      <c r="F8282" s="1666">
        <v>75</v>
      </c>
    </row>
    <row r="8283" spans="1:6" ht="15" customHeight="1" x14ac:dyDescent="0.25">
      <c r="A8283" s="2359" t="s">
        <v>10457</v>
      </c>
      <c r="B8283" s="2356" t="s">
        <v>9941</v>
      </c>
      <c r="C8283" s="2356" t="s">
        <v>9941</v>
      </c>
      <c r="D8283" s="2357" t="s">
        <v>10458</v>
      </c>
      <c r="E8283" s="2358" t="s">
        <v>10530</v>
      </c>
      <c r="F8283" s="1666">
        <v>250</v>
      </c>
    </row>
    <row r="8284" spans="1:6" ht="15" customHeight="1" x14ac:dyDescent="0.25">
      <c r="A8284" s="2359" t="s">
        <v>10457</v>
      </c>
      <c r="B8284" s="2356" t="s">
        <v>9941</v>
      </c>
      <c r="C8284" s="2356" t="s">
        <v>9941</v>
      </c>
      <c r="D8284" s="2357" t="s">
        <v>10459</v>
      </c>
      <c r="E8284" s="2358" t="s">
        <v>10530</v>
      </c>
      <c r="F8284" s="1666">
        <v>250</v>
      </c>
    </row>
    <row r="8285" spans="1:6" ht="15" customHeight="1" x14ac:dyDescent="0.25">
      <c r="A8285" s="2359" t="s">
        <v>10460</v>
      </c>
      <c r="B8285" s="2356" t="s">
        <v>9941</v>
      </c>
      <c r="C8285" s="2356" t="s">
        <v>9941</v>
      </c>
      <c r="D8285" s="2357" t="s">
        <v>10461</v>
      </c>
      <c r="E8285" s="2358" t="s">
        <v>10536</v>
      </c>
      <c r="F8285" s="1666">
        <v>30</v>
      </c>
    </row>
    <row r="8286" spans="1:6" ht="15" customHeight="1" x14ac:dyDescent="0.25">
      <c r="A8286" s="2359" t="s">
        <v>10460</v>
      </c>
      <c r="B8286" s="2356" t="s">
        <v>9941</v>
      </c>
      <c r="C8286" s="2356" t="s">
        <v>9941</v>
      </c>
      <c r="D8286" s="2357" t="s">
        <v>10462</v>
      </c>
      <c r="E8286" s="2358" t="s">
        <v>10530</v>
      </c>
      <c r="F8286" s="1666">
        <v>75</v>
      </c>
    </row>
    <row r="8287" spans="1:6" ht="15" customHeight="1" x14ac:dyDescent="0.25">
      <c r="A8287" s="2359" t="s">
        <v>10316</v>
      </c>
      <c r="B8287" s="2356" t="s">
        <v>9941</v>
      </c>
      <c r="C8287" s="2356" t="s">
        <v>9941</v>
      </c>
      <c r="D8287" s="2357" t="s">
        <v>10463</v>
      </c>
      <c r="E8287" s="2358" t="s">
        <v>10530</v>
      </c>
      <c r="F8287" s="1666">
        <v>25</v>
      </c>
    </row>
    <row r="8288" spans="1:6" ht="15" customHeight="1" x14ac:dyDescent="0.25">
      <c r="A8288" s="2359" t="s">
        <v>4605</v>
      </c>
      <c r="B8288" s="2356" t="s">
        <v>9941</v>
      </c>
      <c r="C8288" s="2356" t="s">
        <v>9941</v>
      </c>
      <c r="D8288" s="2357" t="s">
        <v>10464</v>
      </c>
      <c r="E8288" s="2358" t="s">
        <v>10507</v>
      </c>
      <c r="F8288" s="1666">
        <v>50</v>
      </c>
    </row>
    <row r="8289" spans="1:6" ht="15" customHeight="1" x14ac:dyDescent="0.25">
      <c r="A8289" s="2359" t="s">
        <v>14926</v>
      </c>
      <c r="B8289" s="2356" t="s">
        <v>9941</v>
      </c>
      <c r="C8289" s="2356" t="s">
        <v>9941</v>
      </c>
      <c r="D8289" s="2357" t="s">
        <v>10465</v>
      </c>
      <c r="E8289" s="2358" t="s">
        <v>10622</v>
      </c>
      <c r="F8289" s="1666">
        <v>0</v>
      </c>
    </row>
    <row r="8290" spans="1:6" ht="15" customHeight="1" x14ac:dyDescent="0.25">
      <c r="A8290" s="2359" t="s">
        <v>4402</v>
      </c>
      <c r="B8290" s="2356" t="s">
        <v>9941</v>
      </c>
      <c r="C8290" s="2356" t="s">
        <v>9941</v>
      </c>
      <c r="D8290" s="2357" t="s">
        <v>10466</v>
      </c>
      <c r="E8290" s="2358" t="s">
        <v>10507</v>
      </c>
      <c r="F8290" s="1666">
        <v>50</v>
      </c>
    </row>
    <row r="8291" spans="1:6" ht="15" customHeight="1" x14ac:dyDescent="0.25">
      <c r="A8291" s="2359" t="s">
        <v>14927</v>
      </c>
      <c r="B8291" s="2356" t="s">
        <v>9941</v>
      </c>
      <c r="C8291" s="2356" t="s">
        <v>9941</v>
      </c>
      <c r="D8291" s="2357" t="s">
        <v>10467</v>
      </c>
      <c r="E8291" s="2358" t="s">
        <v>10534</v>
      </c>
      <c r="F8291" s="1666">
        <v>80</v>
      </c>
    </row>
    <row r="8292" spans="1:6" ht="15" customHeight="1" x14ac:dyDescent="0.25">
      <c r="A8292" s="2359" t="s">
        <v>14928</v>
      </c>
      <c r="B8292" s="2356" t="s">
        <v>9941</v>
      </c>
      <c r="C8292" s="2356" t="s">
        <v>9941</v>
      </c>
      <c r="D8292" s="2357" t="s">
        <v>10468</v>
      </c>
      <c r="E8292" s="2358" t="s">
        <v>10530</v>
      </c>
      <c r="F8292" s="1666">
        <v>225</v>
      </c>
    </row>
    <row r="8293" spans="1:6" ht="15" customHeight="1" x14ac:dyDescent="0.25">
      <c r="A8293" s="2359" t="s">
        <v>4686</v>
      </c>
      <c r="B8293" s="2356" t="s">
        <v>9941</v>
      </c>
      <c r="C8293" s="2356" t="s">
        <v>9941</v>
      </c>
      <c r="D8293" s="2357" t="s">
        <v>10469</v>
      </c>
      <c r="E8293" s="2358" t="s">
        <v>10511</v>
      </c>
      <c r="F8293" s="1666">
        <v>0</v>
      </c>
    </row>
    <row r="8294" spans="1:6" ht="15" customHeight="1" x14ac:dyDescent="0.25">
      <c r="A8294" s="2359" t="s">
        <v>10470</v>
      </c>
      <c r="B8294" s="2356" t="s">
        <v>9941</v>
      </c>
      <c r="C8294" s="2356" t="s">
        <v>9941</v>
      </c>
      <c r="D8294" s="2357" t="s">
        <v>10471</v>
      </c>
      <c r="E8294" s="2358" t="s">
        <v>10507</v>
      </c>
      <c r="F8294" s="1666">
        <v>10</v>
      </c>
    </row>
    <row r="8295" spans="1:6" ht="15" customHeight="1" x14ac:dyDescent="0.25">
      <c r="A8295" s="2359" t="s">
        <v>10472</v>
      </c>
      <c r="B8295" s="2356" t="s">
        <v>9941</v>
      </c>
      <c r="C8295" s="2356" t="s">
        <v>9941</v>
      </c>
      <c r="D8295" s="2357" t="s">
        <v>10473</v>
      </c>
      <c r="E8295" s="2358" t="s">
        <v>10536</v>
      </c>
      <c r="F8295" s="1666">
        <v>9</v>
      </c>
    </row>
    <row r="8296" spans="1:6" ht="15" customHeight="1" x14ac:dyDescent="0.25">
      <c r="A8296" s="2359" t="s">
        <v>14929</v>
      </c>
      <c r="B8296" s="2356" t="s">
        <v>9941</v>
      </c>
      <c r="C8296" s="2356" t="s">
        <v>9941</v>
      </c>
      <c r="D8296" s="2357" t="s">
        <v>10474</v>
      </c>
      <c r="E8296" s="2358" t="s">
        <v>10536</v>
      </c>
      <c r="F8296" s="1666">
        <v>12</v>
      </c>
    </row>
    <row r="8297" spans="1:6" ht="15" customHeight="1" x14ac:dyDescent="0.25">
      <c r="A8297" s="2359" t="s">
        <v>7590</v>
      </c>
      <c r="B8297" s="2356" t="s">
        <v>9941</v>
      </c>
      <c r="C8297" s="2356" t="s">
        <v>9941</v>
      </c>
      <c r="D8297" s="2357" t="s">
        <v>10475</v>
      </c>
      <c r="E8297" s="2358" t="s">
        <v>10534</v>
      </c>
      <c r="F8297" s="1666">
        <v>32</v>
      </c>
    </row>
    <row r="8298" spans="1:6" ht="15" customHeight="1" x14ac:dyDescent="0.25">
      <c r="A8298" s="2359" t="s">
        <v>10085</v>
      </c>
      <c r="B8298" s="2356" t="s">
        <v>9941</v>
      </c>
      <c r="C8298" s="2356" t="s">
        <v>9941</v>
      </c>
      <c r="D8298" s="2357" t="s">
        <v>10476</v>
      </c>
      <c r="E8298" s="2358" t="s">
        <v>8651</v>
      </c>
      <c r="F8298" s="1666">
        <v>2.5</v>
      </c>
    </row>
    <row r="8299" spans="1:6" ht="15" customHeight="1" x14ac:dyDescent="0.25">
      <c r="A8299" s="2359" t="s">
        <v>14930</v>
      </c>
      <c r="B8299" s="2356" t="s">
        <v>9941</v>
      </c>
      <c r="C8299" s="2356" t="s">
        <v>9941</v>
      </c>
      <c r="D8299" s="2357" t="s">
        <v>10477</v>
      </c>
      <c r="E8299" s="2358" t="s">
        <v>10511</v>
      </c>
      <c r="F8299" s="1666">
        <v>18</v>
      </c>
    </row>
    <row r="8300" spans="1:6" ht="15" customHeight="1" x14ac:dyDescent="0.25">
      <c r="A8300" s="2359" t="s">
        <v>3801</v>
      </c>
      <c r="B8300" s="2356" t="s">
        <v>9941</v>
      </c>
      <c r="C8300" s="2356" t="s">
        <v>9941</v>
      </c>
      <c r="D8300" s="2357" t="s">
        <v>10478</v>
      </c>
      <c r="E8300" s="2358" t="s">
        <v>10581</v>
      </c>
      <c r="F8300" s="1666">
        <v>0</v>
      </c>
    </row>
    <row r="8301" spans="1:6" ht="15" customHeight="1" x14ac:dyDescent="0.25">
      <c r="A8301" s="2359" t="s">
        <v>10479</v>
      </c>
      <c r="B8301" s="2356" t="s">
        <v>9941</v>
      </c>
      <c r="C8301" s="2356" t="s">
        <v>9941</v>
      </c>
      <c r="D8301" s="2357" t="s">
        <v>10480</v>
      </c>
      <c r="E8301" s="2358" t="s">
        <v>10507</v>
      </c>
      <c r="F8301" s="1666">
        <v>40</v>
      </c>
    </row>
    <row r="8302" spans="1:6" ht="15" customHeight="1" x14ac:dyDescent="0.25">
      <c r="A8302" s="2359" t="s">
        <v>10481</v>
      </c>
      <c r="B8302" s="2356" t="s">
        <v>9941</v>
      </c>
      <c r="C8302" s="2356" t="s">
        <v>9941</v>
      </c>
      <c r="D8302" s="2357" t="s">
        <v>10482</v>
      </c>
      <c r="E8302" s="2358" t="s">
        <v>10536</v>
      </c>
      <c r="F8302" s="1666">
        <v>0</v>
      </c>
    </row>
    <row r="8303" spans="1:6" ht="15" customHeight="1" x14ac:dyDescent="0.25">
      <c r="A8303" s="2359" t="s">
        <v>8097</v>
      </c>
      <c r="B8303" s="2356" t="s">
        <v>9941</v>
      </c>
      <c r="C8303" s="2356" t="s">
        <v>9941</v>
      </c>
      <c r="D8303" s="2357" t="s">
        <v>10483</v>
      </c>
      <c r="E8303" s="2358" t="s">
        <v>10511</v>
      </c>
      <c r="F8303" s="1666">
        <v>18</v>
      </c>
    </row>
    <row r="8304" spans="1:6" ht="15" customHeight="1" x14ac:dyDescent="0.25">
      <c r="A8304" s="2359" t="s">
        <v>10484</v>
      </c>
      <c r="B8304" s="2356" t="s">
        <v>9941</v>
      </c>
      <c r="C8304" s="2356" t="s">
        <v>9941</v>
      </c>
      <c r="D8304" s="2357" t="s">
        <v>10485</v>
      </c>
      <c r="E8304" s="2358" t="s">
        <v>10517</v>
      </c>
      <c r="F8304" s="1666">
        <v>12.6</v>
      </c>
    </row>
    <row r="8305" spans="1:6" ht="15" customHeight="1" x14ac:dyDescent="0.25">
      <c r="A8305" s="2359" t="s">
        <v>4741</v>
      </c>
      <c r="B8305" s="2356" t="s">
        <v>9941</v>
      </c>
      <c r="C8305" s="2356" t="s">
        <v>9941</v>
      </c>
      <c r="D8305" s="2357" t="s">
        <v>10486</v>
      </c>
      <c r="E8305" s="2358" t="s">
        <v>10511</v>
      </c>
      <c r="F8305" s="1666">
        <v>6</v>
      </c>
    </row>
    <row r="8306" spans="1:6" ht="15" customHeight="1" x14ac:dyDescent="0.25">
      <c r="A8306" s="2359" t="s">
        <v>10205</v>
      </c>
      <c r="B8306" s="2356" t="s">
        <v>9941</v>
      </c>
      <c r="C8306" s="2356" t="s">
        <v>9941</v>
      </c>
      <c r="D8306" s="2357" t="s">
        <v>10487</v>
      </c>
      <c r="E8306" s="2358" t="s">
        <v>10507</v>
      </c>
      <c r="F8306" s="1666">
        <v>20</v>
      </c>
    </row>
    <row r="8307" spans="1:6" ht="15" customHeight="1" x14ac:dyDescent="0.25">
      <c r="A8307" s="2359" t="s">
        <v>8242</v>
      </c>
      <c r="B8307" s="2356" t="s">
        <v>9941</v>
      </c>
      <c r="C8307" s="2356" t="s">
        <v>9941</v>
      </c>
      <c r="D8307" s="2357" t="s">
        <v>10488</v>
      </c>
      <c r="E8307" s="2358" t="s">
        <v>10507</v>
      </c>
      <c r="F8307" s="1666">
        <v>30</v>
      </c>
    </row>
    <row r="8308" spans="1:6" ht="15" customHeight="1" x14ac:dyDescent="0.25">
      <c r="A8308" s="2359" t="s">
        <v>7298</v>
      </c>
      <c r="B8308" s="2356" t="s">
        <v>9941</v>
      </c>
      <c r="C8308" s="2356" t="s">
        <v>9941</v>
      </c>
      <c r="D8308" s="2357" t="s">
        <v>10489</v>
      </c>
      <c r="E8308" s="2358" t="s">
        <v>10511</v>
      </c>
      <c r="F8308" s="1666">
        <v>30</v>
      </c>
    </row>
    <row r="8309" spans="1:6" ht="15" customHeight="1" x14ac:dyDescent="0.25">
      <c r="A8309" s="2359" t="s">
        <v>9226</v>
      </c>
      <c r="B8309" s="2356" t="s">
        <v>9941</v>
      </c>
      <c r="C8309" s="2356" t="s">
        <v>9941</v>
      </c>
      <c r="D8309" s="2357" t="s">
        <v>10490</v>
      </c>
      <c r="E8309" s="2358" t="s">
        <v>10530</v>
      </c>
      <c r="F8309" s="1666">
        <v>125</v>
      </c>
    </row>
    <row r="8310" spans="1:6" ht="15" customHeight="1" x14ac:dyDescent="0.25">
      <c r="A8310" s="2359" t="s">
        <v>3836</v>
      </c>
      <c r="B8310" s="2356" t="s">
        <v>9941</v>
      </c>
      <c r="C8310" s="2356" t="s">
        <v>9941</v>
      </c>
      <c r="D8310" s="2357" t="s">
        <v>10491</v>
      </c>
      <c r="E8310" s="2358" t="s">
        <v>10534</v>
      </c>
      <c r="F8310" s="1666">
        <v>16</v>
      </c>
    </row>
    <row r="8311" spans="1:6" ht="15" customHeight="1" x14ac:dyDescent="0.25">
      <c r="A8311" s="2359" t="s">
        <v>10307</v>
      </c>
      <c r="B8311" s="2356" t="s">
        <v>9941</v>
      </c>
      <c r="C8311" s="2356" t="s">
        <v>9941</v>
      </c>
      <c r="D8311" s="2357" t="s">
        <v>10492</v>
      </c>
      <c r="E8311" s="2358" t="s">
        <v>10507</v>
      </c>
      <c r="F8311" s="1666">
        <v>40</v>
      </c>
    </row>
    <row r="8312" spans="1:6" ht="15" customHeight="1" x14ac:dyDescent="0.25">
      <c r="A8312" s="2359" t="s">
        <v>14931</v>
      </c>
      <c r="B8312" s="2356" t="s">
        <v>9941</v>
      </c>
      <c r="C8312" s="2356" t="s">
        <v>9941</v>
      </c>
      <c r="D8312" s="2357" t="s">
        <v>10493</v>
      </c>
      <c r="E8312" s="2358" t="s">
        <v>10536</v>
      </c>
      <c r="F8312" s="1666">
        <v>3</v>
      </c>
    </row>
    <row r="8313" spans="1:6" ht="15" customHeight="1" x14ac:dyDescent="0.25">
      <c r="A8313" s="2359" t="s">
        <v>10494</v>
      </c>
      <c r="B8313" s="2356" t="s">
        <v>9941</v>
      </c>
      <c r="C8313" s="2356" t="s">
        <v>9941</v>
      </c>
      <c r="D8313" s="2357" t="s">
        <v>10495</v>
      </c>
      <c r="E8313" s="2358" t="s">
        <v>10536</v>
      </c>
      <c r="F8313" s="1666">
        <v>0</v>
      </c>
    </row>
    <row r="8314" spans="1:6" ht="15" customHeight="1" x14ac:dyDescent="0.25">
      <c r="A8314" s="2359" t="s">
        <v>14932</v>
      </c>
      <c r="B8314" s="2356" t="s">
        <v>9941</v>
      </c>
      <c r="C8314" s="2356" t="s">
        <v>9941</v>
      </c>
      <c r="D8314" s="2357" t="s">
        <v>10496</v>
      </c>
      <c r="E8314" s="2358" t="s">
        <v>10530</v>
      </c>
      <c r="F8314" s="1666">
        <v>62.5</v>
      </c>
    </row>
    <row r="8315" spans="1:6" ht="15" customHeight="1" x14ac:dyDescent="0.25">
      <c r="A8315" s="2359" t="s">
        <v>14933</v>
      </c>
      <c r="B8315" s="2356" t="s">
        <v>9941</v>
      </c>
      <c r="C8315" s="2356" t="s">
        <v>9941</v>
      </c>
      <c r="D8315" s="2357" t="s">
        <v>10497</v>
      </c>
      <c r="E8315" s="2358" t="s">
        <v>8651</v>
      </c>
      <c r="F8315" s="1666">
        <v>5</v>
      </c>
    </row>
    <row r="8316" spans="1:6" ht="15" customHeight="1" x14ac:dyDescent="0.25">
      <c r="A8316" s="2359" t="s">
        <v>14934</v>
      </c>
      <c r="B8316" s="2356" t="s">
        <v>9941</v>
      </c>
      <c r="C8316" s="2356" t="s">
        <v>9941</v>
      </c>
      <c r="D8316" s="2357" t="s">
        <v>10498</v>
      </c>
      <c r="E8316" s="2358" t="s">
        <v>10511</v>
      </c>
      <c r="F8316" s="1666">
        <v>30</v>
      </c>
    </row>
    <row r="8317" spans="1:6" ht="15" customHeight="1" x14ac:dyDescent="0.25">
      <c r="A8317" s="2359" t="s">
        <v>14935</v>
      </c>
      <c r="B8317" s="2356" t="s">
        <v>9941</v>
      </c>
      <c r="C8317" s="2356" t="s">
        <v>9941</v>
      </c>
      <c r="D8317" s="2357" t="s">
        <v>10499</v>
      </c>
      <c r="E8317" s="2358" t="s">
        <v>10536</v>
      </c>
      <c r="F8317" s="1666">
        <v>1.5</v>
      </c>
    </row>
    <row r="8318" spans="1:6" ht="15" customHeight="1" x14ac:dyDescent="0.25">
      <c r="A8318" s="2359" t="s">
        <v>14936</v>
      </c>
      <c r="B8318" s="2356" t="s">
        <v>9941</v>
      </c>
      <c r="C8318" s="2356" t="s">
        <v>9941</v>
      </c>
      <c r="D8318" s="2357" t="s">
        <v>10500</v>
      </c>
      <c r="E8318" s="2358" t="s">
        <v>10536</v>
      </c>
      <c r="F8318" s="1666">
        <v>0</v>
      </c>
    </row>
    <row r="8319" spans="1:6" ht="15" customHeight="1" x14ac:dyDescent="0.25">
      <c r="A8319" s="2359" t="s">
        <v>14937</v>
      </c>
      <c r="B8319" s="2356" t="s">
        <v>9941</v>
      </c>
      <c r="C8319" s="2356" t="s">
        <v>9941</v>
      </c>
      <c r="D8319" s="2357" t="s">
        <v>10501</v>
      </c>
      <c r="E8319" s="2358" t="s">
        <v>10536</v>
      </c>
      <c r="F8319" s="1666">
        <v>9</v>
      </c>
    </row>
    <row r="8320" spans="1:6" ht="15" customHeight="1" x14ac:dyDescent="0.25">
      <c r="A8320" s="2359" t="s">
        <v>10450</v>
      </c>
      <c r="B8320" s="2356" t="s">
        <v>9941</v>
      </c>
      <c r="C8320" s="2356" t="s">
        <v>9941</v>
      </c>
      <c r="D8320" s="2357" t="s">
        <v>10502</v>
      </c>
      <c r="E8320" s="2358" t="s">
        <v>10530</v>
      </c>
      <c r="F8320" s="1666">
        <v>50</v>
      </c>
    </row>
    <row r="8321" spans="1:6" ht="15" customHeight="1" x14ac:dyDescent="0.25">
      <c r="A8321" s="2359" t="s">
        <v>10450</v>
      </c>
      <c r="B8321" s="2356" t="s">
        <v>9941</v>
      </c>
      <c r="C8321" s="2356" t="s">
        <v>9941</v>
      </c>
      <c r="D8321" s="2357" t="s">
        <v>10503</v>
      </c>
      <c r="E8321" s="2358" t="s">
        <v>10536</v>
      </c>
      <c r="F8321" s="1666">
        <v>9</v>
      </c>
    </row>
    <row r="8322" spans="1:6" ht="15" customHeight="1" x14ac:dyDescent="0.25">
      <c r="A8322" s="2359" t="s">
        <v>11564</v>
      </c>
      <c r="B8322" s="2356" t="s">
        <v>11565</v>
      </c>
      <c r="C8322" s="2356" t="s">
        <v>11565</v>
      </c>
      <c r="D8322" s="2357" t="s">
        <v>11566</v>
      </c>
      <c r="E8322" s="2358" t="s">
        <v>10507</v>
      </c>
      <c r="F8322" s="1666">
        <v>37</v>
      </c>
    </row>
    <row r="8323" spans="1:6" ht="15" customHeight="1" x14ac:dyDescent="0.25">
      <c r="A8323" s="2359" t="s">
        <v>11567</v>
      </c>
      <c r="B8323" s="2356" t="s">
        <v>11565</v>
      </c>
      <c r="C8323" s="2356" t="s">
        <v>11565</v>
      </c>
      <c r="D8323" s="2357" t="s">
        <v>11568</v>
      </c>
      <c r="E8323" s="2358" t="s">
        <v>10517</v>
      </c>
      <c r="F8323" s="1666">
        <v>21</v>
      </c>
    </row>
    <row r="8324" spans="1:6" ht="15" customHeight="1" x14ac:dyDescent="0.25">
      <c r="A8324" s="2359" t="s">
        <v>11569</v>
      </c>
      <c r="B8324" s="2356" t="s">
        <v>11565</v>
      </c>
      <c r="C8324" s="2356" t="s">
        <v>11565</v>
      </c>
      <c r="D8324" s="2357" t="s">
        <v>11570</v>
      </c>
      <c r="E8324" s="2358" t="s">
        <v>10530</v>
      </c>
      <c r="F8324" s="1666">
        <v>14</v>
      </c>
    </row>
    <row r="8325" spans="1:6" ht="15" customHeight="1" x14ac:dyDescent="0.25">
      <c r="A8325" s="2359"/>
      <c r="B8325" s="2356" t="s">
        <v>11565</v>
      </c>
      <c r="C8325" s="2356" t="s">
        <v>11565</v>
      </c>
      <c r="D8325" s="2357" t="s">
        <v>11571</v>
      </c>
      <c r="E8325" s="2358" t="s">
        <v>10534</v>
      </c>
      <c r="F8325" s="1666">
        <v>22</v>
      </c>
    </row>
    <row r="8326" spans="1:6" ht="15" customHeight="1" x14ac:dyDescent="0.25">
      <c r="A8326" s="2359"/>
      <c r="B8326" s="2356" t="s">
        <v>11565</v>
      </c>
      <c r="C8326" s="2356" t="s">
        <v>11565</v>
      </c>
      <c r="D8326" s="2357" t="s">
        <v>11572</v>
      </c>
      <c r="E8326" s="2358" t="s">
        <v>19376</v>
      </c>
      <c r="F8326" s="1666">
        <v>0</v>
      </c>
    </row>
    <row r="8327" spans="1:6" ht="15" customHeight="1" x14ac:dyDescent="0.25">
      <c r="A8327" s="2359"/>
      <c r="B8327" s="2356" t="s">
        <v>11565</v>
      </c>
      <c r="C8327" s="2356" t="s">
        <v>11565</v>
      </c>
      <c r="D8327" s="2357" t="s">
        <v>11573</v>
      </c>
      <c r="E8327" s="2358" t="s">
        <v>10530</v>
      </c>
      <c r="F8327" s="1666">
        <v>10</v>
      </c>
    </row>
    <row r="8328" spans="1:6" ht="15" customHeight="1" x14ac:dyDescent="0.25">
      <c r="A8328" s="2359" t="s">
        <v>11574</v>
      </c>
      <c r="B8328" s="2356" t="s">
        <v>11565</v>
      </c>
      <c r="C8328" s="2356" t="s">
        <v>11565</v>
      </c>
      <c r="D8328" s="2357" t="s">
        <v>11575</v>
      </c>
      <c r="E8328" s="2358" t="s">
        <v>10534</v>
      </c>
      <c r="F8328" s="1666">
        <v>3.2</v>
      </c>
    </row>
    <row r="8329" spans="1:6" ht="15" customHeight="1" x14ac:dyDescent="0.25">
      <c r="A8329" s="2359" t="s">
        <v>11576</v>
      </c>
      <c r="B8329" s="2356" t="s">
        <v>11565</v>
      </c>
      <c r="C8329" s="2356" t="s">
        <v>11565</v>
      </c>
      <c r="D8329" s="2357" t="s">
        <v>11577</v>
      </c>
      <c r="E8329" s="2358" t="s">
        <v>10536</v>
      </c>
      <c r="F8329" s="1666">
        <v>10.199999999999999</v>
      </c>
    </row>
    <row r="8330" spans="1:6" ht="15" customHeight="1" x14ac:dyDescent="0.25">
      <c r="A8330" s="2359" t="s">
        <v>19377</v>
      </c>
      <c r="B8330" s="2356" t="s">
        <v>11565</v>
      </c>
      <c r="C8330" s="2356" t="s">
        <v>11565</v>
      </c>
      <c r="D8330" s="2357" t="s">
        <v>11578</v>
      </c>
      <c r="E8330" s="2358" t="s">
        <v>10534</v>
      </c>
      <c r="F8330" s="1666">
        <v>48</v>
      </c>
    </row>
    <row r="8331" spans="1:6" ht="15" customHeight="1" x14ac:dyDescent="0.25">
      <c r="A8331" s="2359"/>
      <c r="B8331" s="2356" t="s">
        <v>11565</v>
      </c>
      <c r="C8331" s="2356" t="s">
        <v>11565</v>
      </c>
      <c r="D8331" s="2357" t="s">
        <v>11579</v>
      </c>
      <c r="E8331" s="2358" t="s">
        <v>10534</v>
      </c>
      <c r="F8331" s="1666">
        <v>11.4</v>
      </c>
    </row>
    <row r="8332" spans="1:6" ht="15" customHeight="1" x14ac:dyDescent="0.25">
      <c r="A8332" s="2359"/>
      <c r="B8332" s="2356" t="s">
        <v>11565</v>
      </c>
      <c r="C8332" s="2356" t="s">
        <v>11565</v>
      </c>
      <c r="D8332" s="2357" t="s">
        <v>11580</v>
      </c>
      <c r="E8332" s="2358" t="s">
        <v>10507</v>
      </c>
      <c r="F8332" s="1666">
        <v>17</v>
      </c>
    </row>
    <row r="8333" spans="1:6" ht="15" customHeight="1" x14ac:dyDescent="0.25">
      <c r="A8333" s="2359" t="s">
        <v>11581</v>
      </c>
      <c r="B8333" s="2356" t="s">
        <v>11565</v>
      </c>
      <c r="C8333" s="2356" t="s">
        <v>11565</v>
      </c>
      <c r="D8333" s="2357" t="s">
        <v>11582</v>
      </c>
      <c r="E8333" s="2358" t="s">
        <v>10534</v>
      </c>
      <c r="F8333" s="1666">
        <v>19</v>
      </c>
    </row>
    <row r="8334" spans="1:6" ht="15" customHeight="1" x14ac:dyDescent="0.25">
      <c r="A8334" s="2359" t="s">
        <v>11583</v>
      </c>
      <c r="B8334" s="2356" t="s">
        <v>11565</v>
      </c>
      <c r="C8334" s="2356" t="s">
        <v>11565</v>
      </c>
      <c r="D8334" s="2357" t="s">
        <v>11584</v>
      </c>
      <c r="E8334" s="2358" t="s">
        <v>10534</v>
      </c>
      <c r="F8334" s="1666">
        <v>11</v>
      </c>
    </row>
    <row r="8335" spans="1:6" ht="15" customHeight="1" x14ac:dyDescent="0.25">
      <c r="A8335" s="2359" t="s">
        <v>11585</v>
      </c>
      <c r="B8335" s="2356" t="s">
        <v>11565</v>
      </c>
      <c r="C8335" s="2356" t="s">
        <v>11565</v>
      </c>
      <c r="D8335" s="2357" t="s">
        <v>11586</v>
      </c>
      <c r="E8335" s="2358" t="s">
        <v>10622</v>
      </c>
      <c r="F8335" s="1666">
        <v>19</v>
      </c>
    </row>
    <row r="8336" spans="1:6" ht="15" customHeight="1" x14ac:dyDescent="0.25">
      <c r="A8336" s="2359" t="s">
        <v>11587</v>
      </c>
      <c r="B8336" s="2356" t="s">
        <v>11565</v>
      </c>
      <c r="C8336" s="2356" t="s">
        <v>11565</v>
      </c>
      <c r="D8336" s="2357" t="s">
        <v>11588</v>
      </c>
      <c r="E8336" s="2358" t="s">
        <v>10622</v>
      </c>
      <c r="F8336" s="1666">
        <v>22</v>
      </c>
    </row>
    <row r="8337" spans="1:6" ht="15" customHeight="1" x14ac:dyDescent="0.25">
      <c r="A8337" s="2359" t="s">
        <v>11589</v>
      </c>
      <c r="B8337" s="2356" t="s">
        <v>11565</v>
      </c>
      <c r="C8337" s="2356" t="s">
        <v>11565</v>
      </c>
      <c r="D8337" s="2357" t="s">
        <v>11590</v>
      </c>
      <c r="E8337" s="2358" t="s">
        <v>10536</v>
      </c>
      <c r="F8337" s="1666">
        <v>9.3000000000000007</v>
      </c>
    </row>
    <row r="8338" spans="1:6" ht="15" customHeight="1" x14ac:dyDescent="0.25">
      <c r="A8338" s="2359" t="s">
        <v>11591</v>
      </c>
      <c r="B8338" s="2356" t="s">
        <v>11565</v>
      </c>
      <c r="C8338" s="2356" t="s">
        <v>11565</v>
      </c>
      <c r="D8338" s="2357" t="s">
        <v>11592</v>
      </c>
      <c r="E8338" s="2358" t="s">
        <v>10536</v>
      </c>
      <c r="F8338" s="1666">
        <v>10</v>
      </c>
    </row>
    <row r="8339" spans="1:6" ht="15" customHeight="1" x14ac:dyDescent="0.25">
      <c r="A8339" s="2359" t="s">
        <v>11593</v>
      </c>
      <c r="B8339" s="2356" t="s">
        <v>11565</v>
      </c>
      <c r="C8339" s="2356" t="s">
        <v>11565</v>
      </c>
      <c r="D8339" s="2357" t="s">
        <v>11594</v>
      </c>
      <c r="E8339" s="2358" t="s">
        <v>10507</v>
      </c>
      <c r="F8339" s="1666">
        <v>20</v>
      </c>
    </row>
    <row r="8340" spans="1:6" ht="15" customHeight="1" x14ac:dyDescent="0.25">
      <c r="A8340" s="2359" t="s">
        <v>11595</v>
      </c>
      <c r="B8340" s="2356" t="s">
        <v>11565</v>
      </c>
      <c r="C8340" s="2356" t="s">
        <v>11565</v>
      </c>
      <c r="D8340" s="2357" t="s">
        <v>11596</v>
      </c>
      <c r="E8340" s="2358" t="s">
        <v>10517</v>
      </c>
      <c r="F8340" s="1666">
        <v>6</v>
      </c>
    </row>
    <row r="8341" spans="1:6" ht="15" customHeight="1" x14ac:dyDescent="0.25">
      <c r="A8341" s="2359" t="s">
        <v>11597</v>
      </c>
      <c r="B8341" s="2356" t="s">
        <v>11565</v>
      </c>
      <c r="C8341" s="2356" t="s">
        <v>11565</v>
      </c>
      <c r="D8341" s="2357" t="s">
        <v>11598</v>
      </c>
      <c r="E8341" s="2358" t="s">
        <v>10507</v>
      </c>
      <c r="F8341" s="1666">
        <v>14</v>
      </c>
    </row>
    <row r="8342" spans="1:6" ht="15" customHeight="1" x14ac:dyDescent="0.25">
      <c r="A8342" s="2359" t="s">
        <v>6460</v>
      </c>
      <c r="B8342" s="2356" t="s">
        <v>11565</v>
      </c>
      <c r="C8342" s="2356" t="s">
        <v>11565</v>
      </c>
      <c r="D8342" s="2357" t="s">
        <v>11599</v>
      </c>
      <c r="E8342" s="2358" t="s">
        <v>10507</v>
      </c>
      <c r="F8342" s="1666">
        <v>20</v>
      </c>
    </row>
    <row r="8343" spans="1:6" ht="15" customHeight="1" x14ac:dyDescent="0.25">
      <c r="A8343" s="2359" t="s">
        <v>11600</v>
      </c>
      <c r="B8343" s="2356" t="s">
        <v>11565</v>
      </c>
      <c r="C8343" s="2356" t="s">
        <v>11565</v>
      </c>
      <c r="D8343" s="2357" t="s">
        <v>19378</v>
      </c>
      <c r="E8343" s="2358" t="s">
        <v>10507</v>
      </c>
      <c r="F8343" s="1666">
        <v>20</v>
      </c>
    </row>
    <row r="8344" spans="1:6" ht="15" customHeight="1" x14ac:dyDescent="0.25">
      <c r="A8344" s="2359"/>
      <c r="B8344" s="2356" t="s">
        <v>11565</v>
      </c>
      <c r="C8344" s="2356" t="s">
        <v>11565</v>
      </c>
      <c r="D8344" s="2357" t="s">
        <v>11601</v>
      </c>
      <c r="E8344" s="2358" t="s">
        <v>10530</v>
      </c>
      <c r="F8344" s="1666">
        <v>25.55</v>
      </c>
    </row>
    <row r="8345" spans="1:6" ht="15" customHeight="1" x14ac:dyDescent="0.25">
      <c r="A8345" s="2359"/>
      <c r="B8345" s="2356" t="s">
        <v>11565</v>
      </c>
      <c r="C8345" s="2356" t="s">
        <v>11565</v>
      </c>
      <c r="D8345" s="2357" t="s">
        <v>11602</v>
      </c>
      <c r="E8345" s="2358" t="s">
        <v>10534</v>
      </c>
      <c r="F8345" s="1666">
        <v>40.85</v>
      </c>
    </row>
    <row r="8346" spans="1:6" ht="15" customHeight="1" x14ac:dyDescent="0.25">
      <c r="A8346" s="2359" t="s">
        <v>11603</v>
      </c>
      <c r="B8346" s="2356" t="s">
        <v>11565</v>
      </c>
      <c r="C8346" s="2356" t="s">
        <v>11565</v>
      </c>
      <c r="D8346" s="2357" t="s">
        <v>11604</v>
      </c>
      <c r="E8346" s="2358" t="s">
        <v>10536</v>
      </c>
      <c r="F8346" s="1666">
        <v>8</v>
      </c>
    </row>
    <row r="8347" spans="1:6" ht="15" customHeight="1" x14ac:dyDescent="0.25">
      <c r="A8347" s="2359" t="s">
        <v>11605</v>
      </c>
      <c r="B8347" s="2356" t="s">
        <v>11565</v>
      </c>
      <c r="C8347" s="2356" t="s">
        <v>11565</v>
      </c>
      <c r="D8347" s="2357" t="s">
        <v>11606</v>
      </c>
      <c r="E8347" s="2358" t="s">
        <v>10536</v>
      </c>
      <c r="F8347" s="1666">
        <v>10</v>
      </c>
    </row>
    <row r="8348" spans="1:6" ht="15" customHeight="1" x14ac:dyDescent="0.25">
      <c r="A8348" s="2359" t="s">
        <v>11607</v>
      </c>
      <c r="B8348" s="2356" t="s">
        <v>11565</v>
      </c>
      <c r="C8348" s="2356" t="s">
        <v>11565</v>
      </c>
      <c r="D8348" s="2357" t="s">
        <v>11608</v>
      </c>
      <c r="E8348" s="2358" t="s">
        <v>8651</v>
      </c>
      <c r="F8348" s="1666">
        <v>8.6</v>
      </c>
    </row>
    <row r="8349" spans="1:6" ht="15" customHeight="1" x14ac:dyDescent="0.25">
      <c r="A8349" s="2359" t="s">
        <v>4916</v>
      </c>
      <c r="B8349" s="2356" t="s">
        <v>11565</v>
      </c>
      <c r="C8349" s="2356" t="s">
        <v>11565</v>
      </c>
      <c r="D8349" s="2357" t="s">
        <v>11609</v>
      </c>
      <c r="E8349" s="2358" t="s">
        <v>10536</v>
      </c>
      <c r="F8349" s="1666">
        <v>9.3000000000000007</v>
      </c>
    </row>
    <row r="8350" spans="1:6" ht="15" customHeight="1" x14ac:dyDescent="0.25">
      <c r="A8350" s="2359" t="s">
        <v>11610</v>
      </c>
      <c r="B8350" s="2356" t="s">
        <v>11565</v>
      </c>
      <c r="C8350" s="2356" t="s">
        <v>11565</v>
      </c>
      <c r="D8350" s="2357" t="s">
        <v>11611</v>
      </c>
      <c r="E8350" s="2358" t="s">
        <v>10507</v>
      </c>
      <c r="F8350" s="1666">
        <v>31.4</v>
      </c>
    </row>
    <row r="8351" spans="1:6" ht="15" customHeight="1" x14ac:dyDescent="0.25">
      <c r="A8351" s="2359" t="s">
        <v>11612</v>
      </c>
      <c r="B8351" s="2356" t="s">
        <v>11565</v>
      </c>
      <c r="C8351" s="2356" t="s">
        <v>11565</v>
      </c>
      <c r="D8351" s="2357" t="s">
        <v>11613</v>
      </c>
      <c r="E8351" s="2358" t="s">
        <v>10507</v>
      </c>
      <c r="F8351" s="1666">
        <v>48</v>
      </c>
    </row>
    <row r="8352" spans="1:6" ht="15" customHeight="1" x14ac:dyDescent="0.25">
      <c r="A8352" s="2359" t="s">
        <v>19379</v>
      </c>
      <c r="B8352" s="2356" t="s">
        <v>11565</v>
      </c>
      <c r="C8352" s="2356" t="s">
        <v>11565</v>
      </c>
      <c r="D8352" s="2357" t="s">
        <v>11614</v>
      </c>
      <c r="E8352" s="2358" t="s">
        <v>10530</v>
      </c>
      <c r="F8352" s="1666">
        <v>5.5</v>
      </c>
    </row>
    <row r="8353" spans="1:6" ht="15" customHeight="1" x14ac:dyDescent="0.25">
      <c r="A8353" s="2359"/>
      <c r="B8353" s="2356" t="s">
        <v>11565</v>
      </c>
      <c r="C8353" s="2356" t="s">
        <v>11565</v>
      </c>
      <c r="D8353" s="2357" t="s">
        <v>11615</v>
      </c>
      <c r="E8353" s="2358" t="s">
        <v>10509</v>
      </c>
      <c r="F8353" s="1666">
        <v>16</v>
      </c>
    </row>
    <row r="8354" spans="1:6" ht="15" customHeight="1" x14ac:dyDescent="0.25">
      <c r="A8354" s="2359"/>
      <c r="B8354" s="2356" t="s">
        <v>11565</v>
      </c>
      <c r="C8354" s="2356" t="s">
        <v>11565</v>
      </c>
      <c r="D8354" s="2357" t="s">
        <v>11616</v>
      </c>
      <c r="E8354" s="2358" t="s">
        <v>4199</v>
      </c>
      <c r="F8354" s="1666">
        <v>28</v>
      </c>
    </row>
    <row r="8355" spans="1:6" ht="15" customHeight="1" x14ac:dyDescent="0.25">
      <c r="A8355" s="2359" t="s">
        <v>19380</v>
      </c>
      <c r="B8355" s="2356" t="s">
        <v>11565</v>
      </c>
      <c r="C8355" s="2356" t="s">
        <v>11565</v>
      </c>
      <c r="D8355" s="2357" t="s">
        <v>11617</v>
      </c>
      <c r="E8355" s="2358" t="s">
        <v>10530</v>
      </c>
      <c r="F8355" s="1666">
        <v>5</v>
      </c>
    </row>
    <row r="8356" spans="1:6" ht="15" customHeight="1" x14ac:dyDescent="0.25">
      <c r="A8356" s="2359" t="s">
        <v>11618</v>
      </c>
      <c r="B8356" s="2356" t="s">
        <v>11565</v>
      </c>
      <c r="C8356" s="2356" t="s">
        <v>11565</v>
      </c>
      <c r="D8356" s="2357" t="s">
        <v>11619</v>
      </c>
      <c r="E8356" s="2358" t="s">
        <v>10530</v>
      </c>
      <c r="F8356" s="1666">
        <v>40</v>
      </c>
    </row>
    <row r="8357" spans="1:6" ht="15" customHeight="1" x14ac:dyDescent="0.25">
      <c r="A8357" s="2359" t="s">
        <v>11620</v>
      </c>
      <c r="B8357" s="2356" t="s">
        <v>11565</v>
      </c>
      <c r="C8357" s="2356" t="s">
        <v>11565</v>
      </c>
      <c r="D8357" s="2357" t="s">
        <v>11621</v>
      </c>
      <c r="E8357" s="2358" t="s">
        <v>10536</v>
      </c>
      <c r="F8357" s="1666">
        <v>8.9</v>
      </c>
    </row>
    <row r="8358" spans="1:6" ht="15" customHeight="1" x14ac:dyDescent="0.25">
      <c r="A8358" s="2359" t="s">
        <v>19381</v>
      </c>
      <c r="B8358" s="2356" t="s">
        <v>11565</v>
      </c>
      <c r="C8358" s="2356" t="s">
        <v>11565</v>
      </c>
      <c r="D8358" s="2357" t="s">
        <v>11622</v>
      </c>
      <c r="E8358" s="2358" t="s">
        <v>10507</v>
      </c>
      <c r="F8358" s="1666">
        <v>14.4</v>
      </c>
    </row>
    <row r="8359" spans="1:6" ht="15" customHeight="1" x14ac:dyDescent="0.25">
      <c r="A8359" s="2359" t="s">
        <v>19382</v>
      </c>
      <c r="B8359" s="2356" t="s">
        <v>11565</v>
      </c>
      <c r="C8359" s="2356" t="s">
        <v>11565</v>
      </c>
      <c r="D8359" s="2357" t="s">
        <v>11623</v>
      </c>
      <c r="E8359" s="2358" t="s">
        <v>10507</v>
      </c>
      <c r="F8359" s="1666">
        <v>29</v>
      </c>
    </row>
    <row r="8360" spans="1:6" ht="15" customHeight="1" x14ac:dyDescent="0.25">
      <c r="A8360" s="2359" t="s">
        <v>19383</v>
      </c>
      <c r="B8360" s="2356" t="s">
        <v>11565</v>
      </c>
      <c r="C8360" s="2356" t="s">
        <v>11565</v>
      </c>
      <c r="D8360" s="2357" t="s">
        <v>11624</v>
      </c>
      <c r="E8360" s="2358" t="s">
        <v>10536</v>
      </c>
      <c r="F8360" s="1666">
        <v>9.6</v>
      </c>
    </row>
    <row r="8361" spans="1:6" ht="15" customHeight="1" x14ac:dyDescent="0.25">
      <c r="A8361" s="2359"/>
      <c r="B8361" s="2356" t="s">
        <v>11565</v>
      </c>
      <c r="C8361" s="2356" t="s">
        <v>11565</v>
      </c>
      <c r="D8361" s="2357" t="s">
        <v>11625</v>
      </c>
      <c r="E8361" s="2358" t="s">
        <v>10507</v>
      </c>
      <c r="F8361" s="1666">
        <v>22</v>
      </c>
    </row>
    <row r="8362" spans="1:6" ht="15" customHeight="1" x14ac:dyDescent="0.25">
      <c r="A8362" s="2359" t="s">
        <v>19384</v>
      </c>
      <c r="B8362" s="2356" t="s">
        <v>11565</v>
      </c>
      <c r="C8362" s="2356" t="s">
        <v>11565</v>
      </c>
      <c r="D8362" s="2357" t="s">
        <v>11626</v>
      </c>
      <c r="E8362" s="2358" t="s">
        <v>10507</v>
      </c>
      <c r="F8362" s="1666">
        <v>12</v>
      </c>
    </row>
    <row r="8363" spans="1:6" ht="15" customHeight="1" x14ac:dyDescent="0.25">
      <c r="A8363" s="2359" t="s">
        <v>11627</v>
      </c>
      <c r="B8363" s="2356" t="s">
        <v>11565</v>
      </c>
      <c r="C8363" s="2356" t="s">
        <v>11565</v>
      </c>
      <c r="D8363" s="2357" t="s">
        <v>11628</v>
      </c>
      <c r="E8363" s="2358" t="s">
        <v>3654</v>
      </c>
      <c r="F8363" s="1666">
        <v>5.2</v>
      </c>
    </row>
    <row r="8364" spans="1:6" ht="15" customHeight="1" x14ac:dyDescent="0.25">
      <c r="A8364" s="2359" t="s">
        <v>4025</v>
      </c>
      <c r="B8364" s="2356" t="s">
        <v>11565</v>
      </c>
      <c r="C8364" s="2356" t="s">
        <v>11565</v>
      </c>
      <c r="D8364" s="2357" t="s">
        <v>11629</v>
      </c>
      <c r="E8364" s="2358" t="s">
        <v>10530</v>
      </c>
      <c r="F8364" s="1666">
        <v>35</v>
      </c>
    </row>
    <row r="8365" spans="1:6" ht="15" customHeight="1" x14ac:dyDescent="0.25">
      <c r="A8365" s="2359" t="s">
        <v>11630</v>
      </c>
      <c r="B8365" s="2356" t="s">
        <v>11565</v>
      </c>
      <c r="C8365" s="2356" t="s">
        <v>11565</v>
      </c>
      <c r="D8365" s="2357" t="s">
        <v>11631</v>
      </c>
      <c r="E8365" s="2358" t="s">
        <v>10581</v>
      </c>
      <c r="F8365" s="1666">
        <v>2</v>
      </c>
    </row>
    <row r="8366" spans="1:6" ht="15" customHeight="1" x14ac:dyDescent="0.25">
      <c r="A8366" s="2359" t="s">
        <v>11632</v>
      </c>
      <c r="B8366" s="2356" t="s">
        <v>11565</v>
      </c>
      <c r="C8366" s="2356" t="s">
        <v>11565</v>
      </c>
      <c r="D8366" s="2357" t="s">
        <v>11633</v>
      </c>
      <c r="E8366" s="2358" t="s">
        <v>10511</v>
      </c>
      <c r="F8366" s="1666">
        <v>21</v>
      </c>
    </row>
    <row r="8367" spans="1:6" ht="15" customHeight="1" x14ac:dyDescent="0.25">
      <c r="A8367" s="2359" t="s">
        <v>19385</v>
      </c>
      <c r="B8367" s="2356" t="s">
        <v>11565</v>
      </c>
      <c r="C8367" s="2356" t="s">
        <v>11565</v>
      </c>
      <c r="D8367" s="2357" t="s">
        <v>11634</v>
      </c>
      <c r="E8367" s="2358" t="s">
        <v>10530</v>
      </c>
      <c r="F8367" s="1666">
        <v>15</v>
      </c>
    </row>
    <row r="8368" spans="1:6" ht="15" customHeight="1" x14ac:dyDescent="0.25">
      <c r="A8368" s="2359" t="s">
        <v>19386</v>
      </c>
      <c r="B8368" s="2356" t="s">
        <v>11565</v>
      </c>
      <c r="C8368" s="2356" t="s">
        <v>11565</v>
      </c>
      <c r="D8368" s="2357" t="s">
        <v>11635</v>
      </c>
      <c r="E8368" s="2358" t="s">
        <v>10622</v>
      </c>
      <c r="F8368" s="1666">
        <v>11</v>
      </c>
    </row>
    <row r="8369" spans="1:6" ht="15" customHeight="1" x14ac:dyDescent="0.25">
      <c r="A8369" s="2359" t="s">
        <v>11636</v>
      </c>
      <c r="B8369" s="2356" t="s">
        <v>11565</v>
      </c>
      <c r="C8369" s="2356" t="s">
        <v>11565</v>
      </c>
      <c r="D8369" s="2357" t="s">
        <v>11637</v>
      </c>
      <c r="E8369" s="2358" t="s">
        <v>10507</v>
      </c>
      <c r="F8369" s="1666">
        <v>30</v>
      </c>
    </row>
    <row r="8370" spans="1:6" ht="15" customHeight="1" x14ac:dyDescent="0.25">
      <c r="A8370" s="2359" t="s">
        <v>11638</v>
      </c>
      <c r="B8370" s="2356" t="s">
        <v>11565</v>
      </c>
      <c r="C8370" s="2356" t="s">
        <v>11565</v>
      </c>
      <c r="D8370" s="2357" t="s">
        <v>11639</v>
      </c>
      <c r="E8370" s="2358" t="s">
        <v>10520</v>
      </c>
      <c r="F8370" s="1666">
        <v>16</v>
      </c>
    </row>
    <row r="8371" spans="1:6" ht="15" customHeight="1" x14ac:dyDescent="0.25">
      <c r="A8371" s="2359" t="s">
        <v>11640</v>
      </c>
      <c r="B8371" s="2356" t="s">
        <v>11565</v>
      </c>
      <c r="C8371" s="2356" t="s">
        <v>11565</v>
      </c>
      <c r="D8371" s="2357" t="s">
        <v>11641</v>
      </c>
      <c r="E8371" s="2358" t="s">
        <v>10517</v>
      </c>
      <c r="F8371" s="1666">
        <v>21</v>
      </c>
    </row>
    <row r="8372" spans="1:6" ht="15" customHeight="1" x14ac:dyDescent="0.25">
      <c r="A8372" s="2359"/>
      <c r="B8372" s="2356" t="s">
        <v>11565</v>
      </c>
      <c r="C8372" s="2356" t="s">
        <v>11565</v>
      </c>
      <c r="D8372" s="2357" t="s">
        <v>19387</v>
      </c>
      <c r="E8372" s="2358" t="s">
        <v>19376</v>
      </c>
      <c r="F8372" s="1666">
        <v>0</v>
      </c>
    </row>
    <row r="8373" spans="1:6" ht="15" customHeight="1" x14ac:dyDescent="0.25">
      <c r="A8373" s="2359" t="s">
        <v>11642</v>
      </c>
      <c r="B8373" s="2356" t="s">
        <v>11565</v>
      </c>
      <c r="C8373" s="2356" t="s">
        <v>11565</v>
      </c>
      <c r="D8373" s="2357" t="s">
        <v>11643</v>
      </c>
      <c r="E8373" s="2358" t="s">
        <v>10509</v>
      </c>
      <c r="F8373" s="1666">
        <v>23</v>
      </c>
    </row>
    <row r="8374" spans="1:6" ht="15" customHeight="1" x14ac:dyDescent="0.25">
      <c r="A8374" s="2359" t="s">
        <v>11644</v>
      </c>
      <c r="B8374" s="2356" t="s">
        <v>11565</v>
      </c>
      <c r="C8374" s="2356" t="s">
        <v>11565</v>
      </c>
      <c r="D8374" s="2357" t="s">
        <v>11645</v>
      </c>
      <c r="E8374" s="2358" t="s">
        <v>10507</v>
      </c>
      <c r="F8374" s="1666">
        <v>16</v>
      </c>
    </row>
    <row r="8375" spans="1:6" ht="15" customHeight="1" x14ac:dyDescent="0.25">
      <c r="A8375" s="2359" t="s">
        <v>11646</v>
      </c>
      <c r="B8375" s="2356" t="s">
        <v>11565</v>
      </c>
      <c r="C8375" s="2356" t="s">
        <v>11565</v>
      </c>
      <c r="D8375" s="2357" t="s">
        <v>11647</v>
      </c>
      <c r="E8375" s="2358" t="s">
        <v>10517</v>
      </c>
      <c r="F8375" s="1666">
        <v>14</v>
      </c>
    </row>
    <row r="8376" spans="1:6" ht="15" customHeight="1" x14ac:dyDescent="0.25">
      <c r="A8376" s="2359" t="s">
        <v>3964</v>
      </c>
      <c r="B8376" s="2356" t="s">
        <v>11565</v>
      </c>
      <c r="C8376" s="2356" t="s">
        <v>11565</v>
      </c>
      <c r="D8376" s="2357" t="s">
        <v>11648</v>
      </c>
      <c r="E8376" s="2358" t="s">
        <v>10536</v>
      </c>
      <c r="F8376" s="1666">
        <v>18</v>
      </c>
    </row>
    <row r="8377" spans="1:6" ht="15" customHeight="1" x14ac:dyDescent="0.25">
      <c r="A8377" s="2359" t="s">
        <v>19388</v>
      </c>
      <c r="B8377" s="2356" t="s">
        <v>11565</v>
      </c>
      <c r="C8377" s="2356" t="s">
        <v>11565</v>
      </c>
      <c r="D8377" s="2357" t="s">
        <v>11649</v>
      </c>
      <c r="E8377" s="2358" t="s">
        <v>10507</v>
      </c>
      <c r="F8377" s="1666">
        <v>7</v>
      </c>
    </row>
    <row r="8378" spans="1:6" ht="15" customHeight="1" x14ac:dyDescent="0.25">
      <c r="A8378" s="2359" t="s">
        <v>11650</v>
      </c>
      <c r="B8378" s="2356" t="s">
        <v>11565</v>
      </c>
      <c r="C8378" s="2356" t="s">
        <v>11565</v>
      </c>
      <c r="D8378" s="2357" t="s">
        <v>11651</v>
      </c>
      <c r="E8378" s="2358" t="s">
        <v>10581</v>
      </c>
      <c r="F8378" s="1666">
        <v>28</v>
      </c>
    </row>
    <row r="8379" spans="1:6" ht="15" customHeight="1" x14ac:dyDescent="0.25">
      <c r="A8379" s="2359" t="s">
        <v>19389</v>
      </c>
      <c r="B8379" s="2356" t="s">
        <v>11565</v>
      </c>
      <c r="C8379" s="2356" t="s">
        <v>11565</v>
      </c>
      <c r="D8379" s="2357" t="s">
        <v>11652</v>
      </c>
      <c r="E8379" s="2358" t="s">
        <v>10507</v>
      </c>
      <c r="F8379" s="1666">
        <v>29</v>
      </c>
    </row>
    <row r="8380" spans="1:6" ht="15" customHeight="1" x14ac:dyDescent="0.25">
      <c r="A8380" s="2359" t="s">
        <v>11653</v>
      </c>
      <c r="B8380" s="2356" t="s">
        <v>11565</v>
      </c>
      <c r="C8380" s="2356" t="s">
        <v>11565</v>
      </c>
      <c r="D8380" s="2357" t="s">
        <v>11654</v>
      </c>
      <c r="E8380" s="2358" t="s">
        <v>10530</v>
      </c>
      <c r="F8380" s="1666">
        <v>6</v>
      </c>
    </row>
    <row r="8381" spans="1:6" ht="15" customHeight="1" x14ac:dyDescent="0.25">
      <c r="A8381" s="2359" t="s">
        <v>6701</v>
      </c>
      <c r="B8381" s="2356" t="s">
        <v>11565</v>
      </c>
      <c r="C8381" s="2356" t="s">
        <v>11565</v>
      </c>
      <c r="D8381" s="2357" t="s">
        <v>11655</v>
      </c>
      <c r="E8381" s="2358" t="s">
        <v>10534</v>
      </c>
      <c r="F8381" s="1666">
        <v>32</v>
      </c>
    </row>
    <row r="8382" spans="1:6" ht="15" customHeight="1" x14ac:dyDescent="0.25">
      <c r="A8382" s="2359" t="s">
        <v>19390</v>
      </c>
      <c r="B8382" s="2356" t="s">
        <v>11565</v>
      </c>
      <c r="C8382" s="2356" t="s">
        <v>11565</v>
      </c>
      <c r="D8382" s="2357" t="s">
        <v>11656</v>
      </c>
      <c r="E8382" s="2358" t="s">
        <v>4860</v>
      </c>
      <c r="F8382" s="1666">
        <v>10</v>
      </c>
    </row>
    <row r="8383" spans="1:6" ht="15" customHeight="1" x14ac:dyDescent="0.25">
      <c r="A8383" s="2359"/>
      <c r="B8383" s="2356" t="s">
        <v>11565</v>
      </c>
      <c r="C8383" s="2356" t="s">
        <v>11565</v>
      </c>
      <c r="D8383" s="2357" t="s">
        <v>11657</v>
      </c>
      <c r="E8383" s="2358" t="s">
        <v>4202</v>
      </c>
      <c r="F8383" s="1666">
        <v>20.25</v>
      </c>
    </row>
    <row r="8384" spans="1:6" ht="15" customHeight="1" x14ac:dyDescent="0.25">
      <c r="A8384" s="2359" t="s">
        <v>19391</v>
      </c>
      <c r="B8384" s="2356" t="s">
        <v>11565</v>
      </c>
      <c r="C8384" s="2356" t="s">
        <v>11565</v>
      </c>
      <c r="D8384" s="2357" t="s">
        <v>11658</v>
      </c>
      <c r="E8384" s="2358" t="s">
        <v>10517</v>
      </c>
      <c r="F8384" s="1666">
        <v>4</v>
      </c>
    </row>
    <row r="8385" spans="1:6" ht="15" customHeight="1" x14ac:dyDescent="0.25">
      <c r="A8385" s="2359" t="s">
        <v>10962</v>
      </c>
      <c r="B8385" s="2356" t="s">
        <v>11565</v>
      </c>
      <c r="C8385" s="2356" t="s">
        <v>11565</v>
      </c>
      <c r="D8385" s="2357" t="s">
        <v>11659</v>
      </c>
      <c r="E8385" s="2358" t="s">
        <v>10536</v>
      </c>
      <c r="F8385" s="1666">
        <v>12</v>
      </c>
    </row>
    <row r="8386" spans="1:6" ht="15" customHeight="1" x14ac:dyDescent="0.25">
      <c r="A8386" s="2359" t="s">
        <v>8690</v>
      </c>
      <c r="B8386" s="2356" t="s">
        <v>11565</v>
      </c>
      <c r="C8386" s="2356" t="s">
        <v>11565</v>
      </c>
      <c r="D8386" s="2357" t="s">
        <v>11660</v>
      </c>
      <c r="E8386" s="2358" t="s">
        <v>10536</v>
      </c>
      <c r="F8386" s="1666">
        <v>17</v>
      </c>
    </row>
    <row r="8387" spans="1:6" ht="15" customHeight="1" x14ac:dyDescent="0.25">
      <c r="A8387" s="2359" t="s">
        <v>9458</v>
      </c>
      <c r="B8387" s="2356" t="s">
        <v>11565</v>
      </c>
      <c r="C8387" s="2356" t="s">
        <v>11565</v>
      </c>
      <c r="D8387" s="2357" t="s">
        <v>11661</v>
      </c>
      <c r="E8387" s="2358" t="s">
        <v>10536</v>
      </c>
      <c r="F8387" s="1666">
        <v>12</v>
      </c>
    </row>
    <row r="8388" spans="1:6" ht="15" customHeight="1" x14ac:dyDescent="0.25">
      <c r="A8388" s="2359" t="s">
        <v>4834</v>
      </c>
      <c r="B8388" s="2356" t="s">
        <v>11565</v>
      </c>
      <c r="C8388" s="2356" t="s">
        <v>11565</v>
      </c>
      <c r="D8388" s="2357" t="s">
        <v>11662</v>
      </c>
      <c r="E8388" s="2358" t="s">
        <v>10581</v>
      </c>
      <c r="F8388" s="1666">
        <v>4</v>
      </c>
    </row>
    <row r="8389" spans="1:6" ht="15" customHeight="1" x14ac:dyDescent="0.25">
      <c r="A8389" s="2359" t="s">
        <v>11663</v>
      </c>
      <c r="B8389" s="2356" t="s">
        <v>11565</v>
      </c>
      <c r="C8389" s="2356" t="s">
        <v>11565</v>
      </c>
      <c r="D8389" s="2357" t="s">
        <v>11664</v>
      </c>
      <c r="E8389" s="2358" t="s">
        <v>10536</v>
      </c>
      <c r="F8389" s="1666">
        <v>11</v>
      </c>
    </row>
    <row r="8390" spans="1:6" ht="15" customHeight="1" x14ac:dyDescent="0.25">
      <c r="A8390" s="2359" t="s">
        <v>11665</v>
      </c>
      <c r="B8390" s="2356" t="s">
        <v>11565</v>
      </c>
      <c r="C8390" s="2356" t="s">
        <v>11565</v>
      </c>
      <c r="D8390" s="2357" t="s">
        <v>11666</v>
      </c>
      <c r="E8390" s="2358" t="s">
        <v>10536</v>
      </c>
      <c r="F8390" s="1666">
        <v>10</v>
      </c>
    </row>
    <row r="8391" spans="1:6" ht="15" customHeight="1" x14ac:dyDescent="0.25">
      <c r="A8391" s="2359" t="s">
        <v>10329</v>
      </c>
      <c r="B8391" s="2356" t="s">
        <v>11565</v>
      </c>
      <c r="C8391" s="2356" t="s">
        <v>11565</v>
      </c>
      <c r="D8391" s="2357" t="s">
        <v>11667</v>
      </c>
      <c r="E8391" s="2358" t="s">
        <v>10511</v>
      </c>
      <c r="F8391" s="1666">
        <v>20.8</v>
      </c>
    </row>
    <row r="8392" spans="1:6" ht="15" customHeight="1" x14ac:dyDescent="0.25">
      <c r="A8392" s="2359" t="s">
        <v>11668</v>
      </c>
      <c r="B8392" s="2356" t="s">
        <v>11565</v>
      </c>
      <c r="C8392" s="2356" t="s">
        <v>11565</v>
      </c>
      <c r="D8392" s="2357" t="s">
        <v>11669</v>
      </c>
      <c r="E8392" s="2358" t="s">
        <v>10530</v>
      </c>
      <c r="F8392" s="1666">
        <v>24</v>
      </c>
    </row>
    <row r="8393" spans="1:6" ht="15" customHeight="1" x14ac:dyDescent="0.25">
      <c r="A8393" s="2359"/>
      <c r="B8393" s="2356" t="s">
        <v>11565</v>
      </c>
      <c r="C8393" s="2356" t="s">
        <v>11565</v>
      </c>
      <c r="D8393" s="2357" t="s">
        <v>11670</v>
      </c>
      <c r="E8393" s="2358" t="s">
        <v>10517</v>
      </c>
      <c r="F8393" s="1666">
        <v>26</v>
      </c>
    </row>
    <row r="8394" spans="1:6" ht="15" customHeight="1" x14ac:dyDescent="0.25">
      <c r="A8394" s="2359" t="s">
        <v>11671</v>
      </c>
      <c r="B8394" s="2356" t="s">
        <v>11565</v>
      </c>
      <c r="C8394" s="2356" t="s">
        <v>11565</v>
      </c>
      <c r="D8394" s="2357" t="s">
        <v>11672</v>
      </c>
      <c r="E8394" s="2358" t="s">
        <v>10534</v>
      </c>
      <c r="F8394" s="1666">
        <v>19</v>
      </c>
    </row>
    <row r="8395" spans="1:6" ht="15" customHeight="1" x14ac:dyDescent="0.25">
      <c r="A8395" s="2359" t="s">
        <v>11673</v>
      </c>
      <c r="B8395" s="2356" t="s">
        <v>11565</v>
      </c>
      <c r="C8395" s="2356" t="s">
        <v>11565</v>
      </c>
      <c r="D8395" s="2357" t="s">
        <v>11674</v>
      </c>
      <c r="E8395" s="2358" t="s">
        <v>10507</v>
      </c>
      <c r="F8395" s="1666">
        <v>6</v>
      </c>
    </row>
    <row r="8396" spans="1:6" ht="15" customHeight="1" x14ac:dyDescent="0.25">
      <c r="A8396" s="2359" t="s">
        <v>11675</v>
      </c>
      <c r="B8396" s="2356" t="s">
        <v>11565</v>
      </c>
      <c r="C8396" s="2356" t="s">
        <v>11565</v>
      </c>
      <c r="D8396" s="2357" t="s">
        <v>19392</v>
      </c>
      <c r="E8396" s="2358" t="s">
        <v>10536</v>
      </c>
      <c r="F8396" s="1666">
        <v>4.8</v>
      </c>
    </row>
    <row r="8397" spans="1:6" ht="15" customHeight="1" x14ac:dyDescent="0.25">
      <c r="A8397" s="2359" t="s">
        <v>4025</v>
      </c>
      <c r="B8397" s="2356" t="s">
        <v>11565</v>
      </c>
      <c r="C8397" s="2356" t="s">
        <v>11565</v>
      </c>
      <c r="D8397" s="2357" t="s">
        <v>11676</v>
      </c>
      <c r="E8397" s="2358" t="s">
        <v>10507</v>
      </c>
      <c r="F8397" s="1666">
        <v>34</v>
      </c>
    </row>
    <row r="8398" spans="1:6" ht="15" customHeight="1" x14ac:dyDescent="0.25">
      <c r="A8398" s="2359" t="s">
        <v>19393</v>
      </c>
      <c r="B8398" s="2356" t="s">
        <v>11565</v>
      </c>
      <c r="C8398" s="2356" t="s">
        <v>11565</v>
      </c>
      <c r="D8398" s="2357" t="s">
        <v>11677</v>
      </c>
      <c r="E8398" s="2358" t="s">
        <v>10530</v>
      </c>
      <c r="F8398" s="1666">
        <v>23</v>
      </c>
    </row>
    <row r="8399" spans="1:6" ht="15" customHeight="1" x14ac:dyDescent="0.25">
      <c r="A8399" s="2359"/>
      <c r="B8399" s="2356" t="s">
        <v>11565</v>
      </c>
      <c r="C8399" s="2356" t="s">
        <v>11565</v>
      </c>
      <c r="D8399" s="2357" t="s">
        <v>11678</v>
      </c>
      <c r="E8399" s="2358" t="s">
        <v>10530</v>
      </c>
      <c r="F8399" s="1666">
        <v>25</v>
      </c>
    </row>
    <row r="8400" spans="1:6" ht="15" customHeight="1" x14ac:dyDescent="0.25">
      <c r="A8400" s="2359"/>
      <c r="B8400" s="2356" t="s">
        <v>11565</v>
      </c>
      <c r="C8400" s="2356" t="s">
        <v>11565</v>
      </c>
      <c r="D8400" s="2357" t="s">
        <v>11679</v>
      </c>
      <c r="E8400" s="2358" t="s">
        <v>10509</v>
      </c>
      <c r="F8400" s="1666">
        <v>34</v>
      </c>
    </row>
    <row r="8401" spans="1:6" ht="15" customHeight="1" x14ac:dyDescent="0.25">
      <c r="A8401" s="2359"/>
      <c r="B8401" s="2356" t="s">
        <v>11565</v>
      </c>
      <c r="C8401" s="2356" t="s">
        <v>11565</v>
      </c>
      <c r="D8401" s="2357" t="s">
        <v>11680</v>
      </c>
      <c r="E8401" s="2358" t="s">
        <v>10509</v>
      </c>
      <c r="F8401" s="1666">
        <v>39</v>
      </c>
    </row>
    <row r="8402" spans="1:6" ht="15" customHeight="1" x14ac:dyDescent="0.25">
      <c r="A8402" s="2359"/>
      <c r="B8402" s="2356" t="s">
        <v>11565</v>
      </c>
      <c r="C8402" s="2356" t="s">
        <v>11565</v>
      </c>
      <c r="D8402" s="2357" t="s">
        <v>11681</v>
      </c>
      <c r="E8402" s="2358" t="s">
        <v>10534</v>
      </c>
      <c r="F8402" s="1666">
        <v>38</v>
      </c>
    </row>
    <row r="8403" spans="1:6" ht="15" customHeight="1" x14ac:dyDescent="0.25">
      <c r="A8403" s="2359" t="s">
        <v>11682</v>
      </c>
      <c r="B8403" s="2356" t="s">
        <v>11565</v>
      </c>
      <c r="C8403" s="2356" t="s">
        <v>11565</v>
      </c>
      <c r="D8403" s="2357" t="s">
        <v>11683</v>
      </c>
      <c r="E8403" s="2358" t="s">
        <v>3654</v>
      </c>
      <c r="F8403" s="1666">
        <v>3.2</v>
      </c>
    </row>
    <row r="8404" spans="1:6" ht="15" customHeight="1" x14ac:dyDescent="0.25">
      <c r="A8404" s="2359" t="s">
        <v>11684</v>
      </c>
      <c r="B8404" s="2356" t="s">
        <v>11565</v>
      </c>
      <c r="C8404" s="2356" t="s">
        <v>11565</v>
      </c>
      <c r="D8404" s="2357" t="s">
        <v>11685</v>
      </c>
      <c r="E8404" s="2358" t="s">
        <v>10507</v>
      </c>
      <c r="F8404" s="1666">
        <v>39</v>
      </c>
    </row>
    <row r="8405" spans="1:6" ht="15" customHeight="1" x14ac:dyDescent="0.25">
      <c r="A8405" s="2359"/>
      <c r="B8405" s="2356" t="s">
        <v>11565</v>
      </c>
      <c r="C8405" s="2356" t="s">
        <v>11565</v>
      </c>
      <c r="D8405" s="2357" t="s">
        <v>11686</v>
      </c>
      <c r="E8405" s="2358" t="s">
        <v>10534</v>
      </c>
      <c r="F8405" s="1666">
        <v>41</v>
      </c>
    </row>
    <row r="8406" spans="1:6" ht="15" customHeight="1" x14ac:dyDescent="0.25">
      <c r="A8406" s="2359" t="s">
        <v>11687</v>
      </c>
      <c r="B8406" s="2356" t="s">
        <v>11565</v>
      </c>
      <c r="C8406" s="2356" t="s">
        <v>11565</v>
      </c>
      <c r="D8406" s="2357" t="s">
        <v>11688</v>
      </c>
      <c r="E8406" s="2358" t="s">
        <v>3654</v>
      </c>
      <c r="F8406" s="1666">
        <v>2</v>
      </c>
    </row>
    <row r="8407" spans="1:6" ht="15" customHeight="1" x14ac:dyDescent="0.25">
      <c r="A8407" s="2359" t="s">
        <v>11689</v>
      </c>
      <c r="B8407" s="2356" t="s">
        <v>11565</v>
      </c>
      <c r="C8407" s="2356" t="s">
        <v>11565</v>
      </c>
      <c r="D8407" s="2357" t="s">
        <v>11690</v>
      </c>
      <c r="E8407" s="2358" t="s">
        <v>10511</v>
      </c>
      <c r="F8407" s="1666">
        <v>21</v>
      </c>
    </row>
    <row r="8408" spans="1:6" ht="15" customHeight="1" x14ac:dyDescent="0.25">
      <c r="A8408" s="2359" t="s">
        <v>11691</v>
      </c>
      <c r="B8408" s="2356" t="s">
        <v>11565</v>
      </c>
      <c r="C8408" s="2356" t="s">
        <v>11565</v>
      </c>
      <c r="D8408" s="2357" t="s">
        <v>11692</v>
      </c>
      <c r="E8408" s="2358" t="s">
        <v>10622</v>
      </c>
      <c r="F8408" s="1666">
        <v>26</v>
      </c>
    </row>
    <row r="8409" spans="1:6" ht="15" customHeight="1" x14ac:dyDescent="0.25">
      <c r="A8409" s="2359"/>
      <c r="B8409" s="2356" t="s">
        <v>11565</v>
      </c>
      <c r="C8409" s="2356" t="s">
        <v>11565</v>
      </c>
      <c r="D8409" s="2357" t="s">
        <v>11693</v>
      </c>
      <c r="E8409" s="2358" t="s">
        <v>10507</v>
      </c>
      <c r="F8409" s="1666">
        <v>21</v>
      </c>
    </row>
    <row r="8410" spans="1:6" ht="15" customHeight="1" x14ac:dyDescent="0.25">
      <c r="A8410" s="2359" t="s">
        <v>3778</v>
      </c>
      <c r="B8410" s="2356" t="s">
        <v>11565</v>
      </c>
      <c r="C8410" s="2356" t="s">
        <v>11565</v>
      </c>
      <c r="D8410" s="2357" t="s">
        <v>11694</v>
      </c>
      <c r="E8410" s="2358" t="s">
        <v>10536</v>
      </c>
      <c r="F8410" s="1666">
        <v>12</v>
      </c>
    </row>
    <row r="8411" spans="1:6" ht="15" customHeight="1" x14ac:dyDescent="0.25">
      <c r="A8411" s="2359" t="s">
        <v>11695</v>
      </c>
      <c r="B8411" s="2356" t="s">
        <v>11565</v>
      </c>
      <c r="C8411" s="2356" t="s">
        <v>11565</v>
      </c>
      <c r="D8411" s="2357" t="s">
        <v>11696</v>
      </c>
      <c r="E8411" s="2358" t="s">
        <v>10507</v>
      </c>
      <c r="F8411" s="1666">
        <v>10</v>
      </c>
    </row>
    <row r="8412" spans="1:6" ht="15" customHeight="1" x14ac:dyDescent="0.25">
      <c r="A8412" s="2359" t="s">
        <v>11697</v>
      </c>
      <c r="B8412" s="2356" t="s">
        <v>11565</v>
      </c>
      <c r="C8412" s="2356" t="s">
        <v>11565</v>
      </c>
      <c r="D8412" s="2357" t="s">
        <v>11698</v>
      </c>
      <c r="E8412" s="2358" t="s">
        <v>10534</v>
      </c>
      <c r="F8412" s="1666">
        <v>21</v>
      </c>
    </row>
    <row r="8413" spans="1:6" ht="15" customHeight="1" x14ac:dyDescent="0.25">
      <c r="A8413" s="2359" t="s">
        <v>18805</v>
      </c>
      <c r="B8413" s="2356" t="s">
        <v>11565</v>
      </c>
      <c r="C8413" s="2356" t="s">
        <v>11565</v>
      </c>
      <c r="D8413" s="2357" t="s">
        <v>11699</v>
      </c>
      <c r="E8413" s="2358" t="s">
        <v>4199</v>
      </c>
      <c r="F8413" s="1666">
        <v>25</v>
      </c>
    </row>
    <row r="8414" spans="1:6" ht="15" customHeight="1" x14ac:dyDescent="0.25">
      <c r="A8414" s="2359"/>
      <c r="B8414" s="2356" t="s">
        <v>11565</v>
      </c>
      <c r="C8414" s="2356" t="s">
        <v>11565</v>
      </c>
      <c r="D8414" s="2357" t="s">
        <v>11700</v>
      </c>
      <c r="E8414" s="2358" t="s">
        <v>4199</v>
      </c>
      <c r="F8414" s="1666">
        <v>23</v>
      </c>
    </row>
    <row r="8415" spans="1:6" ht="15" customHeight="1" x14ac:dyDescent="0.25">
      <c r="A8415" s="2359"/>
      <c r="B8415" s="2356" t="s">
        <v>11565</v>
      </c>
      <c r="C8415" s="2356" t="s">
        <v>11565</v>
      </c>
      <c r="D8415" s="2357" t="s">
        <v>11701</v>
      </c>
      <c r="E8415" s="2358" t="s">
        <v>10530</v>
      </c>
      <c r="F8415" s="1666">
        <v>29</v>
      </c>
    </row>
    <row r="8416" spans="1:6" ht="15" customHeight="1" x14ac:dyDescent="0.25">
      <c r="A8416" s="2359" t="s">
        <v>11702</v>
      </c>
      <c r="B8416" s="2356" t="s">
        <v>11565</v>
      </c>
      <c r="C8416" s="2356" t="s">
        <v>11565</v>
      </c>
      <c r="D8416" s="2357" t="s">
        <v>11703</v>
      </c>
      <c r="E8416" s="2358" t="s">
        <v>3654</v>
      </c>
      <c r="F8416" s="1666">
        <v>1.9</v>
      </c>
    </row>
    <row r="8417" spans="1:6" ht="15" customHeight="1" x14ac:dyDescent="0.25">
      <c r="A8417" s="2359" t="s">
        <v>11704</v>
      </c>
      <c r="B8417" s="2356" t="s">
        <v>11565</v>
      </c>
      <c r="C8417" s="2356" t="s">
        <v>11565</v>
      </c>
      <c r="D8417" s="2357" t="s">
        <v>11705</v>
      </c>
      <c r="E8417" s="2358" t="s">
        <v>10517</v>
      </c>
      <c r="F8417" s="1666">
        <v>32</v>
      </c>
    </row>
    <row r="8418" spans="1:6" ht="15" customHeight="1" x14ac:dyDescent="0.25">
      <c r="A8418" s="2359" t="s">
        <v>19394</v>
      </c>
      <c r="B8418" s="2356" t="s">
        <v>11565</v>
      </c>
      <c r="C8418" s="2356" t="s">
        <v>11565</v>
      </c>
      <c r="D8418" s="2357" t="s">
        <v>11706</v>
      </c>
      <c r="E8418" s="2358" t="s">
        <v>10534</v>
      </c>
      <c r="F8418" s="1666">
        <v>136</v>
      </c>
    </row>
    <row r="8419" spans="1:6" ht="15" customHeight="1" x14ac:dyDescent="0.25">
      <c r="A8419" s="2359"/>
      <c r="B8419" s="2356" t="s">
        <v>11565</v>
      </c>
      <c r="C8419" s="2356" t="s">
        <v>11565</v>
      </c>
      <c r="D8419" s="2357" t="s">
        <v>11707</v>
      </c>
      <c r="E8419" s="2358" t="s">
        <v>10534</v>
      </c>
      <c r="F8419" s="1666">
        <v>17</v>
      </c>
    </row>
    <row r="8420" spans="1:6" ht="15" customHeight="1" x14ac:dyDescent="0.25">
      <c r="A8420" s="2359" t="s">
        <v>11708</v>
      </c>
      <c r="B8420" s="2356" t="s">
        <v>11565</v>
      </c>
      <c r="C8420" s="2356" t="s">
        <v>11565</v>
      </c>
      <c r="D8420" s="2357" t="s">
        <v>11709</v>
      </c>
      <c r="E8420" s="2358" t="s">
        <v>10536</v>
      </c>
      <c r="F8420" s="1666">
        <v>6</v>
      </c>
    </row>
    <row r="8421" spans="1:6" ht="15" customHeight="1" x14ac:dyDescent="0.25">
      <c r="A8421" s="2359" t="s">
        <v>19395</v>
      </c>
      <c r="B8421" s="2356" t="s">
        <v>11565</v>
      </c>
      <c r="C8421" s="2356" t="s">
        <v>11565</v>
      </c>
      <c r="D8421" s="2357" t="s">
        <v>19396</v>
      </c>
      <c r="E8421" s="2358" t="s">
        <v>19376</v>
      </c>
      <c r="F8421" s="1666">
        <v>0</v>
      </c>
    </row>
    <row r="8422" spans="1:6" ht="15" customHeight="1" x14ac:dyDescent="0.25">
      <c r="A8422" s="2359"/>
      <c r="B8422" s="2356" t="s">
        <v>11565</v>
      </c>
      <c r="C8422" s="2356" t="s">
        <v>11565</v>
      </c>
      <c r="D8422" s="2357" t="s">
        <v>19397</v>
      </c>
      <c r="E8422" s="2358" t="s">
        <v>19376</v>
      </c>
      <c r="F8422" s="1666">
        <v>0</v>
      </c>
    </row>
    <row r="8423" spans="1:6" ht="15" customHeight="1" x14ac:dyDescent="0.25">
      <c r="A8423" s="2359"/>
      <c r="B8423" s="2356" t="s">
        <v>11565</v>
      </c>
      <c r="C8423" s="2356" t="s">
        <v>11565</v>
      </c>
      <c r="D8423" s="2357" t="s">
        <v>11710</v>
      </c>
      <c r="E8423" s="2358" t="s">
        <v>4202</v>
      </c>
      <c r="F8423" s="1666">
        <v>350</v>
      </c>
    </row>
    <row r="8424" spans="1:6" ht="15" customHeight="1" x14ac:dyDescent="0.25">
      <c r="A8424" s="2359"/>
      <c r="B8424" s="2356" t="s">
        <v>11565</v>
      </c>
      <c r="C8424" s="2356" t="s">
        <v>11565</v>
      </c>
      <c r="D8424" s="2357" t="s">
        <v>11711</v>
      </c>
      <c r="E8424" s="2358" t="s">
        <v>10530</v>
      </c>
      <c r="F8424" s="1666">
        <v>32</v>
      </c>
    </row>
    <row r="8425" spans="1:6" ht="15" customHeight="1" x14ac:dyDescent="0.25">
      <c r="A8425" s="2359"/>
      <c r="B8425" s="2356" t="s">
        <v>11565</v>
      </c>
      <c r="C8425" s="2356" t="s">
        <v>11565</v>
      </c>
      <c r="D8425" s="2357" t="s">
        <v>11712</v>
      </c>
      <c r="E8425" s="2358" t="s">
        <v>19398</v>
      </c>
      <c r="F8425" s="1666">
        <v>316.25</v>
      </c>
    </row>
    <row r="8426" spans="1:6" ht="15" customHeight="1" x14ac:dyDescent="0.25">
      <c r="A8426" s="2359" t="s">
        <v>11713</v>
      </c>
      <c r="B8426" s="2356" t="s">
        <v>11565</v>
      </c>
      <c r="C8426" s="2356" t="s">
        <v>11565</v>
      </c>
      <c r="D8426" s="2357" t="s">
        <v>11714</v>
      </c>
      <c r="E8426" s="2358" t="s">
        <v>10536</v>
      </c>
      <c r="F8426" s="1666">
        <v>9</v>
      </c>
    </row>
    <row r="8427" spans="1:6" ht="15" customHeight="1" x14ac:dyDescent="0.25">
      <c r="A8427" s="2359" t="s">
        <v>11715</v>
      </c>
      <c r="B8427" s="2356" t="s">
        <v>11565</v>
      </c>
      <c r="C8427" s="2356" t="s">
        <v>11565</v>
      </c>
      <c r="D8427" s="2357" t="s">
        <v>11716</v>
      </c>
      <c r="E8427" s="2358" t="s">
        <v>10511</v>
      </c>
      <c r="F8427" s="1666">
        <v>26</v>
      </c>
    </row>
    <row r="8428" spans="1:6" ht="15" customHeight="1" x14ac:dyDescent="0.25">
      <c r="A8428" s="2359" t="s">
        <v>19399</v>
      </c>
      <c r="B8428" s="2356" t="s">
        <v>11565</v>
      </c>
      <c r="C8428" s="2356" t="s">
        <v>11565</v>
      </c>
      <c r="D8428" s="2357" t="s">
        <v>11717</v>
      </c>
      <c r="E8428" s="2358" t="s">
        <v>4202</v>
      </c>
      <c r="F8428" s="1666">
        <v>42</v>
      </c>
    </row>
    <row r="8429" spans="1:6" ht="15" customHeight="1" x14ac:dyDescent="0.25">
      <c r="A8429" s="2359"/>
      <c r="B8429" s="2356" t="s">
        <v>11565</v>
      </c>
      <c r="C8429" s="2356" t="s">
        <v>11565</v>
      </c>
      <c r="D8429" s="2357" t="s">
        <v>11718</v>
      </c>
      <c r="E8429" s="2358" t="s">
        <v>10507</v>
      </c>
      <c r="F8429" s="1666">
        <v>45</v>
      </c>
    </row>
    <row r="8430" spans="1:6" ht="15" customHeight="1" x14ac:dyDescent="0.25">
      <c r="A8430" s="2359"/>
      <c r="B8430" s="2356" t="s">
        <v>11565</v>
      </c>
      <c r="C8430" s="2356" t="s">
        <v>11565</v>
      </c>
      <c r="D8430" s="2357" t="s">
        <v>11719</v>
      </c>
      <c r="E8430" s="2358" t="s">
        <v>10507</v>
      </c>
      <c r="F8430" s="1666">
        <v>22.25</v>
      </c>
    </row>
    <row r="8431" spans="1:6" ht="15" customHeight="1" x14ac:dyDescent="0.25">
      <c r="A8431" s="2359"/>
      <c r="B8431" s="2356" t="s">
        <v>11565</v>
      </c>
      <c r="C8431" s="2356" t="s">
        <v>11565</v>
      </c>
      <c r="D8431" s="2357" t="s">
        <v>11720</v>
      </c>
      <c r="E8431" s="2358" t="s">
        <v>10534</v>
      </c>
      <c r="F8431" s="1666">
        <v>50</v>
      </c>
    </row>
    <row r="8432" spans="1:6" ht="15" customHeight="1" x14ac:dyDescent="0.25">
      <c r="A8432" s="2359" t="s">
        <v>11721</v>
      </c>
      <c r="B8432" s="2356" t="s">
        <v>11565</v>
      </c>
      <c r="C8432" s="2356" t="s">
        <v>11565</v>
      </c>
      <c r="D8432" s="2357" t="s">
        <v>11722</v>
      </c>
      <c r="E8432" s="2358" t="s">
        <v>10507</v>
      </c>
      <c r="F8432" s="1666">
        <v>32</v>
      </c>
    </row>
    <row r="8433" spans="1:6" ht="15" customHeight="1" x14ac:dyDescent="0.25">
      <c r="A8433" s="2359" t="s">
        <v>10541</v>
      </c>
      <c r="B8433" s="2356" t="s">
        <v>11565</v>
      </c>
      <c r="C8433" s="2356" t="s">
        <v>11565</v>
      </c>
      <c r="D8433" s="2357" t="s">
        <v>11723</v>
      </c>
      <c r="E8433" s="2358" t="s">
        <v>10520</v>
      </c>
      <c r="F8433" s="1666">
        <v>19</v>
      </c>
    </row>
    <row r="8434" spans="1:6" ht="15" customHeight="1" x14ac:dyDescent="0.25">
      <c r="A8434" s="2359" t="s">
        <v>11724</v>
      </c>
      <c r="B8434" s="2356" t="s">
        <v>11565</v>
      </c>
      <c r="C8434" s="2356" t="s">
        <v>11565</v>
      </c>
      <c r="D8434" s="2357" t="s">
        <v>11725</v>
      </c>
      <c r="E8434" s="2358" t="s">
        <v>10536</v>
      </c>
      <c r="F8434" s="1666">
        <v>12</v>
      </c>
    </row>
    <row r="8435" spans="1:6" ht="15" customHeight="1" x14ac:dyDescent="0.25">
      <c r="A8435" s="2359" t="s">
        <v>11726</v>
      </c>
      <c r="B8435" s="2356" t="s">
        <v>11565</v>
      </c>
      <c r="C8435" s="2356" t="s">
        <v>11565</v>
      </c>
      <c r="D8435" s="2357" t="s">
        <v>11727</v>
      </c>
      <c r="E8435" s="2358" t="s">
        <v>10536</v>
      </c>
      <c r="F8435" s="1666">
        <v>10</v>
      </c>
    </row>
    <row r="8436" spans="1:6" ht="15" customHeight="1" x14ac:dyDescent="0.25">
      <c r="A8436" s="2359" t="s">
        <v>6798</v>
      </c>
      <c r="B8436" s="2356" t="s">
        <v>11565</v>
      </c>
      <c r="C8436" s="2356" t="s">
        <v>11565</v>
      </c>
      <c r="D8436" s="2357" t="s">
        <v>11728</v>
      </c>
      <c r="E8436" s="2358" t="s">
        <v>10536</v>
      </c>
      <c r="F8436" s="1666">
        <v>8</v>
      </c>
    </row>
    <row r="8437" spans="1:6" ht="15" customHeight="1" x14ac:dyDescent="0.25">
      <c r="A8437" s="2359" t="s">
        <v>4128</v>
      </c>
      <c r="B8437" s="2356" t="s">
        <v>11565</v>
      </c>
      <c r="C8437" s="2356" t="s">
        <v>11565</v>
      </c>
      <c r="D8437" s="2357" t="s">
        <v>11729</v>
      </c>
      <c r="E8437" s="2358" t="s">
        <v>10536</v>
      </c>
      <c r="F8437" s="1666">
        <v>11</v>
      </c>
    </row>
    <row r="8438" spans="1:6" ht="15" customHeight="1" x14ac:dyDescent="0.25">
      <c r="A8438" s="2359" t="s">
        <v>11730</v>
      </c>
      <c r="B8438" s="2356" t="s">
        <v>11565</v>
      </c>
      <c r="C8438" s="2356" t="s">
        <v>11565</v>
      </c>
      <c r="D8438" s="2357" t="s">
        <v>11731</v>
      </c>
      <c r="E8438" s="2358" t="s">
        <v>10581</v>
      </c>
      <c r="F8438" s="1666">
        <v>7</v>
      </c>
    </row>
    <row r="8439" spans="1:6" ht="15" customHeight="1" x14ac:dyDescent="0.25">
      <c r="A8439" s="2359" t="s">
        <v>11732</v>
      </c>
      <c r="B8439" s="2356" t="s">
        <v>11565</v>
      </c>
      <c r="C8439" s="2356" t="s">
        <v>11565</v>
      </c>
      <c r="D8439" s="2357" t="s">
        <v>11733</v>
      </c>
      <c r="E8439" s="2358" t="s">
        <v>10622</v>
      </c>
      <c r="F8439" s="1666">
        <v>13</v>
      </c>
    </row>
    <row r="8440" spans="1:6" ht="15" customHeight="1" x14ac:dyDescent="0.25">
      <c r="A8440" s="2359" t="s">
        <v>11734</v>
      </c>
      <c r="B8440" s="2356" t="s">
        <v>11565</v>
      </c>
      <c r="C8440" s="2356" t="s">
        <v>11565</v>
      </c>
      <c r="D8440" s="2357" t="s">
        <v>11735</v>
      </c>
      <c r="E8440" s="2358" t="s">
        <v>10536</v>
      </c>
      <c r="F8440" s="1666">
        <v>10</v>
      </c>
    </row>
    <row r="8441" spans="1:6" ht="15" customHeight="1" x14ac:dyDescent="0.25">
      <c r="A8441" s="2359" t="s">
        <v>11736</v>
      </c>
      <c r="B8441" s="2356" t="s">
        <v>11565</v>
      </c>
      <c r="C8441" s="2356" t="s">
        <v>11565</v>
      </c>
      <c r="D8441" s="2357" t="s">
        <v>11737</v>
      </c>
      <c r="E8441" s="2358" t="s">
        <v>10534</v>
      </c>
      <c r="F8441" s="1666">
        <v>10</v>
      </c>
    </row>
    <row r="8442" spans="1:6" ht="15" customHeight="1" x14ac:dyDescent="0.25">
      <c r="A8442" s="2359" t="s">
        <v>11574</v>
      </c>
      <c r="B8442" s="2356" t="s">
        <v>11565</v>
      </c>
      <c r="C8442" s="2356" t="s">
        <v>11565</v>
      </c>
      <c r="D8442" s="2357" t="s">
        <v>11738</v>
      </c>
      <c r="E8442" s="2358" t="s">
        <v>10507</v>
      </c>
      <c r="F8442" s="1666">
        <v>20</v>
      </c>
    </row>
    <row r="8443" spans="1:6" ht="15" customHeight="1" x14ac:dyDescent="0.25">
      <c r="A8443" s="2359" t="s">
        <v>11739</v>
      </c>
      <c r="B8443" s="2356" t="s">
        <v>11565</v>
      </c>
      <c r="C8443" s="2356" t="s">
        <v>11565</v>
      </c>
      <c r="D8443" s="2357" t="s">
        <v>11740</v>
      </c>
      <c r="E8443" s="2358" t="s">
        <v>10517</v>
      </c>
      <c r="F8443" s="1666">
        <v>29</v>
      </c>
    </row>
    <row r="8444" spans="1:6" ht="15" customHeight="1" x14ac:dyDescent="0.25">
      <c r="A8444" s="2359" t="s">
        <v>11741</v>
      </c>
      <c r="B8444" s="2356" t="s">
        <v>11565</v>
      </c>
      <c r="C8444" s="2356" t="s">
        <v>11565</v>
      </c>
      <c r="D8444" s="2357" t="s">
        <v>11742</v>
      </c>
      <c r="E8444" s="2358" t="s">
        <v>10507</v>
      </c>
      <c r="F8444" s="1666">
        <v>25</v>
      </c>
    </row>
    <row r="8445" spans="1:6" ht="15" customHeight="1" x14ac:dyDescent="0.25">
      <c r="A8445" s="2359" t="s">
        <v>11743</v>
      </c>
      <c r="B8445" s="2356" t="s">
        <v>11565</v>
      </c>
      <c r="C8445" s="2356" t="s">
        <v>11565</v>
      </c>
      <c r="D8445" s="2357" t="s">
        <v>11744</v>
      </c>
      <c r="E8445" s="2358" t="s">
        <v>10520</v>
      </c>
      <c r="F8445" s="1666">
        <v>23</v>
      </c>
    </row>
    <row r="8446" spans="1:6" ht="15" customHeight="1" x14ac:dyDescent="0.25">
      <c r="A8446" s="2359" t="s">
        <v>19400</v>
      </c>
      <c r="B8446" s="2356" t="s">
        <v>11565</v>
      </c>
      <c r="C8446" s="2356" t="s">
        <v>11565</v>
      </c>
      <c r="D8446" s="2357" t="s">
        <v>11745</v>
      </c>
      <c r="E8446" s="2358" t="s">
        <v>4202</v>
      </c>
      <c r="F8446" s="1666">
        <v>28</v>
      </c>
    </row>
    <row r="8447" spans="1:6" ht="15" customHeight="1" x14ac:dyDescent="0.25">
      <c r="A8447" s="2359" t="s">
        <v>11746</v>
      </c>
      <c r="B8447" s="2356" t="s">
        <v>11565</v>
      </c>
      <c r="C8447" s="2356" t="s">
        <v>11565</v>
      </c>
      <c r="D8447" s="2357" t="s">
        <v>11747</v>
      </c>
      <c r="E8447" s="2358" t="s">
        <v>10534</v>
      </c>
      <c r="F8447" s="1666">
        <v>25</v>
      </c>
    </row>
    <row r="8448" spans="1:6" ht="15" customHeight="1" x14ac:dyDescent="0.25">
      <c r="A8448" s="2359" t="s">
        <v>11748</v>
      </c>
      <c r="B8448" s="2356" t="s">
        <v>11565</v>
      </c>
      <c r="C8448" s="2356" t="s">
        <v>11565</v>
      </c>
      <c r="D8448" s="2357" t="s">
        <v>11749</v>
      </c>
      <c r="E8448" s="2358" t="s">
        <v>10536</v>
      </c>
      <c r="F8448" s="1666">
        <v>12</v>
      </c>
    </row>
    <row r="8449" spans="1:6" ht="15" customHeight="1" x14ac:dyDescent="0.25">
      <c r="A8449" s="2359" t="s">
        <v>11750</v>
      </c>
      <c r="B8449" s="2356" t="s">
        <v>11565</v>
      </c>
      <c r="C8449" s="2356" t="s">
        <v>11565</v>
      </c>
      <c r="D8449" s="2357" t="s">
        <v>11751</v>
      </c>
      <c r="E8449" s="2358" t="s">
        <v>10517</v>
      </c>
      <c r="F8449" s="1666">
        <v>34</v>
      </c>
    </row>
    <row r="8450" spans="1:6" ht="15" customHeight="1" x14ac:dyDescent="0.25">
      <c r="A8450" s="2359" t="s">
        <v>11752</v>
      </c>
      <c r="B8450" s="2356" t="s">
        <v>11565</v>
      </c>
      <c r="C8450" s="2356" t="s">
        <v>11565</v>
      </c>
      <c r="D8450" s="2357" t="s">
        <v>11753</v>
      </c>
      <c r="E8450" s="2358" t="s">
        <v>3654</v>
      </c>
      <c r="F8450" s="1666">
        <v>3</v>
      </c>
    </row>
    <row r="8451" spans="1:6" ht="15" customHeight="1" x14ac:dyDescent="0.25">
      <c r="A8451" s="2359" t="s">
        <v>11754</v>
      </c>
      <c r="B8451" s="2356" t="s">
        <v>11565</v>
      </c>
      <c r="C8451" s="2356" t="s">
        <v>11565</v>
      </c>
      <c r="D8451" s="2357" t="s">
        <v>11755</v>
      </c>
      <c r="E8451" s="2358" t="s">
        <v>10507</v>
      </c>
      <c r="F8451" s="1666">
        <v>24</v>
      </c>
    </row>
    <row r="8452" spans="1:6" ht="15" customHeight="1" x14ac:dyDescent="0.25">
      <c r="A8452" s="2359" t="s">
        <v>11756</v>
      </c>
      <c r="B8452" s="2356" t="s">
        <v>11565</v>
      </c>
      <c r="C8452" s="2356" t="s">
        <v>11565</v>
      </c>
      <c r="D8452" s="2357" t="s">
        <v>11757</v>
      </c>
      <c r="E8452" s="2358" t="s">
        <v>10517</v>
      </c>
      <c r="F8452" s="1666">
        <v>27</v>
      </c>
    </row>
    <row r="8453" spans="1:6" ht="15" customHeight="1" x14ac:dyDescent="0.25">
      <c r="A8453" s="2359" t="s">
        <v>7991</v>
      </c>
      <c r="B8453" s="2356" t="s">
        <v>11565</v>
      </c>
      <c r="C8453" s="2356" t="s">
        <v>11565</v>
      </c>
      <c r="D8453" s="2357" t="s">
        <v>11758</v>
      </c>
      <c r="E8453" s="2358" t="s">
        <v>10507</v>
      </c>
      <c r="F8453" s="1666">
        <v>32</v>
      </c>
    </row>
    <row r="8454" spans="1:6" ht="15" customHeight="1" x14ac:dyDescent="0.25">
      <c r="A8454" s="2359" t="s">
        <v>7208</v>
      </c>
      <c r="B8454" s="2356" t="s">
        <v>11565</v>
      </c>
      <c r="C8454" s="2356" t="s">
        <v>11565</v>
      </c>
      <c r="D8454" s="2357" t="s">
        <v>11759</v>
      </c>
      <c r="E8454" s="2358" t="s">
        <v>10530</v>
      </c>
      <c r="F8454" s="1666">
        <v>45</v>
      </c>
    </row>
    <row r="8455" spans="1:6" ht="15" customHeight="1" x14ac:dyDescent="0.25">
      <c r="A8455" s="2359" t="s">
        <v>7208</v>
      </c>
      <c r="B8455" s="2356" t="s">
        <v>11565</v>
      </c>
      <c r="C8455" s="2356" t="s">
        <v>11565</v>
      </c>
      <c r="D8455" s="2357" t="s">
        <v>11760</v>
      </c>
      <c r="E8455" s="2358" t="s">
        <v>10530</v>
      </c>
      <c r="F8455" s="1666">
        <v>51</v>
      </c>
    </row>
    <row r="8456" spans="1:6" ht="15" customHeight="1" x14ac:dyDescent="0.25">
      <c r="A8456" s="2359" t="s">
        <v>11761</v>
      </c>
      <c r="B8456" s="2356" t="s">
        <v>11565</v>
      </c>
      <c r="C8456" s="2356" t="s">
        <v>11565</v>
      </c>
      <c r="D8456" s="2357" t="s">
        <v>11762</v>
      </c>
      <c r="E8456" s="2358" t="s">
        <v>10536</v>
      </c>
      <c r="F8456" s="1666">
        <v>12</v>
      </c>
    </row>
    <row r="8457" spans="1:6" ht="15" customHeight="1" x14ac:dyDescent="0.25">
      <c r="A8457" s="2359" t="s">
        <v>10364</v>
      </c>
      <c r="B8457" s="2356" t="s">
        <v>11565</v>
      </c>
      <c r="C8457" s="2356" t="s">
        <v>11565</v>
      </c>
      <c r="D8457" s="2357" t="s">
        <v>11763</v>
      </c>
      <c r="E8457" s="2358" t="s">
        <v>10581</v>
      </c>
      <c r="F8457" s="1666">
        <v>0</v>
      </c>
    </row>
    <row r="8458" spans="1:6" ht="15" customHeight="1" x14ac:dyDescent="0.25">
      <c r="A8458" s="2359" t="s">
        <v>11764</v>
      </c>
      <c r="B8458" s="2356" t="s">
        <v>11565</v>
      </c>
      <c r="C8458" s="2356" t="s">
        <v>11565</v>
      </c>
      <c r="D8458" s="2357" t="s">
        <v>11765</v>
      </c>
      <c r="E8458" s="2358" t="s">
        <v>10536</v>
      </c>
      <c r="F8458" s="1666">
        <v>13</v>
      </c>
    </row>
    <row r="8459" spans="1:6" ht="15" customHeight="1" x14ac:dyDescent="0.25">
      <c r="A8459" s="2359" t="s">
        <v>11766</v>
      </c>
      <c r="B8459" s="2356" t="s">
        <v>11565</v>
      </c>
      <c r="C8459" s="2356" t="s">
        <v>11565</v>
      </c>
      <c r="D8459" s="2357" t="s">
        <v>11767</v>
      </c>
      <c r="E8459" s="2358" t="s">
        <v>10517</v>
      </c>
      <c r="F8459" s="1666">
        <v>33</v>
      </c>
    </row>
    <row r="8460" spans="1:6" ht="15" customHeight="1" x14ac:dyDescent="0.25">
      <c r="A8460" s="2359" t="s">
        <v>11768</v>
      </c>
      <c r="B8460" s="2356" t="s">
        <v>11565</v>
      </c>
      <c r="C8460" s="2356" t="s">
        <v>11565</v>
      </c>
      <c r="D8460" s="2357" t="s">
        <v>11769</v>
      </c>
      <c r="E8460" s="2358" t="s">
        <v>10520</v>
      </c>
      <c r="F8460" s="1666">
        <v>23</v>
      </c>
    </row>
    <row r="8461" spans="1:6" ht="15" customHeight="1" x14ac:dyDescent="0.25">
      <c r="A8461" s="2359" t="s">
        <v>11770</v>
      </c>
      <c r="B8461" s="2356" t="s">
        <v>11565</v>
      </c>
      <c r="C8461" s="2356" t="s">
        <v>11565</v>
      </c>
      <c r="D8461" s="2357" t="s">
        <v>11771</v>
      </c>
      <c r="E8461" s="2358" t="s">
        <v>10517</v>
      </c>
      <c r="F8461" s="1666">
        <v>28</v>
      </c>
    </row>
    <row r="8462" spans="1:6" ht="15" customHeight="1" x14ac:dyDescent="0.25">
      <c r="A8462" s="2360" t="s">
        <v>4413</v>
      </c>
      <c r="B8462" s="2360" t="s">
        <v>11565</v>
      </c>
      <c r="C8462" s="2360" t="s">
        <v>11565</v>
      </c>
      <c r="D8462" s="2361" t="s">
        <v>11772</v>
      </c>
      <c r="E8462" s="2362">
        <v>160</v>
      </c>
      <c r="F8462" s="2363">
        <v>36</v>
      </c>
    </row>
    <row r="8463" spans="1:6" ht="15" customHeight="1" x14ac:dyDescent="0.25">
      <c r="A8463" s="2364" t="s">
        <v>11773</v>
      </c>
      <c r="B8463" s="2360" t="s">
        <v>11565</v>
      </c>
      <c r="C8463" s="2360" t="s">
        <v>11565</v>
      </c>
      <c r="D8463" s="2360" t="s">
        <v>11774</v>
      </c>
      <c r="E8463" s="2359">
        <v>63</v>
      </c>
      <c r="F8463" s="2363">
        <v>20</v>
      </c>
    </row>
    <row r="8464" spans="1:6" ht="15" customHeight="1" x14ac:dyDescent="0.25">
      <c r="A8464" s="2364" t="s">
        <v>11574</v>
      </c>
      <c r="B8464" s="2360" t="s">
        <v>11565</v>
      </c>
      <c r="C8464" s="2360" t="s">
        <v>11565</v>
      </c>
      <c r="D8464" s="2360" t="s">
        <v>11775</v>
      </c>
      <c r="E8464" s="2359">
        <v>160</v>
      </c>
      <c r="F8464" s="2363">
        <v>41</v>
      </c>
    </row>
    <row r="8465" spans="1:6" ht="15" customHeight="1" x14ac:dyDescent="0.25">
      <c r="A8465" s="2364" t="s">
        <v>11583</v>
      </c>
      <c r="B8465" s="2360" t="s">
        <v>11565</v>
      </c>
      <c r="C8465" s="2360" t="s">
        <v>11565</v>
      </c>
      <c r="D8465" s="2364" t="s">
        <v>11776</v>
      </c>
      <c r="E8465" s="2359">
        <v>100</v>
      </c>
      <c r="F8465" s="2363">
        <v>12</v>
      </c>
    </row>
    <row r="8466" spans="1:6" ht="15" customHeight="1" x14ac:dyDescent="0.25">
      <c r="A8466" s="2364" t="s">
        <v>19401</v>
      </c>
      <c r="B8466" s="2360" t="s">
        <v>11565</v>
      </c>
      <c r="C8466" s="2360" t="s">
        <v>11565</v>
      </c>
      <c r="D8466" s="2364" t="s">
        <v>11777</v>
      </c>
      <c r="E8466" s="2359">
        <v>250</v>
      </c>
      <c r="F8466" s="2363">
        <v>34</v>
      </c>
    </row>
    <row r="8467" spans="1:6" ht="15" customHeight="1" x14ac:dyDescent="0.25">
      <c r="A8467" s="2364" t="s">
        <v>19402</v>
      </c>
      <c r="B8467" s="2360" t="s">
        <v>11565</v>
      </c>
      <c r="C8467" s="2360" t="s">
        <v>11565</v>
      </c>
      <c r="D8467" s="2364" t="s">
        <v>11778</v>
      </c>
      <c r="E8467" s="2359">
        <v>100</v>
      </c>
      <c r="F8467" s="2363">
        <v>10</v>
      </c>
    </row>
    <row r="8468" spans="1:6" ht="15" customHeight="1" x14ac:dyDescent="0.25">
      <c r="A8468" s="2364" t="s">
        <v>11779</v>
      </c>
      <c r="B8468" s="2360" t="s">
        <v>11565</v>
      </c>
      <c r="C8468" s="2360" t="s">
        <v>11565</v>
      </c>
      <c r="D8468" s="2365" t="s">
        <v>11780</v>
      </c>
      <c r="E8468" s="2359">
        <v>40</v>
      </c>
      <c r="F8468" s="2363">
        <v>19</v>
      </c>
    </row>
    <row r="8469" spans="1:6" ht="15" customHeight="1" x14ac:dyDescent="0.25">
      <c r="A8469" s="2364" t="s">
        <v>11781</v>
      </c>
      <c r="B8469" s="2360" t="s">
        <v>11565</v>
      </c>
      <c r="C8469" s="2360" t="s">
        <v>11565</v>
      </c>
      <c r="D8469" s="2364" t="s">
        <v>11782</v>
      </c>
      <c r="E8469" s="2359">
        <v>63</v>
      </c>
      <c r="F8469" s="2363">
        <v>15</v>
      </c>
    </row>
    <row r="8470" spans="1:6" ht="15" customHeight="1" x14ac:dyDescent="0.25">
      <c r="A8470" s="2364" t="s">
        <v>19393</v>
      </c>
      <c r="B8470" s="2360" t="s">
        <v>11565</v>
      </c>
      <c r="C8470" s="2360" t="s">
        <v>11565</v>
      </c>
      <c r="D8470" s="2366" t="s">
        <v>11783</v>
      </c>
      <c r="E8470" s="2359">
        <v>200</v>
      </c>
      <c r="F8470" s="2363">
        <v>12</v>
      </c>
    </row>
    <row r="8471" spans="1:6" ht="15" customHeight="1" x14ac:dyDescent="0.25">
      <c r="A8471" s="2364" t="s">
        <v>19403</v>
      </c>
      <c r="B8471" s="2360" t="s">
        <v>11565</v>
      </c>
      <c r="C8471" s="2360" t="s">
        <v>11565</v>
      </c>
      <c r="D8471" s="2366" t="s">
        <v>11784</v>
      </c>
      <c r="E8471" s="2359">
        <v>10</v>
      </c>
      <c r="F8471" s="2363">
        <v>2.4</v>
      </c>
    </row>
    <row r="8472" spans="1:6" ht="15" customHeight="1" x14ac:dyDescent="0.25">
      <c r="A8472" s="2364" t="s">
        <v>19393</v>
      </c>
      <c r="B8472" s="2360" t="s">
        <v>11565</v>
      </c>
      <c r="C8472" s="2360" t="s">
        <v>11565</v>
      </c>
      <c r="D8472" s="2366" t="s">
        <v>11785</v>
      </c>
      <c r="E8472" s="2359">
        <v>160</v>
      </c>
      <c r="F8472" s="2363">
        <v>23</v>
      </c>
    </row>
    <row r="8473" spans="1:6" ht="15" customHeight="1" x14ac:dyDescent="0.25">
      <c r="A8473" s="2364" t="s">
        <v>19393</v>
      </c>
      <c r="B8473" s="2360" t="s">
        <v>11565</v>
      </c>
      <c r="C8473" s="2360" t="s">
        <v>11565</v>
      </c>
      <c r="D8473" s="2366" t="s">
        <v>11786</v>
      </c>
      <c r="E8473" s="2359">
        <v>630</v>
      </c>
      <c r="F8473" s="2363">
        <v>34</v>
      </c>
    </row>
    <row r="8474" spans="1:6" ht="15" customHeight="1" x14ac:dyDescent="0.25">
      <c r="A8474" s="2364" t="s">
        <v>11787</v>
      </c>
      <c r="B8474" s="2360" t="s">
        <v>11565</v>
      </c>
      <c r="C8474" s="2360" t="s">
        <v>11565</v>
      </c>
      <c r="D8474" s="2366" t="s">
        <v>11788</v>
      </c>
      <c r="E8474" s="2359">
        <v>160</v>
      </c>
      <c r="F8474" s="2363">
        <v>20</v>
      </c>
    </row>
    <row r="8475" spans="1:6" ht="15" customHeight="1" x14ac:dyDescent="0.25">
      <c r="A8475" s="2364" t="s">
        <v>11761</v>
      </c>
      <c r="B8475" s="2360" t="s">
        <v>11565</v>
      </c>
      <c r="C8475" s="2360" t="s">
        <v>11565</v>
      </c>
      <c r="D8475" s="2366" t="s">
        <v>11789</v>
      </c>
      <c r="E8475" s="2359">
        <v>100</v>
      </c>
      <c r="F8475" s="2363">
        <v>28</v>
      </c>
    </row>
    <row r="8476" spans="1:6" ht="15" customHeight="1" x14ac:dyDescent="0.25">
      <c r="A8476" s="2364" t="s">
        <v>9324</v>
      </c>
      <c r="B8476" s="2360" t="s">
        <v>11565</v>
      </c>
      <c r="C8476" s="2360" t="s">
        <v>11565</v>
      </c>
      <c r="D8476" s="2366" t="s">
        <v>11790</v>
      </c>
      <c r="E8476" s="2359">
        <v>100</v>
      </c>
      <c r="F8476" s="2363">
        <v>16</v>
      </c>
    </row>
    <row r="8477" spans="1:6" ht="15" customHeight="1" x14ac:dyDescent="0.25">
      <c r="A8477" s="2364" t="s">
        <v>11791</v>
      </c>
      <c r="B8477" s="2360" t="s">
        <v>11565</v>
      </c>
      <c r="C8477" s="2360" t="s">
        <v>11565</v>
      </c>
      <c r="D8477" s="2367" t="s">
        <v>11792</v>
      </c>
      <c r="E8477" s="2359">
        <v>60</v>
      </c>
      <c r="F8477" s="2363">
        <v>23</v>
      </c>
    </row>
    <row r="8478" spans="1:6" ht="15" customHeight="1" x14ac:dyDescent="0.25">
      <c r="A8478" s="2364" t="s">
        <v>11793</v>
      </c>
      <c r="B8478" s="2360" t="s">
        <v>11565</v>
      </c>
      <c r="C8478" s="2360" t="s">
        <v>11565</v>
      </c>
      <c r="D8478" s="2366" t="s">
        <v>11794</v>
      </c>
      <c r="E8478" s="2359">
        <v>60</v>
      </c>
      <c r="F8478" s="2363">
        <v>21</v>
      </c>
    </row>
    <row r="8479" spans="1:6" ht="15" customHeight="1" x14ac:dyDescent="0.25">
      <c r="A8479" s="2364"/>
      <c r="B8479" s="2360" t="s">
        <v>11565</v>
      </c>
      <c r="C8479" s="2360" t="s">
        <v>11565</v>
      </c>
      <c r="D8479" s="2366" t="s">
        <v>11795</v>
      </c>
      <c r="E8479" s="2359">
        <v>30</v>
      </c>
      <c r="F8479" s="2363">
        <v>12</v>
      </c>
    </row>
    <row r="8480" spans="1:6" ht="15" customHeight="1" x14ac:dyDescent="0.25">
      <c r="A8480" s="2364" t="s">
        <v>11796</v>
      </c>
      <c r="B8480" s="2360" t="s">
        <v>11565</v>
      </c>
      <c r="C8480" s="2360" t="s">
        <v>11565</v>
      </c>
      <c r="D8480" s="2366" t="s">
        <v>11797</v>
      </c>
      <c r="E8480" s="2359">
        <v>50</v>
      </c>
      <c r="F8480" s="2363">
        <v>9</v>
      </c>
    </row>
    <row r="8481" spans="1:6" ht="15" customHeight="1" x14ac:dyDescent="0.25">
      <c r="A8481" s="2364" t="s">
        <v>8250</v>
      </c>
      <c r="B8481" s="2360" t="s">
        <v>11565</v>
      </c>
      <c r="C8481" s="2360" t="s">
        <v>11565</v>
      </c>
      <c r="D8481" s="2366" t="s">
        <v>11798</v>
      </c>
      <c r="E8481" s="2359">
        <v>60</v>
      </c>
      <c r="F8481" s="2363">
        <v>15</v>
      </c>
    </row>
    <row r="8482" spans="1:6" ht="15" customHeight="1" x14ac:dyDescent="0.25">
      <c r="A8482" s="2364" t="s">
        <v>19404</v>
      </c>
      <c r="B8482" s="2360" t="s">
        <v>11565</v>
      </c>
      <c r="C8482" s="2360" t="s">
        <v>11565</v>
      </c>
      <c r="D8482" s="2366" t="s">
        <v>11799</v>
      </c>
      <c r="E8482" s="2359">
        <v>63</v>
      </c>
      <c r="F8482" s="2363">
        <v>22</v>
      </c>
    </row>
    <row r="8483" spans="1:6" ht="15" customHeight="1" x14ac:dyDescent="0.25">
      <c r="A8483" s="2364" t="s">
        <v>11800</v>
      </c>
      <c r="B8483" s="2360" t="s">
        <v>11565</v>
      </c>
      <c r="C8483" s="2360" t="s">
        <v>11565</v>
      </c>
      <c r="D8483" s="2366" t="s">
        <v>11801</v>
      </c>
      <c r="E8483" s="2359">
        <v>63</v>
      </c>
      <c r="F8483" s="2363">
        <v>21</v>
      </c>
    </row>
    <row r="8484" spans="1:6" ht="15" customHeight="1" x14ac:dyDescent="0.25">
      <c r="A8484" s="2364" t="s">
        <v>11802</v>
      </c>
      <c r="B8484" s="2360" t="s">
        <v>11565</v>
      </c>
      <c r="C8484" s="2360" t="s">
        <v>11565</v>
      </c>
      <c r="D8484" s="2367" t="s">
        <v>11803</v>
      </c>
      <c r="E8484" s="2359">
        <v>63</v>
      </c>
      <c r="F8484" s="2363">
        <v>21</v>
      </c>
    </row>
    <row r="8485" spans="1:6" ht="15" customHeight="1" x14ac:dyDescent="0.25">
      <c r="A8485" s="2364" t="s">
        <v>11804</v>
      </c>
      <c r="B8485" s="2360" t="s">
        <v>11565</v>
      </c>
      <c r="C8485" s="2360" t="s">
        <v>11565</v>
      </c>
      <c r="D8485" s="2366" t="s">
        <v>11805</v>
      </c>
      <c r="E8485" s="2359">
        <v>60</v>
      </c>
      <c r="F8485" s="2363">
        <v>19</v>
      </c>
    </row>
    <row r="8486" spans="1:6" ht="15" customHeight="1" x14ac:dyDescent="0.25">
      <c r="A8486" s="2364" t="s">
        <v>11806</v>
      </c>
      <c r="B8486" s="2360" t="s">
        <v>11565</v>
      </c>
      <c r="C8486" s="2360" t="s">
        <v>11565</v>
      </c>
      <c r="D8486" s="2366" t="s">
        <v>11807</v>
      </c>
      <c r="E8486" s="2359">
        <v>180</v>
      </c>
      <c r="F8486" s="2363">
        <v>13</v>
      </c>
    </row>
    <row r="8487" spans="1:6" ht="15" customHeight="1" x14ac:dyDescent="0.25">
      <c r="A8487" s="2364"/>
      <c r="B8487" s="2360" t="s">
        <v>11565</v>
      </c>
      <c r="C8487" s="2360" t="s">
        <v>11565</v>
      </c>
      <c r="D8487" s="2366" t="s">
        <v>11808</v>
      </c>
      <c r="E8487" s="2359">
        <v>100</v>
      </c>
      <c r="F8487" s="2363">
        <v>33</v>
      </c>
    </row>
    <row r="8488" spans="1:6" ht="15" customHeight="1" x14ac:dyDescent="0.25">
      <c r="A8488" s="2364" t="s">
        <v>11809</v>
      </c>
      <c r="B8488" s="2360" t="s">
        <v>11565</v>
      </c>
      <c r="C8488" s="2360" t="s">
        <v>11565</v>
      </c>
      <c r="D8488" s="2366" t="s">
        <v>11810</v>
      </c>
      <c r="E8488" s="2359">
        <v>250</v>
      </c>
      <c r="F8488" s="2363">
        <v>24.4</v>
      </c>
    </row>
    <row r="8489" spans="1:6" ht="15" customHeight="1" x14ac:dyDescent="0.25">
      <c r="A8489" s="2364" t="s">
        <v>19405</v>
      </c>
      <c r="B8489" s="2360" t="s">
        <v>11565</v>
      </c>
      <c r="C8489" s="2360" t="s">
        <v>11565</v>
      </c>
      <c r="D8489" s="2366" t="s">
        <v>19406</v>
      </c>
      <c r="E8489" s="2359">
        <v>0</v>
      </c>
      <c r="F8489" s="2363">
        <v>0</v>
      </c>
    </row>
    <row r="8490" spans="1:6" ht="15" customHeight="1" x14ac:dyDescent="0.25">
      <c r="A8490" s="2364" t="s">
        <v>11811</v>
      </c>
      <c r="B8490" s="2360" t="s">
        <v>11565</v>
      </c>
      <c r="C8490" s="2360" t="s">
        <v>11565</v>
      </c>
      <c r="D8490" s="2366" t="s">
        <v>11812</v>
      </c>
      <c r="E8490" s="2359">
        <v>100</v>
      </c>
      <c r="F8490" s="2363">
        <v>11</v>
      </c>
    </row>
    <row r="8491" spans="1:6" ht="15" customHeight="1" x14ac:dyDescent="0.25">
      <c r="A8491" s="2364" t="s">
        <v>11813</v>
      </c>
      <c r="B8491" s="2360" t="s">
        <v>11565</v>
      </c>
      <c r="C8491" s="2360" t="s">
        <v>11565</v>
      </c>
      <c r="D8491" s="2366" t="s">
        <v>11814</v>
      </c>
      <c r="E8491" s="2359">
        <v>100</v>
      </c>
      <c r="F8491" s="2363">
        <v>24</v>
      </c>
    </row>
    <row r="8492" spans="1:6" ht="15" customHeight="1" x14ac:dyDescent="0.25">
      <c r="A8492" s="2364" t="s">
        <v>11815</v>
      </c>
      <c r="B8492" s="2360" t="s">
        <v>11565</v>
      </c>
      <c r="C8492" s="2360" t="s">
        <v>11565</v>
      </c>
      <c r="D8492" s="2366" t="s">
        <v>11816</v>
      </c>
      <c r="E8492" s="2359">
        <v>30</v>
      </c>
      <c r="F8492" s="2363">
        <v>5</v>
      </c>
    </row>
    <row r="8493" spans="1:6" ht="15" customHeight="1" x14ac:dyDescent="0.25">
      <c r="A8493" s="2364" t="s">
        <v>19407</v>
      </c>
      <c r="B8493" s="2360" t="s">
        <v>11565</v>
      </c>
      <c r="C8493" s="2360" t="s">
        <v>11565</v>
      </c>
      <c r="D8493" s="2366" t="s">
        <v>11817</v>
      </c>
      <c r="E8493" s="2359" t="s">
        <v>4202</v>
      </c>
      <c r="F8493" s="2363">
        <v>50</v>
      </c>
    </row>
    <row r="8494" spans="1:6" ht="15" customHeight="1" x14ac:dyDescent="0.25">
      <c r="A8494" s="2364" t="s">
        <v>11818</v>
      </c>
      <c r="B8494" s="2360" t="s">
        <v>11565</v>
      </c>
      <c r="C8494" s="2360" t="s">
        <v>11565</v>
      </c>
      <c r="D8494" s="2366" t="s">
        <v>11819</v>
      </c>
      <c r="E8494" s="2359">
        <v>63</v>
      </c>
      <c r="F8494" s="2363">
        <v>33</v>
      </c>
    </row>
    <row r="8495" spans="1:6" ht="15" customHeight="1" x14ac:dyDescent="0.25">
      <c r="A8495" s="2364" t="s">
        <v>11818</v>
      </c>
      <c r="B8495" s="2360" t="s">
        <v>11565</v>
      </c>
      <c r="C8495" s="2360" t="s">
        <v>11565</v>
      </c>
      <c r="D8495" s="2366" t="s">
        <v>11820</v>
      </c>
      <c r="E8495" s="2359">
        <v>63</v>
      </c>
      <c r="F8495" s="2363">
        <v>35</v>
      </c>
    </row>
    <row r="8496" spans="1:6" ht="15" customHeight="1" x14ac:dyDescent="0.25">
      <c r="A8496" s="2364" t="s">
        <v>18663</v>
      </c>
      <c r="B8496" s="2360" t="s">
        <v>11565</v>
      </c>
      <c r="C8496" s="2360" t="s">
        <v>11565</v>
      </c>
      <c r="D8496" s="2366" t="s">
        <v>11821</v>
      </c>
      <c r="E8496" s="2359">
        <v>250</v>
      </c>
      <c r="F8496" s="2363">
        <v>53</v>
      </c>
    </row>
    <row r="8497" spans="1:6" ht="15" customHeight="1" x14ac:dyDescent="0.25">
      <c r="A8497" s="2364" t="s">
        <v>19408</v>
      </c>
      <c r="B8497" s="2360" t="s">
        <v>11565</v>
      </c>
      <c r="C8497" s="2360" t="s">
        <v>11565</v>
      </c>
      <c r="D8497" s="2366" t="s">
        <v>11822</v>
      </c>
      <c r="E8497" s="2359">
        <v>63</v>
      </c>
      <c r="F8497" s="2363">
        <v>32</v>
      </c>
    </row>
    <row r="8498" spans="1:6" ht="15" customHeight="1" x14ac:dyDescent="0.25">
      <c r="A8498" s="2364" t="s">
        <v>19409</v>
      </c>
      <c r="B8498" s="2360" t="s">
        <v>11565</v>
      </c>
      <c r="C8498" s="2360" t="s">
        <v>11565</v>
      </c>
      <c r="D8498" s="2366" t="s">
        <v>11823</v>
      </c>
      <c r="E8498" s="2359">
        <v>30</v>
      </c>
      <c r="F8498" s="2363">
        <v>12</v>
      </c>
    </row>
    <row r="8499" spans="1:6" ht="15" customHeight="1" x14ac:dyDescent="0.25">
      <c r="A8499" s="2364" t="s">
        <v>11824</v>
      </c>
      <c r="B8499" s="2360" t="s">
        <v>11565</v>
      </c>
      <c r="C8499" s="2360" t="s">
        <v>11565</v>
      </c>
      <c r="D8499" s="2366" t="s">
        <v>11825</v>
      </c>
      <c r="E8499" s="2359">
        <v>100</v>
      </c>
      <c r="F8499" s="2363">
        <v>30</v>
      </c>
    </row>
    <row r="8500" spans="1:6" ht="15" customHeight="1" x14ac:dyDescent="0.25">
      <c r="A8500" s="2364" t="s">
        <v>19410</v>
      </c>
      <c r="B8500" s="2360" t="s">
        <v>11565</v>
      </c>
      <c r="C8500" s="2360" t="s">
        <v>11565</v>
      </c>
      <c r="D8500" s="2366" t="s">
        <v>11826</v>
      </c>
      <c r="E8500" s="2359">
        <v>250</v>
      </c>
      <c r="F8500" s="2363">
        <v>53</v>
      </c>
    </row>
    <row r="8501" spans="1:6" ht="15" customHeight="1" x14ac:dyDescent="0.25">
      <c r="A8501" s="2364" t="s">
        <v>19411</v>
      </c>
      <c r="B8501" s="2360" t="s">
        <v>11565</v>
      </c>
      <c r="C8501" s="2360" t="s">
        <v>11565</v>
      </c>
      <c r="D8501" s="2366" t="s">
        <v>11827</v>
      </c>
      <c r="E8501" s="2359">
        <v>30</v>
      </c>
      <c r="F8501" s="2363">
        <v>3.4</v>
      </c>
    </row>
    <row r="8502" spans="1:6" ht="15" customHeight="1" x14ac:dyDescent="0.25">
      <c r="A8502" s="2364" t="s">
        <v>11828</v>
      </c>
      <c r="B8502" s="2360" t="s">
        <v>11565</v>
      </c>
      <c r="C8502" s="2360" t="s">
        <v>11565</v>
      </c>
      <c r="D8502" s="2366" t="s">
        <v>11829</v>
      </c>
      <c r="E8502" s="2359">
        <v>250</v>
      </c>
      <c r="F8502" s="2363">
        <v>13.8</v>
      </c>
    </row>
    <row r="8503" spans="1:6" ht="15" customHeight="1" x14ac:dyDescent="0.25">
      <c r="A8503" s="2364"/>
      <c r="B8503" s="2360" t="s">
        <v>11565</v>
      </c>
      <c r="C8503" s="2360" t="s">
        <v>11565</v>
      </c>
      <c r="D8503" s="2366" t="s">
        <v>11830</v>
      </c>
      <c r="E8503" s="2359">
        <v>60</v>
      </c>
      <c r="F8503" s="2363">
        <v>34</v>
      </c>
    </row>
    <row r="8504" spans="1:6" ht="15" customHeight="1" x14ac:dyDescent="0.25">
      <c r="A8504" s="2364" t="s">
        <v>11831</v>
      </c>
      <c r="B8504" s="2360" t="s">
        <v>11565</v>
      </c>
      <c r="C8504" s="2360" t="s">
        <v>11565</v>
      </c>
      <c r="D8504" s="2366" t="s">
        <v>11832</v>
      </c>
      <c r="E8504" s="2359">
        <v>20</v>
      </c>
      <c r="F8504" s="2363">
        <v>2</v>
      </c>
    </row>
    <row r="8505" spans="1:6" ht="15" customHeight="1" x14ac:dyDescent="0.25">
      <c r="A8505" s="2364" t="s">
        <v>4769</v>
      </c>
      <c r="B8505" s="2360" t="s">
        <v>11565</v>
      </c>
      <c r="C8505" s="2360" t="s">
        <v>11565</v>
      </c>
      <c r="D8505" s="2366" t="s">
        <v>11833</v>
      </c>
      <c r="E8505" s="2359">
        <v>30</v>
      </c>
      <c r="F8505" s="2363">
        <v>12</v>
      </c>
    </row>
    <row r="8506" spans="1:6" ht="15" customHeight="1" x14ac:dyDescent="0.25">
      <c r="A8506" s="2364" t="s">
        <v>11834</v>
      </c>
      <c r="B8506" s="2360" t="s">
        <v>11565</v>
      </c>
      <c r="C8506" s="2360" t="s">
        <v>11565</v>
      </c>
      <c r="D8506" s="2366" t="s">
        <v>11835</v>
      </c>
      <c r="E8506" s="2359">
        <v>63</v>
      </c>
      <c r="F8506" s="2363">
        <v>34</v>
      </c>
    </row>
    <row r="8507" spans="1:6" ht="15" customHeight="1" x14ac:dyDescent="0.25">
      <c r="A8507" s="2364" t="s">
        <v>7973</v>
      </c>
      <c r="B8507" s="2360" t="s">
        <v>11565</v>
      </c>
      <c r="C8507" s="2360" t="s">
        <v>11565</v>
      </c>
      <c r="D8507" s="2366" t="s">
        <v>11836</v>
      </c>
      <c r="E8507" s="2359">
        <v>100</v>
      </c>
      <c r="F8507" s="2363">
        <v>19</v>
      </c>
    </row>
    <row r="8508" spans="1:6" ht="15" customHeight="1" x14ac:dyDescent="0.25">
      <c r="A8508" s="2364" t="s">
        <v>11837</v>
      </c>
      <c r="B8508" s="2360" t="s">
        <v>11565</v>
      </c>
      <c r="C8508" s="2360" t="s">
        <v>11565</v>
      </c>
      <c r="D8508" s="2366" t="s">
        <v>11838</v>
      </c>
      <c r="E8508" s="2359">
        <v>40</v>
      </c>
      <c r="F8508" s="2363">
        <v>26</v>
      </c>
    </row>
    <row r="8509" spans="1:6" ht="15" customHeight="1" x14ac:dyDescent="0.25">
      <c r="A8509" s="2364" t="s">
        <v>11839</v>
      </c>
      <c r="B8509" s="2360" t="s">
        <v>11565</v>
      </c>
      <c r="C8509" s="2360" t="s">
        <v>11565</v>
      </c>
      <c r="D8509" s="2366" t="s">
        <v>11840</v>
      </c>
      <c r="E8509" s="2359">
        <v>100</v>
      </c>
      <c r="F8509" s="2363">
        <v>30</v>
      </c>
    </row>
    <row r="8510" spans="1:6" ht="15" customHeight="1" x14ac:dyDescent="0.25">
      <c r="A8510" s="2364" t="s">
        <v>11839</v>
      </c>
      <c r="B8510" s="2360" t="s">
        <v>11565</v>
      </c>
      <c r="C8510" s="2360" t="s">
        <v>11565</v>
      </c>
      <c r="D8510" s="2366" t="s">
        <v>11841</v>
      </c>
      <c r="E8510" s="2359">
        <v>63</v>
      </c>
      <c r="F8510" s="2363">
        <v>41</v>
      </c>
    </row>
    <row r="8511" spans="1:6" ht="15" customHeight="1" x14ac:dyDescent="0.25">
      <c r="A8511" s="2364" t="s">
        <v>11842</v>
      </c>
      <c r="B8511" s="2360" t="s">
        <v>11565</v>
      </c>
      <c r="C8511" s="2360" t="s">
        <v>11565</v>
      </c>
      <c r="D8511" s="2366" t="s">
        <v>11843</v>
      </c>
      <c r="E8511" s="2359">
        <v>100</v>
      </c>
      <c r="F8511" s="2363">
        <v>19</v>
      </c>
    </row>
    <row r="8512" spans="1:6" ht="15" customHeight="1" x14ac:dyDescent="0.25">
      <c r="A8512" s="2364" t="s">
        <v>11844</v>
      </c>
      <c r="B8512" s="2360" t="s">
        <v>11565</v>
      </c>
      <c r="C8512" s="2360" t="s">
        <v>11565</v>
      </c>
      <c r="D8512" s="2366" t="s">
        <v>11845</v>
      </c>
      <c r="E8512" s="2359">
        <v>30</v>
      </c>
      <c r="F8512" s="2363">
        <v>10</v>
      </c>
    </row>
    <row r="8513" spans="1:6" ht="15" customHeight="1" x14ac:dyDescent="0.25">
      <c r="A8513" s="2364" t="s">
        <v>11846</v>
      </c>
      <c r="B8513" s="2360" t="s">
        <v>11565</v>
      </c>
      <c r="C8513" s="2360" t="s">
        <v>11565</v>
      </c>
      <c r="D8513" s="2366" t="s">
        <v>11847</v>
      </c>
      <c r="E8513" s="2359">
        <v>50</v>
      </c>
      <c r="F8513" s="2363">
        <v>21</v>
      </c>
    </row>
    <row r="8514" spans="1:6" ht="15" customHeight="1" x14ac:dyDescent="0.25">
      <c r="A8514" s="2364" t="s">
        <v>7491</v>
      </c>
      <c r="B8514" s="2360" t="s">
        <v>11565</v>
      </c>
      <c r="C8514" s="2360" t="s">
        <v>11565</v>
      </c>
      <c r="D8514" s="2366" t="s">
        <v>11848</v>
      </c>
      <c r="E8514" s="2359">
        <v>63</v>
      </c>
      <c r="F8514" s="2363">
        <v>26</v>
      </c>
    </row>
    <row r="8515" spans="1:6" ht="15" customHeight="1" x14ac:dyDescent="0.25">
      <c r="A8515" s="2364" t="s">
        <v>19412</v>
      </c>
      <c r="B8515" s="2360" t="s">
        <v>11565</v>
      </c>
      <c r="C8515" s="2360" t="s">
        <v>11565</v>
      </c>
      <c r="D8515" s="2366" t="s">
        <v>11849</v>
      </c>
      <c r="E8515" s="2359">
        <v>160</v>
      </c>
      <c r="F8515" s="2363">
        <v>23</v>
      </c>
    </row>
    <row r="8516" spans="1:6" ht="15" customHeight="1" x14ac:dyDescent="0.25">
      <c r="A8516" s="2364"/>
      <c r="B8516" s="2360" t="s">
        <v>11565</v>
      </c>
      <c r="C8516" s="2360" t="s">
        <v>11565</v>
      </c>
      <c r="D8516" s="2366" t="s">
        <v>11850</v>
      </c>
      <c r="E8516" s="2359">
        <v>250</v>
      </c>
      <c r="F8516" s="2363">
        <v>33</v>
      </c>
    </row>
    <row r="8517" spans="1:6" ht="15" customHeight="1" x14ac:dyDescent="0.25">
      <c r="A8517" s="2364" t="s">
        <v>19413</v>
      </c>
      <c r="B8517" s="2360" t="s">
        <v>11565</v>
      </c>
      <c r="C8517" s="2360" t="s">
        <v>11565</v>
      </c>
      <c r="D8517" s="2366" t="s">
        <v>11851</v>
      </c>
      <c r="E8517" s="2359" t="s">
        <v>4199</v>
      </c>
      <c r="F8517" s="2363">
        <v>23</v>
      </c>
    </row>
    <row r="8518" spans="1:6" ht="15" customHeight="1" x14ac:dyDescent="0.25">
      <c r="A8518" s="2364"/>
      <c r="B8518" s="2360" t="s">
        <v>11565</v>
      </c>
      <c r="C8518" s="2360" t="s">
        <v>11565</v>
      </c>
      <c r="D8518" s="2366" t="s">
        <v>11852</v>
      </c>
      <c r="E8518" s="2359">
        <v>160</v>
      </c>
      <c r="F8518" s="2363">
        <v>21</v>
      </c>
    </row>
    <row r="8519" spans="1:6" ht="15" customHeight="1" x14ac:dyDescent="0.25">
      <c r="A8519" s="2364"/>
      <c r="B8519" s="2360" t="s">
        <v>11565</v>
      </c>
      <c r="C8519" s="2360" t="s">
        <v>11565</v>
      </c>
      <c r="D8519" s="2366" t="s">
        <v>11853</v>
      </c>
      <c r="E8519" s="2359" t="s">
        <v>4199</v>
      </c>
      <c r="F8519" s="2363">
        <v>25</v>
      </c>
    </row>
    <row r="8520" spans="1:6" ht="15" customHeight="1" x14ac:dyDescent="0.25">
      <c r="A8520" s="2364" t="s">
        <v>6476</v>
      </c>
      <c r="B8520" s="2360" t="s">
        <v>11565</v>
      </c>
      <c r="C8520" s="2360" t="s">
        <v>11565</v>
      </c>
      <c r="D8520" s="2366" t="s">
        <v>11854</v>
      </c>
      <c r="E8520" s="2359">
        <v>30</v>
      </c>
      <c r="F8520" s="2363">
        <v>19</v>
      </c>
    </row>
    <row r="8521" spans="1:6" ht="15" customHeight="1" x14ac:dyDescent="0.25">
      <c r="A8521" s="2364" t="s">
        <v>8242</v>
      </c>
      <c r="B8521" s="2360" t="s">
        <v>11565</v>
      </c>
      <c r="C8521" s="2360" t="s">
        <v>11565</v>
      </c>
      <c r="D8521" s="2366" t="s">
        <v>19414</v>
      </c>
      <c r="E8521" s="2359">
        <v>0</v>
      </c>
      <c r="F8521" s="2363">
        <v>0</v>
      </c>
    </row>
    <row r="8522" spans="1:6" ht="15" customHeight="1" x14ac:dyDescent="0.25">
      <c r="A8522" s="2364" t="s">
        <v>18663</v>
      </c>
      <c r="B8522" s="2360" t="s">
        <v>11565</v>
      </c>
      <c r="C8522" s="2360" t="s">
        <v>11565</v>
      </c>
      <c r="D8522" s="2366" t="s">
        <v>11855</v>
      </c>
      <c r="E8522" s="2359">
        <v>160</v>
      </c>
      <c r="F8522" s="2363">
        <v>25</v>
      </c>
    </row>
    <row r="8523" spans="1:6" ht="15" customHeight="1" x14ac:dyDescent="0.25">
      <c r="A8523" s="2364"/>
      <c r="B8523" s="2360" t="s">
        <v>11565</v>
      </c>
      <c r="C8523" s="2360" t="s">
        <v>11565</v>
      </c>
      <c r="D8523" s="2366" t="s">
        <v>11856</v>
      </c>
      <c r="E8523" s="2359">
        <v>250</v>
      </c>
      <c r="F8523" s="2363">
        <v>20</v>
      </c>
    </row>
    <row r="8524" spans="1:6" ht="15" customHeight="1" x14ac:dyDescent="0.25">
      <c r="A8524" s="2364"/>
      <c r="B8524" s="2360" t="s">
        <v>11565</v>
      </c>
      <c r="C8524" s="2360" t="s">
        <v>11565</v>
      </c>
      <c r="D8524" s="2366" t="s">
        <v>11857</v>
      </c>
      <c r="E8524" s="2359">
        <v>63</v>
      </c>
      <c r="F8524" s="2363">
        <v>18.8</v>
      </c>
    </row>
    <row r="8525" spans="1:6" ht="15" customHeight="1" x14ac:dyDescent="0.25">
      <c r="A8525" s="2364" t="s">
        <v>19415</v>
      </c>
      <c r="B8525" s="2360" t="s">
        <v>11565</v>
      </c>
      <c r="C8525" s="2360" t="s">
        <v>11565</v>
      </c>
      <c r="D8525" s="2366" t="s">
        <v>11858</v>
      </c>
      <c r="E8525" s="2359" t="s">
        <v>4202</v>
      </c>
      <c r="F8525" s="2363">
        <v>24</v>
      </c>
    </row>
    <row r="8526" spans="1:6" ht="15" customHeight="1" x14ac:dyDescent="0.25">
      <c r="A8526" s="2364"/>
      <c r="B8526" s="2360" t="s">
        <v>11565</v>
      </c>
      <c r="C8526" s="2360" t="s">
        <v>11565</v>
      </c>
      <c r="D8526" s="2367" t="s">
        <v>11859</v>
      </c>
      <c r="E8526" s="2359">
        <v>400</v>
      </c>
      <c r="F8526" s="2363">
        <v>23</v>
      </c>
    </row>
    <row r="8527" spans="1:6" ht="15" customHeight="1" x14ac:dyDescent="0.25">
      <c r="A8527" s="2364" t="s">
        <v>8212</v>
      </c>
      <c r="B8527" s="2360" t="s">
        <v>11565</v>
      </c>
      <c r="C8527" s="2360" t="s">
        <v>11565</v>
      </c>
      <c r="D8527" s="2366" t="s">
        <v>11860</v>
      </c>
      <c r="E8527" s="2359">
        <v>63</v>
      </c>
      <c r="F8527" s="2363">
        <v>21</v>
      </c>
    </row>
    <row r="8528" spans="1:6" ht="15" customHeight="1" x14ac:dyDescent="0.25">
      <c r="A8528" s="2364" t="s">
        <v>19416</v>
      </c>
      <c r="B8528" s="2360" t="s">
        <v>11565</v>
      </c>
      <c r="C8528" s="2360" t="s">
        <v>11565</v>
      </c>
      <c r="D8528" s="2366" t="s">
        <v>11861</v>
      </c>
      <c r="E8528" s="2359">
        <v>63</v>
      </c>
      <c r="F8528" s="2363">
        <v>18</v>
      </c>
    </row>
    <row r="8529" spans="1:6" ht="15" customHeight="1" x14ac:dyDescent="0.25">
      <c r="A8529" s="2364" t="s">
        <v>11862</v>
      </c>
      <c r="B8529" s="2360" t="s">
        <v>11565</v>
      </c>
      <c r="C8529" s="2360" t="s">
        <v>11565</v>
      </c>
      <c r="D8529" s="2366" t="s">
        <v>11863</v>
      </c>
      <c r="E8529" s="2359">
        <v>400</v>
      </c>
      <c r="F8529" s="2363">
        <v>200</v>
      </c>
    </row>
    <row r="8530" spans="1:6" ht="15" customHeight="1" x14ac:dyDescent="0.25">
      <c r="A8530" s="2364"/>
      <c r="B8530" s="2360" t="s">
        <v>11565</v>
      </c>
      <c r="C8530" s="2360" t="s">
        <v>11565</v>
      </c>
      <c r="D8530" s="2366" t="s">
        <v>11864</v>
      </c>
      <c r="E8530" s="2359">
        <v>400</v>
      </c>
      <c r="F8530" s="2363">
        <v>150</v>
      </c>
    </row>
    <row r="8531" spans="1:6" ht="15" customHeight="1" x14ac:dyDescent="0.25">
      <c r="A8531" s="2364"/>
      <c r="B8531" s="2360" t="s">
        <v>11565</v>
      </c>
      <c r="C8531" s="2360" t="s">
        <v>11565</v>
      </c>
      <c r="D8531" s="2366" t="s">
        <v>11865</v>
      </c>
      <c r="E8531" s="2359" t="s">
        <v>4200</v>
      </c>
      <c r="F8531" s="2363">
        <v>180</v>
      </c>
    </row>
    <row r="8532" spans="1:6" ht="15" customHeight="1" x14ac:dyDescent="0.25">
      <c r="A8532" s="2364" t="s">
        <v>11866</v>
      </c>
      <c r="B8532" s="2360" t="s">
        <v>11565</v>
      </c>
      <c r="C8532" s="2360" t="s">
        <v>11565</v>
      </c>
      <c r="D8532" s="2366" t="s">
        <v>11867</v>
      </c>
      <c r="E8532" s="2359">
        <v>30</v>
      </c>
      <c r="F8532" s="2363">
        <v>23</v>
      </c>
    </row>
    <row r="8533" spans="1:6" ht="15" customHeight="1" x14ac:dyDescent="0.25">
      <c r="A8533" s="2364" t="s">
        <v>19417</v>
      </c>
      <c r="B8533" s="2360" t="s">
        <v>11565</v>
      </c>
      <c r="C8533" s="2360" t="s">
        <v>11565</v>
      </c>
      <c r="D8533" s="2366" t="s">
        <v>11868</v>
      </c>
      <c r="E8533" s="2359">
        <v>40</v>
      </c>
      <c r="F8533" s="2363">
        <v>22</v>
      </c>
    </row>
    <row r="8534" spans="1:6" ht="15" customHeight="1" x14ac:dyDescent="0.25">
      <c r="A8534" s="2364" t="s">
        <v>11869</v>
      </c>
      <c r="B8534" s="2360" t="s">
        <v>11565</v>
      </c>
      <c r="C8534" s="2360" t="s">
        <v>11565</v>
      </c>
      <c r="D8534" s="2366" t="s">
        <v>11870</v>
      </c>
      <c r="E8534" s="2359">
        <v>400</v>
      </c>
      <c r="F8534" s="2363">
        <v>35</v>
      </c>
    </row>
    <row r="8535" spans="1:6" ht="15" customHeight="1" x14ac:dyDescent="0.25">
      <c r="A8535" s="2364"/>
      <c r="B8535" s="2360" t="s">
        <v>11565</v>
      </c>
      <c r="C8535" s="2360" t="s">
        <v>11565</v>
      </c>
      <c r="D8535" s="2366" t="s">
        <v>11871</v>
      </c>
      <c r="E8535" s="2359">
        <v>400</v>
      </c>
      <c r="F8535" s="2363">
        <v>32</v>
      </c>
    </row>
    <row r="8536" spans="1:6" ht="15" customHeight="1" x14ac:dyDescent="0.25">
      <c r="A8536" s="2364"/>
      <c r="B8536" s="2360" t="s">
        <v>11565</v>
      </c>
      <c r="C8536" s="2360" t="s">
        <v>11565</v>
      </c>
      <c r="D8536" s="2366" t="s">
        <v>11872</v>
      </c>
      <c r="E8536" s="2359">
        <v>160</v>
      </c>
      <c r="F8536" s="2363">
        <v>26</v>
      </c>
    </row>
    <row r="8537" spans="1:6" ht="15" customHeight="1" x14ac:dyDescent="0.25">
      <c r="A8537" s="2364" t="s">
        <v>19418</v>
      </c>
      <c r="B8537" s="2360" t="s">
        <v>11565</v>
      </c>
      <c r="C8537" s="2360" t="s">
        <v>11565</v>
      </c>
      <c r="D8537" s="2366" t="s">
        <v>11873</v>
      </c>
      <c r="E8537" s="2359">
        <v>40</v>
      </c>
      <c r="F8537" s="2363">
        <v>13</v>
      </c>
    </row>
    <row r="8538" spans="1:6" ht="15" customHeight="1" x14ac:dyDescent="0.25">
      <c r="A8538" s="2366" t="s">
        <v>11874</v>
      </c>
      <c r="B8538" s="2360" t="s">
        <v>11565</v>
      </c>
      <c r="C8538" s="2360" t="s">
        <v>11565</v>
      </c>
      <c r="D8538" s="2366" t="s">
        <v>11875</v>
      </c>
      <c r="E8538" s="2359">
        <v>63</v>
      </c>
      <c r="F8538" s="2363">
        <v>32</v>
      </c>
    </row>
    <row r="8539" spans="1:6" ht="15" customHeight="1" x14ac:dyDescent="0.25">
      <c r="A8539" s="2364" t="s">
        <v>11876</v>
      </c>
      <c r="B8539" s="2360" t="s">
        <v>11565</v>
      </c>
      <c r="C8539" s="2360" t="s">
        <v>11565</v>
      </c>
      <c r="D8539" s="2366" t="s">
        <v>11877</v>
      </c>
      <c r="E8539" s="2359">
        <v>50</v>
      </c>
      <c r="F8539" s="2363">
        <v>23</v>
      </c>
    </row>
    <row r="8540" spans="1:6" ht="15" customHeight="1" x14ac:dyDescent="0.25">
      <c r="A8540" s="2366" t="s">
        <v>11878</v>
      </c>
      <c r="B8540" s="2360" t="s">
        <v>11565</v>
      </c>
      <c r="C8540" s="2360" t="s">
        <v>11565</v>
      </c>
      <c r="D8540" s="2366" t="s">
        <v>11879</v>
      </c>
      <c r="E8540" s="2359">
        <v>30</v>
      </c>
      <c r="F8540" s="2363">
        <v>14</v>
      </c>
    </row>
    <row r="8541" spans="1:6" ht="15" customHeight="1" x14ac:dyDescent="0.25">
      <c r="A8541" s="2364" t="s">
        <v>19419</v>
      </c>
      <c r="B8541" s="2360" t="s">
        <v>11565</v>
      </c>
      <c r="C8541" s="2360" t="s">
        <v>11565</v>
      </c>
      <c r="D8541" s="2366" t="s">
        <v>11880</v>
      </c>
      <c r="E8541" s="2359">
        <v>50</v>
      </c>
      <c r="F8541" s="2363">
        <v>23</v>
      </c>
    </row>
    <row r="8542" spans="1:6" ht="15" customHeight="1" x14ac:dyDescent="0.25">
      <c r="A8542" s="2364" t="s">
        <v>19419</v>
      </c>
      <c r="B8542" s="2360" t="s">
        <v>11565</v>
      </c>
      <c r="C8542" s="2360" t="s">
        <v>11565</v>
      </c>
      <c r="D8542" s="2366" t="s">
        <v>11881</v>
      </c>
      <c r="E8542" s="2359">
        <v>100</v>
      </c>
      <c r="F8542" s="2363">
        <v>26</v>
      </c>
    </row>
    <row r="8543" spans="1:6" ht="15" customHeight="1" x14ac:dyDescent="0.25">
      <c r="A8543" s="2364" t="s">
        <v>4966</v>
      </c>
      <c r="B8543" s="2360" t="s">
        <v>11565</v>
      </c>
      <c r="C8543" s="2360" t="s">
        <v>11565</v>
      </c>
      <c r="D8543" s="2366" t="s">
        <v>11882</v>
      </c>
      <c r="E8543" s="2359">
        <v>63</v>
      </c>
      <c r="F8543" s="2363">
        <v>23</v>
      </c>
    </row>
    <row r="8544" spans="1:6" ht="15" customHeight="1" x14ac:dyDescent="0.25">
      <c r="A8544" s="2364" t="s">
        <v>19420</v>
      </c>
      <c r="B8544" s="2360" t="s">
        <v>11565</v>
      </c>
      <c r="C8544" s="2360" t="s">
        <v>11565</v>
      </c>
      <c r="D8544" s="2366" t="s">
        <v>11883</v>
      </c>
      <c r="E8544" s="2359">
        <v>100</v>
      </c>
      <c r="F8544" s="2363">
        <v>19</v>
      </c>
    </row>
    <row r="8545" spans="1:6" ht="15" customHeight="1" x14ac:dyDescent="0.25">
      <c r="A8545" s="2364"/>
      <c r="B8545" s="2360" t="s">
        <v>11565</v>
      </c>
      <c r="C8545" s="2360" t="s">
        <v>11565</v>
      </c>
      <c r="D8545" s="2366" t="s">
        <v>11884</v>
      </c>
      <c r="E8545" s="2359">
        <v>30</v>
      </c>
      <c r="F8545" s="2363">
        <v>9</v>
      </c>
    </row>
    <row r="8546" spans="1:6" ht="15" customHeight="1" x14ac:dyDescent="0.25">
      <c r="A8546" s="2364"/>
      <c r="B8546" s="2360" t="s">
        <v>11565</v>
      </c>
      <c r="C8546" s="2360" t="s">
        <v>11565</v>
      </c>
      <c r="D8546" s="2366" t="s">
        <v>11885</v>
      </c>
      <c r="E8546" s="2359">
        <v>250</v>
      </c>
      <c r="F8546" s="2363">
        <v>11</v>
      </c>
    </row>
    <row r="8547" spans="1:6" ht="15" customHeight="1" x14ac:dyDescent="0.25">
      <c r="A8547" s="2364"/>
      <c r="B8547" s="2360" t="s">
        <v>11565</v>
      </c>
      <c r="C8547" s="2360" t="s">
        <v>11565</v>
      </c>
      <c r="D8547" s="2366" t="s">
        <v>11886</v>
      </c>
      <c r="E8547" s="2359">
        <v>250</v>
      </c>
      <c r="F8547" s="2363">
        <v>36</v>
      </c>
    </row>
    <row r="8548" spans="1:6" ht="15" customHeight="1" x14ac:dyDescent="0.25">
      <c r="A8548" s="2364" t="s">
        <v>19421</v>
      </c>
      <c r="B8548" s="2360" t="s">
        <v>11565</v>
      </c>
      <c r="C8548" s="2360" t="s">
        <v>11565</v>
      </c>
      <c r="D8548" s="2367" t="s">
        <v>11887</v>
      </c>
      <c r="E8548" s="2359">
        <v>250</v>
      </c>
      <c r="F8548" s="2363">
        <v>22.2</v>
      </c>
    </row>
    <row r="8549" spans="1:6" ht="15" customHeight="1" x14ac:dyDescent="0.25">
      <c r="A8549" s="2364" t="s">
        <v>18741</v>
      </c>
      <c r="B8549" s="2360" t="s">
        <v>11565</v>
      </c>
      <c r="C8549" s="2360" t="s">
        <v>11565</v>
      </c>
      <c r="D8549" s="2366" t="s">
        <v>11888</v>
      </c>
      <c r="E8549" s="2359">
        <v>25</v>
      </c>
      <c r="F8549" s="2363">
        <v>8.3000000000000007</v>
      </c>
    </row>
    <row r="8550" spans="1:6" ht="15" customHeight="1" x14ac:dyDescent="0.25">
      <c r="A8550" s="2364" t="s">
        <v>19422</v>
      </c>
      <c r="B8550" s="2360" t="s">
        <v>11565</v>
      </c>
      <c r="C8550" s="2360" t="s">
        <v>11565</v>
      </c>
      <c r="D8550" s="2367" t="s">
        <v>11889</v>
      </c>
      <c r="E8550" s="2359">
        <v>60</v>
      </c>
      <c r="F8550" s="2363">
        <v>23</v>
      </c>
    </row>
    <row r="8551" spans="1:6" ht="15" customHeight="1" x14ac:dyDescent="0.25">
      <c r="A8551" s="2364" t="s">
        <v>19423</v>
      </c>
      <c r="B8551" s="2360" t="s">
        <v>11565</v>
      </c>
      <c r="C8551" s="2360" t="s">
        <v>11565</v>
      </c>
      <c r="D8551" s="2366" t="s">
        <v>11890</v>
      </c>
      <c r="E8551" s="2359">
        <v>160</v>
      </c>
      <c r="F8551" s="2363">
        <v>22.8</v>
      </c>
    </row>
    <row r="8552" spans="1:6" ht="15" customHeight="1" x14ac:dyDescent="0.25">
      <c r="A8552" s="2364" t="s">
        <v>11891</v>
      </c>
      <c r="B8552" s="2360" t="s">
        <v>11565</v>
      </c>
      <c r="C8552" s="2360" t="s">
        <v>11565</v>
      </c>
      <c r="D8552" s="2366" t="s">
        <v>11892</v>
      </c>
      <c r="E8552" s="2359">
        <v>30</v>
      </c>
      <c r="F8552" s="2363">
        <v>3</v>
      </c>
    </row>
    <row r="8553" spans="1:6" ht="15" customHeight="1" x14ac:dyDescent="0.25">
      <c r="A8553" s="2364" t="s">
        <v>19424</v>
      </c>
      <c r="B8553" s="2360" t="s">
        <v>11565</v>
      </c>
      <c r="C8553" s="2360" t="s">
        <v>11565</v>
      </c>
      <c r="D8553" s="2366" t="s">
        <v>11893</v>
      </c>
      <c r="E8553" s="2359">
        <v>180</v>
      </c>
      <c r="F8553" s="2363">
        <v>51</v>
      </c>
    </row>
    <row r="8554" spans="1:6" ht="15" customHeight="1" x14ac:dyDescent="0.25">
      <c r="A8554" s="2364"/>
      <c r="B8554" s="2360" t="s">
        <v>11565</v>
      </c>
      <c r="C8554" s="2360" t="s">
        <v>11565</v>
      </c>
      <c r="D8554" s="2366" t="s">
        <v>11894</v>
      </c>
      <c r="E8554" s="2359">
        <v>50</v>
      </c>
      <c r="F8554" s="2363">
        <v>13</v>
      </c>
    </row>
    <row r="8555" spans="1:6" ht="15" customHeight="1" x14ac:dyDescent="0.25">
      <c r="A8555" s="2364" t="s">
        <v>11895</v>
      </c>
      <c r="B8555" s="2360" t="s">
        <v>11565</v>
      </c>
      <c r="C8555" s="2360" t="s">
        <v>11565</v>
      </c>
      <c r="D8555" s="2366" t="s">
        <v>11896</v>
      </c>
      <c r="E8555" s="2359">
        <v>400</v>
      </c>
      <c r="F8555" s="2363">
        <v>41</v>
      </c>
    </row>
    <row r="8556" spans="1:6" ht="15" customHeight="1" x14ac:dyDescent="0.25">
      <c r="A8556" s="2364" t="s">
        <v>11897</v>
      </c>
      <c r="B8556" s="2360" t="s">
        <v>11565</v>
      </c>
      <c r="C8556" s="2360" t="s">
        <v>11565</v>
      </c>
      <c r="D8556" s="2366" t="s">
        <v>11898</v>
      </c>
      <c r="E8556" s="2359">
        <v>30</v>
      </c>
      <c r="F8556" s="2363">
        <v>12</v>
      </c>
    </row>
    <row r="8557" spans="1:6" ht="15" customHeight="1" x14ac:dyDescent="0.25">
      <c r="A8557" s="2364" t="s">
        <v>11899</v>
      </c>
      <c r="B8557" s="2360" t="s">
        <v>11565</v>
      </c>
      <c r="C8557" s="2360" t="s">
        <v>11565</v>
      </c>
      <c r="D8557" s="2366" t="s">
        <v>11900</v>
      </c>
      <c r="E8557" s="2359">
        <v>100</v>
      </c>
      <c r="F8557" s="2363">
        <v>31.8</v>
      </c>
    </row>
    <row r="8558" spans="1:6" ht="15" customHeight="1" x14ac:dyDescent="0.25">
      <c r="A8558" s="2364" t="s">
        <v>10172</v>
      </c>
      <c r="B8558" s="2360" t="s">
        <v>11565</v>
      </c>
      <c r="C8558" s="2360" t="s">
        <v>11565</v>
      </c>
      <c r="D8558" s="2366" t="s">
        <v>11901</v>
      </c>
      <c r="E8558" s="2359">
        <v>30</v>
      </c>
      <c r="F8558" s="2363">
        <v>9</v>
      </c>
    </row>
    <row r="8559" spans="1:6" ht="15" customHeight="1" x14ac:dyDescent="0.25">
      <c r="A8559" s="2364" t="s">
        <v>19425</v>
      </c>
      <c r="B8559" s="2360" t="s">
        <v>11565</v>
      </c>
      <c r="C8559" s="2360" t="s">
        <v>11565</v>
      </c>
      <c r="D8559" s="2366" t="s">
        <v>11902</v>
      </c>
      <c r="E8559" s="2359">
        <v>160</v>
      </c>
      <c r="F8559" s="2363">
        <v>31</v>
      </c>
    </row>
    <row r="8560" spans="1:6" ht="15" customHeight="1" x14ac:dyDescent="0.25">
      <c r="A8560" s="2364"/>
      <c r="B8560" s="2360" t="s">
        <v>11565</v>
      </c>
      <c r="C8560" s="2360" t="s">
        <v>11565</v>
      </c>
      <c r="D8560" s="2366" t="s">
        <v>11903</v>
      </c>
      <c r="E8560" s="2359">
        <v>100</v>
      </c>
      <c r="F8560" s="2363">
        <v>35</v>
      </c>
    </row>
    <row r="8561" spans="1:6" ht="15" customHeight="1" x14ac:dyDescent="0.25">
      <c r="A8561" s="2364"/>
      <c r="B8561" s="2360" t="s">
        <v>11565</v>
      </c>
      <c r="C8561" s="2360" t="s">
        <v>11565</v>
      </c>
      <c r="D8561" s="2366" t="s">
        <v>11904</v>
      </c>
      <c r="E8561" s="2359" t="s">
        <v>4861</v>
      </c>
      <c r="F8561" s="2363">
        <v>32</v>
      </c>
    </row>
    <row r="8562" spans="1:6" ht="15" customHeight="1" x14ac:dyDescent="0.25">
      <c r="A8562" s="2364" t="s">
        <v>11905</v>
      </c>
      <c r="B8562" s="2360" t="s">
        <v>11565</v>
      </c>
      <c r="C8562" s="2360" t="s">
        <v>11565</v>
      </c>
      <c r="D8562" s="2366" t="s">
        <v>11906</v>
      </c>
      <c r="E8562" s="2359">
        <v>60</v>
      </c>
      <c r="F8562" s="2363">
        <v>42</v>
      </c>
    </row>
    <row r="8563" spans="1:6" ht="15" customHeight="1" x14ac:dyDescent="0.25">
      <c r="A8563" s="2364" t="s">
        <v>11907</v>
      </c>
      <c r="B8563" s="2360" t="s">
        <v>11565</v>
      </c>
      <c r="C8563" s="2360" t="s">
        <v>11565</v>
      </c>
      <c r="D8563" s="2366" t="s">
        <v>11908</v>
      </c>
      <c r="E8563" s="2359">
        <v>63</v>
      </c>
      <c r="F8563" s="2363">
        <v>36.799999999999997</v>
      </c>
    </row>
    <row r="8564" spans="1:6" ht="15" customHeight="1" x14ac:dyDescent="0.25">
      <c r="A8564" s="2364" t="s">
        <v>11909</v>
      </c>
      <c r="B8564" s="2360" t="s">
        <v>11565</v>
      </c>
      <c r="C8564" s="2360" t="s">
        <v>11565</v>
      </c>
      <c r="D8564" s="2366" t="s">
        <v>11910</v>
      </c>
      <c r="E8564" s="2359">
        <v>60</v>
      </c>
      <c r="F8564" s="2363">
        <v>12.4</v>
      </c>
    </row>
    <row r="8565" spans="1:6" ht="15" customHeight="1" x14ac:dyDescent="0.25">
      <c r="A8565" s="2364" t="s">
        <v>6527</v>
      </c>
      <c r="B8565" s="2360" t="s">
        <v>11565</v>
      </c>
      <c r="C8565" s="2360" t="s">
        <v>11565</v>
      </c>
      <c r="D8565" s="2366" t="s">
        <v>11911</v>
      </c>
      <c r="E8565" s="2359">
        <v>100</v>
      </c>
      <c r="F8565" s="2363">
        <v>84</v>
      </c>
    </row>
    <row r="8566" spans="1:6" ht="15" customHeight="1" x14ac:dyDescent="0.25">
      <c r="A8566" s="2364"/>
      <c r="B8566" s="2360" t="s">
        <v>11565</v>
      </c>
      <c r="C8566" s="2360" t="s">
        <v>11565</v>
      </c>
      <c r="D8566" s="2366" t="s">
        <v>11912</v>
      </c>
      <c r="E8566" s="2359">
        <v>63</v>
      </c>
      <c r="F8566" s="2363">
        <v>20</v>
      </c>
    </row>
    <row r="8567" spans="1:6" ht="15" customHeight="1" x14ac:dyDescent="0.25">
      <c r="A8567" s="2364"/>
      <c r="B8567" s="2360" t="s">
        <v>11565</v>
      </c>
      <c r="C8567" s="2360" t="s">
        <v>11565</v>
      </c>
      <c r="D8567" s="2366" t="s">
        <v>19426</v>
      </c>
      <c r="E8567" s="2359">
        <v>0</v>
      </c>
      <c r="F8567" s="2363">
        <v>0</v>
      </c>
    </row>
    <row r="8568" spans="1:6" ht="15" customHeight="1" x14ac:dyDescent="0.25">
      <c r="A8568" s="2364" t="s">
        <v>8263</v>
      </c>
      <c r="B8568" s="2360" t="s">
        <v>11565</v>
      </c>
      <c r="C8568" s="2360" t="s">
        <v>11565</v>
      </c>
      <c r="D8568" s="2366" t="s">
        <v>11913</v>
      </c>
      <c r="E8568" s="2359" t="s">
        <v>11914</v>
      </c>
      <c r="F8568" s="2363">
        <v>873</v>
      </c>
    </row>
    <row r="8569" spans="1:6" ht="15" customHeight="1" x14ac:dyDescent="0.25">
      <c r="A8569" s="2364"/>
      <c r="B8569" s="2360" t="s">
        <v>11565</v>
      </c>
      <c r="C8569" s="2360" t="s">
        <v>11565</v>
      </c>
      <c r="D8569" s="2366" t="s">
        <v>11915</v>
      </c>
      <c r="E8569" s="2359">
        <v>160</v>
      </c>
      <c r="F8569" s="2363">
        <v>124</v>
      </c>
    </row>
    <row r="8570" spans="1:6" ht="15" customHeight="1" x14ac:dyDescent="0.25">
      <c r="A8570" s="2364" t="s">
        <v>19427</v>
      </c>
      <c r="B8570" s="2360" t="s">
        <v>11565</v>
      </c>
      <c r="C8570" s="2360" t="s">
        <v>11565</v>
      </c>
      <c r="D8570" s="2366" t="s">
        <v>11916</v>
      </c>
      <c r="E8570" s="2359">
        <v>100</v>
      </c>
      <c r="F8570" s="2363">
        <v>75</v>
      </c>
    </row>
    <row r="8571" spans="1:6" ht="15" customHeight="1" x14ac:dyDescent="0.25">
      <c r="A8571" s="2364" t="s">
        <v>18484</v>
      </c>
      <c r="B8571" s="2360" t="s">
        <v>11565</v>
      </c>
      <c r="C8571" s="2360" t="s">
        <v>11565</v>
      </c>
      <c r="D8571" s="2366" t="s">
        <v>11917</v>
      </c>
      <c r="E8571" s="2359">
        <v>30</v>
      </c>
      <c r="F8571" s="2363">
        <v>22</v>
      </c>
    </row>
    <row r="8572" spans="1:6" ht="15" customHeight="1" x14ac:dyDescent="0.25">
      <c r="A8572" s="2364" t="s">
        <v>19428</v>
      </c>
      <c r="B8572" s="2360" t="s">
        <v>11565</v>
      </c>
      <c r="C8572" s="2360" t="s">
        <v>11565</v>
      </c>
      <c r="D8572" s="2366" t="s">
        <v>11918</v>
      </c>
      <c r="E8572" s="2359">
        <v>30</v>
      </c>
      <c r="F8572" s="2363">
        <v>8</v>
      </c>
    </row>
    <row r="8573" spans="1:6" ht="15" customHeight="1" x14ac:dyDescent="0.25">
      <c r="A8573" s="2364" t="s">
        <v>11919</v>
      </c>
      <c r="B8573" s="2360" t="s">
        <v>11565</v>
      </c>
      <c r="C8573" s="2360" t="s">
        <v>11565</v>
      </c>
      <c r="D8573" s="2366" t="s">
        <v>11920</v>
      </c>
      <c r="E8573" s="2359">
        <v>30</v>
      </c>
      <c r="F8573" s="2363">
        <v>24</v>
      </c>
    </row>
    <row r="8574" spans="1:6" ht="15" customHeight="1" x14ac:dyDescent="0.25">
      <c r="A8574" s="2364" t="s">
        <v>19429</v>
      </c>
      <c r="B8574" s="2360" t="s">
        <v>11565</v>
      </c>
      <c r="C8574" s="2360" t="s">
        <v>11565</v>
      </c>
      <c r="D8574" s="2366" t="s">
        <v>11921</v>
      </c>
      <c r="E8574" s="2359">
        <v>30</v>
      </c>
      <c r="F8574" s="2363">
        <v>6</v>
      </c>
    </row>
    <row r="8575" spans="1:6" ht="15" customHeight="1" x14ac:dyDescent="0.25">
      <c r="A8575" s="2364" t="s">
        <v>19430</v>
      </c>
      <c r="B8575" s="2360" t="s">
        <v>11565</v>
      </c>
      <c r="C8575" s="2360" t="s">
        <v>11565</v>
      </c>
      <c r="D8575" s="2366" t="s">
        <v>11922</v>
      </c>
      <c r="E8575" s="2359">
        <v>60</v>
      </c>
      <c r="F8575" s="2363">
        <v>29</v>
      </c>
    </row>
    <row r="8576" spans="1:6" ht="15" customHeight="1" x14ac:dyDescent="0.25">
      <c r="A8576" s="2364" t="s">
        <v>19431</v>
      </c>
      <c r="B8576" s="2360" t="s">
        <v>11565</v>
      </c>
      <c r="C8576" s="2360" t="s">
        <v>11565</v>
      </c>
      <c r="D8576" s="2366" t="s">
        <v>11923</v>
      </c>
      <c r="E8576" s="2359">
        <v>60</v>
      </c>
      <c r="F8576" s="2363">
        <v>26</v>
      </c>
    </row>
    <row r="8577" spans="1:6" ht="15" customHeight="1" x14ac:dyDescent="0.25">
      <c r="A8577" s="2364" t="s">
        <v>19432</v>
      </c>
      <c r="B8577" s="2360" t="s">
        <v>11565</v>
      </c>
      <c r="C8577" s="2360" t="s">
        <v>11565</v>
      </c>
      <c r="D8577" s="2366" t="s">
        <v>11924</v>
      </c>
      <c r="E8577" s="2359">
        <v>30</v>
      </c>
      <c r="F8577" s="2363">
        <v>24</v>
      </c>
    </row>
    <row r="8578" spans="1:6" ht="15" customHeight="1" x14ac:dyDescent="0.25">
      <c r="A8578" s="2364" t="s">
        <v>19433</v>
      </c>
      <c r="B8578" s="2360" t="s">
        <v>11565</v>
      </c>
      <c r="C8578" s="2360" t="s">
        <v>11565</v>
      </c>
      <c r="D8578" s="2366" t="s">
        <v>11925</v>
      </c>
      <c r="E8578" s="2359">
        <v>30</v>
      </c>
      <c r="F8578" s="2363">
        <v>24</v>
      </c>
    </row>
    <row r="8579" spans="1:6" ht="15" customHeight="1" x14ac:dyDescent="0.25">
      <c r="A8579" s="2364" t="s">
        <v>19434</v>
      </c>
      <c r="B8579" s="2360" t="s">
        <v>11565</v>
      </c>
      <c r="C8579" s="2360" t="s">
        <v>11565</v>
      </c>
      <c r="D8579" s="2366" t="s">
        <v>11926</v>
      </c>
      <c r="E8579" s="2359">
        <v>30</v>
      </c>
      <c r="F8579" s="2363">
        <v>24</v>
      </c>
    </row>
    <row r="8580" spans="1:6" ht="15" customHeight="1" x14ac:dyDescent="0.25">
      <c r="A8580" s="2364" t="s">
        <v>11927</v>
      </c>
      <c r="B8580" s="2360" t="s">
        <v>11565</v>
      </c>
      <c r="C8580" s="2360" t="s">
        <v>11565</v>
      </c>
      <c r="D8580" s="2366" t="s">
        <v>11928</v>
      </c>
      <c r="E8580" s="2359">
        <v>100</v>
      </c>
      <c r="F8580" s="2363">
        <v>46.8</v>
      </c>
    </row>
    <row r="8581" spans="1:6" ht="15" customHeight="1" x14ac:dyDescent="0.25">
      <c r="A8581" s="2364" t="s">
        <v>18723</v>
      </c>
      <c r="B8581" s="2360" t="s">
        <v>11565</v>
      </c>
      <c r="C8581" s="2360" t="s">
        <v>11565</v>
      </c>
      <c r="D8581" s="2366" t="s">
        <v>11929</v>
      </c>
      <c r="E8581" s="2359">
        <v>63</v>
      </c>
      <c r="F8581" s="2363">
        <v>37</v>
      </c>
    </row>
    <row r="8582" spans="1:6" ht="15" customHeight="1" x14ac:dyDescent="0.25">
      <c r="A8582" s="2364" t="s">
        <v>10211</v>
      </c>
      <c r="B8582" s="2360" t="s">
        <v>11565</v>
      </c>
      <c r="C8582" s="2360" t="s">
        <v>11565</v>
      </c>
      <c r="D8582" s="2366" t="s">
        <v>11930</v>
      </c>
      <c r="E8582" s="2359">
        <v>30</v>
      </c>
      <c r="F8582" s="2363">
        <v>15</v>
      </c>
    </row>
    <row r="8583" spans="1:6" ht="15" customHeight="1" x14ac:dyDescent="0.25">
      <c r="A8583" s="2364" t="s">
        <v>11931</v>
      </c>
      <c r="B8583" s="2360" t="s">
        <v>11565</v>
      </c>
      <c r="C8583" s="2360" t="s">
        <v>11565</v>
      </c>
      <c r="D8583" s="2366" t="s">
        <v>11932</v>
      </c>
      <c r="E8583" s="2359">
        <v>250</v>
      </c>
      <c r="F8583" s="2363">
        <v>200</v>
      </c>
    </row>
    <row r="8584" spans="1:6" ht="15" customHeight="1" x14ac:dyDescent="0.25">
      <c r="A8584" s="2364"/>
      <c r="B8584" s="2360" t="s">
        <v>11565</v>
      </c>
      <c r="C8584" s="2360" t="s">
        <v>11565</v>
      </c>
      <c r="D8584" s="2366" t="s">
        <v>11933</v>
      </c>
      <c r="E8584" s="2359">
        <v>100</v>
      </c>
      <c r="F8584" s="2363">
        <v>80</v>
      </c>
    </row>
    <row r="8585" spans="1:6" ht="15" customHeight="1" x14ac:dyDescent="0.25">
      <c r="A8585" s="2364"/>
      <c r="B8585" s="2360" t="s">
        <v>11565</v>
      </c>
      <c r="C8585" s="2360" t="s">
        <v>11565</v>
      </c>
      <c r="D8585" s="2366" t="s">
        <v>11934</v>
      </c>
      <c r="E8585" s="2359">
        <v>500</v>
      </c>
      <c r="F8585" s="2363">
        <v>359</v>
      </c>
    </row>
    <row r="8586" spans="1:6" ht="15" customHeight="1" x14ac:dyDescent="0.25">
      <c r="A8586" s="2364"/>
      <c r="B8586" s="2360" t="s">
        <v>11565</v>
      </c>
      <c r="C8586" s="2360" t="s">
        <v>11565</v>
      </c>
      <c r="D8586" s="2366" t="s">
        <v>11935</v>
      </c>
      <c r="E8586" s="2359">
        <v>63</v>
      </c>
      <c r="F8586" s="2363">
        <v>36.700000000000003</v>
      </c>
    </row>
    <row r="8587" spans="1:6" ht="15" customHeight="1" x14ac:dyDescent="0.25">
      <c r="A8587" s="2364" t="s">
        <v>19435</v>
      </c>
      <c r="B8587" s="2360" t="s">
        <v>11565</v>
      </c>
      <c r="C8587" s="2360" t="s">
        <v>11565</v>
      </c>
      <c r="D8587" s="2366" t="s">
        <v>11936</v>
      </c>
      <c r="E8587" s="2359">
        <v>180</v>
      </c>
      <c r="F8587" s="2363">
        <v>102</v>
      </c>
    </row>
    <row r="8588" spans="1:6" ht="15" customHeight="1" x14ac:dyDescent="0.25">
      <c r="A8588" s="2364"/>
      <c r="B8588" s="2360" t="s">
        <v>11565</v>
      </c>
      <c r="C8588" s="2360" t="s">
        <v>11565</v>
      </c>
      <c r="D8588" s="2366" t="s">
        <v>11937</v>
      </c>
      <c r="E8588" s="2359" t="s">
        <v>4202</v>
      </c>
      <c r="F8588" s="2363">
        <v>312</v>
      </c>
    </row>
    <row r="8589" spans="1:6" ht="15" customHeight="1" x14ac:dyDescent="0.25">
      <c r="A8589" s="2364"/>
      <c r="B8589" s="2360" t="s">
        <v>11565</v>
      </c>
      <c r="C8589" s="2360" t="s">
        <v>11565</v>
      </c>
      <c r="D8589" s="2366" t="s">
        <v>11938</v>
      </c>
      <c r="E8589" s="2359">
        <v>100</v>
      </c>
      <c r="F8589" s="2363">
        <v>0</v>
      </c>
    </row>
    <row r="8590" spans="1:6" ht="15" customHeight="1" x14ac:dyDescent="0.25">
      <c r="A8590" s="2364"/>
      <c r="B8590" s="2360" t="s">
        <v>11565</v>
      </c>
      <c r="C8590" s="2360" t="s">
        <v>11565</v>
      </c>
      <c r="D8590" s="2366" t="s">
        <v>11939</v>
      </c>
      <c r="E8590" s="2359">
        <v>63</v>
      </c>
      <c r="F8590" s="2363">
        <v>31</v>
      </c>
    </row>
    <row r="8591" spans="1:6" ht="15" customHeight="1" x14ac:dyDescent="0.25">
      <c r="A8591" s="2364" t="s">
        <v>11940</v>
      </c>
      <c r="B8591" s="2360" t="s">
        <v>11565</v>
      </c>
      <c r="C8591" s="2360" t="s">
        <v>11565</v>
      </c>
      <c r="D8591" s="2366" t="s">
        <v>11941</v>
      </c>
      <c r="E8591" s="2359">
        <v>20</v>
      </c>
      <c r="F8591" s="2363">
        <v>17</v>
      </c>
    </row>
    <row r="8592" spans="1:6" ht="15" customHeight="1" x14ac:dyDescent="0.25">
      <c r="A8592" s="2364" t="s">
        <v>19436</v>
      </c>
      <c r="B8592" s="2360" t="s">
        <v>11565</v>
      </c>
      <c r="C8592" s="2360" t="s">
        <v>11565</v>
      </c>
      <c r="D8592" s="2366" t="s">
        <v>11942</v>
      </c>
      <c r="E8592" s="2359">
        <v>25</v>
      </c>
      <c r="F8592" s="2363">
        <v>3</v>
      </c>
    </row>
    <row r="8593" spans="1:6" ht="15" customHeight="1" x14ac:dyDescent="0.25">
      <c r="A8593" s="2364" t="s">
        <v>11943</v>
      </c>
      <c r="B8593" s="2360" t="s">
        <v>11565</v>
      </c>
      <c r="C8593" s="2360" t="s">
        <v>11565</v>
      </c>
      <c r="D8593" s="2366" t="s">
        <v>11944</v>
      </c>
      <c r="E8593" s="2359">
        <v>25</v>
      </c>
      <c r="F8593" s="2363">
        <v>5</v>
      </c>
    </row>
    <row r="8594" spans="1:6" ht="15" customHeight="1" x14ac:dyDescent="0.25">
      <c r="A8594" s="2364" t="s">
        <v>19437</v>
      </c>
      <c r="B8594" s="2360" t="s">
        <v>11565</v>
      </c>
      <c r="C8594" s="2360" t="s">
        <v>11565</v>
      </c>
      <c r="D8594" s="2366" t="s">
        <v>11945</v>
      </c>
      <c r="E8594" s="2359">
        <v>100</v>
      </c>
      <c r="F8594" s="2363">
        <v>32</v>
      </c>
    </row>
    <row r="8595" spans="1:6" ht="15" customHeight="1" x14ac:dyDescent="0.25">
      <c r="A8595" s="2364" t="s">
        <v>19438</v>
      </c>
      <c r="B8595" s="2360" t="s">
        <v>11565</v>
      </c>
      <c r="C8595" s="2360" t="s">
        <v>11565</v>
      </c>
      <c r="D8595" s="2366" t="s">
        <v>11946</v>
      </c>
      <c r="E8595" s="2359">
        <v>100</v>
      </c>
      <c r="F8595" s="2363">
        <v>24</v>
      </c>
    </row>
    <row r="8596" spans="1:6" ht="15" customHeight="1" x14ac:dyDescent="0.25">
      <c r="A8596" s="2364" t="s">
        <v>19439</v>
      </c>
      <c r="B8596" s="2360" t="s">
        <v>11565</v>
      </c>
      <c r="C8596" s="2360" t="s">
        <v>11565</v>
      </c>
      <c r="D8596" s="2366" t="s">
        <v>11947</v>
      </c>
      <c r="E8596" s="2359">
        <v>30</v>
      </c>
      <c r="F8596" s="2363">
        <v>4.5</v>
      </c>
    </row>
    <row r="8597" spans="1:6" ht="15" customHeight="1" x14ac:dyDescent="0.25">
      <c r="A8597" s="2364" t="s">
        <v>19440</v>
      </c>
      <c r="B8597" s="2360" t="s">
        <v>11565</v>
      </c>
      <c r="C8597" s="2360" t="s">
        <v>11565</v>
      </c>
      <c r="D8597" s="2366" t="s">
        <v>11948</v>
      </c>
      <c r="E8597" s="2359">
        <v>250</v>
      </c>
      <c r="F8597" s="2363">
        <v>170</v>
      </c>
    </row>
    <row r="8598" spans="1:6" ht="15" customHeight="1" x14ac:dyDescent="0.25">
      <c r="A8598" s="2364"/>
      <c r="B8598" s="2360" t="s">
        <v>11565</v>
      </c>
      <c r="C8598" s="2360" t="s">
        <v>11565</v>
      </c>
      <c r="D8598" s="2366" t="s">
        <v>11949</v>
      </c>
      <c r="E8598" s="2359">
        <v>630</v>
      </c>
      <c r="F8598" s="2363">
        <v>410</v>
      </c>
    </row>
    <row r="8599" spans="1:6" ht="15" customHeight="1" x14ac:dyDescent="0.25">
      <c r="A8599" s="2364"/>
      <c r="B8599" s="2360" t="s">
        <v>11565</v>
      </c>
      <c r="C8599" s="2360" t="s">
        <v>11565</v>
      </c>
      <c r="D8599" s="2366" t="s">
        <v>11950</v>
      </c>
      <c r="E8599" s="2359">
        <v>160</v>
      </c>
      <c r="F8599" s="2363">
        <v>68</v>
      </c>
    </row>
    <row r="8600" spans="1:6" ht="15" customHeight="1" x14ac:dyDescent="0.25">
      <c r="A8600" s="2364"/>
      <c r="B8600" s="2360" t="s">
        <v>11565</v>
      </c>
      <c r="C8600" s="2360" t="s">
        <v>11565</v>
      </c>
      <c r="D8600" s="2366" t="s">
        <v>11951</v>
      </c>
      <c r="E8600" s="2359" t="s">
        <v>4202</v>
      </c>
      <c r="F8600" s="2363">
        <v>250</v>
      </c>
    </row>
    <row r="8601" spans="1:6" ht="15" customHeight="1" x14ac:dyDescent="0.25">
      <c r="A8601" s="2364"/>
      <c r="B8601" s="2360" t="s">
        <v>11565</v>
      </c>
      <c r="C8601" s="2360" t="s">
        <v>11565</v>
      </c>
      <c r="D8601" s="2366" t="s">
        <v>11952</v>
      </c>
      <c r="E8601" s="2359">
        <v>160</v>
      </c>
      <c r="F8601" s="2363">
        <v>82</v>
      </c>
    </row>
    <row r="8602" spans="1:6" ht="15" customHeight="1" x14ac:dyDescent="0.25">
      <c r="A8602" s="2364" t="s">
        <v>19441</v>
      </c>
      <c r="B8602" s="2360" t="s">
        <v>11565</v>
      </c>
      <c r="C8602" s="2360" t="s">
        <v>11565</v>
      </c>
      <c r="D8602" s="2366" t="s">
        <v>11953</v>
      </c>
      <c r="E8602" s="2359">
        <v>100</v>
      </c>
      <c r="F8602" s="2363">
        <v>39</v>
      </c>
    </row>
    <row r="8603" spans="1:6" ht="15" customHeight="1" x14ac:dyDescent="0.25">
      <c r="A8603" s="2364" t="s">
        <v>17411</v>
      </c>
      <c r="B8603" s="2360" t="s">
        <v>11565</v>
      </c>
      <c r="C8603" s="2360" t="s">
        <v>11565</v>
      </c>
      <c r="D8603" s="2366" t="s">
        <v>11954</v>
      </c>
      <c r="E8603" s="2359">
        <v>30</v>
      </c>
      <c r="F8603" s="2363">
        <v>15</v>
      </c>
    </row>
    <row r="8604" spans="1:6" ht="15" customHeight="1" x14ac:dyDescent="0.25">
      <c r="A8604" s="2364" t="s">
        <v>19442</v>
      </c>
      <c r="B8604" s="2360" t="s">
        <v>11565</v>
      </c>
      <c r="C8604" s="2360" t="s">
        <v>11565</v>
      </c>
      <c r="D8604" s="2366" t="s">
        <v>11955</v>
      </c>
      <c r="E8604" s="2359">
        <v>160</v>
      </c>
      <c r="F8604" s="2363">
        <v>121</v>
      </c>
    </row>
    <row r="8605" spans="1:6" ht="15" customHeight="1" x14ac:dyDescent="0.25">
      <c r="A8605" s="2364" t="s">
        <v>19443</v>
      </c>
      <c r="B8605" s="2360" t="s">
        <v>11565</v>
      </c>
      <c r="C8605" s="2360" t="s">
        <v>11565</v>
      </c>
      <c r="D8605" s="2366" t="s">
        <v>11956</v>
      </c>
      <c r="E8605" s="2359">
        <v>63</v>
      </c>
      <c r="F8605" s="2363">
        <v>75</v>
      </c>
    </row>
    <row r="8606" spans="1:6" ht="15" customHeight="1" x14ac:dyDescent="0.25">
      <c r="A8606" s="2364"/>
      <c r="B8606" s="2360" t="s">
        <v>11565</v>
      </c>
      <c r="C8606" s="2360" t="s">
        <v>11565</v>
      </c>
      <c r="D8606" s="2366" t="s">
        <v>11957</v>
      </c>
      <c r="E8606" s="2359" t="s">
        <v>11914</v>
      </c>
      <c r="F8606" s="2363">
        <v>347</v>
      </c>
    </row>
    <row r="8607" spans="1:6" ht="15" customHeight="1" x14ac:dyDescent="0.25">
      <c r="A8607" s="2364"/>
      <c r="B8607" s="2360" t="s">
        <v>11565</v>
      </c>
      <c r="C8607" s="2360" t="s">
        <v>11565</v>
      </c>
      <c r="D8607" s="2366" t="s">
        <v>11958</v>
      </c>
      <c r="E8607" s="2359">
        <v>100</v>
      </c>
      <c r="F8607" s="2363">
        <v>71</v>
      </c>
    </row>
    <row r="8608" spans="1:6" ht="15" customHeight="1" x14ac:dyDescent="0.25">
      <c r="A8608" s="2364"/>
      <c r="B8608" s="2360" t="s">
        <v>11565</v>
      </c>
      <c r="C8608" s="2360" t="s">
        <v>11565</v>
      </c>
      <c r="D8608" s="2366" t="s">
        <v>11959</v>
      </c>
      <c r="E8608" s="2359">
        <v>100</v>
      </c>
      <c r="F8608" s="2363">
        <v>15</v>
      </c>
    </row>
    <row r="8609" spans="1:6" ht="15" customHeight="1" x14ac:dyDescent="0.25">
      <c r="A8609" s="2364"/>
      <c r="B8609" s="2360" t="s">
        <v>11565</v>
      </c>
      <c r="C8609" s="2360" t="s">
        <v>11565</v>
      </c>
      <c r="D8609" s="2366" t="s">
        <v>11960</v>
      </c>
      <c r="E8609" s="2359">
        <v>100</v>
      </c>
      <c r="F8609" s="2363">
        <v>39</v>
      </c>
    </row>
    <row r="8610" spans="1:6" ht="15" customHeight="1" x14ac:dyDescent="0.25">
      <c r="A8610" s="2364"/>
      <c r="B8610" s="2360" t="s">
        <v>11565</v>
      </c>
      <c r="C8610" s="2360" t="s">
        <v>11565</v>
      </c>
      <c r="D8610" s="2366" t="s">
        <v>11961</v>
      </c>
      <c r="E8610" s="2359">
        <v>40</v>
      </c>
      <c r="F8610" s="2363">
        <v>10</v>
      </c>
    </row>
    <row r="8611" spans="1:6" ht="15" customHeight="1" x14ac:dyDescent="0.25">
      <c r="A8611" s="2364"/>
      <c r="B8611" s="2360" t="s">
        <v>11565</v>
      </c>
      <c r="C8611" s="2360" t="s">
        <v>11565</v>
      </c>
      <c r="D8611" s="2366" t="s">
        <v>11962</v>
      </c>
      <c r="E8611" s="2359">
        <v>63</v>
      </c>
      <c r="F8611" s="2363">
        <v>215</v>
      </c>
    </row>
    <row r="8612" spans="1:6" ht="15" customHeight="1" x14ac:dyDescent="0.25">
      <c r="A8612" s="2364" t="s">
        <v>11734</v>
      </c>
      <c r="B8612" s="2360" t="s">
        <v>11565</v>
      </c>
      <c r="C8612" s="2360" t="s">
        <v>11565</v>
      </c>
      <c r="D8612" s="2366" t="s">
        <v>11963</v>
      </c>
      <c r="E8612" s="2359">
        <v>63</v>
      </c>
      <c r="F8612" s="2363">
        <v>32</v>
      </c>
    </row>
    <row r="8613" spans="1:6" ht="15" customHeight="1" x14ac:dyDescent="0.25">
      <c r="A8613" s="2364" t="s">
        <v>19444</v>
      </c>
      <c r="B8613" s="2360" t="s">
        <v>11565</v>
      </c>
      <c r="C8613" s="2360" t="s">
        <v>11565</v>
      </c>
      <c r="D8613" s="2366" t="s">
        <v>11964</v>
      </c>
      <c r="E8613" s="2359">
        <v>30</v>
      </c>
      <c r="F8613" s="2363">
        <v>15</v>
      </c>
    </row>
    <row r="8614" spans="1:6" ht="15" customHeight="1" x14ac:dyDescent="0.25">
      <c r="A8614" s="2364" t="s">
        <v>3741</v>
      </c>
      <c r="B8614" s="2360" t="s">
        <v>11565</v>
      </c>
      <c r="C8614" s="2360" t="s">
        <v>11565</v>
      </c>
      <c r="D8614" s="2366" t="s">
        <v>11965</v>
      </c>
      <c r="E8614" s="2359">
        <v>50</v>
      </c>
      <c r="F8614" s="2363">
        <v>4.5</v>
      </c>
    </row>
    <row r="8615" spans="1:6" ht="15" customHeight="1" x14ac:dyDescent="0.25">
      <c r="A8615" s="2364" t="s">
        <v>11966</v>
      </c>
      <c r="B8615" s="2360" t="s">
        <v>11565</v>
      </c>
      <c r="C8615" s="2360" t="s">
        <v>11565</v>
      </c>
      <c r="D8615" s="2366" t="s">
        <v>11967</v>
      </c>
      <c r="E8615" s="2359">
        <v>250</v>
      </c>
      <c r="F8615" s="2363">
        <v>208</v>
      </c>
    </row>
    <row r="8616" spans="1:6" ht="15" customHeight="1" x14ac:dyDescent="0.25">
      <c r="A8616" s="2366" t="s">
        <v>8126</v>
      </c>
      <c r="B8616" s="2360" t="s">
        <v>11565</v>
      </c>
      <c r="C8616" s="2360" t="s">
        <v>11565</v>
      </c>
      <c r="D8616" s="2366" t="s">
        <v>11968</v>
      </c>
      <c r="E8616" s="2359">
        <v>250</v>
      </c>
      <c r="F8616" s="2363">
        <v>98</v>
      </c>
    </row>
    <row r="8617" spans="1:6" ht="15" customHeight="1" x14ac:dyDescent="0.25">
      <c r="A8617" s="2364" t="s">
        <v>11969</v>
      </c>
      <c r="B8617" s="2360" t="s">
        <v>11565</v>
      </c>
      <c r="C8617" s="2360" t="s">
        <v>11565</v>
      </c>
      <c r="D8617" s="2366" t="s">
        <v>11970</v>
      </c>
      <c r="E8617" s="2359">
        <v>100</v>
      </c>
      <c r="F8617" s="2363">
        <v>50</v>
      </c>
    </row>
    <row r="8618" spans="1:6" ht="15" customHeight="1" x14ac:dyDescent="0.25">
      <c r="A8618" s="2364" t="s">
        <v>19445</v>
      </c>
      <c r="B8618" s="2360" t="s">
        <v>11565</v>
      </c>
      <c r="C8618" s="2360" t="s">
        <v>11565</v>
      </c>
      <c r="D8618" s="2366" t="s">
        <v>11971</v>
      </c>
      <c r="E8618" s="2359">
        <v>60</v>
      </c>
      <c r="F8618" s="2363">
        <v>15</v>
      </c>
    </row>
    <row r="8619" spans="1:6" ht="15" customHeight="1" x14ac:dyDescent="0.25">
      <c r="A8619" s="2364" t="s">
        <v>19446</v>
      </c>
      <c r="B8619" s="2360" t="s">
        <v>11565</v>
      </c>
      <c r="C8619" s="2360" t="s">
        <v>11565</v>
      </c>
      <c r="D8619" s="2366" t="s">
        <v>19447</v>
      </c>
      <c r="E8619" s="2359">
        <v>30</v>
      </c>
      <c r="F8619" s="2363">
        <v>11</v>
      </c>
    </row>
    <row r="8620" spans="1:6" ht="15" customHeight="1" x14ac:dyDescent="0.25">
      <c r="A8620" s="2364"/>
      <c r="B8620" s="2360" t="s">
        <v>11565</v>
      </c>
      <c r="C8620" s="2360" t="s">
        <v>11565</v>
      </c>
      <c r="D8620" s="2366" t="s">
        <v>11972</v>
      </c>
      <c r="E8620" s="2359">
        <v>40</v>
      </c>
      <c r="F8620" s="2363">
        <v>3</v>
      </c>
    </row>
    <row r="8621" spans="1:6" ht="15" customHeight="1" x14ac:dyDescent="0.25">
      <c r="A8621" s="2364" t="s">
        <v>19448</v>
      </c>
      <c r="B8621" s="2360" t="s">
        <v>11565</v>
      </c>
      <c r="C8621" s="2360" t="s">
        <v>11565</v>
      </c>
      <c r="D8621" s="2366" t="s">
        <v>11973</v>
      </c>
      <c r="E8621" s="2359">
        <v>180</v>
      </c>
      <c r="F8621" s="2363">
        <v>180</v>
      </c>
    </row>
    <row r="8622" spans="1:6" ht="15" customHeight="1" x14ac:dyDescent="0.25">
      <c r="A8622" s="2364"/>
      <c r="B8622" s="2360" t="s">
        <v>11565</v>
      </c>
      <c r="C8622" s="2360" t="s">
        <v>11565</v>
      </c>
      <c r="D8622" s="2366" t="s">
        <v>11974</v>
      </c>
      <c r="E8622" s="2359" t="s">
        <v>4200</v>
      </c>
      <c r="F8622" s="2363">
        <v>200</v>
      </c>
    </row>
    <row r="8623" spans="1:6" ht="15" customHeight="1" x14ac:dyDescent="0.25">
      <c r="A8623" s="2364"/>
      <c r="B8623" s="2360" t="s">
        <v>11565</v>
      </c>
      <c r="C8623" s="2360" t="s">
        <v>11565</v>
      </c>
      <c r="D8623" s="2366" t="s">
        <v>11975</v>
      </c>
      <c r="E8623" s="2359">
        <v>160</v>
      </c>
      <c r="F8623" s="2363">
        <v>74.849999999999994</v>
      </c>
    </row>
    <row r="8624" spans="1:6" ht="15" customHeight="1" x14ac:dyDescent="0.25">
      <c r="A8624" s="2364"/>
      <c r="B8624" s="2360" t="s">
        <v>11565</v>
      </c>
      <c r="C8624" s="2360" t="s">
        <v>11565</v>
      </c>
      <c r="D8624" s="2366" t="s">
        <v>11976</v>
      </c>
      <c r="E8624" s="2359">
        <v>160</v>
      </c>
      <c r="F8624" s="2363">
        <v>30</v>
      </c>
    </row>
    <row r="8625" spans="1:6" ht="15" customHeight="1" x14ac:dyDescent="0.25">
      <c r="A8625" s="2364"/>
      <c r="B8625" s="2360" t="s">
        <v>11565</v>
      </c>
      <c r="C8625" s="2360" t="s">
        <v>11565</v>
      </c>
      <c r="D8625" s="2366" t="s">
        <v>11977</v>
      </c>
      <c r="E8625" s="2359">
        <v>250</v>
      </c>
      <c r="F8625" s="2363">
        <v>180</v>
      </c>
    </row>
    <row r="8626" spans="1:6" ht="15" customHeight="1" x14ac:dyDescent="0.25">
      <c r="A8626" s="2364"/>
      <c r="B8626" s="2360" t="s">
        <v>11565</v>
      </c>
      <c r="C8626" s="2360" t="s">
        <v>11565</v>
      </c>
      <c r="D8626" s="2366" t="s">
        <v>11978</v>
      </c>
      <c r="E8626" s="2359">
        <v>250</v>
      </c>
      <c r="F8626" s="2363">
        <v>200</v>
      </c>
    </row>
    <row r="8627" spans="1:6" ht="15" customHeight="1" x14ac:dyDescent="0.25">
      <c r="A8627" s="2364" t="s">
        <v>11979</v>
      </c>
      <c r="B8627" s="2360" t="s">
        <v>11565</v>
      </c>
      <c r="C8627" s="2360" t="s">
        <v>11565</v>
      </c>
      <c r="D8627" s="2366" t="s">
        <v>11980</v>
      </c>
      <c r="E8627" s="2359">
        <v>30</v>
      </c>
      <c r="F8627" s="2363">
        <v>15</v>
      </c>
    </row>
    <row r="8628" spans="1:6" ht="15" customHeight="1" x14ac:dyDescent="0.25">
      <c r="A8628" s="2368" t="s">
        <v>19449</v>
      </c>
      <c r="B8628" s="2360" t="s">
        <v>11565</v>
      </c>
      <c r="C8628" s="2360" t="s">
        <v>11565</v>
      </c>
      <c r="D8628" s="2366" t="s">
        <v>11981</v>
      </c>
      <c r="E8628" s="2359">
        <v>50</v>
      </c>
      <c r="F8628" s="2363">
        <v>20</v>
      </c>
    </row>
    <row r="8629" spans="1:6" ht="15" customHeight="1" x14ac:dyDescent="0.25">
      <c r="A8629" s="2368" t="s">
        <v>19450</v>
      </c>
      <c r="B8629" s="2360" t="s">
        <v>11565</v>
      </c>
      <c r="C8629" s="2360" t="s">
        <v>11565</v>
      </c>
      <c r="D8629" s="2366" t="s">
        <v>11982</v>
      </c>
      <c r="E8629" s="2359">
        <v>30</v>
      </c>
      <c r="F8629" s="2363">
        <v>25</v>
      </c>
    </row>
    <row r="8630" spans="1:6" ht="15" customHeight="1" x14ac:dyDescent="0.25">
      <c r="A8630" s="2368" t="s">
        <v>11983</v>
      </c>
      <c r="B8630" s="2360" t="s">
        <v>11565</v>
      </c>
      <c r="C8630" s="2360" t="s">
        <v>11565</v>
      </c>
      <c r="D8630" s="2366" t="s">
        <v>11984</v>
      </c>
      <c r="E8630" s="2359">
        <v>30</v>
      </c>
      <c r="F8630" s="2363">
        <v>15</v>
      </c>
    </row>
    <row r="8631" spans="1:6" ht="15" customHeight="1" x14ac:dyDescent="0.25">
      <c r="A8631" s="2368" t="s">
        <v>6596</v>
      </c>
      <c r="B8631" s="2360" t="s">
        <v>11565</v>
      </c>
      <c r="C8631" s="2360" t="s">
        <v>11565</v>
      </c>
      <c r="D8631" s="2366" t="s">
        <v>11985</v>
      </c>
      <c r="E8631" s="2359">
        <v>50</v>
      </c>
      <c r="F8631" s="2363">
        <v>20</v>
      </c>
    </row>
    <row r="8632" spans="1:6" ht="15" customHeight="1" x14ac:dyDescent="0.25">
      <c r="A8632" s="2368" t="s">
        <v>19451</v>
      </c>
      <c r="B8632" s="2360" t="s">
        <v>11565</v>
      </c>
      <c r="C8632" s="2360" t="s">
        <v>11565</v>
      </c>
      <c r="D8632" s="2366" t="s">
        <v>11986</v>
      </c>
      <c r="E8632" s="2359">
        <v>60</v>
      </c>
      <c r="F8632" s="2363">
        <v>15</v>
      </c>
    </row>
    <row r="8633" spans="1:6" ht="15" customHeight="1" x14ac:dyDescent="0.25">
      <c r="A8633" s="2368" t="s">
        <v>11987</v>
      </c>
      <c r="B8633" s="2360" t="s">
        <v>11565</v>
      </c>
      <c r="C8633" s="2360" t="s">
        <v>11565</v>
      </c>
      <c r="D8633" s="2366" t="s">
        <v>11988</v>
      </c>
      <c r="E8633" s="2359">
        <v>250</v>
      </c>
      <c r="F8633" s="2363">
        <v>200</v>
      </c>
    </row>
    <row r="8634" spans="1:6" ht="15" customHeight="1" x14ac:dyDescent="0.25">
      <c r="A8634" s="2368"/>
      <c r="B8634" s="2360" t="s">
        <v>11565</v>
      </c>
      <c r="C8634" s="2360" t="s">
        <v>11565</v>
      </c>
      <c r="D8634" s="2366" t="s">
        <v>11989</v>
      </c>
      <c r="E8634" s="2359">
        <v>160</v>
      </c>
      <c r="F8634" s="2363">
        <v>20</v>
      </c>
    </row>
    <row r="8635" spans="1:6" ht="15" customHeight="1" x14ac:dyDescent="0.25">
      <c r="A8635" s="2368"/>
      <c r="B8635" s="2360" t="s">
        <v>11565</v>
      </c>
      <c r="C8635" s="2360" t="s">
        <v>11565</v>
      </c>
      <c r="D8635" s="2366" t="s">
        <v>11990</v>
      </c>
      <c r="E8635" s="2359">
        <v>180</v>
      </c>
      <c r="F8635" s="2363">
        <v>50</v>
      </c>
    </row>
    <row r="8636" spans="1:6" ht="15" customHeight="1" x14ac:dyDescent="0.25">
      <c r="A8636" s="2368"/>
      <c r="B8636" s="2360" t="s">
        <v>11565</v>
      </c>
      <c r="C8636" s="2360" t="s">
        <v>11565</v>
      </c>
      <c r="D8636" s="2366" t="s">
        <v>11991</v>
      </c>
      <c r="E8636" s="2359">
        <v>400</v>
      </c>
      <c r="F8636" s="2363">
        <v>400</v>
      </c>
    </row>
    <row r="8637" spans="1:6" ht="15" customHeight="1" x14ac:dyDescent="0.25">
      <c r="A8637" s="2368"/>
      <c r="B8637" s="2360" t="s">
        <v>11565</v>
      </c>
      <c r="C8637" s="2360" t="s">
        <v>11565</v>
      </c>
      <c r="D8637" s="2366" t="s">
        <v>11992</v>
      </c>
      <c r="E8637" s="2359">
        <v>50</v>
      </c>
      <c r="F8637" s="2363">
        <v>10</v>
      </c>
    </row>
    <row r="8638" spans="1:6" ht="15" customHeight="1" x14ac:dyDescent="0.25">
      <c r="A8638" s="2368" t="s">
        <v>19452</v>
      </c>
      <c r="B8638" s="2360" t="s">
        <v>11565</v>
      </c>
      <c r="C8638" s="2360" t="s">
        <v>11565</v>
      </c>
      <c r="D8638" s="2366" t="s">
        <v>11993</v>
      </c>
      <c r="E8638" s="2359">
        <v>100</v>
      </c>
      <c r="F8638" s="2363">
        <v>30</v>
      </c>
    </row>
    <row r="8639" spans="1:6" ht="15" customHeight="1" x14ac:dyDescent="0.25">
      <c r="A8639" s="2368" t="s">
        <v>19453</v>
      </c>
      <c r="B8639" s="2360" t="s">
        <v>11565</v>
      </c>
      <c r="C8639" s="2360" t="s">
        <v>11565</v>
      </c>
      <c r="D8639" s="2366" t="s">
        <v>11994</v>
      </c>
      <c r="E8639" s="2359">
        <v>60</v>
      </c>
      <c r="F8639" s="2363">
        <v>45</v>
      </c>
    </row>
    <row r="8640" spans="1:6" ht="15" customHeight="1" x14ac:dyDescent="0.25">
      <c r="A8640" s="2368" t="s">
        <v>19454</v>
      </c>
      <c r="B8640" s="2360" t="s">
        <v>11565</v>
      </c>
      <c r="C8640" s="2360" t="s">
        <v>11565</v>
      </c>
      <c r="D8640" s="2366" t="s">
        <v>11995</v>
      </c>
      <c r="E8640" s="2359">
        <v>30</v>
      </c>
      <c r="F8640" s="2363">
        <v>20</v>
      </c>
    </row>
    <row r="8641" spans="1:6" ht="15" customHeight="1" x14ac:dyDescent="0.25">
      <c r="A8641" s="2368" t="s">
        <v>19455</v>
      </c>
      <c r="B8641" s="2360" t="s">
        <v>11565</v>
      </c>
      <c r="C8641" s="2360" t="s">
        <v>11565</v>
      </c>
      <c r="D8641" s="2366" t="s">
        <v>11996</v>
      </c>
      <c r="E8641" s="2359">
        <v>20</v>
      </c>
      <c r="F8641" s="2363">
        <v>3</v>
      </c>
    </row>
    <row r="8642" spans="1:6" ht="15" customHeight="1" x14ac:dyDescent="0.25">
      <c r="A8642" s="2368" t="s">
        <v>19456</v>
      </c>
      <c r="B8642" s="2360" t="s">
        <v>11565</v>
      </c>
      <c r="C8642" s="2360" t="s">
        <v>11565</v>
      </c>
      <c r="D8642" s="2366" t="s">
        <v>11997</v>
      </c>
      <c r="E8642" s="2359">
        <v>400</v>
      </c>
      <c r="F8642" s="2363">
        <v>250</v>
      </c>
    </row>
    <row r="8643" spans="1:6" ht="15" customHeight="1" x14ac:dyDescent="0.25">
      <c r="A8643" s="2368"/>
      <c r="B8643" s="2360" t="s">
        <v>11565</v>
      </c>
      <c r="C8643" s="2360" t="s">
        <v>11565</v>
      </c>
      <c r="D8643" s="2366" t="s">
        <v>11998</v>
      </c>
      <c r="E8643" s="2359">
        <v>160</v>
      </c>
      <c r="F8643" s="2363">
        <v>76</v>
      </c>
    </row>
    <row r="8644" spans="1:6" ht="15" customHeight="1" x14ac:dyDescent="0.25">
      <c r="A8644" s="2368" t="s">
        <v>10541</v>
      </c>
      <c r="B8644" s="2360" t="s">
        <v>11565</v>
      </c>
      <c r="C8644" s="2360" t="s">
        <v>11565</v>
      </c>
      <c r="D8644" s="2366" t="s">
        <v>11999</v>
      </c>
      <c r="E8644" s="2359">
        <v>250</v>
      </c>
      <c r="F8644" s="2363">
        <v>160</v>
      </c>
    </row>
    <row r="8645" spans="1:6" ht="15" customHeight="1" x14ac:dyDescent="0.25">
      <c r="A8645" s="2368"/>
      <c r="B8645" s="2360" t="s">
        <v>11565</v>
      </c>
      <c r="C8645" s="2360" t="s">
        <v>11565</v>
      </c>
      <c r="D8645" s="2366" t="s">
        <v>12000</v>
      </c>
      <c r="E8645" s="2359" t="s">
        <v>4202</v>
      </c>
      <c r="F8645" s="2363">
        <v>100</v>
      </c>
    </row>
    <row r="8646" spans="1:6" ht="15" customHeight="1" x14ac:dyDescent="0.25">
      <c r="A8646" s="2368"/>
      <c r="B8646" s="2360" t="s">
        <v>11565</v>
      </c>
      <c r="C8646" s="2360" t="s">
        <v>11565</v>
      </c>
      <c r="D8646" s="2366" t="s">
        <v>12001</v>
      </c>
      <c r="E8646" s="2359">
        <v>400</v>
      </c>
      <c r="F8646" s="2363">
        <v>250</v>
      </c>
    </row>
    <row r="8647" spans="1:6" ht="15" customHeight="1" x14ac:dyDescent="0.25">
      <c r="A8647" s="2368"/>
      <c r="B8647" s="2360" t="s">
        <v>11565</v>
      </c>
      <c r="C8647" s="2360" t="s">
        <v>11565</v>
      </c>
      <c r="D8647" s="2366" t="s">
        <v>12002</v>
      </c>
      <c r="E8647" s="2359" t="s">
        <v>4199</v>
      </c>
      <c r="F8647" s="2363">
        <v>700</v>
      </c>
    </row>
    <row r="8648" spans="1:6" ht="15" customHeight="1" x14ac:dyDescent="0.25">
      <c r="A8648" s="2368" t="s">
        <v>12003</v>
      </c>
      <c r="B8648" s="2360" t="s">
        <v>11565</v>
      </c>
      <c r="C8648" s="2360" t="s">
        <v>11565</v>
      </c>
      <c r="D8648" s="2366" t="s">
        <v>12004</v>
      </c>
      <c r="E8648" s="2359">
        <v>50</v>
      </c>
      <c r="F8648" s="2363">
        <v>15</v>
      </c>
    </row>
    <row r="8649" spans="1:6" ht="15" customHeight="1" x14ac:dyDescent="0.25">
      <c r="A8649" s="2368" t="s">
        <v>19457</v>
      </c>
      <c r="B8649" s="2360" t="s">
        <v>11565</v>
      </c>
      <c r="C8649" s="2360" t="s">
        <v>11565</v>
      </c>
      <c r="D8649" s="2366" t="s">
        <v>12005</v>
      </c>
      <c r="E8649" s="2359">
        <v>63</v>
      </c>
      <c r="F8649" s="2363">
        <v>30</v>
      </c>
    </row>
    <row r="8650" spans="1:6" ht="15" customHeight="1" x14ac:dyDescent="0.25">
      <c r="A8650" s="2368" t="s">
        <v>12006</v>
      </c>
      <c r="B8650" s="2360" t="s">
        <v>11565</v>
      </c>
      <c r="C8650" s="2360" t="s">
        <v>11565</v>
      </c>
      <c r="D8650" s="2366" t="s">
        <v>12007</v>
      </c>
      <c r="E8650" s="2359">
        <v>60</v>
      </c>
      <c r="F8650" s="2363">
        <v>30</v>
      </c>
    </row>
    <row r="8651" spans="1:6" ht="15" customHeight="1" x14ac:dyDescent="0.25">
      <c r="A8651" s="2368" t="s">
        <v>19431</v>
      </c>
      <c r="B8651" s="2360" t="s">
        <v>11565</v>
      </c>
      <c r="C8651" s="2360" t="s">
        <v>11565</v>
      </c>
      <c r="D8651" s="2366" t="s">
        <v>12008</v>
      </c>
      <c r="E8651" s="2359">
        <v>30</v>
      </c>
      <c r="F8651" s="2363">
        <v>10</v>
      </c>
    </row>
    <row r="8652" spans="1:6" ht="15" customHeight="1" x14ac:dyDescent="0.25">
      <c r="A8652" s="2368" t="s">
        <v>17837</v>
      </c>
      <c r="B8652" s="2360" t="s">
        <v>11565</v>
      </c>
      <c r="C8652" s="2360" t="s">
        <v>11565</v>
      </c>
      <c r="D8652" s="2366" t="s">
        <v>12009</v>
      </c>
      <c r="E8652" s="2359">
        <v>100</v>
      </c>
      <c r="F8652" s="2363">
        <v>15</v>
      </c>
    </row>
    <row r="8653" spans="1:6" ht="15" customHeight="1" x14ac:dyDescent="0.25">
      <c r="A8653" s="2368" t="s">
        <v>19458</v>
      </c>
      <c r="B8653" s="2360" t="s">
        <v>11565</v>
      </c>
      <c r="C8653" s="2360" t="s">
        <v>11565</v>
      </c>
      <c r="D8653" s="2366" t="s">
        <v>12010</v>
      </c>
      <c r="E8653" s="2359">
        <v>100</v>
      </c>
      <c r="F8653" s="2363">
        <v>25</v>
      </c>
    </row>
    <row r="8654" spans="1:6" ht="15" customHeight="1" x14ac:dyDescent="0.25">
      <c r="A8654" s="2368" t="s">
        <v>19459</v>
      </c>
      <c r="B8654" s="2360" t="s">
        <v>11565</v>
      </c>
      <c r="C8654" s="2360" t="s">
        <v>11565</v>
      </c>
      <c r="D8654" s="2366" t="s">
        <v>12011</v>
      </c>
      <c r="E8654" s="2359">
        <v>20</v>
      </c>
      <c r="F8654" s="2363">
        <v>5</v>
      </c>
    </row>
    <row r="8655" spans="1:6" ht="15" customHeight="1" x14ac:dyDescent="0.25">
      <c r="A8655" s="2368" t="s">
        <v>19460</v>
      </c>
      <c r="B8655" s="2360" t="s">
        <v>11565</v>
      </c>
      <c r="C8655" s="2360" t="s">
        <v>11565</v>
      </c>
      <c r="D8655" s="2366" t="s">
        <v>12012</v>
      </c>
      <c r="E8655" s="2359">
        <v>50</v>
      </c>
      <c r="F8655" s="2363">
        <v>5</v>
      </c>
    </row>
    <row r="8656" spans="1:6" ht="15" customHeight="1" x14ac:dyDescent="0.25">
      <c r="A8656" s="2368" t="s">
        <v>19461</v>
      </c>
      <c r="B8656" s="2360" t="s">
        <v>11565</v>
      </c>
      <c r="C8656" s="2360" t="s">
        <v>11565</v>
      </c>
      <c r="D8656" s="2366" t="s">
        <v>12013</v>
      </c>
      <c r="E8656" s="2359">
        <v>30</v>
      </c>
      <c r="F8656" s="2363">
        <v>17</v>
      </c>
    </row>
    <row r="8657" spans="1:6" ht="15" customHeight="1" x14ac:dyDescent="0.25">
      <c r="A8657" s="2368" t="s">
        <v>18712</v>
      </c>
      <c r="B8657" s="2360" t="s">
        <v>11565</v>
      </c>
      <c r="C8657" s="2360" t="s">
        <v>11565</v>
      </c>
      <c r="D8657" s="2366" t="s">
        <v>12014</v>
      </c>
      <c r="E8657" s="2359">
        <v>30</v>
      </c>
      <c r="F8657" s="2363">
        <v>15</v>
      </c>
    </row>
    <row r="8658" spans="1:6" ht="15" customHeight="1" x14ac:dyDescent="0.25">
      <c r="A8658" s="2349" t="s">
        <v>12015</v>
      </c>
      <c r="B8658" s="2349" t="s">
        <v>11565</v>
      </c>
      <c r="C8658" s="2349" t="s">
        <v>11565</v>
      </c>
      <c r="D8658" s="2349" t="s">
        <v>12016</v>
      </c>
      <c r="E8658" s="2350">
        <v>30</v>
      </c>
      <c r="F8658" s="2350">
        <v>21</v>
      </c>
    </row>
    <row r="8659" spans="1:6" ht="15" customHeight="1" x14ac:dyDescent="0.25">
      <c r="A8659" s="2349" t="s">
        <v>12017</v>
      </c>
      <c r="B8659" s="2349" t="s">
        <v>11565</v>
      </c>
      <c r="C8659" s="2349" t="s">
        <v>11565</v>
      </c>
      <c r="D8659" s="2349" t="s">
        <v>12018</v>
      </c>
      <c r="E8659" s="2350">
        <v>50</v>
      </c>
      <c r="F8659" s="2350">
        <v>30</v>
      </c>
    </row>
    <row r="8660" spans="1:6" ht="15" customHeight="1" x14ac:dyDescent="0.25">
      <c r="A8660" s="2349" t="s">
        <v>12019</v>
      </c>
      <c r="B8660" s="2349" t="s">
        <v>11565</v>
      </c>
      <c r="C8660" s="2349" t="s">
        <v>11565</v>
      </c>
      <c r="D8660" s="2349" t="s">
        <v>12020</v>
      </c>
      <c r="E8660" s="2350" t="s">
        <v>4202</v>
      </c>
      <c r="F8660" s="2350">
        <v>400</v>
      </c>
    </row>
    <row r="8661" spans="1:6" ht="15" customHeight="1" x14ac:dyDescent="0.25">
      <c r="A8661" s="2349" t="s">
        <v>12019</v>
      </c>
      <c r="B8661" s="2349" t="s">
        <v>11565</v>
      </c>
      <c r="C8661" s="2349" t="s">
        <v>11565</v>
      </c>
      <c r="D8661" s="2349" t="s">
        <v>12021</v>
      </c>
      <c r="E8661" s="2350">
        <v>400</v>
      </c>
      <c r="F8661" s="2350">
        <v>200</v>
      </c>
    </row>
    <row r="8662" spans="1:6" ht="15" customHeight="1" x14ac:dyDescent="0.25">
      <c r="A8662" s="2349" t="s">
        <v>19462</v>
      </c>
      <c r="B8662" s="2349" t="s">
        <v>11565</v>
      </c>
      <c r="C8662" s="2349" t="s">
        <v>11565</v>
      </c>
      <c r="D8662" s="2349" t="s">
        <v>12022</v>
      </c>
      <c r="E8662" s="2350">
        <v>60</v>
      </c>
      <c r="F8662" s="2350">
        <v>30</v>
      </c>
    </row>
    <row r="8663" spans="1:6" ht="15" customHeight="1" x14ac:dyDescent="0.25">
      <c r="A8663" s="2349" t="s">
        <v>19463</v>
      </c>
      <c r="B8663" s="2349" t="s">
        <v>11565</v>
      </c>
      <c r="C8663" s="2349" t="s">
        <v>11565</v>
      </c>
      <c r="D8663" s="2349" t="s">
        <v>12023</v>
      </c>
      <c r="E8663" s="2350">
        <v>63</v>
      </c>
      <c r="F8663" s="2350">
        <v>12</v>
      </c>
    </row>
    <row r="8664" spans="1:6" ht="15" customHeight="1" x14ac:dyDescent="0.25">
      <c r="A8664" s="2349" t="s">
        <v>6421</v>
      </c>
      <c r="B8664" s="2349" t="s">
        <v>11565</v>
      </c>
      <c r="C8664" s="2349" t="s">
        <v>11565</v>
      </c>
      <c r="D8664" s="2349" t="s">
        <v>12024</v>
      </c>
      <c r="E8664" s="2350">
        <v>50</v>
      </c>
      <c r="F8664" s="2350">
        <v>24.7</v>
      </c>
    </row>
    <row r="8665" spans="1:6" ht="15" customHeight="1" x14ac:dyDescent="0.25">
      <c r="A8665" s="2349" t="s">
        <v>19464</v>
      </c>
      <c r="B8665" s="2349" t="s">
        <v>11565</v>
      </c>
      <c r="C8665" s="2349" t="s">
        <v>11565</v>
      </c>
      <c r="D8665" s="2349" t="s">
        <v>12025</v>
      </c>
      <c r="E8665" s="2350">
        <v>100</v>
      </c>
      <c r="F8665" s="2350">
        <v>50</v>
      </c>
    </row>
    <row r="8666" spans="1:6" ht="15" customHeight="1" x14ac:dyDescent="0.25">
      <c r="A8666" s="2349" t="s">
        <v>19465</v>
      </c>
      <c r="B8666" s="2349" t="s">
        <v>11565</v>
      </c>
      <c r="C8666" s="2349" t="s">
        <v>11565</v>
      </c>
      <c r="D8666" s="2349" t="s">
        <v>12026</v>
      </c>
      <c r="E8666" s="2350">
        <v>30</v>
      </c>
      <c r="F8666" s="2350">
        <v>10</v>
      </c>
    </row>
    <row r="8667" spans="1:6" ht="15" customHeight="1" x14ac:dyDescent="0.25">
      <c r="A8667" s="2349" t="s">
        <v>19466</v>
      </c>
      <c r="B8667" s="2349" t="s">
        <v>11565</v>
      </c>
      <c r="C8667" s="2349" t="s">
        <v>11565</v>
      </c>
      <c r="D8667" s="2349" t="s">
        <v>12027</v>
      </c>
      <c r="E8667" s="2350">
        <v>30</v>
      </c>
      <c r="F8667" s="2350">
        <v>25</v>
      </c>
    </row>
    <row r="8668" spans="1:6" ht="15" customHeight="1" x14ac:dyDescent="0.25">
      <c r="A8668" s="2349" t="s">
        <v>12028</v>
      </c>
      <c r="B8668" s="2349" t="s">
        <v>11565</v>
      </c>
      <c r="C8668" s="2349" t="s">
        <v>11565</v>
      </c>
      <c r="D8668" s="2349" t="s">
        <v>12029</v>
      </c>
      <c r="E8668" s="2350" t="s">
        <v>12030</v>
      </c>
      <c r="F8668" s="2350">
        <v>291</v>
      </c>
    </row>
    <row r="8669" spans="1:6" ht="15" customHeight="1" x14ac:dyDescent="0.25">
      <c r="A8669" s="2349"/>
      <c r="B8669" s="2349" t="s">
        <v>11565</v>
      </c>
      <c r="C8669" s="2349" t="s">
        <v>11565</v>
      </c>
      <c r="D8669" s="2349" t="s">
        <v>12031</v>
      </c>
      <c r="E8669" s="2350">
        <v>400</v>
      </c>
      <c r="F8669" s="2350">
        <v>300</v>
      </c>
    </row>
    <row r="8670" spans="1:6" ht="15" customHeight="1" x14ac:dyDescent="0.25">
      <c r="A8670" s="2349" t="s">
        <v>19467</v>
      </c>
      <c r="B8670" s="2349" t="s">
        <v>11565</v>
      </c>
      <c r="C8670" s="2349" t="s">
        <v>11565</v>
      </c>
      <c r="D8670" s="2349" t="s">
        <v>12032</v>
      </c>
      <c r="E8670" s="2350">
        <v>50</v>
      </c>
      <c r="F8670" s="2350">
        <v>25</v>
      </c>
    </row>
    <row r="8671" spans="1:6" ht="15" customHeight="1" x14ac:dyDescent="0.25">
      <c r="A8671" s="2349" t="s">
        <v>6974</v>
      </c>
      <c r="B8671" s="2349" t="s">
        <v>11565</v>
      </c>
      <c r="C8671" s="2349" t="s">
        <v>11565</v>
      </c>
      <c r="D8671" s="2349" t="s">
        <v>12033</v>
      </c>
      <c r="E8671" s="2350">
        <v>30</v>
      </c>
      <c r="F8671" s="2350">
        <v>10</v>
      </c>
    </row>
    <row r="8672" spans="1:6" ht="15" customHeight="1" x14ac:dyDescent="0.25">
      <c r="A8672" s="2349" t="s">
        <v>19468</v>
      </c>
      <c r="B8672" s="2349" t="s">
        <v>11565</v>
      </c>
      <c r="C8672" s="2349" t="s">
        <v>11565</v>
      </c>
      <c r="D8672" s="2349" t="s">
        <v>12034</v>
      </c>
      <c r="E8672" s="2350">
        <v>250</v>
      </c>
      <c r="F8672" s="2350">
        <v>180</v>
      </c>
    </row>
    <row r="8673" spans="1:6" ht="15" customHeight="1" x14ac:dyDescent="0.25">
      <c r="A8673" s="2349" t="s">
        <v>12035</v>
      </c>
      <c r="B8673" s="2349" t="s">
        <v>11565</v>
      </c>
      <c r="C8673" s="2349" t="s">
        <v>11565</v>
      </c>
      <c r="D8673" s="2349" t="s">
        <v>12036</v>
      </c>
      <c r="E8673" s="2350">
        <v>100</v>
      </c>
      <c r="F8673" s="2350">
        <v>37</v>
      </c>
    </row>
    <row r="8674" spans="1:6" ht="15" customHeight="1" x14ac:dyDescent="0.25">
      <c r="A8674" s="2349" t="s">
        <v>12037</v>
      </c>
      <c r="B8674" s="2349" t="s">
        <v>11565</v>
      </c>
      <c r="C8674" s="2349" t="s">
        <v>11565</v>
      </c>
      <c r="D8674" s="2349" t="s">
        <v>12038</v>
      </c>
      <c r="E8674" s="2350">
        <v>100</v>
      </c>
      <c r="F8674" s="2350">
        <v>30</v>
      </c>
    </row>
    <row r="8675" spans="1:6" ht="15" customHeight="1" x14ac:dyDescent="0.25">
      <c r="A8675" s="2349" t="s">
        <v>19469</v>
      </c>
      <c r="B8675" s="2349" t="s">
        <v>11565</v>
      </c>
      <c r="C8675" s="2349" t="s">
        <v>11565</v>
      </c>
      <c r="D8675" s="2349" t="s">
        <v>12039</v>
      </c>
      <c r="E8675" s="2350">
        <v>20</v>
      </c>
      <c r="F8675" s="2350">
        <v>5</v>
      </c>
    </row>
    <row r="8676" spans="1:6" ht="15" customHeight="1" x14ac:dyDescent="0.25">
      <c r="A8676" s="2349" t="s">
        <v>12040</v>
      </c>
      <c r="B8676" s="2349" t="s">
        <v>11565</v>
      </c>
      <c r="C8676" s="2349" t="s">
        <v>11565</v>
      </c>
      <c r="D8676" s="2349" t="s">
        <v>12041</v>
      </c>
      <c r="E8676" s="2350">
        <v>30</v>
      </c>
      <c r="F8676" s="2350">
        <v>10</v>
      </c>
    </row>
    <row r="8677" spans="1:6" ht="15" customHeight="1" x14ac:dyDescent="0.25">
      <c r="A8677" s="2349" t="s">
        <v>19470</v>
      </c>
      <c r="B8677" s="2349" t="s">
        <v>11565</v>
      </c>
      <c r="C8677" s="2349" t="s">
        <v>11565</v>
      </c>
      <c r="D8677" s="2349" t="s">
        <v>12042</v>
      </c>
      <c r="E8677" s="2350">
        <v>63</v>
      </c>
      <c r="F8677" s="2350">
        <v>15</v>
      </c>
    </row>
    <row r="8678" spans="1:6" ht="15" customHeight="1" x14ac:dyDescent="0.25">
      <c r="A8678" s="2349" t="s">
        <v>19471</v>
      </c>
      <c r="B8678" s="2349" t="s">
        <v>11565</v>
      </c>
      <c r="C8678" s="2349" t="s">
        <v>11565</v>
      </c>
      <c r="D8678" s="2349" t="s">
        <v>12043</v>
      </c>
      <c r="E8678" s="2350">
        <v>100</v>
      </c>
      <c r="F8678" s="2350">
        <v>22</v>
      </c>
    </row>
    <row r="8679" spans="1:6" ht="15" customHeight="1" x14ac:dyDescent="0.25">
      <c r="A8679" s="2349" t="s">
        <v>19472</v>
      </c>
      <c r="B8679" s="2349" t="s">
        <v>11565</v>
      </c>
      <c r="C8679" s="2349" t="s">
        <v>11565</v>
      </c>
      <c r="D8679" s="2349" t="s">
        <v>12044</v>
      </c>
      <c r="E8679" s="2350">
        <v>30</v>
      </c>
      <c r="F8679" s="2350">
        <v>3</v>
      </c>
    </row>
    <row r="8680" spans="1:6" ht="15" customHeight="1" x14ac:dyDescent="0.25">
      <c r="A8680" s="2349" t="s">
        <v>19473</v>
      </c>
      <c r="B8680" s="2349" t="s">
        <v>11565</v>
      </c>
      <c r="C8680" s="2349" t="s">
        <v>11565</v>
      </c>
      <c r="D8680" s="2349" t="s">
        <v>12045</v>
      </c>
      <c r="E8680" s="2350">
        <v>20</v>
      </c>
      <c r="F8680" s="2350">
        <v>10</v>
      </c>
    </row>
    <row r="8681" spans="1:6" ht="15" customHeight="1" x14ac:dyDescent="0.25">
      <c r="A8681" s="2349" t="s">
        <v>19474</v>
      </c>
      <c r="B8681" s="2349" t="s">
        <v>11565</v>
      </c>
      <c r="C8681" s="2349" t="s">
        <v>11565</v>
      </c>
      <c r="D8681" s="2349" t="s">
        <v>12046</v>
      </c>
      <c r="E8681" s="2350">
        <v>100</v>
      </c>
      <c r="F8681" s="2350">
        <v>24</v>
      </c>
    </row>
    <row r="8682" spans="1:6" ht="15" customHeight="1" x14ac:dyDescent="0.25">
      <c r="A8682" s="2349" t="s">
        <v>12047</v>
      </c>
      <c r="B8682" s="2349" t="s">
        <v>11565</v>
      </c>
      <c r="C8682" s="2349" t="s">
        <v>11565</v>
      </c>
      <c r="D8682" s="2349" t="s">
        <v>12048</v>
      </c>
      <c r="E8682" s="2350">
        <v>60</v>
      </c>
      <c r="F8682" s="2350">
        <v>25</v>
      </c>
    </row>
    <row r="8683" spans="1:6" ht="15" customHeight="1" x14ac:dyDescent="0.25">
      <c r="A8683" s="2349" t="s">
        <v>10291</v>
      </c>
      <c r="B8683" s="2349" t="s">
        <v>11565</v>
      </c>
      <c r="C8683" s="2349" t="s">
        <v>11565</v>
      </c>
      <c r="D8683" s="2349" t="s">
        <v>12049</v>
      </c>
      <c r="E8683" s="2350">
        <v>30</v>
      </c>
      <c r="F8683" s="2350">
        <v>15</v>
      </c>
    </row>
    <row r="8684" spans="1:6" ht="15" customHeight="1" x14ac:dyDescent="0.25">
      <c r="A8684" s="2349" t="s">
        <v>12050</v>
      </c>
      <c r="B8684" s="2349" t="s">
        <v>11565</v>
      </c>
      <c r="C8684" s="2349" t="s">
        <v>11565</v>
      </c>
      <c r="D8684" s="2349" t="s">
        <v>12051</v>
      </c>
      <c r="E8684" s="2350">
        <v>60</v>
      </c>
      <c r="F8684" s="2350">
        <v>40</v>
      </c>
    </row>
    <row r="8685" spans="1:6" ht="15" customHeight="1" x14ac:dyDescent="0.25">
      <c r="A8685" s="2349" t="s">
        <v>19475</v>
      </c>
      <c r="B8685" s="2349" t="s">
        <v>11565</v>
      </c>
      <c r="C8685" s="2349" t="s">
        <v>11565</v>
      </c>
      <c r="D8685" s="2349" t="s">
        <v>12052</v>
      </c>
      <c r="E8685" s="2350">
        <v>30</v>
      </c>
      <c r="F8685" s="2350">
        <v>10</v>
      </c>
    </row>
    <row r="8686" spans="1:6" ht="15" customHeight="1" x14ac:dyDescent="0.25">
      <c r="A8686" s="2349" t="s">
        <v>19476</v>
      </c>
      <c r="B8686" s="2349" t="s">
        <v>11565</v>
      </c>
      <c r="C8686" s="2349" t="s">
        <v>11565</v>
      </c>
      <c r="D8686" s="2349" t="s">
        <v>12053</v>
      </c>
      <c r="E8686" s="2350">
        <v>250</v>
      </c>
      <c r="F8686" s="2350">
        <v>200</v>
      </c>
    </row>
    <row r="8687" spans="1:6" ht="15" customHeight="1" x14ac:dyDescent="0.25">
      <c r="A8687" s="2349" t="s">
        <v>19477</v>
      </c>
      <c r="B8687" s="2349" t="s">
        <v>11565</v>
      </c>
      <c r="C8687" s="2349" t="s">
        <v>11565</v>
      </c>
      <c r="D8687" s="2349" t="s">
        <v>12054</v>
      </c>
      <c r="E8687" s="2350">
        <v>50</v>
      </c>
      <c r="F8687" s="2350">
        <v>3</v>
      </c>
    </row>
    <row r="8688" spans="1:6" ht="15" customHeight="1" x14ac:dyDescent="0.25">
      <c r="A8688" s="2349" t="s">
        <v>19478</v>
      </c>
      <c r="B8688" s="2349" t="s">
        <v>11565</v>
      </c>
      <c r="C8688" s="2349" t="s">
        <v>11565</v>
      </c>
      <c r="D8688" s="2349" t="s">
        <v>12055</v>
      </c>
      <c r="E8688" s="2350">
        <v>100</v>
      </c>
      <c r="F8688" s="2350">
        <v>60</v>
      </c>
    </row>
    <row r="8689" spans="1:6" ht="15" customHeight="1" x14ac:dyDescent="0.25">
      <c r="A8689" s="2349" t="s">
        <v>19479</v>
      </c>
      <c r="B8689" s="2349" t="s">
        <v>11565</v>
      </c>
      <c r="C8689" s="2349" t="s">
        <v>11565</v>
      </c>
      <c r="D8689" s="2349" t="s">
        <v>12056</v>
      </c>
      <c r="E8689" s="2350">
        <v>10</v>
      </c>
      <c r="F8689" s="2350">
        <v>0</v>
      </c>
    </row>
    <row r="8690" spans="1:6" ht="15" customHeight="1" x14ac:dyDescent="0.25">
      <c r="A8690" s="2349" t="s">
        <v>19480</v>
      </c>
      <c r="B8690" s="2349" t="s">
        <v>11565</v>
      </c>
      <c r="C8690" s="2349" t="s">
        <v>11565</v>
      </c>
      <c r="D8690" s="2349" t="s">
        <v>12057</v>
      </c>
      <c r="E8690" s="2350">
        <v>100</v>
      </c>
      <c r="F8690" s="2350">
        <v>60</v>
      </c>
    </row>
    <row r="8691" spans="1:6" ht="15" customHeight="1" x14ac:dyDescent="0.25">
      <c r="A8691" s="2349" t="s">
        <v>10329</v>
      </c>
      <c r="B8691" s="2349" t="s">
        <v>11565</v>
      </c>
      <c r="C8691" s="2349" t="s">
        <v>11565</v>
      </c>
      <c r="D8691" s="2349" t="s">
        <v>12058</v>
      </c>
      <c r="E8691" s="2350">
        <v>63</v>
      </c>
      <c r="F8691" s="2350">
        <v>35</v>
      </c>
    </row>
    <row r="8692" spans="1:6" ht="15" customHeight="1" x14ac:dyDescent="0.25">
      <c r="A8692" s="2349" t="s">
        <v>19476</v>
      </c>
      <c r="B8692" s="2349" t="s">
        <v>11565</v>
      </c>
      <c r="C8692" s="2349" t="s">
        <v>11565</v>
      </c>
      <c r="D8692" s="2349" t="s">
        <v>12059</v>
      </c>
      <c r="E8692" s="2350">
        <v>63</v>
      </c>
      <c r="F8692" s="2350">
        <v>15</v>
      </c>
    </row>
    <row r="8693" spans="1:6" ht="15" customHeight="1" x14ac:dyDescent="0.25">
      <c r="A8693" s="2349" t="s">
        <v>19481</v>
      </c>
      <c r="B8693" s="2349" t="s">
        <v>11565</v>
      </c>
      <c r="C8693" s="2349" t="s">
        <v>11565</v>
      </c>
      <c r="D8693" s="2349" t="s">
        <v>12060</v>
      </c>
      <c r="E8693" s="2350">
        <v>400</v>
      </c>
      <c r="F8693" s="2350">
        <v>300</v>
      </c>
    </row>
    <row r="8694" spans="1:6" ht="15" customHeight="1" x14ac:dyDescent="0.25">
      <c r="A8694" s="2349" t="s">
        <v>19481</v>
      </c>
      <c r="B8694" s="2349" t="s">
        <v>11565</v>
      </c>
      <c r="C8694" s="2349" t="s">
        <v>11565</v>
      </c>
      <c r="D8694" s="2349" t="s">
        <v>12061</v>
      </c>
      <c r="E8694" s="2350">
        <v>250</v>
      </c>
      <c r="F8694" s="2350">
        <v>180</v>
      </c>
    </row>
    <row r="8695" spans="1:6" ht="15" customHeight="1" x14ac:dyDescent="0.25">
      <c r="A8695" s="2349" t="s">
        <v>12028</v>
      </c>
      <c r="B8695" s="2349" t="s">
        <v>11565</v>
      </c>
      <c r="C8695" s="2349" t="s">
        <v>11565</v>
      </c>
      <c r="D8695" s="2349" t="s">
        <v>12062</v>
      </c>
      <c r="E8695" s="2350" t="s">
        <v>4202</v>
      </c>
      <c r="F8695" s="2350">
        <v>151</v>
      </c>
    </row>
    <row r="8696" spans="1:6" ht="15" customHeight="1" x14ac:dyDescent="0.25">
      <c r="A8696" s="2349" t="s">
        <v>18478</v>
      </c>
      <c r="B8696" s="2349" t="s">
        <v>11565</v>
      </c>
      <c r="C8696" s="2349" t="s">
        <v>11565</v>
      </c>
      <c r="D8696" s="2349" t="s">
        <v>12063</v>
      </c>
      <c r="E8696" s="2350">
        <v>40</v>
      </c>
      <c r="F8696" s="2350">
        <v>21</v>
      </c>
    </row>
    <row r="8697" spans="1:6" ht="15" customHeight="1" x14ac:dyDescent="0.25">
      <c r="A8697" s="2349" t="s">
        <v>19482</v>
      </c>
      <c r="B8697" s="2349" t="s">
        <v>11565</v>
      </c>
      <c r="C8697" s="2349" t="s">
        <v>11565</v>
      </c>
      <c r="D8697" s="2349" t="s">
        <v>12064</v>
      </c>
      <c r="E8697" s="2350">
        <v>50</v>
      </c>
      <c r="F8697" s="2350">
        <v>25</v>
      </c>
    </row>
    <row r="8698" spans="1:6" ht="15" customHeight="1" x14ac:dyDescent="0.25">
      <c r="A8698" s="2349" t="s">
        <v>7438</v>
      </c>
      <c r="B8698" s="2349" t="s">
        <v>11565</v>
      </c>
      <c r="C8698" s="2349" t="s">
        <v>11565</v>
      </c>
      <c r="D8698" s="2349" t="s">
        <v>12065</v>
      </c>
      <c r="E8698" s="2350">
        <v>40</v>
      </c>
      <c r="F8698" s="2350">
        <v>11</v>
      </c>
    </row>
    <row r="8699" spans="1:6" ht="15" customHeight="1" x14ac:dyDescent="0.25">
      <c r="A8699" s="2349" t="s">
        <v>19483</v>
      </c>
      <c r="B8699" s="2349" t="s">
        <v>11565</v>
      </c>
      <c r="C8699" s="2349" t="s">
        <v>11565</v>
      </c>
      <c r="D8699" s="2349" t="s">
        <v>12066</v>
      </c>
      <c r="E8699" s="2350">
        <v>60</v>
      </c>
      <c r="F8699" s="2350">
        <v>15</v>
      </c>
    </row>
    <row r="8700" spans="1:6" ht="15" customHeight="1" x14ac:dyDescent="0.25">
      <c r="A8700" s="2349" t="s">
        <v>19484</v>
      </c>
      <c r="B8700" s="2349" t="s">
        <v>11565</v>
      </c>
      <c r="C8700" s="2349" t="s">
        <v>11565</v>
      </c>
      <c r="D8700" s="2349" t="s">
        <v>12067</v>
      </c>
      <c r="E8700" s="2350">
        <v>250</v>
      </c>
      <c r="F8700" s="2350">
        <v>211</v>
      </c>
    </row>
    <row r="8701" spans="1:6" ht="15" customHeight="1" x14ac:dyDescent="0.25">
      <c r="A8701" s="2349" t="s">
        <v>18654</v>
      </c>
      <c r="B8701" s="2349" t="s">
        <v>11565</v>
      </c>
      <c r="C8701" s="2349" t="s">
        <v>11565</v>
      </c>
      <c r="D8701" s="2349" t="s">
        <v>12068</v>
      </c>
      <c r="E8701" s="2350">
        <v>50</v>
      </c>
      <c r="F8701" s="2350">
        <v>15</v>
      </c>
    </row>
    <row r="8702" spans="1:6" ht="15" customHeight="1" x14ac:dyDescent="0.25">
      <c r="A8702" s="2349" t="s">
        <v>12069</v>
      </c>
      <c r="B8702" s="2349" t="s">
        <v>11565</v>
      </c>
      <c r="C8702" s="2349" t="s">
        <v>11565</v>
      </c>
      <c r="D8702" s="2349" t="s">
        <v>12070</v>
      </c>
      <c r="E8702" s="2350">
        <v>30</v>
      </c>
      <c r="F8702" s="2350">
        <v>20</v>
      </c>
    </row>
    <row r="8703" spans="1:6" ht="15" customHeight="1" x14ac:dyDescent="0.25">
      <c r="A8703" s="2349" t="s">
        <v>19485</v>
      </c>
      <c r="B8703" s="2349" t="s">
        <v>11565</v>
      </c>
      <c r="C8703" s="2349" t="s">
        <v>11565</v>
      </c>
      <c r="D8703" s="2349" t="s">
        <v>12071</v>
      </c>
      <c r="E8703" s="2350">
        <v>63</v>
      </c>
      <c r="F8703" s="2350">
        <v>31</v>
      </c>
    </row>
    <row r="8704" spans="1:6" ht="15" customHeight="1" x14ac:dyDescent="0.25">
      <c r="A8704" s="2349" t="s">
        <v>19486</v>
      </c>
      <c r="B8704" s="2349" t="s">
        <v>11565</v>
      </c>
      <c r="C8704" s="2349" t="s">
        <v>11565</v>
      </c>
      <c r="D8704" s="2349" t="s">
        <v>12072</v>
      </c>
      <c r="E8704" s="2350">
        <v>50</v>
      </c>
      <c r="F8704" s="2350">
        <v>12</v>
      </c>
    </row>
    <row r="8705" spans="1:6" ht="15" customHeight="1" x14ac:dyDescent="0.25">
      <c r="A8705" s="2349" t="s">
        <v>19487</v>
      </c>
      <c r="B8705" s="2349" t="s">
        <v>11565</v>
      </c>
      <c r="C8705" s="2349" t="s">
        <v>11565</v>
      </c>
      <c r="D8705" s="2349" t="s">
        <v>12073</v>
      </c>
      <c r="E8705" s="2350">
        <v>30</v>
      </c>
      <c r="F8705" s="2350">
        <v>18</v>
      </c>
    </row>
    <row r="8706" spans="1:6" ht="15" customHeight="1" x14ac:dyDescent="0.25">
      <c r="A8706" s="2349" t="s">
        <v>19488</v>
      </c>
      <c r="B8706" s="2349" t="s">
        <v>11565</v>
      </c>
      <c r="C8706" s="2349" t="s">
        <v>11565</v>
      </c>
      <c r="D8706" s="2349" t="s">
        <v>12074</v>
      </c>
      <c r="E8706" s="2350">
        <v>63</v>
      </c>
      <c r="F8706" s="2350">
        <v>38</v>
      </c>
    </row>
    <row r="8707" spans="1:6" ht="15" customHeight="1" x14ac:dyDescent="0.25">
      <c r="A8707" s="2349" t="s">
        <v>12075</v>
      </c>
      <c r="B8707" s="2349" t="s">
        <v>11565</v>
      </c>
      <c r="C8707" s="2349" t="s">
        <v>11565</v>
      </c>
      <c r="D8707" s="2349" t="s">
        <v>12076</v>
      </c>
      <c r="E8707" s="2350">
        <v>30</v>
      </c>
      <c r="F8707" s="2350">
        <v>25</v>
      </c>
    </row>
    <row r="8708" spans="1:6" ht="15" customHeight="1" x14ac:dyDescent="0.25">
      <c r="A8708" s="2349" t="s">
        <v>19489</v>
      </c>
      <c r="B8708" s="2349" t="s">
        <v>11565</v>
      </c>
      <c r="C8708" s="2349" t="s">
        <v>11565</v>
      </c>
      <c r="D8708" s="2349" t="s">
        <v>12077</v>
      </c>
      <c r="E8708" s="2350">
        <v>40</v>
      </c>
      <c r="F8708" s="2350">
        <v>24</v>
      </c>
    </row>
    <row r="8709" spans="1:6" ht="15" customHeight="1" x14ac:dyDescent="0.25">
      <c r="A8709" s="2349" t="s">
        <v>6575</v>
      </c>
      <c r="B8709" s="2349" t="s">
        <v>11565</v>
      </c>
      <c r="C8709" s="2349" t="s">
        <v>11565</v>
      </c>
      <c r="D8709" s="2349" t="s">
        <v>12078</v>
      </c>
      <c r="E8709" s="2350">
        <v>100</v>
      </c>
      <c r="F8709" s="2350">
        <v>23</v>
      </c>
    </row>
    <row r="8710" spans="1:6" ht="15" customHeight="1" x14ac:dyDescent="0.25">
      <c r="A8710" s="2349" t="s">
        <v>18036</v>
      </c>
      <c r="B8710" s="2349" t="s">
        <v>11565</v>
      </c>
      <c r="C8710" s="2349" t="s">
        <v>11565</v>
      </c>
      <c r="D8710" s="2349" t="s">
        <v>12079</v>
      </c>
      <c r="E8710" s="2350">
        <v>100</v>
      </c>
      <c r="F8710" s="2350">
        <v>61</v>
      </c>
    </row>
    <row r="8711" spans="1:6" ht="15" customHeight="1" x14ac:dyDescent="0.25">
      <c r="A8711" s="2349" t="s">
        <v>18036</v>
      </c>
      <c r="B8711" s="2349" t="s">
        <v>11565</v>
      </c>
      <c r="C8711" s="2349" t="s">
        <v>11565</v>
      </c>
      <c r="D8711" s="2349" t="s">
        <v>12080</v>
      </c>
      <c r="E8711" s="2350">
        <v>63</v>
      </c>
      <c r="F8711" s="2350">
        <v>45</v>
      </c>
    </row>
    <row r="8712" spans="1:6" ht="15" customHeight="1" x14ac:dyDescent="0.25">
      <c r="A8712" s="2349" t="s">
        <v>19490</v>
      </c>
      <c r="B8712" s="2349" t="s">
        <v>11565</v>
      </c>
      <c r="C8712" s="2349" t="s">
        <v>11565</v>
      </c>
      <c r="D8712" s="2349" t="s">
        <v>12081</v>
      </c>
      <c r="E8712" s="2350">
        <v>60</v>
      </c>
      <c r="F8712" s="2350">
        <v>32</v>
      </c>
    </row>
    <row r="8713" spans="1:6" ht="15" customHeight="1" x14ac:dyDescent="0.25">
      <c r="A8713" s="2349" t="s">
        <v>19491</v>
      </c>
      <c r="B8713" s="2349" t="s">
        <v>11565</v>
      </c>
      <c r="C8713" s="2349" t="s">
        <v>11565</v>
      </c>
      <c r="D8713" s="2349" t="s">
        <v>12082</v>
      </c>
      <c r="E8713" s="2350">
        <v>160</v>
      </c>
      <c r="F8713" s="2350">
        <v>58</v>
      </c>
    </row>
    <row r="8714" spans="1:6" ht="15" customHeight="1" x14ac:dyDescent="0.25">
      <c r="A8714" s="2349" t="s">
        <v>8644</v>
      </c>
      <c r="B8714" s="2349" t="s">
        <v>11565</v>
      </c>
      <c r="C8714" s="2349" t="s">
        <v>11565</v>
      </c>
      <c r="D8714" s="2349" t="s">
        <v>12083</v>
      </c>
      <c r="E8714" s="2350">
        <v>400</v>
      </c>
      <c r="F8714" s="2350">
        <v>380</v>
      </c>
    </row>
    <row r="8715" spans="1:6" ht="15" customHeight="1" x14ac:dyDescent="0.25">
      <c r="A8715" s="2349" t="s">
        <v>4421</v>
      </c>
      <c r="B8715" s="2349" t="s">
        <v>11565</v>
      </c>
      <c r="C8715" s="2349" t="s">
        <v>11565</v>
      </c>
      <c r="D8715" s="2349" t="s">
        <v>12084</v>
      </c>
      <c r="E8715" s="2350">
        <v>30</v>
      </c>
      <c r="F8715" s="2350">
        <v>18</v>
      </c>
    </row>
    <row r="8716" spans="1:6" ht="15" customHeight="1" x14ac:dyDescent="0.25">
      <c r="A8716" s="2349" t="s">
        <v>6483</v>
      </c>
      <c r="B8716" s="2349" t="s">
        <v>11565</v>
      </c>
      <c r="C8716" s="2349" t="s">
        <v>11565</v>
      </c>
      <c r="D8716" s="2349" t="s">
        <v>12085</v>
      </c>
      <c r="E8716" s="2350">
        <v>60</v>
      </c>
      <c r="F8716" s="2350">
        <v>58</v>
      </c>
    </row>
    <row r="8717" spans="1:6" ht="15" customHeight="1" x14ac:dyDescent="0.25">
      <c r="A8717" s="2349" t="s">
        <v>12086</v>
      </c>
      <c r="B8717" s="2349" t="s">
        <v>11565</v>
      </c>
      <c r="C8717" s="2349" t="s">
        <v>11565</v>
      </c>
      <c r="D8717" s="2349" t="s">
        <v>12087</v>
      </c>
      <c r="E8717" s="2350">
        <v>50</v>
      </c>
      <c r="F8717" s="2350">
        <v>26</v>
      </c>
    </row>
    <row r="8718" spans="1:6" ht="15" customHeight="1" x14ac:dyDescent="0.25">
      <c r="A8718" s="2349" t="s">
        <v>12088</v>
      </c>
      <c r="B8718" s="2349" t="s">
        <v>11565</v>
      </c>
      <c r="C8718" s="2349" t="s">
        <v>11565</v>
      </c>
      <c r="D8718" s="2349" t="s">
        <v>12089</v>
      </c>
      <c r="E8718" s="2350">
        <v>50</v>
      </c>
      <c r="F8718" s="2350">
        <v>22</v>
      </c>
    </row>
    <row r="8719" spans="1:6" ht="15" customHeight="1" x14ac:dyDescent="0.25">
      <c r="A8719" s="2349" t="s">
        <v>12090</v>
      </c>
      <c r="B8719" s="2349" t="s">
        <v>11565</v>
      </c>
      <c r="C8719" s="2349" t="s">
        <v>11565</v>
      </c>
      <c r="D8719" s="2349" t="s">
        <v>12091</v>
      </c>
      <c r="E8719" s="2350">
        <v>60</v>
      </c>
      <c r="F8719" s="2350">
        <v>38</v>
      </c>
    </row>
    <row r="8720" spans="1:6" ht="15" customHeight="1" x14ac:dyDescent="0.25">
      <c r="A8720" s="2349" t="s">
        <v>9074</v>
      </c>
      <c r="B8720" s="2349" t="s">
        <v>11565</v>
      </c>
      <c r="C8720" s="2349" t="s">
        <v>11565</v>
      </c>
      <c r="D8720" s="2349" t="s">
        <v>12092</v>
      </c>
      <c r="E8720" s="2350">
        <v>60</v>
      </c>
      <c r="F8720" s="2350">
        <v>42</v>
      </c>
    </row>
    <row r="8721" spans="1:6" ht="15" customHeight="1" x14ac:dyDescent="0.25">
      <c r="A8721" s="2349" t="s">
        <v>12093</v>
      </c>
      <c r="B8721" s="2349" t="s">
        <v>11565</v>
      </c>
      <c r="C8721" s="2349" t="s">
        <v>11565</v>
      </c>
      <c r="D8721" s="2349" t="s">
        <v>12094</v>
      </c>
      <c r="E8721" s="2350">
        <v>63</v>
      </c>
      <c r="F8721" s="2350">
        <v>15</v>
      </c>
    </row>
    <row r="8722" spans="1:6" ht="15" customHeight="1" x14ac:dyDescent="0.25">
      <c r="A8722" s="2349"/>
      <c r="B8722" s="2349" t="s">
        <v>11565</v>
      </c>
      <c r="C8722" s="2349" t="s">
        <v>11565</v>
      </c>
      <c r="D8722" s="2349" t="s">
        <v>12095</v>
      </c>
      <c r="E8722" s="2350">
        <v>250</v>
      </c>
      <c r="F8722" s="2350">
        <v>122</v>
      </c>
    </row>
    <row r="8723" spans="1:6" ht="15" customHeight="1" x14ac:dyDescent="0.25">
      <c r="A8723" s="2349"/>
      <c r="B8723" s="2349" t="s">
        <v>11565</v>
      </c>
      <c r="C8723" s="2349" t="s">
        <v>11565</v>
      </c>
      <c r="D8723" s="2349" t="s">
        <v>12096</v>
      </c>
      <c r="E8723" s="2350">
        <v>250</v>
      </c>
      <c r="F8723" s="2350">
        <v>171</v>
      </c>
    </row>
    <row r="8724" spans="1:6" ht="15" customHeight="1" x14ac:dyDescent="0.25">
      <c r="A8724" s="2349" t="s">
        <v>4904</v>
      </c>
      <c r="B8724" s="2349" t="s">
        <v>11565</v>
      </c>
      <c r="C8724" s="2349" t="s">
        <v>11565</v>
      </c>
      <c r="D8724" s="2349" t="s">
        <v>12097</v>
      </c>
      <c r="E8724" s="2350">
        <v>30</v>
      </c>
      <c r="F8724" s="2350">
        <v>19</v>
      </c>
    </row>
    <row r="8725" spans="1:6" ht="15" customHeight="1" x14ac:dyDescent="0.25">
      <c r="A8725" s="2349" t="s">
        <v>19492</v>
      </c>
      <c r="B8725" s="2349" t="s">
        <v>11565</v>
      </c>
      <c r="C8725" s="2349" t="s">
        <v>11565</v>
      </c>
      <c r="D8725" s="2349" t="s">
        <v>12098</v>
      </c>
      <c r="E8725" s="2350">
        <v>100</v>
      </c>
      <c r="F8725" s="2350">
        <v>54</v>
      </c>
    </row>
    <row r="8726" spans="1:6" ht="15" customHeight="1" x14ac:dyDescent="0.25">
      <c r="A8726" s="2349" t="s">
        <v>3851</v>
      </c>
      <c r="B8726" s="2349" t="s">
        <v>11565</v>
      </c>
      <c r="C8726" s="2349" t="s">
        <v>11565</v>
      </c>
      <c r="D8726" s="2349" t="s">
        <v>12099</v>
      </c>
      <c r="E8726" s="2350">
        <v>63</v>
      </c>
      <c r="F8726" s="2350">
        <v>28</v>
      </c>
    </row>
    <row r="8727" spans="1:6" ht="15" customHeight="1" x14ac:dyDescent="0.25">
      <c r="A8727" s="2349" t="s">
        <v>12100</v>
      </c>
      <c r="B8727" s="2349" t="s">
        <v>11565</v>
      </c>
      <c r="C8727" s="2349" t="s">
        <v>11565</v>
      </c>
      <c r="D8727" s="2349" t="s">
        <v>12101</v>
      </c>
      <c r="E8727" s="2350">
        <v>60</v>
      </c>
      <c r="F8727" s="2350">
        <v>22</v>
      </c>
    </row>
    <row r="8728" spans="1:6" ht="15" customHeight="1" x14ac:dyDescent="0.25">
      <c r="A8728" s="2349" t="s">
        <v>12102</v>
      </c>
      <c r="B8728" s="2349" t="s">
        <v>11565</v>
      </c>
      <c r="C8728" s="2349" t="s">
        <v>11565</v>
      </c>
      <c r="D8728" s="2349" t="s">
        <v>12103</v>
      </c>
      <c r="E8728" s="2350">
        <v>160</v>
      </c>
      <c r="F8728" s="2350">
        <v>68</v>
      </c>
    </row>
    <row r="8729" spans="1:6" ht="15" customHeight="1" x14ac:dyDescent="0.25">
      <c r="A8729" s="2349" t="s">
        <v>12104</v>
      </c>
      <c r="B8729" s="2349" t="s">
        <v>11565</v>
      </c>
      <c r="C8729" s="2349" t="s">
        <v>11565</v>
      </c>
      <c r="D8729" s="2349" t="s">
        <v>12105</v>
      </c>
      <c r="E8729" s="2350">
        <v>50</v>
      </c>
      <c r="F8729" s="2350">
        <v>48</v>
      </c>
    </row>
    <row r="8730" spans="1:6" ht="15" customHeight="1" x14ac:dyDescent="0.25">
      <c r="A8730" s="2349" t="s">
        <v>19493</v>
      </c>
      <c r="B8730" s="2349" t="s">
        <v>11565</v>
      </c>
      <c r="C8730" s="2349" t="s">
        <v>11565</v>
      </c>
      <c r="D8730" s="2349" t="s">
        <v>12106</v>
      </c>
      <c r="E8730" s="2350">
        <v>30</v>
      </c>
      <c r="F8730" s="2350">
        <v>22</v>
      </c>
    </row>
    <row r="8731" spans="1:6" ht="15" customHeight="1" x14ac:dyDescent="0.25">
      <c r="A8731" s="2349" t="s">
        <v>12107</v>
      </c>
      <c r="B8731" s="2349" t="s">
        <v>11565</v>
      </c>
      <c r="C8731" s="2349" t="s">
        <v>11565</v>
      </c>
      <c r="D8731" s="2349" t="s">
        <v>12108</v>
      </c>
      <c r="E8731" s="2350">
        <v>50</v>
      </c>
      <c r="F8731" s="2350">
        <v>32</v>
      </c>
    </row>
    <row r="8732" spans="1:6" ht="15" customHeight="1" x14ac:dyDescent="0.25">
      <c r="A8732" s="2349" t="s">
        <v>12109</v>
      </c>
      <c r="B8732" s="2349" t="s">
        <v>11565</v>
      </c>
      <c r="C8732" s="2349" t="s">
        <v>11565</v>
      </c>
      <c r="D8732" s="2349" t="s">
        <v>12110</v>
      </c>
      <c r="E8732" s="2350">
        <v>60</v>
      </c>
      <c r="F8732" s="2350">
        <v>42</v>
      </c>
    </row>
    <row r="8733" spans="1:6" ht="15" customHeight="1" x14ac:dyDescent="0.25">
      <c r="A8733" s="2349" t="s">
        <v>12102</v>
      </c>
      <c r="B8733" s="2349" t="s">
        <v>11565</v>
      </c>
      <c r="C8733" s="2349" t="s">
        <v>11565</v>
      </c>
      <c r="D8733" s="2349" t="s">
        <v>12111</v>
      </c>
      <c r="E8733" s="2350">
        <v>400</v>
      </c>
      <c r="F8733" s="2350">
        <v>310</v>
      </c>
    </row>
    <row r="8734" spans="1:6" ht="15" customHeight="1" x14ac:dyDescent="0.25">
      <c r="A8734" s="2349" t="s">
        <v>19494</v>
      </c>
      <c r="B8734" s="2349" t="s">
        <v>11565</v>
      </c>
      <c r="C8734" s="2349" t="s">
        <v>11565</v>
      </c>
      <c r="D8734" s="2349" t="s">
        <v>12112</v>
      </c>
      <c r="E8734" s="2350">
        <v>63</v>
      </c>
      <c r="F8734" s="2350">
        <v>11</v>
      </c>
    </row>
    <row r="8735" spans="1:6" ht="15" customHeight="1" x14ac:dyDescent="0.25">
      <c r="A8735" s="2349" t="s">
        <v>12113</v>
      </c>
      <c r="B8735" s="2349" t="s">
        <v>11565</v>
      </c>
      <c r="C8735" s="2349" t="s">
        <v>11565</v>
      </c>
      <c r="D8735" s="2349" t="s">
        <v>12114</v>
      </c>
      <c r="E8735" s="2350">
        <v>60</v>
      </c>
      <c r="F8735" s="2350">
        <v>39</v>
      </c>
    </row>
    <row r="8736" spans="1:6" ht="15" customHeight="1" x14ac:dyDescent="0.25">
      <c r="A8736" s="2349" t="s">
        <v>19495</v>
      </c>
      <c r="B8736" s="2349" t="s">
        <v>11565</v>
      </c>
      <c r="C8736" s="2349" t="s">
        <v>11565</v>
      </c>
      <c r="D8736" s="2349" t="s">
        <v>12115</v>
      </c>
      <c r="E8736" s="2350">
        <v>100</v>
      </c>
      <c r="F8736" s="2350">
        <v>45</v>
      </c>
    </row>
    <row r="8737" spans="1:6" ht="15" customHeight="1" x14ac:dyDescent="0.25">
      <c r="A8737" s="2349"/>
      <c r="B8737" s="2349" t="s">
        <v>11565</v>
      </c>
      <c r="C8737" s="2349" t="s">
        <v>11565</v>
      </c>
      <c r="D8737" s="2349" t="s">
        <v>12116</v>
      </c>
      <c r="E8737" s="2350">
        <v>100</v>
      </c>
      <c r="F8737" s="2350">
        <v>54</v>
      </c>
    </row>
    <row r="8738" spans="1:6" ht="15" customHeight="1" x14ac:dyDescent="0.25">
      <c r="A8738" s="2349" t="s">
        <v>12117</v>
      </c>
      <c r="B8738" s="2349" t="s">
        <v>11565</v>
      </c>
      <c r="C8738" s="2349" t="s">
        <v>11565</v>
      </c>
      <c r="D8738" s="2349" t="s">
        <v>12118</v>
      </c>
      <c r="E8738" s="2350">
        <v>60</v>
      </c>
      <c r="F8738" s="2350">
        <v>35</v>
      </c>
    </row>
    <row r="8739" spans="1:6" ht="15" customHeight="1" x14ac:dyDescent="0.25">
      <c r="A8739" s="2349" t="s">
        <v>19496</v>
      </c>
      <c r="B8739" s="2349" t="s">
        <v>11565</v>
      </c>
      <c r="C8739" s="2349" t="s">
        <v>11565</v>
      </c>
      <c r="D8739" s="2349" t="s">
        <v>12119</v>
      </c>
      <c r="E8739" s="2350">
        <v>60</v>
      </c>
      <c r="F8739" s="2350">
        <v>42</v>
      </c>
    </row>
    <row r="8740" spans="1:6" ht="15" customHeight="1" x14ac:dyDescent="0.25">
      <c r="A8740" s="2349" t="s">
        <v>19497</v>
      </c>
      <c r="B8740" s="2349" t="s">
        <v>11565</v>
      </c>
      <c r="C8740" s="2349" t="s">
        <v>11565</v>
      </c>
      <c r="D8740" s="2349" t="s">
        <v>12120</v>
      </c>
      <c r="E8740" s="2350">
        <v>100</v>
      </c>
      <c r="F8740" s="2350">
        <v>81</v>
      </c>
    </row>
    <row r="8741" spans="1:6" ht="15" customHeight="1" x14ac:dyDescent="0.25">
      <c r="A8741" s="2349" t="s">
        <v>7788</v>
      </c>
      <c r="B8741" s="2349" t="s">
        <v>11565</v>
      </c>
      <c r="C8741" s="2349" t="s">
        <v>11565</v>
      </c>
      <c r="D8741" s="2349" t="s">
        <v>12121</v>
      </c>
      <c r="E8741" s="2350">
        <v>100</v>
      </c>
      <c r="F8741" s="2350">
        <v>57</v>
      </c>
    </row>
    <row r="8742" spans="1:6" ht="15" customHeight="1" x14ac:dyDescent="0.25">
      <c r="A8742" s="2349" t="s">
        <v>19498</v>
      </c>
      <c r="B8742" s="2349" t="s">
        <v>11565</v>
      </c>
      <c r="C8742" s="2349" t="s">
        <v>11565</v>
      </c>
      <c r="D8742" s="2349" t="s">
        <v>12122</v>
      </c>
      <c r="E8742" s="2350">
        <v>100</v>
      </c>
      <c r="F8742" s="2350">
        <v>39.1</v>
      </c>
    </row>
    <row r="8743" spans="1:6" ht="15" customHeight="1" x14ac:dyDescent="0.25">
      <c r="A8743" s="2349"/>
      <c r="B8743" s="2349" t="s">
        <v>11565</v>
      </c>
      <c r="C8743" s="2349" t="s">
        <v>11565</v>
      </c>
      <c r="D8743" s="2349" t="s">
        <v>12123</v>
      </c>
      <c r="E8743" s="2350">
        <v>100</v>
      </c>
      <c r="F8743" s="2350">
        <v>81</v>
      </c>
    </row>
    <row r="8744" spans="1:6" ht="15" customHeight="1" x14ac:dyDescent="0.25">
      <c r="A8744" s="2349" t="s">
        <v>19499</v>
      </c>
      <c r="B8744" s="2349" t="s">
        <v>11565</v>
      </c>
      <c r="C8744" s="2349" t="s">
        <v>11565</v>
      </c>
      <c r="D8744" s="2349" t="s">
        <v>12124</v>
      </c>
      <c r="E8744" s="2350">
        <v>60</v>
      </c>
      <c r="F8744" s="2350">
        <v>42</v>
      </c>
    </row>
    <row r="8745" spans="1:6" ht="15" customHeight="1" x14ac:dyDescent="0.25">
      <c r="A8745" s="2349" t="s">
        <v>19500</v>
      </c>
      <c r="B8745" s="2349" t="s">
        <v>11565</v>
      </c>
      <c r="C8745" s="2349" t="s">
        <v>11565</v>
      </c>
      <c r="D8745" s="2349" t="s">
        <v>12125</v>
      </c>
      <c r="E8745" s="2350">
        <v>100</v>
      </c>
      <c r="F8745" s="2350">
        <v>41</v>
      </c>
    </row>
    <row r="8746" spans="1:6" ht="15" customHeight="1" x14ac:dyDescent="0.25">
      <c r="A8746" s="2349" t="s">
        <v>8044</v>
      </c>
      <c r="B8746" s="2349" t="s">
        <v>11565</v>
      </c>
      <c r="C8746" s="2349" t="s">
        <v>11565</v>
      </c>
      <c r="D8746" s="2349" t="s">
        <v>12126</v>
      </c>
      <c r="E8746" s="2350">
        <v>160</v>
      </c>
      <c r="F8746" s="2350">
        <v>112</v>
      </c>
    </row>
    <row r="8747" spans="1:6" ht="15" customHeight="1" x14ac:dyDescent="0.25">
      <c r="A8747" s="2349" t="s">
        <v>19501</v>
      </c>
      <c r="B8747" s="2349" t="s">
        <v>11565</v>
      </c>
      <c r="C8747" s="2349" t="s">
        <v>11565</v>
      </c>
      <c r="D8747" s="2349" t="s">
        <v>12127</v>
      </c>
      <c r="E8747" s="2350">
        <v>30</v>
      </c>
      <c r="F8747" s="2350">
        <v>15</v>
      </c>
    </row>
    <row r="8748" spans="1:6" ht="15" customHeight="1" x14ac:dyDescent="0.25">
      <c r="A8748" s="2349" t="s">
        <v>12128</v>
      </c>
      <c r="B8748" s="2349" t="s">
        <v>11565</v>
      </c>
      <c r="C8748" s="2349" t="s">
        <v>11565</v>
      </c>
      <c r="D8748" s="2349" t="s">
        <v>12129</v>
      </c>
      <c r="E8748" s="2350">
        <v>50</v>
      </c>
      <c r="F8748" s="2350">
        <v>38</v>
      </c>
    </row>
    <row r="8749" spans="1:6" ht="15" customHeight="1" x14ac:dyDescent="0.25">
      <c r="A8749" s="2349" t="s">
        <v>12130</v>
      </c>
      <c r="B8749" s="2349" t="s">
        <v>11565</v>
      </c>
      <c r="C8749" s="2349" t="s">
        <v>11565</v>
      </c>
      <c r="D8749" s="2349" t="s">
        <v>12131</v>
      </c>
      <c r="E8749" s="2350">
        <v>100</v>
      </c>
      <c r="F8749" s="2350">
        <v>72</v>
      </c>
    </row>
    <row r="8750" spans="1:6" ht="15" customHeight="1" x14ac:dyDescent="0.25">
      <c r="A8750" s="2349" t="s">
        <v>12130</v>
      </c>
      <c r="B8750" s="2349" t="s">
        <v>11565</v>
      </c>
      <c r="C8750" s="2349" t="s">
        <v>11565</v>
      </c>
      <c r="D8750" s="2349" t="s">
        <v>12132</v>
      </c>
      <c r="E8750" s="2350">
        <v>160</v>
      </c>
      <c r="F8750" s="2350">
        <v>130</v>
      </c>
    </row>
    <row r="8751" spans="1:6" ht="15" customHeight="1" x14ac:dyDescent="0.25">
      <c r="A8751" s="2349" t="s">
        <v>12133</v>
      </c>
      <c r="B8751" s="2349" t="s">
        <v>11565</v>
      </c>
      <c r="C8751" s="2349" t="s">
        <v>11565</v>
      </c>
      <c r="D8751" s="2349" t="s">
        <v>12134</v>
      </c>
      <c r="E8751" s="2350">
        <v>100</v>
      </c>
      <c r="F8751" s="2350">
        <v>72</v>
      </c>
    </row>
    <row r="8752" spans="1:6" ht="15" customHeight="1" x14ac:dyDescent="0.25">
      <c r="A8752" s="2349" t="s">
        <v>19502</v>
      </c>
      <c r="B8752" s="2349" t="s">
        <v>11565</v>
      </c>
      <c r="C8752" s="2349" t="s">
        <v>11565</v>
      </c>
      <c r="D8752" s="2349" t="s">
        <v>12135</v>
      </c>
      <c r="E8752" s="2350">
        <v>100</v>
      </c>
      <c r="F8752" s="2350">
        <v>70</v>
      </c>
    </row>
    <row r="8753" spans="1:6" ht="15" customHeight="1" x14ac:dyDescent="0.25">
      <c r="A8753" s="2349" t="s">
        <v>19503</v>
      </c>
      <c r="B8753" s="2349" t="s">
        <v>11565</v>
      </c>
      <c r="C8753" s="2349" t="s">
        <v>11565</v>
      </c>
      <c r="D8753" s="2349" t="s">
        <v>12136</v>
      </c>
      <c r="E8753" s="2350">
        <v>20</v>
      </c>
      <c r="F8753" s="2350">
        <v>16</v>
      </c>
    </row>
    <row r="8754" spans="1:6" ht="15" customHeight="1" x14ac:dyDescent="0.25">
      <c r="A8754" s="2349" t="s">
        <v>12137</v>
      </c>
      <c r="B8754" s="2349" t="s">
        <v>11565</v>
      </c>
      <c r="C8754" s="2349" t="s">
        <v>11565</v>
      </c>
      <c r="D8754" s="2349" t="s">
        <v>12138</v>
      </c>
      <c r="E8754" s="2350">
        <v>30</v>
      </c>
      <c r="F8754" s="2350">
        <v>21</v>
      </c>
    </row>
    <row r="8755" spans="1:6" ht="15" customHeight="1" x14ac:dyDescent="0.25">
      <c r="A8755" s="2349" t="s">
        <v>19409</v>
      </c>
      <c r="B8755" s="2349" t="s">
        <v>11565</v>
      </c>
      <c r="C8755" s="2349" t="s">
        <v>11565</v>
      </c>
      <c r="D8755" s="2349" t="s">
        <v>12139</v>
      </c>
      <c r="E8755" s="2350">
        <v>100</v>
      </c>
      <c r="F8755" s="2350">
        <v>83</v>
      </c>
    </row>
    <row r="8756" spans="1:6" ht="15" customHeight="1" x14ac:dyDescent="0.25">
      <c r="A8756" s="2349" t="s">
        <v>12140</v>
      </c>
      <c r="B8756" s="2349" t="s">
        <v>11565</v>
      </c>
      <c r="C8756" s="2349" t="s">
        <v>11565</v>
      </c>
      <c r="D8756" s="2349" t="s">
        <v>12141</v>
      </c>
      <c r="E8756" s="2350">
        <v>60</v>
      </c>
      <c r="F8756" s="2350">
        <v>30</v>
      </c>
    </row>
    <row r="8757" spans="1:6" ht="15" customHeight="1" x14ac:dyDescent="0.25">
      <c r="A8757" s="2349" t="s">
        <v>19504</v>
      </c>
      <c r="B8757" s="2349" t="s">
        <v>11565</v>
      </c>
      <c r="C8757" s="2349" t="s">
        <v>11565</v>
      </c>
      <c r="D8757" s="2349" t="s">
        <v>12142</v>
      </c>
      <c r="E8757" s="2350"/>
      <c r="F8757" s="2350">
        <v>0</v>
      </c>
    </row>
    <row r="8758" spans="1:6" ht="15" customHeight="1" x14ac:dyDescent="0.25">
      <c r="A8758" s="2349" t="s">
        <v>12143</v>
      </c>
      <c r="B8758" s="2349" t="s">
        <v>11565</v>
      </c>
      <c r="C8758" s="2349" t="s">
        <v>11565</v>
      </c>
      <c r="D8758" s="2349" t="s">
        <v>12144</v>
      </c>
      <c r="E8758" s="2350">
        <v>100</v>
      </c>
      <c r="F8758" s="2350">
        <v>60</v>
      </c>
    </row>
    <row r="8759" spans="1:6" ht="15" customHeight="1" x14ac:dyDescent="0.25">
      <c r="A8759" s="2349" t="s">
        <v>10656</v>
      </c>
      <c r="B8759" s="2349" t="s">
        <v>11565</v>
      </c>
      <c r="C8759" s="2349" t="s">
        <v>11565</v>
      </c>
      <c r="D8759" s="2349" t="s">
        <v>12145</v>
      </c>
      <c r="E8759" s="2350">
        <v>40</v>
      </c>
      <c r="F8759" s="2350">
        <v>12</v>
      </c>
    </row>
    <row r="8760" spans="1:6" ht="15" customHeight="1" x14ac:dyDescent="0.25">
      <c r="A8760" s="2349" t="s">
        <v>12146</v>
      </c>
      <c r="B8760" s="2349" t="s">
        <v>11565</v>
      </c>
      <c r="C8760" s="2349" t="s">
        <v>11565</v>
      </c>
      <c r="D8760" s="2349" t="s">
        <v>12147</v>
      </c>
      <c r="E8760" s="2350">
        <v>100</v>
      </c>
      <c r="F8760" s="2350">
        <v>78</v>
      </c>
    </row>
    <row r="8761" spans="1:6" ht="15" customHeight="1" x14ac:dyDescent="0.25">
      <c r="A8761" s="2349" t="s">
        <v>11927</v>
      </c>
      <c r="B8761" s="2349" t="s">
        <v>11565</v>
      </c>
      <c r="C8761" s="2349" t="s">
        <v>11565</v>
      </c>
      <c r="D8761" s="2349" t="s">
        <v>12148</v>
      </c>
      <c r="E8761" s="2350" t="s">
        <v>4202</v>
      </c>
      <c r="F8761" s="2350">
        <v>410</v>
      </c>
    </row>
    <row r="8762" spans="1:6" ht="15" customHeight="1" x14ac:dyDescent="0.25">
      <c r="A8762" s="2349"/>
      <c r="B8762" s="2349" t="s">
        <v>11565</v>
      </c>
      <c r="C8762" s="2349" t="s">
        <v>11565</v>
      </c>
      <c r="D8762" s="2349" t="s">
        <v>12149</v>
      </c>
      <c r="E8762" s="2350">
        <v>100</v>
      </c>
      <c r="F8762" s="2350">
        <v>75</v>
      </c>
    </row>
    <row r="8763" spans="1:6" ht="15" customHeight="1" x14ac:dyDescent="0.25">
      <c r="A8763" s="2349" t="s">
        <v>12150</v>
      </c>
      <c r="B8763" s="2349" t="s">
        <v>11565</v>
      </c>
      <c r="C8763" s="2349" t="s">
        <v>11565</v>
      </c>
      <c r="D8763" s="2349" t="s">
        <v>12151</v>
      </c>
      <c r="E8763" s="2350">
        <v>30</v>
      </c>
      <c r="F8763" s="2350">
        <v>18</v>
      </c>
    </row>
    <row r="8764" spans="1:6" ht="15" customHeight="1" x14ac:dyDescent="0.25">
      <c r="A8764" s="2349" t="s">
        <v>12152</v>
      </c>
      <c r="B8764" s="2349" t="s">
        <v>11565</v>
      </c>
      <c r="C8764" s="2349" t="s">
        <v>11565</v>
      </c>
      <c r="D8764" s="2349" t="s">
        <v>12153</v>
      </c>
      <c r="E8764" s="2350">
        <v>30</v>
      </c>
      <c r="F8764" s="2350">
        <v>16</v>
      </c>
    </row>
    <row r="8765" spans="1:6" ht="15" customHeight="1" x14ac:dyDescent="0.25">
      <c r="A8765" s="2349" t="s">
        <v>10790</v>
      </c>
      <c r="B8765" s="2349" t="s">
        <v>11565</v>
      </c>
      <c r="C8765" s="2349" t="s">
        <v>11565</v>
      </c>
      <c r="D8765" s="2349" t="s">
        <v>12154</v>
      </c>
      <c r="E8765" s="2350">
        <v>30</v>
      </c>
      <c r="F8765" s="2350">
        <v>26</v>
      </c>
    </row>
    <row r="8766" spans="1:6" ht="15" customHeight="1" x14ac:dyDescent="0.25">
      <c r="A8766" s="2349" t="s">
        <v>12155</v>
      </c>
      <c r="B8766" s="2349" t="s">
        <v>11565</v>
      </c>
      <c r="C8766" s="2349" t="s">
        <v>11565</v>
      </c>
      <c r="D8766" s="2349" t="s">
        <v>12156</v>
      </c>
      <c r="E8766" s="2350">
        <v>30</v>
      </c>
      <c r="F8766" s="2350">
        <v>12</v>
      </c>
    </row>
    <row r="8767" spans="1:6" ht="15" customHeight="1" x14ac:dyDescent="0.25">
      <c r="A8767" s="2349" t="s">
        <v>12157</v>
      </c>
      <c r="B8767" s="2349" t="s">
        <v>11565</v>
      </c>
      <c r="C8767" s="2349" t="s">
        <v>11565</v>
      </c>
      <c r="D8767" s="2349" t="s">
        <v>12158</v>
      </c>
      <c r="E8767" s="2350">
        <v>30</v>
      </c>
      <c r="F8767" s="2350">
        <v>15</v>
      </c>
    </row>
    <row r="8768" spans="1:6" ht="15" customHeight="1" x14ac:dyDescent="0.25">
      <c r="A8768" s="2349" t="s">
        <v>12159</v>
      </c>
      <c r="B8768" s="2349" t="s">
        <v>11565</v>
      </c>
      <c r="C8768" s="2349" t="s">
        <v>11565</v>
      </c>
      <c r="D8768" s="2349" t="s">
        <v>12160</v>
      </c>
      <c r="E8768" s="2350">
        <v>100</v>
      </c>
      <c r="F8768" s="2350">
        <v>80</v>
      </c>
    </row>
    <row r="8769" spans="1:6" ht="15" customHeight="1" x14ac:dyDescent="0.25">
      <c r="A8769" s="2349" t="s">
        <v>12161</v>
      </c>
      <c r="B8769" s="2349" t="s">
        <v>11565</v>
      </c>
      <c r="C8769" s="2349" t="s">
        <v>11565</v>
      </c>
      <c r="D8769" s="2349" t="s">
        <v>12162</v>
      </c>
      <c r="E8769" s="2350">
        <v>30</v>
      </c>
      <c r="F8769" s="2350">
        <v>14</v>
      </c>
    </row>
    <row r="8770" spans="1:6" ht="15" customHeight="1" x14ac:dyDescent="0.25">
      <c r="A8770" s="2349" t="s">
        <v>19505</v>
      </c>
      <c r="B8770" s="2349" t="s">
        <v>11565</v>
      </c>
      <c r="C8770" s="2349" t="s">
        <v>11565</v>
      </c>
      <c r="D8770" s="2349" t="s">
        <v>12163</v>
      </c>
      <c r="E8770" s="2350">
        <v>100</v>
      </c>
      <c r="F8770" s="2350">
        <v>60</v>
      </c>
    </row>
    <row r="8771" spans="1:6" ht="15" customHeight="1" x14ac:dyDescent="0.25">
      <c r="A8771" s="2349" t="s">
        <v>8161</v>
      </c>
      <c r="B8771" s="2349" t="s">
        <v>11565</v>
      </c>
      <c r="C8771" s="2349" t="s">
        <v>11565</v>
      </c>
      <c r="D8771" s="2349" t="s">
        <v>12164</v>
      </c>
      <c r="E8771" s="2350">
        <v>60</v>
      </c>
      <c r="F8771" s="2350">
        <v>51</v>
      </c>
    </row>
    <row r="8772" spans="1:6" ht="15" customHeight="1" x14ac:dyDescent="0.25">
      <c r="A8772" s="2349" t="s">
        <v>6703</v>
      </c>
      <c r="B8772" s="2349" t="s">
        <v>11565</v>
      </c>
      <c r="C8772" s="2349" t="s">
        <v>11565</v>
      </c>
      <c r="D8772" s="2349" t="s">
        <v>12165</v>
      </c>
      <c r="E8772" s="2350">
        <v>60</v>
      </c>
      <c r="F8772" s="2350">
        <v>42</v>
      </c>
    </row>
    <row r="8773" spans="1:6" ht="15" customHeight="1" x14ac:dyDescent="0.25">
      <c r="A8773" s="2349" t="s">
        <v>6703</v>
      </c>
      <c r="B8773" s="2349" t="s">
        <v>11565</v>
      </c>
      <c r="C8773" s="2349" t="s">
        <v>11565</v>
      </c>
      <c r="D8773" s="2349" t="s">
        <v>12166</v>
      </c>
      <c r="E8773" s="2350">
        <v>160</v>
      </c>
      <c r="F8773" s="2350">
        <v>140</v>
      </c>
    </row>
    <row r="8774" spans="1:6" ht="15" customHeight="1" x14ac:dyDescent="0.25">
      <c r="A8774" s="2349" t="s">
        <v>18737</v>
      </c>
      <c r="B8774" s="2349" t="s">
        <v>11565</v>
      </c>
      <c r="C8774" s="2349" t="s">
        <v>11565</v>
      </c>
      <c r="D8774" s="2349" t="s">
        <v>12167</v>
      </c>
      <c r="E8774" s="2350">
        <v>100</v>
      </c>
      <c r="F8774" s="2350">
        <v>80</v>
      </c>
    </row>
    <row r="8775" spans="1:6" ht="15" customHeight="1" x14ac:dyDescent="0.25">
      <c r="A8775" s="2349" t="s">
        <v>12168</v>
      </c>
      <c r="B8775" s="2349" t="s">
        <v>11565</v>
      </c>
      <c r="C8775" s="2349" t="s">
        <v>11565</v>
      </c>
      <c r="D8775" s="2349" t="s">
        <v>12169</v>
      </c>
      <c r="E8775" s="2350">
        <v>30</v>
      </c>
      <c r="F8775" s="2350">
        <v>10</v>
      </c>
    </row>
    <row r="8776" spans="1:6" ht="15" customHeight="1" x14ac:dyDescent="0.25">
      <c r="A8776" s="2349" t="s">
        <v>12170</v>
      </c>
      <c r="B8776" s="2349" t="s">
        <v>11565</v>
      </c>
      <c r="C8776" s="2349" t="s">
        <v>11565</v>
      </c>
      <c r="D8776" s="2349" t="s">
        <v>12171</v>
      </c>
      <c r="E8776" s="2350">
        <v>100</v>
      </c>
      <c r="F8776" s="2350">
        <v>72</v>
      </c>
    </row>
    <row r="8777" spans="1:6" ht="15" customHeight="1" x14ac:dyDescent="0.25">
      <c r="A8777" s="2349" t="s">
        <v>19506</v>
      </c>
      <c r="B8777" s="2349" t="s">
        <v>11565</v>
      </c>
      <c r="C8777" s="2349" t="s">
        <v>11565</v>
      </c>
      <c r="D8777" s="2349" t="s">
        <v>12172</v>
      </c>
      <c r="E8777" s="2350">
        <v>63</v>
      </c>
      <c r="F8777" s="2350">
        <v>35</v>
      </c>
    </row>
    <row r="8778" spans="1:6" ht="15" customHeight="1" x14ac:dyDescent="0.25">
      <c r="A8778" s="2349" t="s">
        <v>19507</v>
      </c>
      <c r="B8778" s="2349" t="s">
        <v>11565</v>
      </c>
      <c r="C8778" s="2349" t="s">
        <v>11565</v>
      </c>
      <c r="D8778" s="2349" t="s">
        <v>12173</v>
      </c>
      <c r="E8778" s="2350">
        <v>30</v>
      </c>
      <c r="F8778" s="2350">
        <v>15</v>
      </c>
    </row>
    <row r="8779" spans="1:6" ht="15" customHeight="1" x14ac:dyDescent="0.25">
      <c r="A8779" s="2349" t="s">
        <v>19508</v>
      </c>
      <c r="B8779" s="2349" t="s">
        <v>11565</v>
      </c>
      <c r="C8779" s="2349" t="s">
        <v>11565</v>
      </c>
      <c r="D8779" s="2349" t="s">
        <v>12174</v>
      </c>
      <c r="E8779" s="2350">
        <v>60</v>
      </c>
      <c r="F8779" s="2350">
        <v>44</v>
      </c>
    </row>
    <row r="8780" spans="1:6" ht="15" customHeight="1" x14ac:dyDescent="0.25">
      <c r="A8780" s="2349" t="s">
        <v>19505</v>
      </c>
      <c r="B8780" s="2349" t="s">
        <v>11565</v>
      </c>
      <c r="C8780" s="2349" t="s">
        <v>11565</v>
      </c>
      <c r="D8780" s="2349" t="s">
        <v>12175</v>
      </c>
      <c r="E8780" s="2350">
        <v>250</v>
      </c>
      <c r="F8780" s="2350">
        <v>200</v>
      </c>
    </row>
    <row r="8781" spans="1:6" ht="15" customHeight="1" x14ac:dyDescent="0.25">
      <c r="A8781" s="2349" t="s">
        <v>19509</v>
      </c>
      <c r="B8781" s="2349" t="s">
        <v>11565</v>
      </c>
      <c r="C8781" s="2349" t="s">
        <v>11565</v>
      </c>
      <c r="D8781" s="2349" t="s">
        <v>12176</v>
      </c>
      <c r="E8781" s="2350">
        <v>100</v>
      </c>
      <c r="F8781" s="2350">
        <v>60</v>
      </c>
    </row>
    <row r="8782" spans="1:6" ht="15" customHeight="1" x14ac:dyDescent="0.25">
      <c r="A8782" s="2349"/>
      <c r="B8782" s="2349" t="s">
        <v>11565</v>
      </c>
      <c r="C8782" s="2349" t="s">
        <v>11565</v>
      </c>
      <c r="D8782" s="2349" t="s">
        <v>12177</v>
      </c>
      <c r="E8782" s="2350">
        <v>100</v>
      </c>
      <c r="F8782" s="2350">
        <v>74</v>
      </c>
    </row>
    <row r="8783" spans="1:6" ht="15" customHeight="1" x14ac:dyDescent="0.25">
      <c r="A8783" s="2349" t="s">
        <v>12178</v>
      </c>
      <c r="B8783" s="2349" t="s">
        <v>11565</v>
      </c>
      <c r="C8783" s="2349" t="s">
        <v>11565</v>
      </c>
      <c r="D8783" s="2349" t="s">
        <v>12179</v>
      </c>
      <c r="E8783" s="2350">
        <v>100</v>
      </c>
      <c r="F8783" s="2350">
        <v>82</v>
      </c>
    </row>
    <row r="8784" spans="1:6" ht="15" customHeight="1" x14ac:dyDescent="0.25">
      <c r="A8784" s="2349" t="s">
        <v>11781</v>
      </c>
      <c r="B8784" s="2349" t="s">
        <v>11565</v>
      </c>
      <c r="C8784" s="2349" t="s">
        <v>11565</v>
      </c>
      <c r="D8784" s="2349" t="s">
        <v>12180</v>
      </c>
      <c r="E8784" s="2350">
        <v>250</v>
      </c>
      <c r="F8784" s="2350">
        <v>160</v>
      </c>
    </row>
    <row r="8785" spans="1:6" ht="15" customHeight="1" x14ac:dyDescent="0.25">
      <c r="A8785" s="2349" t="s">
        <v>12181</v>
      </c>
      <c r="B8785" s="2349" t="s">
        <v>11565</v>
      </c>
      <c r="C8785" s="2349" t="s">
        <v>11565</v>
      </c>
      <c r="D8785" s="2349" t="s">
        <v>12182</v>
      </c>
      <c r="E8785" s="2350">
        <v>30</v>
      </c>
      <c r="F8785" s="2350">
        <v>22</v>
      </c>
    </row>
    <row r="8786" spans="1:6" ht="15" customHeight="1" x14ac:dyDescent="0.25">
      <c r="A8786" s="2349" t="s">
        <v>19510</v>
      </c>
      <c r="B8786" s="2349" t="s">
        <v>11565</v>
      </c>
      <c r="C8786" s="2349" t="s">
        <v>11565</v>
      </c>
      <c r="D8786" s="2349" t="s">
        <v>12183</v>
      </c>
      <c r="E8786" s="2350">
        <v>100</v>
      </c>
      <c r="F8786" s="2350">
        <v>75.2</v>
      </c>
    </row>
    <row r="8787" spans="1:6" ht="15" customHeight="1" x14ac:dyDescent="0.25">
      <c r="A8787" s="2349" t="s">
        <v>12184</v>
      </c>
      <c r="B8787" s="2349" t="s">
        <v>11565</v>
      </c>
      <c r="C8787" s="2349" t="s">
        <v>11565</v>
      </c>
      <c r="D8787" s="2349" t="s">
        <v>12185</v>
      </c>
      <c r="E8787" s="2350">
        <v>100</v>
      </c>
      <c r="F8787" s="2350">
        <v>65</v>
      </c>
    </row>
    <row r="8788" spans="1:6" ht="15" customHeight="1" x14ac:dyDescent="0.25">
      <c r="A8788" s="2349"/>
      <c r="B8788" s="2349" t="s">
        <v>11565</v>
      </c>
      <c r="C8788" s="2349" t="s">
        <v>11565</v>
      </c>
      <c r="D8788" s="2349" t="s">
        <v>12186</v>
      </c>
      <c r="E8788" s="2350">
        <v>63</v>
      </c>
      <c r="F8788" s="2350">
        <v>31.4</v>
      </c>
    </row>
    <row r="8789" spans="1:6" ht="15" customHeight="1" x14ac:dyDescent="0.25">
      <c r="A8789" s="2349"/>
      <c r="B8789" s="2349" t="s">
        <v>11565</v>
      </c>
      <c r="C8789" s="2349" t="s">
        <v>11565</v>
      </c>
      <c r="D8789" s="2349" t="s">
        <v>12187</v>
      </c>
      <c r="E8789" s="2350">
        <v>100</v>
      </c>
      <c r="F8789" s="2350">
        <v>72</v>
      </c>
    </row>
    <row r="8790" spans="1:6" ht="15" customHeight="1" x14ac:dyDescent="0.25">
      <c r="A8790" s="2349" t="s">
        <v>12188</v>
      </c>
      <c r="B8790" s="2349" t="s">
        <v>11565</v>
      </c>
      <c r="C8790" s="2349" t="s">
        <v>11565</v>
      </c>
      <c r="D8790" s="2349" t="s">
        <v>12189</v>
      </c>
      <c r="E8790" s="2350">
        <v>30</v>
      </c>
      <c r="F8790" s="2350">
        <v>24</v>
      </c>
    </row>
    <row r="8791" spans="1:6" ht="15" customHeight="1" x14ac:dyDescent="0.25">
      <c r="A8791" s="2349" t="s">
        <v>4059</v>
      </c>
      <c r="B8791" s="2349" t="s">
        <v>11565</v>
      </c>
      <c r="C8791" s="2349" t="s">
        <v>11565</v>
      </c>
      <c r="D8791" s="2349" t="s">
        <v>12190</v>
      </c>
      <c r="E8791" s="2350">
        <v>63</v>
      </c>
      <c r="F8791" s="2350">
        <v>55</v>
      </c>
    </row>
    <row r="8792" spans="1:6" ht="15" customHeight="1" x14ac:dyDescent="0.25">
      <c r="A8792" s="2349" t="s">
        <v>12191</v>
      </c>
      <c r="B8792" s="2349" t="s">
        <v>11565</v>
      </c>
      <c r="C8792" s="2349" t="s">
        <v>11565</v>
      </c>
      <c r="D8792" s="2349" t="s">
        <v>12192</v>
      </c>
      <c r="E8792" s="2350">
        <v>25</v>
      </c>
      <c r="F8792" s="2350">
        <v>20</v>
      </c>
    </row>
    <row r="8793" spans="1:6" ht="15" customHeight="1" x14ac:dyDescent="0.25">
      <c r="A8793" s="2349" t="s">
        <v>4904</v>
      </c>
      <c r="B8793" s="2349" t="s">
        <v>11565</v>
      </c>
      <c r="C8793" s="2349" t="s">
        <v>11565</v>
      </c>
      <c r="D8793" s="2349" t="s">
        <v>12193</v>
      </c>
      <c r="E8793" s="2350">
        <v>100</v>
      </c>
      <c r="F8793" s="2350">
        <v>25</v>
      </c>
    </row>
    <row r="8794" spans="1:6" ht="15" customHeight="1" x14ac:dyDescent="0.25">
      <c r="A8794" s="2349"/>
      <c r="B8794" s="2349" t="s">
        <v>11565</v>
      </c>
      <c r="C8794" s="2349" t="s">
        <v>11565</v>
      </c>
      <c r="D8794" s="2349" t="s">
        <v>19511</v>
      </c>
      <c r="E8794" s="2350"/>
      <c r="F8794" s="2350">
        <v>0</v>
      </c>
    </row>
    <row r="8795" spans="1:6" ht="15" customHeight="1" x14ac:dyDescent="0.25">
      <c r="A8795" s="2349" t="s">
        <v>12194</v>
      </c>
      <c r="B8795" s="2349" t="s">
        <v>11565</v>
      </c>
      <c r="C8795" s="2349" t="s">
        <v>11565</v>
      </c>
      <c r="D8795" s="2349" t="s">
        <v>12195</v>
      </c>
      <c r="E8795" s="2350">
        <v>100</v>
      </c>
      <c r="F8795" s="2350">
        <v>68</v>
      </c>
    </row>
    <row r="8796" spans="1:6" ht="15" customHeight="1" x14ac:dyDescent="0.25">
      <c r="A8796" s="2349"/>
      <c r="B8796" s="2349" t="s">
        <v>11565</v>
      </c>
      <c r="C8796" s="2349" t="s">
        <v>11565</v>
      </c>
      <c r="D8796" s="2349" t="s">
        <v>12196</v>
      </c>
      <c r="E8796" s="2350">
        <v>50</v>
      </c>
      <c r="F8796" s="2350">
        <v>30</v>
      </c>
    </row>
    <row r="8797" spans="1:6" ht="15" customHeight="1" x14ac:dyDescent="0.25">
      <c r="A8797" s="2349" t="s">
        <v>12197</v>
      </c>
      <c r="B8797" s="2349" t="s">
        <v>11565</v>
      </c>
      <c r="C8797" s="2349" t="s">
        <v>11565</v>
      </c>
      <c r="D8797" s="2349" t="s">
        <v>12198</v>
      </c>
      <c r="E8797" s="2350">
        <v>160</v>
      </c>
      <c r="F8797" s="2350">
        <v>120.2</v>
      </c>
    </row>
    <row r="8798" spans="1:6" ht="15" customHeight="1" x14ac:dyDescent="0.25">
      <c r="A8798" s="2349" t="s">
        <v>12199</v>
      </c>
      <c r="B8798" s="2349" t="s">
        <v>11565</v>
      </c>
      <c r="C8798" s="2349" t="s">
        <v>11565</v>
      </c>
      <c r="D8798" s="2349" t="s">
        <v>12200</v>
      </c>
      <c r="E8798" s="2350">
        <v>30</v>
      </c>
      <c r="F8798" s="2350">
        <v>22</v>
      </c>
    </row>
    <row r="8799" spans="1:6" ht="15" customHeight="1" x14ac:dyDescent="0.25">
      <c r="A8799" s="2349" t="s">
        <v>12201</v>
      </c>
      <c r="B8799" s="2349" t="s">
        <v>11565</v>
      </c>
      <c r="C8799" s="2349" t="s">
        <v>11565</v>
      </c>
      <c r="D8799" s="2349" t="s">
        <v>12202</v>
      </c>
      <c r="E8799" s="2350">
        <v>160</v>
      </c>
      <c r="F8799" s="2350">
        <v>112</v>
      </c>
    </row>
    <row r="8800" spans="1:6" ht="15" customHeight="1" x14ac:dyDescent="0.25">
      <c r="A8800" s="2349"/>
      <c r="B8800" s="2349" t="s">
        <v>11565</v>
      </c>
      <c r="C8800" s="2349" t="s">
        <v>11565</v>
      </c>
      <c r="D8800" s="2349" t="s">
        <v>12203</v>
      </c>
      <c r="E8800" s="2350">
        <v>100</v>
      </c>
      <c r="F8800" s="2350">
        <v>57.2</v>
      </c>
    </row>
    <row r="8801" spans="1:6" ht="15" customHeight="1" x14ac:dyDescent="0.25">
      <c r="A8801" s="2349"/>
      <c r="B8801" s="2349" t="s">
        <v>11565</v>
      </c>
      <c r="C8801" s="2349" t="s">
        <v>11565</v>
      </c>
      <c r="D8801" s="2349" t="s">
        <v>12204</v>
      </c>
      <c r="E8801" s="2350" t="s">
        <v>5551</v>
      </c>
      <c r="F8801" s="2350">
        <v>1065</v>
      </c>
    </row>
    <row r="8802" spans="1:6" ht="15" customHeight="1" x14ac:dyDescent="0.25">
      <c r="A8802" s="2349"/>
      <c r="B8802" s="2349" t="s">
        <v>11565</v>
      </c>
      <c r="C8802" s="2349" t="s">
        <v>11565</v>
      </c>
      <c r="D8802" s="2349" t="s">
        <v>12205</v>
      </c>
      <c r="E8802" s="2350">
        <v>400</v>
      </c>
      <c r="F8802" s="2350">
        <v>330</v>
      </c>
    </row>
    <row r="8803" spans="1:6" ht="15" customHeight="1" x14ac:dyDescent="0.25">
      <c r="A8803" s="2349"/>
      <c r="B8803" s="2349" t="s">
        <v>11565</v>
      </c>
      <c r="C8803" s="2349" t="s">
        <v>11565</v>
      </c>
      <c r="D8803" s="2349" t="s">
        <v>12206</v>
      </c>
      <c r="E8803" s="2350">
        <v>160</v>
      </c>
      <c r="F8803" s="2350">
        <v>140</v>
      </c>
    </row>
    <row r="8804" spans="1:6" ht="15" customHeight="1" x14ac:dyDescent="0.25">
      <c r="A8804" s="2349" t="s">
        <v>18311</v>
      </c>
      <c r="B8804" s="2349" t="s">
        <v>11565</v>
      </c>
      <c r="C8804" s="2349" t="s">
        <v>11565</v>
      </c>
      <c r="D8804" s="2349" t="s">
        <v>12207</v>
      </c>
      <c r="E8804" s="2350">
        <v>20</v>
      </c>
      <c r="F8804" s="2350">
        <v>15</v>
      </c>
    </row>
    <row r="8805" spans="1:6" ht="15" customHeight="1" x14ac:dyDescent="0.25">
      <c r="A8805" s="2349" t="s">
        <v>19512</v>
      </c>
      <c r="B8805" s="2349" t="s">
        <v>11565</v>
      </c>
      <c r="C8805" s="2349" t="s">
        <v>11565</v>
      </c>
      <c r="D8805" s="2349" t="s">
        <v>12208</v>
      </c>
      <c r="E8805" s="2350">
        <v>250</v>
      </c>
      <c r="F8805" s="2350">
        <v>168.2</v>
      </c>
    </row>
    <row r="8806" spans="1:6" ht="15" customHeight="1" x14ac:dyDescent="0.25">
      <c r="A8806" s="2349" t="s">
        <v>19513</v>
      </c>
      <c r="B8806" s="2349" t="s">
        <v>11565</v>
      </c>
      <c r="C8806" s="2349" t="s">
        <v>11565</v>
      </c>
      <c r="D8806" s="2349" t="s">
        <v>12209</v>
      </c>
      <c r="E8806" s="2350">
        <v>100</v>
      </c>
      <c r="F8806" s="2350">
        <v>77</v>
      </c>
    </row>
    <row r="8807" spans="1:6" ht="15" customHeight="1" x14ac:dyDescent="0.25">
      <c r="A8807" s="2349" t="s">
        <v>19514</v>
      </c>
      <c r="B8807" s="2349" t="s">
        <v>11565</v>
      </c>
      <c r="C8807" s="2349" t="s">
        <v>11565</v>
      </c>
      <c r="D8807" s="2349" t="s">
        <v>12210</v>
      </c>
      <c r="E8807" s="2350">
        <v>30</v>
      </c>
      <c r="F8807" s="2350">
        <v>16</v>
      </c>
    </row>
    <row r="8808" spans="1:6" ht="15" customHeight="1" x14ac:dyDescent="0.25">
      <c r="A8808" s="2349" t="s">
        <v>19515</v>
      </c>
      <c r="B8808" s="2349" t="s">
        <v>11565</v>
      </c>
      <c r="C8808" s="2349" t="s">
        <v>11565</v>
      </c>
      <c r="D8808" s="2349" t="s">
        <v>12211</v>
      </c>
      <c r="E8808" s="2350">
        <v>100</v>
      </c>
      <c r="F8808" s="2350">
        <v>80</v>
      </c>
    </row>
    <row r="8809" spans="1:6" ht="15" customHeight="1" x14ac:dyDescent="0.25">
      <c r="A8809" s="2349" t="s">
        <v>19516</v>
      </c>
      <c r="B8809" s="2349" t="s">
        <v>11565</v>
      </c>
      <c r="C8809" s="2349" t="s">
        <v>11565</v>
      </c>
      <c r="D8809" s="2349" t="s">
        <v>12212</v>
      </c>
      <c r="E8809" s="2350">
        <v>160</v>
      </c>
      <c r="F8809" s="2350">
        <v>80</v>
      </c>
    </row>
    <row r="8810" spans="1:6" ht="15" customHeight="1" x14ac:dyDescent="0.25">
      <c r="A8810" s="2349"/>
      <c r="B8810" s="2349" t="s">
        <v>11565</v>
      </c>
      <c r="C8810" s="2349" t="s">
        <v>11565</v>
      </c>
      <c r="D8810" s="2349" t="s">
        <v>12213</v>
      </c>
      <c r="E8810" s="2350">
        <v>63</v>
      </c>
      <c r="F8810" s="2350">
        <v>42</v>
      </c>
    </row>
    <row r="8811" spans="1:6" ht="15" customHeight="1" x14ac:dyDescent="0.25">
      <c r="A8811" s="2349"/>
      <c r="B8811" s="2349" t="s">
        <v>11565</v>
      </c>
      <c r="C8811" s="2349" t="s">
        <v>11565</v>
      </c>
      <c r="D8811" s="2349" t="s">
        <v>12214</v>
      </c>
      <c r="E8811" s="2350">
        <v>100</v>
      </c>
      <c r="F8811" s="2350">
        <v>20</v>
      </c>
    </row>
    <row r="8812" spans="1:6" ht="15" customHeight="1" x14ac:dyDescent="0.25">
      <c r="A8812" s="2349"/>
      <c r="B8812" s="2349" t="s">
        <v>11565</v>
      </c>
      <c r="C8812" s="2349" t="s">
        <v>11565</v>
      </c>
      <c r="D8812" s="2349" t="s">
        <v>12215</v>
      </c>
      <c r="E8812" s="2350">
        <v>250</v>
      </c>
      <c r="F8812" s="2350">
        <v>36.799999999999997</v>
      </c>
    </row>
    <row r="8813" spans="1:6" ht="15" customHeight="1" x14ac:dyDescent="0.25">
      <c r="A8813" s="2349"/>
      <c r="B8813" s="2349" t="s">
        <v>11565</v>
      </c>
      <c r="C8813" s="2349" t="s">
        <v>11565</v>
      </c>
      <c r="D8813" s="2349" t="s">
        <v>12216</v>
      </c>
      <c r="E8813" s="2350">
        <v>250</v>
      </c>
      <c r="F8813" s="2350">
        <v>160</v>
      </c>
    </row>
    <row r="8814" spans="1:6" ht="15" customHeight="1" x14ac:dyDescent="0.25">
      <c r="A8814" s="2349"/>
      <c r="B8814" s="2349" t="s">
        <v>11565</v>
      </c>
      <c r="C8814" s="2349" t="s">
        <v>11565</v>
      </c>
      <c r="D8814" s="2349" t="s">
        <v>12217</v>
      </c>
      <c r="E8814" s="2350">
        <v>100</v>
      </c>
      <c r="F8814" s="2350">
        <v>77</v>
      </c>
    </row>
    <row r="8815" spans="1:6" ht="15" customHeight="1" x14ac:dyDescent="0.25">
      <c r="A8815" s="2349"/>
      <c r="B8815" s="2349" t="s">
        <v>11565</v>
      </c>
      <c r="C8815" s="2349" t="s">
        <v>11565</v>
      </c>
      <c r="D8815" s="2349" t="s">
        <v>12218</v>
      </c>
      <c r="E8815" s="2350" t="s">
        <v>5558</v>
      </c>
      <c r="F8815" s="2350">
        <v>310</v>
      </c>
    </row>
    <row r="8816" spans="1:6" ht="15" customHeight="1" x14ac:dyDescent="0.25">
      <c r="A8816" s="2349"/>
      <c r="B8816" s="2349" t="s">
        <v>11565</v>
      </c>
      <c r="C8816" s="2349" t="s">
        <v>11565</v>
      </c>
      <c r="D8816" s="2349" t="s">
        <v>12219</v>
      </c>
      <c r="E8816" s="2350">
        <v>400</v>
      </c>
      <c r="F8816" s="2350">
        <v>220</v>
      </c>
    </row>
    <row r="8817" spans="1:6" ht="15" customHeight="1" x14ac:dyDescent="0.25">
      <c r="A8817" s="2349" t="s">
        <v>8784</v>
      </c>
      <c r="B8817" s="2349" t="s">
        <v>11565</v>
      </c>
      <c r="C8817" s="2349" t="s">
        <v>11565</v>
      </c>
      <c r="D8817" s="2349" t="s">
        <v>12220</v>
      </c>
      <c r="E8817" s="2350">
        <v>50</v>
      </c>
      <c r="F8817" s="2350">
        <v>30</v>
      </c>
    </row>
    <row r="8818" spans="1:6" ht="15" customHeight="1" x14ac:dyDescent="0.25">
      <c r="A8818" s="2349" t="s">
        <v>19517</v>
      </c>
      <c r="B8818" s="2349" t="s">
        <v>11565</v>
      </c>
      <c r="C8818" s="2349" t="s">
        <v>11565</v>
      </c>
      <c r="D8818" s="2349" t="s">
        <v>12221</v>
      </c>
      <c r="E8818" s="2350">
        <v>50</v>
      </c>
      <c r="F8818" s="2350">
        <v>35</v>
      </c>
    </row>
    <row r="8819" spans="1:6" ht="15" customHeight="1" x14ac:dyDescent="0.25">
      <c r="A8819" s="2349" t="s">
        <v>12222</v>
      </c>
      <c r="B8819" s="2349" t="s">
        <v>11565</v>
      </c>
      <c r="C8819" s="2349" t="s">
        <v>11565</v>
      </c>
      <c r="D8819" s="2349" t="s">
        <v>12223</v>
      </c>
      <c r="E8819" s="2350">
        <v>100</v>
      </c>
      <c r="F8819" s="2350">
        <v>60</v>
      </c>
    </row>
    <row r="8820" spans="1:6" ht="15" customHeight="1" x14ac:dyDescent="0.25">
      <c r="A8820" s="2349" t="s">
        <v>18401</v>
      </c>
      <c r="B8820" s="2349" t="s">
        <v>11565</v>
      </c>
      <c r="C8820" s="2349" t="s">
        <v>11565</v>
      </c>
      <c r="D8820" s="2349" t="s">
        <v>12224</v>
      </c>
      <c r="E8820" s="2350" t="s">
        <v>4199</v>
      </c>
      <c r="F8820" s="2350">
        <v>660</v>
      </c>
    </row>
    <row r="8821" spans="1:6" ht="15" customHeight="1" x14ac:dyDescent="0.25">
      <c r="A8821" s="2349" t="s">
        <v>10238</v>
      </c>
      <c r="B8821" s="2349" t="s">
        <v>11565</v>
      </c>
      <c r="C8821" s="2349" t="s">
        <v>11565</v>
      </c>
      <c r="D8821" s="2349" t="s">
        <v>12225</v>
      </c>
      <c r="E8821" s="2350">
        <v>40</v>
      </c>
      <c r="F8821" s="2350">
        <v>24</v>
      </c>
    </row>
    <row r="8822" spans="1:6" ht="15" customHeight="1" x14ac:dyDescent="0.25">
      <c r="A8822" s="2349" t="s">
        <v>19518</v>
      </c>
      <c r="B8822" s="2349" t="s">
        <v>11565</v>
      </c>
      <c r="C8822" s="2349" t="s">
        <v>11565</v>
      </c>
      <c r="D8822" s="2349" t="s">
        <v>12226</v>
      </c>
      <c r="E8822" s="2350">
        <v>400</v>
      </c>
      <c r="F8822" s="2350">
        <v>300</v>
      </c>
    </row>
    <row r="8823" spans="1:6" ht="15" customHeight="1" x14ac:dyDescent="0.25">
      <c r="A8823" s="2349"/>
      <c r="B8823" s="2349" t="s">
        <v>11565</v>
      </c>
      <c r="C8823" s="2349" t="s">
        <v>11565</v>
      </c>
      <c r="D8823" s="2349" t="s">
        <v>12227</v>
      </c>
      <c r="E8823" s="2350">
        <v>160</v>
      </c>
      <c r="F8823" s="2350">
        <v>35</v>
      </c>
    </row>
    <row r="8824" spans="1:6" ht="15" customHeight="1" x14ac:dyDescent="0.25">
      <c r="A8824" s="2349"/>
      <c r="B8824" s="2349" t="s">
        <v>11565</v>
      </c>
      <c r="C8824" s="2349" t="s">
        <v>11565</v>
      </c>
      <c r="D8824" s="2349" t="s">
        <v>12228</v>
      </c>
      <c r="E8824" s="2350">
        <v>250</v>
      </c>
      <c r="F8824" s="2350">
        <v>120</v>
      </c>
    </row>
    <row r="8825" spans="1:6" ht="15" customHeight="1" x14ac:dyDescent="0.25">
      <c r="A8825" s="2349"/>
      <c r="B8825" s="2349" t="s">
        <v>11565</v>
      </c>
      <c r="C8825" s="2349" t="s">
        <v>11565</v>
      </c>
      <c r="D8825" s="2349" t="s">
        <v>12229</v>
      </c>
      <c r="E8825" s="2350">
        <v>250</v>
      </c>
      <c r="F8825" s="2350">
        <v>130</v>
      </c>
    </row>
    <row r="8826" spans="1:6" ht="15" customHeight="1" x14ac:dyDescent="0.25">
      <c r="A8826" s="2349" t="s">
        <v>19519</v>
      </c>
      <c r="B8826" s="2349" t="s">
        <v>11565</v>
      </c>
      <c r="C8826" s="2349" t="s">
        <v>11565</v>
      </c>
      <c r="D8826" s="2349" t="s">
        <v>12230</v>
      </c>
      <c r="E8826" s="2350">
        <v>100</v>
      </c>
      <c r="F8826" s="2350">
        <v>30</v>
      </c>
    </row>
    <row r="8827" spans="1:6" ht="15" customHeight="1" x14ac:dyDescent="0.25">
      <c r="A8827" s="2349" t="s">
        <v>19520</v>
      </c>
      <c r="B8827" s="2349" t="s">
        <v>11565</v>
      </c>
      <c r="C8827" s="2349" t="s">
        <v>11565</v>
      </c>
      <c r="D8827" s="2349" t="s">
        <v>12231</v>
      </c>
      <c r="E8827" s="2350">
        <v>40</v>
      </c>
      <c r="F8827" s="2350">
        <v>14</v>
      </c>
    </row>
    <row r="8828" spans="1:6" ht="15" customHeight="1" x14ac:dyDescent="0.25">
      <c r="A8828" s="2349" t="s">
        <v>12232</v>
      </c>
      <c r="B8828" s="2349" t="s">
        <v>11565</v>
      </c>
      <c r="C8828" s="2349" t="s">
        <v>11565</v>
      </c>
      <c r="D8828" s="2349" t="s">
        <v>12233</v>
      </c>
      <c r="E8828" s="2350" t="s">
        <v>12234</v>
      </c>
      <c r="F8828" s="2350">
        <v>450</v>
      </c>
    </row>
    <row r="8829" spans="1:6" ht="15" customHeight="1" x14ac:dyDescent="0.25">
      <c r="A8829" s="2349" t="s">
        <v>12235</v>
      </c>
      <c r="B8829" s="2349" t="s">
        <v>11565</v>
      </c>
      <c r="C8829" s="2349" t="s">
        <v>11565</v>
      </c>
      <c r="D8829" s="2349" t="s">
        <v>12236</v>
      </c>
      <c r="E8829" s="2350">
        <v>60</v>
      </c>
      <c r="F8829" s="2350">
        <v>44</v>
      </c>
    </row>
    <row r="8830" spans="1:6" ht="15" customHeight="1" x14ac:dyDescent="0.25">
      <c r="A8830" s="2349" t="s">
        <v>12237</v>
      </c>
      <c r="B8830" s="2349" t="s">
        <v>11565</v>
      </c>
      <c r="C8830" s="2349" t="s">
        <v>11565</v>
      </c>
      <c r="D8830" s="2349" t="s">
        <v>12238</v>
      </c>
      <c r="E8830" s="2350">
        <v>60</v>
      </c>
      <c r="F8830" s="2350">
        <v>48</v>
      </c>
    </row>
    <row r="8831" spans="1:6" ht="15" customHeight="1" x14ac:dyDescent="0.25">
      <c r="A8831" s="2349" t="s">
        <v>19521</v>
      </c>
      <c r="B8831" s="2349" t="s">
        <v>11565</v>
      </c>
      <c r="C8831" s="2349" t="s">
        <v>11565</v>
      </c>
      <c r="D8831" s="2349" t="s">
        <v>12239</v>
      </c>
      <c r="E8831" s="2350">
        <v>30</v>
      </c>
      <c r="F8831" s="2350">
        <v>20</v>
      </c>
    </row>
    <row r="8832" spans="1:6" ht="15" customHeight="1" x14ac:dyDescent="0.25">
      <c r="A8832" s="2349" t="s">
        <v>12240</v>
      </c>
      <c r="B8832" s="2349" t="s">
        <v>11565</v>
      </c>
      <c r="C8832" s="2349" t="s">
        <v>11565</v>
      </c>
      <c r="D8832" s="2349" t="s">
        <v>12241</v>
      </c>
      <c r="E8832" s="2350">
        <v>100</v>
      </c>
      <c r="F8832" s="2350">
        <v>20</v>
      </c>
    </row>
    <row r="8833" spans="1:6" ht="15" customHeight="1" x14ac:dyDescent="0.25">
      <c r="A8833" s="2349"/>
      <c r="B8833" s="2349" t="s">
        <v>11565</v>
      </c>
      <c r="C8833" s="2349" t="s">
        <v>11565</v>
      </c>
      <c r="D8833" s="2349" t="s">
        <v>12242</v>
      </c>
      <c r="E8833" s="2350">
        <v>100</v>
      </c>
      <c r="F8833" s="2350">
        <v>18.75</v>
      </c>
    </row>
    <row r="8834" spans="1:6" ht="15" customHeight="1" x14ac:dyDescent="0.25">
      <c r="A8834" s="2349"/>
      <c r="B8834" s="2349" t="s">
        <v>11565</v>
      </c>
      <c r="C8834" s="2349" t="s">
        <v>11565</v>
      </c>
      <c r="D8834" s="2349" t="s">
        <v>12243</v>
      </c>
      <c r="E8834" s="2350">
        <v>100</v>
      </c>
      <c r="F8834" s="2350">
        <v>77</v>
      </c>
    </row>
    <row r="8835" spans="1:6" ht="15" customHeight="1" x14ac:dyDescent="0.25">
      <c r="A8835" s="2349" t="s">
        <v>19522</v>
      </c>
      <c r="B8835" s="2349" t="s">
        <v>11565</v>
      </c>
      <c r="C8835" s="2349" t="s">
        <v>11565</v>
      </c>
      <c r="D8835" s="2349" t="s">
        <v>12244</v>
      </c>
      <c r="E8835" s="2350">
        <v>100</v>
      </c>
      <c r="F8835" s="2350">
        <v>75</v>
      </c>
    </row>
    <row r="8836" spans="1:6" ht="15" customHeight="1" x14ac:dyDescent="0.25">
      <c r="A8836" s="2349" t="s">
        <v>19523</v>
      </c>
      <c r="B8836" s="2349" t="s">
        <v>11565</v>
      </c>
      <c r="C8836" s="2349" t="s">
        <v>11565</v>
      </c>
      <c r="D8836" s="2349" t="s">
        <v>12245</v>
      </c>
      <c r="E8836" s="2350">
        <v>100</v>
      </c>
      <c r="F8836" s="2350">
        <v>60</v>
      </c>
    </row>
    <row r="8837" spans="1:6" ht="15" customHeight="1" x14ac:dyDescent="0.25">
      <c r="A8837" s="2349" t="s">
        <v>12246</v>
      </c>
      <c r="B8837" s="2349" t="s">
        <v>11565</v>
      </c>
      <c r="C8837" s="2349" t="s">
        <v>11565</v>
      </c>
      <c r="D8837" s="2349" t="s">
        <v>12247</v>
      </c>
      <c r="E8837" s="2350">
        <v>30</v>
      </c>
      <c r="F8837" s="2350">
        <v>22</v>
      </c>
    </row>
    <row r="8838" spans="1:6" ht="15" customHeight="1" x14ac:dyDescent="0.25">
      <c r="A8838" s="2349" t="s">
        <v>19524</v>
      </c>
      <c r="B8838" s="2349" t="s">
        <v>11565</v>
      </c>
      <c r="C8838" s="2349" t="s">
        <v>11565</v>
      </c>
      <c r="D8838" s="2349" t="s">
        <v>12248</v>
      </c>
      <c r="E8838" s="2350">
        <v>30</v>
      </c>
      <c r="F8838" s="2350">
        <v>20</v>
      </c>
    </row>
    <row r="8839" spans="1:6" ht="15" customHeight="1" x14ac:dyDescent="0.25">
      <c r="A8839" s="2349" t="s">
        <v>19525</v>
      </c>
      <c r="B8839" s="2349" t="s">
        <v>11565</v>
      </c>
      <c r="C8839" s="2349" t="s">
        <v>11565</v>
      </c>
      <c r="D8839" s="2349" t="s">
        <v>12249</v>
      </c>
      <c r="E8839" s="2350">
        <v>30</v>
      </c>
      <c r="F8839" s="2350">
        <v>21</v>
      </c>
    </row>
    <row r="8840" spans="1:6" ht="15" customHeight="1" x14ac:dyDescent="0.25">
      <c r="A8840" s="2349" t="s">
        <v>19526</v>
      </c>
      <c r="B8840" s="2349" t="s">
        <v>11565</v>
      </c>
      <c r="C8840" s="2349" t="s">
        <v>11565</v>
      </c>
      <c r="D8840" s="2349" t="s">
        <v>12250</v>
      </c>
      <c r="E8840" s="2350">
        <v>400</v>
      </c>
      <c r="F8840" s="2350">
        <v>310</v>
      </c>
    </row>
    <row r="8841" spans="1:6" ht="15" customHeight="1" x14ac:dyDescent="0.25">
      <c r="A8841" s="2349" t="s">
        <v>12251</v>
      </c>
      <c r="B8841" s="2349" t="s">
        <v>11565</v>
      </c>
      <c r="C8841" s="2349" t="s">
        <v>11565</v>
      </c>
      <c r="D8841" s="2349" t="s">
        <v>12252</v>
      </c>
      <c r="E8841" s="2350">
        <v>10</v>
      </c>
      <c r="F8841" s="2350">
        <v>2</v>
      </c>
    </row>
    <row r="8842" spans="1:6" ht="15" customHeight="1" x14ac:dyDescent="0.25">
      <c r="A8842" s="2349" t="s">
        <v>6496</v>
      </c>
      <c r="B8842" s="2349" t="s">
        <v>11565</v>
      </c>
      <c r="C8842" s="2349" t="s">
        <v>11565</v>
      </c>
      <c r="D8842" s="2349" t="s">
        <v>12253</v>
      </c>
      <c r="E8842" s="2350">
        <v>250</v>
      </c>
      <c r="F8842" s="2350">
        <v>200</v>
      </c>
    </row>
    <row r="8843" spans="1:6" ht="15" customHeight="1" x14ac:dyDescent="0.25">
      <c r="A8843" s="2349"/>
      <c r="B8843" s="2349" t="s">
        <v>11565</v>
      </c>
      <c r="C8843" s="2349" t="s">
        <v>11565</v>
      </c>
      <c r="D8843" s="2349" t="s">
        <v>19527</v>
      </c>
      <c r="E8843" s="2350">
        <v>400</v>
      </c>
      <c r="F8843" s="2350">
        <v>64</v>
      </c>
    </row>
    <row r="8844" spans="1:6" ht="15" customHeight="1" x14ac:dyDescent="0.25">
      <c r="A8844" s="2349" t="s">
        <v>4369</v>
      </c>
      <c r="B8844" s="2349" t="s">
        <v>11565</v>
      </c>
      <c r="C8844" s="2349" t="s">
        <v>11565</v>
      </c>
      <c r="D8844" s="2349" t="s">
        <v>20080</v>
      </c>
      <c r="E8844" s="2350"/>
      <c r="F8844" s="2350"/>
    </row>
    <row r="8845" spans="1:6" ht="15" customHeight="1" x14ac:dyDescent="0.25">
      <c r="A8845" s="2349" t="s">
        <v>19393</v>
      </c>
      <c r="B8845" s="2349" t="s">
        <v>11565</v>
      </c>
      <c r="C8845" s="2349" t="s">
        <v>11565</v>
      </c>
      <c r="D8845" s="2349" t="s">
        <v>12254</v>
      </c>
      <c r="E8845" s="2350" t="s">
        <v>4199</v>
      </c>
      <c r="F8845" s="2350">
        <v>24</v>
      </c>
    </row>
    <row r="8846" spans="1:6" ht="15" customHeight="1" x14ac:dyDescent="0.25">
      <c r="A8846" s="2349" t="s">
        <v>19393</v>
      </c>
      <c r="B8846" s="2349" t="s">
        <v>11565</v>
      </c>
      <c r="C8846" s="2349" t="s">
        <v>11565</v>
      </c>
      <c r="D8846" s="2349" t="s">
        <v>12255</v>
      </c>
      <c r="E8846" s="2350">
        <v>400</v>
      </c>
      <c r="F8846" s="2350">
        <v>173.43</v>
      </c>
    </row>
    <row r="8847" spans="1:6" ht="15" customHeight="1" x14ac:dyDescent="0.25">
      <c r="A8847" s="2349" t="s">
        <v>19393</v>
      </c>
      <c r="B8847" s="2349" t="s">
        <v>11565</v>
      </c>
      <c r="C8847" s="2349" t="s">
        <v>11565</v>
      </c>
      <c r="D8847" s="2349" t="s">
        <v>12256</v>
      </c>
      <c r="E8847" s="2350">
        <v>400</v>
      </c>
      <c r="F8847" s="2350">
        <v>142.43</v>
      </c>
    </row>
    <row r="8848" spans="1:6" ht="15" customHeight="1" x14ac:dyDescent="0.25">
      <c r="A8848" s="2349" t="s">
        <v>19393</v>
      </c>
      <c r="B8848" s="2349" t="s">
        <v>11565</v>
      </c>
      <c r="C8848" s="2349" t="s">
        <v>11565</v>
      </c>
      <c r="D8848" s="2349" t="s">
        <v>12257</v>
      </c>
      <c r="E8848" s="2350">
        <v>250</v>
      </c>
      <c r="F8848" s="2350">
        <v>0</v>
      </c>
    </row>
    <row r="8849" spans="1:6" ht="15" customHeight="1" x14ac:dyDescent="0.25">
      <c r="A8849" s="2349" t="s">
        <v>19393</v>
      </c>
      <c r="B8849" s="2349" t="s">
        <v>11565</v>
      </c>
      <c r="C8849" s="2349" t="s">
        <v>11565</v>
      </c>
      <c r="D8849" s="2349" t="s">
        <v>12258</v>
      </c>
      <c r="E8849" s="2350">
        <v>250</v>
      </c>
      <c r="F8849" s="2350">
        <v>54</v>
      </c>
    </row>
    <row r="8850" spans="1:6" ht="15" customHeight="1" x14ac:dyDescent="0.25">
      <c r="A8850" s="2349" t="s">
        <v>19393</v>
      </c>
      <c r="B8850" s="2349" t="s">
        <v>11565</v>
      </c>
      <c r="C8850" s="2349" t="s">
        <v>11565</v>
      </c>
      <c r="D8850" s="2349" t="s">
        <v>12259</v>
      </c>
      <c r="E8850" s="2350">
        <v>400</v>
      </c>
      <c r="F8850" s="2350">
        <v>105.62</v>
      </c>
    </row>
    <row r="8851" spans="1:6" ht="15" customHeight="1" x14ac:dyDescent="0.25">
      <c r="A8851" s="2349" t="s">
        <v>19393</v>
      </c>
      <c r="B8851" s="2349" t="s">
        <v>11565</v>
      </c>
      <c r="C8851" s="2349" t="s">
        <v>11565</v>
      </c>
      <c r="D8851" s="2349" t="s">
        <v>12260</v>
      </c>
      <c r="E8851" s="2350">
        <v>400</v>
      </c>
      <c r="F8851" s="2350">
        <v>152.6</v>
      </c>
    </row>
    <row r="8852" spans="1:6" ht="15" customHeight="1" x14ac:dyDescent="0.25">
      <c r="A8852" s="2349" t="s">
        <v>19393</v>
      </c>
      <c r="B8852" s="2349" t="s">
        <v>11565</v>
      </c>
      <c r="C8852" s="2349" t="s">
        <v>11565</v>
      </c>
      <c r="D8852" s="2349" t="s">
        <v>12261</v>
      </c>
      <c r="E8852" s="2350">
        <v>400</v>
      </c>
      <c r="F8852" s="2350">
        <v>68.8</v>
      </c>
    </row>
    <row r="8853" spans="1:6" ht="15" customHeight="1" x14ac:dyDescent="0.25">
      <c r="A8853" s="2349" t="s">
        <v>19393</v>
      </c>
      <c r="B8853" s="2349" t="s">
        <v>11565</v>
      </c>
      <c r="C8853" s="2349" t="s">
        <v>11565</v>
      </c>
      <c r="D8853" s="2349" t="s">
        <v>12262</v>
      </c>
      <c r="E8853" s="2350">
        <v>200</v>
      </c>
      <c r="F8853" s="2350">
        <v>18.420000000000002</v>
      </c>
    </row>
    <row r="8854" spans="1:6" ht="15" customHeight="1" x14ac:dyDescent="0.25">
      <c r="A8854" s="2349" t="s">
        <v>19393</v>
      </c>
      <c r="B8854" s="2349" t="s">
        <v>11565</v>
      </c>
      <c r="C8854" s="2349" t="s">
        <v>11565</v>
      </c>
      <c r="D8854" s="2349" t="s">
        <v>12263</v>
      </c>
      <c r="E8854" s="2350">
        <v>100</v>
      </c>
      <c r="F8854" s="2350">
        <v>2</v>
      </c>
    </row>
    <row r="8855" spans="1:6" ht="15" customHeight="1" x14ac:dyDescent="0.25">
      <c r="A8855" s="2349" t="s">
        <v>19393</v>
      </c>
      <c r="B8855" s="2349" t="s">
        <v>11565</v>
      </c>
      <c r="C8855" s="2349" t="s">
        <v>11565</v>
      </c>
      <c r="D8855" s="2349" t="s">
        <v>12264</v>
      </c>
      <c r="E8855" s="2350">
        <v>630</v>
      </c>
      <c r="F8855" s="2350">
        <v>78.67</v>
      </c>
    </row>
    <row r="8856" spans="1:6" ht="15" customHeight="1" x14ac:dyDescent="0.25">
      <c r="A8856" s="2349" t="s">
        <v>19393</v>
      </c>
      <c r="B8856" s="2349" t="s">
        <v>11565</v>
      </c>
      <c r="C8856" s="2349" t="s">
        <v>11565</v>
      </c>
      <c r="D8856" s="2349" t="s">
        <v>12265</v>
      </c>
      <c r="E8856" s="2350">
        <v>250</v>
      </c>
      <c r="F8856" s="2350">
        <v>55.84</v>
      </c>
    </row>
    <row r="8857" spans="1:6" ht="15" customHeight="1" x14ac:dyDescent="0.25">
      <c r="A8857" s="2349" t="s">
        <v>19393</v>
      </c>
      <c r="B8857" s="2349" t="s">
        <v>11565</v>
      </c>
      <c r="C8857" s="2349" t="s">
        <v>11565</v>
      </c>
      <c r="D8857" s="2349" t="s">
        <v>12266</v>
      </c>
      <c r="E8857" s="2350">
        <v>320</v>
      </c>
      <c r="F8857" s="2350">
        <v>35</v>
      </c>
    </row>
    <row r="8858" spans="1:6" ht="15" customHeight="1" x14ac:dyDescent="0.25">
      <c r="A8858" s="2349" t="s">
        <v>19393</v>
      </c>
      <c r="B8858" s="2349" t="s">
        <v>11565</v>
      </c>
      <c r="C8858" s="2349" t="s">
        <v>11565</v>
      </c>
      <c r="D8858" s="2349" t="s">
        <v>12267</v>
      </c>
      <c r="E8858" s="2350">
        <v>160</v>
      </c>
      <c r="F8858" s="2350">
        <v>22.39</v>
      </c>
    </row>
    <row r="8859" spans="1:6" ht="15" customHeight="1" x14ac:dyDescent="0.25">
      <c r="A8859" s="2349" t="s">
        <v>19393</v>
      </c>
      <c r="B8859" s="2349" t="s">
        <v>11565</v>
      </c>
      <c r="C8859" s="2349" t="s">
        <v>11565</v>
      </c>
      <c r="D8859" s="2349" t="s">
        <v>12268</v>
      </c>
      <c r="E8859" s="2350">
        <v>315</v>
      </c>
      <c r="F8859" s="2350">
        <v>0</v>
      </c>
    </row>
    <row r="8860" spans="1:6" ht="15" customHeight="1" x14ac:dyDescent="0.25">
      <c r="A8860" s="2349" t="s">
        <v>19393</v>
      </c>
      <c r="B8860" s="2349" t="s">
        <v>11565</v>
      </c>
      <c r="C8860" s="2349" t="s">
        <v>11565</v>
      </c>
      <c r="D8860" s="2349" t="s">
        <v>12269</v>
      </c>
      <c r="E8860" s="2350">
        <v>400</v>
      </c>
      <c r="F8860" s="2350">
        <v>112.4</v>
      </c>
    </row>
    <row r="8861" spans="1:6" ht="15" customHeight="1" x14ac:dyDescent="0.25">
      <c r="A8861" s="2349" t="s">
        <v>19393</v>
      </c>
      <c r="B8861" s="2349" t="s">
        <v>11565</v>
      </c>
      <c r="C8861" s="2349" t="s">
        <v>11565</v>
      </c>
      <c r="D8861" s="2349" t="s">
        <v>12270</v>
      </c>
      <c r="E8861" s="2350">
        <v>400</v>
      </c>
      <c r="F8861" s="2350">
        <v>90</v>
      </c>
    </row>
    <row r="8862" spans="1:6" ht="15" customHeight="1" x14ac:dyDescent="0.25">
      <c r="A8862" s="2349" t="s">
        <v>19393</v>
      </c>
      <c r="B8862" s="2349" t="s">
        <v>11565</v>
      </c>
      <c r="C8862" s="2349" t="s">
        <v>11565</v>
      </c>
      <c r="D8862" s="2349" t="s">
        <v>12271</v>
      </c>
      <c r="E8862" s="2350">
        <v>315</v>
      </c>
      <c r="F8862" s="2350">
        <v>31.1</v>
      </c>
    </row>
    <row r="8863" spans="1:6" ht="15" customHeight="1" x14ac:dyDescent="0.25">
      <c r="A8863" s="2349" t="s">
        <v>19393</v>
      </c>
      <c r="B8863" s="2349" t="s">
        <v>11565</v>
      </c>
      <c r="C8863" s="2349" t="s">
        <v>11565</v>
      </c>
      <c r="D8863" s="2349" t="s">
        <v>12272</v>
      </c>
      <c r="E8863" s="2350">
        <v>400</v>
      </c>
      <c r="F8863" s="2350">
        <v>91.57</v>
      </c>
    </row>
    <row r="8864" spans="1:6" ht="15" customHeight="1" x14ac:dyDescent="0.25">
      <c r="A8864" s="2349" t="s">
        <v>19393</v>
      </c>
      <c r="B8864" s="2349" t="s">
        <v>11565</v>
      </c>
      <c r="C8864" s="2349" t="s">
        <v>11565</v>
      </c>
      <c r="D8864" s="2349" t="s">
        <v>12273</v>
      </c>
      <c r="E8864" s="2350">
        <v>400</v>
      </c>
      <c r="F8864" s="2350">
        <v>45</v>
      </c>
    </row>
    <row r="8865" spans="1:6" ht="15" customHeight="1" x14ac:dyDescent="0.25">
      <c r="A8865" s="2349" t="s">
        <v>19393</v>
      </c>
      <c r="B8865" s="2349" t="s">
        <v>11565</v>
      </c>
      <c r="C8865" s="2349" t="s">
        <v>11565</v>
      </c>
      <c r="D8865" s="2349" t="s">
        <v>12274</v>
      </c>
      <c r="E8865" s="2350">
        <v>180</v>
      </c>
      <c r="F8865" s="2350">
        <v>15</v>
      </c>
    </row>
    <row r="8866" spans="1:6" ht="15" customHeight="1" x14ac:dyDescent="0.25">
      <c r="A8866" s="2349" t="s">
        <v>19393</v>
      </c>
      <c r="B8866" s="2349" t="s">
        <v>11565</v>
      </c>
      <c r="C8866" s="2349" t="s">
        <v>11565</v>
      </c>
      <c r="D8866" s="2349" t="s">
        <v>12275</v>
      </c>
      <c r="E8866" s="2350">
        <v>250</v>
      </c>
      <c r="F8866" s="2350">
        <v>5</v>
      </c>
    </row>
    <row r="8867" spans="1:6" ht="15" customHeight="1" x14ac:dyDescent="0.25">
      <c r="A8867" s="2349" t="s">
        <v>19393</v>
      </c>
      <c r="B8867" s="2349" t="s">
        <v>11565</v>
      </c>
      <c r="C8867" s="2349" t="s">
        <v>11565</v>
      </c>
      <c r="D8867" s="2349" t="s">
        <v>12276</v>
      </c>
      <c r="E8867" s="2350">
        <v>100</v>
      </c>
      <c r="F8867" s="2350">
        <v>5</v>
      </c>
    </row>
    <row r="8868" spans="1:6" ht="15" customHeight="1" x14ac:dyDescent="0.25">
      <c r="A8868" s="2349" t="s">
        <v>19393</v>
      </c>
      <c r="B8868" s="2349" t="s">
        <v>11565</v>
      </c>
      <c r="C8868" s="2349" t="s">
        <v>11565</v>
      </c>
      <c r="D8868" s="2349" t="s">
        <v>12277</v>
      </c>
      <c r="E8868" s="2350">
        <v>160</v>
      </c>
      <c r="F8868" s="2350">
        <v>18.510000000000002</v>
      </c>
    </row>
    <row r="8869" spans="1:6" ht="15" customHeight="1" x14ac:dyDescent="0.25">
      <c r="A8869" s="2349" t="s">
        <v>19393</v>
      </c>
      <c r="B8869" s="2349" t="s">
        <v>11565</v>
      </c>
      <c r="C8869" s="2349" t="s">
        <v>11565</v>
      </c>
      <c r="D8869" s="2349" t="s">
        <v>12278</v>
      </c>
      <c r="E8869" s="2350">
        <v>100</v>
      </c>
      <c r="F8869" s="2350">
        <v>10.9</v>
      </c>
    </row>
    <row r="8870" spans="1:6" ht="15" customHeight="1" x14ac:dyDescent="0.25">
      <c r="A8870" s="2349" t="s">
        <v>19393</v>
      </c>
      <c r="B8870" s="2349" t="s">
        <v>11565</v>
      </c>
      <c r="C8870" s="2349" t="s">
        <v>11565</v>
      </c>
      <c r="D8870" s="2349" t="s">
        <v>12279</v>
      </c>
      <c r="E8870" s="2350">
        <v>100</v>
      </c>
      <c r="F8870" s="2350">
        <v>8.0299999999999994</v>
      </c>
    </row>
    <row r="8871" spans="1:6" ht="15" customHeight="1" x14ac:dyDescent="0.25">
      <c r="A8871" s="2349" t="s">
        <v>19393</v>
      </c>
      <c r="B8871" s="2349" t="s">
        <v>11565</v>
      </c>
      <c r="C8871" s="2349" t="s">
        <v>11565</v>
      </c>
      <c r="D8871" s="2349" t="s">
        <v>12280</v>
      </c>
      <c r="E8871" s="2350">
        <v>200</v>
      </c>
      <c r="F8871" s="2350">
        <v>59.59</v>
      </c>
    </row>
    <row r="8872" spans="1:6" ht="15" customHeight="1" x14ac:dyDescent="0.25">
      <c r="A8872" s="2349" t="s">
        <v>19393</v>
      </c>
      <c r="B8872" s="2349" t="s">
        <v>11565</v>
      </c>
      <c r="C8872" s="2349" t="s">
        <v>11565</v>
      </c>
      <c r="D8872" s="2349" t="s">
        <v>12281</v>
      </c>
      <c r="E8872" s="2350" t="s">
        <v>4201</v>
      </c>
      <c r="F8872" s="2350">
        <v>23.98</v>
      </c>
    </row>
    <row r="8873" spans="1:6" ht="15" customHeight="1" x14ac:dyDescent="0.25">
      <c r="A8873" s="2349" t="s">
        <v>19393</v>
      </c>
      <c r="B8873" s="2349" t="s">
        <v>11565</v>
      </c>
      <c r="C8873" s="2349" t="s">
        <v>11565</v>
      </c>
      <c r="D8873" s="2349" t="s">
        <v>12282</v>
      </c>
      <c r="E8873" s="2350">
        <v>250</v>
      </c>
      <c r="F8873" s="2350">
        <v>53</v>
      </c>
    </row>
    <row r="8874" spans="1:6" ht="15" customHeight="1" x14ac:dyDescent="0.25">
      <c r="A8874" s="2349" t="s">
        <v>19393</v>
      </c>
      <c r="B8874" s="2349" t="s">
        <v>11565</v>
      </c>
      <c r="C8874" s="2349" t="s">
        <v>11565</v>
      </c>
      <c r="D8874" s="2349" t="s">
        <v>12283</v>
      </c>
      <c r="E8874" s="2350" t="s">
        <v>12284</v>
      </c>
      <c r="F8874" s="2350">
        <v>1005</v>
      </c>
    </row>
    <row r="8875" spans="1:6" ht="15" customHeight="1" x14ac:dyDescent="0.25">
      <c r="A8875" s="2349" t="s">
        <v>19393</v>
      </c>
      <c r="B8875" s="2349" t="s">
        <v>11565</v>
      </c>
      <c r="C8875" s="2349" t="s">
        <v>11565</v>
      </c>
      <c r="D8875" s="2349" t="s">
        <v>12283</v>
      </c>
      <c r="E8875" s="2350">
        <v>1000</v>
      </c>
      <c r="F8875" s="2350">
        <v>1000</v>
      </c>
    </row>
    <row r="8876" spans="1:6" ht="15" customHeight="1" x14ac:dyDescent="0.25">
      <c r="A8876" s="2349" t="s">
        <v>19393</v>
      </c>
      <c r="B8876" s="2349" t="s">
        <v>11565</v>
      </c>
      <c r="C8876" s="2349" t="s">
        <v>11565</v>
      </c>
      <c r="D8876" s="2349" t="s">
        <v>12285</v>
      </c>
      <c r="E8876" s="2350">
        <v>400</v>
      </c>
      <c r="F8876" s="2350">
        <v>65</v>
      </c>
    </row>
    <row r="8877" spans="1:6" ht="15" customHeight="1" x14ac:dyDescent="0.25">
      <c r="A8877" s="2349" t="s">
        <v>19393</v>
      </c>
      <c r="B8877" s="2349" t="s">
        <v>11565</v>
      </c>
      <c r="C8877" s="2349" t="s">
        <v>11565</v>
      </c>
      <c r="D8877" s="2349" t="s">
        <v>12286</v>
      </c>
      <c r="E8877" s="2350">
        <v>630</v>
      </c>
      <c r="F8877" s="2350">
        <v>165</v>
      </c>
    </row>
    <row r="8878" spans="1:6" ht="15" customHeight="1" x14ac:dyDescent="0.25">
      <c r="A8878" s="2349" t="s">
        <v>19393</v>
      </c>
      <c r="B8878" s="2349" t="s">
        <v>11565</v>
      </c>
      <c r="C8878" s="2349" t="s">
        <v>11565</v>
      </c>
      <c r="D8878" s="2349" t="s">
        <v>12287</v>
      </c>
      <c r="E8878" s="2350">
        <v>400</v>
      </c>
      <c r="F8878" s="2350">
        <v>110.46</v>
      </c>
    </row>
    <row r="8879" spans="1:6" ht="15" customHeight="1" x14ac:dyDescent="0.25">
      <c r="A8879" s="2349" t="s">
        <v>19393</v>
      </c>
      <c r="B8879" s="2349" t="s">
        <v>11565</v>
      </c>
      <c r="C8879" s="2349" t="s">
        <v>11565</v>
      </c>
      <c r="D8879" s="2349" t="s">
        <v>12288</v>
      </c>
      <c r="E8879" s="2350">
        <v>250</v>
      </c>
      <c r="F8879" s="2350">
        <v>92.05</v>
      </c>
    </row>
    <row r="8880" spans="1:6" ht="15" customHeight="1" x14ac:dyDescent="0.25">
      <c r="A8880" s="2349" t="s">
        <v>19393</v>
      </c>
      <c r="B8880" s="2349" t="s">
        <v>11565</v>
      </c>
      <c r="C8880" s="2349" t="s">
        <v>11565</v>
      </c>
      <c r="D8880" s="2349" t="s">
        <v>12289</v>
      </c>
      <c r="E8880" s="2350">
        <v>630</v>
      </c>
      <c r="F8880" s="2350">
        <v>135.69999999999999</v>
      </c>
    </row>
    <row r="8881" spans="1:6" ht="15" customHeight="1" x14ac:dyDescent="0.25">
      <c r="A8881" s="2349" t="s">
        <v>19393</v>
      </c>
      <c r="B8881" s="2349" t="s">
        <v>11565</v>
      </c>
      <c r="C8881" s="2349" t="s">
        <v>11565</v>
      </c>
      <c r="D8881" s="2349" t="s">
        <v>12290</v>
      </c>
      <c r="E8881" s="2350" t="s">
        <v>12291</v>
      </c>
      <c r="F8881" s="2350">
        <v>265.47000000000003</v>
      </c>
    </row>
    <row r="8882" spans="1:6" ht="15" customHeight="1" x14ac:dyDescent="0.25">
      <c r="A8882" s="2349" t="s">
        <v>19393</v>
      </c>
      <c r="B8882" s="2349" t="s">
        <v>11565</v>
      </c>
      <c r="C8882" s="2349" t="s">
        <v>11565</v>
      </c>
      <c r="D8882" s="2349" t="s">
        <v>12292</v>
      </c>
      <c r="E8882" s="2350">
        <v>630</v>
      </c>
      <c r="F8882" s="2350">
        <v>203.64</v>
      </c>
    </row>
    <row r="8883" spans="1:6" ht="15" customHeight="1" x14ac:dyDescent="0.25">
      <c r="A8883" s="2349" t="s">
        <v>19393</v>
      </c>
      <c r="B8883" s="2349" t="s">
        <v>11565</v>
      </c>
      <c r="C8883" s="2349" t="s">
        <v>11565</v>
      </c>
      <c r="D8883" s="2349" t="s">
        <v>12293</v>
      </c>
      <c r="E8883" s="2350">
        <v>100</v>
      </c>
      <c r="F8883" s="2350">
        <v>28</v>
      </c>
    </row>
    <row r="8884" spans="1:6" ht="15" customHeight="1" x14ac:dyDescent="0.25">
      <c r="A8884" s="2349" t="s">
        <v>19393</v>
      </c>
      <c r="B8884" s="2349" t="s">
        <v>11565</v>
      </c>
      <c r="C8884" s="2349" t="s">
        <v>11565</v>
      </c>
      <c r="D8884" s="2349" t="s">
        <v>12294</v>
      </c>
      <c r="E8884" s="2350">
        <v>400</v>
      </c>
      <c r="F8884" s="2350">
        <v>0</v>
      </c>
    </row>
    <row r="8885" spans="1:6" ht="15" customHeight="1" x14ac:dyDescent="0.25">
      <c r="A8885" s="2349" t="s">
        <v>19393</v>
      </c>
      <c r="B8885" s="2349" t="s">
        <v>11565</v>
      </c>
      <c r="C8885" s="2349" t="s">
        <v>11565</v>
      </c>
      <c r="D8885" s="2349" t="s">
        <v>12295</v>
      </c>
      <c r="E8885" s="2350" t="s">
        <v>4199</v>
      </c>
      <c r="F8885" s="2350">
        <v>135.65</v>
      </c>
    </row>
    <row r="8886" spans="1:6" ht="15" customHeight="1" x14ac:dyDescent="0.25">
      <c r="A8886" s="2349" t="s">
        <v>19393</v>
      </c>
      <c r="B8886" s="2349" t="s">
        <v>11565</v>
      </c>
      <c r="C8886" s="2349" t="s">
        <v>11565</v>
      </c>
      <c r="D8886" s="2349" t="s">
        <v>12296</v>
      </c>
      <c r="E8886" s="2350" t="s">
        <v>5551</v>
      </c>
      <c r="F8886" s="2350">
        <v>216.24</v>
      </c>
    </row>
    <row r="8887" spans="1:6" ht="15" customHeight="1" x14ac:dyDescent="0.25">
      <c r="A8887" s="2349" t="s">
        <v>19393</v>
      </c>
      <c r="B8887" s="2349" t="s">
        <v>11565</v>
      </c>
      <c r="C8887" s="2349" t="s">
        <v>11565</v>
      </c>
      <c r="D8887" s="2349" t="s">
        <v>12297</v>
      </c>
      <c r="E8887" s="2350" t="s">
        <v>4202</v>
      </c>
      <c r="F8887" s="2350">
        <v>19.510000000000002</v>
      </c>
    </row>
    <row r="8888" spans="1:6" ht="15" customHeight="1" x14ac:dyDescent="0.25">
      <c r="A8888" s="2349" t="s">
        <v>19393</v>
      </c>
      <c r="B8888" s="2349" t="s">
        <v>11565</v>
      </c>
      <c r="C8888" s="2349" t="s">
        <v>11565</v>
      </c>
      <c r="D8888" s="2349" t="s">
        <v>12298</v>
      </c>
      <c r="E8888" s="2350">
        <v>160</v>
      </c>
      <c r="F8888" s="2350">
        <v>9.31</v>
      </c>
    </row>
    <row r="8889" spans="1:6" ht="15" customHeight="1" x14ac:dyDescent="0.25">
      <c r="A8889" s="2349" t="s">
        <v>19393</v>
      </c>
      <c r="B8889" s="2349" t="s">
        <v>11565</v>
      </c>
      <c r="C8889" s="2349" t="s">
        <v>11565</v>
      </c>
      <c r="D8889" s="2349" t="s">
        <v>12299</v>
      </c>
      <c r="E8889" s="2350">
        <v>250</v>
      </c>
      <c r="F8889" s="2350">
        <v>128.97</v>
      </c>
    </row>
    <row r="8890" spans="1:6" ht="15" customHeight="1" x14ac:dyDescent="0.25">
      <c r="A8890" s="2349" t="s">
        <v>19393</v>
      </c>
      <c r="B8890" s="2349" t="s">
        <v>11565</v>
      </c>
      <c r="C8890" s="2349" t="s">
        <v>11565</v>
      </c>
      <c r="D8890" s="2349" t="s">
        <v>12300</v>
      </c>
      <c r="E8890" s="2350" t="s">
        <v>4202</v>
      </c>
      <c r="F8890" s="2350">
        <v>71.819999999999993</v>
      </c>
    </row>
    <row r="8891" spans="1:6" ht="15" customHeight="1" x14ac:dyDescent="0.25">
      <c r="A8891" s="2349" t="s">
        <v>19393</v>
      </c>
      <c r="B8891" s="2349" t="s">
        <v>11565</v>
      </c>
      <c r="C8891" s="2349" t="s">
        <v>11565</v>
      </c>
      <c r="D8891" s="2349" t="s">
        <v>12301</v>
      </c>
      <c r="E8891" s="2350" t="s">
        <v>4199</v>
      </c>
      <c r="F8891" s="2350">
        <v>115</v>
      </c>
    </row>
    <row r="8892" spans="1:6" ht="15" customHeight="1" x14ac:dyDescent="0.25">
      <c r="A8892" s="2349" t="s">
        <v>19393</v>
      </c>
      <c r="B8892" s="2349" t="s">
        <v>11565</v>
      </c>
      <c r="C8892" s="2349" t="s">
        <v>11565</v>
      </c>
      <c r="D8892" s="2349" t="s">
        <v>12302</v>
      </c>
      <c r="E8892" s="2350">
        <v>630</v>
      </c>
      <c r="F8892" s="2350">
        <v>160</v>
      </c>
    </row>
    <row r="8893" spans="1:6" ht="15" customHeight="1" x14ac:dyDescent="0.25">
      <c r="A8893" s="2349" t="s">
        <v>19393</v>
      </c>
      <c r="B8893" s="2349" t="s">
        <v>11565</v>
      </c>
      <c r="C8893" s="2349" t="s">
        <v>11565</v>
      </c>
      <c r="D8893" s="2349" t="s">
        <v>12303</v>
      </c>
      <c r="E8893" s="2350">
        <v>400</v>
      </c>
      <c r="F8893" s="2350">
        <v>109.49</v>
      </c>
    </row>
    <row r="8894" spans="1:6" ht="15" customHeight="1" x14ac:dyDescent="0.25">
      <c r="A8894" s="2349" t="s">
        <v>19393</v>
      </c>
      <c r="B8894" s="2349" t="s">
        <v>11565</v>
      </c>
      <c r="C8894" s="2349" t="s">
        <v>11565</v>
      </c>
      <c r="D8894" s="2349" t="s">
        <v>12304</v>
      </c>
      <c r="E8894" s="2350">
        <v>400</v>
      </c>
      <c r="F8894" s="2350">
        <v>133.71</v>
      </c>
    </row>
    <row r="8895" spans="1:6" ht="15" customHeight="1" x14ac:dyDescent="0.25">
      <c r="A8895" s="2349" t="s">
        <v>19393</v>
      </c>
      <c r="B8895" s="2349" t="s">
        <v>11565</v>
      </c>
      <c r="C8895" s="2349" t="s">
        <v>11565</v>
      </c>
      <c r="D8895" s="2349" t="s">
        <v>12305</v>
      </c>
      <c r="E8895" s="2350">
        <v>250</v>
      </c>
      <c r="F8895" s="2350">
        <v>67.95</v>
      </c>
    </row>
    <row r="8896" spans="1:6" ht="15" customHeight="1" x14ac:dyDescent="0.25">
      <c r="A8896" s="2349" t="s">
        <v>19393</v>
      </c>
      <c r="B8896" s="2349" t="s">
        <v>11565</v>
      </c>
      <c r="C8896" s="2349" t="s">
        <v>11565</v>
      </c>
      <c r="D8896" s="2349" t="s">
        <v>12306</v>
      </c>
      <c r="E8896" s="2350">
        <v>400</v>
      </c>
      <c r="F8896" s="2350">
        <v>158.9</v>
      </c>
    </row>
    <row r="8897" spans="1:6" ht="15" customHeight="1" x14ac:dyDescent="0.25">
      <c r="A8897" s="2349" t="s">
        <v>19393</v>
      </c>
      <c r="B8897" s="2349" t="s">
        <v>11565</v>
      </c>
      <c r="C8897" s="2349" t="s">
        <v>11565</v>
      </c>
      <c r="D8897" s="2349" t="s">
        <v>12307</v>
      </c>
      <c r="E8897" s="2350" t="s">
        <v>4199</v>
      </c>
      <c r="F8897" s="2350">
        <v>87.21</v>
      </c>
    </row>
    <row r="8898" spans="1:6" ht="15" customHeight="1" x14ac:dyDescent="0.25">
      <c r="A8898" s="2349" t="s">
        <v>19393</v>
      </c>
      <c r="B8898" s="2349" t="s">
        <v>11565</v>
      </c>
      <c r="C8898" s="2349" t="s">
        <v>11565</v>
      </c>
      <c r="D8898" s="2349" t="s">
        <v>12308</v>
      </c>
      <c r="E8898" s="2350" t="s">
        <v>4199</v>
      </c>
      <c r="F8898" s="2350">
        <v>108.04</v>
      </c>
    </row>
    <row r="8899" spans="1:6" ht="15" customHeight="1" x14ac:dyDescent="0.25">
      <c r="A8899" s="2349" t="s">
        <v>19393</v>
      </c>
      <c r="B8899" s="2349" t="s">
        <v>11565</v>
      </c>
      <c r="C8899" s="2349" t="s">
        <v>11565</v>
      </c>
      <c r="D8899" s="2349" t="s">
        <v>12309</v>
      </c>
      <c r="E8899" s="2350" t="s">
        <v>12310</v>
      </c>
      <c r="F8899" s="2350">
        <v>55.43</v>
      </c>
    </row>
    <row r="8900" spans="1:6" ht="15" customHeight="1" x14ac:dyDescent="0.25">
      <c r="A8900" s="2349" t="s">
        <v>19393</v>
      </c>
      <c r="B8900" s="2349" t="s">
        <v>11565</v>
      </c>
      <c r="C8900" s="2349" t="s">
        <v>11565</v>
      </c>
      <c r="D8900" s="2349" t="s">
        <v>12311</v>
      </c>
      <c r="E8900" s="2350">
        <v>400</v>
      </c>
      <c r="F8900" s="2350">
        <v>119.18</v>
      </c>
    </row>
    <row r="8901" spans="1:6" ht="15" customHeight="1" x14ac:dyDescent="0.25">
      <c r="A8901" s="2349" t="s">
        <v>19393</v>
      </c>
      <c r="B8901" s="2349" t="s">
        <v>11565</v>
      </c>
      <c r="C8901" s="2349" t="s">
        <v>11565</v>
      </c>
      <c r="D8901" s="2349" t="s">
        <v>12312</v>
      </c>
      <c r="E8901" s="2350">
        <v>630</v>
      </c>
      <c r="F8901" s="2350">
        <v>294.70999999999998</v>
      </c>
    </row>
    <row r="8902" spans="1:6" ht="15" customHeight="1" x14ac:dyDescent="0.25">
      <c r="A8902" s="2349" t="s">
        <v>19393</v>
      </c>
      <c r="B8902" s="2349" t="s">
        <v>11565</v>
      </c>
      <c r="C8902" s="2349" t="s">
        <v>11565</v>
      </c>
      <c r="D8902" s="2349" t="s">
        <v>12313</v>
      </c>
      <c r="E8902" s="2350" t="s">
        <v>12314</v>
      </c>
      <c r="F8902" s="2350">
        <v>17.93</v>
      </c>
    </row>
    <row r="8903" spans="1:6" ht="15" customHeight="1" x14ac:dyDescent="0.25">
      <c r="A8903" s="2349" t="s">
        <v>19393</v>
      </c>
      <c r="B8903" s="2349" t="s">
        <v>11565</v>
      </c>
      <c r="C8903" s="2349" t="s">
        <v>11565</v>
      </c>
      <c r="D8903" s="2349" t="s">
        <v>12315</v>
      </c>
      <c r="E8903" s="2350">
        <v>630</v>
      </c>
      <c r="F8903" s="2350">
        <v>239.97</v>
      </c>
    </row>
    <row r="8904" spans="1:6" ht="15" customHeight="1" x14ac:dyDescent="0.25">
      <c r="A8904" s="2349" t="s">
        <v>19393</v>
      </c>
      <c r="B8904" s="2349" t="s">
        <v>11565</v>
      </c>
      <c r="C8904" s="2349" t="s">
        <v>11565</v>
      </c>
      <c r="D8904" s="2349" t="s">
        <v>12316</v>
      </c>
      <c r="E8904" s="2350">
        <v>160</v>
      </c>
      <c r="F8904" s="2350">
        <v>38.369999999999997</v>
      </c>
    </row>
    <row r="8905" spans="1:6" ht="15" customHeight="1" x14ac:dyDescent="0.25">
      <c r="A8905" s="2349" t="s">
        <v>19393</v>
      </c>
      <c r="B8905" s="2349" t="s">
        <v>11565</v>
      </c>
      <c r="C8905" s="2349" t="s">
        <v>11565</v>
      </c>
      <c r="D8905" s="2349" t="s">
        <v>12317</v>
      </c>
      <c r="E8905" s="2350" t="s">
        <v>4202</v>
      </c>
      <c r="F8905" s="2350">
        <v>109.12</v>
      </c>
    </row>
    <row r="8906" spans="1:6" ht="15" customHeight="1" x14ac:dyDescent="0.25">
      <c r="A8906" s="2349" t="s">
        <v>19393</v>
      </c>
      <c r="B8906" s="2349" t="s">
        <v>11565</v>
      </c>
      <c r="C8906" s="2349" t="s">
        <v>11565</v>
      </c>
      <c r="D8906" s="2349" t="s">
        <v>12318</v>
      </c>
      <c r="E8906" s="2350">
        <v>160</v>
      </c>
      <c r="F8906" s="2350">
        <v>29.65</v>
      </c>
    </row>
    <row r="8907" spans="1:6" ht="15" customHeight="1" x14ac:dyDescent="0.25">
      <c r="A8907" s="2349" t="s">
        <v>19393</v>
      </c>
      <c r="B8907" s="2349" t="s">
        <v>11565</v>
      </c>
      <c r="C8907" s="2349" t="s">
        <v>11565</v>
      </c>
      <c r="D8907" s="2349" t="s">
        <v>12319</v>
      </c>
      <c r="E8907" s="2350">
        <v>250</v>
      </c>
      <c r="F8907" s="2350">
        <v>163.37</v>
      </c>
    </row>
    <row r="8908" spans="1:6" ht="15" customHeight="1" x14ac:dyDescent="0.25">
      <c r="A8908" s="2349" t="s">
        <v>19393</v>
      </c>
      <c r="B8908" s="2349" t="s">
        <v>11565</v>
      </c>
      <c r="C8908" s="2349" t="s">
        <v>11565</v>
      </c>
      <c r="D8908" s="2349" t="s">
        <v>12320</v>
      </c>
      <c r="E8908" s="2350" t="s">
        <v>4199</v>
      </c>
      <c r="F8908" s="2350">
        <v>108</v>
      </c>
    </row>
    <row r="8909" spans="1:6" ht="15" customHeight="1" x14ac:dyDescent="0.25">
      <c r="A8909" s="2349" t="s">
        <v>19393</v>
      </c>
      <c r="B8909" s="2349" t="s">
        <v>11565</v>
      </c>
      <c r="C8909" s="2349" t="s">
        <v>11565</v>
      </c>
      <c r="D8909" s="2349" t="s">
        <v>12321</v>
      </c>
      <c r="E8909" s="2350">
        <v>400</v>
      </c>
      <c r="F8909" s="2350">
        <v>80</v>
      </c>
    </row>
    <row r="8910" spans="1:6" ht="15" customHeight="1" x14ac:dyDescent="0.25">
      <c r="A8910" s="2349" t="s">
        <v>19393</v>
      </c>
      <c r="B8910" s="2349" t="s">
        <v>11565</v>
      </c>
      <c r="C8910" s="2349" t="s">
        <v>11565</v>
      </c>
      <c r="D8910" s="2349" t="s">
        <v>12322</v>
      </c>
      <c r="E8910" s="2350" t="s">
        <v>4199</v>
      </c>
      <c r="F8910" s="2350">
        <v>86.24</v>
      </c>
    </row>
    <row r="8911" spans="1:6" ht="15" customHeight="1" x14ac:dyDescent="0.25">
      <c r="A8911" s="2349" t="s">
        <v>19393</v>
      </c>
      <c r="B8911" s="2349" t="s">
        <v>11565</v>
      </c>
      <c r="C8911" s="2349" t="s">
        <v>11565</v>
      </c>
      <c r="D8911" s="2349" t="s">
        <v>12323</v>
      </c>
      <c r="E8911" s="2350" t="s">
        <v>4199</v>
      </c>
      <c r="F8911" s="2350">
        <v>90.6</v>
      </c>
    </row>
    <row r="8912" spans="1:6" ht="15" customHeight="1" x14ac:dyDescent="0.25">
      <c r="A8912" s="2349" t="s">
        <v>19393</v>
      </c>
      <c r="B8912" s="2349" t="s">
        <v>11565</v>
      </c>
      <c r="C8912" s="2349" t="s">
        <v>11565</v>
      </c>
      <c r="D8912" s="2349" t="s">
        <v>12324</v>
      </c>
      <c r="E8912" s="2350" t="s">
        <v>4200</v>
      </c>
      <c r="F8912" s="2350">
        <v>23.35</v>
      </c>
    </row>
    <row r="8913" spans="1:6" ht="15" customHeight="1" x14ac:dyDescent="0.25">
      <c r="A8913" s="2349" t="s">
        <v>19393</v>
      </c>
      <c r="B8913" s="2349" t="s">
        <v>11565</v>
      </c>
      <c r="C8913" s="2349" t="s">
        <v>11565</v>
      </c>
      <c r="D8913" s="2349" t="s">
        <v>12325</v>
      </c>
      <c r="E8913" s="2350" t="s">
        <v>4863</v>
      </c>
      <c r="F8913" s="2350">
        <v>52.33</v>
      </c>
    </row>
    <row r="8914" spans="1:6" ht="15" customHeight="1" x14ac:dyDescent="0.25">
      <c r="A8914" s="2349" t="s">
        <v>19393</v>
      </c>
      <c r="B8914" s="2349" t="s">
        <v>11565</v>
      </c>
      <c r="C8914" s="2349" t="s">
        <v>11565</v>
      </c>
      <c r="D8914" s="2349" t="s">
        <v>12326</v>
      </c>
      <c r="E8914" s="2350" t="s">
        <v>4199</v>
      </c>
      <c r="F8914" s="2350">
        <v>124.02</v>
      </c>
    </row>
    <row r="8915" spans="1:6" ht="15" customHeight="1" x14ac:dyDescent="0.25">
      <c r="A8915" s="2349" t="s">
        <v>19393</v>
      </c>
      <c r="B8915" s="2349" t="s">
        <v>11565</v>
      </c>
      <c r="C8915" s="2349" t="s">
        <v>11565</v>
      </c>
      <c r="D8915" s="2349" t="s">
        <v>12327</v>
      </c>
      <c r="E8915" s="2350">
        <v>400</v>
      </c>
      <c r="F8915" s="2350">
        <v>115.79</v>
      </c>
    </row>
    <row r="8916" spans="1:6" ht="15" customHeight="1" x14ac:dyDescent="0.25">
      <c r="A8916" s="2349" t="s">
        <v>19393</v>
      </c>
      <c r="B8916" s="2349" t="s">
        <v>11565</v>
      </c>
      <c r="C8916" s="2349" t="s">
        <v>11565</v>
      </c>
      <c r="D8916" s="2349" t="s">
        <v>12328</v>
      </c>
      <c r="E8916" s="2350">
        <v>160</v>
      </c>
      <c r="F8916" s="2350">
        <v>6.4</v>
      </c>
    </row>
    <row r="8917" spans="1:6" ht="15" customHeight="1" x14ac:dyDescent="0.25">
      <c r="A8917" s="2349" t="s">
        <v>19393</v>
      </c>
      <c r="B8917" s="2349" t="s">
        <v>11565</v>
      </c>
      <c r="C8917" s="2349" t="s">
        <v>11565</v>
      </c>
      <c r="D8917" s="2349" t="s">
        <v>12329</v>
      </c>
      <c r="E8917" s="2350" t="s">
        <v>4199</v>
      </c>
      <c r="F8917" s="2350">
        <v>131.29</v>
      </c>
    </row>
    <row r="8918" spans="1:6" ht="15" customHeight="1" x14ac:dyDescent="0.25">
      <c r="A8918" s="2349" t="s">
        <v>19393</v>
      </c>
      <c r="B8918" s="2349" t="s">
        <v>11565</v>
      </c>
      <c r="C8918" s="2349" t="s">
        <v>11565</v>
      </c>
      <c r="D8918" s="2349" t="s">
        <v>12330</v>
      </c>
      <c r="E8918" s="2350">
        <v>400</v>
      </c>
      <c r="F8918" s="2350">
        <v>20</v>
      </c>
    </row>
    <row r="8919" spans="1:6" ht="15" customHeight="1" x14ac:dyDescent="0.25">
      <c r="A8919" s="2349" t="s">
        <v>19393</v>
      </c>
      <c r="B8919" s="2349" t="s">
        <v>11565</v>
      </c>
      <c r="C8919" s="2349" t="s">
        <v>11565</v>
      </c>
      <c r="D8919" s="2349" t="s">
        <v>12331</v>
      </c>
      <c r="E8919" s="2350" t="s">
        <v>12332</v>
      </c>
      <c r="F8919" s="2350">
        <v>110.46</v>
      </c>
    </row>
    <row r="8920" spans="1:6" ht="15" customHeight="1" x14ac:dyDescent="0.25">
      <c r="A8920" s="2349" t="s">
        <v>19393</v>
      </c>
      <c r="B8920" s="2349" t="s">
        <v>11565</v>
      </c>
      <c r="C8920" s="2349" t="s">
        <v>11565</v>
      </c>
      <c r="D8920" s="2349" t="s">
        <v>12333</v>
      </c>
      <c r="E8920" s="2350">
        <v>400</v>
      </c>
      <c r="F8920" s="2350">
        <v>108.04</v>
      </c>
    </row>
    <row r="8921" spans="1:6" ht="15" customHeight="1" x14ac:dyDescent="0.25">
      <c r="A8921" s="2349" t="s">
        <v>19393</v>
      </c>
      <c r="B8921" s="2349" t="s">
        <v>11565</v>
      </c>
      <c r="C8921" s="2349" t="s">
        <v>11565</v>
      </c>
      <c r="D8921" s="2349" t="s">
        <v>12334</v>
      </c>
      <c r="E8921" s="2350">
        <v>250</v>
      </c>
      <c r="F8921" s="2350">
        <v>71.819999999999993</v>
      </c>
    </row>
    <row r="8922" spans="1:6" ht="15" customHeight="1" x14ac:dyDescent="0.25">
      <c r="A8922" s="2349" t="s">
        <v>19393</v>
      </c>
      <c r="B8922" s="2349" t="s">
        <v>11565</v>
      </c>
      <c r="C8922" s="2349" t="s">
        <v>11565</v>
      </c>
      <c r="D8922" s="2349" t="s">
        <v>12335</v>
      </c>
      <c r="E8922" s="2350" t="s">
        <v>4202</v>
      </c>
      <c r="F8922" s="2350">
        <v>34.04</v>
      </c>
    </row>
    <row r="8923" spans="1:6" ht="15" customHeight="1" x14ac:dyDescent="0.25">
      <c r="A8923" s="2349" t="s">
        <v>19393</v>
      </c>
      <c r="B8923" s="2349" t="s">
        <v>11565</v>
      </c>
      <c r="C8923" s="2349" t="s">
        <v>11565</v>
      </c>
      <c r="D8923" s="2349" t="s">
        <v>12336</v>
      </c>
      <c r="E8923" s="2350" t="s">
        <v>12337</v>
      </c>
      <c r="F8923" s="2350">
        <v>5</v>
      </c>
    </row>
    <row r="8924" spans="1:6" ht="15" customHeight="1" x14ac:dyDescent="0.25">
      <c r="A8924" s="2349" t="s">
        <v>19393</v>
      </c>
      <c r="B8924" s="2349" t="s">
        <v>11565</v>
      </c>
      <c r="C8924" s="2349" t="s">
        <v>11565</v>
      </c>
      <c r="D8924" s="2349" t="s">
        <v>12338</v>
      </c>
      <c r="E8924" s="2350">
        <v>100</v>
      </c>
      <c r="F8924" s="2350">
        <v>30.76</v>
      </c>
    </row>
    <row r="8925" spans="1:6" ht="15" customHeight="1" x14ac:dyDescent="0.25">
      <c r="A8925" s="2349" t="s">
        <v>19393</v>
      </c>
      <c r="B8925" s="2349" t="s">
        <v>11565</v>
      </c>
      <c r="C8925" s="2349" t="s">
        <v>11565</v>
      </c>
      <c r="D8925" s="2349" t="s">
        <v>12339</v>
      </c>
      <c r="E8925" s="2350">
        <v>400</v>
      </c>
      <c r="F8925" s="2350">
        <v>76.55</v>
      </c>
    </row>
    <row r="8926" spans="1:6" ht="15" customHeight="1" x14ac:dyDescent="0.25">
      <c r="A8926" s="2349" t="s">
        <v>19393</v>
      </c>
      <c r="B8926" s="2349" t="s">
        <v>11565</v>
      </c>
      <c r="C8926" s="2349" t="s">
        <v>11565</v>
      </c>
      <c r="D8926" s="2349" t="s">
        <v>12340</v>
      </c>
      <c r="E8926" s="2350">
        <v>250</v>
      </c>
      <c r="F8926" s="2350">
        <v>15</v>
      </c>
    </row>
    <row r="8927" spans="1:6" ht="15" customHeight="1" x14ac:dyDescent="0.25">
      <c r="A8927" s="2349" t="s">
        <v>19393</v>
      </c>
      <c r="B8927" s="2349" t="s">
        <v>11565</v>
      </c>
      <c r="C8927" s="2349" t="s">
        <v>11565</v>
      </c>
      <c r="D8927" s="2349" t="s">
        <v>12341</v>
      </c>
      <c r="E8927" s="2350" t="s">
        <v>4199</v>
      </c>
      <c r="F8927" s="2350">
        <v>122.08</v>
      </c>
    </row>
    <row r="8928" spans="1:6" ht="15" customHeight="1" x14ac:dyDescent="0.25">
      <c r="A8928" s="2349" t="s">
        <v>19393</v>
      </c>
      <c r="B8928" s="2349" t="s">
        <v>11565</v>
      </c>
      <c r="C8928" s="2349" t="s">
        <v>11565</v>
      </c>
      <c r="D8928" s="2349" t="s">
        <v>12342</v>
      </c>
      <c r="E8928" s="2350" t="s">
        <v>4199</v>
      </c>
      <c r="F8928" s="2350">
        <v>106.74</v>
      </c>
    </row>
    <row r="8929" spans="1:6" ht="15" customHeight="1" x14ac:dyDescent="0.25">
      <c r="A8929" s="2349" t="s">
        <v>19393</v>
      </c>
      <c r="B8929" s="2349" t="s">
        <v>11565</v>
      </c>
      <c r="C8929" s="2349" t="s">
        <v>11565</v>
      </c>
      <c r="D8929" s="2349" t="s">
        <v>12343</v>
      </c>
      <c r="E8929" s="2350" t="s">
        <v>4199</v>
      </c>
      <c r="F8929" s="2350">
        <v>127.35</v>
      </c>
    </row>
    <row r="8930" spans="1:6" ht="15" customHeight="1" x14ac:dyDescent="0.25">
      <c r="A8930" s="2349" t="s">
        <v>19393</v>
      </c>
      <c r="B8930" s="2349" t="s">
        <v>11565</v>
      </c>
      <c r="C8930" s="2349" t="s">
        <v>11565</v>
      </c>
      <c r="D8930" s="2349" t="s">
        <v>12344</v>
      </c>
      <c r="E8930" s="2350">
        <v>250</v>
      </c>
      <c r="F8930" s="2350" t="s">
        <v>12345</v>
      </c>
    </row>
    <row r="8931" spans="1:6" ht="15" customHeight="1" x14ac:dyDescent="0.25">
      <c r="A8931" s="2349" t="s">
        <v>19393</v>
      </c>
      <c r="B8931" s="2349" t="s">
        <v>11565</v>
      </c>
      <c r="C8931" s="2349" t="s">
        <v>11565</v>
      </c>
      <c r="D8931" s="2349" t="s">
        <v>12346</v>
      </c>
      <c r="E8931" s="2350">
        <v>250</v>
      </c>
      <c r="F8931" s="2350">
        <v>225</v>
      </c>
    </row>
    <row r="8932" spans="1:6" ht="15" customHeight="1" x14ac:dyDescent="0.25">
      <c r="A8932" s="2349" t="s">
        <v>19393</v>
      </c>
      <c r="B8932" s="2349" t="s">
        <v>11565</v>
      </c>
      <c r="C8932" s="2349" t="s">
        <v>11565</v>
      </c>
      <c r="D8932" s="2349" t="s">
        <v>12347</v>
      </c>
      <c r="E8932" s="2350">
        <v>400</v>
      </c>
      <c r="F8932" s="2350">
        <v>155.58000000000001</v>
      </c>
    </row>
    <row r="8933" spans="1:6" ht="15" customHeight="1" x14ac:dyDescent="0.25">
      <c r="A8933" s="2349" t="s">
        <v>19393</v>
      </c>
      <c r="B8933" s="2349" t="s">
        <v>11565</v>
      </c>
      <c r="C8933" s="2349" t="s">
        <v>11565</v>
      </c>
      <c r="D8933" s="2349" t="s">
        <v>12348</v>
      </c>
      <c r="E8933" s="2350">
        <v>400</v>
      </c>
      <c r="F8933" s="2350">
        <v>120</v>
      </c>
    </row>
    <row r="8934" spans="1:6" ht="15" customHeight="1" x14ac:dyDescent="0.25">
      <c r="A8934" s="2349" t="s">
        <v>19393</v>
      </c>
      <c r="B8934" s="2349" t="s">
        <v>11565</v>
      </c>
      <c r="C8934" s="2349" t="s">
        <v>11565</v>
      </c>
      <c r="D8934" s="2349" t="s">
        <v>12349</v>
      </c>
      <c r="E8934" s="2350">
        <v>100</v>
      </c>
      <c r="F8934" s="2350">
        <v>18</v>
      </c>
    </row>
    <row r="8935" spans="1:6" ht="15" customHeight="1" x14ac:dyDescent="0.25">
      <c r="A8935" s="2349" t="s">
        <v>19393</v>
      </c>
      <c r="B8935" s="2349" t="s">
        <v>11565</v>
      </c>
      <c r="C8935" s="2349" t="s">
        <v>11565</v>
      </c>
      <c r="D8935" s="2349" t="s">
        <v>12350</v>
      </c>
      <c r="E8935" s="2350" t="s">
        <v>4202</v>
      </c>
      <c r="F8935" s="2350">
        <v>25</v>
      </c>
    </row>
    <row r="8936" spans="1:6" ht="15" customHeight="1" x14ac:dyDescent="0.25">
      <c r="A8936" s="2349" t="s">
        <v>19393</v>
      </c>
      <c r="B8936" s="2349" t="s">
        <v>11565</v>
      </c>
      <c r="C8936" s="2349" t="s">
        <v>11565</v>
      </c>
      <c r="D8936" s="2349" t="s">
        <v>12351</v>
      </c>
      <c r="E8936" s="2350" t="s">
        <v>4199</v>
      </c>
      <c r="F8936" s="2350">
        <v>184.37</v>
      </c>
    </row>
    <row r="8937" spans="1:6" ht="15" customHeight="1" x14ac:dyDescent="0.25">
      <c r="A8937" s="2349" t="s">
        <v>19393</v>
      </c>
      <c r="B8937" s="2349" t="s">
        <v>11565</v>
      </c>
      <c r="C8937" s="2349" t="s">
        <v>11565</v>
      </c>
      <c r="D8937" s="2349" t="s">
        <v>12352</v>
      </c>
      <c r="E8937" s="2350" t="s">
        <v>4199</v>
      </c>
      <c r="F8937" s="2350">
        <v>174.96</v>
      </c>
    </row>
    <row r="8938" spans="1:6" ht="15" customHeight="1" x14ac:dyDescent="0.25">
      <c r="A8938" s="2349" t="s">
        <v>19393</v>
      </c>
      <c r="B8938" s="2349" t="s">
        <v>11565</v>
      </c>
      <c r="C8938" s="2349" t="s">
        <v>11565</v>
      </c>
      <c r="D8938" s="2349" t="s">
        <v>12353</v>
      </c>
      <c r="E8938" s="2350" t="s">
        <v>4199</v>
      </c>
      <c r="F8938" s="2350">
        <v>170.53</v>
      </c>
    </row>
    <row r="8939" spans="1:6" ht="15" customHeight="1" x14ac:dyDescent="0.25">
      <c r="A8939" s="2349" t="s">
        <v>19393</v>
      </c>
      <c r="B8939" s="2349" t="s">
        <v>11565</v>
      </c>
      <c r="C8939" s="2349" t="s">
        <v>11565</v>
      </c>
      <c r="D8939" s="2349" t="s">
        <v>12354</v>
      </c>
      <c r="E8939" s="2350">
        <v>250</v>
      </c>
      <c r="F8939" s="2350">
        <v>84.85</v>
      </c>
    </row>
    <row r="8940" spans="1:6" ht="15" customHeight="1" x14ac:dyDescent="0.25">
      <c r="A8940" s="2349" t="s">
        <v>19393</v>
      </c>
      <c r="B8940" s="2349" t="s">
        <v>11565</v>
      </c>
      <c r="C8940" s="2349" t="s">
        <v>11565</v>
      </c>
      <c r="D8940" s="2349" t="s">
        <v>12355</v>
      </c>
      <c r="E8940" s="2350">
        <v>250</v>
      </c>
      <c r="F8940" s="2350">
        <v>84.85</v>
      </c>
    </row>
    <row r="8941" spans="1:6" ht="15" customHeight="1" x14ac:dyDescent="0.25">
      <c r="A8941" s="2349" t="s">
        <v>19393</v>
      </c>
      <c r="B8941" s="2349" t="s">
        <v>11565</v>
      </c>
      <c r="C8941" s="2349" t="s">
        <v>11565</v>
      </c>
      <c r="D8941" s="2349" t="s">
        <v>12356</v>
      </c>
      <c r="E8941" s="2350" t="s">
        <v>4199</v>
      </c>
      <c r="F8941" s="2350">
        <v>167.21</v>
      </c>
    </row>
    <row r="8942" spans="1:6" ht="15" customHeight="1" x14ac:dyDescent="0.25">
      <c r="A8942" s="2349" t="s">
        <v>19393</v>
      </c>
      <c r="B8942" s="2349" t="s">
        <v>11565</v>
      </c>
      <c r="C8942" s="2349" t="s">
        <v>11565</v>
      </c>
      <c r="D8942" s="2349" t="s">
        <v>12357</v>
      </c>
      <c r="E8942" s="2350">
        <v>250</v>
      </c>
      <c r="F8942" s="2350">
        <v>126.92</v>
      </c>
    </row>
    <row r="8943" spans="1:6" ht="15" customHeight="1" x14ac:dyDescent="0.25">
      <c r="A8943" s="2349" t="s">
        <v>19393</v>
      </c>
      <c r="B8943" s="2349" t="s">
        <v>11565</v>
      </c>
      <c r="C8943" s="2349" t="s">
        <v>11565</v>
      </c>
      <c r="D8943" s="2349" t="s">
        <v>12358</v>
      </c>
      <c r="E8943" s="2350" t="s">
        <v>4202</v>
      </c>
      <c r="F8943" s="2350">
        <v>104.78</v>
      </c>
    </row>
    <row r="8944" spans="1:6" ht="15" customHeight="1" x14ac:dyDescent="0.25">
      <c r="A8944" s="2349" t="s">
        <v>19393</v>
      </c>
      <c r="B8944" s="2349" t="s">
        <v>11565</v>
      </c>
      <c r="C8944" s="2349" t="s">
        <v>11565</v>
      </c>
      <c r="D8944" s="2349" t="s">
        <v>12359</v>
      </c>
      <c r="E8944" s="2350">
        <v>200</v>
      </c>
      <c r="F8944" s="2350">
        <v>65.33</v>
      </c>
    </row>
    <row r="8945" spans="1:6" ht="15" customHeight="1" x14ac:dyDescent="0.25">
      <c r="A8945" s="2349" t="s">
        <v>19393</v>
      </c>
      <c r="B8945" s="2349" t="s">
        <v>11565</v>
      </c>
      <c r="C8945" s="2349" t="s">
        <v>11565</v>
      </c>
      <c r="D8945" s="2349" t="s">
        <v>12360</v>
      </c>
      <c r="E8945" s="2350" t="s">
        <v>5551</v>
      </c>
      <c r="F8945" s="2350">
        <v>190.11</v>
      </c>
    </row>
    <row r="8946" spans="1:6" ht="15" customHeight="1" x14ac:dyDescent="0.25">
      <c r="A8946" s="2349" t="s">
        <v>19393</v>
      </c>
      <c r="B8946" s="2349" t="s">
        <v>11565</v>
      </c>
      <c r="C8946" s="2349" t="s">
        <v>11565</v>
      </c>
      <c r="D8946" s="2349" t="s">
        <v>12361</v>
      </c>
      <c r="E8946" s="2350">
        <v>100</v>
      </c>
      <c r="F8946" s="2350">
        <v>19.100000000000001</v>
      </c>
    </row>
    <row r="8947" spans="1:6" ht="15" customHeight="1" x14ac:dyDescent="0.25">
      <c r="A8947" s="2349" t="s">
        <v>19393</v>
      </c>
      <c r="B8947" s="2349" t="s">
        <v>11565</v>
      </c>
      <c r="C8947" s="2349" t="s">
        <v>11565</v>
      </c>
      <c r="D8947" s="2349" t="s">
        <v>12362</v>
      </c>
      <c r="E8947" s="2350">
        <v>100</v>
      </c>
      <c r="F8947" s="2350">
        <v>25.19</v>
      </c>
    </row>
    <row r="8948" spans="1:6" ht="15" customHeight="1" x14ac:dyDescent="0.25">
      <c r="A8948" s="2349" t="s">
        <v>19393</v>
      </c>
      <c r="B8948" s="2349" t="s">
        <v>11565</v>
      </c>
      <c r="C8948" s="2349" t="s">
        <v>11565</v>
      </c>
      <c r="D8948" s="2349" t="s">
        <v>12363</v>
      </c>
      <c r="E8948" s="2350">
        <v>160</v>
      </c>
      <c r="F8948" s="2350">
        <v>10</v>
      </c>
    </row>
    <row r="8949" spans="1:6" ht="15" customHeight="1" x14ac:dyDescent="0.25">
      <c r="A8949" s="2349" t="s">
        <v>19393</v>
      </c>
      <c r="B8949" s="2349" t="s">
        <v>11565</v>
      </c>
      <c r="C8949" s="2349" t="s">
        <v>11565</v>
      </c>
      <c r="D8949" s="2349" t="s">
        <v>12364</v>
      </c>
      <c r="E8949" s="2350" t="s">
        <v>4200</v>
      </c>
      <c r="F8949" s="2350">
        <v>16.73</v>
      </c>
    </row>
    <row r="8950" spans="1:6" ht="15" customHeight="1" x14ac:dyDescent="0.25">
      <c r="A8950" s="2349" t="s">
        <v>19393</v>
      </c>
      <c r="B8950" s="2349" t="s">
        <v>11565</v>
      </c>
      <c r="C8950" s="2349" t="s">
        <v>11565</v>
      </c>
      <c r="D8950" s="2349" t="s">
        <v>12365</v>
      </c>
      <c r="E8950" s="2350" t="s">
        <v>4202</v>
      </c>
      <c r="F8950" s="2350">
        <v>115.3</v>
      </c>
    </row>
    <row r="8951" spans="1:6" ht="15" customHeight="1" x14ac:dyDescent="0.25">
      <c r="A8951" s="2349" t="s">
        <v>19393</v>
      </c>
      <c r="B8951" s="2349" t="s">
        <v>11565</v>
      </c>
      <c r="C8951" s="2349" t="s">
        <v>11565</v>
      </c>
      <c r="D8951" s="2349" t="s">
        <v>12366</v>
      </c>
      <c r="E8951" s="2350">
        <v>100</v>
      </c>
      <c r="F8951" s="2350" t="s">
        <v>19528</v>
      </c>
    </row>
    <row r="8952" spans="1:6" ht="15" customHeight="1" x14ac:dyDescent="0.25">
      <c r="A8952" s="2349" t="s">
        <v>19393</v>
      </c>
      <c r="B8952" s="2349" t="s">
        <v>11565</v>
      </c>
      <c r="C8952" s="2349" t="s">
        <v>11565</v>
      </c>
      <c r="D8952" s="2349" t="s">
        <v>12367</v>
      </c>
      <c r="E8952" s="2350">
        <v>100</v>
      </c>
      <c r="F8952" s="2350">
        <v>35.71</v>
      </c>
    </row>
    <row r="8953" spans="1:6" ht="15" customHeight="1" x14ac:dyDescent="0.25">
      <c r="A8953" s="2349" t="s">
        <v>19393</v>
      </c>
      <c r="B8953" s="2349" t="s">
        <v>11565</v>
      </c>
      <c r="C8953" s="2349" t="s">
        <v>11565</v>
      </c>
      <c r="D8953" s="2349" t="s">
        <v>12368</v>
      </c>
      <c r="E8953" s="2350">
        <v>160</v>
      </c>
      <c r="F8953" s="2350">
        <v>122.46</v>
      </c>
    </row>
    <row r="8954" spans="1:6" ht="15" customHeight="1" x14ac:dyDescent="0.25">
      <c r="A8954" s="2349" t="s">
        <v>19393</v>
      </c>
      <c r="B8954" s="2349" t="s">
        <v>11565</v>
      </c>
      <c r="C8954" s="2349" t="s">
        <v>11565</v>
      </c>
      <c r="D8954" s="2349" t="s">
        <v>12369</v>
      </c>
      <c r="E8954" s="2350">
        <v>100</v>
      </c>
      <c r="F8954" s="2350">
        <v>41.25</v>
      </c>
    </row>
    <row r="8955" spans="1:6" ht="15" customHeight="1" x14ac:dyDescent="0.25">
      <c r="A8955" s="2349" t="s">
        <v>19393</v>
      </c>
      <c r="B8955" s="2349" t="s">
        <v>11565</v>
      </c>
      <c r="C8955" s="2349" t="s">
        <v>11565</v>
      </c>
      <c r="D8955" s="2349" t="s">
        <v>12370</v>
      </c>
      <c r="E8955" s="2350">
        <v>160</v>
      </c>
      <c r="F8955" s="2350" t="s">
        <v>20290</v>
      </c>
    </row>
    <row r="8956" spans="1:6" ht="15" customHeight="1" x14ac:dyDescent="0.25">
      <c r="A8956" s="2349" t="s">
        <v>19393</v>
      </c>
      <c r="B8956" s="2349" t="s">
        <v>11565</v>
      </c>
      <c r="C8956" s="2349" t="s">
        <v>11565</v>
      </c>
      <c r="D8956" s="2349" t="s">
        <v>12371</v>
      </c>
      <c r="E8956" s="2350">
        <v>100</v>
      </c>
      <c r="F8956" s="2350">
        <v>22.98</v>
      </c>
    </row>
    <row r="8957" spans="1:6" ht="15" customHeight="1" x14ac:dyDescent="0.25">
      <c r="A8957" s="2349" t="s">
        <v>19393</v>
      </c>
      <c r="B8957" s="2349" t="s">
        <v>11565</v>
      </c>
      <c r="C8957" s="2349" t="s">
        <v>11565</v>
      </c>
      <c r="D8957" s="2349" t="s">
        <v>12372</v>
      </c>
      <c r="E8957" s="2350">
        <v>100</v>
      </c>
      <c r="F8957" s="2350">
        <v>14.12</v>
      </c>
    </row>
    <row r="8958" spans="1:6" ht="15" customHeight="1" x14ac:dyDescent="0.25">
      <c r="A8958" s="2349" t="s">
        <v>3783</v>
      </c>
      <c r="B8958" s="2349" t="s">
        <v>9654</v>
      </c>
      <c r="C8958" s="2349" t="s">
        <v>9654</v>
      </c>
      <c r="D8958" s="2349" t="s">
        <v>9216</v>
      </c>
      <c r="E8958" s="2350">
        <v>160</v>
      </c>
      <c r="F8958" s="2350">
        <v>130</v>
      </c>
    </row>
    <row r="8959" spans="1:6" ht="15" customHeight="1" x14ac:dyDescent="0.25">
      <c r="A8959" s="2349" t="s">
        <v>9217</v>
      </c>
      <c r="B8959" s="2349" t="s">
        <v>9654</v>
      </c>
      <c r="C8959" s="2349" t="s">
        <v>9654</v>
      </c>
      <c r="D8959" s="2349" t="s">
        <v>9218</v>
      </c>
      <c r="E8959" s="2350">
        <v>60</v>
      </c>
      <c r="F8959" s="2350">
        <v>5</v>
      </c>
    </row>
    <row r="8960" spans="1:6" ht="15" customHeight="1" x14ac:dyDescent="0.25">
      <c r="A8960" s="2349" t="s">
        <v>9217</v>
      </c>
      <c r="B8960" s="2349" t="s">
        <v>9654</v>
      </c>
      <c r="C8960" s="2349" t="s">
        <v>9654</v>
      </c>
      <c r="D8960" s="2349" t="s">
        <v>9219</v>
      </c>
      <c r="E8960" s="2350">
        <v>100</v>
      </c>
      <c r="F8960" s="2350">
        <v>30</v>
      </c>
    </row>
    <row r="8961" spans="1:6" ht="15" customHeight="1" x14ac:dyDescent="0.25">
      <c r="A8961" s="2349" t="s">
        <v>9220</v>
      </c>
      <c r="B8961" s="2349" t="s">
        <v>9654</v>
      </c>
      <c r="C8961" s="2349" t="s">
        <v>9654</v>
      </c>
      <c r="D8961" s="2349" t="s">
        <v>9221</v>
      </c>
      <c r="E8961" s="2350">
        <v>100</v>
      </c>
      <c r="F8961" s="2350">
        <v>50</v>
      </c>
    </row>
    <row r="8962" spans="1:6" ht="15" customHeight="1" x14ac:dyDescent="0.25">
      <c r="A8962" s="2349" t="s">
        <v>9222</v>
      </c>
      <c r="B8962" s="2349" t="s">
        <v>9654</v>
      </c>
      <c r="C8962" s="2349" t="s">
        <v>9654</v>
      </c>
      <c r="D8962" s="2349" t="s">
        <v>9223</v>
      </c>
      <c r="E8962" s="2350">
        <v>100</v>
      </c>
      <c r="F8962" s="2350">
        <v>50</v>
      </c>
    </row>
    <row r="8963" spans="1:6" ht="15" customHeight="1" x14ac:dyDescent="0.25">
      <c r="A8963" s="2349" t="s">
        <v>9224</v>
      </c>
      <c r="B8963" s="2349" t="s">
        <v>9654</v>
      </c>
      <c r="C8963" s="2349" t="s">
        <v>9654</v>
      </c>
      <c r="D8963" s="2349" t="s">
        <v>9225</v>
      </c>
      <c r="E8963" s="2350">
        <v>60</v>
      </c>
      <c r="F8963" s="2350">
        <v>0</v>
      </c>
    </row>
    <row r="8964" spans="1:6" ht="15" customHeight="1" x14ac:dyDescent="0.25">
      <c r="A8964" s="2349" t="s">
        <v>9226</v>
      </c>
      <c r="B8964" s="2349" t="s">
        <v>9654</v>
      </c>
      <c r="C8964" s="2349" t="s">
        <v>9654</v>
      </c>
      <c r="D8964" s="2349" t="s">
        <v>9227</v>
      </c>
      <c r="E8964" s="2350">
        <v>100</v>
      </c>
      <c r="F8964" s="2350">
        <v>0</v>
      </c>
    </row>
    <row r="8965" spans="1:6" ht="15" customHeight="1" x14ac:dyDescent="0.25">
      <c r="A8965" s="2349" t="s">
        <v>9226</v>
      </c>
      <c r="B8965" s="2349" t="s">
        <v>9654</v>
      </c>
      <c r="C8965" s="2349" t="s">
        <v>9654</v>
      </c>
      <c r="D8965" s="2349" t="s">
        <v>9228</v>
      </c>
      <c r="E8965" s="2350">
        <v>160</v>
      </c>
      <c r="F8965" s="2350">
        <v>60</v>
      </c>
    </row>
    <row r="8966" spans="1:6" ht="15" customHeight="1" x14ac:dyDescent="0.25">
      <c r="A8966" s="2349" t="s">
        <v>9226</v>
      </c>
      <c r="B8966" s="2349" t="s">
        <v>9654</v>
      </c>
      <c r="C8966" s="2349" t="s">
        <v>9654</v>
      </c>
      <c r="D8966" s="2349" t="s">
        <v>9229</v>
      </c>
      <c r="E8966" s="2350">
        <v>250</v>
      </c>
      <c r="F8966" s="2350">
        <v>150</v>
      </c>
    </row>
    <row r="8967" spans="1:6" ht="15" customHeight="1" x14ac:dyDescent="0.25">
      <c r="A8967" s="2349" t="s">
        <v>9230</v>
      </c>
      <c r="B8967" s="2349" t="s">
        <v>9654</v>
      </c>
      <c r="C8967" s="2349" t="s">
        <v>9654</v>
      </c>
      <c r="D8967" s="2349" t="s">
        <v>9231</v>
      </c>
      <c r="E8967" s="2350">
        <v>100</v>
      </c>
      <c r="F8967" s="2350">
        <v>40</v>
      </c>
    </row>
    <row r="8968" spans="1:6" ht="15" customHeight="1" x14ac:dyDescent="0.25">
      <c r="A8968" s="2349" t="s">
        <v>9230</v>
      </c>
      <c r="B8968" s="2349" t="s">
        <v>9654</v>
      </c>
      <c r="C8968" s="2349" t="s">
        <v>9654</v>
      </c>
      <c r="D8968" s="2349" t="s">
        <v>9232</v>
      </c>
      <c r="E8968" s="2350">
        <v>100</v>
      </c>
      <c r="F8968" s="2350">
        <v>40</v>
      </c>
    </row>
    <row r="8969" spans="1:6" ht="15" customHeight="1" x14ac:dyDescent="0.25">
      <c r="A8969" s="2349" t="s">
        <v>9233</v>
      </c>
      <c r="B8969" s="2349" t="s">
        <v>9654</v>
      </c>
      <c r="C8969" s="2349" t="s">
        <v>9654</v>
      </c>
      <c r="D8969" s="2349" t="s">
        <v>9234</v>
      </c>
      <c r="E8969" s="2350">
        <v>63</v>
      </c>
      <c r="F8969" s="2350">
        <v>3</v>
      </c>
    </row>
    <row r="8970" spans="1:6" ht="15" customHeight="1" x14ac:dyDescent="0.25">
      <c r="A8970" s="2349" t="s">
        <v>9233</v>
      </c>
      <c r="B8970" s="2349" t="s">
        <v>9654</v>
      </c>
      <c r="C8970" s="2349" t="s">
        <v>9654</v>
      </c>
      <c r="D8970" s="2349" t="s">
        <v>9235</v>
      </c>
      <c r="E8970" s="2350">
        <v>400</v>
      </c>
      <c r="F8970" s="2350">
        <v>350</v>
      </c>
    </row>
    <row r="8971" spans="1:6" ht="15" customHeight="1" x14ac:dyDescent="0.25">
      <c r="A8971" s="2349" t="s">
        <v>9233</v>
      </c>
      <c r="B8971" s="2349" t="s">
        <v>9654</v>
      </c>
      <c r="C8971" s="2349" t="s">
        <v>9654</v>
      </c>
      <c r="D8971" s="2349" t="s">
        <v>9236</v>
      </c>
      <c r="E8971" s="2350">
        <v>160</v>
      </c>
      <c r="F8971" s="2350">
        <v>110</v>
      </c>
    </row>
    <row r="8972" spans="1:6" ht="15" customHeight="1" x14ac:dyDescent="0.25">
      <c r="A8972" s="2349" t="s">
        <v>9237</v>
      </c>
      <c r="B8972" s="2349" t="s">
        <v>9654</v>
      </c>
      <c r="C8972" s="2349" t="s">
        <v>9654</v>
      </c>
      <c r="D8972" s="2349" t="s">
        <v>9238</v>
      </c>
      <c r="E8972" s="2350">
        <v>100</v>
      </c>
      <c r="F8972" s="2350">
        <v>60</v>
      </c>
    </row>
    <row r="8973" spans="1:6" ht="15" customHeight="1" x14ac:dyDescent="0.25">
      <c r="A8973" s="2349" t="s">
        <v>9196</v>
      </c>
      <c r="B8973" s="2349" t="s">
        <v>9654</v>
      </c>
      <c r="C8973" s="2349" t="s">
        <v>9654</v>
      </c>
      <c r="D8973" s="2349" t="s">
        <v>9239</v>
      </c>
      <c r="E8973" s="2350">
        <v>160</v>
      </c>
      <c r="F8973" s="2350">
        <v>110</v>
      </c>
    </row>
    <row r="8974" spans="1:6" ht="15" customHeight="1" x14ac:dyDescent="0.25">
      <c r="A8974" s="2349" t="s">
        <v>9240</v>
      </c>
      <c r="B8974" s="2349" t="s">
        <v>9654</v>
      </c>
      <c r="C8974" s="2349" t="s">
        <v>9654</v>
      </c>
      <c r="D8974" s="2349" t="s">
        <v>9241</v>
      </c>
      <c r="E8974" s="2350">
        <v>30</v>
      </c>
      <c r="F8974" s="2350">
        <v>20</v>
      </c>
    </row>
    <row r="8975" spans="1:6" ht="15" customHeight="1" x14ac:dyDescent="0.25">
      <c r="A8975" s="2349" t="s">
        <v>9242</v>
      </c>
      <c r="B8975" s="2349" t="s">
        <v>9654</v>
      </c>
      <c r="C8975" s="2349" t="s">
        <v>9654</v>
      </c>
      <c r="D8975" s="2349" t="s">
        <v>9243</v>
      </c>
      <c r="E8975" s="2350">
        <v>100</v>
      </c>
      <c r="F8975" s="2350">
        <v>70</v>
      </c>
    </row>
    <row r="8976" spans="1:6" ht="15" customHeight="1" x14ac:dyDescent="0.25">
      <c r="A8976" s="2349" t="s">
        <v>9244</v>
      </c>
      <c r="B8976" s="2349" t="s">
        <v>9654</v>
      </c>
      <c r="C8976" s="2349" t="s">
        <v>9654</v>
      </c>
      <c r="D8976" s="2349" t="s">
        <v>9245</v>
      </c>
      <c r="E8976" s="2350">
        <v>60</v>
      </c>
      <c r="F8976" s="2350">
        <v>30</v>
      </c>
    </row>
    <row r="8977" spans="1:6" ht="15" customHeight="1" x14ac:dyDescent="0.25">
      <c r="A8977" s="2349" t="s">
        <v>9246</v>
      </c>
      <c r="B8977" s="2349" t="s">
        <v>9654</v>
      </c>
      <c r="C8977" s="2349" t="s">
        <v>9654</v>
      </c>
      <c r="D8977" s="2349" t="s">
        <v>9247</v>
      </c>
      <c r="E8977" s="2350">
        <v>160</v>
      </c>
      <c r="F8977" s="2350">
        <v>130</v>
      </c>
    </row>
    <row r="8978" spans="1:6" ht="15" customHeight="1" x14ac:dyDescent="0.25">
      <c r="A8978" s="2349" t="s">
        <v>9246</v>
      </c>
      <c r="B8978" s="2349" t="s">
        <v>9654</v>
      </c>
      <c r="C8978" s="2349" t="s">
        <v>9654</v>
      </c>
      <c r="D8978" s="2349" t="s">
        <v>9248</v>
      </c>
      <c r="E8978" s="2350">
        <v>100</v>
      </c>
      <c r="F8978" s="2350">
        <v>40</v>
      </c>
    </row>
    <row r="8979" spans="1:6" ht="15" customHeight="1" x14ac:dyDescent="0.25">
      <c r="A8979" s="2349" t="s">
        <v>10291</v>
      </c>
      <c r="B8979" s="2349" t="s">
        <v>9654</v>
      </c>
      <c r="C8979" s="2349" t="s">
        <v>9654</v>
      </c>
      <c r="D8979" s="2349" t="s">
        <v>9249</v>
      </c>
      <c r="E8979" s="2350">
        <v>40</v>
      </c>
      <c r="F8979" s="2350">
        <v>20</v>
      </c>
    </row>
    <row r="8980" spans="1:6" ht="15" customHeight="1" x14ac:dyDescent="0.25">
      <c r="A8980" s="2349" t="s">
        <v>8242</v>
      </c>
      <c r="B8980" s="2349" t="s">
        <v>9654</v>
      </c>
      <c r="C8980" s="2349" t="s">
        <v>9654</v>
      </c>
      <c r="D8980" s="2349" t="s">
        <v>9250</v>
      </c>
      <c r="E8980" s="2350">
        <v>10</v>
      </c>
      <c r="F8980" s="2350">
        <v>5</v>
      </c>
    </row>
    <row r="8981" spans="1:6" ht="15" customHeight="1" x14ac:dyDescent="0.25">
      <c r="A8981" s="2349" t="s">
        <v>8252</v>
      </c>
      <c r="B8981" s="2349" t="s">
        <v>9654</v>
      </c>
      <c r="C8981" s="2349" t="s">
        <v>9654</v>
      </c>
      <c r="D8981" s="2349" t="s">
        <v>8253</v>
      </c>
      <c r="E8981" s="2350">
        <v>160</v>
      </c>
      <c r="F8981" s="2350">
        <v>80</v>
      </c>
    </row>
    <row r="8982" spans="1:6" ht="15" customHeight="1" x14ac:dyDescent="0.25">
      <c r="A8982" s="2349" t="s">
        <v>9230</v>
      </c>
      <c r="B8982" s="2349" t="s">
        <v>9654</v>
      </c>
      <c r="C8982" s="2349" t="s">
        <v>9654</v>
      </c>
      <c r="D8982" s="2349" t="s">
        <v>9251</v>
      </c>
      <c r="E8982" s="2350">
        <v>100</v>
      </c>
      <c r="F8982" s="2350">
        <v>60</v>
      </c>
    </row>
    <row r="8983" spans="1:6" ht="15" customHeight="1" x14ac:dyDescent="0.25">
      <c r="A8983" s="2349" t="s">
        <v>9230</v>
      </c>
      <c r="B8983" s="2349" t="s">
        <v>9654</v>
      </c>
      <c r="C8983" s="2349" t="s">
        <v>9654</v>
      </c>
      <c r="D8983" s="2349" t="s">
        <v>9252</v>
      </c>
      <c r="E8983" s="2350">
        <v>63</v>
      </c>
      <c r="F8983" s="2350">
        <v>0</v>
      </c>
    </row>
    <row r="8984" spans="1:6" ht="15" customHeight="1" x14ac:dyDescent="0.25">
      <c r="A8984" s="2349" t="s">
        <v>9253</v>
      </c>
      <c r="B8984" s="2349" t="s">
        <v>9654</v>
      </c>
      <c r="C8984" s="2349" t="s">
        <v>9654</v>
      </c>
      <c r="D8984" s="2349" t="s">
        <v>9254</v>
      </c>
      <c r="E8984" s="2350">
        <v>60</v>
      </c>
      <c r="F8984" s="2350">
        <v>0</v>
      </c>
    </row>
    <row r="8985" spans="1:6" ht="15" customHeight="1" x14ac:dyDescent="0.25">
      <c r="A8985" s="2349" t="s">
        <v>9255</v>
      </c>
      <c r="B8985" s="2349" t="s">
        <v>9654</v>
      </c>
      <c r="C8985" s="2349" t="s">
        <v>9654</v>
      </c>
      <c r="D8985" s="2349" t="s">
        <v>9256</v>
      </c>
      <c r="E8985" s="2350">
        <v>250</v>
      </c>
      <c r="F8985" s="2350">
        <v>130</v>
      </c>
    </row>
    <row r="8986" spans="1:6" ht="15" customHeight="1" x14ac:dyDescent="0.25">
      <c r="A8986" s="2349" t="s">
        <v>9255</v>
      </c>
      <c r="B8986" s="2349" t="s">
        <v>9654</v>
      </c>
      <c r="C8986" s="2349" t="s">
        <v>9654</v>
      </c>
      <c r="D8986" s="2349" t="s">
        <v>9257</v>
      </c>
      <c r="E8986" s="2350">
        <v>160</v>
      </c>
      <c r="F8986" s="2350">
        <v>120</v>
      </c>
    </row>
    <row r="8987" spans="1:6" ht="15" customHeight="1" x14ac:dyDescent="0.25">
      <c r="A8987" s="2349" t="s">
        <v>9255</v>
      </c>
      <c r="B8987" s="2349" t="s">
        <v>9654</v>
      </c>
      <c r="C8987" s="2349" t="s">
        <v>9654</v>
      </c>
      <c r="D8987" s="2349" t="s">
        <v>9258</v>
      </c>
      <c r="E8987" s="2350">
        <v>400</v>
      </c>
      <c r="F8987" s="2350">
        <v>350</v>
      </c>
    </row>
    <row r="8988" spans="1:6" ht="15" customHeight="1" x14ac:dyDescent="0.25">
      <c r="A8988" s="2349" t="s">
        <v>9255</v>
      </c>
      <c r="B8988" s="2349" t="s">
        <v>9654</v>
      </c>
      <c r="C8988" s="2349" t="s">
        <v>9654</v>
      </c>
      <c r="D8988" s="2349" t="s">
        <v>9259</v>
      </c>
      <c r="E8988" s="2350">
        <v>160</v>
      </c>
      <c r="F8988" s="2350">
        <v>110</v>
      </c>
    </row>
    <row r="8989" spans="1:6" ht="15" customHeight="1" x14ac:dyDescent="0.25">
      <c r="A8989" s="2349" t="s">
        <v>9255</v>
      </c>
      <c r="B8989" s="2349" t="s">
        <v>9654</v>
      </c>
      <c r="C8989" s="2349" t="s">
        <v>9654</v>
      </c>
      <c r="D8989" s="2349" t="s">
        <v>9260</v>
      </c>
      <c r="E8989" s="2350">
        <v>160</v>
      </c>
      <c r="F8989" s="2350">
        <v>120</v>
      </c>
    </row>
    <row r="8990" spans="1:6" ht="15" customHeight="1" x14ac:dyDescent="0.25">
      <c r="A8990" s="2349" t="s">
        <v>9255</v>
      </c>
      <c r="B8990" s="2349" t="s">
        <v>9654</v>
      </c>
      <c r="C8990" s="2349" t="s">
        <v>9654</v>
      </c>
      <c r="D8990" s="2349" t="s">
        <v>9261</v>
      </c>
      <c r="E8990" s="2350">
        <v>100</v>
      </c>
      <c r="F8990" s="2350">
        <v>60</v>
      </c>
    </row>
    <row r="8991" spans="1:6" ht="15" customHeight="1" x14ac:dyDescent="0.25">
      <c r="A8991" s="2349" t="s">
        <v>9255</v>
      </c>
      <c r="B8991" s="2349" t="s">
        <v>9654</v>
      </c>
      <c r="C8991" s="2349" t="s">
        <v>9654</v>
      </c>
      <c r="D8991" s="2349" t="s">
        <v>9262</v>
      </c>
      <c r="E8991" s="2350">
        <v>160</v>
      </c>
      <c r="F8991" s="2350">
        <v>130</v>
      </c>
    </row>
    <row r="8992" spans="1:6" ht="15" customHeight="1" x14ac:dyDescent="0.25">
      <c r="A8992" s="2349" t="s">
        <v>9255</v>
      </c>
      <c r="B8992" s="2349" t="s">
        <v>9654</v>
      </c>
      <c r="C8992" s="2349" t="s">
        <v>9654</v>
      </c>
      <c r="D8992" s="2349" t="s">
        <v>9263</v>
      </c>
      <c r="E8992" s="2350">
        <v>100</v>
      </c>
      <c r="F8992" s="2350">
        <v>50</v>
      </c>
    </row>
    <row r="8993" spans="1:6" ht="15" customHeight="1" x14ac:dyDescent="0.25">
      <c r="A8993" s="2349" t="s">
        <v>9264</v>
      </c>
      <c r="B8993" s="2349" t="s">
        <v>9654</v>
      </c>
      <c r="C8993" s="2349" t="s">
        <v>9654</v>
      </c>
      <c r="D8993" s="2349" t="s">
        <v>9265</v>
      </c>
      <c r="E8993" s="2350">
        <v>10</v>
      </c>
      <c r="F8993" s="2350">
        <v>5</v>
      </c>
    </row>
    <row r="8994" spans="1:6" ht="15" customHeight="1" x14ac:dyDescent="0.25">
      <c r="A8994" s="2349" t="s">
        <v>14488</v>
      </c>
      <c r="B8994" s="2349" t="s">
        <v>9654</v>
      </c>
      <c r="C8994" s="2349" t="s">
        <v>9654</v>
      </c>
      <c r="D8994" s="2349" t="s">
        <v>9266</v>
      </c>
      <c r="E8994" s="2350">
        <v>100</v>
      </c>
      <c r="F8994" s="2350">
        <v>40</v>
      </c>
    </row>
    <row r="8995" spans="1:6" ht="15" customHeight="1" x14ac:dyDescent="0.25">
      <c r="A8995" s="2349" t="s">
        <v>9267</v>
      </c>
      <c r="B8995" s="2349" t="s">
        <v>9654</v>
      </c>
      <c r="C8995" s="2349" t="s">
        <v>9654</v>
      </c>
      <c r="D8995" s="2349" t="s">
        <v>9268</v>
      </c>
      <c r="E8995" s="2350">
        <v>30</v>
      </c>
      <c r="F8995" s="2350">
        <v>0</v>
      </c>
    </row>
    <row r="8996" spans="1:6" ht="15" customHeight="1" x14ac:dyDescent="0.25">
      <c r="A8996" s="2349" t="s">
        <v>6425</v>
      </c>
      <c r="B8996" s="2349" t="s">
        <v>9654</v>
      </c>
      <c r="C8996" s="2349" t="s">
        <v>9654</v>
      </c>
      <c r="D8996" s="2349" t="s">
        <v>9269</v>
      </c>
      <c r="E8996" s="2350">
        <v>60</v>
      </c>
      <c r="F8996" s="2350">
        <v>0</v>
      </c>
    </row>
    <row r="8997" spans="1:6" ht="15" customHeight="1" x14ac:dyDescent="0.25">
      <c r="A8997" s="2349" t="s">
        <v>9270</v>
      </c>
      <c r="B8997" s="2349" t="s">
        <v>9654</v>
      </c>
      <c r="C8997" s="2349" t="s">
        <v>9654</v>
      </c>
      <c r="D8997" s="2349" t="s">
        <v>9271</v>
      </c>
      <c r="E8997" s="2350">
        <v>180</v>
      </c>
      <c r="F8997" s="2350">
        <v>110</v>
      </c>
    </row>
    <row r="8998" spans="1:6" ht="15" customHeight="1" x14ac:dyDescent="0.25">
      <c r="A8998" s="2349" t="s">
        <v>9270</v>
      </c>
      <c r="B8998" s="2349" t="s">
        <v>9654</v>
      </c>
      <c r="C8998" s="2349" t="s">
        <v>9654</v>
      </c>
      <c r="D8998" s="2349" t="s">
        <v>9272</v>
      </c>
      <c r="E8998" s="2350">
        <v>100</v>
      </c>
      <c r="F8998" s="2350">
        <v>50</v>
      </c>
    </row>
    <row r="8999" spans="1:6" ht="15" customHeight="1" x14ac:dyDescent="0.25">
      <c r="A8999" s="2349" t="s">
        <v>9270</v>
      </c>
      <c r="B8999" s="2349" t="s">
        <v>9654</v>
      </c>
      <c r="C8999" s="2349" t="s">
        <v>9654</v>
      </c>
      <c r="D8999" s="2349" t="s">
        <v>9273</v>
      </c>
      <c r="E8999" s="2350">
        <v>250</v>
      </c>
      <c r="F8999" s="2350">
        <v>190</v>
      </c>
    </row>
    <row r="9000" spans="1:6" ht="15" customHeight="1" x14ac:dyDescent="0.25">
      <c r="A9000" s="2349" t="s">
        <v>9270</v>
      </c>
      <c r="B9000" s="2349" t="s">
        <v>9654</v>
      </c>
      <c r="C9000" s="2349" t="s">
        <v>9654</v>
      </c>
      <c r="D9000" s="2349" t="s">
        <v>9274</v>
      </c>
      <c r="E9000" s="2350">
        <v>250</v>
      </c>
      <c r="F9000" s="2350">
        <v>200</v>
      </c>
    </row>
    <row r="9001" spans="1:6" ht="15" customHeight="1" x14ac:dyDescent="0.25">
      <c r="A9001" s="2349" t="s">
        <v>9270</v>
      </c>
      <c r="B9001" s="2349" t="s">
        <v>9654</v>
      </c>
      <c r="C9001" s="2349" t="s">
        <v>9654</v>
      </c>
      <c r="D9001" s="2349" t="s">
        <v>9275</v>
      </c>
      <c r="E9001" s="2350">
        <v>250</v>
      </c>
      <c r="F9001" s="2350">
        <v>210</v>
      </c>
    </row>
    <row r="9002" spans="1:6" ht="15" customHeight="1" x14ac:dyDescent="0.25">
      <c r="A9002" s="2349" t="s">
        <v>9270</v>
      </c>
      <c r="B9002" s="2349" t="s">
        <v>9654</v>
      </c>
      <c r="C9002" s="2349" t="s">
        <v>9654</v>
      </c>
      <c r="D9002" s="2349" t="s">
        <v>9276</v>
      </c>
      <c r="E9002" s="2350">
        <v>160</v>
      </c>
      <c r="F9002" s="2350">
        <v>110</v>
      </c>
    </row>
    <row r="9003" spans="1:6" ht="15" customHeight="1" x14ac:dyDescent="0.25">
      <c r="A9003" s="2349" t="s">
        <v>9270</v>
      </c>
      <c r="B9003" s="2349" t="s">
        <v>9654</v>
      </c>
      <c r="C9003" s="2349" t="s">
        <v>9654</v>
      </c>
      <c r="D9003" s="2349" t="s">
        <v>9277</v>
      </c>
      <c r="E9003" s="2350">
        <v>30</v>
      </c>
      <c r="F9003" s="2350">
        <v>15</v>
      </c>
    </row>
    <row r="9004" spans="1:6" ht="15" customHeight="1" x14ac:dyDescent="0.25">
      <c r="A9004" s="2349" t="s">
        <v>5310</v>
      </c>
      <c r="B9004" s="2349" t="s">
        <v>9654</v>
      </c>
      <c r="C9004" s="2349" t="s">
        <v>9654</v>
      </c>
      <c r="D9004" s="2349" t="s">
        <v>9278</v>
      </c>
      <c r="E9004" s="2350">
        <v>250</v>
      </c>
      <c r="F9004" s="2350">
        <v>245</v>
      </c>
    </row>
    <row r="9005" spans="1:6" ht="15" customHeight="1" x14ac:dyDescent="0.25">
      <c r="A9005" s="2349" t="s">
        <v>9279</v>
      </c>
      <c r="B9005" s="2349" t="s">
        <v>9654</v>
      </c>
      <c r="C9005" s="2349" t="s">
        <v>9654</v>
      </c>
      <c r="D9005" s="2349" t="s">
        <v>9280</v>
      </c>
      <c r="E9005" s="2350">
        <v>60</v>
      </c>
      <c r="F9005" s="2350">
        <v>50</v>
      </c>
    </row>
    <row r="9006" spans="1:6" ht="15" customHeight="1" x14ac:dyDescent="0.25">
      <c r="A9006" s="2349" t="s">
        <v>6552</v>
      </c>
      <c r="B9006" s="2349" t="s">
        <v>9654</v>
      </c>
      <c r="C9006" s="2349" t="s">
        <v>9654</v>
      </c>
      <c r="D9006" s="2349" t="s">
        <v>9281</v>
      </c>
      <c r="E9006" s="2350">
        <v>160</v>
      </c>
      <c r="F9006" s="2350">
        <v>0</v>
      </c>
    </row>
    <row r="9007" spans="1:6" ht="15" customHeight="1" x14ac:dyDescent="0.25">
      <c r="A9007" s="2349" t="s">
        <v>9509</v>
      </c>
      <c r="B9007" s="2349" t="s">
        <v>9654</v>
      </c>
      <c r="C9007" s="2349" t="s">
        <v>9654</v>
      </c>
      <c r="D9007" s="2349" t="s">
        <v>9282</v>
      </c>
      <c r="E9007" s="2350">
        <v>250</v>
      </c>
      <c r="F9007" s="2350">
        <v>210</v>
      </c>
    </row>
    <row r="9008" spans="1:6" ht="15" customHeight="1" x14ac:dyDescent="0.25">
      <c r="A9008" s="2349" t="s">
        <v>9509</v>
      </c>
      <c r="B9008" s="2349" t="s">
        <v>9654</v>
      </c>
      <c r="C9008" s="2349" t="s">
        <v>9654</v>
      </c>
      <c r="D9008" s="2349" t="s">
        <v>9283</v>
      </c>
      <c r="E9008" s="2350">
        <v>250</v>
      </c>
      <c r="F9008" s="2350">
        <v>200</v>
      </c>
    </row>
    <row r="9009" spans="1:6" ht="15" customHeight="1" x14ac:dyDescent="0.25">
      <c r="A9009" s="2349" t="s">
        <v>9284</v>
      </c>
      <c r="B9009" s="2349" t="s">
        <v>9654</v>
      </c>
      <c r="C9009" s="2349" t="s">
        <v>9654</v>
      </c>
      <c r="D9009" s="2349" t="s">
        <v>9285</v>
      </c>
      <c r="E9009" s="2350">
        <v>20</v>
      </c>
      <c r="F9009" s="2350">
        <v>15</v>
      </c>
    </row>
    <row r="9010" spans="1:6" ht="15" customHeight="1" x14ac:dyDescent="0.25">
      <c r="A9010" s="2349" t="s">
        <v>9286</v>
      </c>
      <c r="B9010" s="2349" t="s">
        <v>9654</v>
      </c>
      <c r="C9010" s="2349" t="s">
        <v>9654</v>
      </c>
      <c r="D9010" s="2349" t="s">
        <v>9287</v>
      </c>
      <c r="E9010" s="2350">
        <v>100</v>
      </c>
      <c r="F9010" s="2350">
        <v>70</v>
      </c>
    </row>
    <row r="9011" spans="1:6" ht="15" customHeight="1" x14ac:dyDescent="0.25">
      <c r="A9011" s="2349" t="s">
        <v>9288</v>
      </c>
      <c r="B9011" s="2349" t="s">
        <v>9654</v>
      </c>
      <c r="C9011" s="2349" t="s">
        <v>9654</v>
      </c>
      <c r="D9011" s="2349" t="s">
        <v>9289</v>
      </c>
      <c r="E9011" s="2350">
        <v>30</v>
      </c>
      <c r="F9011" s="2350">
        <v>25</v>
      </c>
    </row>
    <row r="9012" spans="1:6" ht="15" customHeight="1" x14ac:dyDescent="0.25">
      <c r="A9012" s="2349" t="s">
        <v>9290</v>
      </c>
      <c r="B9012" s="2349" t="s">
        <v>9654</v>
      </c>
      <c r="C9012" s="2349" t="s">
        <v>9654</v>
      </c>
      <c r="D9012" s="2349" t="s">
        <v>9291</v>
      </c>
      <c r="E9012" s="2350">
        <v>250</v>
      </c>
      <c r="F9012" s="2350">
        <v>140</v>
      </c>
    </row>
    <row r="9013" spans="1:6" ht="15" customHeight="1" x14ac:dyDescent="0.25">
      <c r="A9013" s="2349" t="s">
        <v>9292</v>
      </c>
      <c r="B9013" s="2349" t="s">
        <v>9654</v>
      </c>
      <c r="C9013" s="2349" t="s">
        <v>9654</v>
      </c>
      <c r="D9013" s="2349" t="s">
        <v>9293</v>
      </c>
      <c r="E9013" s="2350">
        <v>630</v>
      </c>
      <c r="F9013" s="2350">
        <v>590</v>
      </c>
    </row>
    <row r="9014" spans="1:6" ht="15" customHeight="1" x14ac:dyDescent="0.25">
      <c r="A9014" s="2349" t="s">
        <v>9294</v>
      </c>
      <c r="B9014" s="2349" t="s">
        <v>9654</v>
      </c>
      <c r="C9014" s="2349" t="s">
        <v>9654</v>
      </c>
      <c r="D9014" s="2349" t="s">
        <v>9295</v>
      </c>
      <c r="E9014" s="2350">
        <v>63</v>
      </c>
      <c r="F9014" s="2350">
        <v>33</v>
      </c>
    </row>
    <row r="9015" spans="1:6" ht="15" customHeight="1" x14ac:dyDescent="0.25">
      <c r="A9015" s="2349" t="s">
        <v>4929</v>
      </c>
      <c r="B9015" s="2349" t="s">
        <v>9654</v>
      </c>
      <c r="C9015" s="2349" t="s">
        <v>9654</v>
      </c>
      <c r="D9015" s="2349" t="s">
        <v>9296</v>
      </c>
      <c r="E9015" s="2350">
        <v>40</v>
      </c>
      <c r="F9015" s="2350">
        <v>10</v>
      </c>
    </row>
    <row r="9016" spans="1:6" ht="15" customHeight="1" x14ac:dyDescent="0.25">
      <c r="A9016" s="2349" t="s">
        <v>9297</v>
      </c>
      <c r="B9016" s="2349" t="s">
        <v>9654</v>
      </c>
      <c r="C9016" s="2349" t="s">
        <v>9654</v>
      </c>
      <c r="D9016" s="2349" t="s">
        <v>9298</v>
      </c>
      <c r="E9016" s="2350">
        <v>40</v>
      </c>
      <c r="F9016" s="2350">
        <v>15</v>
      </c>
    </row>
    <row r="9017" spans="1:6" ht="15" customHeight="1" x14ac:dyDescent="0.25">
      <c r="A9017" s="2349" t="s">
        <v>9299</v>
      </c>
      <c r="B9017" s="2349" t="s">
        <v>9654</v>
      </c>
      <c r="C9017" s="2349" t="s">
        <v>9654</v>
      </c>
      <c r="D9017" s="2349" t="s">
        <v>9300</v>
      </c>
      <c r="E9017" s="2350">
        <v>63</v>
      </c>
      <c r="F9017" s="2350">
        <v>53</v>
      </c>
    </row>
    <row r="9018" spans="1:6" ht="15" customHeight="1" x14ac:dyDescent="0.25">
      <c r="A9018" s="2349" t="s">
        <v>9301</v>
      </c>
      <c r="B9018" s="2349" t="s">
        <v>9654</v>
      </c>
      <c r="C9018" s="2349" t="s">
        <v>9654</v>
      </c>
      <c r="D9018" s="2349" t="s">
        <v>9302</v>
      </c>
      <c r="E9018" s="2350">
        <v>25</v>
      </c>
      <c r="F9018" s="2350">
        <v>15</v>
      </c>
    </row>
    <row r="9019" spans="1:6" ht="15" customHeight="1" x14ac:dyDescent="0.25">
      <c r="A9019" s="2349" t="s">
        <v>7958</v>
      </c>
      <c r="B9019" s="2349" t="s">
        <v>9654</v>
      </c>
      <c r="C9019" s="2349" t="s">
        <v>9654</v>
      </c>
      <c r="D9019" s="2349" t="s">
        <v>9303</v>
      </c>
      <c r="E9019" s="2350">
        <v>25</v>
      </c>
      <c r="F9019" s="2350">
        <v>20</v>
      </c>
    </row>
    <row r="9020" spans="1:6" ht="15" customHeight="1" x14ac:dyDescent="0.25">
      <c r="A9020" s="2349" t="s">
        <v>9304</v>
      </c>
      <c r="B9020" s="2349" t="s">
        <v>9654</v>
      </c>
      <c r="C9020" s="2349" t="s">
        <v>9654</v>
      </c>
      <c r="D9020" s="2349" t="s">
        <v>9305</v>
      </c>
      <c r="E9020" s="2350">
        <v>100</v>
      </c>
      <c r="F9020" s="2350">
        <v>80</v>
      </c>
    </row>
    <row r="9021" spans="1:6" ht="15" customHeight="1" x14ac:dyDescent="0.25">
      <c r="A9021" s="2349" t="s">
        <v>9304</v>
      </c>
      <c r="B9021" s="2349" t="s">
        <v>9654</v>
      </c>
      <c r="C9021" s="2349" t="s">
        <v>9654</v>
      </c>
      <c r="D9021" s="2349" t="s">
        <v>9306</v>
      </c>
      <c r="E9021" s="2350">
        <v>63</v>
      </c>
      <c r="F9021" s="2350">
        <v>43</v>
      </c>
    </row>
    <row r="9022" spans="1:6" ht="15" customHeight="1" x14ac:dyDescent="0.25">
      <c r="A9022" s="2349" t="s">
        <v>9304</v>
      </c>
      <c r="B9022" s="2349" t="s">
        <v>9654</v>
      </c>
      <c r="C9022" s="2349" t="s">
        <v>9654</v>
      </c>
      <c r="D9022" s="2349" t="s">
        <v>9307</v>
      </c>
      <c r="E9022" s="2350">
        <v>63</v>
      </c>
      <c r="F9022" s="2350">
        <v>43</v>
      </c>
    </row>
    <row r="9023" spans="1:6" ht="15" customHeight="1" x14ac:dyDescent="0.25">
      <c r="A9023" s="2349" t="s">
        <v>9304</v>
      </c>
      <c r="B9023" s="2349" t="s">
        <v>9654</v>
      </c>
      <c r="C9023" s="2349" t="s">
        <v>9654</v>
      </c>
      <c r="D9023" s="2349" t="s">
        <v>9308</v>
      </c>
      <c r="E9023" s="2350">
        <v>400</v>
      </c>
      <c r="F9023" s="2350">
        <v>370</v>
      </c>
    </row>
    <row r="9024" spans="1:6" ht="15" customHeight="1" x14ac:dyDescent="0.25">
      <c r="A9024" s="2349" t="s">
        <v>9309</v>
      </c>
      <c r="B9024" s="2349" t="s">
        <v>9654</v>
      </c>
      <c r="C9024" s="2349" t="s">
        <v>9654</v>
      </c>
      <c r="D9024" s="2349" t="s">
        <v>9310</v>
      </c>
      <c r="E9024" s="2350">
        <v>100</v>
      </c>
      <c r="F9024" s="2350">
        <v>70</v>
      </c>
    </row>
    <row r="9025" spans="1:6" ht="15" customHeight="1" x14ac:dyDescent="0.25">
      <c r="A9025" s="2349" t="s">
        <v>9292</v>
      </c>
      <c r="B9025" s="2349" t="s">
        <v>9654</v>
      </c>
      <c r="C9025" s="2349" t="s">
        <v>9654</v>
      </c>
      <c r="D9025" s="2349" t="s">
        <v>9311</v>
      </c>
      <c r="E9025" s="2350">
        <v>160</v>
      </c>
      <c r="F9025" s="2350">
        <v>120</v>
      </c>
    </row>
    <row r="9026" spans="1:6" ht="15" customHeight="1" x14ac:dyDescent="0.25">
      <c r="A9026" s="2349" t="s">
        <v>9312</v>
      </c>
      <c r="B9026" s="2349" t="s">
        <v>9654</v>
      </c>
      <c r="C9026" s="2349" t="s">
        <v>9654</v>
      </c>
      <c r="D9026" s="2349" t="s">
        <v>9313</v>
      </c>
      <c r="E9026" s="2350">
        <v>25</v>
      </c>
      <c r="F9026" s="2350">
        <v>10</v>
      </c>
    </row>
    <row r="9027" spans="1:6" ht="15" customHeight="1" x14ac:dyDescent="0.25">
      <c r="A9027" s="2349" t="s">
        <v>9292</v>
      </c>
      <c r="B9027" s="2349" t="s">
        <v>9654</v>
      </c>
      <c r="C9027" s="2349" t="s">
        <v>9654</v>
      </c>
      <c r="D9027" s="2349" t="s">
        <v>9314</v>
      </c>
      <c r="E9027" s="2350">
        <v>40</v>
      </c>
      <c r="F9027" s="2350">
        <v>35</v>
      </c>
    </row>
    <row r="9028" spans="1:6" ht="15" customHeight="1" x14ac:dyDescent="0.25">
      <c r="A9028" s="2349" t="s">
        <v>9315</v>
      </c>
      <c r="B9028" s="2349" t="s">
        <v>9654</v>
      </c>
      <c r="C9028" s="2349" t="s">
        <v>9654</v>
      </c>
      <c r="D9028" s="2349" t="s">
        <v>9316</v>
      </c>
      <c r="E9028" s="2350">
        <v>40</v>
      </c>
      <c r="F9028" s="2350">
        <v>30</v>
      </c>
    </row>
    <row r="9029" spans="1:6" ht="15" customHeight="1" x14ac:dyDescent="0.25">
      <c r="A9029" s="2349" t="s">
        <v>9317</v>
      </c>
      <c r="B9029" s="2349" t="s">
        <v>9654</v>
      </c>
      <c r="C9029" s="2349" t="s">
        <v>9654</v>
      </c>
      <c r="D9029" s="2349" t="s">
        <v>9318</v>
      </c>
      <c r="E9029" s="2350">
        <v>100</v>
      </c>
      <c r="F9029" s="2350">
        <v>85</v>
      </c>
    </row>
    <row r="9030" spans="1:6" ht="15" customHeight="1" x14ac:dyDescent="0.25">
      <c r="A9030" s="2349" t="s">
        <v>3783</v>
      </c>
      <c r="B9030" s="2349" t="s">
        <v>9654</v>
      </c>
      <c r="C9030" s="2349" t="s">
        <v>9654</v>
      </c>
      <c r="D9030" s="2349" t="s">
        <v>9216</v>
      </c>
      <c r="E9030" s="2350">
        <v>60</v>
      </c>
      <c r="F9030" s="2350">
        <v>50</v>
      </c>
    </row>
    <row r="9031" spans="1:6" ht="15" customHeight="1" x14ac:dyDescent="0.25">
      <c r="A9031" s="2349" t="s">
        <v>9319</v>
      </c>
      <c r="B9031" s="2349" t="s">
        <v>9654</v>
      </c>
      <c r="C9031" s="2349" t="s">
        <v>9654</v>
      </c>
      <c r="D9031" s="2349" t="s">
        <v>9320</v>
      </c>
      <c r="E9031" s="2350">
        <v>63</v>
      </c>
      <c r="F9031" s="2350">
        <v>33</v>
      </c>
    </row>
    <row r="9032" spans="1:6" ht="15" customHeight="1" x14ac:dyDescent="0.25">
      <c r="A9032" s="2349" t="s">
        <v>9321</v>
      </c>
      <c r="B9032" s="2349" t="s">
        <v>9654</v>
      </c>
      <c r="C9032" s="2349" t="s">
        <v>9654</v>
      </c>
      <c r="D9032" s="2349" t="s">
        <v>9322</v>
      </c>
      <c r="E9032" s="2350">
        <v>60</v>
      </c>
      <c r="F9032" s="2350">
        <v>45</v>
      </c>
    </row>
    <row r="9033" spans="1:6" ht="15" customHeight="1" x14ac:dyDescent="0.25">
      <c r="A9033" s="2349" t="s">
        <v>9321</v>
      </c>
      <c r="B9033" s="2349" t="s">
        <v>9654</v>
      </c>
      <c r="C9033" s="2349" t="s">
        <v>9654</v>
      </c>
      <c r="D9033" s="2349" t="s">
        <v>9323</v>
      </c>
      <c r="E9033" s="2350">
        <v>100</v>
      </c>
      <c r="F9033" s="2350">
        <v>70</v>
      </c>
    </row>
    <row r="9034" spans="1:6" ht="15" customHeight="1" x14ac:dyDescent="0.25">
      <c r="A9034" s="2349" t="s">
        <v>9324</v>
      </c>
      <c r="B9034" s="2349" t="s">
        <v>9654</v>
      </c>
      <c r="C9034" s="2349" t="s">
        <v>9654</v>
      </c>
      <c r="D9034" s="2349" t="s">
        <v>9325</v>
      </c>
      <c r="E9034" s="2350">
        <v>100</v>
      </c>
      <c r="F9034" s="2350">
        <v>70</v>
      </c>
    </row>
    <row r="9035" spans="1:6" ht="15" customHeight="1" x14ac:dyDescent="0.25">
      <c r="A9035" s="2349" t="s">
        <v>4193</v>
      </c>
      <c r="B9035" s="2349" t="s">
        <v>9654</v>
      </c>
      <c r="C9035" s="2349" t="s">
        <v>9654</v>
      </c>
      <c r="D9035" s="2349" t="s">
        <v>9326</v>
      </c>
      <c r="E9035" s="2350">
        <v>30</v>
      </c>
      <c r="F9035" s="2350">
        <v>25</v>
      </c>
    </row>
    <row r="9036" spans="1:6" ht="15" customHeight="1" x14ac:dyDescent="0.25">
      <c r="A9036" s="2349" t="s">
        <v>8784</v>
      </c>
      <c r="B9036" s="2349" t="s">
        <v>9654</v>
      </c>
      <c r="C9036" s="2349" t="s">
        <v>9654</v>
      </c>
      <c r="D9036" s="2349" t="s">
        <v>9327</v>
      </c>
      <c r="E9036" s="2350">
        <v>20</v>
      </c>
      <c r="F9036" s="2350">
        <v>15</v>
      </c>
    </row>
    <row r="9037" spans="1:6" ht="15" customHeight="1" x14ac:dyDescent="0.25">
      <c r="A9037" s="2349" t="s">
        <v>9328</v>
      </c>
      <c r="B9037" s="2349" t="s">
        <v>9654</v>
      </c>
      <c r="C9037" s="2349" t="s">
        <v>9654</v>
      </c>
      <c r="D9037" s="2349" t="s">
        <v>9329</v>
      </c>
      <c r="E9037" s="2350">
        <v>60</v>
      </c>
      <c r="F9037" s="2350">
        <v>40</v>
      </c>
    </row>
    <row r="9038" spans="1:6" ht="15" customHeight="1" x14ac:dyDescent="0.25">
      <c r="A9038" s="2349" t="s">
        <v>9328</v>
      </c>
      <c r="B9038" s="2349" t="s">
        <v>9654</v>
      </c>
      <c r="C9038" s="2349" t="s">
        <v>9654</v>
      </c>
      <c r="D9038" s="2349" t="s">
        <v>9330</v>
      </c>
      <c r="E9038" s="2350">
        <v>100</v>
      </c>
      <c r="F9038" s="2350">
        <v>80</v>
      </c>
    </row>
    <row r="9039" spans="1:6" ht="15" customHeight="1" x14ac:dyDescent="0.25">
      <c r="A9039" s="2349" t="s">
        <v>9331</v>
      </c>
      <c r="B9039" s="2349" t="s">
        <v>9654</v>
      </c>
      <c r="C9039" s="2349" t="s">
        <v>9654</v>
      </c>
      <c r="D9039" s="2349" t="s">
        <v>9332</v>
      </c>
      <c r="E9039" s="2350">
        <v>60</v>
      </c>
      <c r="F9039" s="2350">
        <v>45</v>
      </c>
    </row>
    <row r="9040" spans="1:6" ht="15" customHeight="1" x14ac:dyDescent="0.25">
      <c r="A9040" s="2349" t="s">
        <v>9424</v>
      </c>
      <c r="B9040" s="2349" t="s">
        <v>9654</v>
      </c>
      <c r="C9040" s="2349" t="s">
        <v>9654</v>
      </c>
      <c r="D9040" s="2349" t="s">
        <v>9333</v>
      </c>
      <c r="E9040" s="2350">
        <v>160</v>
      </c>
      <c r="F9040" s="2350">
        <v>120</v>
      </c>
    </row>
    <row r="9041" spans="1:6" ht="15" customHeight="1" x14ac:dyDescent="0.25">
      <c r="A9041" s="2349" t="s">
        <v>9424</v>
      </c>
      <c r="B9041" s="2349" t="s">
        <v>9654</v>
      </c>
      <c r="C9041" s="2349" t="s">
        <v>9654</v>
      </c>
      <c r="D9041" s="2349" t="s">
        <v>9334</v>
      </c>
      <c r="E9041" s="2350">
        <v>250</v>
      </c>
      <c r="F9041" s="2350">
        <v>220</v>
      </c>
    </row>
    <row r="9042" spans="1:6" ht="15" customHeight="1" x14ac:dyDescent="0.25">
      <c r="A9042" s="2349" t="s">
        <v>9335</v>
      </c>
      <c r="B9042" s="2349" t="s">
        <v>9654</v>
      </c>
      <c r="C9042" s="2349" t="s">
        <v>9654</v>
      </c>
      <c r="D9042" s="2349" t="s">
        <v>9336</v>
      </c>
      <c r="E9042" s="2350">
        <v>100</v>
      </c>
      <c r="F9042" s="2350">
        <v>70</v>
      </c>
    </row>
    <row r="9043" spans="1:6" ht="15" customHeight="1" x14ac:dyDescent="0.25">
      <c r="A9043" s="2349" t="s">
        <v>9424</v>
      </c>
      <c r="B9043" s="2349" t="s">
        <v>9654</v>
      </c>
      <c r="C9043" s="2349" t="s">
        <v>9654</v>
      </c>
      <c r="D9043" s="2349" t="s">
        <v>9337</v>
      </c>
      <c r="E9043" s="2350">
        <v>63</v>
      </c>
      <c r="F9043" s="2350">
        <v>23</v>
      </c>
    </row>
    <row r="9044" spans="1:6" ht="15" customHeight="1" x14ac:dyDescent="0.25">
      <c r="A9044" s="2349" t="s">
        <v>9338</v>
      </c>
      <c r="B9044" s="2349" t="s">
        <v>9654</v>
      </c>
      <c r="C9044" s="2349" t="s">
        <v>9654</v>
      </c>
      <c r="D9044" s="2349" t="s">
        <v>9339</v>
      </c>
      <c r="E9044" s="2350">
        <v>1060</v>
      </c>
      <c r="F9044" s="2350">
        <v>460</v>
      </c>
    </row>
    <row r="9045" spans="1:6" ht="15" customHeight="1" x14ac:dyDescent="0.25">
      <c r="A9045" s="2349" t="s">
        <v>9338</v>
      </c>
      <c r="B9045" s="2349" t="s">
        <v>9654</v>
      </c>
      <c r="C9045" s="2349" t="s">
        <v>9654</v>
      </c>
      <c r="D9045" s="2349" t="s">
        <v>9340</v>
      </c>
      <c r="E9045" s="2350">
        <v>250</v>
      </c>
      <c r="F9045" s="2350">
        <v>200</v>
      </c>
    </row>
    <row r="9046" spans="1:6" ht="15" customHeight="1" x14ac:dyDescent="0.25">
      <c r="A9046" s="2349" t="s">
        <v>9338</v>
      </c>
      <c r="B9046" s="2349" t="s">
        <v>9654</v>
      </c>
      <c r="C9046" s="2349" t="s">
        <v>9654</v>
      </c>
      <c r="D9046" s="2349" t="s">
        <v>9341</v>
      </c>
      <c r="E9046" s="2350">
        <v>250</v>
      </c>
      <c r="F9046" s="2350">
        <v>200</v>
      </c>
    </row>
    <row r="9047" spans="1:6" ht="15" customHeight="1" x14ac:dyDescent="0.25">
      <c r="A9047" s="2349" t="s">
        <v>9338</v>
      </c>
      <c r="B9047" s="2349" t="s">
        <v>9654</v>
      </c>
      <c r="C9047" s="2349" t="s">
        <v>9654</v>
      </c>
      <c r="D9047" s="2349" t="s">
        <v>9342</v>
      </c>
      <c r="E9047" s="2350">
        <v>160</v>
      </c>
      <c r="F9047" s="2350">
        <v>100</v>
      </c>
    </row>
    <row r="9048" spans="1:6" ht="15" customHeight="1" x14ac:dyDescent="0.25">
      <c r="A9048" s="2349" t="s">
        <v>9338</v>
      </c>
      <c r="B9048" s="2349" t="s">
        <v>9654</v>
      </c>
      <c r="C9048" s="2349" t="s">
        <v>9654</v>
      </c>
      <c r="D9048" s="2349" t="s">
        <v>9343</v>
      </c>
      <c r="E9048" s="2350">
        <v>160</v>
      </c>
      <c r="F9048" s="2350">
        <v>120</v>
      </c>
    </row>
    <row r="9049" spans="1:6" ht="15" customHeight="1" x14ac:dyDescent="0.25">
      <c r="A9049" s="2349" t="s">
        <v>9344</v>
      </c>
      <c r="B9049" s="2349" t="s">
        <v>9654</v>
      </c>
      <c r="C9049" s="2349" t="s">
        <v>9654</v>
      </c>
      <c r="D9049" s="2349" t="s">
        <v>9345</v>
      </c>
      <c r="E9049" s="2350">
        <v>60</v>
      </c>
      <c r="F9049" s="2350">
        <v>30</v>
      </c>
    </row>
    <row r="9050" spans="1:6" ht="15" customHeight="1" x14ac:dyDescent="0.25">
      <c r="A9050" s="2349" t="s">
        <v>5188</v>
      </c>
      <c r="B9050" s="2349" t="s">
        <v>9654</v>
      </c>
      <c r="C9050" s="2349" t="s">
        <v>9654</v>
      </c>
      <c r="D9050" s="2349" t="s">
        <v>9346</v>
      </c>
      <c r="E9050" s="2350">
        <v>100</v>
      </c>
      <c r="F9050" s="2350">
        <v>70</v>
      </c>
    </row>
    <row r="9051" spans="1:6" ht="15" customHeight="1" x14ac:dyDescent="0.25">
      <c r="A9051" s="2349" t="s">
        <v>9347</v>
      </c>
      <c r="B9051" s="2349" t="s">
        <v>9654</v>
      </c>
      <c r="C9051" s="2349" t="s">
        <v>9654</v>
      </c>
      <c r="D9051" s="2349" t="s">
        <v>9348</v>
      </c>
      <c r="E9051" s="2350">
        <v>100</v>
      </c>
      <c r="F9051" s="2350">
        <v>80</v>
      </c>
    </row>
    <row r="9052" spans="1:6" ht="15" customHeight="1" x14ac:dyDescent="0.25">
      <c r="A9052" s="2349" t="s">
        <v>9349</v>
      </c>
      <c r="B9052" s="2349" t="s">
        <v>9654</v>
      </c>
      <c r="C9052" s="2349" t="s">
        <v>9654</v>
      </c>
      <c r="D9052" s="2349" t="s">
        <v>9350</v>
      </c>
      <c r="E9052" s="2350">
        <v>160</v>
      </c>
      <c r="F9052" s="2350">
        <v>130</v>
      </c>
    </row>
    <row r="9053" spans="1:6" ht="15" customHeight="1" x14ac:dyDescent="0.25">
      <c r="A9053" s="2349" t="s">
        <v>9349</v>
      </c>
      <c r="B9053" s="2349" t="s">
        <v>9654</v>
      </c>
      <c r="C9053" s="2349" t="s">
        <v>9654</v>
      </c>
      <c r="D9053" s="2349" t="s">
        <v>9351</v>
      </c>
      <c r="E9053" s="2350">
        <v>100</v>
      </c>
      <c r="F9053" s="2350">
        <v>60</v>
      </c>
    </row>
    <row r="9054" spans="1:6" ht="15" customHeight="1" x14ac:dyDescent="0.25">
      <c r="A9054" s="2349" t="s">
        <v>9352</v>
      </c>
      <c r="B9054" s="2349" t="s">
        <v>9654</v>
      </c>
      <c r="C9054" s="2349" t="s">
        <v>9654</v>
      </c>
      <c r="D9054" s="2349" t="s">
        <v>9353</v>
      </c>
      <c r="E9054" s="2350">
        <v>10</v>
      </c>
      <c r="F9054" s="2350">
        <v>5</v>
      </c>
    </row>
    <row r="9055" spans="1:6" ht="15" customHeight="1" x14ac:dyDescent="0.25">
      <c r="A9055" s="2349" t="s">
        <v>9354</v>
      </c>
      <c r="B9055" s="2349" t="s">
        <v>9654</v>
      </c>
      <c r="C9055" s="2349" t="s">
        <v>9654</v>
      </c>
      <c r="D9055" s="2349" t="s">
        <v>9355</v>
      </c>
      <c r="E9055" s="2350">
        <v>60</v>
      </c>
      <c r="F9055" s="2350">
        <v>20</v>
      </c>
    </row>
    <row r="9056" spans="1:6" ht="15" customHeight="1" x14ac:dyDescent="0.25">
      <c r="A9056" s="2349" t="s">
        <v>9354</v>
      </c>
      <c r="B9056" s="2349" t="s">
        <v>9654</v>
      </c>
      <c r="C9056" s="2349" t="s">
        <v>9654</v>
      </c>
      <c r="D9056" s="2349" t="s">
        <v>9356</v>
      </c>
      <c r="E9056" s="2350">
        <v>400</v>
      </c>
      <c r="F9056" s="2350">
        <v>300</v>
      </c>
    </row>
    <row r="9057" spans="1:6" ht="15" customHeight="1" x14ac:dyDescent="0.25">
      <c r="A9057" s="2349" t="s">
        <v>9357</v>
      </c>
      <c r="B9057" s="2349" t="s">
        <v>9654</v>
      </c>
      <c r="C9057" s="2349" t="s">
        <v>9654</v>
      </c>
      <c r="D9057" s="2349" t="s">
        <v>9358</v>
      </c>
      <c r="E9057" s="2350">
        <v>10</v>
      </c>
      <c r="F9057" s="2350">
        <v>5</v>
      </c>
    </row>
    <row r="9058" spans="1:6" ht="15" customHeight="1" x14ac:dyDescent="0.25">
      <c r="A9058" s="2349" t="s">
        <v>9359</v>
      </c>
      <c r="B9058" s="2349" t="s">
        <v>9654</v>
      </c>
      <c r="C9058" s="2349" t="s">
        <v>9654</v>
      </c>
      <c r="D9058" s="2349" t="s">
        <v>9360</v>
      </c>
      <c r="E9058" s="2350">
        <v>100</v>
      </c>
      <c r="F9058" s="2350">
        <v>90</v>
      </c>
    </row>
    <row r="9059" spans="1:6" ht="15" customHeight="1" x14ac:dyDescent="0.25">
      <c r="A9059" s="2349" t="s">
        <v>9361</v>
      </c>
      <c r="B9059" s="2349" t="s">
        <v>9654</v>
      </c>
      <c r="C9059" s="2349" t="s">
        <v>9654</v>
      </c>
      <c r="D9059" s="2349" t="s">
        <v>9362</v>
      </c>
      <c r="E9059" s="2350">
        <v>160</v>
      </c>
      <c r="F9059" s="2350">
        <v>150</v>
      </c>
    </row>
    <row r="9060" spans="1:6" ht="15" customHeight="1" x14ac:dyDescent="0.25">
      <c r="A9060" s="2349" t="s">
        <v>9363</v>
      </c>
      <c r="B9060" s="2349" t="s">
        <v>9654</v>
      </c>
      <c r="C9060" s="2349" t="s">
        <v>9654</v>
      </c>
      <c r="D9060" s="2349" t="s">
        <v>9364</v>
      </c>
      <c r="E9060" s="2350">
        <v>100</v>
      </c>
      <c r="F9060" s="2350">
        <v>80</v>
      </c>
    </row>
    <row r="9061" spans="1:6" ht="15" customHeight="1" x14ac:dyDescent="0.25">
      <c r="A9061" s="2349" t="s">
        <v>9365</v>
      </c>
      <c r="B9061" s="2349" t="s">
        <v>9654</v>
      </c>
      <c r="C9061" s="2349" t="s">
        <v>9654</v>
      </c>
      <c r="D9061" s="2349" t="s">
        <v>9366</v>
      </c>
      <c r="E9061" s="2350">
        <v>25</v>
      </c>
      <c r="F9061" s="2350">
        <v>15</v>
      </c>
    </row>
    <row r="9062" spans="1:6" ht="15" customHeight="1" x14ac:dyDescent="0.25">
      <c r="A9062" s="2349" t="s">
        <v>9367</v>
      </c>
      <c r="B9062" s="2349" t="s">
        <v>9654</v>
      </c>
      <c r="C9062" s="2349" t="s">
        <v>9654</v>
      </c>
      <c r="D9062" s="2349" t="s">
        <v>9368</v>
      </c>
      <c r="E9062" s="2350">
        <v>20</v>
      </c>
      <c r="F9062" s="2350">
        <v>10</v>
      </c>
    </row>
    <row r="9063" spans="1:6" ht="15" customHeight="1" x14ac:dyDescent="0.25">
      <c r="A9063" s="2349" t="s">
        <v>9369</v>
      </c>
      <c r="B9063" s="2349" t="s">
        <v>9654</v>
      </c>
      <c r="C9063" s="2349" t="s">
        <v>9654</v>
      </c>
      <c r="D9063" s="2349" t="s">
        <v>9370</v>
      </c>
      <c r="E9063" s="2350">
        <v>63</v>
      </c>
      <c r="F9063" s="2350">
        <v>48</v>
      </c>
    </row>
    <row r="9064" spans="1:6" ht="15" customHeight="1" x14ac:dyDescent="0.25">
      <c r="A9064" s="2349" t="s">
        <v>9371</v>
      </c>
      <c r="B9064" s="2349" t="s">
        <v>9654</v>
      </c>
      <c r="C9064" s="2349" t="s">
        <v>9654</v>
      </c>
      <c r="D9064" s="2349" t="s">
        <v>9372</v>
      </c>
      <c r="E9064" s="2350">
        <v>25</v>
      </c>
      <c r="F9064" s="2350">
        <v>15</v>
      </c>
    </row>
    <row r="9065" spans="1:6" ht="15" customHeight="1" x14ac:dyDescent="0.25">
      <c r="A9065" s="2349" t="s">
        <v>9373</v>
      </c>
      <c r="B9065" s="2349" t="s">
        <v>9654</v>
      </c>
      <c r="C9065" s="2349" t="s">
        <v>9654</v>
      </c>
      <c r="D9065" s="2349" t="s">
        <v>9374</v>
      </c>
      <c r="E9065" s="2350">
        <v>25</v>
      </c>
      <c r="F9065" s="2350">
        <v>20</v>
      </c>
    </row>
    <row r="9066" spans="1:6" ht="15" customHeight="1" x14ac:dyDescent="0.25">
      <c r="A9066" s="2349" t="s">
        <v>14489</v>
      </c>
      <c r="B9066" s="2349" t="s">
        <v>9654</v>
      </c>
      <c r="C9066" s="2349" t="s">
        <v>9654</v>
      </c>
      <c r="D9066" s="2349" t="s">
        <v>9375</v>
      </c>
      <c r="E9066" s="2350">
        <v>30</v>
      </c>
      <c r="F9066" s="2350">
        <v>25</v>
      </c>
    </row>
    <row r="9067" spans="1:6" ht="15" customHeight="1" x14ac:dyDescent="0.25">
      <c r="A9067" s="2349" t="s">
        <v>9376</v>
      </c>
      <c r="B9067" s="2349" t="s">
        <v>9654</v>
      </c>
      <c r="C9067" s="2349" t="s">
        <v>9654</v>
      </c>
      <c r="D9067" s="2349" t="s">
        <v>9377</v>
      </c>
      <c r="E9067" s="2350">
        <v>400</v>
      </c>
      <c r="F9067" s="2350">
        <v>370</v>
      </c>
    </row>
    <row r="9068" spans="1:6" ht="15" customHeight="1" x14ac:dyDescent="0.25">
      <c r="A9068" s="2349" t="s">
        <v>9376</v>
      </c>
      <c r="B9068" s="2349" t="s">
        <v>9654</v>
      </c>
      <c r="C9068" s="2349" t="s">
        <v>9654</v>
      </c>
      <c r="D9068" s="2349" t="s">
        <v>9378</v>
      </c>
      <c r="E9068" s="2350">
        <v>160</v>
      </c>
      <c r="F9068" s="2350">
        <v>130</v>
      </c>
    </row>
    <row r="9069" spans="1:6" ht="15" customHeight="1" x14ac:dyDescent="0.25">
      <c r="A9069" s="2349" t="s">
        <v>9376</v>
      </c>
      <c r="B9069" s="2349" t="s">
        <v>9654</v>
      </c>
      <c r="C9069" s="2349" t="s">
        <v>9654</v>
      </c>
      <c r="D9069" s="2349" t="s">
        <v>9379</v>
      </c>
      <c r="E9069" s="2350">
        <v>160</v>
      </c>
      <c r="F9069" s="2350">
        <v>140</v>
      </c>
    </row>
    <row r="9070" spans="1:6" ht="15" customHeight="1" x14ac:dyDescent="0.25">
      <c r="A9070" s="2349" t="s">
        <v>8784</v>
      </c>
      <c r="B9070" s="2349" t="s">
        <v>9654</v>
      </c>
      <c r="C9070" s="2349" t="s">
        <v>9654</v>
      </c>
      <c r="D9070" s="2349" t="s">
        <v>9327</v>
      </c>
      <c r="E9070" s="2350">
        <v>30</v>
      </c>
      <c r="F9070" s="2350">
        <v>20</v>
      </c>
    </row>
    <row r="9071" spans="1:6" ht="15" customHeight="1" x14ac:dyDescent="0.25">
      <c r="A9071" s="2349" t="s">
        <v>14490</v>
      </c>
      <c r="B9071" s="2349" t="s">
        <v>9654</v>
      </c>
      <c r="C9071" s="2349" t="s">
        <v>9654</v>
      </c>
      <c r="D9071" s="2349" t="s">
        <v>9380</v>
      </c>
      <c r="E9071" s="2350">
        <v>30</v>
      </c>
      <c r="F9071" s="2350">
        <v>20</v>
      </c>
    </row>
    <row r="9072" spans="1:6" ht="15" customHeight="1" x14ac:dyDescent="0.25">
      <c r="A9072" s="2349" t="s">
        <v>9381</v>
      </c>
      <c r="B9072" s="2349" t="s">
        <v>9654</v>
      </c>
      <c r="C9072" s="2349" t="s">
        <v>9654</v>
      </c>
      <c r="D9072" s="2349" t="s">
        <v>9382</v>
      </c>
      <c r="E9072" s="2350">
        <v>25</v>
      </c>
      <c r="F9072" s="2350">
        <v>20</v>
      </c>
    </row>
    <row r="9073" spans="1:6" ht="15" customHeight="1" x14ac:dyDescent="0.25">
      <c r="A9073" s="2349" t="s">
        <v>9383</v>
      </c>
      <c r="B9073" s="2349" t="s">
        <v>9654</v>
      </c>
      <c r="C9073" s="2349" t="s">
        <v>9654</v>
      </c>
      <c r="D9073" s="2349" t="s">
        <v>9384</v>
      </c>
      <c r="E9073" s="2350">
        <v>100</v>
      </c>
      <c r="F9073" s="2350">
        <v>80</v>
      </c>
    </row>
    <row r="9074" spans="1:6" ht="15" customHeight="1" x14ac:dyDescent="0.25">
      <c r="A9074" s="2349" t="s">
        <v>9385</v>
      </c>
      <c r="B9074" s="2349" t="s">
        <v>9654</v>
      </c>
      <c r="C9074" s="2349" t="s">
        <v>9654</v>
      </c>
      <c r="D9074" s="2349" t="s">
        <v>9386</v>
      </c>
      <c r="E9074" s="2350">
        <v>100</v>
      </c>
      <c r="F9074" s="2350">
        <v>50</v>
      </c>
    </row>
    <row r="9075" spans="1:6" ht="15" customHeight="1" x14ac:dyDescent="0.25">
      <c r="A9075" s="2349" t="s">
        <v>9387</v>
      </c>
      <c r="B9075" s="2349" t="s">
        <v>9654</v>
      </c>
      <c r="C9075" s="2349" t="s">
        <v>9654</v>
      </c>
      <c r="D9075" s="2349" t="s">
        <v>9388</v>
      </c>
      <c r="E9075" s="2350">
        <v>10</v>
      </c>
      <c r="F9075" s="2350">
        <v>5</v>
      </c>
    </row>
    <row r="9076" spans="1:6" ht="15" customHeight="1" x14ac:dyDescent="0.25">
      <c r="A9076" s="2349" t="s">
        <v>9389</v>
      </c>
      <c r="B9076" s="2349" t="s">
        <v>9654</v>
      </c>
      <c r="C9076" s="2349" t="s">
        <v>9654</v>
      </c>
      <c r="D9076" s="2349" t="s">
        <v>9390</v>
      </c>
      <c r="E9076" s="2350">
        <v>40</v>
      </c>
      <c r="F9076" s="2350">
        <v>30</v>
      </c>
    </row>
    <row r="9077" spans="1:6" ht="15" customHeight="1" x14ac:dyDescent="0.25">
      <c r="A9077" s="2349" t="s">
        <v>6476</v>
      </c>
      <c r="B9077" s="2349" t="s">
        <v>9654</v>
      </c>
      <c r="C9077" s="2349" t="s">
        <v>9654</v>
      </c>
      <c r="D9077" s="2349" t="s">
        <v>9391</v>
      </c>
      <c r="E9077" s="2350">
        <v>60</v>
      </c>
      <c r="F9077" s="2350">
        <v>50</v>
      </c>
    </row>
    <row r="9078" spans="1:6" ht="15" customHeight="1" x14ac:dyDescent="0.25">
      <c r="A9078" s="2349" t="s">
        <v>6476</v>
      </c>
      <c r="B9078" s="2349" t="s">
        <v>9654</v>
      </c>
      <c r="C9078" s="2349" t="s">
        <v>9654</v>
      </c>
      <c r="D9078" s="2349" t="s">
        <v>9392</v>
      </c>
      <c r="E9078" s="2350">
        <v>63</v>
      </c>
      <c r="F9078" s="2350">
        <v>53</v>
      </c>
    </row>
    <row r="9079" spans="1:6" ht="15" customHeight="1" x14ac:dyDescent="0.25">
      <c r="A9079" s="2349" t="s">
        <v>9393</v>
      </c>
      <c r="B9079" s="2349" t="s">
        <v>9654</v>
      </c>
      <c r="C9079" s="2349" t="s">
        <v>9654</v>
      </c>
      <c r="D9079" s="2349" t="s">
        <v>9394</v>
      </c>
      <c r="E9079" s="2350">
        <v>30</v>
      </c>
      <c r="F9079" s="2350">
        <v>20</v>
      </c>
    </row>
    <row r="9080" spans="1:6" ht="15" customHeight="1" x14ac:dyDescent="0.25">
      <c r="A9080" s="2349" t="s">
        <v>9395</v>
      </c>
      <c r="B9080" s="2349" t="s">
        <v>9654</v>
      </c>
      <c r="C9080" s="2349" t="s">
        <v>9654</v>
      </c>
      <c r="D9080" s="2349" t="s">
        <v>9396</v>
      </c>
      <c r="E9080" s="2350">
        <v>40</v>
      </c>
      <c r="F9080" s="2350">
        <v>35</v>
      </c>
    </row>
    <row r="9081" spans="1:6" ht="15" customHeight="1" x14ac:dyDescent="0.25">
      <c r="A9081" s="2349" t="s">
        <v>9397</v>
      </c>
      <c r="B9081" s="2349" t="s">
        <v>9654</v>
      </c>
      <c r="C9081" s="2349" t="s">
        <v>9654</v>
      </c>
      <c r="D9081" s="2349" t="s">
        <v>9398</v>
      </c>
      <c r="E9081" s="2350">
        <v>160</v>
      </c>
      <c r="F9081" s="2350">
        <v>150</v>
      </c>
    </row>
    <row r="9082" spans="1:6" ht="15" customHeight="1" x14ac:dyDescent="0.25">
      <c r="A9082" s="2349" t="s">
        <v>9399</v>
      </c>
      <c r="B9082" s="2349" t="s">
        <v>9654</v>
      </c>
      <c r="C9082" s="2349" t="s">
        <v>9654</v>
      </c>
      <c r="D9082" s="2349" t="s">
        <v>9400</v>
      </c>
      <c r="E9082" s="2350">
        <v>30</v>
      </c>
      <c r="F9082" s="2350">
        <v>25</v>
      </c>
    </row>
    <row r="9083" spans="1:6" ht="15" customHeight="1" x14ac:dyDescent="0.25">
      <c r="A9083" s="2349" t="s">
        <v>9401</v>
      </c>
      <c r="B9083" s="2349" t="s">
        <v>9654</v>
      </c>
      <c r="C9083" s="2349" t="s">
        <v>9654</v>
      </c>
      <c r="D9083" s="2349" t="s">
        <v>9402</v>
      </c>
      <c r="E9083" s="2350">
        <v>160</v>
      </c>
      <c r="F9083" s="2350">
        <v>150</v>
      </c>
    </row>
    <row r="9084" spans="1:6" ht="15" customHeight="1" x14ac:dyDescent="0.25">
      <c r="A9084" s="2349" t="s">
        <v>9401</v>
      </c>
      <c r="B9084" s="2349" t="s">
        <v>9654</v>
      </c>
      <c r="C9084" s="2349" t="s">
        <v>9654</v>
      </c>
      <c r="D9084" s="2349" t="s">
        <v>9403</v>
      </c>
      <c r="E9084" s="2350">
        <v>100</v>
      </c>
      <c r="F9084" s="2350">
        <v>80</v>
      </c>
    </row>
    <row r="9085" spans="1:6" ht="15" customHeight="1" x14ac:dyDescent="0.25">
      <c r="A9085" s="2349" t="s">
        <v>9404</v>
      </c>
      <c r="B9085" s="2349" t="s">
        <v>9654</v>
      </c>
      <c r="C9085" s="2349" t="s">
        <v>9654</v>
      </c>
      <c r="D9085" s="2349" t="s">
        <v>9405</v>
      </c>
      <c r="E9085" s="2350">
        <v>100</v>
      </c>
      <c r="F9085" s="2350">
        <v>70</v>
      </c>
    </row>
    <row r="9086" spans="1:6" ht="15" customHeight="1" x14ac:dyDescent="0.25">
      <c r="A9086" s="2349" t="s">
        <v>6429</v>
      </c>
      <c r="B9086" s="2349" t="s">
        <v>9654</v>
      </c>
      <c r="C9086" s="2349" t="s">
        <v>9654</v>
      </c>
      <c r="D9086" s="2349" t="s">
        <v>9406</v>
      </c>
      <c r="E9086" s="2350">
        <v>30</v>
      </c>
      <c r="F9086" s="2350">
        <v>25</v>
      </c>
    </row>
    <row r="9087" spans="1:6" ht="15" customHeight="1" x14ac:dyDescent="0.25">
      <c r="A9087" s="2349" t="s">
        <v>9407</v>
      </c>
      <c r="B9087" s="2349" t="s">
        <v>9654</v>
      </c>
      <c r="C9087" s="2349" t="s">
        <v>9654</v>
      </c>
      <c r="D9087" s="2349" t="s">
        <v>9408</v>
      </c>
      <c r="E9087" s="2350">
        <v>60</v>
      </c>
      <c r="F9087" s="2350">
        <v>45</v>
      </c>
    </row>
    <row r="9088" spans="1:6" ht="15" customHeight="1" x14ac:dyDescent="0.25">
      <c r="A9088" s="2349" t="s">
        <v>9407</v>
      </c>
      <c r="B9088" s="2349" t="s">
        <v>9654</v>
      </c>
      <c r="C9088" s="2349" t="s">
        <v>9654</v>
      </c>
      <c r="D9088" s="2349" t="s">
        <v>9409</v>
      </c>
      <c r="E9088" s="2350">
        <v>100</v>
      </c>
      <c r="F9088" s="2350">
        <v>85</v>
      </c>
    </row>
    <row r="9089" spans="1:6" ht="15" customHeight="1" x14ac:dyDescent="0.25">
      <c r="A9089" s="2349" t="s">
        <v>9407</v>
      </c>
      <c r="B9089" s="2349" t="s">
        <v>9654</v>
      </c>
      <c r="C9089" s="2349" t="s">
        <v>9654</v>
      </c>
      <c r="D9089" s="2349" t="s">
        <v>9410</v>
      </c>
      <c r="E9089" s="2350">
        <v>160</v>
      </c>
      <c r="F9089" s="2350">
        <v>140</v>
      </c>
    </row>
    <row r="9090" spans="1:6" ht="15" customHeight="1" x14ac:dyDescent="0.25">
      <c r="A9090" s="2349" t="s">
        <v>9407</v>
      </c>
      <c r="B9090" s="2349" t="s">
        <v>9654</v>
      </c>
      <c r="C9090" s="2349" t="s">
        <v>9654</v>
      </c>
      <c r="D9090" s="2349" t="s">
        <v>9411</v>
      </c>
      <c r="E9090" s="2350">
        <v>100</v>
      </c>
      <c r="F9090" s="2350">
        <v>80</v>
      </c>
    </row>
    <row r="9091" spans="1:6" ht="15" customHeight="1" x14ac:dyDescent="0.25">
      <c r="A9091" s="2349" t="s">
        <v>9407</v>
      </c>
      <c r="B9091" s="2349" t="s">
        <v>9654</v>
      </c>
      <c r="C9091" s="2349" t="s">
        <v>9654</v>
      </c>
      <c r="D9091" s="2349" t="s">
        <v>9412</v>
      </c>
      <c r="E9091" s="2350">
        <v>400</v>
      </c>
      <c r="F9091" s="2350">
        <v>375</v>
      </c>
    </row>
    <row r="9092" spans="1:6" ht="15" customHeight="1" x14ac:dyDescent="0.25">
      <c r="A9092" s="2349" t="s">
        <v>9407</v>
      </c>
      <c r="B9092" s="2349" t="s">
        <v>9654</v>
      </c>
      <c r="C9092" s="2349" t="s">
        <v>9654</v>
      </c>
      <c r="D9092" s="2349" t="s">
        <v>9413</v>
      </c>
      <c r="E9092" s="2350">
        <v>100</v>
      </c>
      <c r="F9092" s="2350">
        <v>80</v>
      </c>
    </row>
    <row r="9093" spans="1:6" ht="15" customHeight="1" x14ac:dyDescent="0.25">
      <c r="A9093" s="2349" t="s">
        <v>9407</v>
      </c>
      <c r="B9093" s="2349" t="s">
        <v>9654</v>
      </c>
      <c r="C9093" s="2349" t="s">
        <v>9654</v>
      </c>
      <c r="D9093" s="2349" t="s">
        <v>9414</v>
      </c>
      <c r="E9093" s="2350">
        <v>250</v>
      </c>
      <c r="F9093" s="2350">
        <v>245</v>
      </c>
    </row>
    <row r="9094" spans="1:6" ht="15" customHeight="1" x14ac:dyDescent="0.25">
      <c r="A9094" s="2349" t="s">
        <v>3918</v>
      </c>
      <c r="B9094" s="2349" t="s">
        <v>9654</v>
      </c>
      <c r="C9094" s="2349" t="s">
        <v>9654</v>
      </c>
      <c r="D9094" s="2349" t="s">
        <v>9415</v>
      </c>
      <c r="E9094" s="2350">
        <v>30</v>
      </c>
      <c r="F9094" s="2350">
        <v>25</v>
      </c>
    </row>
    <row r="9095" spans="1:6" ht="15" customHeight="1" x14ac:dyDescent="0.25">
      <c r="A9095" s="2349" t="s">
        <v>9416</v>
      </c>
      <c r="B9095" s="2349" t="s">
        <v>9654</v>
      </c>
      <c r="C9095" s="2349" t="s">
        <v>9654</v>
      </c>
      <c r="D9095" s="2349" t="s">
        <v>9417</v>
      </c>
      <c r="E9095" s="2350">
        <v>250</v>
      </c>
      <c r="F9095" s="2350">
        <v>200</v>
      </c>
    </row>
    <row r="9096" spans="1:6" ht="15" customHeight="1" x14ac:dyDescent="0.25">
      <c r="A9096" s="2349" t="s">
        <v>3741</v>
      </c>
      <c r="B9096" s="2349" t="s">
        <v>9654</v>
      </c>
      <c r="C9096" s="2349" t="s">
        <v>9654</v>
      </c>
      <c r="D9096" s="2349" t="s">
        <v>9418</v>
      </c>
      <c r="E9096" s="2350">
        <v>63</v>
      </c>
      <c r="F9096" s="2350">
        <v>53</v>
      </c>
    </row>
    <row r="9097" spans="1:6" ht="15" customHeight="1" x14ac:dyDescent="0.25">
      <c r="A9097" s="2349" t="s">
        <v>9419</v>
      </c>
      <c r="B9097" s="2349" t="s">
        <v>9654</v>
      </c>
      <c r="C9097" s="2349" t="s">
        <v>9654</v>
      </c>
      <c r="D9097" s="2349" t="s">
        <v>9420</v>
      </c>
      <c r="E9097" s="2350">
        <v>20</v>
      </c>
      <c r="F9097" s="2350">
        <v>15</v>
      </c>
    </row>
    <row r="9098" spans="1:6" ht="15" customHeight="1" x14ac:dyDescent="0.25">
      <c r="A9098" s="2349" t="s">
        <v>9421</v>
      </c>
      <c r="B9098" s="2349" t="s">
        <v>9654</v>
      </c>
      <c r="C9098" s="2349" t="s">
        <v>9654</v>
      </c>
      <c r="D9098" s="2349" t="s">
        <v>9422</v>
      </c>
      <c r="E9098" s="2350">
        <v>30</v>
      </c>
      <c r="F9098" s="2350">
        <v>25</v>
      </c>
    </row>
    <row r="9099" spans="1:6" ht="15" customHeight="1" x14ac:dyDescent="0.25">
      <c r="A9099" s="2349" t="s">
        <v>7632</v>
      </c>
      <c r="B9099" s="2349" t="s">
        <v>9654</v>
      </c>
      <c r="C9099" s="2349" t="s">
        <v>9654</v>
      </c>
      <c r="D9099" s="2349" t="s">
        <v>9423</v>
      </c>
      <c r="E9099" s="2350">
        <v>40</v>
      </c>
      <c r="F9099" s="2350">
        <v>30</v>
      </c>
    </row>
    <row r="9100" spans="1:6" ht="15" customHeight="1" x14ac:dyDescent="0.25">
      <c r="A9100" s="2349" t="s">
        <v>9424</v>
      </c>
      <c r="B9100" s="2349" t="s">
        <v>9654</v>
      </c>
      <c r="C9100" s="2349" t="s">
        <v>9654</v>
      </c>
      <c r="D9100" s="2349" t="s">
        <v>9333</v>
      </c>
      <c r="E9100" s="2350">
        <v>60</v>
      </c>
      <c r="F9100" s="2350">
        <v>50</v>
      </c>
    </row>
    <row r="9101" spans="1:6" ht="15" customHeight="1" x14ac:dyDescent="0.25">
      <c r="A9101" s="2349" t="s">
        <v>9425</v>
      </c>
      <c r="B9101" s="2349" t="s">
        <v>9654</v>
      </c>
      <c r="C9101" s="2349" t="s">
        <v>9654</v>
      </c>
      <c r="D9101" s="2349" t="s">
        <v>9426</v>
      </c>
      <c r="E9101" s="2350">
        <v>30</v>
      </c>
      <c r="F9101" s="2350">
        <v>15</v>
      </c>
    </row>
    <row r="9102" spans="1:6" ht="15" customHeight="1" x14ac:dyDescent="0.25">
      <c r="A9102" s="2349" t="s">
        <v>9427</v>
      </c>
      <c r="B9102" s="2349" t="s">
        <v>9654</v>
      </c>
      <c r="C9102" s="2349" t="s">
        <v>9654</v>
      </c>
      <c r="D9102" s="2349" t="s">
        <v>9428</v>
      </c>
      <c r="E9102" s="2350">
        <v>10</v>
      </c>
      <c r="F9102" s="2350">
        <v>5</v>
      </c>
    </row>
    <row r="9103" spans="1:6" ht="15" customHeight="1" x14ac:dyDescent="0.25">
      <c r="A9103" s="2349" t="s">
        <v>9429</v>
      </c>
      <c r="B9103" s="2349" t="s">
        <v>9654</v>
      </c>
      <c r="C9103" s="2349" t="s">
        <v>9654</v>
      </c>
      <c r="D9103" s="2349" t="s">
        <v>9430</v>
      </c>
      <c r="E9103" s="2350">
        <v>20</v>
      </c>
      <c r="F9103" s="2350">
        <v>15</v>
      </c>
    </row>
    <row r="9104" spans="1:6" ht="15" customHeight="1" x14ac:dyDescent="0.25">
      <c r="A9104" s="2349" t="s">
        <v>9431</v>
      </c>
      <c r="B9104" s="2349" t="s">
        <v>9654</v>
      </c>
      <c r="C9104" s="2349" t="s">
        <v>9654</v>
      </c>
      <c r="D9104" s="2349" t="s">
        <v>9432</v>
      </c>
      <c r="E9104" s="2350">
        <v>30</v>
      </c>
      <c r="F9104" s="2350">
        <v>20</v>
      </c>
    </row>
    <row r="9105" spans="1:6" ht="15" customHeight="1" x14ac:dyDescent="0.25">
      <c r="A9105" s="2349" t="s">
        <v>9433</v>
      </c>
      <c r="B9105" s="2349" t="s">
        <v>9654</v>
      </c>
      <c r="C9105" s="2349" t="s">
        <v>9654</v>
      </c>
      <c r="D9105" s="2349" t="s">
        <v>9434</v>
      </c>
      <c r="E9105" s="2350">
        <v>100</v>
      </c>
      <c r="F9105" s="2350">
        <v>80</v>
      </c>
    </row>
    <row r="9106" spans="1:6" ht="15" customHeight="1" x14ac:dyDescent="0.25">
      <c r="A9106" s="2349" t="s">
        <v>9433</v>
      </c>
      <c r="B9106" s="2349" t="s">
        <v>9654</v>
      </c>
      <c r="C9106" s="2349" t="s">
        <v>9654</v>
      </c>
      <c r="D9106" s="2349" t="s">
        <v>9435</v>
      </c>
      <c r="E9106" s="2350">
        <v>63</v>
      </c>
      <c r="F9106" s="2350">
        <v>48</v>
      </c>
    </row>
    <row r="9107" spans="1:6" ht="15" customHeight="1" x14ac:dyDescent="0.25">
      <c r="A9107" s="2349" t="s">
        <v>9436</v>
      </c>
      <c r="B9107" s="2349" t="s">
        <v>9654</v>
      </c>
      <c r="C9107" s="2349" t="s">
        <v>9654</v>
      </c>
      <c r="D9107" s="2349" t="s">
        <v>9437</v>
      </c>
      <c r="E9107" s="2350">
        <v>25</v>
      </c>
      <c r="F9107" s="2350">
        <v>15</v>
      </c>
    </row>
    <row r="9108" spans="1:6" ht="15" customHeight="1" x14ac:dyDescent="0.25">
      <c r="A9108" s="2349" t="s">
        <v>9438</v>
      </c>
      <c r="B9108" s="2349" t="s">
        <v>9654</v>
      </c>
      <c r="C9108" s="2349" t="s">
        <v>9654</v>
      </c>
      <c r="D9108" s="2349" t="s">
        <v>9439</v>
      </c>
      <c r="E9108" s="2350">
        <v>60</v>
      </c>
      <c r="F9108" s="2350">
        <v>55</v>
      </c>
    </row>
    <row r="9109" spans="1:6" ht="15" customHeight="1" x14ac:dyDescent="0.25">
      <c r="A9109" s="2349" t="s">
        <v>9407</v>
      </c>
      <c r="B9109" s="2349" t="s">
        <v>9654</v>
      </c>
      <c r="C9109" s="2349" t="s">
        <v>9654</v>
      </c>
      <c r="D9109" s="2349" t="s">
        <v>9440</v>
      </c>
      <c r="E9109" s="2350">
        <v>250</v>
      </c>
      <c r="F9109" s="2350">
        <v>220</v>
      </c>
    </row>
    <row r="9110" spans="1:6" ht="15" customHeight="1" x14ac:dyDescent="0.25">
      <c r="A9110" s="2349" t="s">
        <v>9441</v>
      </c>
      <c r="B9110" s="2349" t="s">
        <v>9654</v>
      </c>
      <c r="C9110" s="2349" t="s">
        <v>9654</v>
      </c>
      <c r="D9110" s="2349" t="s">
        <v>9442</v>
      </c>
      <c r="E9110" s="2350">
        <v>100</v>
      </c>
      <c r="F9110" s="2350">
        <v>90</v>
      </c>
    </row>
    <row r="9111" spans="1:6" ht="15" customHeight="1" x14ac:dyDescent="0.25">
      <c r="A9111" s="2349" t="s">
        <v>9441</v>
      </c>
      <c r="B9111" s="2349" t="s">
        <v>9654</v>
      </c>
      <c r="C9111" s="2349" t="s">
        <v>9654</v>
      </c>
      <c r="D9111" s="2349" t="s">
        <v>9443</v>
      </c>
      <c r="E9111" s="2350">
        <v>160</v>
      </c>
      <c r="F9111" s="2350">
        <v>140</v>
      </c>
    </row>
    <row r="9112" spans="1:6" ht="15" customHeight="1" x14ac:dyDescent="0.25">
      <c r="A9112" s="2349" t="s">
        <v>9444</v>
      </c>
      <c r="B9112" s="2349" t="s">
        <v>9654</v>
      </c>
      <c r="C9112" s="2349" t="s">
        <v>9654</v>
      </c>
      <c r="D9112" s="2349" t="s">
        <v>9445</v>
      </c>
      <c r="E9112" s="2350">
        <v>160</v>
      </c>
      <c r="F9112" s="2350">
        <v>150</v>
      </c>
    </row>
    <row r="9113" spans="1:6" ht="15" customHeight="1" x14ac:dyDescent="0.25">
      <c r="A9113" s="2349" t="s">
        <v>9444</v>
      </c>
      <c r="B9113" s="2349" t="s">
        <v>9654</v>
      </c>
      <c r="C9113" s="2349" t="s">
        <v>9654</v>
      </c>
      <c r="D9113" s="2349" t="s">
        <v>9446</v>
      </c>
      <c r="E9113" s="2350">
        <v>250</v>
      </c>
      <c r="F9113" s="2350">
        <v>220</v>
      </c>
    </row>
    <row r="9114" spans="1:6" ht="15" customHeight="1" x14ac:dyDescent="0.25">
      <c r="A9114" s="2349" t="s">
        <v>3938</v>
      </c>
      <c r="B9114" s="2349" t="s">
        <v>9654</v>
      </c>
      <c r="C9114" s="2349" t="s">
        <v>9654</v>
      </c>
      <c r="D9114" s="2349" t="s">
        <v>9447</v>
      </c>
      <c r="E9114" s="2350">
        <v>30</v>
      </c>
      <c r="F9114" s="2350">
        <v>20</v>
      </c>
    </row>
    <row r="9115" spans="1:6" ht="15" customHeight="1" x14ac:dyDescent="0.25">
      <c r="A9115" s="2349" t="s">
        <v>9448</v>
      </c>
      <c r="B9115" s="2349" t="s">
        <v>9654</v>
      </c>
      <c r="C9115" s="2349" t="s">
        <v>9654</v>
      </c>
      <c r="D9115" s="2349" t="s">
        <v>9449</v>
      </c>
      <c r="E9115" s="2350">
        <v>100</v>
      </c>
      <c r="F9115" s="2350">
        <v>85</v>
      </c>
    </row>
    <row r="9116" spans="1:6" ht="15" customHeight="1" x14ac:dyDescent="0.25">
      <c r="A9116" s="2349" t="s">
        <v>9448</v>
      </c>
      <c r="B9116" s="2349" t="s">
        <v>9654</v>
      </c>
      <c r="C9116" s="2349" t="s">
        <v>9654</v>
      </c>
      <c r="D9116" s="2349" t="s">
        <v>9450</v>
      </c>
      <c r="E9116" s="2350">
        <v>160</v>
      </c>
      <c r="F9116" s="2350">
        <v>140</v>
      </c>
    </row>
    <row r="9117" spans="1:6" ht="15" customHeight="1" x14ac:dyDescent="0.25">
      <c r="A9117" s="2349" t="s">
        <v>9448</v>
      </c>
      <c r="B9117" s="2349" t="s">
        <v>9654</v>
      </c>
      <c r="C9117" s="2349" t="s">
        <v>9654</v>
      </c>
      <c r="D9117" s="2349" t="s">
        <v>9451</v>
      </c>
      <c r="E9117" s="2350">
        <v>100</v>
      </c>
      <c r="F9117" s="2350">
        <v>70</v>
      </c>
    </row>
    <row r="9118" spans="1:6" ht="15" customHeight="1" x14ac:dyDescent="0.25">
      <c r="A9118" s="2349" t="s">
        <v>9448</v>
      </c>
      <c r="B9118" s="2349" t="s">
        <v>9654</v>
      </c>
      <c r="C9118" s="2349" t="s">
        <v>9654</v>
      </c>
      <c r="D9118" s="2349" t="s">
        <v>9452</v>
      </c>
      <c r="E9118" s="2350">
        <v>100</v>
      </c>
      <c r="F9118" s="2350">
        <v>80</v>
      </c>
    </row>
    <row r="9119" spans="1:6" ht="15" customHeight="1" x14ac:dyDescent="0.25">
      <c r="A9119" s="2349" t="s">
        <v>9453</v>
      </c>
      <c r="B9119" s="2349" t="s">
        <v>9654</v>
      </c>
      <c r="C9119" s="2349" t="s">
        <v>9654</v>
      </c>
      <c r="D9119" s="2349" t="s">
        <v>9454</v>
      </c>
      <c r="E9119" s="2350">
        <v>40</v>
      </c>
      <c r="F9119" s="2350">
        <v>25</v>
      </c>
    </row>
    <row r="9120" spans="1:6" ht="15" customHeight="1" x14ac:dyDescent="0.25">
      <c r="A9120" s="2349" t="s">
        <v>9455</v>
      </c>
      <c r="B9120" s="2349" t="s">
        <v>9654</v>
      </c>
      <c r="C9120" s="2349" t="s">
        <v>9654</v>
      </c>
      <c r="D9120" s="2349" t="s">
        <v>9456</v>
      </c>
      <c r="E9120" s="2350">
        <v>100</v>
      </c>
      <c r="F9120" s="2350">
        <v>60</v>
      </c>
    </row>
    <row r="9121" spans="1:6" ht="15" customHeight="1" x14ac:dyDescent="0.25">
      <c r="A9121" s="2349" t="s">
        <v>3741</v>
      </c>
      <c r="B9121" s="2349" t="s">
        <v>9654</v>
      </c>
      <c r="C9121" s="2349" t="s">
        <v>9654</v>
      </c>
      <c r="D9121" s="2349" t="s">
        <v>9457</v>
      </c>
      <c r="E9121" s="2350">
        <v>60</v>
      </c>
      <c r="F9121" s="2350">
        <v>50</v>
      </c>
    </row>
    <row r="9122" spans="1:6" ht="15" customHeight="1" x14ac:dyDescent="0.25">
      <c r="A9122" s="2349" t="s">
        <v>9458</v>
      </c>
      <c r="B9122" s="2349" t="s">
        <v>9654</v>
      </c>
      <c r="C9122" s="2349" t="s">
        <v>9654</v>
      </c>
      <c r="D9122" s="2349" t="s">
        <v>9459</v>
      </c>
      <c r="E9122" s="2350">
        <v>20</v>
      </c>
      <c r="F9122" s="2350">
        <v>5</v>
      </c>
    </row>
    <row r="9123" spans="1:6" ht="15" customHeight="1" x14ac:dyDescent="0.25">
      <c r="A9123" s="2349" t="s">
        <v>9460</v>
      </c>
      <c r="B9123" s="2349" t="s">
        <v>9654</v>
      </c>
      <c r="C9123" s="2349" t="s">
        <v>9654</v>
      </c>
      <c r="D9123" s="2349" t="s">
        <v>9461</v>
      </c>
      <c r="E9123" s="2350">
        <v>100</v>
      </c>
      <c r="F9123" s="2350">
        <v>85</v>
      </c>
    </row>
    <row r="9124" spans="1:6" ht="15" customHeight="1" x14ac:dyDescent="0.25">
      <c r="A9124" s="2349" t="s">
        <v>9416</v>
      </c>
      <c r="B9124" s="2349" t="s">
        <v>9654</v>
      </c>
      <c r="C9124" s="2349" t="s">
        <v>9654</v>
      </c>
      <c r="D9124" s="2349" t="s">
        <v>9462</v>
      </c>
      <c r="E9124" s="2350">
        <v>160</v>
      </c>
      <c r="F9124" s="2350">
        <v>90</v>
      </c>
    </row>
    <row r="9125" spans="1:6" ht="15" customHeight="1" x14ac:dyDescent="0.25">
      <c r="A9125" s="2349" t="s">
        <v>9416</v>
      </c>
      <c r="B9125" s="2349" t="s">
        <v>9654</v>
      </c>
      <c r="C9125" s="2349" t="s">
        <v>9654</v>
      </c>
      <c r="D9125" s="2349" t="s">
        <v>9463</v>
      </c>
      <c r="E9125" s="2350">
        <v>100</v>
      </c>
      <c r="F9125" s="2350">
        <v>60</v>
      </c>
    </row>
    <row r="9126" spans="1:6" ht="15" customHeight="1" x14ac:dyDescent="0.25">
      <c r="A9126" s="2349" t="s">
        <v>9416</v>
      </c>
      <c r="B9126" s="2349" t="s">
        <v>9654</v>
      </c>
      <c r="C9126" s="2349" t="s">
        <v>9654</v>
      </c>
      <c r="D9126" s="2349" t="s">
        <v>9464</v>
      </c>
      <c r="E9126" s="2350">
        <v>250</v>
      </c>
      <c r="F9126" s="2350">
        <v>200</v>
      </c>
    </row>
    <row r="9127" spans="1:6" ht="15" customHeight="1" x14ac:dyDescent="0.25">
      <c r="A9127" s="2349" t="s">
        <v>9416</v>
      </c>
      <c r="B9127" s="2349" t="s">
        <v>9654</v>
      </c>
      <c r="C9127" s="2349" t="s">
        <v>9654</v>
      </c>
      <c r="D9127" s="2349" t="s">
        <v>9465</v>
      </c>
      <c r="E9127" s="2350">
        <v>250</v>
      </c>
      <c r="F9127" s="2350">
        <v>190</v>
      </c>
    </row>
    <row r="9128" spans="1:6" ht="15" customHeight="1" x14ac:dyDescent="0.25">
      <c r="A9128" s="2349" t="s">
        <v>9416</v>
      </c>
      <c r="B9128" s="2349" t="s">
        <v>9654</v>
      </c>
      <c r="C9128" s="2349" t="s">
        <v>9654</v>
      </c>
      <c r="D9128" s="2349" t="s">
        <v>9466</v>
      </c>
      <c r="E9128" s="2350">
        <v>400</v>
      </c>
      <c r="F9128" s="2350">
        <v>350</v>
      </c>
    </row>
    <row r="9129" spans="1:6" ht="15" customHeight="1" x14ac:dyDescent="0.25">
      <c r="A9129" s="2349" t="s">
        <v>9416</v>
      </c>
      <c r="B9129" s="2349" t="s">
        <v>9654</v>
      </c>
      <c r="C9129" s="2349" t="s">
        <v>9654</v>
      </c>
      <c r="D9129" s="2349" t="s">
        <v>9467</v>
      </c>
      <c r="E9129" s="2350">
        <v>100</v>
      </c>
      <c r="F9129" s="2350">
        <v>50</v>
      </c>
    </row>
    <row r="9130" spans="1:6" ht="15" customHeight="1" x14ac:dyDescent="0.25">
      <c r="A9130" s="2349" t="s">
        <v>9468</v>
      </c>
      <c r="B9130" s="2349" t="s">
        <v>9654</v>
      </c>
      <c r="C9130" s="2349" t="s">
        <v>9654</v>
      </c>
      <c r="D9130" s="2349" t="s">
        <v>9469</v>
      </c>
      <c r="E9130" s="2350">
        <v>250</v>
      </c>
      <c r="F9130" s="2350">
        <v>210</v>
      </c>
    </row>
    <row r="9131" spans="1:6" ht="15" customHeight="1" x14ac:dyDescent="0.25">
      <c r="A9131" s="2349" t="s">
        <v>9468</v>
      </c>
      <c r="B9131" s="2349" t="s">
        <v>9654</v>
      </c>
      <c r="C9131" s="2349" t="s">
        <v>9654</v>
      </c>
      <c r="D9131" s="2349" t="s">
        <v>9470</v>
      </c>
      <c r="E9131" s="2350">
        <v>400</v>
      </c>
      <c r="F9131" s="2350">
        <v>385</v>
      </c>
    </row>
    <row r="9132" spans="1:6" ht="15" customHeight="1" x14ac:dyDescent="0.25">
      <c r="A9132" s="2349" t="s">
        <v>9471</v>
      </c>
      <c r="B9132" s="2349" t="s">
        <v>9654</v>
      </c>
      <c r="C9132" s="2349" t="s">
        <v>9654</v>
      </c>
      <c r="D9132" s="2349" t="s">
        <v>9472</v>
      </c>
      <c r="E9132" s="2350">
        <v>10</v>
      </c>
      <c r="F9132" s="2350">
        <v>5</v>
      </c>
    </row>
    <row r="9133" spans="1:6" ht="15" customHeight="1" x14ac:dyDescent="0.25">
      <c r="A9133" s="2349" t="s">
        <v>9473</v>
      </c>
      <c r="B9133" s="2349" t="s">
        <v>9654</v>
      </c>
      <c r="C9133" s="2349" t="s">
        <v>9654</v>
      </c>
      <c r="D9133" s="2349" t="s">
        <v>9474</v>
      </c>
      <c r="E9133" s="2350">
        <v>40</v>
      </c>
      <c r="F9133" s="2350">
        <v>35</v>
      </c>
    </row>
    <row r="9134" spans="1:6" ht="15" customHeight="1" x14ac:dyDescent="0.25">
      <c r="A9134" s="2349" t="s">
        <v>9475</v>
      </c>
      <c r="B9134" s="2349" t="s">
        <v>9654</v>
      </c>
      <c r="C9134" s="2349" t="s">
        <v>9654</v>
      </c>
      <c r="D9134" s="2349" t="s">
        <v>9476</v>
      </c>
      <c r="E9134" s="2350">
        <v>20</v>
      </c>
      <c r="F9134" s="2350">
        <v>0</v>
      </c>
    </row>
    <row r="9135" spans="1:6" ht="15" customHeight="1" x14ac:dyDescent="0.25">
      <c r="A9135" s="2349" t="s">
        <v>9477</v>
      </c>
      <c r="B9135" s="2349" t="s">
        <v>9654</v>
      </c>
      <c r="C9135" s="2349" t="s">
        <v>9654</v>
      </c>
      <c r="D9135" s="2349" t="s">
        <v>9478</v>
      </c>
      <c r="E9135" s="2350">
        <v>60</v>
      </c>
      <c r="F9135" s="2350">
        <v>55</v>
      </c>
    </row>
    <row r="9136" spans="1:6" ht="15" customHeight="1" x14ac:dyDescent="0.25">
      <c r="A9136" s="2349" t="s">
        <v>9479</v>
      </c>
      <c r="B9136" s="2349" t="s">
        <v>9654</v>
      </c>
      <c r="C9136" s="2349" t="s">
        <v>9654</v>
      </c>
      <c r="D9136" s="2349" t="s">
        <v>9480</v>
      </c>
      <c r="E9136" s="2350">
        <v>160</v>
      </c>
      <c r="F9136" s="2350">
        <v>130</v>
      </c>
    </row>
    <row r="9137" spans="1:6" ht="15" customHeight="1" x14ac:dyDescent="0.25">
      <c r="A9137" s="2349" t="s">
        <v>8002</v>
      </c>
      <c r="B9137" s="2349" t="s">
        <v>9654</v>
      </c>
      <c r="C9137" s="2349" t="s">
        <v>9654</v>
      </c>
      <c r="D9137" s="2349" t="s">
        <v>9481</v>
      </c>
      <c r="E9137" s="2350">
        <v>160</v>
      </c>
      <c r="F9137" s="2350">
        <v>140</v>
      </c>
    </row>
    <row r="9138" spans="1:6" ht="15" customHeight="1" x14ac:dyDescent="0.25">
      <c r="A9138" s="2349" t="s">
        <v>8002</v>
      </c>
      <c r="B9138" s="2349" t="s">
        <v>9654</v>
      </c>
      <c r="C9138" s="2349" t="s">
        <v>9654</v>
      </c>
      <c r="D9138" s="2349" t="s">
        <v>9482</v>
      </c>
      <c r="E9138" s="2350">
        <v>60</v>
      </c>
      <c r="F9138" s="2350">
        <v>50</v>
      </c>
    </row>
    <row r="9139" spans="1:6" ht="15" customHeight="1" x14ac:dyDescent="0.25">
      <c r="A9139" s="2349" t="s">
        <v>9483</v>
      </c>
      <c r="B9139" s="2349" t="s">
        <v>9654</v>
      </c>
      <c r="C9139" s="2349" t="s">
        <v>9654</v>
      </c>
      <c r="D9139" s="2349" t="s">
        <v>9484</v>
      </c>
      <c r="E9139" s="2350">
        <v>40</v>
      </c>
      <c r="F9139" s="2350">
        <v>30</v>
      </c>
    </row>
    <row r="9140" spans="1:6" ht="15" customHeight="1" x14ac:dyDescent="0.25">
      <c r="A9140" s="2349" t="s">
        <v>9485</v>
      </c>
      <c r="B9140" s="2349" t="s">
        <v>9654</v>
      </c>
      <c r="C9140" s="2349" t="s">
        <v>9654</v>
      </c>
      <c r="D9140" s="2349" t="s">
        <v>9486</v>
      </c>
      <c r="E9140" s="2350">
        <v>25</v>
      </c>
      <c r="F9140" s="2350">
        <v>20</v>
      </c>
    </row>
    <row r="9141" spans="1:6" ht="15" customHeight="1" x14ac:dyDescent="0.25">
      <c r="A9141" s="2349" t="s">
        <v>9487</v>
      </c>
      <c r="B9141" s="2349" t="s">
        <v>9654</v>
      </c>
      <c r="C9141" s="2349" t="s">
        <v>9654</v>
      </c>
      <c r="D9141" s="2349" t="s">
        <v>9488</v>
      </c>
      <c r="E9141" s="2350">
        <v>60</v>
      </c>
      <c r="F9141" s="2350">
        <v>55</v>
      </c>
    </row>
    <row r="9142" spans="1:6" ht="15" customHeight="1" x14ac:dyDescent="0.25">
      <c r="A9142" s="2349" t="s">
        <v>9489</v>
      </c>
      <c r="B9142" s="2349" t="s">
        <v>9654</v>
      </c>
      <c r="C9142" s="2349" t="s">
        <v>9654</v>
      </c>
      <c r="D9142" s="2349" t="s">
        <v>9490</v>
      </c>
      <c r="E9142" s="2350">
        <v>100</v>
      </c>
      <c r="F9142" s="2350">
        <v>90</v>
      </c>
    </row>
    <row r="9143" spans="1:6" ht="15" customHeight="1" x14ac:dyDescent="0.25">
      <c r="A9143" s="2349" t="s">
        <v>9491</v>
      </c>
      <c r="B9143" s="2349" t="s">
        <v>9654</v>
      </c>
      <c r="C9143" s="2349" t="s">
        <v>9654</v>
      </c>
      <c r="D9143" s="2349" t="s">
        <v>9492</v>
      </c>
      <c r="E9143" s="2350">
        <v>30</v>
      </c>
      <c r="F9143" s="2350">
        <v>25</v>
      </c>
    </row>
    <row r="9144" spans="1:6" ht="15" customHeight="1" x14ac:dyDescent="0.25">
      <c r="A9144" s="2349" t="s">
        <v>9493</v>
      </c>
      <c r="B9144" s="2349" t="s">
        <v>9654</v>
      </c>
      <c r="C9144" s="2349" t="s">
        <v>9654</v>
      </c>
      <c r="D9144" s="2349" t="s">
        <v>9494</v>
      </c>
      <c r="E9144" s="2350">
        <v>30</v>
      </c>
      <c r="F9144" s="2350">
        <v>5</v>
      </c>
    </row>
    <row r="9145" spans="1:6" ht="15" customHeight="1" x14ac:dyDescent="0.25">
      <c r="A9145" s="2349" t="s">
        <v>9495</v>
      </c>
      <c r="B9145" s="2349" t="s">
        <v>9654</v>
      </c>
      <c r="C9145" s="2349" t="s">
        <v>9654</v>
      </c>
      <c r="D9145" s="2349" t="s">
        <v>9496</v>
      </c>
      <c r="E9145" s="2350">
        <v>160</v>
      </c>
      <c r="F9145" s="2350">
        <v>150</v>
      </c>
    </row>
    <row r="9146" spans="1:6" ht="15" customHeight="1" x14ac:dyDescent="0.25">
      <c r="A9146" s="2349" t="s">
        <v>14491</v>
      </c>
      <c r="B9146" s="2349" t="s">
        <v>9654</v>
      </c>
      <c r="C9146" s="2349" t="s">
        <v>9654</v>
      </c>
      <c r="D9146" s="2349" t="s">
        <v>9497</v>
      </c>
      <c r="E9146" s="2350">
        <v>60</v>
      </c>
      <c r="F9146" s="2350">
        <v>50</v>
      </c>
    </row>
    <row r="9147" spans="1:6" ht="15" customHeight="1" x14ac:dyDescent="0.25">
      <c r="A9147" s="2349" t="s">
        <v>4622</v>
      </c>
      <c r="B9147" s="2349" t="s">
        <v>9654</v>
      </c>
      <c r="C9147" s="2349" t="s">
        <v>9654</v>
      </c>
      <c r="D9147" s="2349" t="s">
        <v>9498</v>
      </c>
      <c r="E9147" s="2350">
        <v>63</v>
      </c>
      <c r="F9147" s="2350">
        <v>58</v>
      </c>
    </row>
    <row r="9148" spans="1:6" ht="15" customHeight="1" x14ac:dyDescent="0.25">
      <c r="A9148" s="2349" t="s">
        <v>14492</v>
      </c>
      <c r="B9148" s="2349" t="s">
        <v>9654</v>
      </c>
      <c r="C9148" s="2349" t="s">
        <v>9654</v>
      </c>
      <c r="D9148" s="2349" t="s">
        <v>9499</v>
      </c>
      <c r="E9148" s="2350">
        <v>40</v>
      </c>
      <c r="F9148" s="2350">
        <v>30</v>
      </c>
    </row>
    <row r="9149" spans="1:6" ht="15" customHeight="1" x14ac:dyDescent="0.25">
      <c r="A9149" s="2349" t="s">
        <v>9500</v>
      </c>
      <c r="B9149" s="2349" t="s">
        <v>9654</v>
      </c>
      <c r="C9149" s="2349" t="s">
        <v>9654</v>
      </c>
      <c r="D9149" s="2349" t="s">
        <v>9501</v>
      </c>
      <c r="E9149" s="2350">
        <v>30</v>
      </c>
      <c r="F9149" s="2350">
        <v>15</v>
      </c>
    </row>
    <row r="9150" spans="1:6" ht="15" customHeight="1" x14ac:dyDescent="0.25">
      <c r="A9150" s="2349" t="s">
        <v>6525</v>
      </c>
      <c r="B9150" s="2349" t="s">
        <v>9654</v>
      </c>
      <c r="C9150" s="2349" t="s">
        <v>9654</v>
      </c>
      <c r="D9150" s="2349" t="s">
        <v>9502</v>
      </c>
      <c r="E9150" s="2350">
        <v>30</v>
      </c>
      <c r="F9150" s="2350">
        <v>20</v>
      </c>
    </row>
    <row r="9151" spans="1:6" ht="15" customHeight="1" x14ac:dyDescent="0.25">
      <c r="A9151" s="2349" t="s">
        <v>9503</v>
      </c>
      <c r="B9151" s="2349" t="s">
        <v>9654</v>
      </c>
      <c r="C9151" s="2349" t="s">
        <v>9654</v>
      </c>
      <c r="D9151" s="2349" t="s">
        <v>9504</v>
      </c>
      <c r="E9151" s="2350">
        <v>30</v>
      </c>
      <c r="F9151" s="2350">
        <v>15</v>
      </c>
    </row>
    <row r="9152" spans="1:6" ht="15" customHeight="1" x14ac:dyDescent="0.25">
      <c r="A9152" s="2349" t="s">
        <v>9505</v>
      </c>
      <c r="B9152" s="2349" t="s">
        <v>9654</v>
      </c>
      <c r="C9152" s="2349" t="s">
        <v>9654</v>
      </c>
      <c r="D9152" s="2349" t="s">
        <v>9506</v>
      </c>
      <c r="E9152" s="2350">
        <v>100</v>
      </c>
      <c r="F9152" s="2350">
        <v>80</v>
      </c>
    </row>
    <row r="9153" spans="1:6" ht="15" customHeight="1" x14ac:dyDescent="0.25">
      <c r="A9153" s="2349" t="s">
        <v>9505</v>
      </c>
      <c r="B9153" s="2349" t="s">
        <v>9654</v>
      </c>
      <c r="C9153" s="2349" t="s">
        <v>9654</v>
      </c>
      <c r="D9153" s="2349" t="s">
        <v>9507</v>
      </c>
      <c r="E9153" s="2350">
        <v>60</v>
      </c>
      <c r="F9153" s="2350">
        <v>55</v>
      </c>
    </row>
    <row r="9154" spans="1:6" ht="15" customHeight="1" x14ac:dyDescent="0.25">
      <c r="A9154" s="2349" t="s">
        <v>7387</v>
      </c>
      <c r="B9154" s="2349" t="s">
        <v>9654</v>
      </c>
      <c r="C9154" s="2349" t="s">
        <v>9654</v>
      </c>
      <c r="D9154" s="2349" t="s">
        <v>9508</v>
      </c>
      <c r="E9154" s="2350">
        <v>30</v>
      </c>
      <c r="F9154" s="2350">
        <v>20</v>
      </c>
    </row>
    <row r="9155" spans="1:6" ht="15" customHeight="1" x14ac:dyDescent="0.25">
      <c r="A9155" s="2349" t="s">
        <v>9509</v>
      </c>
      <c r="B9155" s="2349" t="s">
        <v>9654</v>
      </c>
      <c r="C9155" s="2349" t="s">
        <v>9654</v>
      </c>
      <c r="D9155" s="2349" t="s">
        <v>9282</v>
      </c>
      <c r="E9155" s="2350">
        <v>250</v>
      </c>
      <c r="F9155" s="2350">
        <v>190</v>
      </c>
    </row>
    <row r="9156" spans="1:6" ht="15" customHeight="1" x14ac:dyDescent="0.25">
      <c r="A9156" s="2349" t="s">
        <v>9509</v>
      </c>
      <c r="B9156" s="2349" t="s">
        <v>9654</v>
      </c>
      <c r="C9156" s="2349" t="s">
        <v>9654</v>
      </c>
      <c r="D9156" s="2349" t="s">
        <v>9510</v>
      </c>
      <c r="E9156" s="2350">
        <v>400</v>
      </c>
      <c r="F9156" s="2350">
        <v>340</v>
      </c>
    </row>
    <row r="9157" spans="1:6" ht="15" customHeight="1" x14ac:dyDescent="0.25">
      <c r="A9157" s="2349" t="s">
        <v>9511</v>
      </c>
      <c r="B9157" s="2349" t="s">
        <v>9654</v>
      </c>
      <c r="C9157" s="2349" t="s">
        <v>9654</v>
      </c>
      <c r="D9157" s="2349" t="s">
        <v>9512</v>
      </c>
      <c r="E9157" s="2350">
        <v>60</v>
      </c>
      <c r="F9157" s="2350">
        <v>50</v>
      </c>
    </row>
    <row r="9158" spans="1:6" ht="15" customHeight="1" x14ac:dyDescent="0.25">
      <c r="A9158" s="2349" t="s">
        <v>9513</v>
      </c>
      <c r="B9158" s="2349" t="s">
        <v>9654</v>
      </c>
      <c r="C9158" s="2349" t="s">
        <v>9654</v>
      </c>
      <c r="D9158" s="2349" t="s">
        <v>9514</v>
      </c>
      <c r="E9158" s="2350">
        <v>60</v>
      </c>
      <c r="F9158" s="2350">
        <v>40</v>
      </c>
    </row>
    <row r="9159" spans="1:6" ht="15" customHeight="1" x14ac:dyDescent="0.25">
      <c r="A9159" s="2349" t="s">
        <v>9515</v>
      </c>
      <c r="B9159" s="2349" t="s">
        <v>9654</v>
      </c>
      <c r="C9159" s="2349" t="s">
        <v>9654</v>
      </c>
      <c r="D9159" s="2349" t="s">
        <v>9516</v>
      </c>
      <c r="E9159" s="2350">
        <v>100</v>
      </c>
      <c r="F9159" s="2350">
        <v>70</v>
      </c>
    </row>
    <row r="9160" spans="1:6" ht="15" customHeight="1" x14ac:dyDescent="0.25">
      <c r="A9160" s="2349" t="s">
        <v>9515</v>
      </c>
      <c r="B9160" s="2349" t="s">
        <v>9654</v>
      </c>
      <c r="C9160" s="2349" t="s">
        <v>9654</v>
      </c>
      <c r="D9160" s="2349" t="s">
        <v>9517</v>
      </c>
      <c r="E9160" s="2350">
        <v>100</v>
      </c>
      <c r="F9160" s="2350">
        <v>60</v>
      </c>
    </row>
    <row r="9161" spans="1:6" ht="15" customHeight="1" x14ac:dyDescent="0.25">
      <c r="A9161" s="2349" t="s">
        <v>9515</v>
      </c>
      <c r="B9161" s="2349" t="s">
        <v>9654</v>
      </c>
      <c r="C9161" s="2349" t="s">
        <v>9654</v>
      </c>
      <c r="D9161" s="2349" t="s">
        <v>9518</v>
      </c>
      <c r="E9161" s="2350">
        <v>160</v>
      </c>
      <c r="F9161" s="2350">
        <v>130</v>
      </c>
    </row>
    <row r="9162" spans="1:6" ht="15" customHeight="1" x14ac:dyDescent="0.25">
      <c r="A9162" s="2349" t="s">
        <v>9515</v>
      </c>
      <c r="B9162" s="2349" t="s">
        <v>9654</v>
      </c>
      <c r="C9162" s="2349" t="s">
        <v>9654</v>
      </c>
      <c r="D9162" s="2349" t="s">
        <v>9519</v>
      </c>
      <c r="E9162" s="2350">
        <v>160</v>
      </c>
      <c r="F9162" s="2350">
        <v>120</v>
      </c>
    </row>
    <row r="9163" spans="1:6" ht="15" customHeight="1" x14ac:dyDescent="0.25">
      <c r="A9163" s="2349" t="s">
        <v>9515</v>
      </c>
      <c r="B9163" s="2349" t="s">
        <v>9654</v>
      </c>
      <c r="C9163" s="2349" t="s">
        <v>9654</v>
      </c>
      <c r="D9163" s="2349" t="s">
        <v>9520</v>
      </c>
      <c r="E9163" s="2350">
        <v>100</v>
      </c>
      <c r="F9163" s="2350">
        <v>55</v>
      </c>
    </row>
    <row r="9164" spans="1:6" ht="15" customHeight="1" x14ac:dyDescent="0.25">
      <c r="A9164" s="2349" t="s">
        <v>9515</v>
      </c>
      <c r="B9164" s="2349" t="s">
        <v>9654</v>
      </c>
      <c r="C9164" s="2349" t="s">
        <v>9654</v>
      </c>
      <c r="D9164" s="2349" t="s">
        <v>9521</v>
      </c>
      <c r="E9164" s="2350">
        <v>400</v>
      </c>
      <c r="F9164" s="2350">
        <v>360</v>
      </c>
    </row>
    <row r="9165" spans="1:6" ht="15" customHeight="1" x14ac:dyDescent="0.25">
      <c r="A9165" s="2349" t="s">
        <v>9515</v>
      </c>
      <c r="B9165" s="2349" t="s">
        <v>9654</v>
      </c>
      <c r="C9165" s="2349" t="s">
        <v>9654</v>
      </c>
      <c r="D9165" s="2349" t="s">
        <v>9522</v>
      </c>
      <c r="E9165" s="2350">
        <v>160</v>
      </c>
      <c r="F9165" s="2350">
        <v>110</v>
      </c>
    </row>
    <row r="9166" spans="1:6" ht="15" customHeight="1" x14ac:dyDescent="0.25">
      <c r="A9166" s="2349" t="s">
        <v>9475</v>
      </c>
      <c r="B9166" s="2349" t="s">
        <v>9654</v>
      </c>
      <c r="C9166" s="2349" t="s">
        <v>9654</v>
      </c>
      <c r="D9166" s="2349" t="s">
        <v>9476</v>
      </c>
      <c r="E9166" s="2350">
        <v>25</v>
      </c>
      <c r="F9166" s="2350">
        <v>20</v>
      </c>
    </row>
    <row r="9167" spans="1:6" ht="15" customHeight="1" x14ac:dyDescent="0.25">
      <c r="A9167" s="2349" t="s">
        <v>9523</v>
      </c>
      <c r="B9167" s="2349" t="s">
        <v>9654</v>
      </c>
      <c r="C9167" s="2349" t="s">
        <v>9654</v>
      </c>
      <c r="D9167" s="2349" t="s">
        <v>9524</v>
      </c>
      <c r="E9167" s="2350">
        <v>30</v>
      </c>
      <c r="F9167" s="2350">
        <v>25</v>
      </c>
    </row>
    <row r="9168" spans="1:6" ht="15" customHeight="1" x14ac:dyDescent="0.25">
      <c r="A9168" s="2349" t="s">
        <v>9525</v>
      </c>
      <c r="B9168" s="2349" t="s">
        <v>9654</v>
      </c>
      <c r="C9168" s="2349" t="s">
        <v>9654</v>
      </c>
      <c r="D9168" s="2349" t="s">
        <v>9526</v>
      </c>
      <c r="E9168" s="2350">
        <v>4</v>
      </c>
      <c r="F9168" s="2350">
        <v>0</v>
      </c>
    </row>
    <row r="9169" spans="1:6" ht="15" customHeight="1" x14ac:dyDescent="0.25">
      <c r="A9169" s="2349" t="s">
        <v>9527</v>
      </c>
      <c r="B9169" s="2349" t="s">
        <v>9654</v>
      </c>
      <c r="C9169" s="2349" t="s">
        <v>9654</v>
      </c>
      <c r="D9169" s="2349" t="s">
        <v>9528</v>
      </c>
      <c r="E9169" s="2350">
        <v>160</v>
      </c>
      <c r="F9169" s="2350">
        <v>145</v>
      </c>
    </row>
    <row r="9170" spans="1:6" ht="15" customHeight="1" x14ac:dyDescent="0.25">
      <c r="A9170" s="2349" t="s">
        <v>9529</v>
      </c>
      <c r="B9170" s="2349" t="s">
        <v>9654</v>
      </c>
      <c r="C9170" s="2349" t="s">
        <v>9654</v>
      </c>
      <c r="D9170" s="2349" t="s">
        <v>9530</v>
      </c>
      <c r="E9170" s="2350">
        <v>10</v>
      </c>
      <c r="F9170" s="2350">
        <v>5</v>
      </c>
    </row>
    <row r="9171" spans="1:6" ht="15" customHeight="1" x14ac:dyDescent="0.25">
      <c r="A9171" s="2349" t="s">
        <v>9531</v>
      </c>
      <c r="B9171" s="2349" t="s">
        <v>9654</v>
      </c>
      <c r="C9171" s="2349" t="s">
        <v>9654</v>
      </c>
      <c r="D9171" s="2349" t="s">
        <v>9532</v>
      </c>
      <c r="E9171" s="2350">
        <v>30</v>
      </c>
      <c r="F9171" s="2350">
        <v>0</v>
      </c>
    </row>
    <row r="9172" spans="1:6" ht="15" customHeight="1" x14ac:dyDescent="0.25">
      <c r="A9172" s="2349" t="s">
        <v>9533</v>
      </c>
      <c r="B9172" s="2349" t="s">
        <v>9654</v>
      </c>
      <c r="C9172" s="2349" t="s">
        <v>9654</v>
      </c>
      <c r="D9172" s="2349" t="s">
        <v>9534</v>
      </c>
      <c r="E9172" s="2350">
        <v>30</v>
      </c>
      <c r="F9172" s="2350">
        <v>0</v>
      </c>
    </row>
    <row r="9173" spans="1:6" ht="15" customHeight="1" x14ac:dyDescent="0.25">
      <c r="A9173" s="2349" t="s">
        <v>9535</v>
      </c>
      <c r="B9173" s="2349" t="s">
        <v>9654</v>
      </c>
      <c r="C9173" s="2349" t="s">
        <v>9654</v>
      </c>
      <c r="D9173" s="2349" t="s">
        <v>9536</v>
      </c>
      <c r="E9173" s="2350">
        <v>100</v>
      </c>
      <c r="F9173" s="2350">
        <v>50</v>
      </c>
    </row>
    <row r="9174" spans="1:6" ht="15" customHeight="1" x14ac:dyDescent="0.25">
      <c r="A9174" s="2349" t="s">
        <v>9537</v>
      </c>
      <c r="B9174" s="2349" t="s">
        <v>9654</v>
      </c>
      <c r="C9174" s="2349" t="s">
        <v>9654</v>
      </c>
      <c r="D9174" s="2349" t="s">
        <v>9538</v>
      </c>
      <c r="E9174" s="2350">
        <v>100</v>
      </c>
      <c r="F9174" s="2350">
        <v>70</v>
      </c>
    </row>
    <row r="9175" spans="1:6" ht="15" customHeight="1" x14ac:dyDescent="0.25">
      <c r="A9175" s="2349" t="s">
        <v>9537</v>
      </c>
      <c r="B9175" s="2349" t="s">
        <v>9654</v>
      </c>
      <c r="C9175" s="2349" t="s">
        <v>9654</v>
      </c>
      <c r="D9175" s="2349" t="s">
        <v>9539</v>
      </c>
      <c r="E9175" s="2350">
        <v>250</v>
      </c>
      <c r="F9175" s="2350">
        <v>210</v>
      </c>
    </row>
    <row r="9176" spans="1:6" ht="15" customHeight="1" x14ac:dyDescent="0.25">
      <c r="A9176" s="2349" t="s">
        <v>9540</v>
      </c>
      <c r="B9176" s="2349" t="s">
        <v>9654</v>
      </c>
      <c r="C9176" s="2349" t="s">
        <v>9654</v>
      </c>
      <c r="D9176" s="2349" t="s">
        <v>9541</v>
      </c>
      <c r="E9176" s="2350">
        <v>30</v>
      </c>
      <c r="F9176" s="2350">
        <v>0</v>
      </c>
    </row>
    <row r="9177" spans="1:6" ht="15" customHeight="1" x14ac:dyDescent="0.25">
      <c r="A9177" s="2349" t="s">
        <v>9542</v>
      </c>
      <c r="B9177" s="2349" t="s">
        <v>9654</v>
      </c>
      <c r="C9177" s="2349" t="s">
        <v>9654</v>
      </c>
      <c r="D9177" s="2349" t="s">
        <v>9543</v>
      </c>
      <c r="E9177" s="2350">
        <v>160</v>
      </c>
      <c r="F9177" s="2350">
        <v>140</v>
      </c>
    </row>
    <row r="9178" spans="1:6" ht="15" customHeight="1" x14ac:dyDescent="0.25">
      <c r="A9178" s="2349" t="s">
        <v>9544</v>
      </c>
      <c r="B9178" s="2349" t="s">
        <v>9654</v>
      </c>
      <c r="C9178" s="2349" t="s">
        <v>9654</v>
      </c>
      <c r="D9178" s="2349" t="s">
        <v>9545</v>
      </c>
      <c r="E9178" s="2350">
        <v>160</v>
      </c>
      <c r="F9178" s="2350">
        <v>135</v>
      </c>
    </row>
    <row r="9179" spans="1:6" ht="15" customHeight="1" x14ac:dyDescent="0.25">
      <c r="A9179" s="2349" t="s">
        <v>4374</v>
      </c>
      <c r="B9179" s="2349" t="s">
        <v>9654</v>
      </c>
      <c r="C9179" s="2349" t="s">
        <v>9654</v>
      </c>
      <c r="D9179" s="2349" t="s">
        <v>9546</v>
      </c>
      <c r="E9179" s="2350">
        <v>10</v>
      </c>
      <c r="F9179" s="2350">
        <v>5</v>
      </c>
    </row>
    <row r="9180" spans="1:6" ht="15" customHeight="1" x14ac:dyDescent="0.25">
      <c r="A9180" s="2349" t="s">
        <v>9547</v>
      </c>
      <c r="B9180" s="2349" t="s">
        <v>9654</v>
      </c>
      <c r="C9180" s="2349" t="s">
        <v>9654</v>
      </c>
      <c r="D9180" s="2349" t="s">
        <v>9548</v>
      </c>
      <c r="E9180" s="2350">
        <v>250</v>
      </c>
      <c r="F9180" s="2350">
        <v>230</v>
      </c>
    </row>
    <row r="9181" spans="1:6" ht="15" customHeight="1" x14ac:dyDescent="0.25">
      <c r="A9181" s="2349" t="s">
        <v>9547</v>
      </c>
      <c r="B9181" s="2349" t="s">
        <v>9654</v>
      </c>
      <c r="C9181" s="2349" t="s">
        <v>9654</v>
      </c>
      <c r="D9181" s="2349" t="s">
        <v>9549</v>
      </c>
      <c r="E9181" s="2350">
        <v>60</v>
      </c>
      <c r="F9181" s="2350">
        <v>10</v>
      </c>
    </row>
    <row r="9182" spans="1:6" ht="15" customHeight="1" x14ac:dyDescent="0.25">
      <c r="A9182" s="2349" t="s">
        <v>7987</v>
      </c>
      <c r="B9182" s="2349" t="s">
        <v>9654</v>
      </c>
      <c r="C9182" s="2349" t="s">
        <v>9654</v>
      </c>
      <c r="D9182" s="2349" t="s">
        <v>9550</v>
      </c>
      <c r="E9182" s="2350">
        <v>30</v>
      </c>
      <c r="F9182" s="2350">
        <v>10</v>
      </c>
    </row>
    <row r="9183" spans="1:6" ht="15" customHeight="1" x14ac:dyDescent="0.25">
      <c r="A9183" s="2349" t="s">
        <v>9551</v>
      </c>
      <c r="B9183" s="2349" t="s">
        <v>9654</v>
      </c>
      <c r="C9183" s="2349" t="s">
        <v>9654</v>
      </c>
      <c r="D9183" s="2349" t="s">
        <v>9552</v>
      </c>
      <c r="E9183" s="2350">
        <v>10</v>
      </c>
      <c r="F9183" s="2350">
        <v>0</v>
      </c>
    </row>
    <row r="9184" spans="1:6" ht="15" customHeight="1" x14ac:dyDescent="0.25">
      <c r="A9184" s="2349" t="s">
        <v>14493</v>
      </c>
      <c r="B9184" s="2349" t="s">
        <v>9654</v>
      </c>
      <c r="C9184" s="2349" t="s">
        <v>9654</v>
      </c>
      <c r="D9184" s="2349" t="s">
        <v>9553</v>
      </c>
      <c r="E9184" s="2350">
        <v>4</v>
      </c>
      <c r="F9184" s="2350">
        <v>1</v>
      </c>
    </row>
    <row r="9185" spans="1:6" ht="15" customHeight="1" x14ac:dyDescent="0.25">
      <c r="A9185" s="2349" t="s">
        <v>9475</v>
      </c>
      <c r="B9185" s="2349" t="s">
        <v>9654</v>
      </c>
      <c r="C9185" s="2349" t="s">
        <v>9654</v>
      </c>
      <c r="D9185" s="2349" t="s">
        <v>9476</v>
      </c>
      <c r="E9185" s="2350">
        <v>63</v>
      </c>
      <c r="F9185" s="2350">
        <v>58</v>
      </c>
    </row>
    <row r="9186" spans="1:6" ht="15" customHeight="1" x14ac:dyDescent="0.25">
      <c r="A9186" s="2349" t="s">
        <v>9554</v>
      </c>
      <c r="B9186" s="2349" t="s">
        <v>9654</v>
      </c>
      <c r="C9186" s="2349" t="s">
        <v>9654</v>
      </c>
      <c r="D9186" s="2349" t="s">
        <v>9555</v>
      </c>
      <c r="E9186" s="2350">
        <v>400</v>
      </c>
      <c r="F9186" s="2350">
        <v>370</v>
      </c>
    </row>
    <row r="9187" spans="1:6" ht="15" customHeight="1" x14ac:dyDescent="0.25">
      <c r="A9187" s="2349" t="s">
        <v>9556</v>
      </c>
      <c r="B9187" s="2349" t="s">
        <v>9654</v>
      </c>
      <c r="C9187" s="2349" t="s">
        <v>9654</v>
      </c>
      <c r="D9187" s="2349" t="s">
        <v>9557</v>
      </c>
      <c r="E9187" s="2350">
        <v>250</v>
      </c>
      <c r="F9187" s="2350">
        <v>220</v>
      </c>
    </row>
    <row r="9188" spans="1:6" ht="15" customHeight="1" x14ac:dyDescent="0.25">
      <c r="A9188" s="2349" t="s">
        <v>9558</v>
      </c>
      <c r="B9188" s="2349" t="s">
        <v>9654</v>
      </c>
      <c r="C9188" s="2349" t="s">
        <v>9654</v>
      </c>
      <c r="D9188" s="2349" t="s">
        <v>9559</v>
      </c>
      <c r="E9188" s="2350">
        <v>60</v>
      </c>
      <c r="F9188" s="2350">
        <v>55</v>
      </c>
    </row>
    <row r="9189" spans="1:6" ht="15" customHeight="1" x14ac:dyDescent="0.25">
      <c r="A9189" s="2349" t="s">
        <v>3964</v>
      </c>
      <c r="B9189" s="2349" t="s">
        <v>9654</v>
      </c>
      <c r="C9189" s="2349" t="s">
        <v>9654</v>
      </c>
      <c r="D9189" s="2349" t="s">
        <v>9560</v>
      </c>
      <c r="E9189" s="2350">
        <v>100</v>
      </c>
      <c r="F9189" s="2350">
        <v>60</v>
      </c>
    </row>
    <row r="9190" spans="1:6" ht="15" customHeight="1" x14ac:dyDescent="0.25">
      <c r="A9190" s="2349" t="s">
        <v>9561</v>
      </c>
      <c r="B9190" s="2349" t="s">
        <v>9654</v>
      </c>
      <c r="C9190" s="2349" t="s">
        <v>9654</v>
      </c>
      <c r="D9190" s="2349" t="s">
        <v>9562</v>
      </c>
      <c r="E9190" s="2350">
        <v>250</v>
      </c>
      <c r="F9190" s="2350">
        <v>230</v>
      </c>
    </row>
    <row r="9191" spans="1:6" ht="15" customHeight="1" x14ac:dyDescent="0.25">
      <c r="A9191" s="2349" t="s">
        <v>6415</v>
      </c>
      <c r="B9191" s="2349" t="s">
        <v>9654</v>
      </c>
      <c r="C9191" s="2349" t="s">
        <v>9654</v>
      </c>
      <c r="D9191" s="2349" t="s">
        <v>9563</v>
      </c>
      <c r="E9191" s="2350">
        <v>160</v>
      </c>
      <c r="F9191" s="2350">
        <v>140</v>
      </c>
    </row>
    <row r="9192" spans="1:6" ht="15" customHeight="1" x14ac:dyDescent="0.25">
      <c r="A9192" s="2349" t="s">
        <v>6415</v>
      </c>
      <c r="B9192" s="2349" t="s">
        <v>9654</v>
      </c>
      <c r="C9192" s="2349" t="s">
        <v>9654</v>
      </c>
      <c r="D9192" s="2349" t="s">
        <v>9564</v>
      </c>
      <c r="E9192" s="2350">
        <v>63</v>
      </c>
      <c r="F9192" s="2350">
        <v>53</v>
      </c>
    </row>
    <row r="9193" spans="1:6" ht="15" customHeight="1" x14ac:dyDescent="0.25">
      <c r="A9193" s="2349" t="s">
        <v>9565</v>
      </c>
      <c r="B9193" s="2349" t="s">
        <v>9654</v>
      </c>
      <c r="C9193" s="2349" t="s">
        <v>9654</v>
      </c>
      <c r="D9193" s="2349" t="s">
        <v>9566</v>
      </c>
      <c r="E9193" s="2350">
        <v>60</v>
      </c>
      <c r="F9193" s="2350">
        <v>40</v>
      </c>
    </row>
    <row r="9194" spans="1:6" ht="15" customHeight="1" x14ac:dyDescent="0.25">
      <c r="A9194" s="2349" t="s">
        <v>9567</v>
      </c>
      <c r="B9194" s="2349" t="s">
        <v>9654</v>
      </c>
      <c r="C9194" s="2349" t="s">
        <v>9654</v>
      </c>
      <c r="D9194" s="2349" t="s">
        <v>9568</v>
      </c>
      <c r="E9194" s="2350">
        <v>160</v>
      </c>
      <c r="F9194" s="2350">
        <v>140</v>
      </c>
    </row>
    <row r="9195" spans="1:6" ht="15" customHeight="1" x14ac:dyDescent="0.25">
      <c r="A9195" s="2349" t="s">
        <v>9569</v>
      </c>
      <c r="B9195" s="2349" t="s">
        <v>9654</v>
      </c>
      <c r="C9195" s="2349" t="s">
        <v>9654</v>
      </c>
      <c r="D9195" s="2349" t="s">
        <v>9570</v>
      </c>
      <c r="E9195" s="2350">
        <v>100</v>
      </c>
      <c r="F9195" s="2350">
        <v>70</v>
      </c>
    </row>
    <row r="9196" spans="1:6" ht="15" customHeight="1" x14ac:dyDescent="0.25">
      <c r="A9196" s="2349" t="s">
        <v>7339</v>
      </c>
      <c r="B9196" s="2349" t="s">
        <v>9654</v>
      </c>
      <c r="C9196" s="2349" t="s">
        <v>9654</v>
      </c>
      <c r="D9196" s="2349" t="s">
        <v>9571</v>
      </c>
      <c r="E9196" s="2350">
        <v>63</v>
      </c>
      <c r="F9196" s="2350">
        <v>48</v>
      </c>
    </row>
    <row r="9197" spans="1:6" ht="15" customHeight="1" x14ac:dyDescent="0.25">
      <c r="A9197" s="2349" t="s">
        <v>9153</v>
      </c>
      <c r="B9197" s="2349" t="s">
        <v>9654</v>
      </c>
      <c r="C9197" s="2349" t="s">
        <v>9654</v>
      </c>
      <c r="D9197" s="2349" t="s">
        <v>9572</v>
      </c>
      <c r="E9197" s="2350">
        <v>40</v>
      </c>
      <c r="F9197" s="2350">
        <v>25</v>
      </c>
    </row>
    <row r="9198" spans="1:6" ht="15" customHeight="1" x14ac:dyDescent="0.25">
      <c r="A9198" s="2349" t="s">
        <v>14494</v>
      </c>
      <c r="B9198" s="2349" t="s">
        <v>9654</v>
      </c>
      <c r="C9198" s="2349" t="s">
        <v>9654</v>
      </c>
      <c r="D9198" s="2349" t="s">
        <v>9573</v>
      </c>
      <c r="E9198" s="2350">
        <v>50</v>
      </c>
      <c r="F9198" s="2350">
        <v>20</v>
      </c>
    </row>
    <row r="9199" spans="1:6" ht="15" customHeight="1" x14ac:dyDescent="0.25">
      <c r="A9199" s="2349" t="s">
        <v>14494</v>
      </c>
      <c r="B9199" s="2349" t="s">
        <v>9654</v>
      </c>
      <c r="C9199" s="2349" t="s">
        <v>9654</v>
      </c>
      <c r="D9199" s="2349" t="s">
        <v>9574</v>
      </c>
      <c r="E9199" s="2350">
        <v>50</v>
      </c>
      <c r="F9199" s="2350">
        <v>10</v>
      </c>
    </row>
    <row r="9200" spans="1:6" ht="15" customHeight="1" x14ac:dyDescent="0.25">
      <c r="A9200" s="2349" t="s">
        <v>14494</v>
      </c>
      <c r="B9200" s="2349" t="s">
        <v>9654</v>
      </c>
      <c r="C9200" s="2349" t="s">
        <v>9654</v>
      </c>
      <c r="D9200" s="2349" t="s">
        <v>9575</v>
      </c>
      <c r="E9200" s="2350">
        <v>63</v>
      </c>
      <c r="F9200" s="2350">
        <v>23</v>
      </c>
    </row>
    <row r="9201" spans="1:6" ht="15" customHeight="1" x14ac:dyDescent="0.25">
      <c r="A9201" s="2349" t="s">
        <v>14494</v>
      </c>
      <c r="B9201" s="2349" t="s">
        <v>9654</v>
      </c>
      <c r="C9201" s="2349" t="s">
        <v>9654</v>
      </c>
      <c r="D9201" s="2349" t="s">
        <v>9576</v>
      </c>
      <c r="E9201" s="2350">
        <v>250</v>
      </c>
      <c r="F9201" s="2350">
        <v>200</v>
      </c>
    </row>
    <row r="9202" spans="1:6" ht="15" customHeight="1" x14ac:dyDescent="0.25">
      <c r="A9202" s="2349" t="s">
        <v>9577</v>
      </c>
      <c r="B9202" s="2349" t="s">
        <v>9654</v>
      </c>
      <c r="C9202" s="2349" t="s">
        <v>9654</v>
      </c>
      <c r="D9202" s="2349" t="s">
        <v>9578</v>
      </c>
      <c r="E9202" s="2350">
        <v>60</v>
      </c>
      <c r="F9202" s="2350">
        <v>30</v>
      </c>
    </row>
    <row r="9203" spans="1:6" ht="15" customHeight="1" x14ac:dyDescent="0.25">
      <c r="A9203" s="2349" t="s">
        <v>9577</v>
      </c>
      <c r="B9203" s="2349" t="s">
        <v>9654</v>
      </c>
      <c r="C9203" s="2349" t="s">
        <v>9654</v>
      </c>
      <c r="D9203" s="2349" t="s">
        <v>9579</v>
      </c>
      <c r="E9203" s="2350">
        <v>63</v>
      </c>
      <c r="F9203" s="2350">
        <v>33</v>
      </c>
    </row>
    <row r="9204" spans="1:6" ht="15" customHeight="1" x14ac:dyDescent="0.25">
      <c r="A9204" s="2349" t="s">
        <v>9580</v>
      </c>
      <c r="B9204" s="2349" t="s">
        <v>9654</v>
      </c>
      <c r="C9204" s="2349" t="s">
        <v>9654</v>
      </c>
      <c r="D9204" s="2349" t="s">
        <v>9581</v>
      </c>
      <c r="E9204" s="2350">
        <v>10</v>
      </c>
      <c r="F9204" s="2350">
        <v>5</v>
      </c>
    </row>
    <row r="9205" spans="1:6" ht="15" customHeight="1" x14ac:dyDescent="0.25">
      <c r="A9205" s="2349" t="s">
        <v>4335</v>
      </c>
      <c r="B9205" s="2349" t="s">
        <v>9654</v>
      </c>
      <c r="C9205" s="2349" t="s">
        <v>9654</v>
      </c>
      <c r="D9205" s="2349" t="s">
        <v>9582</v>
      </c>
      <c r="E9205" s="2350">
        <v>25</v>
      </c>
      <c r="F9205" s="2350">
        <v>20</v>
      </c>
    </row>
    <row r="9206" spans="1:6" ht="15" customHeight="1" x14ac:dyDescent="0.25">
      <c r="A9206" s="2349" t="s">
        <v>9583</v>
      </c>
      <c r="B9206" s="2349" t="s">
        <v>9654</v>
      </c>
      <c r="C9206" s="2349" t="s">
        <v>9654</v>
      </c>
      <c r="D9206" s="2349" t="s">
        <v>9584</v>
      </c>
      <c r="E9206" s="2350">
        <v>30</v>
      </c>
      <c r="F9206" s="2350">
        <v>25</v>
      </c>
    </row>
    <row r="9207" spans="1:6" ht="15" customHeight="1" x14ac:dyDescent="0.25">
      <c r="A9207" s="2349" t="s">
        <v>9585</v>
      </c>
      <c r="B9207" s="2349" t="s">
        <v>9654</v>
      </c>
      <c r="C9207" s="2349" t="s">
        <v>9654</v>
      </c>
      <c r="D9207" s="2349" t="s">
        <v>9586</v>
      </c>
      <c r="E9207" s="2350">
        <v>40</v>
      </c>
      <c r="F9207" s="2350">
        <v>35</v>
      </c>
    </row>
    <row r="9208" spans="1:6" ht="15" customHeight="1" x14ac:dyDescent="0.25">
      <c r="A9208" s="2349" t="s">
        <v>9587</v>
      </c>
      <c r="B9208" s="2349" t="s">
        <v>9654</v>
      </c>
      <c r="C9208" s="2349" t="s">
        <v>9654</v>
      </c>
      <c r="D9208" s="2349" t="s">
        <v>9588</v>
      </c>
      <c r="E9208" s="2350">
        <v>30</v>
      </c>
      <c r="F9208" s="2350">
        <v>25</v>
      </c>
    </row>
    <row r="9209" spans="1:6" ht="15" customHeight="1" x14ac:dyDescent="0.25">
      <c r="A9209" s="2349" t="s">
        <v>14494</v>
      </c>
      <c r="B9209" s="2349" t="s">
        <v>9654</v>
      </c>
      <c r="C9209" s="2349" t="s">
        <v>9654</v>
      </c>
      <c r="D9209" s="2349" t="s">
        <v>9589</v>
      </c>
      <c r="E9209" s="2350">
        <v>250</v>
      </c>
      <c r="F9209" s="2350">
        <v>210</v>
      </c>
    </row>
    <row r="9210" spans="1:6" ht="15" customHeight="1" x14ac:dyDescent="0.25">
      <c r="A9210" s="2349" t="s">
        <v>14494</v>
      </c>
      <c r="B9210" s="2349" t="s">
        <v>9654</v>
      </c>
      <c r="C9210" s="2349" t="s">
        <v>9654</v>
      </c>
      <c r="D9210" s="2349" t="s">
        <v>9590</v>
      </c>
      <c r="E9210" s="2350">
        <v>160</v>
      </c>
      <c r="F9210" s="2350">
        <v>110</v>
      </c>
    </row>
    <row r="9211" spans="1:6" ht="15" customHeight="1" x14ac:dyDescent="0.25">
      <c r="A9211" s="2349" t="s">
        <v>9591</v>
      </c>
      <c r="B9211" s="2349" t="s">
        <v>9654</v>
      </c>
      <c r="C9211" s="2349" t="s">
        <v>9654</v>
      </c>
      <c r="D9211" s="2349" t="s">
        <v>9592</v>
      </c>
      <c r="E9211" s="2350">
        <v>63</v>
      </c>
      <c r="F9211" s="2350">
        <v>58</v>
      </c>
    </row>
    <row r="9212" spans="1:6" ht="15" customHeight="1" x14ac:dyDescent="0.25">
      <c r="A9212" s="2349" t="s">
        <v>9593</v>
      </c>
      <c r="B9212" s="2349" t="s">
        <v>9654</v>
      </c>
      <c r="C9212" s="2349" t="s">
        <v>9654</v>
      </c>
      <c r="D9212" s="2349" t="s">
        <v>9594</v>
      </c>
      <c r="E9212" s="2350">
        <v>250</v>
      </c>
      <c r="F9212" s="2350">
        <v>200</v>
      </c>
    </row>
    <row r="9213" spans="1:6" ht="15" customHeight="1" x14ac:dyDescent="0.25">
      <c r="A9213" s="2349" t="s">
        <v>9595</v>
      </c>
      <c r="B9213" s="2349" t="s">
        <v>9654</v>
      </c>
      <c r="C9213" s="2349" t="s">
        <v>9654</v>
      </c>
      <c r="D9213" s="2349" t="s">
        <v>9596</v>
      </c>
      <c r="E9213" s="2350">
        <v>160</v>
      </c>
      <c r="F9213" s="2350">
        <v>115</v>
      </c>
    </row>
    <row r="9214" spans="1:6" ht="15" customHeight="1" x14ac:dyDescent="0.25">
      <c r="A9214" s="2349" t="s">
        <v>9595</v>
      </c>
      <c r="B9214" s="2349" t="s">
        <v>9654</v>
      </c>
      <c r="C9214" s="2349" t="s">
        <v>9654</v>
      </c>
      <c r="D9214" s="2349" t="s">
        <v>9597</v>
      </c>
      <c r="E9214" s="2350">
        <v>160</v>
      </c>
      <c r="F9214" s="2350">
        <v>120</v>
      </c>
    </row>
    <row r="9215" spans="1:6" ht="15" customHeight="1" x14ac:dyDescent="0.25">
      <c r="A9215" s="2349" t="s">
        <v>9595</v>
      </c>
      <c r="B9215" s="2349" t="s">
        <v>9654</v>
      </c>
      <c r="C9215" s="2349" t="s">
        <v>9654</v>
      </c>
      <c r="D9215" s="2349" t="s">
        <v>9598</v>
      </c>
      <c r="E9215" s="2350">
        <v>250</v>
      </c>
      <c r="F9215" s="2350">
        <v>205</v>
      </c>
    </row>
    <row r="9216" spans="1:6" ht="15" customHeight="1" x14ac:dyDescent="0.25">
      <c r="A9216" s="2349" t="s">
        <v>3824</v>
      </c>
      <c r="B9216" s="2349" t="s">
        <v>9654</v>
      </c>
      <c r="C9216" s="2349" t="s">
        <v>9654</v>
      </c>
      <c r="D9216" s="2349" t="s">
        <v>9599</v>
      </c>
      <c r="E9216" s="2350">
        <v>25</v>
      </c>
      <c r="F9216" s="2350">
        <v>15</v>
      </c>
    </row>
    <row r="9217" spans="1:6" ht="15" customHeight="1" x14ac:dyDescent="0.25">
      <c r="A9217" s="2349" t="s">
        <v>10180</v>
      </c>
      <c r="B9217" s="2349" t="s">
        <v>9654</v>
      </c>
      <c r="C9217" s="2349" t="s">
        <v>9654</v>
      </c>
      <c r="D9217" s="2349" t="s">
        <v>9600</v>
      </c>
      <c r="E9217" s="2350">
        <v>20</v>
      </c>
      <c r="F9217" s="2350">
        <v>10</v>
      </c>
    </row>
    <row r="9218" spans="1:6" ht="15" customHeight="1" x14ac:dyDescent="0.25">
      <c r="A9218" s="2349" t="s">
        <v>9601</v>
      </c>
      <c r="B9218" s="2349" t="s">
        <v>9654</v>
      </c>
      <c r="C9218" s="2349" t="s">
        <v>9654</v>
      </c>
      <c r="D9218" s="2349" t="s">
        <v>9602</v>
      </c>
      <c r="E9218" s="2350">
        <v>60</v>
      </c>
      <c r="F9218" s="2350">
        <v>50</v>
      </c>
    </row>
    <row r="9219" spans="1:6" ht="15" customHeight="1" x14ac:dyDescent="0.25">
      <c r="A9219" s="2349" t="s">
        <v>9603</v>
      </c>
      <c r="B9219" s="2349" t="s">
        <v>9654</v>
      </c>
      <c r="C9219" s="2349" t="s">
        <v>9654</v>
      </c>
      <c r="D9219" s="2349" t="s">
        <v>9604</v>
      </c>
      <c r="E9219" s="2350">
        <v>100</v>
      </c>
      <c r="F9219" s="2350">
        <v>50</v>
      </c>
    </row>
    <row r="9220" spans="1:6" ht="15" customHeight="1" x14ac:dyDescent="0.25">
      <c r="A9220" s="2349" t="s">
        <v>9603</v>
      </c>
      <c r="B9220" s="2349" t="s">
        <v>9654</v>
      </c>
      <c r="C9220" s="2349" t="s">
        <v>9654</v>
      </c>
      <c r="D9220" s="2349" t="s">
        <v>9605</v>
      </c>
      <c r="E9220" s="2350">
        <v>400</v>
      </c>
      <c r="F9220" s="2350">
        <v>395</v>
      </c>
    </row>
    <row r="9221" spans="1:6" ht="15" customHeight="1" x14ac:dyDescent="0.25">
      <c r="A9221" s="2349" t="s">
        <v>9606</v>
      </c>
      <c r="B9221" s="2349" t="s">
        <v>9654</v>
      </c>
      <c r="C9221" s="2349" t="s">
        <v>9654</v>
      </c>
      <c r="D9221" s="2349" t="s">
        <v>9607</v>
      </c>
      <c r="E9221" s="2350">
        <v>10</v>
      </c>
      <c r="F9221" s="2350">
        <v>5</v>
      </c>
    </row>
    <row r="9222" spans="1:6" ht="15" customHeight="1" x14ac:dyDescent="0.25">
      <c r="A9222" s="2349" t="s">
        <v>9608</v>
      </c>
      <c r="B9222" s="2349" t="s">
        <v>9654</v>
      </c>
      <c r="C9222" s="2349" t="s">
        <v>9654</v>
      </c>
      <c r="D9222" s="2349" t="s">
        <v>9609</v>
      </c>
      <c r="E9222" s="2350">
        <v>25</v>
      </c>
      <c r="F9222" s="2350">
        <v>15</v>
      </c>
    </row>
    <row r="9223" spans="1:6" ht="15" customHeight="1" x14ac:dyDescent="0.25">
      <c r="A9223" s="2349" t="s">
        <v>9610</v>
      </c>
      <c r="B9223" s="2349" t="s">
        <v>9654</v>
      </c>
      <c r="C9223" s="2349" t="s">
        <v>9654</v>
      </c>
      <c r="D9223" s="2349" t="s">
        <v>9611</v>
      </c>
      <c r="E9223" s="2350">
        <v>100</v>
      </c>
      <c r="F9223" s="2350">
        <v>70</v>
      </c>
    </row>
    <row r="9224" spans="1:6" ht="15" customHeight="1" x14ac:dyDescent="0.25">
      <c r="A9224" s="2349" t="s">
        <v>9610</v>
      </c>
      <c r="B9224" s="2349" t="s">
        <v>9654</v>
      </c>
      <c r="C9224" s="2349" t="s">
        <v>9654</v>
      </c>
      <c r="D9224" s="2349" t="s">
        <v>9612</v>
      </c>
      <c r="E9224" s="2350">
        <v>60</v>
      </c>
      <c r="F9224" s="2350">
        <v>30</v>
      </c>
    </row>
    <row r="9225" spans="1:6" ht="15" customHeight="1" x14ac:dyDescent="0.25">
      <c r="A9225" s="2349" t="s">
        <v>9610</v>
      </c>
      <c r="B9225" s="2349" t="s">
        <v>9654</v>
      </c>
      <c r="C9225" s="2349" t="s">
        <v>9654</v>
      </c>
      <c r="D9225" s="2349" t="s">
        <v>9613</v>
      </c>
      <c r="E9225" s="2350">
        <v>100</v>
      </c>
      <c r="F9225" s="2350">
        <v>60</v>
      </c>
    </row>
    <row r="9226" spans="1:6" ht="15" customHeight="1" x14ac:dyDescent="0.25">
      <c r="A9226" s="2349" t="s">
        <v>9610</v>
      </c>
      <c r="B9226" s="2349" t="s">
        <v>9654</v>
      </c>
      <c r="C9226" s="2349" t="s">
        <v>9654</v>
      </c>
      <c r="D9226" s="2349" t="s">
        <v>9614</v>
      </c>
      <c r="E9226" s="2350">
        <v>160</v>
      </c>
      <c r="F9226" s="2350">
        <v>120</v>
      </c>
    </row>
    <row r="9227" spans="1:6" ht="15" customHeight="1" x14ac:dyDescent="0.25">
      <c r="A9227" s="2349" t="s">
        <v>9615</v>
      </c>
      <c r="B9227" s="2349" t="s">
        <v>9654</v>
      </c>
      <c r="C9227" s="2349" t="s">
        <v>9654</v>
      </c>
      <c r="D9227" s="2349" t="s">
        <v>9616</v>
      </c>
      <c r="E9227" s="2350">
        <v>160</v>
      </c>
      <c r="F9227" s="2350">
        <v>130</v>
      </c>
    </row>
    <row r="9228" spans="1:6" ht="15" customHeight="1" x14ac:dyDescent="0.25">
      <c r="A9228" s="2349" t="s">
        <v>6412</v>
      </c>
      <c r="B9228" s="2349" t="s">
        <v>9654</v>
      </c>
      <c r="C9228" s="2349" t="s">
        <v>9654</v>
      </c>
      <c r="D9228" s="2349" t="s">
        <v>9617</v>
      </c>
      <c r="E9228" s="2350">
        <v>30</v>
      </c>
      <c r="F9228" s="2350">
        <v>15</v>
      </c>
    </row>
    <row r="9229" spans="1:6" ht="15" customHeight="1" x14ac:dyDescent="0.25">
      <c r="A9229" s="2349" t="s">
        <v>4134</v>
      </c>
      <c r="B9229" s="2349" t="s">
        <v>9654</v>
      </c>
      <c r="C9229" s="2349" t="s">
        <v>9654</v>
      </c>
      <c r="D9229" s="2349" t="s">
        <v>9618</v>
      </c>
      <c r="E9229" s="2350">
        <v>100</v>
      </c>
      <c r="F9229" s="2350">
        <v>70</v>
      </c>
    </row>
    <row r="9230" spans="1:6" ht="15" customHeight="1" x14ac:dyDescent="0.25">
      <c r="A9230" s="2349" t="s">
        <v>9619</v>
      </c>
      <c r="B9230" s="2349" t="s">
        <v>9654</v>
      </c>
      <c r="C9230" s="2349" t="s">
        <v>9654</v>
      </c>
      <c r="D9230" s="2349" t="s">
        <v>9620</v>
      </c>
      <c r="E9230" s="2350">
        <v>30</v>
      </c>
      <c r="F9230" s="2350">
        <v>25</v>
      </c>
    </row>
    <row r="9231" spans="1:6" ht="15" customHeight="1" x14ac:dyDescent="0.25">
      <c r="A9231" s="2349" t="s">
        <v>9621</v>
      </c>
      <c r="B9231" s="2349" t="s">
        <v>9654</v>
      </c>
      <c r="C9231" s="2349" t="s">
        <v>9654</v>
      </c>
      <c r="D9231" s="2349" t="s">
        <v>9622</v>
      </c>
      <c r="E9231" s="2350">
        <v>60</v>
      </c>
      <c r="F9231" s="2350">
        <v>55</v>
      </c>
    </row>
    <row r="9232" spans="1:6" ht="15" customHeight="1" x14ac:dyDescent="0.25">
      <c r="A9232" s="2349" t="s">
        <v>9623</v>
      </c>
      <c r="B9232" s="2349" t="s">
        <v>9654</v>
      </c>
      <c r="C9232" s="2349" t="s">
        <v>9654</v>
      </c>
      <c r="D9232" s="2349" t="s">
        <v>9624</v>
      </c>
      <c r="E9232" s="2350">
        <v>4</v>
      </c>
      <c r="F9232" s="2350">
        <v>1</v>
      </c>
    </row>
    <row r="9233" spans="1:6" ht="15" customHeight="1" x14ac:dyDescent="0.25">
      <c r="A9233" s="2349" t="s">
        <v>5349</v>
      </c>
      <c r="B9233" s="2349" t="s">
        <v>9654</v>
      </c>
      <c r="C9233" s="2349" t="s">
        <v>9654</v>
      </c>
      <c r="D9233" s="2349" t="s">
        <v>9625</v>
      </c>
      <c r="E9233" s="2350">
        <v>60</v>
      </c>
      <c r="F9233" s="2350">
        <v>30</v>
      </c>
    </row>
    <row r="9234" spans="1:6" ht="15" customHeight="1" x14ac:dyDescent="0.25">
      <c r="A9234" s="2349" t="s">
        <v>5349</v>
      </c>
      <c r="B9234" s="2349" t="s">
        <v>9654</v>
      </c>
      <c r="C9234" s="2349" t="s">
        <v>9654</v>
      </c>
      <c r="D9234" s="2349" t="s">
        <v>9626</v>
      </c>
      <c r="E9234" s="2350">
        <v>250</v>
      </c>
      <c r="F9234" s="2350">
        <v>220</v>
      </c>
    </row>
    <row r="9235" spans="1:6" ht="15" customHeight="1" x14ac:dyDescent="0.25">
      <c r="A9235" s="2349" t="s">
        <v>5349</v>
      </c>
      <c r="B9235" s="2349" t="s">
        <v>9654</v>
      </c>
      <c r="C9235" s="2349" t="s">
        <v>9654</v>
      </c>
      <c r="D9235" s="2349" t="s">
        <v>9627</v>
      </c>
      <c r="E9235" s="2350">
        <v>160</v>
      </c>
      <c r="F9235" s="2350">
        <v>120</v>
      </c>
    </row>
    <row r="9236" spans="1:6" ht="15" customHeight="1" x14ac:dyDescent="0.25">
      <c r="A9236" s="2349" t="s">
        <v>9615</v>
      </c>
      <c r="B9236" s="2349" t="s">
        <v>9654</v>
      </c>
      <c r="C9236" s="2349" t="s">
        <v>9654</v>
      </c>
      <c r="D9236" s="2349" t="s">
        <v>9628</v>
      </c>
      <c r="E9236" s="2350">
        <v>63</v>
      </c>
      <c r="F9236" s="2350">
        <v>23</v>
      </c>
    </row>
    <row r="9237" spans="1:6" ht="15" customHeight="1" x14ac:dyDescent="0.25">
      <c r="A9237" s="2349" t="s">
        <v>9615</v>
      </c>
      <c r="B9237" s="2349" t="s">
        <v>9654</v>
      </c>
      <c r="C9237" s="2349" t="s">
        <v>9654</v>
      </c>
      <c r="D9237" s="2349" t="s">
        <v>9629</v>
      </c>
      <c r="E9237" s="2350">
        <v>250</v>
      </c>
      <c r="F9237" s="2350">
        <v>220</v>
      </c>
    </row>
    <row r="9238" spans="1:6" ht="15" customHeight="1" x14ac:dyDescent="0.25">
      <c r="A9238" s="2349" t="s">
        <v>9615</v>
      </c>
      <c r="B9238" s="2349" t="s">
        <v>9654</v>
      </c>
      <c r="C9238" s="2349" t="s">
        <v>9654</v>
      </c>
      <c r="D9238" s="2349" t="s">
        <v>9630</v>
      </c>
      <c r="E9238" s="2350">
        <v>60</v>
      </c>
      <c r="F9238" s="2350">
        <v>40</v>
      </c>
    </row>
    <row r="9239" spans="1:6" ht="15" customHeight="1" x14ac:dyDescent="0.25">
      <c r="A9239" s="2349" t="s">
        <v>5349</v>
      </c>
      <c r="B9239" s="2349" t="s">
        <v>9654</v>
      </c>
      <c r="C9239" s="2349" t="s">
        <v>9654</v>
      </c>
      <c r="D9239" s="2349" t="s">
        <v>9631</v>
      </c>
      <c r="E9239" s="2350">
        <v>250</v>
      </c>
      <c r="F9239" s="2350">
        <v>210</v>
      </c>
    </row>
    <row r="9240" spans="1:6" ht="15" customHeight="1" x14ac:dyDescent="0.25">
      <c r="A9240" s="2349" t="s">
        <v>4904</v>
      </c>
      <c r="B9240" s="2349" t="s">
        <v>9654</v>
      </c>
      <c r="C9240" s="2349" t="s">
        <v>9654</v>
      </c>
      <c r="D9240" s="2349" t="s">
        <v>9632</v>
      </c>
      <c r="E9240" s="2350">
        <v>60</v>
      </c>
      <c r="F9240" s="2350">
        <v>45</v>
      </c>
    </row>
    <row r="9241" spans="1:6" ht="15" customHeight="1" x14ac:dyDescent="0.25">
      <c r="A9241" s="2349" t="s">
        <v>4966</v>
      </c>
      <c r="B9241" s="2349" t="s">
        <v>9654</v>
      </c>
      <c r="C9241" s="2349" t="s">
        <v>9654</v>
      </c>
      <c r="D9241" s="2349" t="s">
        <v>9633</v>
      </c>
      <c r="E9241" s="2350">
        <v>30</v>
      </c>
      <c r="F9241" s="2350">
        <v>20</v>
      </c>
    </row>
    <row r="9242" spans="1:6" ht="15" customHeight="1" x14ac:dyDescent="0.25">
      <c r="A9242" s="2349" t="s">
        <v>6520</v>
      </c>
      <c r="B9242" s="2349" t="s">
        <v>9654</v>
      </c>
      <c r="C9242" s="2349" t="s">
        <v>9654</v>
      </c>
      <c r="D9242" s="2349" t="s">
        <v>9634</v>
      </c>
      <c r="E9242" s="2350">
        <v>60</v>
      </c>
      <c r="F9242" s="2350">
        <v>40</v>
      </c>
    </row>
    <row r="9243" spans="1:6" ht="15" customHeight="1" x14ac:dyDescent="0.25">
      <c r="A9243" s="2349" t="s">
        <v>6520</v>
      </c>
      <c r="B9243" s="2349" t="s">
        <v>9654</v>
      </c>
      <c r="C9243" s="2349" t="s">
        <v>9654</v>
      </c>
      <c r="D9243" s="2349" t="s">
        <v>9635</v>
      </c>
      <c r="E9243" s="2350">
        <v>100</v>
      </c>
      <c r="F9243" s="2350">
        <v>60</v>
      </c>
    </row>
    <row r="9244" spans="1:6" ht="15" customHeight="1" x14ac:dyDescent="0.25">
      <c r="A9244" s="2349" t="s">
        <v>9636</v>
      </c>
      <c r="B9244" s="2349" t="s">
        <v>9654</v>
      </c>
      <c r="C9244" s="2349" t="s">
        <v>9654</v>
      </c>
      <c r="D9244" s="2349" t="s">
        <v>9637</v>
      </c>
      <c r="E9244" s="2350">
        <v>60</v>
      </c>
      <c r="F9244" s="2350">
        <v>50</v>
      </c>
    </row>
    <row r="9245" spans="1:6" ht="15" customHeight="1" x14ac:dyDescent="0.25">
      <c r="A9245" s="2349" t="s">
        <v>9638</v>
      </c>
      <c r="B9245" s="2349" t="s">
        <v>9654</v>
      </c>
      <c r="C9245" s="2349" t="s">
        <v>9654</v>
      </c>
      <c r="D9245" s="2349" t="s">
        <v>9639</v>
      </c>
      <c r="E9245" s="2350">
        <v>100</v>
      </c>
      <c r="F9245" s="2350">
        <v>95</v>
      </c>
    </row>
    <row r="9246" spans="1:6" ht="15" customHeight="1" x14ac:dyDescent="0.25">
      <c r="A9246" s="2349" t="s">
        <v>9640</v>
      </c>
      <c r="B9246" s="2349" t="s">
        <v>9654</v>
      </c>
      <c r="C9246" s="2349" t="s">
        <v>9654</v>
      </c>
      <c r="D9246" s="2349" t="s">
        <v>9641</v>
      </c>
      <c r="E9246" s="2350">
        <v>160</v>
      </c>
      <c r="F9246" s="2350">
        <v>150</v>
      </c>
    </row>
    <row r="9247" spans="1:6" ht="15" customHeight="1" x14ac:dyDescent="0.25">
      <c r="A9247" s="2349" t="s">
        <v>9642</v>
      </c>
      <c r="B9247" s="2349" t="s">
        <v>9654</v>
      </c>
      <c r="C9247" s="2349" t="s">
        <v>9654</v>
      </c>
      <c r="D9247" s="2349" t="s">
        <v>9643</v>
      </c>
      <c r="E9247" s="2350">
        <v>400</v>
      </c>
      <c r="F9247" s="2350">
        <v>350</v>
      </c>
    </row>
    <row r="9248" spans="1:6" ht="15" customHeight="1" x14ac:dyDescent="0.25">
      <c r="A9248" s="2349" t="s">
        <v>9642</v>
      </c>
      <c r="B9248" s="2349" t="s">
        <v>9654</v>
      </c>
      <c r="C9248" s="2349" t="s">
        <v>9654</v>
      </c>
      <c r="D9248" s="2349" t="s">
        <v>9644</v>
      </c>
      <c r="E9248" s="2350">
        <v>630</v>
      </c>
      <c r="F9248" s="2350">
        <v>580</v>
      </c>
    </row>
    <row r="9249" spans="1:6" ht="15" customHeight="1" x14ac:dyDescent="0.25">
      <c r="A9249" s="2349" t="s">
        <v>9642</v>
      </c>
      <c r="B9249" s="2349" t="s">
        <v>9654</v>
      </c>
      <c r="C9249" s="2349" t="s">
        <v>9654</v>
      </c>
      <c r="D9249" s="2349" t="s">
        <v>9645</v>
      </c>
      <c r="E9249" s="2350">
        <v>250</v>
      </c>
      <c r="F9249" s="2350">
        <v>210</v>
      </c>
    </row>
    <row r="9250" spans="1:6" ht="15" customHeight="1" x14ac:dyDescent="0.25">
      <c r="A9250" s="2349" t="s">
        <v>9646</v>
      </c>
      <c r="B9250" s="2349" t="s">
        <v>9654</v>
      </c>
      <c r="C9250" s="2349" t="s">
        <v>9654</v>
      </c>
      <c r="D9250" s="2349" t="s">
        <v>9647</v>
      </c>
      <c r="E9250" s="2350">
        <v>25</v>
      </c>
      <c r="F9250" s="2350">
        <v>5</v>
      </c>
    </row>
    <row r="9251" spans="1:6" ht="15" customHeight="1" x14ac:dyDescent="0.25">
      <c r="A9251" s="2349" t="s">
        <v>14495</v>
      </c>
      <c r="B9251" s="2349" t="s">
        <v>9654</v>
      </c>
      <c r="C9251" s="2349" t="s">
        <v>9654</v>
      </c>
      <c r="D9251" s="2349" t="s">
        <v>9648</v>
      </c>
      <c r="E9251" s="2350">
        <v>100</v>
      </c>
      <c r="F9251" s="2350">
        <v>70</v>
      </c>
    </row>
    <row r="9252" spans="1:6" ht="15" customHeight="1" x14ac:dyDescent="0.25">
      <c r="A9252" s="2349" t="s">
        <v>4020</v>
      </c>
      <c r="B9252" s="2349" t="s">
        <v>9654</v>
      </c>
      <c r="C9252" s="2349" t="s">
        <v>9654</v>
      </c>
      <c r="D9252" s="2349" t="s">
        <v>9649</v>
      </c>
      <c r="E9252" s="2350">
        <v>25</v>
      </c>
      <c r="F9252" s="2350">
        <v>10</v>
      </c>
    </row>
    <row r="9253" spans="1:6" ht="15" customHeight="1" x14ac:dyDescent="0.25">
      <c r="A9253" s="2349" t="s">
        <v>9650</v>
      </c>
      <c r="B9253" s="2349" t="s">
        <v>9654</v>
      </c>
      <c r="C9253" s="2349" t="s">
        <v>9654</v>
      </c>
      <c r="D9253" s="2349" t="s">
        <v>9651</v>
      </c>
      <c r="E9253" s="2350">
        <v>63</v>
      </c>
      <c r="F9253" s="2350">
        <v>33</v>
      </c>
    </row>
    <row r="9254" spans="1:6" ht="15" customHeight="1" x14ac:dyDescent="0.25">
      <c r="A9254" s="2349" t="s">
        <v>9652</v>
      </c>
      <c r="B9254" s="2349" t="s">
        <v>9654</v>
      </c>
      <c r="C9254" s="2349" t="s">
        <v>9654</v>
      </c>
      <c r="D9254" s="2349" t="s">
        <v>9653</v>
      </c>
      <c r="E9254" s="2350">
        <v>60</v>
      </c>
      <c r="F9254" s="2350">
        <v>30</v>
      </c>
    </row>
    <row r="9255" spans="1:6" ht="15" customHeight="1" x14ac:dyDescent="0.25">
      <c r="A9255" s="2349" t="s">
        <v>19529</v>
      </c>
      <c r="B9255" s="2349" t="s">
        <v>5950</v>
      </c>
      <c r="C9255" s="2349" t="s">
        <v>5950</v>
      </c>
      <c r="D9255" s="2349" t="s">
        <v>5951</v>
      </c>
      <c r="E9255" s="2350">
        <v>100</v>
      </c>
      <c r="F9255" s="2350">
        <v>25</v>
      </c>
    </row>
    <row r="9256" spans="1:6" ht="15" customHeight="1" x14ac:dyDescent="0.25">
      <c r="A9256" s="2349" t="s">
        <v>5952</v>
      </c>
      <c r="B9256" s="2349" t="s">
        <v>5950</v>
      </c>
      <c r="C9256" s="2349" t="s">
        <v>5950</v>
      </c>
      <c r="D9256" s="2349" t="s">
        <v>5952</v>
      </c>
      <c r="E9256" s="2350">
        <v>60</v>
      </c>
      <c r="F9256" s="2350">
        <v>30</v>
      </c>
    </row>
    <row r="9257" spans="1:6" ht="15" customHeight="1" x14ac:dyDescent="0.25">
      <c r="A9257" s="2349" t="s">
        <v>19530</v>
      </c>
      <c r="B9257" s="2349" t="s">
        <v>5950</v>
      </c>
      <c r="C9257" s="2349" t="s">
        <v>5950</v>
      </c>
      <c r="D9257" s="2349" t="s">
        <v>5953</v>
      </c>
      <c r="E9257" s="2350">
        <v>100</v>
      </c>
      <c r="F9257" s="2350">
        <v>20</v>
      </c>
    </row>
    <row r="9258" spans="1:6" ht="15" customHeight="1" x14ac:dyDescent="0.25">
      <c r="A9258" s="2349" t="s">
        <v>19530</v>
      </c>
      <c r="B9258" s="2349" t="s">
        <v>5950</v>
      </c>
      <c r="C9258" s="2349" t="s">
        <v>5950</v>
      </c>
      <c r="D9258" s="2349" t="s">
        <v>5954</v>
      </c>
      <c r="E9258" s="2350">
        <v>160</v>
      </c>
      <c r="F9258" s="2350">
        <v>60</v>
      </c>
    </row>
    <row r="9259" spans="1:6" ht="15" customHeight="1" x14ac:dyDescent="0.25">
      <c r="A9259" s="2349" t="s">
        <v>19530</v>
      </c>
      <c r="B9259" s="2349" t="s">
        <v>5950</v>
      </c>
      <c r="C9259" s="2349" t="s">
        <v>5950</v>
      </c>
      <c r="D9259" s="2349" t="s">
        <v>5955</v>
      </c>
      <c r="E9259" s="2350">
        <v>160</v>
      </c>
      <c r="F9259" s="2350">
        <v>120</v>
      </c>
    </row>
    <row r="9260" spans="1:6" ht="15" customHeight="1" x14ac:dyDescent="0.25">
      <c r="A9260" s="2349" t="s">
        <v>19530</v>
      </c>
      <c r="B9260" s="2349" t="s">
        <v>5950</v>
      </c>
      <c r="C9260" s="2349" t="s">
        <v>5950</v>
      </c>
      <c r="D9260" s="2349" t="s">
        <v>5956</v>
      </c>
      <c r="E9260" s="2350">
        <v>250</v>
      </c>
      <c r="F9260" s="2350">
        <v>50</v>
      </c>
    </row>
    <row r="9261" spans="1:6" ht="15" customHeight="1" x14ac:dyDescent="0.25">
      <c r="A9261" s="2349" t="s">
        <v>5957</v>
      </c>
      <c r="B9261" s="2349" t="s">
        <v>5950</v>
      </c>
      <c r="C9261" s="2349" t="s">
        <v>5950</v>
      </c>
      <c r="D9261" s="2349" t="s">
        <v>5957</v>
      </c>
      <c r="E9261" s="2350">
        <v>63</v>
      </c>
      <c r="F9261" s="2350">
        <v>50</v>
      </c>
    </row>
    <row r="9262" spans="1:6" ht="15" customHeight="1" x14ac:dyDescent="0.25">
      <c r="A9262" s="2349" t="s">
        <v>5958</v>
      </c>
      <c r="B9262" s="2349" t="s">
        <v>5950</v>
      </c>
      <c r="C9262" s="2349" t="s">
        <v>5950</v>
      </c>
      <c r="D9262" s="2349" t="s">
        <v>20288</v>
      </c>
      <c r="E9262" s="2350">
        <v>400</v>
      </c>
      <c r="F9262" s="2350">
        <v>290</v>
      </c>
    </row>
    <row r="9263" spans="1:6" ht="15" customHeight="1" x14ac:dyDescent="0.25">
      <c r="A9263" s="2349" t="s">
        <v>19530</v>
      </c>
      <c r="B9263" s="2349" t="s">
        <v>5950</v>
      </c>
      <c r="C9263" s="2349" t="s">
        <v>5950</v>
      </c>
      <c r="D9263" s="2349" t="s">
        <v>5959</v>
      </c>
      <c r="E9263" s="2350">
        <v>180</v>
      </c>
      <c r="F9263" s="2350">
        <v>100</v>
      </c>
    </row>
    <row r="9264" spans="1:6" ht="15" customHeight="1" x14ac:dyDescent="0.25">
      <c r="A9264" s="2349" t="s">
        <v>19529</v>
      </c>
      <c r="B9264" s="2349" t="s">
        <v>5950</v>
      </c>
      <c r="C9264" s="2349" t="s">
        <v>5950</v>
      </c>
      <c r="D9264" s="2349" t="s">
        <v>5960</v>
      </c>
      <c r="E9264" s="2350">
        <v>60</v>
      </c>
      <c r="F9264" s="2350">
        <v>20</v>
      </c>
    </row>
    <row r="9265" spans="1:6" ht="15" customHeight="1" x14ac:dyDescent="0.25">
      <c r="A9265" s="2349" t="s">
        <v>5961</v>
      </c>
      <c r="B9265" s="2349" t="s">
        <v>5950</v>
      </c>
      <c r="C9265" s="2349" t="s">
        <v>5950</v>
      </c>
      <c r="D9265" s="2349" t="s">
        <v>5961</v>
      </c>
      <c r="E9265" s="2350">
        <v>63</v>
      </c>
      <c r="F9265" s="2350">
        <v>35</v>
      </c>
    </row>
    <row r="9266" spans="1:6" ht="15" customHeight="1" x14ac:dyDescent="0.25">
      <c r="A9266" s="2349" t="s">
        <v>19530</v>
      </c>
      <c r="B9266" s="2349" t="s">
        <v>5950</v>
      </c>
      <c r="C9266" s="2349" t="s">
        <v>5950</v>
      </c>
      <c r="D9266" s="2349" t="s">
        <v>5962</v>
      </c>
      <c r="E9266" s="2350">
        <v>160</v>
      </c>
      <c r="F9266" s="2350">
        <v>50</v>
      </c>
    </row>
    <row r="9267" spans="1:6" ht="15" customHeight="1" x14ac:dyDescent="0.25">
      <c r="A9267" s="2349" t="s">
        <v>5963</v>
      </c>
      <c r="B9267" s="2349" t="s">
        <v>5950</v>
      </c>
      <c r="C9267" s="2349" t="s">
        <v>5950</v>
      </c>
      <c r="D9267" s="2349" t="s">
        <v>5963</v>
      </c>
      <c r="E9267" s="2350" t="s">
        <v>4199</v>
      </c>
      <c r="F9267" s="2350" t="s">
        <v>4200</v>
      </c>
    </row>
    <row r="9268" spans="1:6" ht="15" customHeight="1" x14ac:dyDescent="0.25">
      <c r="A9268" s="2349" t="s">
        <v>5964</v>
      </c>
      <c r="B9268" s="2349" t="s">
        <v>5950</v>
      </c>
      <c r="C9268" s="2349" t="s">
        <v>5950</v>
      </c>
      <c r="D9268" s="2349" t="s">
        <v>5964</v>
      </c>
      <c r="E9268" s="2350">
        <v>160</v>
      </c>
      <c r="F9268" s="2350">
        <v>90</v>
      </c>
    </row>
    <row r="9269" spans="1:6" ht="15" customHeight="1" x14ac:dyDescent="0.25">
      <c r="A9269" s="2349" t="s">
        <v>5965</v>
      </c>
      <c r="B9269" s="2349" t="s">
        <v>5950</v>
      </c>
      <c r="C9269" s="2349" t="s">
        <v>5950</v>
      </c>
      <c r="D9269" s="2349" t="s">
        <v>5965</v>
      </c>
      <c r="E9269" s="2350">
        <v>100</v>
      </c>
      <c r="F9269" s="2350">
        <v>20</v>
      </c>
    </row>
    <row r="9270" spans="1:6" ht="15" customHeight="1" x14ac:dyDescent="0.25">
      <c r="A9270" s="2349" t="s">
        <v>5966</v>
      </c>
      <c r="B9270" s="2349" t="s">
        <v>5950</v>
      </c>
      <c r="C9270" s="2349" t="s">
        <v>5950</v>
      </c>
      <c r="D9270" s="2349" t="s">
        <v>5966</v>
      </c>
      <c r="E9270" s="2350">
        <v>100</v>
      </c>
      <c r="F9270" s="2350">
        <v>0</v>
      </c>
    </row>
    <row r="9271" spans="1:6" ht="15" customHeight="1" x14ac:dyDescent="0.25">
      <c r="A9271" s="2349" t="s">
        <v>5966</v>
      </c>
      <c r="B9271" s="2349" t="s">
        <v>5950</v>
      </c>
      <c r="C9271" s="2349" t="s">
        <v>5950</v>
      </c>
      <c r="D9271" s="2349" t="s">
        <v>20289</v>
      </c>
      <c r="E9271" s="2350">
        <v>63</v>
      </c>
      <c r="F9271" s="2350">
        <v>40</v>
      </c>
    </row>
    <row r="9272" spans="1:6" ht="15" customHeight="1" x14ac:dyDescent="0.25">
      <c r="A9272" s="2349" t="s">
        <v>5967</v>
      </c>
      <c r="B9272" s="2349" t="s">
        <v>5950</v>
      </c>
      <c r="C9272" s="2349" t="s">
        <v>5950</v>
      </c>
      <c r="D9272" s="2349" t="s">
        <v>5967</v>
      </c>
      <c r="E9272" s="2350">
        <v>60</v>
      </c>
      <c r="F9272" s="2350">
        <v>20</v>
      </c>
    </row>
    <row r="9273" spans="1:6" ht="15" customHeight="1" x14ac:dyDescent="0.25">
      <c r="A9273" s="2349" t="s">
        <v>5968</v>
      </c>
      <c r="B9273" s="2349" t="s">
        <v>5950</v>
      </c>
      <c r="C9273" s="2349" t="s">
        <v>5950</v>
      </c>
      <c r="D9273" s="2349" t="s">
        <v>5969</v>
      </c>
      <c r="E9273" s="2350">
        <v>250</v>
      </c>
      <c r="F9273" s="2350">
        <v>155</v>
      </c>
    </row>
    <row r="9274" spans="1:6" ht="15" customHeight="1" x14ac:dyDescent="0.25">
      <c r="A9274" s="2349" t="s">
        <v>5968</v>
      </c>
      <c r="B9274" s="2349" t="s">
        <v>5950</v>
      </c>
      <c r="C9274" s="2349" t="s">
        <v>5950</v>
      </c>
      <c r="D9274" s="2349" t="s">
        <v>5970</v>
      </c>
      <c r="E9274" s="2350">
        <v>100</v>
      </c>
      <c r="F9274" s="2350">
        <v>40</v>
      </c>
    </row>
    <row r="9275" spans="1:6" ht="15" customHeight="1" x14ac:dyDescent="0.25">
      <c r="A9275" s="2349" t="s">
        <v>5971</v>
      </c>
      <c r="B9275" s="2349" t="s">
        <v>5950</v>
      </c>
      <c r="C9275" s="2349" t="s">
        <v>5950</v>
      </c>
      <c r="D9275" s="2349" t="s">
        <v>5971</v>
      </c>
      <c r="E9275" s="2350">
        <v>100</v>
      </c>
      <c r="F9275" s="2350">
        <v>20</v>
      </c>
    </row>
    <row r="9276" spans="1:6" ht="15" customHeight="1" x14ac:dyDescent="0.25">
      <c r="A9276" s="2349" t="s">
        <v>5972</v>
      </c>
      <c r="B9276" s="2349" t="s">
        <v>5950</v>
      </c>
      <c r="C9276" s="2349" t="s">
        <v>5950</v>
      </c>
      <c r="D9276" s="2349" t="s">
        <v>5973</v>
      </c>
      <c r="E9276" s="2350">
        <v>160</v>
      </c>
      <c r="F9276" s="2350">
        <v>30</v>
      </c>
    </row>
    <row r="9277" spans="1:6" ht="15" customHeight="1" x14ac:dyDescent="0.25">
      <c r="A9277" s="2349" t="s">
        <v>5972</v>
      </c>
      <c r="B9277" s="2349" t="s">
        <v>5950</v>
      </c>
      <c r="C9277" s="2349" t="s">
        <v>5950</v>
      </c>
      <c r="D9277" s="2349" t="s">
        <v>5974</v>
      </c>
      <c r="E9277" s="2350">
        <v>160</v>
      </c>
      <c r="F9277" s="2350">
        <v>20</v>
      </c>
    </row>
    <row r="9278" spans="1:6" ht="15" customHeight="1" x14ac:dyDescent="0.25">
      <c r="A9278" s="2349" t="s">
        <v>5975</v>
      </c>
      <c r="B9278" s="2349" t="s">
        <v>5950</v>
      </c>
      <c r="C9278" s="2349" t="s">
        <v>5950</v>
      </c>
      <c r="D9278" s="2349" t="s">
        <v>5976</v>
      </c>
      <c r="E9278" s="2350">
        <v>100</v>
      </c>
      <c r="F9278" s="2350">
        <v>10</v>
      </c>
    </row>
    <row r="9279" spans="1:6" ht="15" customHeight="1" x14ac:dyDescent="0.25">
      <c r="A9279" s="2349" t="s">
        <v>5975</v>
      </c>
      <c r="B9279" s="2349" t="s">
        <v>5950</v>
      </c>
      <c r="C9279" s="2349" t="s">
        <v>5950</v>
      </c>
      <c r="D9279" s="2349" t="s">
        <v>5977</v>
      </c>
      <c r="E9279" s="2350">
        <v>100</v>
      </c>
      <c r="F9279" s="2350">
        <v>0</v>
      </c>
    </row>
    <row r="9280" spans="1:6" ht="15" customHeight="1" x14ac:dyDescent="0.25">
      <c r="A9280" s="2349" t="s">
        <v>5968</v>
      </c>
      <c r="B9280" s="2349" t="s">
        <v>5950</v>
      </c>
      <c r="C9280" s="2349" t="s">
        <v>5950</v>
      </c>
      <c r="D9280" s="2349" t="s">
        <v>5978</v>
      </c>
      <c r="E9280" s="2350" t="s">
        <v>5551</v>
      </c>
      <c r="F9280" s="2350" t="s">
        <v>4199</v>
      </c>
    </row>
    <row r="9281" spans="1:6" ht="15" customHeight="1" x14ac:dyDescent="0.25">
      <c r="A9281" s="2349" t="s">
        <v>5979</v>
      </c>
      <c r="B9281" s="2349" t="s">
        <v>5950</v>
      </c>
      <c r="C9281" s="2349" t="s">
        <v>5950</v>
      </c>
      <c r="D9281" s="2349" t="s">
        <v>20057</v>
      </c>
      <c r="E9281" s="2350">
        <v>100</v>
      </c>
      <c r="F9281" s="2350">
        <v>10</v>
      </c>
    </row>
    <row r="9282" spans="1:6" ht="15" customHeight="1" x14ac:dyDescent="0.25">
      <c r="A9282" s="2349" t="s">
        <v>5980</v>
      </c>
      <c r="B9282" s="2349" t="s">
        <v>5950</v>
      </c>
      <c r="C9282" s="2349" t="s">
        <v>5950</v>
      </c>
      <c r="D9282" s="2349" t="s">
        <v>5980</v>
      </c>
      <c r="E9282" s="2350">
        <v>100</v>
      </c>
      <c r="F9282" s="2350">
        <v>20</v>
      </c>
    </row>
    <row r="9283" spans="1:6" ht="15" customHeight="1" x14ac:dyDescent="0.25">
      <c r="A9283" s="2349" t="s">
        <v>5981</v>
      </c>
      <c r="B9283" s="2349" t="s">
        <v>5950</v>
      </c>
      <c r="C9283" s="2349" t="s">
        <v>5950</v>
      </c>
      <c r="D9283" s="2349" t="s">
        <v>5981</v>
      </c>
      <c r="E9283" s="2350">
        <v>5</v>
      </c>
      <c r="F9283" s="2350">
        <v>2</v>
      </c>
    </row>
    <row r="9284" spans="1:6" ht="15" customHeight="1" x14ac:dyDescent="0.25">
      <c r="A9284" s="2349" t="s">
        <v>5982</v>
      </c>
      <c r="B9284" s="2349" t="s">
        <v>5950</v>
      </c>
      <c r="C9284" s="2349" t="s">
        <v>5950</v>
      </c>
      <c r="D9284" s="2349" t="s">
        <v>5982</v>
      </c>
      <c r="E9284" s="2350">
        <v>50</v>
      </c>
      <c r="F9284" s="2350">
        <v>10</v>
      </c>
    </row>
    <row r="9285" spans="1:6" ht="15" customHeight="1" x14ac:dyDescent="0.25">
      <c r="A9285" s="2349" t="s">
        <v>5983</v>
      </c>
      <c r="B9285" s="2349" t="s">
        <v>5950</v>
      </c>
      <c r="C9285" s="2349" t="s">
        <v>5950</v>
      </c>
      <c r="D9285" s="2349" t="s">
        <v>5983</v>
      </c>
      <c r="E9285" s="2350">
        <v>100</v>
      </c>
      <c r="F9285" s="2350">
        <v>20</v>
      </c>
    </row>
    <row r="9286" spans="1:6" ht="15" customHeight="1" x14ac:dyDescent="0.25">
      <c r="A9286" s="2349" t="s">
        <v>5968</v>
      </c>
      <c r="B9286" s="2349" t="s">
        <v>5950</v>
      </c>
      <c r="C9286" s="2349" t="s">
        <v>5950</v>
      </c>
      <c r="D9286" s="2349" t="s">
        <v>5984</v>
      </c>
      <c r="E9286" s="2350">
        <v>250</v>
      </c>
      <c r="F9286" s="2350">
        <v>30</v>
      </c>
    </row>
    <row r="9287" spans="1:6" ht="15" customHeight="1" x14ac:dyDescent="0.25">
      <c r="A9287" s="2349" t="s">
        <v>5985</v>
      </c>
      <c r="B9287" s="2349" t="s">
        <v>5950</v>
      </c>
      <c r="C9287" s="2349" t="s">
        <v>5950</v>
      </c>
      <c r="D9287" s="2349" t="s">
        <v>5985</v>
      </c>
      <c r="E9287" s="2350">
        <v>250</v>
      </c>
      <c r="F9287" s="2350">
        <v>0</v>
      </c>
    </row>
    <row r="9288" spans="1:6" ht="15" customHeight="1" x14ac:dyDescent="0.25">
      <c r="A9288" s="2349" t="s">
        <v>5985</v>
      </c>
      <c r="B9288" s="2349" t="s">
        <v>5950</v>
      </c>
      <c r="C9288" s="2349" t="s">
        <v>5950</v>
      </c>
      <c r="D9288" s="2349" t="s">
        <v>5986</v>
      </c>
      <c r="E9288" s="2350">
        <v>40</v>
      </c>
      <c r="F9288" s="2350">
        <v>0</v>
      </c>
    </row>
    <row r="9289" spans="1:6" ht="15" customHeight="1" x14ac:dyDescent="0.25">
      <c r="A9289" s="2349" t="s">
        <v>5987</v>
      </c>
      <c r="B9289" s="2349" t="s">
        <v>5950</v>
      </c>
      <c r="C9289" s="2349" t="s">
        <v>5950</v>
      </c>
      <c r="D9289" s="2349" t="s">
        <v>5987</v>
      </c>
      <c r="E9289" s="2350">
        <v>100</v>
      </c>
      <c r="F9289" s="2350">
        <v>5</v>
      </c>
    </row>
    <row r="9290" spans="1:6" ht="15" customHeight="1" x14ac:dyDescent="0.25">
      <c r="A9290" s="2349" t="s">
        <v>5987</v>
      </c>
      <c r="B9290" s="2349" t="s">
        <v>5950</v>
      </c>
      <c r="C9290" s="2349" t="s">
        <v>5950</v>
      </c>
      <c r="D9290" s="2349" t="s">
        <v>5988</v>
      </c>
      <c r="E9290" s="2350">
        <v>250</v>
      </c>
      <c r="F9290" s="2350">
        <v>100</v>
      </c>
    </row>
    <row r="9291" spans="1:6" ht="15" customHeight="1" x14ac:dyDescent="0.25">
      <c r="A9291" s="2349" t="s">
        <v>5989</v>
      </c>
      <c r="B9291" s="2349" t="s">
        <v>5950</v>
      </c>
      <c r="C9291" s="2349" t="s">
        <v>5950</v>
      </c>
      <c r="D9291" s="2349" t="s">
        <v>5989</v>
      </c>
      <c r="E9291" s="2350">
        <v>100</v>
      </c>
      <c r="F9291" s="2350">
        <v>25</v>
      </c>
    </row>
    <row r="9292" spans="1:6" ht="15" customHeight="1" x14ac:dyDescent="0.25">
      <c r="A9292" s="2349" t="s">
        <v>5990</v>
      </c>
      <c r="B9292" s="2349" t="s">
        <v>5950</v>
      </c>
      <c r="C9292" s="2349" t="s">
        <v>5950</v>
      </c>
      <c r="D9292" s="2349" t="s">
        <v>5991</v>
      </c>
      <c r="E9292" s="2350">
        <v>400</v>
      </c>
      <c r="F9292" s="2350">
        <v>350</v>
      </c>
    </row>
    <row r="9293" spans="1:6" ht="15" customHeight="1" x14ac:dyDescent="0.25">
      <c r="A9293" s="2349" t="s">
        <v>5990</v>
      </c>
      <c r="B9293" s="2349" t="s">
        <v>5950</v>
      </c>
      <c r="C9293" s="2349" t="s">
        <v>5950</v>
      </c>
      <c r="D9293" s="2349" t="s">
        <v>5992</v>
      </c>
      <c r="E9293" s="2350">
        <v>250</v>
      </c>
      <c r="F9293" s="2350">
        <v>200</v>
      </c>
    </row>
    <row r="9294" spans="1:6" ht="15" customHeight="1" x14ac:dyDescent="0.25">
      <c r="A9294" s="2349" t="s">
        <v>20058</v>
      </c>
      <c r="B9294" s="2349" t="s">
        <v>5950</v>
      </c>
      <c r="C9294" s="2349" t="s">
        <v>5950</v>
      </c>
      <c r="D9294" s="2349" t="s">
        <v>20058</v>
      </c>
      <c r="E9294" s="2350">
        <v>100</v>
      </c>
      <c r="F9294" s="2350">
        <v>35</v>
      </c>
    </row>
    <row r="9295" spans="1:6" ht="15" customHeight="1" x14ac:dyDescent="0.25">
      <c r="A9295" s="2349" t="s">
        <v>5993</v>
      </c>
      <c r="B9295" s="2349" t="s">
        <v>5950</v>
      </c>
      <c r="C9295" s="2349" t="s">
        <v>5950</v>
      </c>
      <c r="D9295" s="2349" t="s">
        <v>5994</v>
      </c>
      <c r="E9295" s="2350">
        <v>60</v>
      </c>
      <c r="F9295" s="2350">
        <v>10</v>
      </c>
    </row>
    <row r="9296" spans="1:6" ht="15" customHeight="1" x14ac:dyDescent="0.25">
      <c r="A9296" s="2349" t="s">
        <v>5995</v>
      </c>
      <c r="B9296" s="2349" t="s">
        <v>5950</v>
      </c>
      <c r="C9296" s="2349" t="s">
        <v>5950</v>
      </c>
      <c r="D9296" s="2349" t="s">
        <v>5995</v>
      </c>
      <c r="E9296" s="2350">
        <v>30</v>
      </c>
      <c r="F9296" s="2350">
        <v>5</v>
      </c>
    </row>
    <row r="9297" spans="1:6" ht="15" customHeight="1" x14ac:dyDescent="0.25">
      <c r="A9297" s="2349" t="s">
        <v>5996</v>
      </c>
      <c r="B9297" s="2349" t="s">
        <v>5950</v>
      </c>
      <c r="C9297" s="2349" t="s">
        <v>5950</v>
      </c>
      <c r="D9297" s="2349" t="s">
        <v>5996</v>
      </c>
      <c r="E9297" s="2350">
        <v>63</v>
      </c>
      <c r="F9297" s="2350">
        <v>20</v>
      </c>
    </row>
    <row r="9298" spans="1:6" ht="15" customHeight="1" x14ac:dyDescent="0.25">
      <c r="A9298" s="2349" t="s">
        <v>5997</v>
      </c>
      <c r="B9298" s="2349" t="s">
        <v>5950</v>
      </c>
      <c r="C9298" s="2349" t="s">
        <v>5950</v>
      </c>
      <c r="D9298" s="2349" t="s">
        <v>5998</v>
      </c>
      <c r="E9298" s="2350">
        <v>100</v>
      </c>
      <c r="F9298" s="2350">
        <v>20</v>
      </c>
    </row>
    <row r="9299" spans="1:6" ht="15" customHeight="1" x14ac:dyDescent="0.25">
      <c r="A9299" s="2349" t="s">
        <v>5997</v>
      </c>
      <c r="B9299" s="2349" t="s">
        <v>5950</v>
      </c>
      <c r="C9299" s="2349" t="s">
        <v>5950</v>
      </c>
      <c r="D9299" s="2349" t="s">
        <v>5997</v>
      </c>
      <c r="E9299" s="2350">
        <v>100</v>
      </c>
      <c r="F9299" s="2350">
        <v>20</v>
      </c>
    </row>
    <row r="9300" spans="1:6" ht="15" customHeight="1" x14ac:dyDescent="0.25">
      <c r="A9300" s="2349" t="s">
        <v>5999</v>
      </c>
      <c r="B9300" s="2349" t="s">
        <v>5950</v>
      </c>
      <c r="C9300" s="2349" t="s">
        <v>5950</v>
      </c>
      <c r="D9300" s="2349" t="s">
        <v>5999</v>
      </c>
      <c r="E9300" s="2350">
        <v>160</v>
      </c>
      <c r="F9300" s="2350">
        <v>10</v>
      </c>
    </row>
    <row r="9301" spans="1:6" ht="15" customHeight="1" x14ac:dyDescent="0.25">
      <c r="A9301" s="2349" t="s">
        <v>19531</v>
      </c>
      <c r="B9301" s="2349" t="s">
        <v>5950</v>
      </c>
      <c r="C9301" s="2349" t="s">
        <v>5950</v>
      </c>
      <c r="D9301" s="2349" t="s">
        <v>6000</v>
      </c>
      <c r="E9301" s="2350">
        <v>160</v>
      </c>
      <c r="F9301" s="2350">
        <v>50</v>
      </c>
    </row>
    <row r="9302" spans="1:6" ht="15" customHeight="1" x14ac:dyDescent="0.25">
      <c r="A9302" s="2349" t="s">
        <v>19531</v>
      </c>
      <c r="B9302" s="2349" t="s">
        <v>5950</v>
      </c>
      <c r="C9302" s="2349" t="s">
        <v>5950</v>
      </c>
      <c r="D9302" s="2349" t="s">
        <v>6001</v>
      </c>
      <c r="E9302" s="2350">
        <v>160</v>
      </c>
      <c r="F9302" s="2350">
        <v>30</v>
      </c>
    </row>
    <row r="9303" spans="1:6" ht="15" customHeight="1" x14ac:dyDescent="0.25">
      <c r="A9303" s="2349" t="s">
        <v>19532</v>
      </c>
      <c r="B9303" s="2349" t="s">
        <v>5950</v>
      </c>
      <c r="C9303" s="2349" t="s">
        <v>5950</v>
      </c>
      <c r="D9303" s="2349" t="s">
        <v>6002</v>
      </c>
      <c r="E9303" s="2350">
        <v>160</v>
      </c>
      <c r="F9303" s="2350">
        <v>80</v>
      </c>
    </row>
    <row r="9304" spans="1:6" ht="15" customHeight="1" x14ac:dyDescent="0.25">
      <c r="A9304" s="2349" t="s">
        <v>19533</v>
      </c>
      <c r="B9304" s="2349" t="s">
        <v>5950</v>
      </c>
      <c r="C9304" s="2349" t="s">
        <v>5950</v>
      </c>
      <c r="D9304" s="2349" t="s">
        <v>6003</v>
      </c>
      <c r="E9304" s="2350">
        <v>400</v>
      </c>
      <c r="F9304" s="2350">
        <v>60</v>
      </c>
    </row>
    <row r="9305" spans="1:6" ht="15" customHeight="1" x14ac:dyDescent="0.25">
      <c r="A9305" s="2349" t="s">
        <v>18988</v>
      </c>
      <c r="B9305" s="2349" t="s">
        <v>5950</v>
      </c>
      <c r="C9305" s="2349" t="s">
        <v>5950</v>
      </c>
      <c r="D9305" s="2349" t="s">
        <v>6004</v>
      </c>
      <c r="E9305" s="2350">
        <v>63</v>
      </c>
      <c r="F9305" s="2350">
        <v>40</v>
      </c>
    </row>
    <row r="9306" spans="1:6" ht="15" customHeight="1" x14ac:dyDescent="0.25">
      <c r="A9306" s="2349" t="s">
        <v>19531</v>
      </c>
      <c r="B9306" s="2349" t="s">
        <v>5950</v>
      </c>
      <c r="C9306" s="2349" t="s">
        <v>5950</v>
      </c>
      <c r="D9306" s="2349" t="s">
        <v>6005</v>
      </c>
      <c r="E9306" s="2350" t="s">
        <v>5551</v>
      </c>
      <c r="F9306" s="2350" t="s">
        <v>19534</v>
      </c>
    </row>
    <row r="9307" spans="1:6" ht="15" customHeight="1" x14ac:dyDescent="0.25">
      <c r="A9307" s="2349" t="s">
        <v>6006</v>
      </c>
      <c r="B9307" s="2349" t="s">
        <v>5950</v>
      </c>
      <c r="C9307" s="2349" t="s">
        <v>5950</v>
      </c>
      <c r="D9307" s="2349" t="s">
        <v>6006</v>
      </c>
      <c r="E9307" s="2350">
        <v>100</v>
      </c>
      <c r="F9307" s="2350">
        <v>20</v>
      </c>
    </row>
    <row r="9308" spans="1:6" ht="15" customHeight="1" x14ac:dyDescent="0.25">
      <c r="A9308" s="2349" t="s">
        <v>6007</v>
      </c>
      <c r="B9308" s="2349" t="s">
        <v>5950</v>
      </c>
      <c r="C9308" s="2349" t="s">
        <v>5950</v>
      </c>
      <c r="D9308" s="2349" t="s">
        <v>6007</v>
      </c>
      <c r="E9308" s="2350">
        <v>60</v>
      </c>
      <c r="F9308" s="2350">
        <v>20</v>
      </c>
    </row>
    <row r="9309" spans="1:6" ht="15" customHeight="1" x14ac:dyDescent="0.25">
      <c r="A9309" s="2349" t="s">
        <v>6008</v>
      </c>
      <c r="B9309" s="2349" t="s">
        <v>5950</v>
      </c>
      <c r="C9309" s="2349" t="s">
        <v>5950</v>
      </c>
      <c r="D9309" s="2349" t="s">
        <v>6008</v>
      </c>
      <c r="E9309" s="2350">
        <v>60</v>
      </c>
      <c r="F9309" s="2350">
        <v>10</v>
      </c>
    </row>
    <row r="9310" spans="1:6" ht="15" customHeight="1" x14ac:dyDescent="0.25">
      <c r="A9310" s="2349" t="s">
        <v>6009</v>
      </c>
      <c r="B9310" s="2349" t="s">
        <v>5950</v>
      </c>
      <c r="C9310" s="2349" t="s">
        <v>5950</v>
      </c>
      <c r="D9310" s="2349" t="s">
        <v>6009</v>
      </c>
      <c r="E9310" s="2350">
        <v>30</v>
      </c>
      <c r="F9310" s="2350">
        <v>5</v>
      </c>
    </row>
    <row r="9311" spans="1:6" ht="15" customHeight="1" x14ac:dyDescent="0.25">
      <c r="A9311" s="2349" t="s">
        <v>6010</v>
      </c>
      <c r="B9311" s="2349" t="s">
        <v>5950</v>
      </c>
      <c r="C9311" s="2349" t="s">
        <v>5950</v>
      </c>
      <c r="D9311" s="2349" t="s">
        <v>6010</v>
      </c>
      <c r="E9311" s="2350">
        <v>160</v>
      </c>
      <c r="F9311" s="2350">
        <v>50</v>
      </c>
    </row>
    <row r="9312" spans="1:6" ht="15" customHeight="1" x14ac:dyDescent="0.25">
      <c r="A9312" s="2349" t="s">
        <v>6011</v>
      </c>
      <c r="B9312" s="2349" t="s">
        <v>5950</v>
      </c>
      <c r="C9312" s="2349" t="s">
        <v>5950</v>
      </c>
      <c r="D9312" s="2349" t="s">
        <v>6011</v>
      </c>
      <c r="E9312" s="2350">
        <v>100</v>
      </c>
      <c r="F9312" s="2350">
        <v>30</v>
      </c>
    </row>
    <row r="9313" spans="1:6" ht="15" customHeight="1" x14ac:dyDescent="0.25">
      <c r="A9313" s="2349" t="s">
        <v>19535</v>
      </c>
      <c r="B9313" s="2349" t="s">
        <v>5950</v>
      </c>
      <c r="C9313" s="2349" t="s">
        <v>5950</v>
      </c>
      <c r="D9313" s="2349" t="s">
        <v>6012</v>
      </c>
      <c r="E9313" s="2350">
        <v>250</v>
      </c>
      <c r="F9313" s="2350">
        <v>100</v>
      </c>
    </row>
    <row r="9314" spans="1:6" ht="15" customHeight="1" x14ac:dyDescent="0.25">
      <c r="A9314" s="2349" t="s">
        <v>19535</v>
      </c>
      <c r="B9314" s="2349" t="s">
        <v>5950</v>
      </c>
      <c r="C9314" s="2349" t="s">
        <v>5950</v>
      </c>
      <c r="D9314" s="2349" t="s">
        <v>6013</v>
      </c>
      <c r="E9314" s="2350">
        <v>250</v>
      </c>
      <c r="F9314" s="2350">
        <v>50</v>
      </c>
    </row>
    <row r="9315" spans="1:6" ht="15" customHeight="1" x14ac:dyDescent="0.25">
      <c r="A9315" s="2349" t="s">
        <v>19535</v>
      </c>
      <c r="B9315" s="2349" t="s">
        <v>5950</v>
      </c>
      <c r="C9315" s="2349" t="s">
        <v>5950</v>
      </c>
      <c r="D9315" s="2349" t="s">
        <v>6014</v>
      </c>
      <c r="E9315" s="2350">
        <v>160</v>
      </c>
      <c r="F9315" s="2350">
        <v>10</v>
      </c>
    </row>
    <row r="9316" spans="1:6" ht="15" customHeight="1" x14ac:dyDescent="0.25">
      <c r="A9316" s="2349" t="s">
        <v>6015</v>
      </c>
      <c r="B9316" s="2349" t="s">
        <v>5950</v>
      </c>
      <c r="C9316" s="2349" t="s">
        <v>5950</v>
      </c>
      <c r="D9316" s="2349" t="s">
        <v>6016</v>
      </c>
      <c r="E9316" s="2350">
        <v>100</v>
      </c>
      <c r="F9316" s="2350">
        <v>80</v>
      </c>
    </row>
    <row r="9317" spans="1:6" ht="15" customHeight="1" x14ac:dyDescent="0.25">
      <c r="A9317" s="2349" t="s">
        <v>6017</v>
      </c>
      <c r="B9317" s="2349" t="s">
        <v>5950</v>
      </c>
      <c r="C9317" s="2349" t="s">
        <v>5950</v>
      </c>
      <c r="D9317" s="2349" t="s">
        <v>6017</v>
      </c>
      <c r="E9317" s="2350">
        <v>100</v>
      </c>
      <c r="F9317" s="2350">
        <v>30</v>
      </c>
    </row>
    <row r="9318" spans="1:6" ht="15" customHeight="1" x14ac:dyDescent="0.25">
      <c r="A9318" s="2349" t="s">
        <v>6018</v>
      </c>
      <c r="B9318" s="2349" t="s">
        <v>5950</v>
      </c>
      <c r="C9318" s="2349" t="s">
        <v>5950</v>
      </c>
      <c r="D9318" s="2349" t="s">
        <v>6018</v>
      </c>
      <c r="E9318" s="2350">
        <v>30</v>
      </c>
      <c r="F9318" s="2350">
        <v>5</v>
      </c>
    </row>
    <row r="9319" spans="1:6" ht="15" customHeight="1" x14ac:dyDescent="0.25">
      <c r="A9319" s="2349" t="s">
        <v>6019</v>
      </c>
      <c r="B9319" s="2349" t="s">
        <v>5950</v>
      </c>
      <c r="C9319" s="2349" t="s">
        <v>5950</v>
      </c>
      <c r="D9319" s="2349" t="s">
        <v>6019</v>
      </c>
      <c r="E9319" s="2350">
        <v>100</v>
      </c>
      <c r="F9319" s="2350">
        <v>30</v>
      </c>
    </row>
    <row r="9320" spans="1:6" ht="15" customHeight="1" x14ac:dyDescent="0.25">
      <c r="A9320" s="2349" t="s">
        <v>19535</v>
      </c>
      <c r="B9320" s="2349" t="s">
        <v>5950</v>
      </c>
      <c r="C9320" s="2349" t="s">
        <v>5950</v>
      </c>
      <c r="D9320" s="2349" t="s">
        <v>6020</v>
      </c>
      <c r="E9320" s="2350">
        <v>400</v>
      </c>
      <c r="F9320" s="2350">
        <v>200</v>
      </c>
    </row>
    <row r="9321" spans="1:6" ht="15" customHeight="1" x14ac:dyDescent="0.25">
      <c r="A9321" s="2349" t="s">
        <v>6015</v>
      </c>
      <c r="B9321" s="2349" t="s">
        <v>5950</v>
      </c>
      <c r="C9321" s="2349" t="s">
        <v>5950</v>
      </c>
      <c r="D9321" s="2349" t="s">
        <v>6015</v>
      </c>
      <c r="E9321" s="2350">
        <v>250</v>
      </c>
      <c r="F9321" s="2350">
        <v>100</v>
      </c>
    </row>
    <row r="9322" spans="1:6" ht="15" customHeight="1" x14ac:dyDescent="0.25">
      <c r="A9322" s="2349" t="s">
        <v>19536</v>
      </c>
      <c r="B9322" s="2349" t="s">
        <v>5950</v>
      </c>
      <c r="C9322" s="2349" t="s">
        <v>5950</v>
      </c>
      <c r="D9322" s="2349" t="s">
        <v>6021</v>
      </c>
      <c r="E9322" s="2350">
        <v>250</v>
      </c>
      <c r="F9322" s="2350">
        <v>200</v>
      </c>
    </row>
    <row r="9323" spans="1:6" ht="15" customHeight="1" x14ac:dyDescent="0.25">
      <c r="A9323" s="2349" t="s">
        <v>19536</v>
      </c>
      <c r="B9323" s="2349" t="s">
        <v>5950</v>
      </c>
      <c r="C9323" s="2349" t="s">
        <v>5950</v>
      </c>
      <c r="D9323" s="2349" t="s">
        <v>6022</v>
      </c>
      <c r="E9323" s="2350">
        <v>160</v>
      </c>
      <c r="F9323" s="2350">
        <v>100</v>
      </c>
    </row>
    <row r="9324" spans="1:6" ht="15" customHeight="1" x14ac:dyDescent="0.25">
      <c r="A9324" s="2349" t="s">
        <v>19536</v>
      </c>
      <c r="B9324" s="2349" t="s">
        <v>5950</v>
      </c>
      <c r="C9324" s="2349" t="s">
        <v>5950</v>
      </c>
      <c r="D9324" s="2349" t="s">
        <v>6023</v>
      </c>
      <c r="E9324" s="2350">
        <v>100</v>
      </c>
      <c r="F9324" s="2350">
        <v>10</v>
      </c>
    </row>
    <row r="9325" spans="1:6" ht="15" customHeight="1" x14ac:dyDescent="0.25">
      <c r="A9325" s="2349" t="s">
        <v>19536</v>
      </c>
      <c r="B9325" s="2349" t="s">
        <v>5950</v>
      </c>
      <c r="C9325" s="2349" t="s">
        <v>5950</v>
      </c>
      <c r="D9325" s="2349" t="s">
        <v>6024</v>
      </c>
      <c r="E9325" s="2350">
        <v>160</v>
      </c>
      <c r="F9325" s="2350">
        <v>50</v>
      </c>
    </row>
    <row r="9326" spans="1:6" ht="15" customHeight="1" x14ac:dyDescent="0.25">
      <c r="A9326" s="2349" t="s">
        <v>19536</v>
      </c>
      <c r="B9326" s="2349" t="s">
        <v>5950</v>
      </c>
      <c r="C9326" s="2349" t="s">
        <v>5950</v>
      </c>
      <c r="D9326" s="2349" t="s">
        <v>6025</v>
      </c>
      <c r="E9326" s="2350">
        <v>250</v>
      </c>
      <c r="F9326" s="2350">
        <v>100</v>
      </c>
    </row>
    <row r="9327" spans="1:6" ht="15" customHeight="1" x14ac:dyDescent="0.25">
      <c r="A9327" s="2349" t="s">
        <v>19536</v>
      </c>
      <c r="B9327" s="2349" t="s">
        <v>5950</v>
      </c>
      <c r="C9327" s="2349" t="s">
        <v>5950</v>
      </c>
      <c r="D9327" s="2349" t="s">
        <v>6026</v>
      </c>
      <c r="E9327" s="2350" t="s">
        <v>6027</v>
      </c>
      <c r="F9327" s="2350">
        <v>400</v>
      </c>
    </row>
    <row r="9328" spans="1:6" ht="15" customHeight="1" x14ac:dyDescent="0.25">
      <c r="A9328" s="2349" t="s">
        <v>6028</v>
      </c>
      <c r="B9328" s="2349" t="s">
        <v>5950</v>
      </c>
      <c r="C9328" s="2349" t="s">
        <v>5950</v>
      </c>
      <c r="D9328" s="2349" t="s">
        <v>6028</v>
      </c>
      <c r="E9328" s="2350">
        <v>60</v>
      </c>
      <c r="F9328" s="2350">
        <v>30</v>
      </c>
    </row>
    <row r="9329" spans="1:6" ht="15" customHeight="1" x14ac:dyDescent="0.25">
      <c r="A9329" s="2349" t="s">
        <v>6029</v>
      </c>
      <c r="B9329" s="2349" t="s">
        <v>5950</v>
      </c>
      <c r="C9329" s="2349" t="s">
        <v>5950</v>
      </c>
      <c r="D9329" s="2349" t="s">
        <v>6029</v>
      </c>
      <c r="E9329" s="2350">
        <v>100</v>
      </c>
      <c r="F9329" s="2350">
        <v>30</v>
      </c>
    </row>
    <row r="9330" spans="1:6" ht="15" customHeight="1" x14ac:dyDescent="0.25">
      <c r="A9330" s="2349" t="s">
        <v>6030</v>
      </c>
      <c r="B9330" s="2349" t="s">
        <v>5950</v>
      </c>
      <c r="C9330" s="2349" t="s">
        <v>5950</v>
      </c>
      <c r="D9330" s="2349" t="s">
        <v>6030</v>
      </c>
      <c r="E9330" s="2350">
        <v>60</v>
      </c>
      <c r="F9330" s="2350">
        <v>10</v>
      </c>
    </row>
    <row r="9331" spans="1:6" ht="15" customHeight="1" x14ac:dyDescent="0.25">
      <c r="A9331" s="2349" t="s">
        <v>6031</v>
      </c>
      <c r="B9331" s="2349" t="s">
        <v>5950</v>
      </c>
      <c r="C9331" s="2349" t="s">
        <v>5950</v>
      </c>
      <c r="D9331" s="2349" t="s">
        <v>6031</v>
      </c>
      <c r="E9331" s="2350">
        <v>30</v>
      </c>
      <c r="F9331" s="2350">
        <v>5</v>
      </c>
    </row>
    <row r="9332" spans="1:6" ht="15" customHeight="1" x14ac:dyDescent="0.25">
      <c r="A9332" s="2349" t="s">
        <v>6032</v>
      </c>
      <c r="B9332" s="2349" t="s">
        <v>5950</v>
      </c>
      <c r="C9332" s="2349" t="s">
        <v>5950</v>
      </c>
      <c r="D9332" s="2349" t="s">
        <v>6032</v>
      </c>
      <c r="E9332" s="2350">
        <v>100</v>
      </c>
      <c r="F9332" s="2350">
        <v>20</v>
      </c>
    </row>
    <row r="9333" spans="1:6" ht="15" customHeight="1" x14ac:dyDescent="0.25">
      <c r="A9333" s="2349" t="s">
        <v>6033</v>
      </c>
      <c r="B9333" s="2349" t="s">
        <v>5950</v>
      </c>
      <c r="C9333" s="2349" t="s">
        <v>5950</v>
      </c>
      <c r="D9333" s="2349" t="s">
        <v>6033</v>
      </c>
      <c r="E9333" s="2350">
        <v>10</v>
      </c>
      <c r="F9333" s="2350">
        <v>0</v>
      </c>
    </row>
    <row r="9334" spans="1:6" ht="15" customHeight="1" x14ac:dyDescent="0.25">
      <c r="A9334" s="2349" t="s">
        <v>6034</v>
      </c>
      <c r="B9334" s="2349" t="s">
        <v>5950</v>
      </c>
      <c r="C9334" s="2349" t="s">
        <v>5950</v>
      </c>
      <c r="D9334" s="2349" t="s">
        <v>6034</v>
      </c>
      <c r="E9334" s="2350">
        <v>10</v>
      </c>
      <c r="F9334" s="2350">
        <v>0</v>
      </c>
    </row>
    <row r="9335" spans="1:6" ht="15" customHeight="1" x14ac:dyDescent="0.25">
      <c r="A9335" s="2349" t="s">
        <v>6035</v>
      </c>
      <c r="B9335" s="2349" t="s">
        <v>5950</v>
      </c>
      <c r="C9335" s="2349" t="s">
        <v>5950</v>
      </c>
      <c r="D9335" s="2349" t="s">
        <v>6035</v>
      </c>
      <c r="E9335" s="2350">
        <v>63</v>
      </c>
      <c r="F9335" s="2350">
        <v>10</v>
      </c>
    </row>
    <row r="9336" spans="1:6" ht="15" customHeight="1" x14ac:dyDescent="0.25">
      <c r="A9336" s="2349" t="s">
        <v>6036</v>
      </c>
      <c r="B9336" s="2349" t="s">
        <v>5950</v>
      </c>
      <c r="C9336" s="2349" t="s">
        <v>5950</v>
      </c>
      <c r="D9336" s="2349" t="s">
        <v>6036</v>
      </c>
      <c r="E9336" s="2350">
        <v>30</v>
      </c>
      <c r="F9336" s="2350">
        <v>5</v>
      </c>
    </row>
    <row r="9337" spans="1:6" ht="15" customHeight="1" x14ac:dyDescent="0.25">
      <c r="A9337" s="2349" t="s">
        <v>6037</v>
      </c>
      <c r="B9337" s="2349" t="s">
        <v>5950</v>
      </c>
      <c r="C9337" s="2349" t="s">
        <v>5950</v>
      </c>
      <c r="D9337" s="2349" t="s">
        <v>6038</v>
      </c>
      <c r="E9337" s="2350">
        <v>40</v>
      </c>
      <c r="F9337" s="2350">
        <v>5</v>
      </c>
    </row>
    <row r="9338" spans="1:6" ht="15" customHeight="1" x14ac:dyDescent="0.25">
      <c r="A9338" s="2349" t="s">
        <v>6037</v>
      </c>
      <c r="B9338" s="2349" t="s">
        <v>5950</v>
      </c>
      <c r="C9338" s="2349" t="s">
        <v>5950</v>
      </c>
      <c r="D9338" s="2349" t="s">
        <v>6039</v>
      </c>
      <c r="E9338" s="2350">
        <v>100</v>
      </c>
      <c r="F9338" s="2350">
        <v>40</v>
      </c>
    </row>
    <row r="9339" spans="1:6" ht="15" customHeight="1" x14ac:dyDescent="0.25">
      <c r="A9339" s="2349" t="s">
        <v>6040</v>
      </c>
      <c r="B9339" s="2349" t="s">
        <v>5950</v>
      </c>
      <c r="C9339" s="2349" t="s">
        <v>5950</v>
      </c>
      <c r="D9339" s="2349" t="s">
        <v>6040</v>
      </c>
      <c r="E9339" s="2350">
        <v>100</v>
      </c>
      <c r="F9339" s="2350">
        <v>80</v>
      </c>
    </row>
    <row r="9340" spans="1:6" ht="15" customHeight="1" x14ac:dyDescent="0.25">
      <c r="A9340" s="2349" t="s">
        <v>6041</v>
      </c>
      <c r="B9340" s="2349" t="s">
        <v>5950</v>
      </c>
      <c r="C9340" s="2349" t="s">
        <v>5950</v>
      </c>
      <c r="D9340" s="2349" t="s">
        <v>6041</v>
      </c>
      <c r="E9340" s="2350">
        <v>25</v>
      </c>
      <c r="F9340" s="2350">
        <v>0</v>
      </c>
    </row>
    <row r="9341" spans="1:6" ht="15" customHeight="1" x14ac:dyDescent="0.25">
      <c r="A9341" s="2349" t="s">
        <v>6042</v>
      </c>
      <c r="B9341" s="2349" t="s">
        <v>5950</v>
      </c>
      <c r="C9341" s="2349" t="s">
        <v>5950</v>
      </c>
      <c r="D9341" s="2349" t="s">
        <v>6042</v>
      </c>
      <c r="E9341" s="2350">
        <v>100</v>
      </c>
      <c r="F9341" s="2350">
        <v>18</v>
      </c>
    </row>
    <row r="9342" spans="1:6" ht="15" customHeight="1" x14ac:dyDescent="0.25">
      <c r="A9342" s="2349" t="s">
        <v>19537</v>
      </c>
      <c r="B9342" s="2349" t="s">
        <v>5950</v>
      </c>
      <c r="C9342" s="2349" t="s">
        <v>5950</v>
      </c>
      <c r="D9342" s="2349" t="s">
        <v>6043</v>
      </c>
      <c r="E9342" s="2350">
        <v>160</v>
      </c>
      <c r="F9342" s="2350">
        <v>150</v>
      </c>
    </row>
    <row r="9343" spans="1:6" ht="15" customHeight="1" x14ac:dyDescent="0.25">
      <c r="A9343" s="2349" t="s">
        <v>19537</v>
      </c>
      <c r="B9343" s="2349" t="s">
        <v>5950</v>
      </c>
      <c r="C9343" s="2349" t="s">
        <v>5950</v>
      </c>
      <c r="D9343" s="2349" t="s">
        <v>6044</v>
      </c>
      <c r="E9343" s="2350" t="s">
        <v>4199</v>
      </c>
      <c r="F9343" s="2350" t="s">
        <v>19538</v>
      </c>
    </row>
    <row r="9344" spans="1:6" ht="15" customHeight="1" x14ac:dyDescent="0.25">
      <c r="A9344" s="2349" t="s">
        <v>6045</v>
      </c>
      <c r="B9344" s="2349" t="s">
        <v>5950</v>
      </c>
      <c r="C9344" s="2349" t="s">
        <v>5950</v>
      </c>
      <c r="D9344" s="2349" t="s">
        <v>6045</v>
      </c>
      <c r="E9344" s="2350">
        <v>100</v>
      </c>
      <c r="F9344" s="2350">
        <v>25</v>
      </c>
    </row>
    <row r="9345" spans="1:6" ht="15" customHeight="1" x14ac:dyDescent="0.25">
      <c r="A9345" s="2349" t="s">
        <v>19537</v>
      </c>
      <c r="B9345" s="2349" t="s">
        <v>5950</v>
      </c>
      <c r="C9345" s="2349" t="s">
        <v>5950</v>
      </c>
      <c r="D9345" s="2349" t="s">
        <v>6046</v>
      </c>
      <c r="E9345" s="2350" t="s">
        <v>4200</v>
      </c>
      <c r="F9345" s="2350" t="s">
        <v>4201</v>
      </c>
    </row>
    <row r="9346" spans="1:6" ht="15" customHeight="1" x14ac:dyDescent="0.25">
      <c r="A9346" s="2349" t="s">
        <v>19537</v>
      </c>
      <c r="B9346" s="2349" t="s">
        <v>5950</v>
      </c>
      <c r="C9346" s="2349" t="s">
        <v>5950</v>
      </c>
      <c r="D9346" s="2349" t="s">
        <v>6047</v>
      </c>
      <c r="E9346" s="2350" t="s">
        <v>5551</v>
      </c>
      <c r="F9346" s="2350" t="s">
        <v>4201</v>
      </c>
    </row>
    <row r="9347" spans="1:6" ht="15" customHeight="1" x14ac:dyDescent="0.25">
      <c r="A9347" s="2349" t="s">
        <v>19537</v>
      </c>
      <c r="B9347" s="2349" t="s">
        <v>5950</v>
      </c>
      <c r="C9347" s="2349" t="s">
        <v>5950</v>
      </c>
      <c r="D9347" s="2349" t="s">
        <v>6048</v>
      </c>
      <c r="E9347" s="2350" t="s">
        <v>5551</v>
      </c>
      <c r="F9347" s="2350" t="s">
        <v>4201</v>
      </c>
    </row>
    <row r="9348" spans="1:6" ht="15" customHeight="1" x14ac:dyDescent="0.25">
      <c r="A9348" s="2349" t="s">
        <v>6049</v>
      </c>
      <c r="B9348" s="2349" t="s">
        <v>5950</v>
      </c>
      <c r="C9348" s="2349" t="s">
        <v>5950</v>
      </c>
      <c r="D9348" s="2349" t="s">
        <v>6049</v>
      </c>
      <c r="E9348" s="2350">
        <v>25</v>
      </c>
      <c r="F9348" s="2350">
        <v>15</v>
      </c>
    </row>
    <row r="9349" spans="1:6" ht="15" customHeight="1" x14ac:dyDescent="0.25">
      <c r="A9349" s="2349" t="s">
        <v>6050</v>
      </c>
      <c r="B9349" s="2349" t="s">
        <v>5950</v>
      </c>
      <c r="C9349" s="2349" t="s">
        <v>5950</v>
      </c>
      <c r="D9349" s="2349" t="s">
        <v>6050</v>
      </c>
      <c r="E9349" s="2350">
        <v>60</v>
      </c>
      <c r="F9349" s="2350">
        <v>20</v>
      </c>
    </row>
    <row r="9350" spans="1:6" ht="15" customHeight="1" x14ac:dyDescent="0.25">
      <c r="A9350" s="2349" t="s">
        <v>6051</v>
      </c>
      <c r="B9350" s="2349" t="s">
        <v>5950</v>
      </c>
      <c r="C9350" s="2349" t="s">
        <v>5950</v>
      </c>
      <c r="D9350" s="2349" t="s">
        <v>6051</v>
      </c>
      <c r="E9350" s="2350">
        <v>63</v>
      </c>
      <c r="F9350" s="2350">
        <v>5</v>
      </c>
    </row>
    <row r="9351" spans="1:6" ht="15" customHeight="1" x14ac:dyDescent="0.25">
      <c r="A9351" s="2349" t="s">
        <v>6052</v>
      </c>
      <c r="B9351" s="2349" t="s">
        <v>5950</v>
      </c>
      <c r="C9351" s="2349" t="s">
        <v>5950</v>
      </c>
      <c r="D9351" s="2349" t="s">
        <v>6052</v>
      </c>
      <c r="E9351" s="2350">
        <v>100</v>
      </c>
      <c r="F9351" s="2350">
        <v>10</v>
      </c>
    </row>
    <row r="9352" spans="1:6" ht="15" customHeight="1" x14ac:dyDescent="0.25">
      <c r="A9352" s="2349" t="s">
        <v>19539</v>
      </c>
      <c r="B9352" s="2349" t="s">
        <v>5950</v>
      </c>
      <c r="C9352" s="2349" t="s">
        <v>5950</v>
      </c>
      <c r="D9352" s="2349" t="s">
        <v>6053</v>
      </c>
      <c r="E9352" s="2350">
        <v>160</v>
      </c>
      <c r="F9352" s="2350">
        <v>100</v>
      </c>
    </row>
    <row r="9353" spans="1:6" ht="15" customHeight="1" x14ac:dyDescent="0.25">
      <c r="A9353" s="2349" t="s">
        <v>19540</v>
      </c>
      <c r="B9353" s="2349" t="s">
        <v>5950</v>
      </c>
      <c r="C9353" s="2349" t="s">
        <v>5950</v>
      </c>
      <c r="D9353" s="2349" t="s">
        <v>6054</v>
      </c>
      <c r="E9353" s="2350">
        <v>100</v>
      </c>
      <c r="F9353" s="2350">
        <v>50</v>
      </c>
    </row>
    <row r="9354" spans="1:6" ht="15" customHeight="1" x14ac:dyDescent="0.25">
      <c r="A9354" s="2349" t="s">
        <v>6055</v>
      </c>
      <c r="B9354" s="2349" t="s">
        <v>5950</v>
      </c>
      <c r="C9354" s="2349" t="s">
        <v>5950</v>
      </c>
      <c r="D9354" s="2349" t="s">
        <v>6055</v>
      </c>
      <c r="E9354" s="2350">
        <v>10</v>
      </c>
      <c r="F9354" s="2350">
        <v>5</v>
      </c>
    </row>
    <row r="9355" spans="1:6" ht="15" customHeight="1" x14ac:dyDescent="0.25">
      <c r="A9355" s="2349" t="s">
        <v>6056</v>
      </c>
      <c r="B9355" s="2349" t="s">
        <v>5950</v>
      </c>
      <c r="C9355" s="2349" t="s">
        <v>5950</v>
      </c>
      <c r="D9355" s="2349" t="s">
        <v>6057</v>
      </c>
      <c r="E9355" s="2350">
        <v>60</v>
      </c>
      <c r="F9355" s="2350">
        <v>55</v>
      </c>
    </row>
    <row r="9356" spans="1:6" ht="15" customHeight="1" x14ac:dyDescent="0.25">
      <c r="A9356" s="2349" t="s">
        <v>6056</v>
      </c>
      <c r="B9356" s="2349" t="s">
        <v>5950</v>
      </c>
      <c r="C9356" s="2349" t="s">
        <v>5950</v>
      </c>
      <c r="D9356" s="2349" t="s">
        <v>6058</v>
      </c>
      <c r="E9356" s="2350">
        <v>160</v>
      </c>
      <c r="F9356" s="2350">
        <v>20</v>
      </c>
    </row>
    <row r="9357" spans="1:6" ht="15" customHeight="1" x14ac:dyDescent="0.25">
      <c r="A9357" s="2349" t="s">
        <v>6056</v>
      </c>
      <c r="B9357" s="2349" t="s">
        <v>5950</v>
      </c>
      <c r="C9357" s="2349" t="s">
        <v>5950</v>
      </c>
      <c r="D9357" s="2349" t="s">
        <v>6059</v>
      </c>
      <c r="E9357" s="2350">
        <v>100</v>
      </c>
      <c r="F9357" s="2350">
        <v>20</v>
      </c>
    </row>
    <row r="9358" spans="1:6" ht="15" customHeight="1" x14ac:dyDescent="0.25">
      <c r="A9358" s="2349" t="s">
        <v>6056</v>
      </c>
      <c r="B9358" s="2349" t="s">
        <v>5950</v>
      </c>
      <c r="C9358" s="2349" t="s">
        <v>5950</v>
      </c>
      <c r="D9358" s="2349" t="s">
        <v>6060</v>
      </c>
      <c r="E9358" s="2350">
        <v>160</v>
      </c>
      <c r="F9358" s="2350">
        <v>20</v>
      </c>
    </row>
    <row r="9359" spans="1:6" ht="15" customHeight="1" x14ac:dyDescent="0.25">
      <c r="A9359" s="2349" t="s">
        <v>6056</v>
      </c>
      <c r="B9359" s="2349" t="s">
        <v>5950</v>
      </c>
      <c r="C9359" s="2349" t="s">
        <v>5950</v>
      </c>
      <c r="D9359" s="2349" t="s">
        <v>6061</v>
      </c>
      <c r="E9359" s="2350">
        <v>160</v>
      </c>
      <c r="F9359" s="2350">
        <v>20</v>
      </c>
    </row>
    <row r="9360" spans="1:6" ht="15" customHeight="1" x14ac:dyDescent="0.25">
      <c r="A9360" s="2349" t="s">
        <v>6062</v>
      </c>
      <c r="B9360" s="2349" t="s">
        <v>5950</v>
      </c>
      <c r="C9360" s="2349" t="s">
        <v>5950</v>
      </c>
      <c r="D9360" s="2349" t="s">
        <v>6062</v>
      </c>
      <c r="E9360" s="2350">
        <v>100</v>
      </c>
      <c r="F9360" s="2350">
        <v>10</v>
      </c>
    </row>
    <row r="9361" spans="1:6" ht="15" customHeight="1" x14ac:dyDescent="0.25">
      <c r="A9361" s="2349" t="s">
        <v>6063</v>
      </c>
      <c r="B9361" s="2349" t="s">
        <v>5950</v>
      </c>
      <c r="C9361" s="2349" t="s">
        <v>5950</v>
      </c>
      <c r="D9361" s="2349" t="s">
        <v>6063</v>
      </c>
      <c r="E9361" s="2350">
        <v>60</v>
      </c>
      <c r="F9361" s="2350">
        <v>20</v>
      </c>
    </row>
    <row r="9362" spans="1:6" ht="15" customHeight="1" x14ac:dyDescent="0.25">
      <c r="A9362" s="2349" t="s">
        <v>6064</v>
      </c>
      <c r="B9362" s="2349" t="s">
        <v>5950</v>
      </c>
      <c r="C9362" s="2349" t="s">
        <v>5950</v>
      </c>
      <c r="D9362" s="2349" t="s">
        <v>6064</v>
      </c>
      <c r="E9362" s="2350">
        <v>60</v>
      </c>
      <c r="F9362" s="2350">
        <v>10</v>
      </c>
    </row>
    <row r="9363" spans="1:6" ht="15" customHeight="1" x14ac:dyDescent="0.25">
      <c r="A9363" s="2349" t="s">
        <v>6056</v>
      </c>
      <c r="B9363" s="2349" t="s">
        <v>5950</v>
      </c>
      <c r="C9363" s="2349" t="s">
        <v>5950</v>
      </c>
      <c r="D9363" s="2349" t="s">
        <v>6065</v>
      </c>
      <c r="E9363" s="2350">
        <v>400</v>
      </c>
      <c r="F9363" s="2350">
        <v>350</v>
      </c>
    </row>
    <row r="9364" spans="1:6" ht="15" customHeight="1" x14ac:dyDescent="0.25">
      <c r="A9364" s="2349" t="s">
        <v>6066</v>
      </c>
      <c r="B9364" s="2349" t="s">
        <v>5950</v>
      </c>
      <c r="C9364" s="2349" t="s">
        <v>5950</v>
      </c>
      <c r="D9364" s="2349" t="s">
        <v>6066</v>
      </c>
      <c r="E9364" s="2350">
        <v>60</v>
      </c>
      <c r="F9364" s="2350">
        <v>10</v>
      </c>
    </row>
    <row r="9365" spans="1:6" ht="15" customHeight="1" x14ac:dyDescent="0.25">
      <c r="A9365" s="2349" t="s">
        <v>6067</v>
      </c>
      <c r="B9365" s="2349" t="s">
        <v>5950</v>
      </c>
      <c r="C9365" s="2349" t="s">
        <v>5950</v>
      </c>
      <c r="D9365" s="2349" t="s">
        <v>6067</v>
      </c>
      <c r="E9365" s="2350">
        <v>160</v>
      </c>
      <c r="F9365" s="2350">
        <v>60</v>
      </c>
    </row>
    <row r="9366" spans="1:6" ht="15" customHeight="1" x14ac:dyDescent="0.25">
      <c r="A9366" s="2349" t="s">
        <v>6068</v>
      </c>
      <c r="B9366" s="2349" t="s">
        <v>5950</v>
      </c>
      <c r="C9366" s="2349" t="s">
        <v>5950</v>
      </c>
      <c r="D9366" s="2349" t="s">
        <v>6068</v>
      </c>
      <c r="E9366" s="2350">
        <v>60</v>
      </c>
      <c r="F9366" s="2350">
        <v>10</v>
      </c>
    </row>
    <row r="9367" spans="1:6" ht="15" customHeight="1" x14ac:dyDescent="0.25">
      <c r="A9367" s="2349" t="s">
        <v>6069</v>
      </c>
      <c r="B9367" s="2349" t="s">
        <v>5950</v>
      </c>
      <c r="C9367" s="2349" t="s">
        <v>5950</v>
      </c>
      <c r="D9367" s="2349" t="s">
        <v>6069</v>
      </c>
      <c r="E9367" s="2350">
        <v>100</v>
      </c>
      <c r="F9367" s="2350">
        <v>50</v>
      </c>
    </row>
    <row r="9368" spans="1:6" ht="15" customHeight="1" x14ac:dyDescent="0.25">
      <c r="A9368" s="2349" t="s">
        <v>6070</v>
      </c>
      <c r="B9368" s="2349" t="s">
        <v>5950</v>
      </c>
      <c r="C9368" s="2349" t="s">
        <v>5950</v>
      </c>
      <c r="D9368" s="2349" t="s">
        <v>6070</v>
      </c>
      <c r="E9368" s="2350">
        <v>60</v>
      </c>
      <c r="F9368" s="2350">
        <v>20</v>
      </c>
    </row>
    <row r="9369" spans="1:6" ht="15" customHeight="1" x14ac:dyDescent="0.25">
      <c r="A9369" s="2349" t="s">
        <v>19541</v>
      </c>
      <c r="B9369" s="2349" t="s">
        <v>5950</v>
      </c>
      <c r="C9369" s="2349" t="s">
        <v>5950</v>
      </c>
      <c r="D9369" s="2349" t="s">
        <v>6071</v>
      </c>
      <c r="E9369" s="2350">
        <v>60</v>
      </c>
      <c r="F9369" s="2350">
        <v>15</v>
      </c>
    </row>
    <row r="9370" spans="1:6" ht="15" customHeight="1" x14ac:dyDescent="0.25">
      <c r="A9370" s="2349" t="s">
        <v>19541</v>
      </c>
      <c r="B9370" s="2349" t="s">
        <v>5950</v>
      </c>
      <c r="C9370" s="2349" t="s">
        <v>5950</v>
      </c>
      <c r="D9370" s="2349" t="s">
        <v>6072</v>
      </c>
      <c r="E9370" s="2350">
        <v>250</v>
      </c>
      <c r="F9370" s="2350">
        <v>150</v>
      </c>
    </row>
    <row r="9371" spans="1:6" ht="15" customHeight="1" x14ac:dyDescent="0.25">
      <c r="A9371" s="2349" t="s">
        <v>6073</v>
      </c>
      <c r="B9371" s="2349" t="s">
        <v>5950</v>
      </c>
      <c r="C9371" s="2349" t="s">
        <v>5950</v>
      </c>
      <c r="D9371" s="2349" t="s">
        <v>6073</v>
      </c>
      <c r="E9371" s="2350">
        <v>60</v>
      </c>
      <c r="F9371" s="2350">
        <v>10</v>
      </c>
    </row>
    <row r="9372" spans="1:6" ht="15" customHeight="1" x14ac:dyDescent="0.25">
      <c r="A9372" s="2349" t="s">
        <v>19542</v>
      </c>
      <c r="B9372" s="2349" t="s">
        <v>5950</v>
      </c>
      <c r="C9372" s="2349" t="s">
        <v>5950</v>
      </c>
      <c r="D9372" s="2349" t="s">
        <v>6074</v>
      </c>
      <c r="E9372" s="2350">
        <v>250</v>
      </c>
      <c r="F9372" s="2350">
        <v>200</v>
      </c>
    </row>
    <row r="9373" spans="1:6" ht="15" customHeight="1" x14ac:dyDescent="0.25">
      <c r="A9373" s="2349" t="s">
        <v>19542</v>
      </c>
      <c r="B9373" s="2349" t="s">
        <v>5950</v>
      </c>
      <c r="C9373" s="2349" t="s">
        <v>5950</v>
      </c>
      <c r="D9373" s="2349" t="s">
        <v>6075</v>
      </c>
      <c r="E9373" s="2350">
        <v>60</v>
      </c>
      <c r="F9373" s="2350">
        <v>10</v>
      </c>
    </row>
    <row r="9374" spans="1:6" ht="15" customHeight="1" x14ac:dyDescent="0.25">
      <c r="A9374" s="2349" t="s">
        <v>6076</v>
      </c>
      <c r="B9374" s="2349" t="s">
        <v>5950</v>
      </c>
      <c r="C9374" s="2349" t="s">
        <v>5950</v>
      </c>
      <c r="D9374" s="2349" t="s">
        <v>6076</v>
      </c>
      <c r="E9374" s="2350">
        <v>60</v>
      </c>
      <c r="F9374" s="2350">
        <v>15</v>
      </c>
    </row>
    <row r="9375" spans="1:6" ht="15" customHeight="1" x14ac:dyDescent="0.25">
      <c r="A9375" s="2349" t="s">
        <v>19542</v>
      </c>
      <c r="B9375" s="2349" t="s">
        <v>5950</v>
      </c>
      <c r="C9375" s="2349" t="s">
        <v>5950</v>
      </c>
      <c r="D9375" s="2349" t="s">
        <v>6077</v>
      </c>
      <c r="E9375" s="2350">
        <v>160</v>
      </c>
      <c r="F9375" s="2350">
        <v>60</v>
      </c>
    </row>
    <row r="9376" spans="1:6" ht="15" customHeight="1" x14ac:dyDescent="0.25">
      <c r="A9376" s="2349" t="s">
        <v>6078</v>
      </c>
      <c r="B9376" s="2349" t="s">
        <v>5950</v>
      </c>
      <c r="C9376" s="2349" t="s">
        <v>5950</v>
      </c>
      <c r="D9376" s="2349" t="s">
        <v>6078</v>
      </c>
      <c r="E9376" s="2350">
        <v>60</v>
      </c>
      <c r="F9376" s="2350">
        <v>10</v>
      </c>
    </row>
    <row r="9377" spans="1:6" ht="15" customHeight="1" x14ac:dyDescent="0.25">
      <c r="A9377" s="2349" t="s">
        <v>6079</v>
      </c>
      <c r="B9377" s="2349" t="s">
        <v>5950</v>
      </c>
      <c r="C9377" s="2349" t="s">
        <v>5950</v>
      </c>
      <c r="D9377" s="2349" t="s">
        <v>6079</v>
      </c>
      <c r="E9377" s="2350">
        <v>60</v>
      </c>
      <c r="F9377" s="2350">
        <v>10</v>
      </c>
    </row>
    <row r="9378" spans="1:6" ht="15" customHeight="1" x14ac:dyDescent="0.25">
      <c r="A9378" s="2349" t="s">
        <v>6080</v>
      </c>
      <c r="B9378" s="2349" t="s">
        <v>5950</v>
      </c>
      <c r="C9378" s="2349" t="s">
        <v>5950</v>
      </c>
      <c r="D9378" s="2349" t="s">
        <v>6080</v>
      </c>
      <c r="E9378" s="2350">
        <v>160</v>
      </c>
      <c r="F9378" s="2350">
        <v>60</v>
      </c>
    </row>
    <row r="9379" spans="1:6" ht="15" customHeight="1" x14ac:dyDescent="0.25">
      <c r="A9379" s="2349" t="s">
        <v>6081</v>
      </c>
      <c r="B9379" s="2349" t="s">
        <v>5950</v>
      </c>
      <c r="C9379" s="2349" t="s">
        <v>5950</v>
      </c>
      <c r="D9379" s="2349" t="s">
        <v>6082</v>
      </c>
      <c r="E9379" s="2350">
        <v>160</v>
      </c>
      <c r="F9379" s="2350">
        <v>60</v>
      </c>
    </row>
    <row r="9380" spans="1:6" ht="15" customHeight="1" x14ac:dyDescent="0.25">
      <c r="A9380" s="2349" t="s">
        <v>6083</v>
      </c>
      <c r="B9380" s="2349" t="s">
        <v>5950</v>
      </c>
      <c r="C9380" s="2349" t="s">
        <v>5950</v>
      </c>
      <c r="D9380" s="2349" t="s">
        <v>6083</v>
      </c>
      <c r="E9380" s="2350">
        <v>30</v>
      </c>
      <c r="F9380" s="2350">
        <v>10</v>
      </c>
    </row>
    <row r="9381" spans="1:6" ht="15" customHeight="1" x14ac:dyDescent="0.25">
      <c r="A9381" s="2349" t="s">
        <v>6084</v>
      </c>
      <c r="B9381" s="2349" t="s">
        <v>5950</v>
      </c>
      <c r="C9381" s="2349" t="s">
        <v>5950</v>
      </c>
      <c r="D9381" s="2349" t="s">
        <v>6085</v>
      </c>
      <c r="E9381" s="2350">
        <v>100</v>
      </c>
      <c r="F9381" s="2350">
        <v>60</v>
      </c>
    </row>
    <row r="9382" spans="1:6" ht="15" customHeight="1" x14ac:dyDescent="0.25">
      <c r="A9382" s="2349" t="s">
        <v>6086</v>
      </c>
      <c r="B9382" s="2349" t="s">
        <v>5950</v>
      </c>
      <c r="C9382" s="2349" t="s">
        <v>5950</v>
      </c>
      <c r="D9382" s="2349" t="s">
        <v>6086</v>
      </c>
      <c r="E9382" s="2350">
        <v>60</v>
      </c>
      <c r="F9382" s="2350">
        <v>20</v>
      </c>
    </row>
    <row r="9383" spans="1:6" ht="15" customHeight="1" x14ac:dyDescent="0.25">
      <c r="A9383" s="2349" t="s">
        <v>6087</v>
      </c>
      <c r="B9383" s="2349" t="s">
        <v>5950</v>
      </c>
      <c r="C9383" s="2349" t="s">
        <v>5950</v>
      </c>
      <c r="D9383" s="2349" t="s">
        <v>6087</v>
      </c>
      <c r="E9383" s="2350">
        <v>60</v>
      </c>
      <c r="F9383" s="2350">
        <v>20</v>
      </c>
    </row>
    <row r="9384" spans="1:6" ht="15" customHeight="1" x14ac:dyDescent="0.25">
      <c r="A9384" s="2349" t="s">
        <v>6088</v>
      </c>
      <c r="B9384" s="2349" t="s">
        <v>5950</v>
      </c>
      <c r="C9384" s="2349" t="s">
        <v>5950</v>
      </c>
      <c r="D9384" s="2349" t="s">
        <v>6088</v>
      </c>
      <c r="E9384" s="2350">
        <v>160</v>
      </c>
      <c r="F9384" s="2350">
        <v>100</v>
      </c>
    </row>
    <row r="9385" spans="1:6" ht="15" customHeight="1" x14ac:dyDescent="0.25">
      <c r="A9385" s="2349" t="s">
        <v>6056</v>
      </c>
      <c r="B9385" s="2349" t="s">
        <v>5950</v>
      </c>
      <c r="C9385" s="2349" t="s">
        <v>5950</v>
      </c>
      <c r="D9385" s="2349" t="s">
        <v>6089</v>
      </c>
      <c r="E9385" s="2350">
        <v>63</v>
      </c>
      <c r="F9385" s="2350">
        <v>10</v>
      </c>
    </row>
    <row r="9386" spans="1:6" ht="15" customHeight="1" x14ac:dyDescent="0.25">
      <c r="A9386" s="2349" t="s">
        <v>6056</v>
      </c>
      <c r="B9386" s="2349" t="s">
        <v>5950</v>
      </c>
      <c r="C9386" s="2349" t="s">
        <v>5950</v>
      </c>
      <c r="D9386" s="2349" t="s">
        <v>6090</v>
      </c>
      <c r="E9386" s="2350">
        <v>250</v>
      </c>
      <c r="F9386" s="2350">
        <v>150</v>
      </c>
    </row>
    <row r="9387" spans="1:6" ht="15" customHeight="1" x14ac:dyDescent="0.25">
      <c r="A9387" s="2349" t="s">
        <v>6056</v>
      </c>
      <c r="B9387" s="2349" t="s">
        <v>5950</v>
      </c>
      <c r="C9387" s="2349" t="s">
        <v>5950</v>
      </c>
      <c r="D9387" s="2349" t="s">
        <v>6091</v>
      </c>
      <c r="E9387" s="2350">
        <v>100</v>
      </c>
      <c r="F9387" s="2350">
        <v>40</v>
      </c>
    </row>
    <row r="9388" spans="1:6" ht="15" customHeight="1" x14ac:dyDescent="0.25">
      <c r="A9388" s="2349" t="s">
        <v>6056</v>
      </c>
      <c r="B9388" s="2349" t="s">
        <v>5950</v>
      </c>
      <c r="C9388" s="2349" t="s">
        <v>5950</v>
      </c>
      <c r="D9388" s="2349" t="s">
        <v>6092</v>
      </c>
      <c r="E9388" s="2350">
        <v>250</v>
      </c>
      <c r="F9388" s="2350">
        <v>150</v>
      </c>
    </row>
    <row r="9389" spans="1:6" ht="15" customHeight="1" x14ac:dyDescent="0.25">
      <c r="A9389" s="2349" t="s">
        <v>6093</v>
      </c>
      <c r="B9389" s="2349" t="s">
        <v>5950</v>
      </c>
      <c r="C9389" s="2349" t="s">
        <v>5950</v>
      </c>
      <c r="D9389" s="2349" t="s">
        <v>6093</v>
      </c>
      <c r="E9389" s="2350">
        <v>60</v>
      </c>
      <c r="F9389" s="2350">
        <v>20</v>
      </c>
    </row>
    <row r="9390" spans="1:6" ht="15" customHeight="1" x14ac:dyDescent="0.25">
      <c r="A9390" s="2349" t="s">
        <v>6056</v>
      </c>
      <c r="B9390" s="2349" t="s">
        <v>5950</v>
      </c>
      <c r="C9390" s="2349" t="s">
        <v>5950</v>
      </c>
      <c r="D9390" s="2349" t="s">
        <v>6094</v>
      </c>
      <c r="E9390" s="2350">
        <v>160</v>
      </c>
      <c r="F9390" s="2350">
        <v>60</v>
      </c>
    </row>
    <row r="9391" spans="1:6" ht="15" customHeight="1" x14ac:dyDescent="0.25">
      <c r="A9391" s="2349" t="s">
        <v>6095</v>
      </c>
      <c r="B9391" s="2349" t="s">
        <v>5950</v>
      </c>
      <c r="C9391" s="2349" t="s">
        <v>5950</v>
      </c>
      <c r="D9391" s="2349" t="s">
        <v>6095</v>
      </c>
      <c r="E9391" s="2350">
        <v>100</v>
      </c>
      <c r="F9391" s="2350">
        <v>40</v>
      </c>
    </row>
    <row r="9392" spans="1:6" ht="15" customHeight="1" x14ac:dyDescent="0.25">
      <c r="A9392" s="2349" t="s">
        <v>6096</v>
      </c>
      <c r="B9392" s="2349" t="s">
        <v>5950</v>
      </c>
      <c r="C9392" s="2349" t="s">
        <v>5950</v>
      </c>
      <c r="D9392" s="2349" t="s">
        <v>6096</v>
      </c>
      <c r="E9392" s="2350">
        <v>250</v>
      </c>
      <c r="F9392" s="2350">
        <v>200</v>
      </c>
    </row>
    <row r="9393" spans="1:6" ht="15" customHeight="1" x14ac:dyDescent="0.25">
      <c r="A9393" s="2349" t="s">
        <v>19543</v>
      </c>
      <c r="B9393" s="2349" t="s">
        <v>5950</v>
      </c>
      <c r="C9393" s="2349" t="s">
        <v>5950</v>
      </c>
      <c r="D9393" s="2349" t="s">
        <v>6097</v>
      </c>
      <c r="E9393" s="2350">
        <v>250</v>
      </c>
      <c r="F9393" s="2350">
        <v>200</v>
      </c>
    </row>
    <row r="9394" spans="1:6" ht="15" customHeight="1" x14ac:dyDescent="0.25">
      <c r="A9394" s="2349" t="s">
        <v>19543</v>
      </c>
      <c r="B9394" s="2349" t="s">
        <v>5950</v>
      </c>
      <c r="C9394" s="2349" t="s">
        <v>5950</v>
      </c>
      <c r="D9394" s="2349" t="s">
        <v>6098</v>
      </c>
      <c r="E9394" s="2350" t="s">
        <v>4199</v>
      </c>
      <c r="F9394" s="2350">
        <v>300</v>
      </c>
    </row>
    <row r="9395" spans="1:6" ht="15" customHeight="1" x14ac:dyDescent="0.25">
      <c r="A9395" s="2349" t="s">
        <v>19543</v>
      </c>
      <c r="B9395" s="2349" t="s">
        <v>5950</v>
      </c>
      <c r="C9395" s="2349" t="s">
        <v>5950</v>
      </c>
      <c r="D9395" s="2349" t="s">
        <v>6092</v>
      </c>
      <c r="E9395" s="2350" t="s">
        <v>4199</v>
      </c>
      <c r="F9395" s="2350">
        <v>300</v>
      </c>
    </row>
    <row r="9396" spans="1:6" ht="15" customHeight="1" x14ac:dyDescent="0.25">
      <c r="A9396" s="2349" t="s">
        <v>19544</v>
      </c>
      <c r="B9396" s="2349" t="s">
        <v>5950</v>
      </c>
      <c r="C9396" s="2349" t="s">
        <v>5950</v>
      </c>
      <c r="D9396" s="2349" t="s">
        <v>6099</v>
      </c>
      <c r="E9396" s="2350">
        <v>100</v>
      </c>
      <c r="F9396" s="2350">
        <v>40</v>
      </c>
    </row>
    <row r="9397" spans="1:6" ht="15" customHeight="1" x14ac:dyDescent="0.25">
      <c r="A9397" s="2349" t="s">
        <v>19544</v>
      </c>
      <c r="B9397" s="2349" t="s">
        <v>5950</v>
      </c>
      <c r="C9397" s="2349" t="s">
        <v>5950</v>
      </c>
      <c r="D9397" s="2349" t="s">
        <v>6100</v>
      </c>
      <c r="E9397" s="2350">
        <v>160</v>
      </c>
      <c r="F9397" s="2350">
        <v>100</v>
      </c>
    </row>
    <row r="9398" spans="1:6" ht="15" customHeight="1" x14ac:dyDescent="0.25">
      <c r="A9398" s="2349" t="s">
        <v>19544</v>
      </c>
      <c r="B9398" s="2349" t="s">
        <v>5950</v>
      </c>
      <c r="C9398" s="2349" t="s">
        <v>5950</v>
      </c>
      <c r="D9398" s="2349" t="s">
        <v>6096</v>
      </c>
      <c r="E9398" s="2350">
        <v>250</v>
      </c>
      <c r="F9398" s="2350">
        <v>200</v>
      </c>
    </row>
    <row r="9399" spans="1:6" ht="15" customHeight="1" x14ac:dyDescent="0.25">
      <c r="A9399" s="2349" t="s">
        <v>19544</v>
      </c>
      <c r="B9399" s="2349" t="s">
        <v>5950</v>
      </c>
      <c r="C9399" s="2349" t="s">
        <v>5950</v>
      </c>
      <c r="D9399" s="2349" t="s">
        <v>6101</v>
      </c>
      <c r="E9399" s="2350">
        <v>160</v>
      </c>
      <c r="F9399" s="2350">
        <v>60</v>
      </c>
    </row>
    <row r="9400" spans="1:6" ht="15" customHeight="1" x14ac:dyDescent="0.25">
      <c r="A9400" s="2349" t="s">
        <v>19544</v>
      </c>
      <c r="B9400" s="2349" t="s">
        <v>5950</v>
      </c>
      <c r="C9400" s="2349" t="s">
        <v>5950</v>
      </c>
      <c r="D9400" s="2349" t="s">
        <v>6102</v>
      </c>
      <c r="E9400" s="2350">
        <v>250</v>
      </c>
      <c r="F9400" s="2350">
        <v>200</v>
      </c>
    </row>
    <row r="9401" spans="1:6" ht="15" customHeight="1" x14ac:dyDescent="0.25">
      <c r="A9401" s="2349" t="s">
        <v>6103</v>
      </c>
      <c r="B9401" s="2349" t="s">
        <v>5950</v>
      </c>
      <c r="C9401" s="2349" t="s">
        <v>5950</v>
      </c>
      <c r="D9401" s="2349" t="s">
        <v>6104</v>
      </c>
      <c r="E9401" s="2350">
        <v>250</v>
      </c>
      <c r="F9401" s="2350">
        <v>70</v>
      </c>
    </row>
    <row r="9402" spans="1:6" ht="15" customHeight="1" x14ac:dyDescent="0.25">
      <c r="A9402" s="2349" t="s">
        <v>6105</v>
      </c>
      <c r="B9402" s="2349" t="s">
        <v>5950</v>
      </c>
      <c r="C9402" s="2349" t="s">
        <v>5950</v>
      </c>
      <c r="D9402" s="2349" t="s">
        <v>6105</v>
      </c>
      <c r="E9402" s="2350">
        <v>160</v>
      </c>
      <c r="F9402" s="2350">
        <v>60</v>
      </c>
    </row>
    <row r="9403" spans="1:6" ht="15" customHeight="1" x14ac:dyDescent="0.25">
      <c r="A9403" s="2349" t="s">
        <v>6106</v>
      </c>
      <c r="B9403" s="2349" t="s">
        <v>5950</v>
      </c>
      <c r="C9403" s="2349" t="s">
        <v>5950</v>
      </c>
      <c r="D9403" s="2349" t="s">
        <v>6107</v>
      </c>
      <c r="E9403" s="2350">
        <v>250</v>
      </c>
      <c r="F9403" s="2350">
        <v>60</v>
      </c>
    </row>
    <row r="9404" spans="1:6" ht="15" customHeight="1" x14ac:dyDescent="0.25">
      <c r="A9404" s="2349" t="s">
        <v>19543</v>
      </c>
      <c r="B9404" s="2349" t="s">
        <v>5950</v>
      </c>
      <c r="C9404" s="2349" t="s">
        <v>5950</v>
      </c>
      <c r="D9404" s="2349" t="s">
        <v>6108</v>
      </c>
      <c r="E9404" s="2350">
        <v>400</v>
      </c>
      <c r="F9404" s="2350">
        <v>300</v>
      </c>
    </row>
    <row r="9405" spans="1:6" ht="15" customHeight="1" x14ac:dyDescent="0.25">
      <c r="A9405" s="2349" t="s">
        <v>6109</v>
      </c>
      <c r="B9405" s="2349" t="s">
        <v>5950</v>
      </c>
      <c r="C9405" s="2349" t="s">
        <v>5950</v>
      </c>
      <c r="D9405" s="2349" t="s">
        <v>6109</v>
      </c>
      <c r="E9405" s="2350">
        <v>60</v>
      </c>
      <c r="F9405" s="2350">
        <v>15</v>
      </c>
    </row>
    <row r="9406" spans="1:6" ht="15" customHeight="1" x14ac:dyDescent="0.25">
      <c r="A9406" s="2349" t="s">
        <v>19545</v>
      </c>
      <c r="B9406" s="2349" t="s">
        <v>5950</v>
      </c>
      <c r="C9406" s="2349" t="s">
        <v>5950</v>
      </c>
      <c r="D9406" s="2349" t="s">
        <v>6110</v>
      </c>
      <c r="E9406" s="2350">
        <v>160</v>
      </c>
      <c r="F9406" s="2350">
        <v>60</v>
      </c>
    </row>
    <row r="9407" spans="1:6" ht="15" customHeight="1" x14ac:dyDescent="0.25">
      <c r="A9407" s="2349" t="s">
        <v>6111</v>
      </c>
      <c r="B9407" s="2349" t="s">
        <v>5950</v>
      </c>
      <c r="C9407" s="2349" t="s">
        <v>5950</v>
      </c>
      <c r="D9407" s="2349" t="s">
        <v>6111</v>
      </c>
      <c r="E9407" s="2350">
        <v>60</v>
      </c>
      <c r="F9407" s="2350">
        <v>30</v>
      </c>
    </row>
    <row r="9408" spans="1:6" ht="15" customHeight="1" x14ac:dyDescent="0.25">
      <c r="A9408" s="2349" t="s">
        <v>6112</v>
      </c>
      <c r="B9408" s="2349" t="s">
        <v>5950</v>
      </c>
      <c r="C9408" s="2349" t="s">
        <v>5950</v>
      </c>
      <c r="D9408" s="2349" t="s">
        <v>6112</v>
      </c>
      <c r="E9408" s="2350">
        <v>60</v>
      </c>
      <c r="F9408" s="2350">
        <v>10</v>
      </c>
    </row>
    <row r="9409" spans="1:6" ht="15" customHeight="1" x14ac:dyDescent="0.25">
      <c r="A9409" s="2349" t="s">
        <v>6113</v>
      </c>
      <c r="B9409" s="2349" t="s">
        <v>5950</v>
      </c>
      <c r="C9409" s="2349" t="s">
        <v>5950</v>
      </c>
      <c r="D9409" s="2349" t="s">
        <v>6114</v>
      </c>
      <c r="E9409" s="2350">
        <v>60</v>
      </c>
      <c r="F9409" s="2350">
        <v>10</v>
      </c>
    </row>
    <row r="9410" spans="1:6" ht="15" customHeight="1" x14ac:dyDescent="0.25">
      <c r="A9410" s="2349" t="s">
        <v>19546</v>
      </c>
      <c r="B9410" s="2349" t="s">
        <v>5950</v>
      </c>
      <c r="C9410" s="2349" t="s">
        <v>5950</v>
      </c>
      <c r="D9410" s="2349" t="s">
        <v>6115</v>
      </c>
      <c r="E9410" s="2350">
        <v>250</v>
      </c>
      <c r="F9410" s="2350">
        <v>80</v>
      </c>
    </row>
    <row r="9411" spans="1:6" ht="15" customHeight="1" x14ac:dyDescent="0.25">
      <c r="A9411" s="2349" t="s">
        <v>6116</v>
      </c>
      <c r="B9411" s="2349" t="s">
        <v>5950</v>
      </c>
      <c r="C9411" s="2349" t="s">
        <v>5950</v>
      </c>
      <c r="D9411" s="2349" t="s">
        <v>6117</v>
      </c>
      <c r="E9411" s="2350">
        <v>100</v>
      </c>
      <c r="F9411" s="2350">
        <v>20</v>
      </c>
    </row>
    <row r="9412" spans="1:6" ht="15" customHeight="1" x14ac:dyDescent="0.25">
      <c r="A9412" s="2349" t="s">
        <v>6116</v>
      </c>
      <c r="B9412" s="2349" t="s">
        <v>5950</v>
      </c>
      <c r="C9412" s="2349" t="s">
        <v>5950</v>
      </c>
      <c r="D9412" s="2349" t="s">
        <v>6118</v>
      </c>
      <c r="E9412" s="2350">
        <v>160</v>
      </c>
      <c r="F9412" s="2350">
        <v>60</v>
      </c>
    </row>
    <row r="9413" spans="1:6" ht="15" customHeight="1" x14ac:dyDescent="0.25">
      <c r="A9413" s="2349" t="s">
        <v>6116</v>
      </c>
      <c r="B9413" s="2349" t="s">
        <v>5950</v>
      </c>
      <c r="C9413" s="2349" t="s">
        <v>5950</v>
      </c>
      <c r="D9413" s="2349" t="s">
        <v>6119</v>
      </c>
      <c r="E9413" s="2350">
        <v>250</v>
      </c>
      <c r="F9413" s="2350">
        <v>100</v>
      </c>
    </row>
    <row r="9414" spans="1:6" ht="15" customHeight="1" x14ac:dyDescent="0.25">
      <c r="A9414" s="2349" t="s">
        <v>6120</v>
      </c>
      <c r="B9414" s="2349" t="s">
        <v>5950</v>
      </c>
      <c r="C9414" s="2349" t="s">
        <v>5950</v>
      </c>
      <c r="D9414" s="2349" t="s">
        <v>6120</v>
      </c>
      <c r="E9414" s="2350">
        <v>60</v>
      </c>
      <c r="F9414" s="2350">
        <v>10</v>
      </c>
    </row>
    <row r="9415" spans="1:6" ht="15" customHeight="1" x14ac:dyDescent="0.25">
      <c r="A9415" s="2349" t="s">
        <v>6121</v>
      </c>
      <c r="B9415" s="2349" t="s">
        <v>5950</v>
      </c>
      <c r="C9415" s="2349" t="s">
        <v>5950</v>
      </c>
      <c r="D9415" s="2349" t="s">
        <v>6121</v>
      </c>
      <c r="E9415" s="2350">
        <v>25</v>
      </c>
      <c r="F9415" s="2350">
        <v>5</v>
      </c>
    </row>
    <row r="9416" spans="1:6" ht="15" customHeight="1" x14ac:dyDescent="0.25">
      <c r="A9416" s="2349" t="s">
        <v>6103</v>
      </c>
      <c r="B9416" s="2349" t="s">
        <v>5950</v>
      </c>
      <c r="C9416" s="2349" t="s">
        <v>5950</v>
      </c>
      <c r="D9416" s="2349" t="s">
        <v>6122</v>
      </c>
      <c r="E9416" s="2350">
        <v>160</v>
      </c>
      <c r="F9416" s="2350">
        <v>20</v>
      </c>
    </row>
    <row r="9417" spans="1:6" ht="15" customHeight="1" x14ac:dyDescent="0.25">
      <c r="A9417" s="2349" t="s">
        <v>6123</v>
      </c>
      <c r="B9417" s="2349" t="s">
        <v>5950</v>
      </c>
      <c r="C9417" s="2349" t="s">
        <v>5950</v>
      </c>
      <c r="D9417" s="2349" t="s">
        <v>6123</v>
      </c>
      <c r="E9417" s="2350">
        <v>60</v>
      </c>
      <c r="F9417" s="2350">
        <v>10</v>
      </c>
    </row>
    <row r="9418" spans="1:6" ht="15" customHeight="1" x14ac:dyDescent="0.25">
      <c r="A9418" s="2349" t="s">
        <v>6124</v>
      </c>
      <c r="B9418" s="2349" t="s">
        <v>5950</v>
      </c>
      <c r="C9418" s="2349" t="s">
        <v>5950</v>
      </c>
      <c r="D9418" s="2349" t="s">
        <v>6124</v>
      </c>
      <c r="E9418" s="2350">
        <v>60</v>
      </c>
      <c r="F9418" s="2350">
        <v>10</v>
      </c>
    </row>
    <row r="9419" spans="1:6" ht="15" customHeight="1" x14ac:dyDescent="0.25">
      <c r="A9419" s="2349" t="s">
        <v>6125</v>
      </c>
      <c r="B9419" s="2349" t="s">
        <v>5950</v>
      </c>
      <c r="C9419" s="2349" t="s">
        <v>5950</v>
      </c>
      <c r="D9419" s="2349" t="s">
        <v>6125</v>
      </c>
      <c r="E9419" s="2350">
        <v>60</v>
      </c>
      <c r="F9419" s="2350">
        <v>10</v>
      </c>
    </row>
    <row r="9420" spans="1:6" ht="15" customHeight="1" x14ac:dyDescent="0.25">
      <c r="A9420" s="2349" t="s">
        <v>6126</v>
      </c>
      <c r="B9420" s="2349" t="s">
        <v>5950</v>
      </c>
      <c r="C9420" s="2349" t="s">
        <v>5950</v>
      </c>
      <c r="D9420" s="2349" t="s">
        <v>6126</v>
      </c>
      <c r="E9420" s="2350">
        <v>60</v>
      </c>
      <c r="F9420" s="2350">
        <v>25</v>
      </c>
    </row>
    <row r="9421" spans="1:6" ht="15" customHeight="1" x14ac:dyDescent="0.25">
      <c r="A9421" s="2349" t="s">
        <v>6127</v>
      </c>
      <c r="B9421" s="2349" t="s">
        <v>5950</v>
      </c>
      <c r="C9421" s="2349" t="s">
        <v>5950</v>
      </c>
      <c r="D9421" s="2349" t="s">
        <v>6127</v>
      </c>
      <c r="E9421" s="2350">
        <v>60</v>
      </c>
      <c r="F9421" s="2350">
        <v>20</v>
      </c>
    </row>
    <row r="9422" spans="1:6" ht="15" customHeight="1" x14ac:dyDescent="0.25">
      <c r="A9422" s="2349" t="s">
        <v>6128</v>
      </c>
      <c r="B9422" s="2349" t="s">
        <v>5950</v>
      </c>
      <c r="C9422" s="2349" t="s">
        <v>5950</v>
      </c>
      <c r="D9422" s="2349" t="s">
        <v>6128</v>
      </c>
      <c r="E9422" s="2350">
        <v>63</v>
      </c>
      <c r="F9422" s="2350">
        <v>12</v>
      </c>
    </row>
    <row r="9423" spans="1:6" ht="15" customHeight="1" x14ac:dyDescent="0.25">
      <c r="A9423" s="2349" t="s">
        <v>6129</v>
      </c>
      <c r="B9423" s="2349" t="s">
        <v>5950</v>
      </c>
      <c r="C9423" s="2349" t="s">
        <v>5950</v>
      </c>
      <c r="D9423" s="2349" t="s">
        <v>6129</v>
      </c>
      <c r="E9423" s="2350">
        <v>30</v>
      </c>
      <c r="F9423" s="2350">
        <v>10</v>
      </c>
    </row>
    <row r="9424" spans="1:6" ht="15" customHeight="1" x14ac:dyDescent="0.25">
      <c r="A9424" s="2349" t="s">
        <v>6068</v>
      </c>
      <c r="B9424" s="2349" t="s">
        <v>5950</v>
      </c>
      <c r="C9424" s="2349" t="s">
        <v>5950</v>
      </c>
      <c r="D9424" s="2349" t="s">
        <v>6130</v>
      </c>
      <c r="E9424" s="2350">
        <v>160</v>
      </c>
      <c r="F9424" s="2350">
        <v>100</v>
      </c>
    </row>
    <row r="9425" spans="1:6" ht="15" customHeight="1" x14ac:dyDescent="0.25">
      <c r="A9425" s="2349" t="s">
        <v>6068</v>
      </c>
      <c r="B9425" s="2349" t="s">
        <v>5950</v>
      </c>
      <c r="C9425" s="2349" t="s">
        <v>5950</v>
      </c>
      <c r="D9425" s="2349" t="s">
        <v>6096</v>
      </c>
      <c r="E9425" s="2350">
        <v>60</v>
      </c>
      <c r="F9425" s="2350">
        <v>20</v>
      </c>
    </row>
    <row r="9426" spans="1:6" ht="15" customHeight="1" x14ac:dyDescent="0.25">
      <c r="A9426" s="2349" t="s">
        <v>6068</v>
      </c>
      <c r="B9426" s="2349" t="s">
        <v>5950</v>
      </c>
      <c r="C9426" s="2349" t="s">
        <v>5950</v>
      </c>
      <c r="D9426" s="2349" t="s">
        <v>6131</v>
      </c>
      <c r="E9426" s="2350">
        <v>100</v>
      </c>
      <c r="F9426" s="2350">
        <v>50</v>
      </c>
    </row>
    <row r="9427" spans="1:6" ht="15" customHeight="1" x14ac:dyDescent="0.25">
      <c r="A9427" s="2349" t="s">
        <v>6068</v>
      </c>
      <c r="B9427" s="2349" t="s">
        <v>5950</v>
      </c>
      <c r="C9427" s="2349" t="s">
        <v>5950</v>
      </c>
      <c r="D9427" s="2349" t="s">
        <v>6132</v>
      </c>
      <c r="E9427" s="2350">
        <v>400</v>
      </c>
      <c r="F9427" s="2350">
        <v>300</v>
      </c>
    </row>
    <row r="9428" spans="1:6" ht="15" customHeight="1" x14ac:dyDescent="0.25">
      <c r="A9428" s="2349" t="s">
        <v>6068</v>
      </c>
      <c r="B9428" s="2349" t="s">
        <v>5950</v>
      </c>
      <c r="C9428" s="2349" t="s">
        <v>5950</v>
      </c>
      <c r="D9428" s="2349" t="s">
        <v>6133</v>
      </c>
      <c r="E9428" s="2350">
        <v>100</v>
      </c>
      <c r="F9428" s="2350">
        <v>50</v>
      </c>
    </row>
    <row r="9429" spans="1:6" ht="15" customHeight="1" x14ac:dyDescent="0.25">
      <c r="A9429" s="2349" t="s">
        <v>6068</v>
      </c>
      <c r="B9429" s="2349" t="s">
        <v>5950</v>
      </c>
      <c r="C9429" s="2349" t="s">
        <v>5950</v>
      </c>
      <c r="D9429" s="2349" t="s">
        <v>6134</v>
      </c>
      <c r="E9429" s="2350">
        <v>180</v>
      </c>
      <c r="F9429" s="2350">
        <v>60</v>
      </c>
    </row>
    <row r="9430" spans="1:6" ht="15" customHeight="1" x14ac:dyDescent="0.25">
      <c r="A9430" s="2349" t="s">
        <v>6068</v>
      </c>
      <c r="B9430" s="2349" t="s">
        <v>5950</v>
      </c>
      <c r="C9430" s="2349" t="s">
        <v>5950</v>
      </c>
      <c r="D9430" s="2349" t="s">
        <v>6135</v>
      </c>
      <c r="E9430" s="2350">
        <v>160</v>
      </c>
      <c r="F9430" s="2350">
        <v>100</v>
      </c>
    </row>
    <row r="9431" spans="1:6" ht="15" customHeight="1" x14ac:dyDescent="0.25">
      <c r="A9431" s="2349" t="s">
        <v>19547</v>
      </c>
      <c r="B9431" s="2349" t="s">
        <v>5950</v>
      </c>
      <c r="C9431" s="2349" t="s">
        <v>5950</v>
      </c>
      <c r="D9431" s="2349" t="s">
        <v>6136</v>
      </c>
      <c r="E9431" s="2350">
        <v>60</v>
      </c>
      <c r="F9431" s="2350">
        <v>20</v>
      </c>
    </row>
    <row r="9432" spans="1:6" ht="15" customHeight="1" x14ac:dyDescent="0.25">
      <c r="A9432" s="2349" t="s">
        <v>19547</v>
      </c>
      <c r="B9432" s="2349" t="s">
        <v>5950</v>
      </c>
      <c r="C9432" s="2349" t="s">
        <v>5950</v>
      </c>
      <c r="D9432" s="2349" t="s">
        <v>6137</v>
      </c>
      <c r="E9432" s="2350">
        <v>60</v>
      </c>
      <c r="F9432" s="2350">
        <v>20</v>
      </c>
    </row>
    <row r="9433" spans="1:6" ht="15" customHeight="1" x14ac:dyDescent="0.25">
      <c r="A9433" s="2349" t="s">
        <v>6138</v>
      </c>
      <c r="B9433" s="2349" t="s">
        <v>5950</v>
      </c>
      <c r="C9433" s="2349" t="s">
        <v>5950</v>
      </c>
      <c r="D9433" s="2349" t="s">
        <v>6139</v>
      </c>
      <c r="E9433" s="2350">
        <v>60</v>
      </c>
      <c r="F9433" s="2350">
        <v>10</v>
      </c>
    </row>
    <row r="9434" spans="1:6" ht="15" customHeight="1" x14ac:dyDescent="0.25">
      <c r="A9434" s="2349" t="s">
        <v>6138</v>
      </c>
      <c r="B9434" s="2349" t="s">
        <v>5950</v>
      </c>
      <c r="C9434" s="2349" t="s">
        <v>5950</v>
      </c>
      <c r="D9434" s="2349" t="s">
        <v>6140</v>
      </c>
      <c r="E9434" s="2350">
        <v>160</v>
      </c>
      <c r="F9434" s="2350">
        <v>60</v>
      </c>
    </row>
    <row r="9435" spans="1:6" ht="15" customHeight="1" x14ac:dyDescent="0.25">
      <c r="A9435" s="2349" t="s">
        <v>6138</v>
      </c>
      <c r="B9435" s="2349" t="s">
        <v>5950</v>
      </c>
      <c r="C9435" s="2349" t="s">
        <v>5950</v>
      </c>
      <c r="D9435" s="2349" t="s">
        <v>6141</v>
      </c>
      <c r="E9435" s="2350">
        <v>160</v>
      </c>
      <c r="F9435" s="2350">
        <v>60</v>
      </c>
    </row>
    <row r="9436" spans="1:6" ht="15" customHeight="1" x14ac:dyDescent="0.25">
      <c r="A9436" s="2349" t="s">
        <v>6142</v>
      </c>
      <c r="B9436" s="2349" t="s">
        <v>5950</v>
      </c>
      <c r="C9436" s="2349" t="s">
        <v>5950</v>
      </c>
      <c r="D9436" s="2349" t="s">
        <v>6096</v>
      </c>
      <c r="E9436" s="2350">
        <v>100</v>
      </c>
      <c r="F9436" s="2350">
        <v>80</v>
      </c>
    </row>
    <row r="9437" spans="1:6" ht="15" customHeight="1" x14ac:dyDescent="0.25">
      <c r="A9437" s="2349" t="s">
        <v>6142</v>
      </c>
      <c r="B9437" s="2349" t="s">
        <v>5950</v>
      </c>
      <c r="C9437" s="2349" t="s">
        <v>5950</v>
      </c>
      <c r="D9437" s="2349" t="s">
        <v>6143</v>
      </c>
      <c r="E9437" s="2350">
        <v>60</v>
      </c>
      <c r="F9437" s="2350">
        <v>10</v>
      </c>
    </row>
    <row r="9438" spans="1:6" ht="15" customHeight="1" x14ac:dyDescent="0.25">
      <c r="A9438" s="2349" t="s">
        <v>6142</v>
      </c>
      <c r="B9438" s="2349" t="s">
        <v>5950</v>
      </c>
      <c r="C9438" s="2349" t="s">
        <v>5950</v>
      </c>
      <c r="D9438" s="2349" t="s">
        <v>6144</v>
      </c>
      <c r="E9438" s="2350">
        <v>100</v>
      </c>
      <c r="F9438" s="2350">
        <v>20</v>
      </c>
    </row>
    <row r="9439" spans="1:6" ht="15" customHeight="1" x14ac:dyDescent="0.25">
      <c r="A9439" s="2349" t="s">
        <v>6145</v>
      </c>
      <c r="B9439" s="2349" t="s">
        <v>5950</v>
      </c>
      <c r="C9439" s="2349" t="s">
        <v>5950</v>
      </c>
      <c r="D9439" s="2349" t="s">
        <v>6145</v>
      </c>
      <c r="E9439" s="2350">
        <v>100</v>
      </c>
      <c r="F9439" s="2350">
        <v>40</v>
      </c>
    </row>
    <row r="9440" spans="1:6" ht="15" customHeight="1" x14ac:dyDescent="0.25">
      <c r="A9440" s="2349" t="s">
        <v>6146</v>
      </c>
      <c r="B9440" s="2349" t="s">
        <v>5950</v>
      </c>
      <c r="C9440" s="2349" t="s">
        <v>5950</v>
      </c>
      <c r="D9440" s="2349" t="s">
        <v>6146</v>
      </c>
      <c r="E9440" s="2350">
        <v>160</v>
      </c>
      <c r="F9440" s="2350">
        <v>100</v>
      </c>
    </row>
    <row r="9441" spans="1:6" ht="15" customHeight="1" x14ac:dyDescent="0.25">
      <c r="A9441" s="2349" t="s">
        <v>6147</v>
      </c>
      <c r="B9441" s="2349" t="s">
        <v>5950</v>
      </c>
      <c r="C9441" s="2349" t="s">
        <v>5950</v>
      </c>
      <c r="D9441" s="2349" t="s">
        <v>6147</v>
      </c>
      <c r="E9441" s="2350">
        <v>40</v>
      </c>
      <c r="F9441" s="2350">
        <v>10</v>
      </c>
    </row>
    <row r="9442" spans="1:6" ht="15" customHeight="1" x14ac:dyDescent="0.25">
      <c r="A9442" s="2349" t="s">
        <v>6148</v>
      </c>
      <c r="B9442" s="2349" t="s">
        <v>5950</v>
      </c>
      <c r="C9442" s="2349" t="s">
        <v>5950</v>
      </c>
      <c r="D9442" s="2349" t="s">
        <v>6148</v>
      </c>
      <c r="E9442" s="2350">
        <v>60</v>
      </c>
      <c r="F9442" s="2350">
        <v>20</v>
      </c>
    </row>
    <row r="9443" spans="1:6" ht="15" customHeight="1" x14ac:dyDescent="0.25">
      <c r="A9443" s="2349" t="s">
        <v>6149</v>
      </c>
      <c r="B9443" s="2349" t="s">
        <v>5950</v>
      </c>
      <c r="C9443" s="2349" t="s">
        <v>5950</v>
      </c>
      <c r="D9443" s="2349" t="s">
        <v>6150</v>
      </c>
      <c r="E9443" s="2350">
        <v>250</v>
      </c>
      <c r="F9443" s="2350">
        <v>200</v>
      </c>
    </row>
    <row r="9444" spans="1:6" ht="15" customHeight="1" x14ac:dyDescent="0.25">
      <c r="A9444" s="2349" t="s">
        <v>6151</v>
      </c>
      <c r="B9444" s="2349" t="s">
        <v>5950</v>
      </c>
      <c r="C9444" s="2349" t="s">
        <v>5950</v>
      </c>
      <c r="D9444" s="2349" t="s">
        <v>6151</v>
      </c>
      <c r="E9444" s="2350">
        <v>50</v>
      </c>
      <c r="F9444" s="2350">
        <v>10</v>
      </c>
    </row>
    <row r="9445" spans="1:6" ht="15" customHeight="1" x14ac:dyDescent="0.25">
      <c r="A9445" s="2349" t="s">
        <v>6152</v>
      </c>
      <c r="B9445" s="2349" t="s">
        <v>5950</v>
      </c>
      <c r="C9445" s="2349" t="s">
        <v>5950</v>
      </c>
      <c r="D9445" s="2349" t="s">
        <v>6152</v>
      </c>
      <c r="E9445" s="2350">
        <v>250</v>
      </c>
      <c r="F9445" s="2350">
        <v>50</v>
      </c>
    </row>
    <row r="9446" spans="1:6" ht="15" customHeight="1" x14ac:dyDescent="0.25">
      <c r="A9446" s="2349" t="s">
        <v>6153</v>
      </c>
      <c r="B9446" s="2349" t="s">
        <v>5950</v>
      </c>
      <c r="C9446" s="2349" t="s">
        <v>5950</v>
      </c>
      <c r="D9446" s="2349" t="s">
        <v>6153</v>
      </c>
      <c r="E9446" s="2350">
        <v>100</v>
      </c>
      <c r="F9446" s="2350">
        <v>60</v>
      </c>
    </row>
    <row r="9447" spans="1:6" ht="15" customHeight="1" x14ac:dyDescent="0.25">
      <c r="A9447" s="2349" t="s">
        <v>6154</v>
      </c>
      <c r="B9447" s="2349" t="s">
        <v>5950</v>
      </c>
      <c r="C9447" s="2349" t="s">
        <v>5950</v>
      </c>
      <c r="D9447" s="2349" t="s">
        <v>6154</v>
      </c>
      <c r="E9447" s="2350">
        <v>60</v>
      </c>
      <c r="F9447" s="2350">
        <v>10</v>
      </c>
    </row>
    <row r="9448" spans="1:6" ht="15" customHeight="1" x14ac:dyDescent="0.25">
      <c r="A9448" s="2349" t="s">
        <v>6154</v>
      </c>
      <c r="B9448" s="2349" t="s">
        <v>5950</v>
      </c>
      <c r="C9448" s="2349" t="s">
        <v>5950</v>
      </c>
      <c r="D9448" s="2349" t="s">
        <v>6155</v>
      </c>
      <c r="E9448" s="2350">
        <v>160</v>
      </c>
      <c r="F9448" s="2350">
        <v>40</v>
      </c>
    </row>
    <row r="9449" spans="1:6" ht="15" customHeight="1" x14ac:dyDescent="0.25">
      <c r="A9449" s="2349" t="s">
        <v>6154</v>
      </c>
      <c r="B9449" s="2349" t="s">
        <v>5950</v>
      </c>
      <c r="C9449" s="2349" t="s">
        <v>5950</v>
      </c>
      <c r="D9449" s="2349" t="s">
        <v>6156</v>
      </c>
      <c r="E9449" s="2350">
        <v>63</v>
      </c>
      <c r="F9449" s="2350">
        <v>10</v>
      </c>
    </row>
    <row r="9450" spans="1:6" ht="15" customHeight="1" x14ac:dyDescent="0.25">
      <c r="A9450" s="2349" t="s">
        <v>6154</v>
      </c>
      <c r="B9450" s="2349" t="s">
        <v>5950</v>
      </c>
      <c r="C9450" s="2349" t="s">
        <v>5950</v>
      </c>
      <c r="D9450" s="2349" t="s">
        <v>6157</v>
      </c>
      <c r="E9450" s="2350">
        <v>100</v>
      </c>
      <c r="F9450" s="2350">
        <v>10</v>
      </c>
    </row>
    <row r="9451" spans="1:6" ht="15" customHeight="1" x14ac:dyDescent="0.25">
      <c r="A9451" s="2349" t="s">
        <v>6158</v>
      </c>
      <c r="B9451" s="2349" t="s">
        <v>5950</v>
      </c>
      <c r="C9451" s="2349" t="s">
        <v>5950</v>
      </c>
      <c r="D9451" s="2349" t="s">
        <v>6158</v>
      </c>
      <c r="E9451" s="2350">
        <v>100</v>
      </c>
      <c r="F9451" s="2350">
        <v>20</v>
      </c>
    </row>
    <row r="9452" spans="1:6" ht="15" customHeight="1" x14ac:dyDescent="0.25">
      <c r="A9452" s="2349" t="s">
        <v>6159</v>
      </c>
      <c r="B9452" s="2349" t="s">
        <v>5950</v>
      </c>
      <c r="C9452" s="2349" t="s">
        <v>5950</v>
      </c>
      <c r="D9452" s="2349" t="s">
        <v>6159</v>
      </c>
      <c r="E9452" s="2350">
        <v>40</v>
      </c>
      <c r="F9452" s="2350">
        <v>10</v>
      </c>
    </row>
    <row r="9453" spans="1:6" ht="15" customHeight="1" x14ac:dyDescent="0.25">
      <c r="A9453" s="2349" t="s">
        <v>6159</v>
      </c>
      <c r="B9453" s="2349" t="s">
        <v>5950</v>
      </c>
      <c r="C9453" s="2349" t="s">
        <v>5950</v>
      </c>
      <c r="D9453" s="2349" t="s">
        <v>6160</v>
      </c>
      <c r="E9453" s="2350">
        <v>100</v>
      </c>
      <c r="F9453" s="2350">
        <v>20</v>
      </c>
    </row>
    <row r="9454" spans="1:6" ht="15" customHeight="1" x14ac:dyDescent="0.25">
      <c r="A9454" s="2349" t="s">
        <v>6161</v>
      </c>
      <c r="B9454" s="2349" t="s">
        <v>5950</v>
      </c>
      <c r="C9454" s="2349" t="s">
        <v>5950</v>
      </c>
      <c r="D9454" s="2349" t="s">
        <v>6162</v>
      </c>
      <c r="E9454" s="2350">
        <v>40</v>
      </c>
      <c r="F9454" s="2350">
        <v>20</v>
      </c>
    </row>
    <row r="9455" spans="1:6" ht="15" customHeight="1" x14ac:dyDescent="0.25">
      <c r="A9455" s="2349" t="s">
        <v>6163</v>
      </c>
      <c r="B9455" s="2349" t="s">
        <v>5950</v>
      </c>
      <c r="C9455" s="2349" t="s">
        <v>5950</v>
      </c>
      <c r="D9455" s="2349" t="s">
        <v>6163</v>
      </c>
      <c r="E9455" s="2350">
        <v>25</v>
      </c>
      <c r="F9455" s="2350">
        <v>10</v>
      </c>
    </row>
    <row r="9456" spans="1:6" ht="15" customHeight="1" x14ac:dyDescent="0.25">
      <c r="A9456" s="2349" t="s">
        <v>19548</v>
      </c>
      <c r="B9456" s="2349" t="s">
        <v>5950</v>
      </c>
      <c r="C9456" s="2349" t="s">
        <v>5950</v>
      </c>
      <c r="D9456" s="2349" t="s">
        <v>6164</v>
      </c>
      <c r="E9456" s="2350">
        <v>250</v>
      </c>
      <c r="F9456" s="2350">
        <v>200</v>
      </c>
    </row>
    <row r="9457" spans="1:6" ht="15" customHeight="1" x14ac:dyDescent="0.25">
      <c r="A9457" s="2349" t="s">
        <v>6165</v>
      </c>
      <c r="B9457" s="2349" t="s">
        <v>5950</v>
      </c>
      <c r="C9457" s="2349" t="s">
        <v>5950</v>
      </c>
      <c r="D9457" s="2349" t="s">
        <v>6166</v>
      </c>
      <c r="E9457" s="2350">
        <v>250</v>
      </c>
      <c r="F9457" s="2350">
        <v>200</v>
      </c>
    </row>
    <row r="9458" spans="1:6" ht="15" customHeight="1" x14ac:dyDescent="0.25">
      <c r="A9458" s="2349" t="s">
        <v>6167</v>
      </c>
      <c r="B9458" s="2349" t="s">
        <v>5950</v>
      </c>
      <c r="C9458" s="2349" t="s">
        <v>5950</v>
      </c>
      <c r="D9458" s="2349" t="s">
        <v>6167</v>
      </c>
      <c r="E9458" s="2350">
        <v>100</v>
      </c>
      <c r="F9458" s="2350">
        <v>50</v>
      </c>
    </row>
    <row r="9459" spans="1:6" ht="15" customHeight="1" x14ac:dyDescent="0.25">
      <c r="A9459" s="2349" t="s">
        <v>6168</v>
      </c>
      <c r="B9459" s="2349" t="s">
        <v>5950</v>
      </c>
      <c r="C9459" s="2349" t="s">
        <v>5950</v>
      </c>
      <c r="D9459" s="2349" t="s">
        <v>6169</v>
      </c>
      <c r="E9459" s="2350">
        <v>30</v>
      </c>
      <c r="F9459" s="2350">
        <v>5</v>
      </c>
    </row>
    <row r="9460" spans="1:6" ht="15" customHeight="1" x14ac:dyDescent="0.25">
      <c r="A9460" s="2349" t="s">
        <v>6170</v>
      </c>
      <c r="B9460" s="2349" t="s">
        <v>5950</v>
      </c>
      <c r="C9460" s="2349" t="s">
        <v>5950</v>
      </c>
      <c r="D9460" s="2349" t="s">
        <v>6170</v>
      </c>
      <c r="E9460" s="2350">
        <v>60</v>
      </c>
      <c r="F9460" s="2350">
        <v>10</v>
      </c>
    </row>
    <row r="9461" spans="1:6" ht="15" customHeight="1" x14ac:dyDescent="0.25">
      <c r="A9461" s="2349" t="s">
        <v>6165</v>
      </c>
      <c r="B9461" s="2349" t="s">
        <v>5950</v>
      </c>
      <c r="C9461" s="2349" t="s">
        <v>5950</v>
      </c>
      <c r="D9461" s="2349" t="s">
        <v>6171</v>
      </c>
      <c r="E9461" s="2350">
        <v>100</v>
      </c>
      <c r="F9461" s="2350">
        <v>20</v>
      </c>
    </row>
    <row r="9462" spans="1:6" ht="15" customHeight="1" x14ac:dyDescent="0.25">
      <c r="A9462" s="2349" t="s">
        <v>6172</v>
      </c>
      <c r="B9462" s="2349" t="s">
        <v>5950</v>
      </c>
      <c r="C9462" s="2349" t="s">
        <v>5950</v>
      </c>
      <c r="D9462" s="2349" t="s">
        <v>6172</v>
      </c>
      <c r="E9462" s="2350">
        <v>25</v>
      </c>
      <c r="F9462" s="2350">
        <v>5</v>
      </c>
    </row>
    <row r="9463" spans="1:6" ht="15" customHeight="1" x14ac:dyDescent="0.25">
      <c r="A9463" s="2349" t="s">
        <v>19549</v>
      </c>
      <c r="B9463" s="2349" t="s">
        <v>5950</v>
      </c>
      <c r="C9463" s="2349" t="s">
        <v>5950</v>
      </c>
      <c r="D9463" s="2349" t="s">
        <v>6173</v>
      </c>
      <c r="E9463" s="2350">
        <v>100</v>
      </c>
      <c r="F9463" s="2350">
        <v>20</v>
      </c>
    </row>
    <row r="9464" spans="1:6" ht="15" customHeight="1" x14ac:dyDescent="0.25">
      <c r="A9464" s="2349" t="s">
        <v>19549</v>
      </c>
      <c r="B9464" s="2349" t="s">
        <v>5950</v>
      </c>
      <c r="C9464" s="2349" t="s">
        <v>5950</v>
      </c>
      <c r="D9464" s="2349" t="s">
        <v>6174</v>
      </c>
      <c r="E9464" s="2350">
        <v>60</v>
      </c>
      <c r="F9464" s="2350">
        <v>30</v>
      </c>
    </row>
    <row r="9465" spans="1:6" ht="15" customHeight="1" x14ac:dyDescent="0.25">
      <c r="A9465" s="2349" t="s">
        <v>6175</v>
      </c>
      <c r="B9465" s="2349" t="s">
        <v>5950</v>
      </c>
      <c r="C9465" s="2349" t="s">
        <v>5950</v>
      </c>
      <c r="D9465" s="2349" t="s">
        <v>6175</v>
      </c>
      <c r="E9465" s="2350">
        <v>10</v>
      </c>
      <c r="F9465" s="2350">
        <v>2</v>
      </c>
    </row>
    <row r="9466" spans="1:6" ht="15" customHeight="1" x14ac:dyDescent="0.25">
      <c r="A9466" s="2349" t="s">
        <v>6176</v>
      </c>
      <c r="B9466" s="2349" t="s">
        <v>5950</v>
      </c>
      <c r="C9466" s="2349" t="s">
        <v>5950</v>
      </c>
      <c r="D9466" s="2349" t="s">
        <v>6176</v>
      </c>
      <c r="E9466" s="2350">
        <v>25</v>
      </c>
      <c r="F9466" s="2350">
        <v>10</v>
      </c>
    </row>
    <row r="9467" spans="1:6" ht="15" customHeight="1" x14ac:dyDescent="0.25">
      <c r="A9467" s="2349" t="s">
        <v>19550</v>
      </c>
      <c r="B9467" s="2349" t="s">
        <v>5950</v>
      </c>
      <c r="C9467" s="2349" t="s">
        <v>5950</v>
      </c>
      <c r="D9467" s="2349" t="s">
        <v>6177</v>
      </c>
      <c r="E9467" s="2350">
        <v>100</v>
      </c>
      <c r="F9467" s="2350">
        <v>10</v>
      </c>
    </row>
    <row r="9468" spans="1:6" ht="15" customHeight="1" x14ac:dyDescent="0.25">
      <c r="A9468" s="2349" t="s">
        <v>19551</v>
      </c>
      <c r="B9468" s="2349" t="s">
        <v>5950</v>
      </c>
      <c r="C9468" s="2349" t="s">
        <v>5950</v>
      </c>
      <c r="D9468" s="2349" t="s">
        <v>6178</v>
      </c>
      <c r="E9468" s="2350">
        <v>63</v>
      </c>
      <c r="F9468" s="2350">
        <v>5</v>
      </c>
    </row>
    <row r="9469" spans="1:6" ht="15" customHeight="1" x14ac:dyDescent="0.25">
      <c r="A9469" s="2349" t="s">
        <v>19551</v>
      </c>
      <c r="B9469" s="2349" t="s">
        <v>5950</v>
      </c>
      <c r="C9469" s="2349" t="s">
        <v>5950</v>
      </c>
      <c r="D9469" s="2349" t="s">
        <v>6179</v>
      </c>
      <c r="E9469" s="2350">
        <v>63</v>
      </c>
      <c r="F9469" s="2350">
        <v>50</v>
      </c>
    </row>
    <row r="9470" spans="1:6" ht="15" customHeight="1" x14ac:dyDescent="0.25">
      <c r="A9470" s="2349" t="s">
        <v>19551</v>
      </c>
      <c r="B9470" s="2349" t="s">
        <v>5950</v>
      </c>
      <c r="C9470" s="2349" t="s">
        <v>5950</v>
      </c>
      <c r="D9470" s="2349" t="s">
        <v>6180</v>
      </c>
      <c r="E9470" s="2350">
        <v>100</v>
      </c>
      <c r="F9470" s="2350">
        <v>60</v>
      </c>
    </row>
    <row r="9471" spans="1:6" ht="15" customHeight="1" x14ac:dyDescent="0.25">
      <c r="A9471" s="2349" t="s">
        <v>19551</v>
      </c>
      <c r="B9471" s="2349" t="s">
        <v>5950</v>
      </c>
      <c r="C9471" s="2349" t="s">
        <v>5950</v>
      </c>
      <c r="D9471" s="2349" t="s">
        <v>6181</v>
      </c>
      <c r="E9471" s="2350" t="s">
        <v>4199</v>
      </c>
      <c r="F9471" s="2350">
        <v>100</v>
      </c>
    </row>
    <row r="9472" spans="1:6" ht="15" customHeight="1" x14ac:dyDescent="0.25">
      <c r="A9472" s="2349" t="s">
        <v>19551</v>
      </c>
      <c r="B9472" s="2349" t="s">
        <v>5950</v>
      </c>
      <c r="C9472" s="2349" t="s">
        <v>5950</v>
      </c>
      <c r="D9472" s="2349" t="s">
        <v>6182</v>
      </c>
      <c r="E9472" s="2350">
        <v>100</v>
      </c>
      <c r="F9472" s="2350">
        <v>50</v>
      </c>
    </row>
    <row r="9473" spans="1:6" ht="15" customHeight="1" x14ac:dyDescent="0.25">
      <c r="A9473" s="2349" t="s">
        <v>19551</v>
      </c>
      <c r="B9473" s="2349" t="s">
        <v>5950</v>
      </c>
      <c r="C9473" s="2349" t="s">
        <v>5950</v>
      </c>
      <c r="D9473" s="2349" t="s">
        <v>6183</v>
      </c>
      <c r="E9473" s="2350">
        <v>100</v>
      </c>
      <c r="F9473" s="2350">
        <v>20</v>
      </c>
    </row>
    <row r="9474" spans="1:6" ht="15" customHeight="1" x14ac:dyDescent="0.25">
      <c r="A9474" s="2349" t="s">
        <v>19551</v>
      </c>
      <c r="B9474" s="2349" t="s">
        <v>5950</v>
      </c>
      <c r="C9474" s="2349" t="s">
        <v>5950</v>
      </c>
      <c r="D9474" s="2349" t="s">
        <v>6184</v>
      </c>
      <c r="E9474" s="2350">
        <v>160</v>
      </c>
      <c r="F9474" s="2350">
        <v>60</v>
      </c>
    </row>
    <row r="9475" spans="1:6" ht="15" customHeight="1" x14ac:dyDescent="0.25">
      <c r="A9475" s="2349" t="s">
        <v>19550</v>
      </c>
      <c r="B9475" s="2349" t="s">
        <v>5950</v>
      </c>
      <c r="C9475" s="2349" t="s">
        <v>5950</v>
      </c>
      <c r="D9475" s="2349" t="s">
        <v>6185</v>
      </c>
      <c r="E9475" s="2350">
        <v>100</v>
      </c>
      <c r="F9475" s="2350">
        <v>20</v>
      </c>
    </row>
    <row r="9476" spans="1:6" ht="15" customHeight="1" x14ac:dyDescent="0.25">
      <c r="A9476" s="2349" t="s">
        <v>6186</v>
      </c>
      <c r="B9476" s="2349" t="s">
        <v>5950</v>
      </c>
      <c r="C9476" s="2349" t="s">
        <v>5950</v>
      </c>
      <c r="D9476" s="2349" t="s">
        <v>6186</v>
      </c>
      <c r="E9476" s="2350">
        <v>63</v>
      </c>
      <c r="F9476" s="2350">
        <v>20</v>
      </c>
    </row>
    <row r="9477" spans="1:6" ht="15" customHeight="1" x14ac:dyDescent="0.25">
      <c r="A9477" s="2349" t="s">
        <v>19552</v>
      </c>
      <c r="B9477" s="2349" t="s">
        <v>5950</v>
      </c>
      <c r="C9477" s="2349" t="s">
        <v>5950</v>
      </c>
      <c r="D9477" s="2349" t="s">
        <v>6187</v>
      </c>
      <c r="E9477" s="2350">
        <v>100</v>
      </c>
      <c r="F9477" s="2350">
        <v>60</v>
      </c>
    </row>
    <row r="9478" spans="1:6" ht="15" customHeight="1" x14ac:dyDescent="0.25">
      <c r="A9478" s="2349" t="s">
        <v>6188</v>
      </c>
      <c r="B9478" s="2349" t="s">
        <v>5950</v>
      </c>
      <c r="C9478" s="2349" t="s">
        <v>5950</v>
      </c>
      <c r="D9478" s="2349" t="s">
        <v>6188</v>
      </c>
      <c r="E9478" s="2350">
        <v>63</v>
      </c>
      <c r="F9478" s="2350">
        <v>50</v>
      </c>
    </row>
    <row r="9479" spans="1:6" ht="15" customHeight="1" x14ac:dyDescent="0.25">
      <c r="A9479" s="2349" t="s">
        <v>19551</v>
      </c>
      <c r="B9479" s="2349" t="s">
        <v>5950</v>
      </c>
      <c r="C9479" s="2349" t="s">
        <v>5950</v>
      </c>
      <c r="D9479" s="2349" t="s">
        <v>6178</v>
      </c>
      <c r="E9479" s="2350">
        <v>63</v>
      </c>
      <c r="F9479" s="2350">
        <v>5</v>
      </c>
    </row>
    <row r="9480" spans="1:6" ht="15" customHeight="1" x14ac:dyDescent="0.25">
      <c r="A9480" s="2349" t="s">
        <v>19551</v>
      </c>
      <c r="B9480" s="2349" t="s">
        <v>5950</v>
      </c>
      <c r="C9480" s="2349" t="s">
        <v>5950</v>
      </c>
      <c r="D9480" s="2349" t="s">
        <v>6189</v>
      </c>
      <c r="E9480" s="2350">
        <v>63</v>
      </c>
      <c r="F9480" s="2350">
        <v>55</v>
      </c>
    </row>
    <row r="9481" spans="1:6" ht="15" customHeight="1" x14ac:dyDescent="0.25">
      <c r="A9481" s="2349" t="s">
        <v>6190</v>
      </c>
      <c r="B9481" s="2349" t="s">
        <v>5950</v>
      </c>
      <c r="C9481" s="2349" t="s">
        <v>5950</v>
      </c>
      <c r="D9481" s="2349" t="s">
        <v>6190</v>
      </c>
      <c r="E9481" s="2350">
        <v>60</v>
      </c>
      <c r="F9481" s="2350">
        <v>10</v>
      </c>
    </row>
    <row r="9482" spans="1:6" ht="15" customHeight="1" x14ac:dyDescent="0.25">
      <c r="A9482" s="2349" t="s">
        <v>6191</v>
      </c>
      <c r="B9482" s="2349" t="s">
        <v>5950</v>
      </c>
      <c r="C9482" s="2349" t="s">
        <v>5950</v>
      </c>
      <c r="D9482" s="2349" t="s">
        <v>6191</v>
      </c>
      <c r="E9482" s="2350">
        <v>30</v>
      </c>
      <c r="F9482" s="2350">
        <v>5</v>
      </c>
    </row>
    <row r="9483" spans="1:6" ht="15" customHeight="1" x14ac:dyDescent="0.25">
      <c r="A9483" s="2349" t="s">
        <v>6192</v>
      </c>
      <c r="B9483" s="2349" t="s">
        <v>5950</v>
      </c>
      <c r="C9483" s="2349" t="s">
        <v>5950</v>
      </c>
      <c r="D9483" s="2349" t="s">
        <v>6192</v>
      </c>
      <c r="E9483" s="2350">
        <v>100</v>
      </c>
      <c r="F9483" s="2350">
        <v>50</v>
      </c>
    </row>
    <row r="9484" spans="1:6" ht="15" customHeight="1" x14ac:dyDescent="0.25">
      <c r="A9484" s="2349" t="s">
        <v>6193</v>
      </c>
      <c r="B9484" s="2349" t="s">
        <v>5950</v>
      </c>
      <c r="C9484" s="2349" t="s">
        <v>5950</v>
      </c>
      <c r="D9484" s="2349" t="s">
        <v>6193</v>
      </c>
      <c r="E9484" s="2350">
        <v>63</v>
      </c>
      <c r="F9484" s="2350">
        <v>20</v>
      </c>
    </row>
    <row r="9485" spans="1:6" ht="15" customHeight="1" x14ac:dyDescent="0.25">
      <c r="A9485" s="2349" t="s">
        <v>19553</v>
      </c>
      <c r="B9485" s="2349" t="s">
        <v>5950</v>
      </c>
      <c r="C9485" s="2349" t="s">
        <v>5950</v>
      </c>
      <c r="D9485" s="2349" t="s">
        <v>6194</v>
      </c>
      <c r="E9485" s="2350">
        <v>100</v>
      </c>
      <c r="F9485" s="2350">
        <v>30</v>
      </c>
    </row>
    <row r="9486" spans="1:6" ht="15" customHeight="1" x14ac:dyDescent="0.25">
      <c r="A9486" s="2349" t="s">
        <v>19553</v>
      </c>
      <c r="B9486" s="2349" t="s">
        <v>5950</v>
      </c>
      <c r="C9486" s="2349" t="s">
        <v>5950</v>
      </c>
      <c r="D9486" s="2349" t="s">
        <v>6195</v>
      </c>
      <c r="E9486" s="2350">
        <v>160</v>
      </c>
      <c r="F9486" s="2350">
        <v>60</v>
      </c>
    </row>
    <row r="9487" spans="1:6" ht="15" customHeight="1" x14ac:dyDescent="0.25">
      <c r="A9487" s="2349" t="s">
        <v>19553</v>
      </c>
      <c r="B9487" s="2349" t="s">
        <v>5950</v>
      </c>
      <c r="C9487" s="2349" t="s">
        <v>5950</v>
      </c>
      <c r="D9487" s="2349" t="s">
        <v>6196</v>
      </c>
      <c r="E9487" s="2350">
        <v>160</v>
      </c>
      <c r="F9487" s="2350">
        <v>120</v>
      </c>
    </row>
    <row r="9488" spans="1:6" ht="15" customHeight="1" x14ac:dyDescent="0.25">
      <c r="A9488" s="2349" t="s">
        <v>19554</v>
      </c>
      <c r="B9488" s="2349" t="s">
        <v>5950</v>
      </c>
      <c r="C9488" s="2349" t="s">
        <v>5950</v>
      </c>
      <c r="D9488" s="2349" t="s">
        <v>6197</v>
      </c>
      <c r="E9488" s="2350">
        <v>100</v>
      </c>
      <c r="F9488" s="2350">
        <v>80</v>
      </c>
    </row>
    <row r="9489" spans="1:6" ht="15" customHeight="1" x14ac:dyDescent="0.25">
      <c r="A9489" s="2349" t="s">
        <v>19554</v>
      </c>
      <c r="B9489" s="2349" t="s">
        <v>5950</v>
      </c>
      <c r="C9489" s="2349" t="s">
        <v>5950</v>
      </c>
      <c r="D9489" s="2349" t="s">
        <v>6198</v>
      </c>
      <c r="E9489" s="2350">
        <v>100</v>
      </c>
      <c r="F9489" s="2350">
        <v>40</v>
      </c>
    </row>
    <row r="9490" spans="1:6" ht="15" customHeight="1" x14ac:dyDescent="0.25">
      <c r="A9490" s="2349" t="s">
        <v>19554</v>
      </c>
      <c r="B9490" s="2349" t="s">
        <v>5950</v>
      </c>
      <c r="C9490" s="2349" t="s">
        <v>5950</v>
      </c>
      <c r="D9490" s="2349" t="s">
        <v>6199</v>
      </c>
      <c r="E9490" s="2350">
        <v>160</v>
      </c>
      <c r="F9490" s="2350">
        <v>60</v>
      </c>
    </row>
    <row r="9491" spans="1:6" ht="15" customHeight="1" x14ac:dyDescent="0.25">
      <c r="A9491" s="2349" t="s">
        <v>19553</v>
      </c>
      <c r="B9491" s="2349" t="s">
        <v>5950</v>
      </c>
      <c r="C9491" s="2349" t="s">
        <v>5950</v>
      </c>
      <c r="D9491" s="2349" t="s">
        <v>6200</v>
      </c>
      <c r="E9491" s="2350">
        <v>40</v>
      </c>
      <c r="F9491" s="2350">
        <v>20</v>
      </c>
    </row>
    <row r="9492" spans="1:6" ht="15" customHeight="1" x14ac:dyDescent="0.25">
      <c r="A9492" s="2349" t="s">
        <v>6201</v>
      </c>
      <c r="B9492" s="2349" t="s">
        <v>5950</v>
      </c>
      <c r="C9492" s="2349" t="s">
        <v>5950</v>
      </c>
      <c r="D9492" s="2349" t="s">
        <v>6201</v>
      </c>
      <c r="E9492" s="2350">
        <v>40</v>
      </c>
      <c r="F9492" s="2350">
        <v>10</v>
      </c>
    </row>
    <row r="9493" spans="1:6" ht="15" customHeight="1" x14ac:dyDescent="0.25">
      <c r="A9493" s="2349" t="s">
        <v>6202</v>
      </c>
      <c r="B9493" s="2349" t="s">
        <v>5950</v>
      </c>
      <c r="C9493" s="2349" t="s">
        <v>5950</v>
      </c>
      <c r="D9493" s="2349" t="s">
        <v>6202</v>
      </c>
      <c r="E9493" s="2350">
        <v>100</v>
      </c>
      <c r="F9493" s="2350">
        <v>40</v>
      </c>
    </row>
    <row r="9494" spans="1:6" ht="15" customHeight="1" x14ac:dyDescent="0.25">
      <c r="A9494" s="2349" t="s">
        <v>6203</v>
      </c>
      <c r="B9494" s="2349" t="s">
        <v>5950</v>
      </c>
      <c r="C9494" s="2349" t="s">
        <v>5950</v>
      </c>
      <c r="D9494" s="2349" t="s">
        <v>6203</v>
      </c>
      <c r="E9494" s="2350">
        <v>63</v>
      </c>
      <c r="F9494" s="2350">
        <v>30</v>
      </c>
    </row>
    <row r="9495" spans="1:6" ht="15" customHeight="1" x14ac:dyDescent="0.25">
      <c r="A9495" s="2349" t="s">
        <v>6204</v>
      </c>
      <c r="B9495" s="2349" t="s">
        <v>5950</v>
      </c>
      <c r="C9495" s="2349" t="s">
        <v>5950</v>
      </c>
      <c r="D9495" s="2349" t="s">
        <v>6204</v>
      </c>
      <c r="E9495" s="2350">
        <v>30</v>
      </c>
      <c r="F9495" s="2350">
        <v>20</v>
      </c>
    </row>
    <row r="9496" spans="1:6" ht="15" customHeight="1" x14ac:dyDescent="0.25">
      <c r="A9496" s="2349" t="s">
        <v>6205</v>
      </c>
      <c r="B9496" s="2349" t="s">
        <v>5950</v>
      </c>
      <c r="C9496" s="2349" t="s">
        <v>5950</v>
      </c>
      <c r="D9496" s="2349" t="s">
        <v>6205</v>
      </c>
      <c r="E9496" s="2350">
        <v>30</v>
      </c>
      <c r="F9496" s="2350">
        <v>10</v>
      </c>
    </row>
    <row r="9497" spans="1:6" ht="15" customHeight="1" x14ac:dyDescent="0.25">
      <c r="A9497" s="2349" t="s">
        <v>19555</v>
      </c>
      <c r="B9497" s="2349" t="s">
        <v>5950</v>
      </c>
      <c r="C9497" s="2349" t="s">
        <v>5950</v>
      </c>
      <c r="D9497" s="2349" t="s">
        <v>6206</v>
      </c>
      <c r="E9497" s="2350">
        <v>250</v>
      </c>
      <c r="F9497" s="2350">
        <v>200</v>
      </c>
    </row>
    <row r="9498" spans="1:6" ht="15" customHeight="1" x14ac:dyDescent="0.25">
      <c r="A9498" s="2349" t="s">
        <v>19555</v>
      </c>
      <c r="B9498" s="2349" t="s">
        <v>5950</v>
      </c>
      <c r="C9498" s="2349" t="s">
        <v>5950</v>
      </c>
      <c r="D9498" s="2349" t="s">
        <v>6207</v>
      </c>
      <c r="E9498" s="2350">
        <v>250</v>
      </c>
      <c r="F9498" s="2350">
        <v>100</v>
      </c>
    </row>
    <row r="9499" spans="1:6" ht="15" customHeight="1" x14ac:dyDescent="0.25">
      <c r="A9499" s="2349" t="s">
        <v>6208</v>
      </c>
      <c r="B9499" s="2349" t="s">
        <v>5950</v>
      </c>
      <c r="C9499" s="2349" t="s">
        <v>5950</v>
      </c>
      <c r="D9499" s="2349" t="s">
        <v>6208</v>
      </c>
      <c r="E9499" s="2350">
        <v>60</v>
      </c>
      <c r="F9499" s="2350">
        <v>10</v>
      </c>
    </row>
    <row r="9500" spans="1:6" ht="15" customHeight="1" x14ac:dyDescent="0.25">
      <c r="A9500" s="2349" t="s">
        <v>19556</v>
      </c>
      <c r="B9500" s="2349" t="s">
        <v>5950</v>
      </c>
      <c r="C9500" s="2349" t="s">
        <v>5950</v>
      </c>
      <c r="D9500" s="2349" t="s">
        <v>6209</v>
      </c>
      <c r="E9500" s="2350">
        <v>100</v>
      </c>
      <c r="F9500" s="2350">
        <v>80</v>
      </c>
    </row>
    <row r="9501" spans="1:6" ht="15" customHeight="1" x14ac:dyDescent="0.25">
      <c r="A9501" s="2349" t="s">
        <v>6210</v>
      </c>
      <c r="B9501" s="2349" t="s">
        <v>5950</v>
      </c>
      <c r="C9501" s="2349" t="s">
        <v>5950</v>
      </c>
      <c r="D9501" s="2349" t="s">
        <v>6210</v>
      </c>
      <c r="E9501" s="2350">
        <v>30</v>
      </c>
      <c r="F9501" s="2350">
        <v>20</v>
      </c>
    </row>
    <row r="9502" spans="1:6" ht="15" customHeight="1" x14ac:dyDescent="0.25">
      <c r="A9502" s="2349" t="s">
        <v>6211</v>
      </c>
      <c r="B9502" s="2349" t="s">
        <v>5950</v>
      </c>
      <c r="C9502" s="2349" t="s">
        <v>5950</v>
      </c>
      <c r="D9502" s="2349" t="s">
        <v>6211</v>
      </c>
      <c r="E9502" s="2350">
        <v>10</v>
      </c>
      <c r="F9502" s="2350">
        <v>6</v>
      </c>
    </row>
    <row r="9503" spans="1:6" ht="15" customHeight="1" x14ac:dyDescent="0.25">
      <c r="A9503" s="2349" t="s">
        <v>19557</v>
      </c>
      <c r="B9503" s="2349" t="s">
        <v>5950</v>
      </c>
      <c r="C9503" s="2349" t="s">
        <v>5950</v>
      </c>
      <c r="D9503" s="2349" t="s">
        <v>6212</v>
      </c>
      <c r="E9503" s="2350">
        <v>60</v>
      </c>
      <c r="F9503" s="2350">
        <v>20</v>
      </c>
    </row>
    <row r="9504" spans="1:6" ht="15" customHeight="1" x14ac:dyDescent="0.25">
      <c r="A9504" s="2349" t="s">
        <v>19558</v>
      </c>
      <c r="B9504" s="2349" t="s">
        <v>5950</v>
      </c>
      <c r="C9504" s="2349" t="s">
        <v>5950</v>
      </c>
      <c r="D9504" s="2349" t="s">
        <v>6213</v>
      </c>
      <c r="E9504" s="2350">
        <v>100</v>
      </c>
      <c r="F9504" s="2350">
        <v>50</v>
      </c>
    </row>
    <row r="9505" spans="1:6" ht="15" customHeight="1" x14ac:dyDescent="0.25">
      <c r="A9505" s="2349" t="s">
        <v>19558</v>
      </c>
      <c r="B9505" s="2349" t="s">
        <v>5950</v>
      </c>
      <c r="C9505" s="2349" t="s">
        <v>5950</v>
      </c>
      <c r="D9505" s="2349" t="s">
        <v>6214</v>
      </c>
      <c r="E9505" s="2350">
        <v>160</v>
      </c>
      <c r="F9505" s="2350">
        <v>100</v>
      </c>
    </row>
    <row r="9506" spans="1:6" ht="15" customHeight="1" x14ac:dyDescent="0.25">
      <c r="A9506" s="2349" t="s">
        <v>6215</v>
      </c>
      <c r="B9506" s="2349" t="s">
        <v>5950</v>
      </c>
      <c r="C9506" s="2349" t="s">
        <v>5950</v>
      </c>
      <c r="D9506" s="2349" t="s">
        <v>6215</v>
      </c>
      <c r="E9506" s="2350">
        <v>100</v>
      </c>
      <c r="F9506" s="2350">
        <v>60</v>
      </c>
    </row>
    <row r="9507" spans="1:6" ht="15" customHeight="1" x14ac:dyDescent="0.25">
      <c r="A9507" s="2349" t="s">
        <v>6216</v>
      </c>
      <c r="B9507" s="2349" t="s">
        <v>5950</v>
      </c>
      <c r="C9507" s="2349" t="s">
        <v>5950</v>
      </c>
      <c r="D9507" s="2349" t="s">
        <v>6216</v>
      </c>
      <c r="E9507" s="2350">
        <v>30</v>
      </c>
      <c r="F9507" s="2350">
        <v>10</v>
      </c>
    </row>
    <row r="9508" spans="1:6" ht="15" customHeight="1" x14ac:dyDescent="0.25">
      <c r="A9508" s="2349" t="s">
        <v>6216</v>
      </c>
      <c r="B9508" s="2349" t="s">
        <v>5950</v>
      </c>
      <c r="C9508" s="2349" t="s">
        <v>5950</v>
      </c>
      <c r="D9508" s="2349" t="s">
        <v>6217</v>
      </c>
      <c r="E9508" s="2350">
        <v>160</v>
      </c>
      <c r="F9508" s="2350">
        <v>100</v>
      </c>
    </row>
    <row r="9509" spans="1:6" ht="15" customHeight="1" x14ac:dyDescent="0.25">
      <c r="A9509" s="2349" t="s">
        <v>19559</v>
      </c>
      <c r="B9509" s="2349" t="s">
        <v>5950</v>
      </c>
      <c r="C9509" s="2349" t="s">
        <v>5950</v>
      </c>
      <c r="D9509" s="2349" t="s">
        <v>6218</v>
      </c>
      <c r="E9509" s="2350">
        <v>100</v>
      </c>
      <c r="F9509" s="2350">
        <v>80</v>
      </c>
    </row>
    <row r="9510" spans="1:6" ht="15" customHeight="1" x14ac:dyDescent="0.25">
      <c r="A9510" s="2349" t="s">
        <v>6219</v>
      </c>
      <c r="B9510" s="2349" t="s">
        <v>5950</v>
      </c>
      <c r="C9510" s="2349" t="s">
        <v>5950</v>
      </c>
      <c r="D9510" s="2349" t="s">
        <v>6219</v>
      </c>
      <c r="E9510" s="2350">
        <v>30</v>
      </c>
      <c r="F9510" s="2350">
        <v>10</v>
      </c>
    </row>
    <row r="9511" spans="1:6" ht="15" customHeight="1" x14ac:dyDescent="0.25">
      <c r="A9511" s="2349" t="s">
        <v>6220</v>
      </c>
      <c r="B9511" s="2349" t="s">
        <v>5950</v>
      </c>
      <c r="C9511" s="2349" t="s">
        <v>5950</v>
      </c>
      <c r="D9511" s="2349" t="s">
        <v>6220</v>
      </c>
      <c r="E9511" s="2350">
        <v>10</v>
      </c>
      <c r="F9511" s="2350">
        <v>5</v>
      </c>
    </row>
    <row r="9512" spans="1:6" ht="15" customHeight="1" x14ac:dyDescent="0.25">
      <c r="A9512" s="2349" t="s">
        <v>6221</v>
      </c>
      <c r="B9512" s="2349" t="s">
        <v>5950</v>
      </c>
      <c r="C9512" s="2349" t="s">
        <v>5950</v>
      </c>
      <c r="D9512" s="2349" t="s">
        <v>6221</v>
      </c>
      <c r="E9512" s="2350">
        <v>100</v>
      </c>
      <c r="F9512" s="2350">
        <v>20</v>
      </c>
    </row>
    <row r="9513" spans="1:6" ht="15" customHeight="1" x14ac:dyDescent="0.25">
      <c r="A9513" s="2349" t="s">
        <v>19555</v>
      </c>
      <c r="B9513" s="2349" t="s">
        <v>5950</v>
      </c>
      <c r="C9513" s="2349" t="s">
        <v>5950</v>
      </c>
      <c r="D9513" s="2349" t="s">
        <v>6222</v>
      </c>
      <c r="E9513" s="2350">
        <v>63</v>
      </c>
      <c r="F9513" s="2350">
        <v>20</v>
      </c>
    </row>
    <row r="9514" spans="1:6" ht="15" customHeight="1" x14ac:dyDescent="0.25">
      <c r="A9514" s="2349" t="s">
        <v>19555</v>
      </c>
      <c r="B9514" s="2349" t="s">
        <v>5950</v>
      </c>
      <c r="C9514" s="2349" t="s">
        <v>5950</v>
      </c>
      <c r="D9514" s="2349" t="s">
        <v>6223</v>
      </c>
      <c r="E9514" s="2350">
        <v>30</v>
      </c>
      <c r="F9514" s="2350">
        <v>21</v>
      </c>
    </row>
    <row r="9515" spans="1:6" ht="15" customHeight="1" x14ac:dyDescent="0.25">
      <c r="A9515" s="2349" t="s">
        <v>19560</v>
      </c>
      <c r="B9515" s="2349" t="s">
        <v>5950</v>
      </c>
      <c r="C9515" s="2349" t="s">
        <v>5950</v>
      </c>
      <c r="D9515" s="2349" t="s">
        <v>6224</v>
      </c>
      <c r="E9515" s="2350">
        <v>30</v>
      </c>
      <c r="F9515" s="2350">
        <v>10</v>
      </c>
    </row>
    <row r="9516" spans="1:6" ht="15" customHeight="1" x14ac:dyDescent="0.25">
      <c r="A9516" s="2349" t="s">
        <v>6225</v>
      </c>
      <c r="B9516" s="2349" t="s">
        <v>5950</v>
      </c>
      <c r="C9516" s="2349" t="s">
        <v>5950</v>
      </c>
      <c r="D9516" s="2349" t="s">
        <v>6225</v>
      </c>
      <c r="E9516" s="2350">
        <v>160</v>
      </c>
      <c r="F9516" s="2350">
        <v>50</v>
      </c>
    </row>
    <row r="9517" spans="1:6" ht="15" customHeight="1" x14ac:dyDescent="0.25">
      <c r="A9517" s="2349" t="s">
        <v>19561</v>
      </c>
      <c r="B9517" s="2349" t="s">
        <v>5950</v>
      </c>
      <c r="C9517" s="2349" t="s">
        <v>5950</v>
      </c>
      <c r="D9517" s="2349" t="s">
        <v>6226</v>
      </c>
      <c r="E9517" s="2350">
        <v>400</v>
      </c>
      <c r="F9517" s="2350">
        <v>300</v>
      </c>
    </row>
    <row r="9518" spans="1:6" ht="15" customHeight="1" x14ac:dyDescent="0.25">
      <c r="A9518" s="2349" t="s">
        <v>6227</v>
      </c>
      <c r="B9518" s="2349" t="s">
        <v>5950</v>
      </c>
      <c r="C9518" s="2349" t="s">
        <v>5950</v>
      </c>
      <c r="D9518" s="2349" t="s">
        <v>6227</v>
      </c>
      <c r="E9518" s="2350">
        <v>63</v>
      </c>
      <c r="F9518" s="2350">
        <v>40</v>
      </c>
    </row>
    <row r="9519" spans="1:6" ht="15" customHeight="1" x14ac:dyDescent="0.25">
      <c r="A9519" s="2349" t="s">
        <v>6228</v>
      </c>
      <c r="B9519" s="2349" t="s">
        <v>5950</v>
      </c>
      <c r="C9519" s="2349" t="s">
        <v>5950</v>
      </c>
      <c r="D9519" s="2349" t="s">
        <v>6228</v>
      </c>
      <c r="E9519" s="2350">
        <v>50</v>
      </c>
      <c r="F9519" s="2350">
        <v>10</v>
      </c>
    </row>
    <row r="9520" spans="1:6" ht="15" customHeight="1" x14ac:dyDescent="0.25">
      <c r="A9520" s="2349" t="s">
        <v>6229</v>
      </c>
      <c r="B9520" s="2349" t="s">
        <v>5950</v>
      </c>
      <c r="C9520" s="2349" t="s">
        <v>5950</v>
      </c>
      <c r="D9520" s="2349" t="s">
        <v>6229</v>
      </c>
      <c r="E9520" s="2350">
        <v>63</v>
      </c>
      <c r="F9520" s="2350">
        <v>20</v>
      </c>
    </row>
    <row r="9521" spans="1:6" ht="15" customHeight="1" x14ac:dyDescent="0.25">
      <c r="A9521" s="2349" t="s">
        <v>6230</v>
      </c>
      <c r="B9521" s="2349" t="s">
        <v>5950</v>
      </c>
      <c r="C9521" s="2349" t="s">
        <v>5950</v>
      </c>
      <c r="D9521" s="2349" t="s">
        <v>6230</v>
      </c>
      <c r="E9521" s="2350">
        <v>100</v>
      </c>
      <c r="F9521" s="2350">
        <v>56</v>
      </c>
    </row>
    <row r="9522" spans="1:6" ht="15" customHeight="1" x14ac:dyDescent="0.25">
      <c r="A9522" s="2349" t="s">
        <v>6231</v>
      </c>
      <c r="B9522" s="2349" t="s">
        <v>5950</v>
      </c>
      <c r="C9522" s="2349" t="s">
        <v>5950</v>
      </c>
      <c r="D9522" s="2349" t="s">
        <v>6231</v>
      </c>
      <c r="E9522" s="2350">
        <v>60</v>
      </c>
      <c r="F9522" s="2350">
        <v>30</v>
      </c>
    </row>
    <row r="9523" spans="1:6" ht="15" customHeight="1" x14ac:dyDescent="0.25">
      <c r="A9523" s="2349" t="s">
        <v>6232</v>
      </c>
      <c r="B9523" s="2349" t="s">
        <v>5950</v>
      </c>
      <c r="C9523" s="2349" t="s">
        <v>5950</v>
      </c>
      <c r="D9523" s="2349" t="s">
        <v>6232</v>
      </c>
      <c r="E9523" s="2350">
        <v>60</v>
      </c>
      <c r="F9523" s="2350">
        <v>20</v>
      </c>
    </row>
    <row r="9524" spans="1:6" ht="15" customHeight="1" x14ac:dyDescent="0.25">
      <c r="A9524" s="2349" t="s">
        <v>6233</v>
      </c>
      <c r="B9524" s="2349" t="s">
        <v>5950</v>
      </c>
      <c r="C9524" s="2349" t="s">
        <v>5950</v>
      </c>
      <c r="D9524" s="2349" t="s">
        <v>6222</v>
      </c>
      <c r="E9524" s="2350">
        <v>160</v>
      </c>
      <c r="F9524" s="2350">
        <v>100</v>
      </c>
    </row>
    <row r="9525" spans="1:6" ht="15" customHeight="1" x14ac:dyDescent="0.25">
      <c r="A9525" s="2349" t="s">
        <v>6233</v>
      </c>
      <c r="B9525" s="2349" t="s">
        <v>5950</v>
      </c>
      <c r="C9525" s="2349" t="s">
        <v>5950</v>
      </c>
      <c r="D9525" s="2349" t="s">
        <v>6234</v>
      </c>
      <c r="E9525" s="2350">
        <v>100</v>
      </c>
      <c r="F9525" s="2350">
        <v>80</v>
      </c>
    </row>
    <row r="9526" spans="1:6" ht="15" customHeight="1" x14ac:dyDescent="0.25">
      <c r="A9526" s="2349" t="s">
        <v>6233</v>
      </c>
      <c r="B9526" s="2349" t="s">
        <v>5950</v>
      </c>
      <c r="C9526" s="2349" t="s">
        <v>5950</v>
      </c>
      <c r="D9526" s="2349" t="s">
        <v>6235</v>
      </c>
      <c r="E9526" s="2350">
        <v>160</v>
      </c>
      <c r="F9526" s="2350">
        <v>20</v>
      </c>
    </row>
    <row r="9527" spans="1:6" ht="15" customHeight="1" x14ac:dyDescent="0.25">
      <c r="A9527" s="2349" t="s">
        <v>19562</v>
      </c>
      <c r="B9527" s="2349" t="s">
        <v>5950</v>
      </c>
      <c r="C9527" s="2349" t="s">
        <v>5950</v>
      </c>
      <c r="D9527" s="2349" t="s">
        <v>6236</v>
      </c>
      <c r="E9527" s="2350">
        <v>100</v>
      </c>
      <c r="F9527" s="2350">
        <v>55</v>
      </c>
    </row>
    <row r="9528" spans="1:6" ht="15" customHeight="1" x14ac:dyDescent="0.25">
      <c r="A9528" s="2349" t="s">
        <v>6237</v>
      </c>
      <c r="B9528" s="2349" t="s">
        <v>5950</v>
      </c>
      <c r="C9528" s="2349" t="s">
        <v>5950</v>
      </c>
      <c r="D9528" s="2349" t="s">
        <v>6237</v>
      </c>
      <c r="E9528" s="2350">
        <v>63</v>
      </c>
      <c r="F9528" s="2350">
        <v>5</v>
      </c>
    </row>
    <row r="9529" spans="1:6" ht="15" customHeight="1" x14ac:dyDescent="0.25">
      <c r="A9529" s="2349" t="s">
        <v>6238</v>
      </c>
      <c r="B9529" s="2349" t="s">
        <v>5950</v>
      </c>
      <c r="C9529" s="2349" t="s">
        <v>5950</v>
      </c>
      <c r="D9529" s="2349" t="s">
        <v>6239</v>
      </c>
      <c r="E9529" s="2350">
        <v>160</v>
      </c>
      <c r="F9529" s="2350">
        <v>100</v>
      </c>
    </row>
    <row r="9530" spans="1:6" ht="15" customHeight="1" x14ac:dyDescent="0.25">
      <c r="A9530" s="2349" t="s">
        <v>6238</v>
      </c>
      <c r="B9530" s="2349" t="s">
        <v>5950</v>
      </c>
      <c r="C9530" s="2349" t="s">
        <v>5950</v>
      </c>
      <c r="D9530" s="2349" t="s">
        <v>6240</v>
      </c>
      <c r="E9530" s="2350">
        <v>100</v>
      </c>
      <c r="F9530" s="2350">
        <v>50</v>
      </c>
    </row>
    <row r="9531" spans="1:6" ht="15" customHeight="1" x14ac:dyDescent="0.25">
      <c r="A9531" s="2349" t="s">
        <v>6241</v>
      </c>
      <c r="B9531" s="2349" t="s">
        <v>5950</v>
      </c>
      <c r="C9531" s="2349" t="s">
        <v>5950</v>
      </c>
      <c r="D9531" s="2349" t="s">
        <v>6241</v>
      </c>
      <c r="E9531" s="2350">
        <v>30</v>
      </c>
      <c r="F9531" s="2350">
        <v>10</v>
      </c>
    </row>
    <row r="9532" spans="1:6" ht="15" customHeight="1" x14ac:dyDescent="0.25">
      <c r="A9532" s="2349" t="s">
        <v>6242</v>
      </c>
      <c r="B9532" s="2349" t="s">
        <v>5950</v>
      </c>
      <c r="C9532" s="2349" t="s">
        <v>5950</v>
      </c>
      <c r="D9532" s="2349" t="s">
        <v>6242</v>
      </c>
      <c r="E9532" s="2350">
        <v>100</v>
      </c>
      <c r="F9532" s="2350">
        <v>35</v>
      </c>
    </row>
    <row r="9533" spans="1:6" ht="15" customHeight="1" x14ac:dyDescent="0.25">
      <c r="A9533" s="2349" t="s">
        <v>6243</v>
      </c>
      <c r="B9533" s="2349" t="s">
        <v>5950</v>
      </c>
      <c r="C9533" s="2349" t="s">
        <v>5950</v>
      </c>
      <c r="D9533" s="2349" t="s">
        <v>6243</v>
      </c>
      <c r="E9533" s="2350">
        <v>160</v>
      </c>
      <c r="F9533" s="2350">
        <v>30</v>
      </c>
    </row>
    <row r="9534" spans="1:6" ht="15" customHeight="1" x14ac:dyDescent="0.25">
      <c r="A9534" s="2349" t="s">
        <v>19563</v>
      </c>
      <c r="B9534" s="2349" t="s">
        <v>5950</v>
      </c>
      <c r="C9534" s="2349" t="s">
        <v>5950</v>
      </c>
      <c r="D9534" s="2349" t="s">
        <v>6244</v>
      </c>
      <c r="E9534" s="2350">
        <v>250</v>
      </c>
      <c r="F9534" s="2350">
        <v>200</v>
      </c>
    </row>
    <row r="9535" spans="1:6" ht="15" customHeight="1" x14ac:dyDescent="0.25">
      <c r="A9535" s="2349" t="s">
        <v>19564</v>
      </c>
      <c r="B9535" s="2349" t="s">
        <v>5950</v>
      </c>
      <c r="C9535" s="2349" t="s">
        <v>5950</v>
      </c>
      <c r="D9535" s="2349" t="s">
        <v>6245</v>
      </c>
      <c r="E9535" s="2350">
        <v>30</v>
      </c>
      <c r="F9535" s="2350">
        <v>5</v>
      </c>
    </row>
    <row r="9536" spans="1:6" ht="15" customHeight="1" x14ac:dyDescent="0.25">
      <c r="A9536" s="2349" t="s">
        <v>6246</v>
      </c>
      <c r="B9536" s="2349" t="s">
        <v>5950</v>
      </c>
      <c r="C9536" s="2349" t="s">
        <v>5950</v>
      </c>
      <c r="D9536" s="2349" t="s">
        <v>6247</v>
      </c>
      <c r="E9536" s="2350">
        <v>100</v>
      </c>
      <c r="F9536" s="2350">
        <v>20</v>
      </c>
    </row>
    <row r="9537" spans="1:6" ht="15" customHeight="1" x14ac:dyDescent="0.25">
      <c r="A9537" s="2349" t="s">
        <v>6248</v>
      </c>
      <c r="B9537" s="2349" t="s">
        <v>5950</v>
      </c>
      <c r="C9537" s="2349" t="s">
        <v>5950</v>
      </c>
      <c r="D9537" s="2349" t="s">
        <v>6248</v>
      </c>
      <c r="E9537" s="2350">
        <v>60</v>
      </c>
      <c r="F9537" s="2350">
        <v>10</v>
      </c>
    </row>
    <row r="9538" spans="1:6" ht="15" customHeight="1" x14ac:dyDescent="0.25">
      <c r="A9538" s="2349" t="s">
        <v>6249</v>
      </c>
      <c r="B9538" s="2349" t="s">
        <v>5950</v>
      </c>
      <c r="C9538" s="2349" t="s">
        <v>5950</v>
      </c>
      <c r="D9538" s="2349" t="s">
        <v>6250</v>
      </c>
      <c r="E9538" s="2350">
        <v>30</v>
      </c>
      <c r="F9538" s="2350">
        <v>5</v>
      </c>
    </row>
    <row r="9539" spans="1:6" ht="15" customHeight="1" x14ac:dyDescent="0.25">
      <c r="A9539" s="2349" t="s">
        <v>19565</v>
      </c>
      <c r="B9539" s="2349" t="s">
        <v>5950</v>
      </c>
      <c r="C9539" s="2349" t="s">
        <v>5950</v>
      </c>
      <c r="D9539" s="2349" t="s">
        <v>6251</v>
      </c>
      <c r="E9539" s="2350">
        <v>63</v>
      </c>
      <c r="F9539" s="2350">
        <v>3</v>
      </c>
    </row>
    <row r="9540" spans="1:6" ht="15" customHeight="1" x14ac:dyDescent="0.25">
      <c r="A9540" s="2349" t="s">
        <v>6172</v>
      </c>
      <c r="B9540" s="2349" t="s">
        <v>5950</v>
      </c>
      <c r="C9540" s="2349" t="s">
        <v>5950</v>
      </c>
      <c r="D9540" s="2349" t="s">
        <v>6172</v>
      </c>
      <c r="E9540" s="2350">
        <v>60</v>
      </c>
      <c r="F9540" s="2350">
        <v>20</v>
      </c>
    </row>
    <row r="9541" spans="1:6" ht="15" customHeight="1" x14ac:dyDescent="0.25">
      <c r="A9541" s="2349" t="s">
        <v>19565</v>
      </c>
      <c r="B9541" s="2349" t="s">
        <v>5950</v>
      </c>
      <c r="C9541" s="2349" t="s">
        <v>5950</v>
      </c>
      <c r="D9541" s="2349" t="s">
        <v>6252</v>
      </c>
      <c r="E9541" s="2350">
        <v>100</v>
      </c>
      <c r="F9541" s="2350">
        <v>80</v>
      </c>
    </row>
    <row r="9542" spans="1:6" ht="15" customHeight="1" x14ac:dyDescent="0.25">
      <c r="A9542" s="2349" t="s">
        <v>6231</v>
      </c>
      <c r="B9542" s="2349" t="s">
        <v>5950</v>
      </c>
      <c r="C9542" s="2349" t="s">
        <v>5950</v>
      </c>
      <c r="D9542" s="2349" t="s">
        <v>6253</v>
      </c>
      <c r="E9542" s="2350">
        <v>63</v>
      </c>
      <c r="F9542" s="2350">
        <v>30</v>
      </c>
    </row>
    <row r="9543" spans="1:6" ht="15" customHeight="1" x14ac:dyDescent="0.25">
      <c r="A9543" s="2349" t="s">
        <v>6254</v>
      </c>
      <c r="B9543" s="2349" t="s">
        <v>5950</v>
      </c>
      <c r="C9543" s="2349" t="s">
        <v>5950</v>
      </c>
      <c r="D9543" s="2349" t="s">
        <v>6254</v>
      </c>
      <c r="E9543" s="2350">
        <v>63</v>
      </c>
      <c r="F9543" s="2350">
        <v>16</v>
      </c>
    </row>
    <row r="9544" spans="1:6" ht="15" customHeight="1" x14ac:dyDescent="0.25">
      <c r="A9544" s="2349" t="s">
        <v>6255</v>
      </c>
      <c r="B9544" s="2349" t="s">
        <v>5950</v>
      </c>
      <c r="C9544" s="2349" t="s">
        <v>5950</v>
      </c>
      <c r="D9544" s="2349" t="s">
        <v>6255</v>
      </c>
      <c r="E9544" s="2350">
        <v>63</v>
      </c>
      <c r="F9544" s="2350">
        <v>20</v>
      </c>
    </row>
    <row r="9545" spans="1:6" ht="15" customHeight="1" x14ac:dyDescent="0.25">
      <c r="A9545" s="2349" t="s">
        <v>19566</v>
      </c>
      <c r="B9545" s="2349" t="s">
        <v>5950</v>
      </c>
      <c r="C9545" s="2349" t="s">
        <v>5950</v>
      </c>
      <c r="D9545" s="2349" t="s">
        <v>6256</v>
      </c>
      <c r="E9545" s="2350">
        <v>100</v>
      </c>
      <c r="F9545" s="2350">
        <v>80</v>
      </c>
    </row>
    <row r="9546" spans="1:6" ht="15" customHeight="1" x14ac:dyDescent="0.25">
      <c r="A9546" s="2349" t="s">
        <v>19566</v>
      </c>
      <c r="B9546" s="2349" t="s">
        <v>5950</v>
      </c>
      <c r="C9546" s="2349" t="s">
        <v>5950</v>
      </c>
      <c r="D9546" s="2349" t="s">
        <v>6257</v>
      </c>
      <c r="E9546" s="2350">
        <v>160</v>
      </c>
      <c r="F9546" s="2350">
        <v>55</v>
      </c>
    </row>
    <row r="9547" spans="1:6" ht="15" customHeight="1" x14ac:dyDescent="0.25">
      <c r="A9547" s="2349" t="s">
        <v>19566</v>
      </c>
      <c r="B9547" s="2349" t="s">
        <v>5950</v>
      </c>
      <c r="C9547" s="2349" t="s">
        <v>5950</v>
      </c>
      <c r="D9547" s="2349" t="s">
        <v>6258</v>
      </c>
      <c r="E9547" s="2350">
        <v>160</v>
      </c>
      <c r="F9547" s="2350">
        <v>110</v>
      </c>
    </row>
    <row r="9548" spans="1:6" ht="15" customHeight="1" x14ac:dyDescent="0.25">
      <c r="A9548" s="2349" t="s">
        <v>19566</v>
      </c>
      <c r="B9548" s="2349" t="s">
        <v>5950</v>
      </c>
      <c r="C9548" s="2349" t="s">
        <v>5950</v>
      </c>
      <c r="D9548" s="2349" t="s">
        <v>6259</v>
      </c>
      <c r="E9548" s="2350">
        <v>160</v>
      </c>
      <c r="F9548" s="2350">
        <v>60</v>
      </c>
    </row>
    <row r="9549" spans="1:6" ht="15" customHeight="1" x14ac:dyDescent="0.25">
      <c r="A9549" s="2349" t="s">
        <v>19566</v>
      </c>
      <c r="B9549" s="2349" t="s">
        <v>5950</v>
      </c>
      <c r="C9549" s="2349" t="s">
        <v>5950</v>
      </c>
      <c r="D9549" s="2349" t="s">
        <v>6260</v>
      </c>
      <c r="E9549" s="2350">
        <v>160</v>
      </c>
      <c r="F9549" s="2350">
        <v>100</v>
      </c>
    </row>
    <row r="9550" spans="1:6" ht="15" customHeight="1" x14ac:dyDescent="0.25">
      <c r="A9550" s="2349" t="s">
        <v>6261</v>
      </c>
      <c r="B9550" s="2349" t="s">
        <v>5950</v>
      </c>
      <c r="C9550" s="2349" t="s">
        <v>5950</v>
      </c>
      <c r="D9550" s="2349" t="s">
        <v>6261</v>
      </c>
      <c r="E9550" s="2350">
        <v>25</v>
      </c>
      <c r="F9550" s="2350">
        <v>5</v>
      </c>
    </row>
    <row r="9551" spans="1:6" ht="15" customHeight="1" x14ac:dyDescent="0.25">
      <c r="A9551" s="2349" t="s">
        <v>6262</v>
      </c>
      <c r="B9551" s="2349" t="s">
        <v>5950</v>
      </c>
      <c r="C9551" s="2349" t="s">
        <v>5950</v>
      </c>
      <c r="D9551" s="2349" t="s">
        <v>6262</v>
      </c>
      <c r="E9551" s="2350">
        <v>10</v>
      </c>
      <c r="F9551" s="2350">
        <v>3</v>
      </c>
    </row>
    <row r="9552" spans="1:6" ht="15" customHeight="1" x14ac:dyDescent="0.25">
      <c r="A9552" s="2349" t="s">
        <v>6036</v>
      </c>
      <c r="B9552" s="2349" t="s">
        <v>5950</v>
      </c>
      <c r="C9552" s="2349" t="s">
        <v>5950</v>
      </c>
      <c r="D9552" s="2349" t="s">
        <v>6036</v>
      </c>
      <c r="E9552" s="2350">
        <v>10</v>
      </c>
      <c r="F9552" s="2350">
        <v>2</v>
      </c>
    </row>
    <row r="9553" spans="1:6" ht="15" customHeight="1" x14ac:dyDescent="0.25">
      <c r="A9553" s="2349" t="s">
        <v>6263</v>
      </c>
      <c r="B9553" s="2349" t="s">
        <v>5950</v>
      </c>
      <c r="C9553" s="2349" t="s">
        <v>5950</v>
      </c>
      <c r="D9553" s="2349" t="s">
        <v>6263</v>
      </c>
      <c r="E9553" s="2350">
        <v>250</v>
      </c>
      <c r="F9553" s="2350">
        <v>140</v>
      </c>
    </row>
    <row r="9554" spans="1:6" ht="15" customHeight="1" x14ac:dyDescent="0.25">
      <c r="A9554" s="2349" t="s">
        <v>6264</v>
      </c>
      <c r="B9554" s="2349" t="s">
        <v>5950</v>
      </c>
      <c r="C9554" s="2349" t="s">
        <v>5950</v>
      </c>
      <c r="D9554" s="2349" t="s">
        <v>6264</v>
      </c>
      <c r="E9554" s="2350">
        <v>100</v>
      </c>
      <c r="F9554" s="2350">
        <v>95</v>
      </c>
    </row>
    <row r="9555" spans="1:6" ht="15" customHeight="1" x14ac:dyDescent="0.25">
      <c r="A9555" s="2349" t="s">
        <v>14259</v>
      </c>
      <c r="B9555" s="2349" t="s">
        <v>6265</v>
      </c>
      <c r="C9555" s="2349" t="s">
        <v>6265</v>
      </c>
      <c r="D9555" s="2349" t="s">
        <v>6266</v>
      </c>
      <c r="E9555" s="2350">
        <v>10</v>
      </c>
      <c r="F9555" s="2350">
        <v>3</v>
      </c>
    </row>
    <row r="9556" spans="1:6" ht="15" customHeight="1" x14ac:dyDescent="0.25">
      <c r="A9556" s="2349" t="s">
        <v>14260</v>
      </c>
      <c r="B9556" s="2349" t="s">
        <v>6265</v>
      </c>
      <c r="C9556" s="2349" t="s">
        <v>6265</v>
      </c>
      <c r="D9556" s="2349" t="s">
        <v>6267</v>
      </c>
      <c r="E9556" s="2350">
        <v>63</v>
      </c>
      <c r="F9556" s="2350">
        <v>15</v>
      </c>
    </row>
    <row r="9557" spans="1:6" ht="15" customHeight="1" x14ac:dyDescent="0.25">
      <c r="A9557" s="2349" t="s">
        <v>14261</v>
      </c>
      <c r="B9557" s="2349" t="s">
        <v>6265</v>
      </c>
      <c r="C9557" s="2349" t="s">
        <v>6265</v>
      </c>
      <c r="D9557" s="2349" t="s">
        <v>6268</v>
      </c>
      <c r="E9557" s="2350">
        <v>160</v>
      </c>
      <c r="F9557" s="2350">
        <v>32</v>
      </c>
    </row>
    <row r="9558" spans="1:6" ht="15" customHeight="1" x14ac:dyDescent="0.25">
      <c r="A9558" s="2349" t="s">
        <v>14262</v>
      </c>
      <c r="B9558" s="2349" t="s">
        <v>6265</v>
      </c>
      <c r="C9558" s="2349" t="s">
        <v>6265</v>
      </c>
      <c r="D9558" s="2349" t="s">
        <v>6269</v>
      </c>
      <c r="E9558" s="2350">
        <v>10</v>
      </c>
      <c r="F9558" s="2350">
        <v>3</v>
      </c>
    </row>
    <row r="9559" spans="1:6" ht="15" customHeight="1" x14ac:dyDescent="0.25">
      <c r="A9559" s="2349" t="s">
        <v>14263</v>
      </c>
      <c r="B9559" s="2349" t="s">
        <v>6265</v>
      </c>
      <c r="C9559" s="2349" t="s">
        <v>6265</v>
      </c>
      <c r="D9559" s="2349" t="s">
        <v>6270</v>
      </c>
      <c r="E9559" s="2350">
        <v>250</v>
      </c>
      <c r="F9559" s="2350">
        <v>205</v>
      </c>
    </row>
    <row r="9560" spans="1:6" ht="15" customHeight="1" x14ac:dyDescent="0.25">
      <c r="A9560" s="2349" t="s">
        <v>14264</v>
      </c>
      <c r="B9560" s="2349" t="s">
        <v>6265</v>
      </c>
      <c r="C9560" s="2349" t="s">
        <v>6265</v>
      </c>
      <c r="D9560" s="2349" t="s">
        <v>6271</v>
      </c>
      <c r="E9560" s="2350">
        <v>100</v>
      </c>
      <c r="F9560" s="2350">
        <v>25</v>
      </c>
    </row>
    <row r="9561" spans="1:6" ht="15" customHeight="1" x14ac:dyDescent="0.25">
      <c r="A9561" s="2349" t="s">
        <v>14265</v>
      </c>
      <c r="B9561" s="2349" t="s">
        <v>6265</v>
      </c>
      <c r="C9561" s="2349" t="s">
        <v>6265</v>
      </c>
      <c r="D9561" s="2349" t="s">
        <v>6272</v>
      </c>
      <c r="E9561" s="2350">
        <v>250</v>
      </c>
      <c r="F9561" s="2350">
        <v>118</v>
      </c>
    </row>
    <row r="9562" spans="1:6" ht="15" customHeight="1" x14ac:dyDescent="0.25">
      <c r="A9562" s="2349" t="s">
        <v>14265</v>
      </c>
      <c r="B9562" s="2349" t="s">
        <v>6265</v>
      </c>
      <c r="C9562" s="2349" t="s">
        <v>6265</v>
      </c>
      <c r="D9562" s="2349" t="s">
        <v>6273</v>
      </c>
      <c r="E9562" s="2350">
        <v>100</v>
      </c>
      <c r="F9562" s="2350">
        <v>16</v>
      </c>
    </row>
    <row r="9563" spans="1:6" ht="15" customHeight="1" x14ac:dyDescent="0.25">
      <c r="A9563" s="2349" t="s">
        <v>14266</v>
      </c>
      <c r="B9563" s="2349" t="s">
        <v>6265</v>
      </c>
      <c r="C9563" s="2349" t="s">
        <v>6265</v>
      </c>
      <c r="D9563" s="2349" t="s">
        <v>6274</v>
      </c>
      <c r="E9563" s="2350">
        <v>160</v>
      </c>
      <c r="F9563" s="2350">
        <v>95</v>
      </c>
    </row>
    <row r="9564" spans="1:6" ht="15" customHeight="1" x14ac:dyDescent="0.25">
      <c r="A9564" s="2349" t="s">
        <v>14267</v>
      </c>
      <c r="B9564" s="2349" t="s">
        <v>6265</v>
      </c>
      <c r="C9564" s="2349" t="s">
        <v>6265</v>
      </c>
      <c r="D9564" s="2349" t="s">
        <v>6275</v>
      </c>
      <c r="E9564" s="2350">
        <v>60</v>
      </c>
      <c r="F9564" s="2350">
        <v>22</v>
      </c>
    </row>
    <row r="9565" spans="1:6" ht="15" customHeight="1" x14ac:dyDescent="0.25">
      <c r="A9565" s="2349" t="s">
        <v>14263</v>
      </c>
      <c r="B9565" s="2349" t="s">
        <v>6265</v>
      </c>
      <c r="C9565" s="2349" t="s">
        <v>6265</v>
      </c>
      <c r="D9565" s="2349" t="s">
        <v>6276</v>
      </c>
      <c r="E9565" s="2350">
        <v>100</v>
      </c>
      <c r="F9565" s="2350">
        <v>15</v>
      </c>
    </row>
    <row r="9566" spans="1:6" ht="15" customHeight="1" x14ac:dyDescent="0.25">
      <c r="A9566" s="2349" t="s">
        <v>14268</v>
      </c>
      <c r="B9566" s="2349" t="s">
        <v>6265</v>
      </c>
      <c r="C9566" s="2349" t="s">
        <v>6265</v>
      </c>
      <c r="D9566" s="2349" t="s">
        <v>6277</v>
      </c>
      <c r="E9566" s="2350" t="s">
        <v>6278</v>
      </c>
      <c r="F9566" s="2350">
        <v>70</v>
      </c>
    </row>
    <row r="9567" spans="1:6" ht="15" customHeight="1" x14ac:dyDescent="0.25">
      <c r="A9567" s="2349" t="s">
        <v>14268</v>
      </c>
      <c r="B9567" s="2349" t="s">
        <v>6265</v>
      </c>
      <c r="C9567" s="2349" t="s">
        <v>6265</v>
      </c>
      <c r="D9567" s="2349" t="s">
        <v>6279</v>
      </c>
      <c r="E9567" s="2350" t="s">
        <v>6280</v>
      </c>
      <c r="F9567" s="2350">
        <v>112</v>
      </c>
    </row>
    <row r="9568" spans="1:6" ht="15" customHeight="1" x14ac:dyDescent="0.25">
      <c r="A9568" s="2349" t="s">
        <v>14268</v>
      </c>
      <c r="B9568" s="2349" t="s">
        <v>6265</v>
      </c>
      <c r="C9568" s="2349" t="s">
        <v>6265</v>
      </c>
      <c r="D9568" s="2349" t="s">
        <v>6281</v>
      </c>
      <c r="E9568" s="2350">
        <v>400</v>
      </c>
      <c r="F9568" s="2350">
        <v>210</v>
      </c>
    </row>
    <row r="9569" spans="1:6" ht="15" customHeight="1" x14ac:dyDescent="0.25">
      <c r="A9569" s="2349" t="s">
        <v>14268</v>
      </c>
      <c r="B9569" s="2349" t="s">
        <v>6265</v>
      </c>
      <c r="C9569" s="2349" t="s">
        <v>6265</v>
      </c>
      <c r="D9569" s="2349" t="s">
        <v>6282</v>
      </c>
      <c r="E9569" s="2350">
        <v>250</v>
      </c>
      <c r="F9569" s="2350">
        <v>102</v>
      </c>
    </row>
    <row r="9570" spans="1:6" ht="15" customHeight="1" x14ac:dyDescent="0.25">
      <c r="A9570" s="2349" t="s">
        <v>14269</v>
      </c>
      <c r="B9570" s="2349" t="s">
        <v>6265</v>
      </c>
      <c r="C9570" s="2349" t="s">
        <v>6265</v>
      </c>
      <c r="D9570" s="2349" t="s">
        <v>6283</v>
      </c>
      <c r="E9570" s="2350">
        <v>160</v>
      </c>
      <c r="F9570" s="2350">
        <v>15</v>
      </c>
    </row>
    <row r="9571" spans="1:6" ht="15" customHeight="1" x14ac:dyDescent="0.25">
      <c r="A9571" s="2349" t="s">
        <v>14270</v>
      </c>
      <c r="B9571" s="2349" t="s">
        <v>6265</v>
      </c>
      <c r="C9571" s="2349" t="s">
        <v>6265</v>
      </c>
      <c r="D9571" s="2349" t="s">
        <v>6284</v>
      </c>
      <c r="E9571" s="2350">
        <v>63</v>
      </c>
      <c r="F9571" s="2350">
        <v>10</v>
      </c>
    </row>
    <row r="9572" spans="1:6" ht="15" customHeight="1" x14ac:dyDescent="0.25">
      <c r="A9572" s="2349" t="s">
        <v>14271</v>
      </c>
      <c r="B9572" s="2349" t="s">
        <v>6265</v>
      </c>
      <c r="C9572" s="2349" t="s">
        <v>6265</v>
      </c>
      <c r="D9572" s="2349" t="s">
        <v>6285</v>
      </c>
      <c r="E9572" s="2350">
        <v>160</v>
      </c>
      <c r="F9572" s="2350">
        <v>95</v>
      </c>
    </row>
    <row r="9573" spans="1:6" ht="15" customHeight="1" x14ac:dyDescent="0.25">
      <c r="A9573" s="2349" t="s">
        <v>14271</v>
      </c>
      <c r="B9573" s="2349" t="s">
        <v>6265</v>
      </c>
      <c r="C9573" s="2349" t="s">
        <v>6265</v>
      </c>
      <c r="D9573" s="2349" t="s">
        <v>6286</v>
      </c>
      <c r="E9573" s="2350">
        <v>160</v>
      </c>
      <c r="F9573" s="2350">
        <v>35</v>
      </c>
    </row>
    <row r="9574" spans="1:6" ht="15" customHeight="1" x14ac:dyDescent="0.25">
      <c r="A9574" s="2349" t="s">
        <v>14271</v>
      </c>
      <c r="B9574" s="2349" t="s">
        <v>6265</v>
      </c>
      <c r="C9574" s="2349" t="s">
        <v>6265</v>
      </c>
      <c r="D9574" s="2349" t="s">
        <v>6287</v>
      </c>
      <c r="E9574" s="2350">
        <v>63</v>
      </c>
      <c r="F9574" s="2350">
        <v>15</v>
      </c>
    </row>
    <row r="9575" spans="1:6" ht="15" customHeight="1" x14ac:dyDescent="0.25">
      <c r="A9575" s="2349" t="s">
        <v>14272</v>
      </c>
      <c r="B9575" s="2349" t="s">
        <v>6265</v>
      </c>
      <c r="C9575" s="2349" t="s">
        <v>6265</v>
      </c>
      <c r="D9575" s="2349" t="s">
        <v>6288</v>
      </c>
      <c r="E9575" s="2350">
        <v>100</v>
      </c>
      <c r="F9575" s="2350">
        <v>80</v>
      </c>
    </row>
    <row r="9576" spans="1:6" ht="15" customHeight="1" x14ac:dyDescent="0.25">
      <c r="A9576" s="2349" t="s">
        <v>14272</v>
      </c>
      <c r="B9576" s="2349" t="s">
        <v>6265</v>
      </c>
      <c r="C9576" s="2349" t="s">
        <v>6265</v>
      </c>
      <c r="D9576" s="2349" t="s">
        <v>6289</v>
      </c>
      <c r="E9576" s="2350">
        <v>250</v>
      </c>
      <c r="F9576" s="2350">
        <v>110</v>
      </c>
    </row>
    <row r="9577" spans="1:6" ht="15" customHeight="1" x14ac:dyDescent="0.25">
      <c r="A9577" s="2349" t="s">
        <v>14269</v>
      </c>
      <c r="B9577" s="2349" t="s">
        <v>6265</v>
      </c>
      <c r="C9577" s="2349" t="s">
        <v>6265</v>
      </c>
      <c r="D9577" s="2349" t="s">
        <v>6290</v>
      </c>
      <c r="E9577" s="2350">
        <v>250</v>
      </c>
      <c r="F9577" s="2350">
        <v>91</v>
      </c>
    </row>
    <row r="9578" spans="1:6" ht="15" customHeight="1" x14ac:dyDescent="0.25">
      <c r="A9578" s="2349" t="s">
        <v>14273</v>
      </c>
      <c r="B9578" s="2349" t="s">
        <v>6265</v>
      </c>
      <c r="C9578" s="2349" t="s">
        <v>6265</v>
      </c>
      <c r="D9578" s="2349" t="s">
        <v>6291</v>
      </c>
      <c r="E9578" s="2350">
        <v>160</v>
      </c>
      <c r="F9578" s="2350">
        <v>38</v>
      </c>
    </row>
    <row r="9579" spans="1:6" ht="15" customHeight="1" x14ac:dyDescent="0.25">
      <c r="A9579" s="2349" t="s">
        <v>14273</v>
      </c>
      <c r="B9579" s="2349" t="s">
        <v>6265</v>
      </c>
      <c r="C9579" s="2349" t="s">
        <v>6265</v>
      </c>
      <c r="D9579" s="2349" t="s">
        <v>6292</v>
      </c>
      <c r="E9579" s="2350" t="s">
        <v>6280</v>
      </c>
      <c r="F9579" s="2350">
        <v>100</v>
      </c>
    </row>
    <row r="9580" spans="1:6" ht="15" customHeight="1" x14ac:dyDescent="0.25">
      <c r="A9580" s="2349" t="s">
        <v>14274</v>
      </c>
      <c r="B9580" s="2349" t="s">
        <v>6265</v>
      </c>
      <c r="C9580" s="2349" t="s">
        <v>6265</v>
      </c>
      <c r="D9580" s="2349" t="s">
        <v>6293</v>
      </c>
      <c r="E9580" s="2350">
        <v>400</v>
      </c>
      <c r="F9580" s="2350">
        <v>240</v>
      </c>
    </row>
    <row r="9581" spans="1:6" ht="15" customHeight="1" x14ac:dyDescent="0.25">
      <c r="A9581" s="2349" t="s">
        <v>14274</v>
      </c>
      <c r="B9581" s="2349" t="s">
        <v>6265</v>
      </c>
      <c r="C9581" s="2349" t="s">
        <v>6265</v>
      </c>
      <c r="D9581" s="2349" t="s">
        <v>6294</v>
      </c>
      <c r="E9581" s="2350">
        <v>60</v>
      </c>
      <c r="F9581" s="2350">
        <v>15</v>
      </c>
    </row>
    <row r="9582" spans="1:6" ht="15" customHeight="1" x14ac:dyDescent="0.25">
      <c r="A9582" s="2349" t="s">
        <v>14274</v>
      </c>
      <c r="B9582" s="2349" t="s">
        <v>6265</v>
      </c>
      <c r="C9582" s="2349" t="s">
        <v>6265</v>
      </c>
      <c r="D9582" s="2349" t="s">
        <v>6295</v>
      </c>
      <c r="E9582" s="2350">
        <v>100</v>
      </c>
      <c r="F9582" s="2350">
        <v>15</v>
      </c>
    </row>
    <row r="9583" spans="1:6" ht="15" customHeight="1" x14ac:dyDescent="0.25">
      <c r="A9583" s="2349" t="s">
        <v>14275</v>
      </c>
      <c r="B9583" s="2349" t="s">
        <v>6265</v>
      </c>
      <c r="C9583" s="2349" t="s">
        <v>6265</v>
      </c>
      <c r="D9583" s="2349" t="s">
        <v>6296</v>
      </c>
      <c r="E9583" s="2350">
        <v>60</v>
      </c>
      <c r="F9583" s="2350">
        <v>18</v>
      </c>
    </row>
    <row r="9584" spans="1:6" ht="15" customHeight="1" x14ac:dyDescent="0.25">
      <c r="A9584" s="2349" t="s">
        <v>14276</v>
      </c>
      <c r="B9584" s="2349" t="s">
        <v>6265</v>
      </c>
      <c r="C9584" s="2349" t="s">
        <v>6265</v>
      </c>
      <c r="D9584" s="2349" t="s">
        <v>6297</v>
      </c>
      <c r="E9584" s="2350">
        <v>100</v>
      </c>
      <c r="F9584" s="2350">
        <v>58</v>
      </c>
    </row>
    <row r="9585" spans="1:6" ht="15" customHeight="1" x14ac:dyDescent="0.25">
      <c r="A9585" s="2349" t="s">
        <v>14277</v>
      </c>
      <c r="B9585" s="2349" t="s">
        <v>6265</v>
      </c>
      <c r="C9585" s="2349" t="s">
        <v>6265</v>
      </c>
      <c r="D9585" s="2349" t="s">
        <v>6298</v>
      </c>
      <c r="E9585" s="2350">
        <v>63</v>
      </c>
      <c r="F9585" s="2350">
        <v>10</v>
      </c>
    </row>
    <row r="9586" spans="1:6" ht="15" customHeight="1" x14ac:dyDescent="0.25">
      <c r="A9586" s="2349" t="s">
        <v>14278</v>
      </c>
      <c r="B9586" s="2349" t="s">
        <v>6265</v>
      </c>
      <c r="C9586" s="2349" t="s">
        <v>6265</v>
      </c>
      <c r="D9586" s="2349" t="s">
        <v>6299</v>
      </c>
      <c r="E9586" s="2350">
        <v>60</v>
      </c>
      <c r="F9586" s="2350">
        <v>34</v>
      </c>
    </row>
    <row r="9587" spans="1:6" ht="15" customHeight="1" x14ac:dyDescent="0.25">
      <c r="A9587" s="2349" t="s">
        <v>14279</v>
      </c>
      <c r="B9587" s="2349" t="s">
        <v>6265</v>
      </c>
      <c r="C9587" s="2349" t="s">
        <v>6265</v>
      </c>
      <c r="D9587" s="2349" t="s">
        <v>6300</v>
      </c>
      <c r="E9587" s="2350">
        <v>63</v>
      </c>
      <c r="F9587" s="2350">
        <v>12</v>
      </c>
    </row>
    <row r="9588" spans="1:6" ht="15" customHeight="1" x14ac:dyDescent="0.25">
      <c r="A9588" s="2349" t="s">
        <v>14280</v>
      </c>
      <c r="B9588" s="2349" t="s">
        <v>6265</v>
      </c>
      <c r="C9588" s="2349" t="s">
        <v>6265</v>
      </c>
      <c r="D9588" s="2349" t="s">
        <v>6301</v>
      </c>
      <c r="E9588" s="2350">
        <v>60</v>
      </c>
      <c r="F9588" s="2350">
        <v>15</v>
      </c>
    </row>
    <row r="9589" spans="1:6" ht="15" customHeight="1" x14ac:dyDescent="0.25">
      <c r="A9589" s="2349" t="s">
        <v>14281</v>
      </c>
      <c r="B9589" s="2349" t="s">
        <v>6265</v>
      </c>
      <c r="C9589" s="2349" t="s">
        <v>6265</v>
      </c>
      <c r="D9589" s="2349" t="s">
        <v>6302</v>
      </c>
      <c r="E9589" s="2350">
        <v>60</v>
      </c>
      <c r="F9589" s="2350">
        <v>22</v>
      </c>
    </row>
    <row r="9590" spans="1:6" ht="15" customHeight="1" x14ac:dyDescent="0.25">
      <c r="A9590" s="2349" t="s">
        <v>14282</v>
      </c>
      <c r="B9590" s="2349" t="s">
        <v>6265</v>
      </c>
      <c r="C9590" s="2349" t="s">
        <v>6265</v>
      </c>
      <c r="D9590" s="2349" t="s">
        <v>6303</v>
      </c>
      <c r="E9590" s="2350">
        <v>60</v>
      </c>
      <c r="F9590" s="2350">
        <v>47</v>
      </c>
    </row>
    <row r="9591" spans="1:6" ht="15" customHeight="1" x14ac:dyDescent="0.25">
      <c r="A9591" s="2349" t="s">
        <v>14283</v>
      </c>
      <c r="B9591" s="2349" t="s">
        <v>6265</v>
      </c>
      <c r="C9591" s="2349" t="s">
        <v>6265</v>
      </c>
      <c r="D9591" s="2349" t="s">
        <v>6304</v>
      </c>
      <c r="E9591" s="2350">
        <v>25</v>
      </c>
      <c r="F9591" s="2350">
        <v>5</v>
      </c>
    </row>
    <row r="9592" spans="1:6" ht="15" customHeight="1" x14ac:dyDescent="0.25">
      <c r="A9592" s="2349" t="s">
        <v>14284</v>
      </c>
      <c r="B9592" s="2349" t="s">
        <v>6265</v>
      </c>
      <c r="C9592" s="2349" t="s">
        <v>6265</v>
      </c>
      <c r="D9592" s="2349" t="s">
        <v>6305</v>
      </c>
      <c r="E9592" s="2350">
        <v>160</v>
      </c>
      <c r="F9592" s="2350">
        <v>134</v>
      </c>
    </row>
    <row r="9593" spans="1:6" ht="15" customHeight="1" x14ac:dyDescent="0.25">
      <c r="A9593" s="2349" t="s">
        <v>14285</v>
      </c>
      <c r="B9593" s="2349" t="s">
        <v>6265</v>
      </c>
      <c r="C9593" s="2349" t="s">
        <v>6265</v>
      </c>
      <c r="D9593" s="2349" t="s">
        <v>6306</v>
      </c>
      <c r="E9593" s="2350">
        <v>10</v>
      </c>
      <c r="F9593" s="2350">
        <v>3</v>
      </c>
    </row>
    <row r="9594" spans="1:6" ht="15" customHeight="1" x14ac:dyDescent="0.25">
      <c r="A9594" s="2349" t="s">
        <v>14286</v>
      </c>
      <c r="B9594" s="2349" t="s">
        <v>6265</v>
      </c>
      <c r="C9594" s="2349" t="s">
        <v>6265</v>
      </c>
      <c r="D9594" s="2349" t="s">
        <v>6307</v>
      </c>
      <c r="E9594" s="2350">
        <v>60</v>
      </c>
      <c r="F9594" s="2350">
        <v>40</v>
      </c>
    </row>
    <row r="9595" spans="1:6" ht="15" customHeight="1" x14ac:dyDescent="0.25">
      <c r="A9595" s="2349" t="s">
        <v>14287</v>
      </c>
      <c r="B9595" s="2349" t="s">
        <v>6265</v>
      </c>
      <c r="C9595" s="2349" t="s">
        <v>6265</v>
      </c>
      <c r="D9595" s="2349" t="s">
        <v>6308</v>
      </c>
      <c r="E9595" s="2350">
        <v>10</v>
      </c>
      <c r="F9595" s="2350">
        <v>3</v>
      </c>
    </row>
    <row r="9596" spans="1:6" ht="15" customHeight="1" x14ac:dyDescent="0.25">
      <c r="A9596" s="2349" t="s">
        <v>14288</v>
      </c>
      <c r="B9596" s="2349" t="s">
        <v>6265</v>
      </c>
      <c r="C9596" s="2349" t="s">
        <v>6265</v>
      </c>
      <c r="D9596" s="2349" t="s">
        <v>6309</v>
      </c>
      <c r="E9596" s="2350">
        <v>30</v>
      </c>
      <c r="F9596" s="2350">
        <v>5</v>
      </c>
    </row>
    <row r="9597" spans="1:6" ht="15" customHeight="1" x14ac:dyDescent="0.25">
      <c r="A9597" s="2349" t="s">
        <v>14289</v>
      </c>
      <c r="B9597" s="2349" t="s">
        <v>6265</v>
      </c>
      <c r="C9597" s="2349" t="s">
        <v>6265</v>
      </c>
      <c r="D9597" s="2349" t="s">
        <v>6310</v>
      </c>
      <c r="E9597" s="2350">
        <v>63</v>
      </c>
      <c r="F9597" s="2350">
        <v>53</v>
      </c>
    </row>
    <row r="9598" spans="1:6" ht="15" customHeight="1" x14ac:dyDescent="0.25">
      <c r="A9598" s="2349" t="s">
        <v>14289</v>
      </c>
      <c r="B9598" s="2349" t="s">
        <v>6265</v>
      </c>
      <c r="C9598" s="2349" t="s">
        <v>6265</v>
      </c>
      <c r="D9598" s="2349" t="s">
        <v>6311</v>
      </c>
      <c r="E9598" s="2350">
        <v>160</v>
      </c>
      <c r="F9598" s="2350">
        <v>89</v>
      </c>
    </row>
    <row r="9599" spans="1:6" ht="15" customHeight="1" x14ac:dyDescent="0.25">
      <c r="A9599" s="2349" t="s">
        <v>14289</v>
      </c>
      <c r="B9599" s="2349" t="s">
        <v>6265</v>
      </c>
      <c r="C9599" s="2349" t="s">
        <v>6265</v>
      </c>
      <c r="D9599" s="2349" t="s">
        <v>6312</v>
      </c>
      <c r="E9599" s="2350">
        <v>160</v>
      </c>
      <c r="F9599" s="2350">
        <v>63</v>
      </c>
    </row>
    <row r="9600" spans="1:6" ht="15" customHeight="1" x14ac:dyDescent="0.25">
      <c r="A9600" s="2349" t="s">
        <v>14290</v>
      </c>
      <c r="B9600" s="2349" t="s">
        <v>6265</v>
      </c>
      <c r="C9600" s="2349" t="s">
        <v>6265</v>
      </c>
      <c r="D9600" s="2349" t="s">
        <v>6313</v>
      </c>
      <c r="E9600" s="2350">
        <v>100</v>
      </c>
      <c r="F9600" s="2350">
        <v>25</v>
      </c>
    </row>
    <row r="9601" spans="1:6" ht="15" customHeight="1" x14ac:dyDescent="0.25">
      <c r="A9601" s="2349" t="s">
        <v>14291</v>
      </c>
      <c r="B9601" s="2349" t="s">
        <v>6265</v>
      </c>
      <c r="C9601" s="2349" t="s">
        <v>6265</v>
      </c>
      <c r="D9601" s="2349" t="s">
        <v>6314</v>
      </c>
      <c r="E9601" s="2350">
        <v>100</v>
      </c>
      <c r="F9601" s="2350">
        <v>20</v>
      </c>
    </row>
    <row r="9602" spans="1:6" ht="15" customHeight="1" x14ac:dyDescent="0.25">
      <c r="A9602" s="2349" t="s">
        <v>14292</v>
      </c>
      <c r="B9602" s="2349" t="s">
        <v>6265</v>
      </c>
      <c r="C9602" s="2349" t="s">
        <v>6265</v>
      </c>
      <c r="D9602" s="2349" t="s">
        <v>6315</v>
      </c>
      <c r="E9602" s="2350">
        <v>63</v>
      </c>
      <c r="F9602" s="2350">
        <v>15</v>
      </c>
    </row>
    <row r="9603" spans="1:6" ht="15" customHeight="1" x14ac:dyDescent="0.25">
      <c r="A9603" s="2349" t="s">
        <v>14293</v>
      </c>
      <c r="B9603" s="2349" t="s">
        <v>6265</v>
      </c>
      <c r="C9603" s="2349" t="s">
        <v>6265</v>
      </c>
      <c r="D9603" s="2349" t="s">
        <v>6316</v>
      </c>
      <c r="E9603" s="2350">
        <v>160</v>
      </c>
      <c r="F9603" s="2350">
        <v>80</v>
      </c>
    </row>
    <row r="9604" spans="1:6" ht="15" customHeight="1" x14ac:dyDescent="0.25">
      <c r="A9604" s="2349" t="s">
        <v>14294</v>
      </c>
      <c r="B9604" s="2349" t="s">
        <v>6265</v>
      </c>
      <c r="C9604" s="2349" t="s">
        <v>6265</v>
      </c>
      <c r="D9604" s="2349" t="s">
        <v>6317</v>
      </c>
      <c r="E9604" s="2350">
        <v>100</v>
      </c>
      <c r="F9604" s="2350">
        <v>25</v>
      </c>
    </row>
    <row r="9605" spans="1:6" ht="15" customHeight="1" x14ac:dyDescent="0.25">
      <c r="A9605" s="2349" t="s">
        <v>14295</v>
      </c>
      <c r="B9605" s="2349" t="s">
        <v>6265</v>
      </c>
      <c r="C9605" s="2349" t="s">
        <v>6265</v>
      </c>
      <c r="D9605" s="2349" t="s">
        <v>6318</v>
      </c>
      <c r="E9605" s="2350">
        <v>50</v>
      </c>
      <c r="F9605" s="2350">
        <v>15</v>
      </c>
    </row>
    <row r="9606" spans="1:6" ht="15" customHeight="1" x14ac:dyDescent="0.25">
      <c r="A9606" s="2349" t="s">
        <v>14273</v>
      </c>
      <c r="B9606" s="2349" t="s">
        <v>6265</v>
      </c>
      <c r="C9606" s="2349" t="s">
        <v>6265</v>
      </c>
      <c r="D9606" s="2349" t="s">
        <v>6319</v>
      </c>
      <c r="E9606" s="2350">
        <v>250</v>
      </c>
      <c r="F9606" s="2350">
        <v>148</v>
      </c>
    </row>
    <row r="9607" spans="1:6" ht="15" customHeight="1" x14ac:dyDescent="0.25">
      <c r="A9607" s="2349" t="s">
        <v>14293</v>
      </c>
      <c r="B9607" s="2349" t="s">
        <v>6265</v>
      </c>
      <c r="C9607" s="2349" t="s">
        <v>6265</v>
      </c>
      <c r="D9607" s="2349" t="s">
        <v>6320</v>
      </c>
      <c r="E9607" s="2350">
        <v>160</v>
      </c>
      <c r="F9607" s="2350">
        <v>35</v>
      </c>
    </row>
    <row r="9608" spans="1:6" ht="15" customHeight="1" x14ac:dyDescent="0.25">
      <c r="A9608" s="2349" t="s">
        <v>14296</v>
      </c>
      <c r="B9608" s="2349" t="s">
        <v>6265</v>
      </c>
      <c r="C9608" s="2349" t="s">
        <v>6265</v>
      </c>
      <c r="D9608" s="2349" t="s">
        <v>6321</v>
      </c>
      <c r="E9608" s="2350">
        <v>100</v>
      </c>
      <c r="F9608" s="2350">
        <v>23</v>
      </c>
    </row>
    <row r="9609" spans="1:6" ht="15" customHeight="1" x14ac:dyDescent="0.25">
      <c r="A9609" s="2349" t="s">
        <v>14297</v>
      </c>
      <c r="B9609" s="2349" t="s">
        <v>6265</v>
      </c>
      <c r="C9609" s="2349" t="s">
        <v>6265</v>
      </c>
      <c r="D9609" s="2349" t="s">
        <v>6322</v>
      </c>
      <c r="E9609" s="2350">
        <v>63</v>
      </c>
      <c r="F9609" s="2350">
        <v>45</v>
      </c>
    </row>
    <row r="9610" spans="1:6" ht="15" customHeight="1" x14ac:dyDescent="0.25">
      <c r="A9610" s="2349" t="s">
        <v>14298</v>
      </c>
      <c r="B9610" s="2349" t="s">
        <v>6265</v>
      </c>
      <c r="C9610" s="2349" t="s">
        <v>6265</v>
      </c>
      <c r="D9610" s="2349" t="s">
        <v>6323</v>
      </c>
      <c r="E9610" s="2350">
        <v>60</v>
      </c>
      <c r="F9610" s="2350">
        <v>25</v>
      </c>
    </row>
    <row r="9611" spans="1:6" ht="15" customHeight="1" x14ac:dyDescent="0.25">
      <c r="A9611" s="2349" t="s">
        <v>14299</v>
      </c>
      <c r="B9611" s="2349" t="s">
        <v>6265</v>
      </c>
      <c r="C9611" s="2349" t="s">
        <v>6265</v>
      </c>
      <c r="D9611" s="2349" t="s">
        <v>6324</v>
      </c>
      <c r="E9611" s="2350">
        <v>25</v>
      </c>
      <c r="F9611" s="2350">
        <v>0</v>
      </c>
    </row>
    <row r="9612" spans="1:6" ht="15" customHeight="1" x14ac:dyDescent="0.25">
      <c r="A9612" s="2349" t="s">
        <v>14300</v>
      </c>
      <c r="B9612" s="2349" t="s">
        <v>6265</v>
      </c>
      <c r="C9612" s="2349" t="s">
        <v>6265</v>
      </c>
      <c r="D9612" s="2349" t="s">
        <v>6325</v>
      </c>
      <c r="E9612" s="2350">
        <v>30</v>
      </c>
      <c r="F9612" s="2350">
        <v>17</v>
      </c>
    </row>
    <row r="9613" spans="1:6" ht="15" customHeight="1" x14ac:dyDescent="0.25">
      <c r="A9613" s="2349" t="s">
        <v>14301</v>
      </c>
      <c r="B9613" s="2349" t="s">
        <v>6265</v>
      </c>
      <c r="C9613" s="2349" t="s">
        <v>6265</v>
      </c>
      <c r="D9613" s="2349" t="s">
        <v>6326</v>
      </c>
      <c r="E9613" s="2350">
        <v>4</v>
      </c>
      <c r="F9613" s="2350">
        <v>1</v>
      </c>
    </row>
    <row r="9614" spans="1:6" ht="15" customHeight="1" x14ac:dyDescent="0.25">
      <c r="A9614" s="2349" t="s">
        <v>14302</v>
      </c>
      <c r="B9614" s="2349" t="s">
        <v>6265</v>
      </c>
      <c r="C9614" s="2349" t="s">
        <v>6265</v>
      </c>
      <c r="D9614" s="2349" t="s">
        <v>6327</v>
      </c>
      <c r="E9614" s="2350">
        <v>160</v>
      </c>
      <c r="F9614" s="2350">
        <v>105</v>
      </c>
    </row>
    <row r="9615" spans="1:6" ht="15" customHeight="1" x14ac:dyDescent="0.25">
      <c r="A9615" s="2349" t="s">
        <v>14303</v>
      </c>
      <c r="B9615" s="2349" t="s">
        <v>6265</v>
      </c>
      <c r="C9615" s="2349" t="s">
        <v>6265</v>
      </c>
      <c r="D9615" s="2349" t="s">
        <v>6328</v>
      </c>
      <c r="E9615" s="2350">
        <v>60</v>
      </c>
      <c r="F9615" s="2350">
        <v>24</v>
      </c>
    </row>
    <row r="9616" spans="1:6" ht="15" customHeight="1" x14ac:dyDescent="0.25">
      <c r="A9616" s="2349" t="s">
        <v>14304</v>
      </c>
      <c r="B9616" s="2349" t="s">
        <v>6265</v>
      </c>
      <c r="C9616" s="2349" t="s">
        <v>6265</v>
      </c>
      <c r="D9616" s="2349" t="s">
        <v>6329</v>
      </c>
      <c r="E9616" s="2350">
        <v>30</v>
      </c>
      <c r="F9616" s="2350">
        <v>24</v>
      </c>
    </row>
    <row r="9617" spans="1:6" ht="15" customHeight="1" x14ac:dyDescent="0.25">
      <c r="A9617" s="2349" t="s">
        <v>14305</v>
      </c>
      <c r="B9617" s="2349" t="s">
        <v>6265</v>
      </c>
      <c r="C9617" s="2349" t="s">
        <v>6265</v>
      </c>
      <c r="D9617" s="2349" t="s">
        <v>6330</v>
      </c>
      <c r="E9617" s="2350">
        <v>63</v>
      </c>
      <c r="F9617" s="2350">
        <v>43</v>
      </c>
    </row>
    <row r="9618" spans="1:6" ht="15" customHeight="1" x14ac:dyDescent="0.25">
      <c r="A9618" s="2349" t="s">
        <v>14306</v>
      </c>
      <c r="B9618" s="2349" t="s">
        <v>6265</v>
      </c>
      <c r="C9618" s="2349" t="s">
        <v>6265</v>
      </c>
      <c r="D9618" s="2349" t="s">
        <v>6331</v>
      </c>
      <c r="E9618" s="2350">
        <v>60</v>
      </c>
      <c r="F9618" s="2350">
        <v>46</v>
      </c>
    </row>
    <row r="9619" spans="1:6" ht="15" customHeight="1" x14ac:dyDescent="0.25">
      <c r="A9619" s="2349" t="s">
        <v>14307</v>
      </c>
      <c r="B9619" s="2349" t="s">
        <v>6265</v>
      </c>
      <c r="C9619" s="2349" t="s">
        <v>6265</v>
      </c>
      <c r="D9619" s="2349" t="s">
        <v>6332</v>
      </c>
      <c r="E9619" s="2350">
        <v>250</v>
      </c>
      <c r="F9619" s="2350">
        <v>241</v>
      </c>
    </row>
    <row r="9620" spans="1:6" ht="15" customHeight="1" x14ac:dyDescent="0.25">
      <c r="A9620" s="2349" t="s">
        <v>14307</v>
      </c>
      <c r="B9620" s="2349" t="s">
        <v>6265</v>
      </c>
      <c r="C9620" s="2349" t="s">
        <v>6265</v>
      </c>
      <c r="D9620" s="2349" t="s">
        <v>6333</v>
      </c>
      <c r="E9620" s="2350">
        <v>63</v>
      </c>
      <c r="F9620" s="2350">
        <v>10</v>
      </c>
    </row>
    <row r="9621" spans="1:6" ht="15" customHeight="1" x14ac:dyDescent="0.25">
      <c r="A9621" s="2349" t="s">
        <v>14308</v>
      </c>
      <c r="B9621" s="2349" t="s">
        <v>6265</v>
      </c>
      <c r="C9621" s="2349" t="s">
        <v>6265</v>
      </c>
      <c r="D9621" s="2349" t="s">
        <v>6334</v>
      </c>
      <c r="E9621" s="2350">
        <v>160</v>
      </c>
      <c r="F9621" s="2350">
        <v>28</v>
      </c>
    </row>
    <row r="9622" spans="1:6" ht="15" customHeight="1" x14ac:dyDescent="0.25">
      <c r="A9622" s="2349" t="s">
        <v>14309</v>
      </c>
      <c r="B9622" s="2349" t="s">
        <v>6265</v>
      </c>
      <c r="C9622" s="2349" t="s">
        <v>6265</v>
      </c>
      <c r="D9622" s="2349" t="s">
        <v>6335</v>
      </c>
      <c r="E9622" s="2350">
        <v>160</v>
      </c>
      <c r="F9622" s="2350">
        <v>82</v>
      </c>
    </row>
    <row r="9623" spans="1:6" ht="15" customHeight="1" x14ac:dyDescent="0.25">
      <c r="A9623" s="2349" t="s">
        <v>14310</v>
      </c>
      <c r="B9623" s="2349" t="s">
        <v>6265</v>
      </c>
      <c r="C9623" s="2349" t="s">
        <v>6265</v>
      </c>
      <c r="D9623" s="2349" t="s">
        <v>6336</v>
      </c>
      <c r="E9623" s="2350">
        <v>63</v>
      </c>
      <c r="F9623" s="2350">
        <v>11</v>
      </c>
    </row>
    <row r="9624" spans="1:6" ht="15" customHeight="1" x14ac:dyDescent="0.25">
      <c r="A9624" s="2349" t="s">
        <v>14311</v>
      </c>
      <c r="B9624" s="2349" t="s">
        <v>6265</v>
      </c>
      <c r="C9624" s="2349" t="s">
        <v>6265</v>
      </c>
      <c r="D9624" s="2349" t="s">
        <v>6337</v>
      </c>
      <c r="E9624" s="2350">
        <v>100</v>
      </c>
      <c r="F9624" s="2350">
        <v>25</v>
      </c>
    </row>
    <row r="9625" spans="1:6" ht="15" customHeight="1" x14ac:dyDescent="0.25">
      <c r="A9625" s="2349" t="s">
        <v>14312</v>
      </c>
      <c r="B9625" s="2349" t="s">
        <v>6265</v>
      </c>
      <c r="C9625" s="2349" t="s">
        <v>6265</v>
      </c>
      <c r="D9625" s="2349" t="s">
        <v>6338</v>
      </c>
      <c r="E9625" s="2350">
        <v>100</v>
      </c>
      <c r="F9625" s="2350">
        <v>26</v>
      </c>
    </row>
    <row r="9626" spans="1:6" ht="15" customHeight="1" x14ac:dyDescent="0.25">
      <c r="A9626" s="2349" t="s">
        <v>14313</v>
      </c>
      <c r="B9626" s="2349" t="s">
        <v>6265</v>
      </c>
      <c r="C9626" s="2349" t="s">
        <v>6265</v>
      </c>
      <c r="D9626" s="2349" t="s">
        <v>6339</v>
      </c>
      <c r="E9626" s="2350">
        <v>100</v>
      </c>
      <c r="F9626" s="2350">
        <v>30</v>
      </c>
    </row>
    <row r="9627" spans="1:6" ht="15" customHeight="1" x14ac:dyDescent="0.25">
      <c r="A9627" s="2349" t="s">
        <v>14314</v>
      </c>
      <c r="B9627" s="2349" t="s">
        <v>6265</v>
      </c>
      <c r="C9627" s="2349" t="s">
        <v>6265</v>
      </c>
      <c r="D9627" s="2349" t="s">
        <v>6340</v>
      </c>
      <c r="E9627" s="2350">
        <v>160</v>
      </c>
      <c r="F9627" s="2350">
        <v>23</v>
      </c>
    </row>
    <row r="9628" spans="1:6" ht="15" customHeight="1" x14ac:dyDescent="0.25">
      <c r="A9628" s="2349" t="s">
        <v>14315</v>
      </c>
      <c r="B9628" s="2349" t="s">
        <v>6265</v>
      </c>
      <c r="C9628" s="2349" t="s">
        <v>6265</v>
      </c>
      <c r="D9628" s="2349" t="s">
        <v>6341</v>
      </c>
      <c r="E9628" s="2350">
        <v>100</v>
      </c>
      <c r="F9628" s="2350">
        <v>87</v>
      </c>
    </row>
    <row r="9629" spans="1:6" ht="15" customHeight="1" x14ac:dyDescent="0.25">
      <c r="A9629" s="2349" t="s">
        <v>14316</v>
      </c>
      <c r="B9629" s="2349" t="s">
        <v>6265</v>
      </c>
      <c r="C9629" s="2349" t="s">
        <v>6265</v>
      </c>
      <c r="D9629" s="2349" t="s">
        <v>6342</v>
      </c>
      <c r="E9629" s="2350">
        <v>160</v>
      </c>
      <c r="F9629" s="2350">
        <v>80</v>
      </c>
    </row>
    <row r="9630" spans="1:6" ht="15" customHeight="1" x14ac:dyDescent="0.25">
      <c r="A9630" s="2349" t="s">
        <v>14317</v>
      </c>
      <c r="B9630" s="2349" t="s">
        <v>6265</v>
      </c>
      <c r="C9630" s="2349" t="s">
        <v>6265</v>
      </c>
      <c r="D9630" s="2349" t="s">
        <v>6343</v>
      </c>
      <c r="E9630" s="2350">
        <v>100</v>
      </c>
      <c r="F9630" s="2350">
        <v>20</v>
      </c>
    </row>
    <row r="9631" spans="1:6" ht="15" customHeight="1" x14ac:dyDescent="0.25">
      <c r="A9631" s="2349" t="s">
        <v>14318</v>
      </c>
      <c r="B9631" s="2349" t="s">
        <v>6265</v>
      </c>
      <c r="C9631" s="2349" t="s">
        <v>6265</v>
      </c>
      <c r="D9631" s="2349" t="s">
        <v>6344</v>
      </c>
      <c r="E9631" s="2350">
        <v>30</v>
      </c>
      <c r="F9631" s="2350">
        <v>5</v>
      </c>
    </row>
    <row r="9632" spans="1:6" ht="15" customHeight="1" x14ac:dyDescent="0.25">
      <c r="A9632" s="2349" t="s">
        <v>14319</v>
      </c>
      <c r="B9632" s="2349" t="s">
        <v>6265</v>
      </c>
      <c r="C9632" s="2349" t="s">
        <v>6265</v>
      </c>
      <c r="D9632" s="2349" t="s">
        <v>6345</v>
      </c>
      <c r="E9632" s="2350">
        <v>40</v>
      </c>
      <c r="F9632" s="2350">
        <v>21</v>
      </c>
    </row>
    <row r="9633" spans="1:6" ht="15" customHeight="1" x14ac:dyDescent="0.25">
      <c r="A9633" s="2349" t="s">
        <v>14320</v>
      </c>
      <c r="B9633" s="2349" t="s">
        <v>6265</v>
      </c>
      <c r="C9633" s="2349" t="s">
        <v>6265</v>
      </c>
      <c r="D9633" s="2349" t="s">
        <v>6346</v>
      </c>
      <c r="E9633" s="2350">
        <v>40</v>
      </c>
      <c r="F9633" s="2350">
        <v>34</v>
      </c>
    </row>
    <row r="9634" spans="1:6" ht="15" customHeight="1" x14ac:dyDescent="0.25">
      <c r="A9634" s="2349" t="s">
        <v>14314</v>
      </c>
      <c r="B9634" s="2349" t="s">
        <v>6265</v>
      </c>
      <c r="C9634" s="2349" t="s">
        <v>6265</v>
      </c>
      <c r="D9634" s="2349" t="s">
        <v>6347</v>
      </c>
      <c r="E9634" s="2350">
        <v>250</v>
      </c>
      <c r="F9634" s="2350">
        <v>35</v>
      </c>
    </row>
    <row r="9635" spans="1:6" ht="15" customHeight="1" x14ac:dyDescent="0.25">
      <c r="A9635" s="2349" t="s">
        <v>14321</v>
      </c>
      <c r="B9635" s="2349" t="s">
        <v>6265</v>
      </c>
      <c r="C9635" s="2349" t="s">
        <v>6265</v>
      </c>
      <c r="D9635" s="2349" t="s">
        <v>6348</v>
      </c>
      <c r="E9635" s="2350">
        <v>63</v>
      </c>
      <c r="F9635" s="2350">
        <v>10</v>
      </c>
    </row>
    <row r="9636" spans="1:6" ht="15" customHeight="1" x14ac:dyDescent="0.25">
      <c r="A9636" s="2349" t="s">
        <v>14322</v>
      </c>
      <c r="B9636" s="2349" t="s">
        <v>6265</v>
      </c>
      <c r="C9636" s="2349" t="s">
        <v>6265</v>
      </c>
      <c r="D9636" s="2349" t="s">
        <v>6349</v>
      </c>
      <c r="E9636" s="2350">
        <v>30</v>
      </c>
      <c r="F9636" s="2350">
        <v>5</v>
      </c>
    </row>
    <row r="9637" spans="1:6" ht="15" customHeight="1" x14ac:dyDescent="0.25">
      <c r="A9637" s="2349" t="s">
        <v>14321</v>
      </c>
      <c r="B9637" s="2349" t="s">
        <v>6265</v>
      </c>
      <c r="C9637" s="2349" t="s">
        <v>6265</v>
      </c>
      <c r="D9637" s="2349" t="s">
        <v>6350</v>
      </c>
      <c r="E9637" s="2350">
        <v>250</v>
      </c>
      <c r="F9637" s="2350">
        <v>220</v>
      </c>
    </row>
    <row r="9638" spans="1:6" ht="15" customHeight="1" x14ac:dyDescent="0.25">
      <c r="A9638" s="2349" t="s">
        <v>14321</v>
      </c>
      <c r="B9638" s="2349" t="s">
        <v>6265</v>
      </c>
      <c r="C9638" s="2349" t="s">
        <v>6265</v>
      </c>
      <c r="D9638" s="2349" t="s">
        <v>6351</v>
      </c>
      <c r="E9638" s="2350">
        <v>250</v>
      </c>
      <c r="F9638" s="2350">
        <v>247</v>
      </c>
    </row>
    <row r="9639" spans="1:6" ht="15" customHeight="1" x14ac:dyDescent="0.25">
      <c r="A9639" s="2349" t="s">
        <v>14314</v>
      </c>
      <c r="B9639" s="2349" t="s">
        <v>6265</v>
      </c>
      <c r="C9639" s="2349" t="s">
        <v>6265</v>
      </c>
      <c r="D9639" s="2349" t="s">
        <v>6352</v>
      </c>
      <c r="E9639" s="2350">
        <v>160</v>
      </c>
      <c r="F9639" s="2350">
        <v>45</v>
      </c>
    </row>
    <row r="9640" spans="1:6" ht="15" customHeight="1" x14ac:dyDescent="0.25">
      <c r="A9640" s="2349" t="s">
        <v>14314</v>
      </c>
      <c r="B9640" s="2349" t="s">
        <v>6265</v>
      </c>
      <c r="C9640" s="2349" t="s">
        <v>6265</v>
      </c>
      <c r="D9640" s="2349" t="s">
        <v>6353</v>
      </c>
      <c r="E9640" s="2350">
        <v>160</v>
      </c>
      <c r="F9640" s="2350">
        <v>35</v>
      </c>
    </row>
    <row r="9641" spans="1:6" ht="15" customHeight="1" x14ac:dyDescent="0.25">
      <c r="A9641" s="2349" t="s">
        <v>14314</v>
      </c>
      <c r="B9641" s="2349" t="s">
        <v>6265</v>
      </c>
      <c r="C9641" s="2349" t="s">
        <v>6265</v>
      </c>
      <c r="D9641" s="2349" t="s">
        <v>6354</v>
      </c>
      <c r="E9641" s="2350" t="s">
        <v>19567</v>
      </c>
      <c r="F9641" s="2350">
        <v>269</v>
      </c>
    </row>
    <row r="9642" spans="1:6" ht="15" customHeight="1" x14ac:dyDescent="0.25">
      <c r="A9642" s="2349" t="s">
        <v>14314</v>
      </c>
      <c r="B9642" s="2349" t="s">
        <v>6265</v>
      </c>
      <c r="C9642" s="2349" t="s">
        <v>6265</v>
      </c>
      <c r="D9642" s="2349" t="s">
        <v>6355</v>
      </c>
      <c r="E9642" s="2350">
        <v>160</v>
      </c>
      <c r="F9642" s="2350">
        <v>25</v>
      </c>
    </row>
    <row r="9643" spans="1:6" ht="15" customHeight="1" x14ac:dyDescent="0.25">
      <c r="A9643" s="2349" t="s">
        <v>14314</v>
      </c>
      <c r="B9643" s="2349" t="s">
        <v>6265</v>
      </c>
      <c r="C9643" s="2349" t="s">
        <v>6265</v>
      </c>
      <c r="D9643" s="2349" t="s">
        <v>6356</v>
      </c>
      <c r="E9643" s="2350">
        <v>63</v>
      </c>
      <c r="F9643" s="2350">
        <v>25</v>
      </c>
    </row>
    <row r="9644" spans="1:6" ht="15" customHeight="1" x14ac:dyDescent="0.25">
      <c r="A9644" s="2349" t="s">
        <v>14323</v>
      </c>
      <c r="B9644" s="2349" t="s">
        <v>6265</v>
      </c>
      <c r="C9644" s="2349" t="s">
        <v>6265</v>
      </c>
      <c r="D9644" s="2349" t="s">
        <v>6357</v>
      </c>
      <c r="E9644" s="2350">
        <v>60</v>
      </c>
      <c r="F9644" s="2350">
        <v>15</v>
      </c>
    </row>
    <row r="9645" spans="1:6" ht="15" customHeight="1" x14ac:dyDescent="0.25">
      <c r="A9645" s="2349" t="s">
        <v>14314</v>
      </c>
      <c r="B9645" s="2349" t="s">
        <v>6265</v>
      </c>
      <c r="C9645" s="2349" t="s">
        <v>6265</v>
      </c>
      <c r="D9645" s="2349" t="s">
        <v>6358</v>
      </c>
      <c r="E9645" s="2350">
        <v>160</v>
      </c>
      <c r="F9645" s="2350">
        <v>13</v>
      </c>
    </row>
    <row r="9646" spans="1:6" ht="15" customHeight="1" x14ac:dyDescent="0.25">
      <c r="A9646" s="2349" t="s">
        <v>14314</v>
      </c>
      <c r="B9646" s="2349" t="s">
        <v>6265</v>
      </c>
      <c r="C9646" s="2349" t="s">
        <v>6265</v>
      </c>
      <c r="D9646" s="2349" t="s">
        <v>6359</v>
      </c>
      <c r="E9646" s="2350" t="s">
        <v>19568</v>
      </c>
      <c r="F9646" s="2350">
        <v>107</v>
      </c>
    </row>
    <row r="9647" spans="1:6" ht="15" customHeight="1" x14ac:dyDescent="0.25">
      <c r="A9647" s="2349" t="s">
        <v>14324</v>
      </c>
      <c r="B9647" s="2349" t="s">
        <v>6265</v>
      </c>
      <c r="C9647" s="2349" t="s">
        <v>6265</v>
      </c>
      <c r="D9647" s="2349" t="s">
        <v>6360</v>
      </c>
      <c r="E9647" s="2350">
        <v>40</v>
      </c>
      <c r="F9647" s="2350">
        <v>5</v>
      </c>
    </row>
    <row r="9648" spans="1:6" ht="15" customHeight="1" x14ac:dyDescent="0.25">
      <c r="A9648" s="2349" t="s">
        <v>14324</v>
      </c>
      <c r="B9648" s="2349" t="s">
        <v>6265</v>
      </c>
      <c r="C9648" s="2349" t="s">
        <v>6265</v>
      </c>
      <c r="D9648" s="2349" t="s">
        <v>6361</v>
      </c>
      <c r="E9648" s="2350">
        <v>160</v>
      </c>
      <c r="F9648" s="2350">
        <v>25</v>
      </c>
    </row>
    <row r="9649" spans="1:6" ht="15" customHeight="1" x14ac:dyDescent="0.25">
      <c r="A9649" s="2349" t="s">
        <v>14325</v>
      </c>
      <c r="B9649" s="2349" t="s">
        <v>6265</v>
      </c>
      <c r="C9649" s="2349" t="s">
        <v>6265</v>
      </c>
      <c r="D9649" s="2349" t="s">
        <v>6362</v>
      </c>
      <c r="E9649" s="2350" t="s">
        <v>19568</v>
      </c>
      <c r="F9649" s="2350">
        <v>175</v>
      </c>
    </row>
    <row r="9650" spans="1:6" ht="15" customHeight="1" x14ac:dyDescent="0.25">
      <c r="A9650" s="2349" t="s">
        <v>14326</v>
      </c>
      <c r="B9650" s="2349" t="s">
        <v>6265</v>
      </c>
      <c r="C9650" s="2349" t="s">
        <v>6265</v>
      </c>
      <c r="D9650" s="2349" t="s">
        <v>6363</v>
      </c>
      <c r="E9650" s="2350">
        <v>630</v>
      </c>
      <c r="F9650" s="2350">
        <v>415</v>
      </c>
    </row>
    <row r="9651" spans="1:6" ht="15" customHeight="1" x14ac:dyDescent="0.25">
      <c r="A9651" s="2349" t="s">
        <v>14327</v>
      </c>
      <c r="B9651" s="2349" t="s">
        <v>6265</v>
      </c>
      <c r="C9651" s="2349" t="s">
        <v>6265</v>
      </c>
      <c r="D9651" s="2349" t="s">
        <v>6364</v>
      </c>
      <c r="E9651" s="2350">
        <v>40</v>
      </c>
      <c r="F9651" s="2350">
        <v>8</v>
      </c>
    </row>
    <row r="9652" spans="1:6" ht="15" customHeight="1" x14ac:dyDescent="0.25">
      <c r="A9652" s="2349" t="s">
        <v>14328</v>
      </c>
      <c r="B9652" s="2349" t="s">
        <v>6265</v>
      </c>
      <c r="C9652" s="2349" t="s">
        <v>6265</v>
      </c>
      <c r="D9652" s="2349" t="s">
        <v>6365</v>
      </c>
      <c r="E9652" s="2350">
        <v>63</v>
      </c>
      <c r="F9652" s="2350">
        <v>15</v>
      </c>
    </row>
    <row r="9653" spans="1:6" ht="15" customHeight="1" x14ac:dyDescent="0.25">
      <c r="A9653" s="2349" t="s">
        <v>14328</v>
      </c>
      <c r="B9653" s="2349" t="s">
        <v>6265</v>
      </c>
      <c r="C9653" s="2349" t="s">
        <v>6265</v>
      </c>
      <c r="D9653" s="2349" t="s">
        <v>6366</v>
      </c>
      <c r="E9653" s="2350">
        <v>40</v>
      </c>
      <c r="F9653" s="2350">
        <v>14</v>
      </c>
    </row>
    <row r="9654" spans="1:6" ht="15" customHeight="1" x14ac:dyDescent="0.25">
      <c r="A9654" s="2349" t="s">
        <v>14328</v>
      </c>
      <c r="B9654" s="2349" t="s">
        <v>6265</v>
      </c>
      <c r="C9654" s="2349" t="s">
        <v>6265</v>
      </c>
      <c r="D9654" s="2349" t="s">
        <v>6367</v>
      </c>
      <c r="E9654" s="2350">
        <v>63</v>
      </c>
      <c r="F9654" s="2350">
        <v>20</v>
      </c>
    </row>
    <row r="9655" spans="1:6" ht="15" customHeight="1" x14ac:dyDescent="0.25">
      <c r="A9655" s="2349" t="s">
        <v>14329</v>
      </c>
      <c r="B9655" s="2349" t="s">
        <v>6265</v>
      </c>
      <c r="C9655" s="2349" t="s">
        <v>6265</v>
      </c>
      <c r="D9655" s="2349" t="s">
        <v>6368</v>
      </c>
      <c r="E9655" s="2350">
        <v>160</v>
      </c>
      <c r="F9655" s="2350">
        <v>108</v>
      </c>
    </row>
    <row r="9656" spans="1:6" ht="15" customHeight="1" x14ac:dyDescent="0.25">
      <c r="A9656" s="2349" t="s">
        <v>14326</v>
      </c>
      <c r="B9656" s="2349" t="s">
        <v>6265</v>
      </c>
      <c r="C9656" s="2349" t="s">
        <v>6265</v>
      </c>
      <c r="D9656" s="2349" t="s">
        <v>6369</v>
      </c>
      <c r="E9656" s="2350" t="s">
        <v>6278</v>
      </c>
      <c r="F9656" s="2350">
        <v>64</v>
      </c>
    </row>
    <row r="9657" spans="1:6" ht="15" customHeight="1" x14ac:dyDescent="0.25">
      <c r="A9657" s="2349" t="s">
        <v>14330</v>
      </c>
      <c r="B9657" s="2349" t="s">
        <v>6265</v>
      </c>
      <c r="C9657" s="2349" t="s">
        <v>6265</v>
      </c>
      <c r="D9657" s="2349" t="s">
        <v>6370</v>
      </c>
      <c r="E9657" s="2350">
        <v>160</v>
      </c>
      <c r="F9657" s="2350">
        <v>144</v>
      </c>
    </row>
    <row r="9658" spans="1:6" ht="15" customHeight="1" x14ac:dyDescent="0.25">
      <c r="A9658" s="2349" t="s">
        <v>14330</v>
      </c>
      <c r="B9658" s="2349" t="s">
        <v>6265</v>
      </c>
      <c r="C9658" s="2349" t="s">
        <v>6265</v>
      </c>
      <c r="D9658" s="2349" t="s">
        <v>6371</v>
      </c>
      <c r="E9658" s="2350">
        <v>250</v>
      </c>
      <c r="F9658" s="2350">
        <v>232</v>
      </c>
    </row>
    <row r="9659" spans="1:6" ht="15" customHeight="1" x14ac:dyDescent="0.25">
      <c r="A9659" s="2349" t="s">
        <v>14331</v>
      </c>
      <c r="B9659" s="2349" t="s">
        <v>6265</v>
      </c>
      <c r="C9659" s="2349" t="s">
        <v>6265</v>
      </c>
      <c r="D9659" s="2349" t="s">
        <v>6372</v>
      </c>
      <c r="E9659" s="2350">
        <v>160</v>
      </c>
      <c r="F9659" s="2350">
        <v>25</v>
      </c>
    </row>
    <row r="9660" spans="1:6" ht="15" customHeight="1" x14ac:dyDescent="0.25">
      <c r="A9660" s="2349" t="s">
        <v>14332</v>
      </c>
      <c r="B9660" s="2349" t="s">
        <v>6265</v>
      </c>
      <c r="C9660" s="2349" t="s">
        <v>6265</v>
      </c>
      <c r="D9660" s="2349" t="s">
        <v>6373</v>
      </c>
      <c r="E9660" s="2350">
        <v>160</v>
      </c>
      <c r="F9660" s="2350">
        <v>35</v>
      </c>
    </row>
    <row r="9661" spans="1:6" ht="15" customHeight="1" x14ac:dyDescent="0.25">
      <c r="A9661" s="2349" t="s">
        <v>14333</v>
      </c>
      <c r="B9661" s="2349" t="s">
        <v>6265</v>
      </c>
      <c r="C9661" s="2349" t="s">
        <v>6265</v>
      </c>
      <c r="D9661" s="2349" t="s">
        <v>6374</v>
      </c>
      <c r="E9661" s="2350">
        <v>63</v>
      </c>
      <c r="F9661" s="2350">
        <v>15</v>
      </c>
    </row>
    <row r="9662" spans="1:6" ht="15" customHeight="1" x14ac:dyDescent="0.25">
      <c r="A9662" s="2349" t="s">
        <v>14330</v>
      </c>
      <c r="B9662" s="2349" t="s">
        <v>6265</v>
      </c>
      <c r="C9662" s="2349" t="s">
        <v>6265</v>
      </c>
      <c r="D9662" s="2349" t="s">
        <v>6375</v>
      </c>
      <c r="E9662" s="2350" t="s">
        <v>19567</v>
      </c>
      <c r="F9662" s="2350">
        <v>50</v>
      </c>
    </row>
    <row r="9663" spans="1:6" ht="15" customHeight="1" x14ac:dyDescent="0.25">
      <c r="A9663" s="2349" t="s">
        <v>14334</v>
      </c>
      <c r="B9663" s="2349" t="s">
        <v>6265</v>
      </c>
      <c r="C9663" s="2349" t="s">
        <v>6265</v>
      </c>
      <c r="D9663" s="2349" t="s">
        <v>6376</v>
      </c>
      <c r="E9663" s="2350">
        <v>160</v>
      </c>
      <c r="F9663" s="2350">
        <v>108</v>
      </c>
    </row>
    <row r="9664" spans="1:6" ht="15" customHeight="1" x14ac:dyDescent="0.25">
      <c r="A9664" s="2349" t="s">
        <v>14335</v>
      </c>
      <c r="B9664" s="2349" t="s">
        <v>6265</v>
      </c>
      <c r="C9664" s="2349" t="s">
        <v>6265</v>
      </c>
      <c r="D9664" s="2349" t="s">
        <v>6377</v>
      </c>
      <c r="E9664" s="2350" t="s">
        <v>6280</v>
      </c>
      <c r="F9664" s="2350">
        <v>400</v>
      </c>
    </row>
    <row r="9665" spans="1:6" ht="15" customHeight="1" x14ac:dyDescent="0.25">
      <c r="A9665" s="2349" t="s">
        <v>14335</v>
      </c>
      <c r="B9665" s="2349" t="s">
        <v>6265</v>
      </c>
      <c r="C9665" s="2349" t="s">
        <v>6265</v>
      </c>
      <c r="D9665" s="2349" t="s">
        <v>6378</v>
      </c>
      <c r="E9665" s="2350">
        <v>250</v>
      </c>
      <c r="F9665" s="2350">
        <v>237</v>
      </c>
    </row>
    <row r="9666" spans="1:6" ht="15" customHeight="1" x14ac:dyDescent="0.25">
      <c r="A9666" s="2349" t="s">
        <v>14335</v>
      </c>
      <c r="B9666" s="2349" t="s">
        <v>6265</v>
      </c>
      <c r="C9666" s="2349" t="s">
        <v>6265</v>
      </c>
      <c r="D9666" s="2349" t="s">
        <v>6379</v>
      </c>
      <c r="E9666" s="2350" t="s">
        <v>6280</v>
      </c>
      <c r="F9666" s="2350">
        <v>115</v>
      </c>
    </row>
    <row r="9667" spans="1:6" ht="15" customHeight="1" x14ac:dyDescent="0.25">
      <c r="A9667" s="2349" t="s">
        <v>14335</v>
      </c>
      <c r="B9667" s="2349" t="s">
        <v>6265</v>
      </c>
      <c r="C9667" s="2349" t="s">
        <v>6265</v>
      </c>
      <c r="D9667" s="2349" t="s">
        <v>6380</v>
      </c>
      <c r="E9667" s="2350" t="s">
        <v>6278</v>
      </c>
      <c r="F9667" s="2350">
        <v>178</v>
      </c>
    </row>
    <row r="9668" spans="1:6" ht="15" customHeight="1" x14ac:dyDescent="0.25">
      <c r="A9668" s="2349" t="s">
        <v>14333</v>
      </c>
      <c r="B9668" s="2349" t="s">
        <v>6265</v>
      </c>
      <c r="C9668" s="2349" t="s">
        <v>6265</v>
      </c>
      <c r="D9668" s="2349" t="s">
        <v>6381</v>
      </c>
      <c r="E9668" s="2350">
        <v>60</v>
      </c>
      <c r="F9668" s="2350">
        <v>15</v>
      </c>
    </row>
    <row r="9669" spans="1:6" ht="15" customHeight="1" x14ac:dyDescent="0.25">
      <c r="A9669" s="2349" t="s">
        <v>14336</v>
      </c>
      <c r="B9669" s="2349" t="s">
        <v>6265</v>
      </c>
      <c r="C9669" s="2349" t="s">
        <v>6265</v>
      </c>
      <c r="D9669" s="2349" t="s">
        <v>6382</v>
      </c>
      <c r="E9669" s="2350">
        <v>60</v>
      </c>
      <c r="F9669" s="2350">
        <v>25</v>
      </c>
    </row>
    <row r="9670" spans="1:6" ht="15" customHeight="1" x14ac:dyDescent="0.25">
      <c r="A9670" s="2349" t="s">
        <v>14337</v>
      </c>
      <c r="B9670" s="2349" t="s">
        <v>6265</v>
      </c>
      <c r="C9670" s="2349" t="s">
        <v>6265</v>
      </c>
      <c r="D9670" s="2349" t="s">
        <v>6383</v>
      </c>
      <c r="E9670" s="2350">
        <v>20</v>
      </c>
      <c r="F9670" s="2350">
        <v>5</v>
      </c>
    </row>
    <row r="9671" spans="1:6" ht="15" customHeight="1" x14ac:dyDescent="0.25">
      <c r="A9671" s="2349" t="s">
        <v>14331</v>
      </c>
      <c r="B9671" s="2349" t="s">
        <v>6265</v>
      </c>
      <c r="C9671" s="2349" t="s">
        <v>6265</v>
      </c>
      <c r="D9671" s="2349" t="s">
        <v>6384</v>
      </c>
      <c r="E9671" s="2350">
        <v>160</v>
      </c>
      <c r="F9671" s="2350">
        <v>35</v>
      </c>
    </row>
    <row r="9672" spans="1:6" ht="15" customHeight="1" x14ac:dyDescent="0.25">
      <c r="A9672" s="2349" t="s">
        <v>14338</v>
      </c>
      <c r="B9672" s="2349" t="s">
        <v>6265</v>
      </c>
      <c r="C9672" s="2349" t="s">
        <v>6265</v>
      </c>
      <c r="D9672" s="2349" t="s">
        <v>6385</v>
      </c>
      <c r="E9672" s="2350">
        <v>60</v>
      </c>
      <c r="F9672" s="2350">
        <v>10</v>
      </c>
    </row>
    <row r="9673" spans="1:6" ht="15" customHeight="1" x14ac:dyDescent="0.25">
      <c r="A9673" s="2349" t="s">
        <v>14338</v>
      </c>
      <c r="B9673" s="2349" t="s">
        <v>6265</v>
      </c>
      <c r="C9673" s="2349" t="s">
        <v>6265</v>
      </c>
      <c r="D9673" s="2349" t="s">
        <v>6386</v>
      </c>
      <c r="E9673" s="2350">
        <v>250</v>
      </c>
      <c r="F9673" s="2350">
        <v>153</v>
      </c>
    </row>
    <row r="9674" spans="1:6" ht="15" customHeight="1" x14ac:dyDescent="0.25">
      <c r="A9674" s="2349" t="s">
        <v>14339</v>
      </c>
      <c r="B9674" s="2349" t="s">
        <v>6265</v>
      </c>
      <c r="C9674" s="2349" t="s">
        <v>6265</v>
      </c>
      <c r="D9674" s="2349" t="s">
        <v>6387</v>
      </c>
      <c r="E9674" s="2350">
        <v>50</v>
      </c>
      <c r="F9674" s="2350">
        <v>10</v>
      </c>
    </row>
    <row r="9675" spans="1:6" ht="15" customHeight="1" x14ac:dyDescent="0.25">
      <c r="A9675" s="2349" t="s">
        <v>14340</v>
      </c>
      <c r="B9675" s="2349" t="s">
        <v>6265</v>
      </c>
      <c r="C9675" s="2349" t="s">
        <v>6265</v>
      </c>
      <c r="D9675" s="2349" t="s">
        <v>6388</v>
      </c>
      <c r="E9675" s="2350">
        <v>60</v>
      </c>
      <c r="F9675" s="2350">
        <v>28</v>
      </c>
    </row>
    <row r="9676" spans="1:6" ht="15" customHeight="1" x14ac:dyDescent="0.25">
      <c r="A9676" s="2349" t="s">
        <v>14340</v>
      </c>
      <c r="B9676" s="2349" t="s">
        <v>6265</v>
      </c>
      <c r="C9676" s="2349" t="s">
        <v>6265</v>
      </c>
      <c r="D9676" s="2349" t="s">
        <v>6389</v>
      </c>
      <c r="E9676" s="2350">
        <v>100</v>
      </c>
      <c r="F9676" s="2350">
        <v>10</v>
      </c>
    </row>
    <row r="9677" spans="1:6" ht="15" customHeight="1" x14ac:dyDescent="0.25">
      <c r="A9677" s="2349" t="s">
        <v>14341</v>
      </c>
      <c r="B9677" s="2349" t="s">
        <v>6265</v>
      </c>
      <c r="C9677" s="2349" t="s">
        <v>6265</v>
      </c>
      <c r="D9677" s="2349" t="s">
        <v>6390</v>
      </c>
      <c r="E9677" s="2350">
        <v>100</v>
      </c>
      <c r="F9677" s="2350">
        <v>15</v>
      </c>
    </row>
    <row r="9678" spans="1:6" ht="15" customHeight="1" x14ac:dyDescent="0.25">
      <c r="A9678" s="2349" t="s">
        <v>14335</v>
      </c>
      <c r="B9678" s="2349" t="s">
        <v>6265</v>
      </c>
      <c r="C9678" s="2349" t="s">
        <v>6265</v>
      </c>
      <c r="D9678" s="2349" t="s">
        <v>6391</v>
      </c>
      <c r="E9678" s="2350">
        <v>50</v>
      </c>
      <c r="F9678" s="2350">
        <v>21</v>
      </c>
    </row>
    <row r="9679" spans="1:6" ht="15" customHeight="1" x14ac:dyDescent="0.25">
      <c r="A9679" s="2349" t="s">
        <v>14342</v>
      </c>
      <c r="B9679" s="2349" t="s">
        <v>6265</v>
      </c>
      <c r="C9679" s="2349" t="s">
        <v>6265</v>
      </c>
      <c r="D9679" s="2349" t="s">
        <v>6392</v>
      </c>
      <c r="E9679" s="2350">
        <v>100</v>
      </c>
      <c r="F9679" s="2350">
        <v>55</v>
      </c>
    </row>
    <row r="9680" spans="1:6" ht="15" customHeight="1" x14ac:dyDescent="0.25">
      <c r="A9680" s="2349" t="s">
        <v>14335</v>
      </c>
      <c r="B9680" s="2349" t="s">
        <v>6265</v>
      </c>
      <c r="C9680" s="2349" t="s">
        <v>6265</v>
      </c>
      <c r="D9680" s="2349" t="s">
        <v>6393</v>
      </c>
      <c r="E9680" s="2350">
        <v>50</v>
      </c>
      <c r="F9680" s="2350">
        <v>10</v>
      </c>
    </row>
    <row r="9681" spans="1:6" ht="15" customHeight="1" x14ac:dyDescent="0.25">
      <c r="A9681" s="2349" t="s">
        <v>14335</v>
      </c>
      <c r="B9681" s="2349" t="s">
        <v>6265</v>
      </c>
      <c r="C9681" s="2349" t="s">
        <v>6265</v>
      </c>
      <c r="D9681" s="2349" t="s">
        <v>6394</v>
      </c>
      <c r="E9681" s="2350">
        <v>100</v>
      </c>
      <c r="F9681" s="2350">
        <v>20</v>
      </c>
    </row>
    <row r="9682" spans="1:6" ht="15" customHeight="1" x14ac:dyDescent="0.25">
      <c r="A9682" s="2349" t="s">
        <v>14335</v>
      </c>
      <c r="B9682" s="2349" t="s">
        <v>6265</v>
      </c>
      <c r="C9682" s="2349" t="s">
        <v>6265</v>
      </c>
      <c r="D9682" s="2349" t="s">
        <v>6395</v>
      </c>
      <c r="E9682" s="2350">
        <v>100</v>
      </c>
      <c r="F9682" s="2350">
        <v>30</v>
      </c>
    </row>
    <row r="9683" spans="1:6" ht="15" customHeight="1" x14ac:dyDescent="0.25">
      <c r="A9683" s="2349" t="s">
        <v>14335</v>
      </c>
      <c r="B9683" s="2349" t="s">
        <v>6265</v>
      </c>
      <c r="C9683" s="2349" t="s">
        <v>6265</v>
      </c>
      <c r="D9683" s="2349" t="s">
        <v>6396</v>
      </c>
      <c r="E9683" s="2350" t="s">
        <v>6280</v>
      </c>
      <c r="F9683" s="2350">
        <v>239</v>
      </c>
    </row>
    <row r="9684" spans="1:6" ht="15" customHeight="1" x14ac:dyDescent="0.25">
      <c r="A9684" s="2349" t="s">
        <v>14335</v>
      </c>
      <c r="B9684" s="2349" t="s">
        <v>6265</v>
      </c>
      <c r="C9684" s="2349" t="s">
        <v>6265</v>
      </c>
      <c r="D9684" s="2349" t="s">
        <v>6397</v>
      </c>
      <c r="E9684" s="2350">
        <v>25</v>
      </c>
      <c r="F9684" s="2350">
        <v>0</v>
      </c>
    </row>
    <row r="9685" spans="1:6" ht="15" customHeight="1" x14ac:dyDescent="0.25">
      <c r="A9685" s="2349" t="s">
        <v>14317</v>
      </c>
      <c r="B9685" s="2349" t="s">
        <v>6265</v>
      </c>
      <c r="C9685" s="2349" t="s">
        <v>6265</v>
      </c>
      <c r="D9685" s="2349" t="s">
        <v>6398</v>
      </c>
      <c r="E9685" s="2350">
        <v>30</v>
      </c>
      <c r="F9685" s="2350">
        <v>10</v>
      </c>
    </row>
    <row r="9686" spans="1:6" ht="15" customHeight="1" x14ac:dyDescent="0.25">
      <c r="A9686" s="2349" t="s">
        <v>14343</v>
      </c>
      <c r="B9686" s="2349" t="s">
        <v>6265</v>
      </c>
      <c r="C9686" s="2349" t="s">
        <v>6265</v>
      </c>
      <c r="D9686" s="2349" t="s">
        <v>6399</v>
      </c>
      <c r="E9686" s="2350">
        <v>10</v>
      </c>
      <c r="F9686" s="2350">
        <v>3</v>
      </c>
    </row>
    <row r="9687" spans="1:6" ht="15" customHeight="1" x14ac:dyDescent="0.25">
      <c r="A9687" s="2349" t="s">
        <v>14303</v>
      </c>
      <c r="B9687" s="2349" t="s">
        <v>6265</v>
      </c>
      <c r="C9687" s="2349" t="s">
        <v>6265</v>
      </c>
      <c r="D9687" s="2349" t="s">
        <v>6400</v>
      </c>
      <c r="E9687" s="2350">
        <v>63</v>
      </c>
      <c r="F9687" s="2350">
        <v>15</v>
      </c>
    </row>
    <row r="9688" spans="1:6" ht="15" customHeight="1" x14ac:dyDescent="0.25">
      <c r="A9688" s="2349" t="s">
        <v>14331</v>
      </c>
      <c r="B9688" s="2349" t="s">
        <v>6265</v>
      </c>
      <c r="C9688" s="2349" t="s">
        <v>6265</v>
      </c>
      <c r="D9688" s="2349" t="s">
        <v>6401</v>
      </c>
      <c r="E9688" s="2350">
        <v>40</v>
      </c>
      <c r="F9688" s="2350">
        <v>0</v>
      </c>
    </row>
    <row r="9689" spans="1:6" ht="15" customHeight="1" x14ac:dyDescent="0.25">
      <c r="A9689" s="2349" t="s">
        <v>14330</v>
      </c>
      <c r="B9689" s="2349" t="s">
        <v>6265</v>
      </c>
      <c r="C9689" s="2349" t="s">
        <v>6265</v>
      </c>
      <c r="D9689" s="2349" t="s">
        <v>6402</v>
      </c>
      <c r="E9689" s="2350">
        <v>160</v>
      </c>
      <c r="F9689" s="2350">
        <v>30</v>
      </c>
    </row>
    <row r="9690" spans="1:6" ht="15" customHeight="1" x14ac:dyDescent="0.25">
      <c r="A9690" s="2349" t="s">
        <v>14330</v>
      </c>
      <c r="B9690" s="2349" t="s">
        <v>6265</v>
      </c>
      <c r="C9690" s="2349" t="s">
        <v>6265</v>
      </c>
      <c r="D9690" s="2349" t="s">
        <v>6403</v>
      </c>
      <c r="E9690" s="2350">
        <v>180</v>
      </c>
      <c r="F9690" s="2350">
        <v>148</v>
      </c>
    </row>
    <row r="9691" spans="1:6" ht="15" customHeight="1" x14ac:dyDescent="0.25">
      <c r="A9691" s="2349" t="s">
        <v>14344</v>
      </c>
      <c r="B9691" s="2349" t="s">
        <v>6265</v>
      </c>
      <c r="C9691" s="2349" t="s">
        <v>6265</v>
      </c>
      <c r="D9691" s="2349" t="s">
        <v>6404</v>
      </c>
      <c r="E9691" s="2350">
        <v>160</v>
      </c>
      <c r="F9691" s="2350">
        <v>108</v>
      </c>
    </row>
    <row r="9692" spans="1:6" ht="15" customHeight="1" x14ac:dyDescent="0.25">
      <c r="A9692" s="2349" t="s">
        <v>14344</v>
      </c>
      <c r="B9692" s="2349" t="s">
        <v>6265</v>
      </c>
      <c r="C9692" s="2349" t="s">
        <v>6265</v>
      </c>
      <c r="D9692" s="2349" t="s">
        <v>6405</v>
      </c>
      <c r="E9692" s="2350">
        <v>63</v>
      </c>
      <c r="F9692" s="2350">
        <v>25</v>
      </c>
    </row>
    <row r="9693" spans="1:6" ht="15" customHeight="1" x14ac:dyDescent="0.25">
      <c r="A9693" s="2349" t="s">
        <v>14344</v>
      </c>
      <c r="B9693" s="2349" t="s">
        <v>6265</v>
      </c>
      <c r="C9693" s="2349" t="s">
        <v>6265</v>
      </c>
      <c r="D9693" s="2349" t="s">
        <v>6406</v>
      </c>
      <c r="E9693" s="2350">
        <v>100</v>
      </c>
      <c r="F9693" s="2350">
        <v>53</v>
      </c>
    </row>
    <row r="9694" spans="1:6" ht="15" customHeight="1" x14ac:dyDescent="0.25">
      <c r="A9694" s="2349" t="s">
        <v>14345</v>
      </c>
      <c r="B9694" s="2349" t="s">
        <v>6265</v>
      </c>
      <c r="C9694" s="2349" t="s">
        <v>6265</v>
      </c>
      <c r="D9694" s="2349" t="s">
        <v>6407</v>
      </c>
      <c r="E9694" s="2350">
        <v>30</v>
      </c>
      <c r="F9694" s="2350">
        <v>27</v>
      </c>
    </row>
    <row r="9695" spans="1:6" ht="15" customHeight="1" x14ac:dyDescent="0.25">
      <c r="A9695" s="2349" t="s">
        <v>14346</v>
      </c>
      <c r="B9695" s="2349" t="s">
        <v>6265</v>
      </c>
      <c r="C9695" s="2349" t="s">
        <v>6265</v>
      </c>
      <c r="D9695" s="2349" t="s">
        <v>6408</v>
      </c>
      <c r="E9695" s="2350">
        <v>60</v>
      </c>
      <c r="F9695" s="2350">
        <v>30</v>
      </c>
    </row>
    <row r="9696" spans="1:6" ht="15" customHeight="1" x14ac:dyDescent="0.25">
      <c r="A9696" s="2349" t="s">
        <v>14347</v>
      </c>
      <c r="B9696" s="2349" t="s">
        <v>6265</v>
      </c>
      <c r="C9696" s="2349" t="s">
        <v>6265</v>
      </c>
      <c r="D9696" s="2349" t="s">
        <v>6409</v>
      </c>
      <c r="E9696" s="2350">
        <v>160</v>
      </c>
      <c r="F9696" s="2350">
        <v>130</v>
      </c>
    </row>
    <row r="9697" spans="1:6" x14ac:dyDescent="0.25">
      <c r="A9697" s="2349" t="s">
        <v>19570</v>
      </c>
      <c r="B9697" s="2349" t="s">
        <v>19571</v>
      </c>
      <c r="C9697" s="2349" t="s">
        <v>19571</v>
      </c>
      <c r="D9697" s="2349" t="s">
        <v>19572</v>
      </c>
      <c r="E9697" s="2350">
        <v>63</v>
      </c>
      <c r="F9697" s="2350">
        <v>40</v>
      </c>
    </row>
    <row r="9698" spans="1:6" x14ac:dyDescent="0.25">
      <c r="A9698" s="2349" t="s">
        <v>19573</v>
      </c>
      <c r="B9698" s="2349" t="s">
        <v>19571</v>
      </c>
      <c r="C9698" s="2349" t="s">
        <v>19571</v>
      </c>
      <c r="D9698" s="2349" t="s">
        <v>19574</v>
      </c>
      <c r="E9698" s="2350">
        <v>160</v>
      </c>
      <c r="F9698" s="2350">
        <v>20</v>
      </c>
    </row>
    <row r="9699" spans="1:6" x14ac:dyDescent="0.25">
      <c r="A9699" s="2349" t="s">
        <v>5022</v>
      </c>
      <c r="B9699" s="2349" t="s">
        <v>19571</v>
      </c>
      <c r="C9699" s="2349" t="s">
        <v>19571</v>
      </c>
      <c r="D9699" s="2349" t="s">
        <v>19575</v>
      </c>
      <c r="E9699" s="2350">
        <v>100</v>
      </c>
      <c r="F9699" s="2350">
        <v>30</v>
      </c>
    </row>
    <row r="9700" spans="1:6" x14ac:dyDescent="0.25">
      <c r="A9700" s="2349" t="s">
        <v>19576</v>
      </c>
      <c r="B9700" s="2349" t="s">
        <v>19571</v>
      </c>
      <c r="C9700" s="2349" t="s">
        <v>19571</v>
      </c>
      <c r="D9700" s="2349" t="s">
        <v>19577</v>
      </c>
      <c r="E9700" s="2350">
        <v>60</v>
      </c>
      <c r="F9700" s="2350">
        <v>40</v>
      </c>
    </row>
    <row r="9701" spans="1:6" x14ac:dyDescent="0.25">
      <c r="A9701" s="2349" t="s">
        <v>9424</v>
      </c>
      <c r="B9701" s="2349" t="s">
        <v>19571</v>
      </c>
      <c r="C9701" s="2349" t="s">
        <v>19571</v>
      </c>
      <c r="D9701" s="2349" t="s">
        <v>19578</v>
      </c>
      <c r="E9701" s="2350">
        <v>100</v>
      </c>
      <c r="F9701" s="2350">
        <v>60</v>
      </c>
    </row>
    <row r="9702" spans="1:6" x14ac:dyDescent="0.25">
      <c r="A9702" s="2349" t="s">
        <v>19579</v>
      </c>
      <c r="B9702" s="2349" t="s">
        <v>19571</v>
      </c>
      <c r="C9702" s="2349" t="s">
        <v>19571</v>
      </c>
      <c r="D9702" s="2349" t="s">
        <v>19580</v>
      </c>
      <c r="E9702" s="2350">
        <v>10</v>
      </c>
      <c r="F9702" s="2350">
        <v>0</v>
      </c>
    </row>
    <row r="9703" spans="1:6" x14ac:dyDescent="0.25">
      <c r="A9703" s="2349" t="s">
        <v>19581</v>
      </c>
      <c r="B9703" s="2349" t="s">
        <v>19571</v>
      </c>
      <c r="C9703" s="2349" t="s">
        <v>19571</v>
      </c>
      <c r="D9703" s="2349" t="s">
        <v>19582</v>
      </c>
      <c r="E9703" s="2350">
        <v>250</v>
      </c>
      <c r="F9703" s="2350">
        <v>50</v>
      </c>
    </row>
    <row r="9704" spans="1:6" x14ac:dyDescent="0.25">
      <c r="A9704" s="2349" t="s">
        <v>9098</v>
      </c>
      <c r="B9704" s="2349" t="s">
        <v>19571</v>
      </c>
      <c r="C9704" s="2349" t="s">
        <v>19571</v>
      </c>
      <c r="D9704" s="2349" t="s">
        <v>19583</v>
      </c>
      <c r="E9704" s="2350">
        <v>100</v>
      </c>
      <c r="F9704" s="2350">
        <v>40</v>
      </c>
    </row>
    <row r="9705" spans="1:6" x14ac:dyDescent="0.25">
      <c r="A9705" s="2349" t="s">
        <v>19584</v>
      </c>
      <c r="B9705" s="2349" t="s">
        <v>19571</v>
      </c>
      <c r="C9705" s="2349" t="s">
        <v>19571</v>
      </c>
      <c r="D9705" s="2349" t="s">
        <v>19585</v>
      </c>
      <c r="E9705" s="2350">
        <v>60</v>
      </c>
      <c r="F9705" s="2350">
        <v>20</v>
      </c>
    </row>
    <row r="9706" spans="1:6" x14ac:dyDescent="0.25">
      <c r="A9706" s="2349" t="s">
        <v>19586</v>
      </c>
      <c r="B9706" s="2349" t="s">
        <v>19571</v>
      </c>
      <c r="C9706" s="2349" t="s">
        <v>19571</v>
      </c>
      <c r="D9706" s="2349" t="s">
        <v>19587</v>
      </c>
      <c r="E9706" s="2350">
        <v>20</v>
      </c>
      <c r="F9706" s="2350">
        <v>10</v>
      </c>
    </row>
    <row r="9707" spans="1:6" x14ac:dyDescent="0.25">
      <c r="A9707" s="2349" t="s">
        <v>6418</v>
      </c>
      <c r="B9707" s="2349" t="s">
        <v>19571</v>
      </c>
      <c r="C9707" s="2349" t="s">
        <v>19571</v>
      </c>
      <c r="D9707" s="2349" t="s">
        <v>19588</v>
      </c>
      <c r="E9707" s="2350">
        <v>60</v>
      </c>
      <c r="F9707" s="2350">
        <v>20</v>
      </c>
    </row>
    <row r="9708" spans="1:6" x14ac:dyDescent="0.25">
      <c r="A9708" s="2349" t="s">
        <v>19589</v>
      </c>
      <c r="B9708" s="2349" t="s">
        <v>19571</v>
      </c>
      <c r="C9708" s="2349" t="s">
        <v>19571</v>
      </c>
      <c r="D9708" s="2349" t="s">
        <v>19590</v>
      </c>
      <c r="E9708" s="2350">
        <v>60</v>
      </c>
      <c r="F9708" s="2350">
        <v>20</v>
      </c>
    </row>
    <row r="9709" spans="1:6" x14ac:dyDescent="0.25">
      <c r="A9709" s="2349" t="s">
        <v>19591</v>
      </c>
      <c r="B9709" s="2349" t="s">
        <v>19571</v>
      </c>
      <c r="C9709" s="2349" t="s">
        <v>19571</v>
      </c>
      <c r="D9709" s="2349" t="s">
        <v>19592</v>
      </c>
      <c r="E9709" s="2350">
        <v>10</v>
      </c>
      <c r="F9709" s="2350">
        <v>0</v>
      </c>
    </row>
    <row r="9710" spans="1:6" x14ac:dyDescent="0.25">
      <c r="A9710" s="2349" t="s">
        <v>19593</v>
      </c>
      <c r="B9710" s="2349" t="s">
        <v>19571</v>
      </c>
      <c r="C9710" s="2349" t="s">
        <v>19571</v>
      </c>
      <c r="D9710" s="2349" t="s">
        <v>19594</v>
      </c>
      <c r="E9710" s="2350">
        <v>25</v>
      </c>
      <c r="F9710" s="2350">
        <v>10</v>
      </c>
    </row>
    <row r="9711" spans="1:6" x14ac:dyDescent="0.25">
      <c r="A9711" s="2349" t="s">
        <v>19595</v>
      </c>
      <c r="B9711" s="2349" t="s">
        <v>19571</v>
      </c>
      <c r="C9711" s="2349" t="s">
        <v>19571</v>
      </c>
      <c r="D9711" s="2349" t="s">
        <v>19596</v>
      </c>
      <c r="E9711" s="2350">
        <v>10</v>
      </c>
      <c r="F9711" s="2350">
        <v>0</v>
      </c>
    </row>
    <row r="9712" spans="1:6" x14ac:dyDescent="0.25">
      <c r="A9712" s="2349" t="s">
        <v>19597</v>
      </c>
      <c r="B9712" s="2349" t="s">
        <v>19571</v>
      </c>
      <c r="C9712" s="2349" t="s">
        <v>19571</v>
      </c>
      <c r="D9712" s="2349" t="s">
        <v>19598</v>
      </c>
      <c r="E9712" s="2350">
        <v>25</v>
      </c>
      <c r="F9712" s="2350">
        <v>10</v>
      </c>
    </row>
    <row r="9713" spans="1:6" x14ac:dyDescent="0.25">
      <c r="A9713" s="2349" t="s">
        <v>19599</v>
      </c>
      <c r="B9713" s="2349" t="s">
        <v>19571</v>
      </c>
      <c r="C9713" s="2349" t="s">
        <v>19571</v>
      </c>
      <c r="D9713" s="2349" t="s">
        <v>19600</v>
      </c>
      <c r="E9713" s="2350">
        <v>100</v>
      </c>
      <c r="F9713" s="2350">
        <v>20</v>
      </c>
    </row>
    <row r="9714" spans="1:6" x14ac:dyDescent="0.25">
      <c r="A9714" s="2349" t="s">
        <v>19597</v>
      </c>
      <c r="B9714" s="2349" t="s">
        <v>19571</v>
      </c>
      <c r="C9714" s="2349" t="s">
        <v>19571</v>
      </c>
      <c r="D9714" s="2349" t="s">
        <v>19601</v>
      </c>
      <c r="E9714" s="2350">
        <v>100</v>
      </c>
      <c r="F9714" s="2350">
        <v>40</v>
      </c>
    </row>
    <row r="9715" spans="1:6" x14ac:dyDescent="0.25">
      <c r="A9715" s="2349" t="s">
        <v>19597</v>
      </c>
      <c r="B9715" s="2349" t="s">
        <v>19571</v>
      </c>
      <c r="C9715" s="2349" t="s">
        <v>19571</v>
      </c>
      <c r="D9715" s="2349" t="s">
        <v>19602</v>
      </c>
      <c r="E9715" s="2350">
        <v>160</v>
      </c>
      <c r="F9715" s="2350">
        <v>80</v>
      </c>
    </row>
    <row r="9716" spans="1:6" x14ac:dyDescent="0.25">
      <c r="A9716" s="2349" t="s">
        <v>19581</v>
      </c>
      <c r="B9716" s="2349" t="s">
        <v>19571</v>
      </c>
      <c r="C9716" s="2349" t="s">
        <v>19571</v>
      </c>
      <c r="D9716" s="2349" t="s">
        <v>19603</v>
      </c>
      <c r="E9716" s="2350">
        <v>160</v>
      </c>
      <c r="F9716" s="2350">
        <v>20</v>
      </c>
    </row>
    <row r="9717" spans="1:6" x14ac:dyDescent="0.25">
      <c r="A9717" s="2349" t="s">
        <v>19581</v>
      </c>
      <c r="B9717" s="2349" t="s">
        <v>19571</v>
      </c>
      <c r="C9717" s="2349" t="s">
        <v>19571</v>
      </c>
      <c r="D9717" s="2349" t="s">
        <v>19604</v>
      </c>
      <c r="E9717" s="2350">
        <v>250</v>
      </c>
      <c r="F9717" s="2350">
        <v>70</v>
      </c>
    </row>
    <row r="9718" spans="1:6" x14ac:dyDescent="0.25">
      <c r="A9718" s="2349" t="s">
        <v>3875</v>
      </c>
      <c r="B9718" s="2349" t="s">
        <v>19571</v>
      </c>
      <c r="C9718" s="2349" t="s">
        <v>19571</v>
      </c>
      <c r="D9718" s="2349" t="s">
        <v>19605</v>
      </c>
      <c r="E9718" s="2350">
        <v>100</v>
      </c>
      <c r="F9718" s="2350">
        <v>0</v>
      </c>
    </row>
    <row r="9719" spans="1:6" x14ac:dyDescent="0.25">
      <c r="A9719" s="2349" t="s">
        <v>19606</v>
      </c>
      <c r="B9719" s="2349" t="s">
        <v>19571</v>
      </c>
      <c r="C9719" s="2349" t="s">
        <v>19571</v>
      </c>
      <c r="D9719" s="2349" t="s">
        <v>19607</v>
      </c>
      <c r="E9719" s="2350">
        <v>250</v>
      </c>
      <c r="F9719" s="2350">
        <v>0</v>
      </c>
    </row>
    <row r="9720" spans="1:6" x14ac:dyDescent="0.25">
      <c r="A9720" s="2349" t="s">
        <v>19608</v>
      </c>
      <c r="B9720" s="2349" t="s">
        <v>19571</v>
      </c>
      <c r="C9720" s="2349" t="s">
        <v>19571</v>
      </c>
      <c r="D9720" s="2349" t="s">
        <v>19609</v>
      </c>
      <c r="E9720" s="2350">
        <v>400</v>
      </c>
      <c r="F9720" s="2350">
        <v>20</v>
      </c>
    </row>
    <row r="9721" spans="1:6" x14ac:dyDescent="0.25">
      <c r="A9721" s="2349" t="s">
        <v>19608</v>
      </c>
      <c r="B9721" s="2349" t="s">
        <v>19571</v>
      </c>
      <c r="C9721" s="2349" t="s">
        <v>19571</v>
      </c>
      <c r="D9721" s="2349" t="s">
        <v>19610</v>
      </c>
      <c r="E9721" s="2350">
        <v>250</v>
      </c>
      <c r="F9721" s="2350">
        <v>70</v>
      </c>
    </row>
    <row r="9722" spans="1:6" x14ac:dyDescent="0.25">
      <c r="A9722" s="2349" t="s">
        <v>19608</v>
      </c>
      <c r="B9722" s="2349" t="s">
        <v>19571</v>
      </c>
      <c r="C9722" s="2349" t="s">
        <v>19571</v>
      </c>
      <c r="D9722" s="2349" t="s">
        <v>19611</v>
      </c>
      <c r="E9722" s="2350">
        <v>400</v>
      </c>
      <c r="F9722" s="2350">
        <v>40</v>
      </c>
    </row>
    <row r="9723" spans="1:6" x14ac:dyDescent="0.25">
      <c r="A9723" s="2349" t="s">
        <v>19608</v>
      </c>
      <c r="B9723" s="2349" t="s">
        <v>19571</v>
      </c>
      <c r="C9723" s="2349" t="s">
        <v>19571</v>
      </c>
      <c r="D9723" s="2349" t="s">
        <v>19612</v>
      </c>
      <c r="E9723" s="2350">
        <v>160</v>
      </c>
      <c r="F9723" s="2350">
        <v>15</v>
      </c>
    </row>
    <row r="9724" spans="1:6" x14ac:dyDescent="0.25">
      <c r="A9724" s="2349" t="s">
        <v>19613</v>
      </c>
      <c r="B9724" s="2349" t="s">
        <v>19571</v>
      </c>
      <c r="C9724" s="2349" t="s">
        <v>19571</v>
      </c>
      <c r="D9724" s="2349" t="s">
        <v>19614</v>
      </c>
      <c r="E9724" s="2350">
        <v>60</v>
      </c>
      <c r="F9724" s="2350">
        <v>15</v>
      </c>
    </row>
    <row r="9725" spans="1:6" x14ac:dyDescent="0.25">
      <c r="A9725" s="2349" t="s">
        <v>10092</v>
      </c>
      <c r="B9725" s="2349" t="s">
        <v>19571</v>
      </c>
      <c r="C9725" s="2349" t="s">
        <v>19571</v>
      </c>
      <c r="D9725" s="2349" t="s">
        <v>19615</v>
      </c>
      <c r="E9725" s="2350">
        <v>60</v>
      </c>
      <c r="F9725" s="2350">
        <v>15</v>
      </c>
    </row>
    <row r="9726" spans="1:6" x14ac:dyDescent="0.25">
      <c r="A9726" s="2349" t="s">
        <v>19616</v>
      </c>
      <c r="B9726" s="2349" t="s">
        <v>19571</v>
      </c>
      <c r="C9726" s="2349" t="s">
        <v>19571</v>
      </c>
      <c r="D9726" s="2349" t="s">
        <v>19617</v>
      </c>
      <c r="E9726" s="2350">
        <v>160</v>
      </c>
      <c r="F9726" s="2350">
        <v>60</v>
      </c>
    </row>
    <row r="9727" spans="1:6" x14ac:dyDescent="0.25">
      <c r="A9727" s="2349" t="s">
        <v>19616</v>
      </c>
      <c r="B9727" s="2349" t="s">
        <v>19571</v>
      </c>
      <c r="C9727" s="2349" t="s">
        <v>19571</v>
      </c>
      <c r="D9727" s="2349" t="s">
        <v>19618</v>
      </c>
      <c r="E9727" s="2350">
        <v>250</v>
      </c>
      <c r="F9727" s="2350">
        <v>100</v>
      </c>
    </row>
    <row r="9728" spans="1:6" x14ac:dyDescent="0.25">
      <c r="A9728" s="2349" t="s">
        <v>19616</v>
      </c>
      <c r="B9728" s="2349" t="s">
        <v>19571</v>
      </c>
      <c r="C9728" s="2349" t="s">
        <v>19571</v>
      </c>
      <c r="D9728" s="2349" t="s">
        <v>19619</v>
      </c>
      <c r="E9728" s="2350">
        <v>250</v>
      </c>
      <c r="F9728" s="2350">
        <v>100</v>
      </c>
    </row>
    <row r="9729" spans="1:6" x14ac:dyDescent="0.25">
      <c r="A9729" s="2349" t="s">
        <v>19616</v>
      </c>
      <c r="B9729" s="2349" t="s">
        <v>19571</v>
      </c>
      <c r="C9729" s="2349" t="s">
        <v>19571</v>
      </c>
      <c r="D9729" s="2349" t="s">
        <v>19620</v>
      </c>
      <c r="E9729" s="2350">
        <v>160</v>
      </c>
      <c r="F9729" s="2350">
        <v>60</v>
      </c>
    </row>
    <row r="9730" spans="1:6" x14ac:dyDescent="0.25">
      <c r="A9730" s="2349" t="s">
        <v>19616</v>
      </c>
      <c r="B9730" s="2349" t="s">
        <v>19571</v>
      </c>
      <c r="C9730" s="2349" t="s">
        <v>19571</v>
      </c>
      <c r="D9730" s="2349" t="s">
        <v>19621</v>
      </c>
      <c r="E9730" s="2350">
        <v>250</v>
      </c>
      <c r="F9730" s="2350">
        <v>160</v>
      </c>
    </row>
    <row r="9731" spans="1:6" x14ac:dyDescent="0.25">
      <c r="A9731" s="2349" t="s">
        <v>19616</v>
      </c>
      <c r="B9731" s="2349" t="s">
        <v>19571</v>
      </c>
      <c r="C9731" s="2349" t="s">
        <v>19571</v>
      </c>
      <c r="D9731" s="2349" t="s">
        <v>19622</v>
      </c>
      <c r="E9731" s="2350">
        <v>250</v>
      </c>
      <c r="F9731" s="2350">
        <v>160</v>
      </c>
    </row>
    <row r="9732" spans="1:6" x14ac:dyDescent="0.25">
      <c r="A9732" s="2349" t="s">
        <v>6512</v>
      </c>
      <c r="B9732" s="2349" t="s">
        <v>19571</v>
      </c>
      <c r="C9732" s="2349" t="s">
        <v>19571</v>
      </c>
      <c r="D9732" s="2349" t="s">
        <v>19623</v>
      </c>
      <c r="E9732" s="2350">
        <v>60</v>
      </c>
      <c r="F9732" s="2350">
        <v>10</v>
      </c>
    </row>
    <row r="9733" spans="1:6" x14ac:dyDescent="0.25">
      <c r="A9733" s="2349" t="s">
        <v>6512</v>
      </c>
      <c r="B9733" s="2349" t="s">
        <v>19571</v>
      </c>
      <c r="C9733" s="2349" t="s">
        <v>19571</v>
      </c>
      <c r="D9733" s="2349" t="s">
        <v>19624</v>
      </c>
      <c r="E9733" s="2350">
        <v>160</v>
      </c>
      <c r="F9733" s="2350">
        <v>20</v>
      </c>
    </row>
    <row r="9734" spans="1:6" x14ac:dyDescent="0.25">
      <c r="A9734" s="2349" t="s">
        <v>19625</v>
      </c>
      <c r="B9734" s="2349" t="s">
        <v>19571</v>
      </c>
      <c r="C9734" s="2349" t="s">
        <v>19571</v>
      </c>
      <c r="D9734" s="2349" t="s">
        <v>19626</v>
      </c>
      <c r="E9734" s="2350">
        <v>100</v>
      </c>
      <c r="F9734" s="2350">
        <v>40</v>
      </c>
    </row>
    <row r="9735" spans="1:6" x14ac:dyDescent="0.25">
      <c r="A9735" s="2349" t="s">
        <v>19608</v>
      </c>
      <c r="B9735" s="2349" t="s">
        <v>19571</v>
      </c>
      <c r="C9735" s="2349" t="s">
        <v>19571</v>
      </c>
      <c r="D9735" s="2349" t="s">
        <v>19627</v>
      </c>
      <c r="E9735" s="2350">
        <v>63</v>
      </c>
      <c r="F9735" s="2350">
        <v>20</v>
      </c>
    </row>
    <row r="9736" spans="1:6" x14ac:dyDescent="0.25">
      <c r="A9736" s="2349" t="s">
        <v>6429</v>
      </c>
      <c r="B9736" s="2349" t="s">
        <v>19571</v>
      </c>
      <c r="C9736" s="2349" t="s">
        <v>19571</v>
      </c>
      <c r="D9736" s="2349" t="s">
        <v>19628</v>
      </c>
      <c r="E9736" s="2350">
        <v>10</v>
      </c>
      <c r="F9736" s="2350">
        <v>5</v>
      </c>
    </row>
    <row r="9737" spans="1:6" x14ac:dyDescent="0.25">
      <c r="A9737" s="2349" t="s">
        <v>13796</v>
      </c>
      <c r="B9737" s="2349" t="s">
        <v>19571</v>
      </c>
      <c r="C9737" s="2349" t="s">
        <v>19571</v>
      </c>
      <c r="D9737" s="2349" t="s">
        <v>19629</v>
      </c>
      <c r="E9737" s="2350">
        <v>60</v>
      </c>
      <c r="F9737" s="2350">
        <v>20</v>
      </c>
    </row>
    <row r="9738" spans="1:6" x14ac:dyDescent="0.25">
      <c r="A9738" s="2349" t="s">
        <v>19630</v>
      </c>
      <c r="B9738" s="2349" t="s">
        <v>19571</v>
      </c>
      <c r="C9738" s="2349" t="s">
        <v>19571</v>
      </c>
      <c r="D9738" s="2349" t="s">
        <v>19631</v>
      </c>
      <c r="E9738" s="2350">
        <v>40</v>
      </c>
      <c r="F9738" s="2350">
        <v>10</v>
      </c>
    </row>
    <row r="9739" spans="1:6" x14ac:dyDescent="0.25">
      <c r="A9739" s="2349" t="s">
        <v>19632</v>
      </c>
      <c r="B9739" s="2349" t="s">
        <v>19571</v>
      </c>
      <c r="C9739" s="2349" t="s">
        <v>19571</v>
      </c>
      <c r="D9739" s="2349" t="s">
        <v>19633</v>
      </c>
      <c r="E9739" s="2350">
        <v>60</v>
      </c>
      <c r="F9739" s="2350">
        <v>20</v>
      </c>
    </row>
    <row r="9740" spans="1:6" x14ac:dyDescent="0.25">
      <c r="A9740" s="2349" t="s">
        <v>19634</v>
      </c>
      <c r="B9740" s="2349" t="s">
        <v>19571</v>
      </c>
      <c r="C9740" s="2349" t="s">
        <v>19571</v>
      </c>
      <c r="D9740" s="2349" t="s">
        <v>19635</v>
      </c>
      <c r="E9740" s="2350">
        <v>100</v>
      </c>
      <c r="F9740" s="2350">
        <v>10</v>
      </c>
    </row>
    <row r="9741" spans="1:6" x14ac:dyDescent="0.25">
      <c r="A9741" s="2349" t="s">
        <v>19634</v>
      </c>
      <c r="B9741" s="2349" t="s">
        <v>19571</v>
      </c>
      <c r="C9741" s="2349" t="s">
        <v>19571</v>
      </c>
      <c r="D9741" s="2349" t="s">
        <v>19636</v>
      </c>
      <c r="E9741" s="2350">
        <v>180</v>
      </c>
      <c r="F9741" s="2350">
        <v>20</v>
      </c>
    </row>
    <row r="9742" spans="1:6" x14ac:dyDescent="0.25">
      <c r="A9742" s="2349" t="s">
        <v>19634</v>
      </c>
      <c r="B9742" s="2349" t="s">
        <v>19571</v>
      </c>
      <c r="C9742" s="2349" t="s">
        <v>19571</v>
      </c>
      <c r="D9742" s="2349" t="s">
        <v>19637</v>
      </c>
      <c r="E9742" s="2350">
        <v>100</v>
      </c>
      <c r="F9742" s="2350">
        <v>10</v>
      </c>
    </row>
    <row r="9743" spans="1:6" x14ac:dyDescent="0.25">
      <c r="A9743" s="2349" t="s">
        <v>19634</v>
      </c>
      <c r="B9743" s="2349" t="s">
        <v>19571</v>
      </c>
      <c r="C9743" s="2349" t="s">
        <v>19571</v>
      </c>
      <c r="D9743" s="2349" t="s">
        <v>19638</v>
      </c>
      <c r="E9743" s="2350">
        <v>100</v>
      </c>
      <c r="F9743" s="2350">
        <v>10</v>
      </c>
    </row>
    <row r="9744" spans="1:6" x14ac:dyDescent="0.25">
      <c r="A9744" s="2349" t="s">
        <v>19634</v>
      </c>
      <c r="B9744" s="2349" t="s">
        <v>19571</v>
      </c>
      <c r="C9744" s="2349" t="s">
        <v>19571</v>
      </c>
      <c r="D9744" s="2349" t="s">
        <v>19639</v>
      </c>
      <c r="E9744" s="2350">
        <v>60</v>
      </c>
      <c r="F9744" s="2350">
        <v>0</v>
      </c>
    </row>
    <row r="9745" spans="1:6" x14ac:dyDescent="0.25">
      <c r="A9745" s="2349" t="s">
        <v>19634</v>
      </c>
      <c r="B9745" s="2349" t="s">
        <v>19571</v>
      </c>
      <c r="C9745" s="2349" t="s">
        <v>19571</v>
      </c>
      <c r="D9745" s="2349" t="s">
        <v>19640</v>
      </c>
      <c r="E9745" s="2350">
        <v>160</v>
      </c>
      <c r="F9745" s="2350">
        <v>30</v>
      </c>
    </row>
    <row r="9746" spans="1:6" x14ac:dyDescent="0.25">
      <c r="A9746" s="2349" t="s">
        <v>12086</v>
      </c>
      <c r="B9746" s="2349" t="s">
        <v>19571</v>
      </c>
      <c r="C9746" s="2349" t="s">
        <v>19571</v>
      </c>
      <c r="D9746" s="2349" t="s">
        <v>19641</v>
      </c>
      <c r="E9746" s="2350">
        <v>40</v>
      </c>
      <c r="F9746" s="2350">
        <v>10</v>
      </c>
    </row>
    <row r="9747" spans="1:6" x14ac:dyDescent="0.25">
      <c r="A9747" s="2349" t="s">
        <v>3918</v>
      </c>
      <c r="B9747" s="2349" t="s">
        <v>19571</v>
      </c>
      <c r="C9747" s="2349" t="s">
        <v>19571</v>
      </c>
      <c r="D9747" s="2349" t="s">
        <v>19642</v>
      </c>
      <c r="E9747" s="2350">
        <v>100</v>
      </c>
      <c r="F9747" s="2350">
        <v>15</v>
      </c>
    </row>
    <row r="9748" spans="1:6" x14ac:dyDescent="0.25">
      <c r="A9748" s="2349" t="s">
        <v>14773</v>
      </c>
      <c r="B9748" s="2349" t="s">
        <v>19571</v>
      </c>
      <c r="C9748" s="2349" t="s">
        <v>19571</v>
      </c>
      <c r="D9748" s="2349" t="s">
        <v>19643</v>
      </c>
      <c r="E9748" s="2350">
        <v>60</v>
      </c>
      <c r="F9748" s="2350">
        <v>10</v>
      </c>
    </row>
    <row r="9749" spans="1:6" x14ac:dyDescent="0.25">
      <c r="A9749" s="2349" t="s">
        <v>19644</v>
      </c>
      <c r="B9749" s="2349" t="s">
        <v>19571</v>
      </c>
      <c r="C9749" s="2349" t="s">
        <v>19571</v>
      </c>
      <c r="D9749" s="2349" t="s">
        <v>19645</v>
      </c>
      <c r="E9749" s="2350">
        <v>100</v>
      </c>
      <c r="F9749" s="2350">
        <v>10</v>
      </c>
    </row>
    <row r="9750" spans="1:6" x14ac:dyDescent="0.25">
      <c r="A9750" s="2349" t="s">
        <v>4713</v>
      </c>
      <c r="B9750" s="2349" t="s">
        <v>19571</v>
      </c>
      <c r="C9750" s="2349" t="s">
        <v>19571</v>
      </c>
      <c r="D9750" s="2349" t="s">
        <v>19646</v>
      </c>
      <c r="E9750" s="2350">
        <v>50</v>
      </c>
      <c r="F9750" s="2350">
        <v>10</v>
      </c>
    </row>
    <row r="9751" spans="1:6" x14ac:dyDescent="0.25">
      <c r="A9751" s="2349" t="s">
        <v>4233</v>
      </c>
      <c r="B9751" s="2349" t="s">
        <v>19571</v>
      </c>
      <c r="C9751" s="2349" t="s">
        <v>19571</v>
      </c>
      <c r="D9751" s="2349" t="s">
        <v>19647</v>
      </c>
      <c r="E9751" s="2350">
        <v>63</v>
      </c>
      <c r="F9751" s="2350">
        <v>10</v>
      </c>
    </row>
    <row r="9752" spans="1:6" x14ac:dyDescent="0.25">
      <c r="A9752" s="2349" t="s">
        <v>9487</v>
      </c>
      <c r="B9752" s="2349" t="s">
        <v>19571</v>
      </c>
      <c r="C9752" s="2349" t="s">
        <v>19571</v>
      </c>
      <c r="D9752" s="2349" t="s">
        <v>19648</v>
      </c>
      <c r="E9752" s="2350">
        <v>60</v>
      </c>
      <c r="F9752" s="2350">
        <v>20</v>
      </c>
    </row>
    <row r="9753" spans="1:6" x14ac:dyDescent="0.25">
      <c r="A9753" s="2349" t="s">
        <v>15432</v>
      </c>
      <c r="B9753" s="2349" t="s">
        <v>19571</v>
      </c>
      <c r="C9753" s="2349" t="s">
        <v>19571</v>
      </c>
      <c r="D9753" s="2349" t="s">
        <v>19649</v>
      </c>
      <c r="E9753" s="2350">
        <v>100</v>
      </c>
      <c r="F9753" s="2350">
        <v>20</v>
      </c>
    </row>
    <row r="9754" spans="1:6" x14ac:dyDescent="0.25">
      <c r="A9754" s="2349" t="s">
        <v>15432</v>
      </c>
      <c r="B9754" s="2349" t="s">
        <v>19571</v>
      </c>
      <c r="C9754" s="2349" t="s">
        <v>19571</v>
      </c>
      <c r="D9754" s="2349" t="s">
        <v>19650</v>
      </c>
      <c r="E9754" s="2350">
        <v>160</v>
      </c>
      <c r="F9754" s="2350">
        <v>40</v>
      </c>
    </row>
    <row r="9755" spans="1:6" x14ac:dyDescent="0.25">
      <c r="A9755" s="2349" t="s">
        <v>14067</v>
      </c>
      <c r="B9755" s="2349" t="s">
        <v>19571</v>
      </c>
      <c r="C9755" s="2349" t="s">
        <v>19571</v>
      </c>
      <c r="D9755" s="2349" t="s">
        <v>19651</v>
      </c>
      <c r="E9755" s="2350">
        <v>63</v>
      </c>
      <c r="F9755" s="2350">
        <v>15</v>
      </c>
    </row>
    <row r="9756" spans="1:6" x14ac:dyDescent="0.25">
      <c r="A9756" s="2349" t="s">
        <v>3875</v>
      </c>
      <c r="B9756" s="2349" t="s">
        <v>19571</v>
      </c>
      <c r="C9756" s="2349" t="s">
        <v>19571</v>
      </c>
      <c r="D9756" s="2349" t="s">
        <v>19652</v>
      </c>
      <c r="E9756" s="2350">
        <v>250</v>
      </c>
      <c r="F9756" s="2350">
        <v>80</v>
      </c>
    </row>
    <row r="9757" spans="1:6" x14ac:dyDescent="0.25">
      <c r="A9757" s="2349" t="s">
        <v>3875</v>
      </c>
      <c r="B9757" s="2349" t="s">
        <v>19571</v>
      </c>
      <c r="C9757" s="2349" t="s">
        <v>19571</v>
      </c>
      <c r="D9757" s="2349" t="s">
        <v>19653</v>
      </c>
      <c r="E9757" s="2350">
        <v>100</v>
      </c>
      <c r="F9757" s="2350">
        <v>15</v>
      </c>
    </row>
    <row r="9758" spans="1:6" x14ac:dyDescent="0.25">
      <c r="A9758" s="2349" t="s">
        <v>3875</v>
      </c>
      <c r="B9758" s="2349" t="s">
        <v>19571</v>
      </c>
      <c r="C9758" s="2349" t="s">
        <v>19571</v>
      </c>
      <c r="D9758" s="2349" t="s">
        <v>19654</v>
      </c>
      <c r="E9758" s="2350">
        <v>100</v>
      </c>
      <c r="F9758" s="2350">
        <v>10</v>
      </c>
    </row>
    <row r="9759" spans="1:6" x14ac:dyDescent="0.25">
      <c r="A9759" s="2349" t="s">
        <v>3875</v>
      </c>
      <c r="B9759" s="2349" t="s">
        <v>19571</v>
      </c>
      <c r="C9759" s="2349" t="s">
        <v>19571</v>
      </c>
      <c r="D9759" s="2349" t="s">
        <v>19655</v>
      </c>
      <c r="E9759" s="2350">
        <v>400</v>
      </c>
      <c r="F9759" s="2350">
        <v>15</v>
      </c>
    </row>
    <row r="9760" spans="1:6" x14ac:dyDescent="0.25">
      <c r="A9760" s="2349" t="s">
        <v>19581</v>
      </c>
      <c r="B9760" s="2349" t="s">
        <v>19571</v>
      </c>
      <c r="C9760" s="2349" t="s">
        <v>19571</v>
      </c>
      <c r="D9760" s="2349" t="s">
        <v>19656</v>
      </c>
      <c r="E9760" s="2350">
        <v>160</v>
      </c>
      <c r="F9760" s="2350">
        <v>10</v>
      </c>
    </row>
    <row r="9761" spans="1:6" x14ac:dyDescent="0.25">
      <c r="A9761" s="2349" t="s">
        <v>19581</v>
      </c>
      <c r="B9761" s="2349" t="s">
        <v>19571</v>
      </c>
      <c r="C9761" s="2349" t="s">
        <v>19571</v>
      </c>
      <c r="D9761" s="2349" t="s">
        <v>19657</v>
      </c>
      <c r="E9761" s="2350">
        <v>63</v>
      </c>
      <c r="F9761" s="2350">
        <v>10</v>
      </c>
    </row>
    <row r="9762" spans="1:6" x14ac:dyDescent="0.25">
      <c r="A9762" s="2349" t="s">
        <v>19581</v>
      </c>
      <c r="B9762" s="2349" t="s">
        <v>19571</v>
      </c>
      <c r="C9762" s="2349" t="s">
        <v>19571</v>
      </c>
      <c r="D9762" s="2349" t="s">
        <v>19658</v>
      </c>
      <c r="E9762" s="2350">
        <v>250</v>
      </c>
      <c r="F9762" s="2350">
        <v>10</v>
      </c>
    </row>
    <row r="9763" spans="1:6" x14ac:dyDescent="0.25">
      <c r="A9763" s="2349" t="s">
        <v>19581</v>
      </c>
      <c r="B9763" s="2349" t="s">
        <v>19571</v>
      </c>
      <c r="C9763" s="2349" t="s">
        <v>19571</v>
      </c>
      <c r="D9763" s="2349" t="s">
        <v>19659</v>
      </c>
      <c r="E9763" s="2350">
        <v>40</v>
      </c>
      <c r="F9763" s="2350">
        <v>0</v>
      </c>
    </row>
    <row r="9764" spans="1:6" x14ac:dyDescent="0.25">
      <c r="A9764" s="2349" t="s">
        <v>19581</v>
      </c>
      <c r="B9764" s="2349" t="s">
        <v>19571</v>
      </c>
      <c r="C9764" s="2349" t="s">
        <v>19571</v>
      </c>
      <c r="D9764" s="2349" t="s">
        <v>19660</v>
      </c>
      <c r="E9764" s="2350">
        <v>100</v>
      </c>
      <c r="F9764" s="2350">
        <v>0</v>
      </c>
    </row>
    <row r="9765" spans="1:6" x14ac:dyDescent="0.25">
      <c r="A9765" s="2349" t="s">
        <v>19581</v>
      </c>
      <c r="B9765" s="2349" t="s">
        <v>19571</v>
      </c>
      <c r="C9765" s="2349" t="s">
        <v>19571</v>
      </c>
      <c r="D9765" s="2349" t="s">
        <v>19661</v>
      </c>
      <c r="E9765" s="2350">
        <v>400</v>
      </c>
      <c r="F9765" s="2350">
        <v>40</v>
      </c>
    </row>
    <row r="9766" spans="1:6" x14ac:dyDescent="0.25">
      <c r="A9766" s="2349" t="s">
        <v>19581</v>
      </c>
      <c r="B9766" s="2349" t="s">
        <v>19571</v>
      </c>
      <c r="C9766" s="2349" t="s">
        <v>19571</v>
      </c>
      <c r="D9766" s="2349" t="s">
        <v>19662</v>
      </c>
      <c r="E9766" s="2350">
        <v>160</v>
      </c>
      <c r="F9766" s="2350">
        <v>10</v>
      </c>
    </row>
    <row r="9767" spans="1:6" x14ac:dyDescent="0.25">
      <c r="A9767" s="2349" t="s">
        <v>19581</v>
      </c>
      <c r="B9767" s="2349" t="s">
        <v>19571</v>
      </c>
      <c r="C9767" s="2349" t="s">
        <v>19571</v>
      </c>
      <c r="D9767" s="2349" t="s">
        <v>19663</v>
      </c>
      <c r="E9767" s="2350">
        <v>100</v>
      </c>
      <c r="F9767" s="2350">
        <v>10</v>
      </c>
    </row>
    <row r="9768" spans="1:6" x14ac:dyDescent="0.25">
      <c r="A9768" s="2349" t="s">
        <v>19581</v>
      </c>
      <c r="B9768" s="2349" t="s">
        <v>19571</v>
      </c>
      <c r="C9768" s="2349" t="s">
        <v>19571</v>
      </c>
      <c r="D9768" s="2349" t="s">
        <v>19664</v>
      </c>
      <c r="E9768" s="2350">
        <v>400</v>
      </c>
      <c r="F9768" s="2350">
        <v>20</v>
      </c>
    </row>
    <row r="9769" spans="1:6" x14ac:dyDescent="0.25">
      <c r="A9769" s="2349" t="s">
        <v>19581</v>
      </c>
      <c r="B9769" s="2349" t="s">
        <v>19571</v>
      </c>
      <c r="C9769" s="2349" t="s">
        <v>19571</v>
      </c>
      <c r="D9769" s="2349" t="s">
        <v>19665</v>
      </c>
      <c r="E9769" s="2350">
        <v>400</v>
      </c>
      <c r="F9769" s="2350">
        <v>15</v>
      </c>
    </row>
    <row r="9770" spans="1:6" x14ac:dyDescent="0.25">
      <c r="A9770" s="2349" t="s">
        <v>19581</v>
      </c>
      <c r="B9770" s="2349" t="s">
        <v>19571</v>
      </c>
      <c r="C9770" s="2349" t="s">
        <v>19571</v>
      </c>
      <c r="D9770" s="2349" t="s">
        <v>19666</v>
      </c>
      <c r="E9770" s="2350">
        <v>315</v>
      </c>
      <c r="F9770" s="2350">
        <v>15</v>
      </c>
    </row>
    <row r="9771" spans="1:6" x14ac:dyDescent="0.25">
      <c r="A9771" s="2349" t="s">
        <v>19581</v>
      </c>
      <c r="B9771" s="2349" t="s">
        <v>19571</v>
      </c>
      <c r="C9771" s="2349" t="s">
        <v>19571</v>
      </c>
      <c r="D9771" s="2349" t="s">
        <v>19667</v>
      </c>
      <c r="E9771" s="2350">
        <v>630</v>
      </c>
      <c r="F9771" s="2350">
        <v>10</v>
      </c>
    </row>
    <row r="9772" spans="1:6" x14ac:dyDescent="0.25">
      <c r="A9772" s="2349" t="s">
        <v>19581</v>
      </c>
      <c r="B9772" s="2349" t="s">
        <v>19571</v>
      </c>
      <c r="C9772" s="2349" t="s">
        <v>19571</v>
      </c>
      <c r="D9772" s="2349" t="s">
        <v>19668</v>
      </c>
      <c r="E9772" s="2350">
        <v>250</v>
      </c>
      <c r="F9772" s="2350">
        <v>15</v>
      </c>
    </row>
    <row r="9773" spans="1:6" x14ac:dyDescent="0.25">
      <c r="A9773" s="2349" t="s">
        <v>19581</v>
      </c>
      <c r="B9773" s="2349" t="s">
        <v>19571</v>
      </c>
      <c r="C9773" s="2349" t="s">
        <v>19571</v>
      </c>
      <c r="D9773" s="2349" t="s">
        <v>19669</v>
      </c>
      <c r="E9773" s="2350">
        <v>250</v>
      </c>
      <c r="F9773" s="2350">
        <v>20</v>
      </c>
    </row>
    <row r="9774" spans="1:6" x14ac:dyDescent="0.25">
      <c r="A9774" s="2349" t="s">
        <v>19581</v>
      </c>
      <c r="B9774" s="2349" t="s">
        <v>19571</v>
      </c>
      <c r="C9774" s="2349" t="s">
        <v>19571</v>
      </c>
      <c r="D9774" s="2349" t="s">
        <v>19670</v>
      </c>
      <c r="E9774" s="2350">
        <v>160</v>
      </c>
      <c r="F9774" s="2350">
        <v>10</v>
      </c>
    </row>
    <row r="9775" spans="1:6" x14ac:dyDescent="0.25">
      <c r="A9775" s="2349" t="s">
        <v>19581</v>
      </c>
      <c r="B9775" s="2349" t="s">
        <v>19571</v>
      </c>
      <c r="C9775" s="2349" t="s">
        <v>19571</v>
      </c>
      <c r="D9775" s="2349" t="s">
        <v>19671</v>
      </c>
      <c r="E9775" s="2350">
        <v>160</v>
      </c>
      <c r="F9775" s="2350">
        <v>0</v>
      </c>
    </row>
    <row r="9776" spans="1:6" x14ac:dyDescent="0.25">
      <c r="A9776" s="2349" t="s">
        <v>19581</v>
      </c>
      <c r="B9776" s="2349" t="s">
        <v>19571</v>
      </c>
      <c r="C9776" s="2349" t="s">
        <v>19571</v>
      </c>
      <c r="D9776" s="2349" t="s">
        <v>19672</v>
      </c>
      <c r="E9776" s="2350">
        <v>400</v>
      </c>
      <c r="F9776" s="2350">
        <v>15</v>
      </c>
    </row>
    <row r="9777" spans="1:6" x14ac:dyDescent="0.25">
      <c r="A9777" s="2349" t="s">
        <v>19581</v>
      </c>
      <c r="B9777" s="2349" t="s">
        <v>19571</v>
      </c>
      <c r="C9777" s="2349" t="s">
        <v>19571</v>
      </c>
      <c r="D9777" s="2349" t="s">
        <v>19673</v>
      </c>
      <c r="E9777" s="2350">
        <v>400</v>
      </c>
      <c r="F9777" s="2350">
        <v>15</v>
      </c>
    </row>
    <row r="9778" spans="1:6" x14ac:dyDescent="0.25">
      <c r="A9778" s="2349" t="s">
        <v>19581</v>
      </c>
      <c r="B9778" s="2349" t="s">
        <v>19571</v>
      </c>
      <c r="C9778" s="2349" t="s">
        <v>19571</v>
      </c>
      <c r="D9778" s="2349" t="s">
        <v>19674</v>
      </c>
      <c r="E9778" s="2350">
        <v>63</v>
      </c>
      <c r="F9778" s="2350">
        <v>0</v>
      </c>
    </row>
    <row r="9779" spans="1:6" x14ac:dyDescent="0.25">
      <c r="A9779" s="2349" t="s">
        <v>19581</v>
      </c>
      <c r="B9779" s="2349" t="s">
        <v>19571</v>
      </c>
      <c r="C9779" s="2349" t="s">
        <v>19571</v>
      </c>
      <c r="D9779" s="2349" t="s">
        <v>19675</v>
      </c>
      <c r="E9779" s="2350">
        <v>400</v>
      </c>
      <c r="F9779" s="2350">
        <v>40</v>
      </c>
    </row>
    <row r="9780" spans="1:6" x14ac:dyDescent="0.25">
      <c r="A9780" s="2349" t="s">
        <v>19581</v>
      </c>
      <c r="B9780" s="2349" t="s">
        <v>19571</v>
      </c>
      <c r="C9780" s="2349" t="s">
        <v>19571</v>
      </c>
      <c r="D9780" s="2349" t="s">
        <v>19676</v>
      </c>
      <c r="E9780" s="2350">
        <v>250</v>
      </c>
      <c r="F9780" s="2350">
        <v>15</v>
      </c>
    </row>
    <row r="9781" spans="1:6" x14ac:dyDescent="0.25">
      <c r="A9781" s="2349" t="s">
        <v>19581</v>
      </c>
      <c r="B9781" s="2349" t="s">
        <v>19571</v>
      </c>
      <c r="C9781" s="2349" t="s">
        <v>19571</v>
      </c>
      <c r="D9781" s="2349" t="s">
        <v>19677</v>
      </c>
      <c r="E9781" s="2350">
        <v>250</v>
      </c>
      <c r="F9781" s="2350">
        <v>20</v>
      </c>
    </row>
    <row r="9782" spans="1:6" x14ac:dyDescent="0.25">
      <c r="A9782" s="2349" t="s">
        <v>19581</v>
      </c>
      <c r="B9782" s="2349" t="s">
        <v>19571</v>
      </c>
      <c r="C9782" s="2349" t="s">
        <v>19571</v>
      </c>
      <c r="D9782" s="2349" t="s">
        <v>19678</v>
      </c>
      <c r="E9782" s="2350">
        <v>160</v>
      </c>
      <c r="F9782" s="2350">
        <v>20</v>
      </c>
    </row>
    <row r="9783" spans="1:6" x14ac:dyDescent="0.25">
      <c r="A9783" s="2349" t="s">
        <v>19581</v>
      </c>
      <c r="B9783" s="2349" t="s">
        <v>19571</v>
      </c>
      <c r="C9783" s="2349" t="s">
        <v>19571</v>
      </c>
      <c r="D9783" s="2349" t="s">
        <v>19679</v>
      </c>
      <c r="E9783" s="2350">
        <v>60</v>
      </c>
      <c r="F9783" s="2350">
        <v>0</v>
      </c>
    </row>
    <row r="9784" spans="1:6" x14ac:dyDescent="0.25">
      <c r="A9784" s="2349" t="s">
        <v>19581</v>
      </c>
      <c r="B9784" s="2349" t="s">
        <v>19571</v>
      </c>
      <c r="C9784" s="2349" t="s">
        <v>19571</v>
      </c>
      <c r="D9784" s="2349" t="s">
        <v>19680</v>
      </c>
      <c r="E9784" s="2350">
        <v>400</v>
      </c>
      <c r="F9784" s="2350">
        <v>0</v>
      </c>
    </row>
    <row r="9785" spans="1:6" x14ac:dyDescent="0.25">
      <c r="A9785" s="2349" t="s">
        <v>19581</v>
      </c>
      <c r="B9785" s="2349" t="s">
        <v>19571</v>
      </c>
      <c r="C9785" s="2349" t="s">
        <v>19571</v>
      </c>
      <c r="D9785" s="2349" t="s">
        <v>19681</v>
      </c>
      <c r="E9785" s="2350">
        <v>250</v>
      </c>
      <c r="F9785" s="2350">
        <v>0</v>
      </c>
    </row>
    <row r="9786" spans="1:6" x14ac:dyDescent="0.25">
      <c r="A9786" s="2349" t="s">
        <v>19581</v>
      </c>
      <c r="B9786" s="2349" t="s">
        <v>19571</v>
      </c>
      <c r="C9786" s="2349" t="s">
        <v>19571</v>
      </c>
      <c r="D9786" s="2349" t="s">
        <v>19682</v>
      </c>
      <c r="E9786" s="2350">
        <v>250</v>
      </c>
      <c r="F9786" s="2350">
        <v>0</v>
      </c>
    </row>
    <row r="9787" spans="1:6" x14ac:dyDescent="0.25">
      <c r="A9787" s="2349" t="s">
        <v>19581</v>
      </c>
      <c r="B9787" s="2349" t="s">
        <v>19571</v>
      </c>
      <c r="C9787" s="2349" t="s">
        <v>19571</v>
      </c>
      <c r="D9787" s="2349" t="s">
        <v>19683</v>
      </c>
      <c r="E9787" s="2350">
        <v>400</v>
      </c>
      <c r="F9787" s="2350">
        <v>0</v>
      </c>
    </row>
    <row r="9788" spans="1:6" x14ac:dyDescent="0.25">
      <c r="A9788" s="2349" t="s">
        <v>19581</v>
      </c>
      <c r="B9788" s="2349" t="s">
        <v>19571</v>
      </c>
      <c r="C9788" s="2349" t="s">
        <v>19571</v>
      </c>
      <c r="D9788" s="2349" t="s">
        <v>19684</v>
      </c>
      <c r="E9788" s="2350">
        <v>250</v>
      </c>
      <c r="F9788" s="2350">
        <v>40</v>
      </c>
    </row>
    <row r="9789" spans="1:6" x14ac:dyDescent="0.25">
      <c r="A9789" s="2349" t="s">
        <v>19581</v>
      </c>
      <c r="B9789" s="2349" t="s">
        <v>19571</v>
      </c>
      <c r="C9789" s="2349" t="s">
        <v>19571</v>
      </c>
      <c r="D9789" s="2349" t="s">
        <v>19685</v>
      </c>
      <c r="E9789" s="2350">
        <v>160</v>
      </c>
      <c r="F9789" s="2350">
        <v>0</v>
      </c>
    </row>
    <row r="9790" spans="1:6" x14ac:dyDescent="0.25">
      <c r="A9790" s="2349" t="s">
        <v>19581</v>
      </c>
      <c r="B9790" s="2349" t="s">
        <v>19571</v>
      </c>
      <c r="C9790" s="2349" t="s">
        <v>19571</v>
      </c>
      <c r="D9790" s="2349" t="s">
        <v>19686</v>
      </c>
      <c r="E9790" s="2350">
        <v>160</v>
      </c>
      <c r="F9790" s="2350">
        <v>0</v>
      </c>
    </row>
    <row r="9791" spans="1:6" x14ac:dyDescent="0.25">
      <c r="A9791" s="2349" t="s">
        <v>19687</v>
      </c>
      <c r="B9791" s="2349" t="s">
        <v>19571</v>
      </c>
      <c r="C9791" s="2349" t="s">
        <v>19571</v>
      </c>
      <c r="D9791" s="2349" t="s">
        <v>19688</v>
      </c>
      <c r="E9791" s="2350">
        <v>100</v>
      </c>
      <c r="F9791" s="2350">
        <v>60</v>
      </c>
    </row>
    <row r="9792" spans="1:6" x14ac:dyDescent="0.25">
      <c r="A9792" s="2349" t="s">
        <v>19689</v>
      </c>
      <c r="B9792" s="2349" t="s">
        <v>19571</v>
      </c>
      <c r="C9792" s="2349" t="s">
        <v>19571</v>
      </c>
      <c r="D9792" s="2349" t="s">
        <v>19690</v>
      </c>
      <c r="E9792" s="2350">
        <v>100</v>
      </c>
      <c r="F9792" s="2350">
        <v>20</v>
      </c>
    </row>
    <row r="9793" spans="1:6" x14ac:dyDescent="0.25">
      <c r="A9793" s="2349" t="s">
        <v>19689</v>
      </c>
      <c r="B9793" s="2349" t="s">
        <v>19571</v>
      </c>
      <c r="C9793" s="2349" t="s">
        <v>19571</v>
      </c>
      <c r="D9793" s="2349" t="s">
        <v>19691</v>
      </c>
      <c r="E9793" s="2350">
        <v>160</v>
      </c>
      <c r="F9793" s="2350">
        <v>20</v>
      </c>
    </row>
    <row r="9794" spans="1:6" x14ac:dyDescent="0.25">
      <c r="A9794" s="2349" t="s">
        <v>19689</v>
      </c>
      <c r="B9794" s="2349" t="s">
        <v>19571</v>
      </c>
      <c r="C9794" s="2349" t="s">
        <v>19571</v>
      </c>
      <c r="D9794" s="2349" t="s">
        <v>19692</v>
      </c>
      <c r="E9794" s="2350">
        <v>100</v>
      </c>
      <c r="F9794" s="2350">
        <v>15</v>
      </c>
    </row>
    <row r="9795" spans="1:6" x14ac:dyDescent="0.25">
      <c r="A9795" s="2349" t="s">
        <v>19689</v>
      </c>
      <c r="B9795" s="2349" t="s">
        <v>19571</v>
      </c>
      <c r="C9795" s="2349" t="s">
        <v>19571</v>
      </c>
      <c r="D9795" s="2349" t="s">
        <v>19693</v>
      </c>
      <c r="E9795" s="2350">
        <v>63</v>
      </c>
      <c r="F9795" s="2350">
        <v>10</v>
      </c>
    </row>
    <row r="9796" spans="1:6" x14ac:dyDescent="0.25">
      <c r="A9796" s="2349" t="s">
        <v>19689</v>
      </c>
      <c r="B9796" s="2349" t="s">
        <v>19571</v>
      </c>
      <c r="C9796" s="2349" t="s">
        <v>19571</v>
      </c>
      <c r="D9796" s="2349" t="s">
        <v>19694</v>
      </c>
      <c r="E9796" s="2350">
        <v>400</v>
      </c>
      <c r="F9796" s="2350">
        <v>80</v>
      </c>
    </row>
    <row r="9797" spans="1:6" x14ac:dyDescent="0.25">
      <c r="A9797" s="2349" t="s">
        <v>14498</v>
      </c>
      <c r="B9797" s="2349" t="s">
        <v>19571</v>
      </c>
      <c r="C9797" s="2349" t="s">
        <v>19571</v>
      </c>
      <c r="D9797" s="2349" t="s">
        <v>19695</v>
      </c>
      <c r="E9797" s="2350">
        <v>60</v>
      </c>
      <c r="F9797" s="2350">
        <v>20</v>
      </c>
    </row>
    <row r="9798" spans="1:6" x14ac:dyDescent="0.25">
      <c r="A9798" s="2349" t="s">
        <v>19696</v>
      </c>
      <c r="B9798" s="2349" t="s">
        <v>19571</v>
      </c>
      <c r="C9798" s="2349" t="s">
        <v>19571</v>
      </c>
      <c r="D9798" s="2349" t="s">
        <v>19697</v>
      </c>
      <c r="E9798" s="2350">
        <v>40</v>
      </c>
      <c r="F9798" s="2350">
        <v>10</v>
      </c>
    </row>
    <row r="9799" spans="1:6" x14ac:dyDescent="0.25">
      <c r="A9799" s="2349" t="s">
        <v>19698</v>
      </c>
      <c r="B9799" s="2349" t="s">
        <v>19571</v>
      </c>
      <c r="C9799" s="2349" t="s">
        <v>19571</v>
      </c>
      <c r="D9799" s="2349" t="s">
        <v>19699</v>
      </c>
      <c r="E9799" s="2350">
        <v>180</v>
      </c>
      <c r="F9799" s="2350">
        <v>50</v>
      </c>
    </row>
    <row r="9800" spans="1:6" x14ac:dyDescent="0.25">
      <c r="A9800" s="2349" t="s">
        <v>19700</v>
      </c>
      <c r="B9800" s="2349" t="s">
        <v>19571</v>
      </c>
      <c r="C9800" s="2349" t="s">
        <v>19571</v>
      </c>
      <c r="D9800" s="2349" t="s">
        <v>19701</v>
      </c>
      <c r="E9800" s="2350">
        <v>100</v>
      </c>
      <c r="F9800" s="2350">
        <v>20</v>
      </c>
    </row>
    <row r="9801" spans="1:6" x14ac:dyDescent="0.25">
      <c r="A9801" s="2349" t="s">
        <v>19702</v>
      </c>
      <c r="B9801" s="2349" t="s">
        <v>19571</v>
      </c>
      <c r="C9801" s="2349" t="s">
        <v>19571</v>
      </c>
      <c r="D9801" s="2349" t="s">
        <v>19703</v>
      </c>
      <c r="E9801" s="2350">
        <v>160</v>
      </c>
      <c r="F9801" s="2350">
        <v>80</v>
      </c>
    </row>
    <row r="9802" spans="1:6" x14ac:dyDescent="0.25">
      <c r="A9802" s="2349" t="s">
        <v>19704</v>
      </c>
      <c r="B9802" s="2349" t="s">
        <v>19571</v>
      </c>
      <c r="C9802" s="2349" t="s">
        <v>19571</v>
      </c>
      <c r="D9802" s="2349" t="s">
        <v>19705</v>
      </c>
      <c r="E9802" s="2350">
        <v>250</v>
      </c>
      <c r="F9802" s="2350">
        <v>40</v>
      </c>
    </row>
    <row r="9803" spans="1:6" x14ac:dyDescent="0.25">
      <c r="A9803" s="2349" t="s">
        <v>19704</v>
      </c>
      <c r="B9803" s="2349" t="s">
        <v>19571</v>
      </c>
      <c r="C9803" s="2349" t="s">
        <v>19571</v>
      </c>
      <c r="D9803" s="2349" t="s">
        <v>19706</v>
      </c>
      <c r="E9803" s="2350">
        <v>160</v>
      </c>
      <c r="F9803" s="2350">
        <v>20</v>
      </c>
    </row>
    <row r="9804" spans="1:6" x14ac:dyDescent="0.25">
      <c r="A9804" s="2349" t="s">
        <v>19707</v>
      </c>
      <c r="B9804" s="2349" t="s">
        <v>19571</v>
      </c>
      <c r="C9804" s="2349" t="s">
        <v>19571</v>
      </c>
      <c r="D9804" s="2349" t="s">
        <v>19708</v>
      </c>
      <c r="E9804" s="2350">
        <v>250</v>
      </c>
      <c r="F9804" s="2350">
        <v>100</v>
      </c>
    </row>
    <row r="9805" spans="1:6" x14ac:dyDescent="0.25">
      <c r="A9805" s="2349" t="s">
        <v>19707</v>
      </c>
      <c r="B9805" s="2349" t="s">
        <v>19571</v>
      </c>
      <c r="C9805" s="2349" t="s">
        <v>19571</v>
      </c>
      <c r="D9805" s="2349" t="s">
        <v>19709</v>
      </c>
      <c r="E9805" s="2350">
        <v>100</v>
      </c>
      <c r="F9805" s="2350">
        <v>20</v>
      </c>
    </row>
    <row r="9806" spans="1:6" x14ac:dyDescent="0.25">
      <c r="A9806" s="2349" t="s">
        <v>19710</v>
      </c>
      <c r="B9806" s="2349" t="s">
        <v>19571</v>
      </c>
      <c r="C9806" s="2349" t="s">
        <v>19571</v>
      </c>
      <c r="D9806" s="2349" t="s">
        <v>19711</v>
      </c>
      <c r="E9806" s="2350">
        <v>250</v>
      </c>
      <c r="F9806" s="2350">
        <v>35</v>
      </c>
    </row>
    <row r="9807" spans="1:6" x14ac:dyDescent="0.25">
      <c r="A9807" s="2349" t="s">
        <v>19710</v>
      </c>
      <c r="B9807" s="2349" t="s">
        <v>19571</v>
      </c>
      <c r="C9807" s="2349" t="s">
        <v>19571</v>
      </c>
      <c r="D9807" s="2349" t="s">
        <v>19712</v>
      </c>
      <c r="E9807" s="2350">
        <v>100</v>
      </c>
      <c r="F9807" s="2350">
        <v>15</v>
      </c>
    </row>
    <row r="9808" spans="1:6" x14ac:dyDescent="0.25">
      <c r="A9808" s="2349" t="s">
        <v>19710</v>
      </c>
      <c r="B9808" s="2349" t="s">
        <v>19571</v>
      </c>
      <c r="C9808" s="2349" t="s">
        <v>19571</v>
      </c>
      <c r="D9808" s="2349" t="s">
        <v>19713</v>
      </c>
      <c r="E9808" s="2350">
        <v>250</v>
      </c>
      <c r="F9808" s="2350">
        <v>45</v>
      </c>
    </row>
    <row r="9809" spans="1:6" x14ac:dyDescent="0.25">
      <c r="A9809" s="2349" t="s">
        <v>19710</v>
      </c>
      <c r="B9809" s="2349" t="s">
        <v>19571</v>
      </c>
      <c r="C9809" s="2349" t="s">
        <v>19571</v>
      </c>
      <c r="D9809" s="2349" t="s">
        <v>19714</v>
      </c>
      <c r="E9809" s="2350">
        <v>63</v>
      </c>
      <c r="F9809" s="2350">
        <v>5</v>
      </c>
    </row>
    <row r="9810" spans="1:6" x14ac:dyDescent="0.25">
      <c r="A9810" s="2349" t="s">
        <v>14067</v>
      </c>
      <c r="B9810" s="2349" t="s">
        <v>19571</v>
      </c>
      <c r="C9810" s="2349" t="s">
        <v>19571</v>
      </c>
      <c r="D9810" s="2349" t="s">
        <v>19651</v>
      </c>
      <c r="E9810" s="2350">
        <v>100</v>
      </c>
      <c r="F9810" s="2350">
        <v>30</v>
      </c>
    </row>
    <row r="9811" spans="1:6" x14ac:dyDescent="0.25">
      <c r="A9811" s="2349" t="s">
        <v>19581</v>
      </c>
      <c r="B9811" s="2349" t="s">
        <v>19571</v>
      </c>
      <c r="C9811" s="2349" t="s">
        <v>19571</v>
      </c>
      <c r="D9811" s="2349" t="s">
        <v>19715</v>
      </c>
      <c r="E9811" s="2350">
        <v>250</v>
      </c>
      <c r="F9811" s="2350">
        <v>25</v>
      </c>
    </row>
    <row r="9812" spans="1:6" x14ac:dyDescent="0.25">
      <c r="A9812" s="2349" t="s">
        <v>19581</v>
      </c>
      <c r="B9812" s="2349" t="s">
        <v>19571</v>
      </c>
      <c r="C9812" s="2349" t="s">
        <v>19571</v>
      </c>
      <c r="D9812" s="2349" t="s">
        <v>19716</v>
      </c>
      <c r="E9812" s="2350">
        <v>160</v>
      </c>
      <c r="F9812" s="2350">
        <v>10</v>
      </c>
    </row>
    <row r="9813" spans="1:6" x14ac:dyDescent="0.25">
      <c r="A9813" s="2349" t="s">
        <v>19581</v>
      </c>
      <c r="B9813" s="2349" t="s">
        <v>19571</v>
      </c>
      <c r="C9813" s="2349" t="s">
        <v>19571</v>
      </c>
      <c r="D9813" s="2349" t="s">
        <v>19717</v>
      </c>
      <c r="E9813" s="2350">
        <v>100</v>
      </c>
      <c r="F9813" s="2350">
        <v>10</v>
      </c>
    </row>
    <row r="9814" spans="1:6" x14ac:dyDescent="0.25">
      <c r="A9814" s="2349" t="s">
        <v>19581</v>
      </c>
      <c r="B9814" s="2349" t="s">
        <v>19571</v>
      </c>
      <c r="C9814" s="2349" t="s">
        <v>19571</v>
      </c>
      <c r="D9814" s="2349" t="s">
        <v>19718</v>
      </c>
      <c r="E9814" s="2350">
        <v>160</v>
      </c>
      <c r="F9814" s="2350">
        <v>15</v>
      </c>
    </row>
    <row r="9815" spans="1:6" x14ac:dyDescent="0.25">
      <c r="A9815" s="2349" t="s">
        <v>19581</v>
      </c>
      <c r="B9815" s="2349" t="s">
        <v>19571</v>
      </c>
      <c r="C9815" s="2349" t="s">
        <v>19571</v>
      </c>
      <c r="D9815" s="2349" t="s">
        <v>19719</v>
      </c>
      <c r="E9815" s="2350">
        <v>400</v>
      </c>
      <c r="F9815" s="2350">
        <v>100</v>
      </c>
    </row>
    <row r="9816" spans="1:6" x14ac:dyDescent="0.25">
      <c r="A9816" s="2349" t="s">
        <v>19581</v>
      </c>
      <c r="B9816" s="2349" t="s">
        <v>19571</v>
      </c>
      <c r="C9816" s="2349" t="s">
        <v>19571</v>
      </c>
      <c r="D9816" s="2349" t="s">
        <v>19720</v>
      </c>
      <c r="E9816" s="2350" t="s">
        <v>19721</v>
      </c>
      <c r="F9816" s="2350">
        <v>80</v>
      </c>
    </row>
    <row r="9817" spans="1:6" x14ac:dyDescent="0.25">
      <c r="A9817" s="2349" t="s">
        <v>19581</v>
      </c>
      <c r="B9817" s="2349" t="s">
        <v>19571</v>
      </c>
      <c r="C9817" s="2349" t="s">
        <v>19571</v>
      </c>
      <c r="D9817" s="2349" t="s">
        <v>19722</v>
      </c>
      <c r="E9817" s="2350">
        <v>400</v>
      </c>
      <c r="F9817" s="2350">
        <v>100</v>
      </c>
    </row>
    <row r="9818" spans="1:6" x14ac:dyDescent="0.25">
      <c r="A9818" s="2349" t="s">
        <v>19581</v>
      </c>
      <c r="B9818" s="2349" t="s">
        <v>19571</v>
      </c>
      <c r="C9818" s="2349" t="s">
        <v>19571</v>
      </c>
      <c r="D9818" s="2349" t="s">
        <v>19723</v>
      </c>
      <c r="E9818" s="2350">
        <v>160</v>
      </c>
      <c r="F9818" s="2350">
        <v>20</v>
      </c>
    </row>
    <row r="9819" spans="1:6" x14ac:dyDescent="0.25">
      <c r="A9819" s="2349" t="s">
        <v>19581</v>
      </c>
      <c r="B9819" s="2349" t="s">
        <v>19571</v>
      </c>
      <c r="C9819" s="2349" t="s">
        <v>19571</v>
      </c>
      <c r="D9819" s="2349" t="s">
        <v>19724</v>
      </c>
      <c r="E9819" s="2350">
        <v>250</v>
      </c>
      <c r="F9819" s="2350">
        <v>20</v>
      </c>
    </row>
    <row r="9820" spans="1:6" x14ac:dyDescent="0.25">
      <c r="A9820" s="2349" t="s">
        <v>19581</v>
      </c>
      <c r="B9820" s="2349" t="s">
        <v>19571</v>
      </c>
      <c r="C9820" s="2349" t="s">
        <v>19571</v>
      </c>
      <c r="D9820" s="2349" t="s">
        <v>19725</v>
      </c>
      <c r="E9820" s="2350" t="s">
        <v>19726</v>
      </c>
      <c r="F9820" s="2350">
        <v>20</v>
      </c>
    </row>
    <row r="9821" spans="1:6" x14ac:dyDescent="0.25">
      <c r="A9821" s="2349" t="s">
        <v>19581</v>
      </c>
      <c r="B9821" s="2349" t="s">
        <v>19571</v>
      </c>
      <c r="C9821" s="2349" t="s">
        <v>19571</v>
      </c>
      <c r="D9821" s="2349" t="s">
        <v>19727</v>
      </c>
      <c r="E9821" s="2350">
        <v>25</v>
      </c>
      <c r="F9821" s="2350">
        <v>0</v>
      </c>
    </row>
    <row r="9822" spans="1:6" x14ac:dyDescent="0.25">
      <c r="A9822" s="2349" t="s">
        <v>19581</v>
      </c>
      <c r="B9822" s="2349" t="s">
        <v>19571</v>
      </c>
      <c r="C9822" s="2349" t="s">
        <v>19571</v>
      </c>
      <c r="D9822" s="2349" t="s">
        <v>19728</v>
      </c>
      <c r="E9822" s="2350" t="s">
        <v>19729</v>
      </c>
      <c r="F9822" s="2350">
        <v>1100</v>
      </c>
    </row>
    <row r="9823" spans="1:6" x14ac:dyDescent="0.25">
      <c r="A9823" s="2349" t="s">
        <v>19730</v>
      </c>
      <c r="B9823" s="2349" t="s">
        <v>19571</v>
      </c>
      <c r="C9823" s="2349" t="s">
        <v>19571</v>
      </c>
      <c r="D9823" s="2349" t="s">
        <v>19731</v>
      </c>
      <c r="E9823" s="2350">
        <v>100</v>
      </c>
      <c r="F9823" s="2350">
        <v>50</v>
      </c>
    </row>
    <row r="9824" spans="1:6" x14ac:dyDescent="0.25">
      <c r="A9824" s="2349" t="s">
        <v>19732</v>
      </c>
      <c r="B9824" s="2349" t="s">
        <v>19571</v>
      </c>
      <c r="C9824" s="2349" t="s">
        <v>19571</v>
      </c>
      <c r="D9824" s="2349" t="s">
        <v>19733</v>
      </c>
      <c r="E9824" s="2350">
        <v>60</v>
      </c>
      <c r="F9824" s="2350">
        <v>30</v>
      </c>
    </row>
    <row r="9825" spans="1:6" x14ac:dyDescent="0.25">
      <c r="A9825" s="2349" t="s">
        <v>19734</v>
      </c>
      <c r="B9825" s="2349" t="s">
        <v>19571</v>
      </c>
      <c r="C9825" s="2349" t="s">
        <v>19571</v>
      </c>
      <c r="D9825" s="2349" t="s">
        <v>19735</v>
      </c>
      <c r="E9825" s="2350">
        <v>100</v>
      </c>
      <c r="F9825" s="2350">
        <v>60</v>
      </c>
    </row>
    <row r="9826" spans="1:6" x14ac:dyDescent="0.25">
      <c r="A9826" s="2349" t="s">
        <v>19736</v>
      </c>
      <c r="B9826" s="2349" t="s">
        <v>19571</v>
      </c>
      <c r="C9826" s="2349" t="s">
        <v>19571</v>
      </c>
      <c r="D9826" s="2349" t="s">
        <v>19737</v>
      </c>
      <c r="E9826" s="2350">
        <v>40</v>
      </c>
      <c r="F9826" s="2350">
        <v>20</v>
      </c>
    </row>
    <row r="9827" spans="1:6" x14ac:dyDescent="0.25">
      <c r="A9827" s="2349" t="s">
        <v>10515</v>
      </c>
      <c r="B9827" s="2349" t="s">
        <v>19571</v>
      </c>
      <c r="C9827" s="2349" t="s">
        <v>19571</v>
      </c>
      <c r="D9827" s="2349" t="s">
        <v>19738</v>
      </c>
      <c r="E9827" s="2350">
        <v>400</v>
      </c>
      <c r="F9827" s="2350">
        <v>180</v>
      </c>
    </row>
    <row r="9828" spans="1:6" x14ac:dyDescent="0.25">
      <c r="A9828" s="2349" t="s">
        <v>10515</v>
      </c>
      <c r="B9828" s="2349" t="s">
        <v>19571</v>
      </c>
      <c r="C9828" s="2349" t="s">
        <v>19571</v>
      </c>
      <c r="D9828" s="2349" t="s">
        <v>19739</v>
      </c>
      <c r="E9828" s="2350">
        <v>100</v>
      </c>
      <c r="F9828" s="2350">
        <v>30</v>
      </c>
    </row>
    <row r="9829" spans="1:6" x14ac:dyDescent="0.25">
      <c r="A9829" s="2349" t="s">
        <v>10515</v>
      </c>
      <c r="B9829" s="2349" t="s">
        <v>19571</v>
      </c>
      <c r="C9829" s="2349" t="s">
        <v>19571</v>
      </c>
      <c r="D9829" s="2349" t="s">
        <v>19740</v>
      </c>
      <c r="E9829" s="2350">
        <v>160</v>
      </c>
      <c r="F9829" s="2350">
        <v>20</v>
      </c>
    </row>
    <row r="9830" spans="1:6" x14ac:dyDescent="0.25">
      <c r="A9830" s="2349" t="s">
        <v>10515</v>
      </c>
      <c r="B9830" s="2349" t="s">
        <v>19571</v>
      </c>
      <c r="C9830" s="2349" t="s">
        <v>19571</v>
      </c>
      <c r="D9830" s="2349" t="s">
        <v>19741</v>
      </c>
      <c r="E9830" s="2350">
        <v>160</v>
      </c>
      <c r="F9830" s="2350">
        <v>20</v>
      </c>
    </row>
    <row r="9831" spans="1:6" x14ac:dyDescent="0.25">
      <c r="A9831" s="2349" t="s">
        <v>14562</v>
      </c>
      <c r="B9831" s="2349" t="s">
        <v>19571</v>
      </c>
      <c r="C9831" s="2349" t="s">
        <v>19571</v>
      </c>
      <c r="D9831" s="2349" t="s">
        <v>19742</v>
      </c>
      <c r="E9831" s="2350">
        <v>30</v>
      </c>
      <c r="F9831" s="2350">
        <v>5</v>
      </c>
    </row>
    <row r="9832" spans="1:6" x14ac:dyDescent="0.25">
      <c r="A9832" s="2349" t="s">
        <v>19743</v>
      </c>
      <c r="B9832" s="2349" t="s">
        <v>19571</v>
      </c>
      <c r="C9832" s="2349" t="s">
        <v>19571</v>
      </c>
      <c r="D9832" s="2349" t="s">
        <v>19744</v>
      </c>
      <c r="E9832" s="2350">
        <v>60</v>
      </c>
      <c r="F9832" s="2350">
        <v>10</v>
      </c>
    </row>
    <row r="9833" spans="1:6" x14ac:dyDescent="0.25">
      <c r="A9833" s="2349" t="s">
        <v>10238</v>
      </c>
      <c r="B9833" s="2349" t="s">
        <v>19571</v>
      </c>
      <c r="C9833" s="2349" t="s">
        <v>19571</v>
      </c>
      <c r="D9833" s="2349" t="s">
        <v>19745</v>
      </c>
      <c r="E9833" s="2350">
        <v>250</v>
      </c>
      <c r="F9833" s="2350">
        <v>15</v>
      </c>
    </row>
    <row r="9834" spans="1:6" x14ac:dyDescent="0.25">
      <c r="A9834" s="2349" t="s">
        <v>10238</v>
      </c>
      <c r="B9834" s="2349" t="s">
        <v>19571</v>
      </c>
      <c r="C9834" s="2349" t="s">
        <v>19571</v>
      </c>
      <c r="D9834" s="2349" t="s">
        <v>19746</v>
      </c>
      <c r="E9834" s="2350">
        <v>400</v>
      </c>
      <c r="F9834" s="2350">
        <v>20</v>
      </c>
    </row>
    <row r="9835" spans="1:6" x14ac:dyDescent="0.25">
      <c r="A9835" s="2349" t="s">
        <v>10238</v>
      </c>
      <c r="B9835" s="2349" t="s">
        <v>19571</v>
      </c>
      <c r="C9835" s="2349" t="s">
        <v>19571</v>
      </c>
      <c r="D9835" s="2349" t="s">
        <v>19747</v>
      </c>
      <c r="E9835" s="2350">
        <v>250</v>
      </c>
      <c r="F9835" s="2350">
        <v>20</v>
      </c>
    </row>
    <row r="9836" spans="1:6" x14ac:dyDescent="0.25">
      <c r="A9836" s="2349" t="s">
        <v>10238</v>
      </c>
      <c r="B9836" s="2349" t="s">
        <v>19571</v>
      </c>
      <c r="C9836" s="2349" t="s">
        <v>19571</v>
      </c>
      <c r="D9836" s="2349" t="s">
        <v>19748</v>
      </c>
      <c r="E9836" s="2350">
        <v>160</v>
      </c>
      <c r="F9836" s="2350">
        <v>80</v>
      </c>
    </row>
    <row r="9837" spans="1:6" x14ac:dyDescent="0.25">
      <c r="A9837" s="2349" t="s">
        <v>10238</v>
      </c>
      <c r="B9837" s="2349" t="s">
        <v>19571</v>
      </c>
      <c r="C9837" s="2349" t="s">
        <v>19571</v>
      </c>
      <c r="D9837" s="2349" t="s">
        <v>19749</v>
      </c>
      <c r="E9837" s="2350">
        <v>100</v>
      </c>
      <c r="F9837" s="2350">
        <v>15</v>
      </c>
    </row>
    <row r="9838" spans="1:6" x14ac:dyDescent="0.25">
      <c r="A9838" s="2349" t="s">
        <v>10790</v>
      </c>
      <c r="B9838" s="2349" t="s">
        <v>19571</v>
      </c>
      <c r="C9838" s="2349" t="s">
        <v>19571</v>
      </c>
      <c r="D9838" s="2349" t="s">
        <v>19750</v>
      </c>
      <c r="E9838" s="2350">
        <v>160</v>
      </c>
      <c r="F9838" s="2350">
        <v>130</v>
      </c>
    </row>
    <row r="9839" spans="1:6" x14ac:dyDescent="0.25">
      <c r="A9839" s="2349" t="s">
        <v>19732</v>
      </c>
      <c r="B9839" s="2349" t="s">
        <v>19571</v>
      </c>
      <c r="C9839" s="2349" t="s">
        <v>19571</v>
      </c>
      <c r="D9839" s="2349" t="s">
        <v>19751</v>
      </c>
      <c r="E9839" s="2350">
        <v>400</v>
      </c>
      <c r="F9839" s="2350">
        <v>20</v>
      </c>
    </row>
    <row r="9840" spans="1:6" x14ac:dyDescent="0.25">
      <c r="A9840" s="2349" t="s">
        <v>19752</v>
      </c>
      <c r="B9840" s="2349" t="s">
        <v>19571</v>
      </c>
      <c r="C9840" s="2349" t="s">
        <v>19571</v>
      </c>
      <c r="D9840" s="2349" t="s">
        <v>19753</v>
      </c>
      <c r="E9840" s="2350">
        <v>160</v>
      </c>
      <c r="F9840" s="2350">
        <v>20</v>
      </c>
    </row>
    <row r="9841" spans="1:6" x14ac:dyDescent="0.25">
      <c r="A9841" s="2349" t="s">
        <v>19752</v>
      </c>
      <c r="B9841" s="2349" t="s">
        <v>19571</v>
      </c>
      <c r="C9841" s="2349" t="s">
        <v>19571</v>
      </c>
      <c r="D9841" s="2349" t="s">
        <v>19754</v>
      </c>
      <c r="E9841" s="2350">
        <v>160</v>
      </c>
      <c r="F9841" s="2350">
        <v>80</v>
      </c>
    </row>
    <row r="9842" spans="1:6" x14ac:dyDescent="0.25">
      <c r="A9842" s="2349" t="s">
        <v>19755</v>
      </c>
      <c r="B9842" s="2349" t="s">
        <v>19571</v>
      </c>
      <c r="C9842" s="2349" t="s">
        <v>19571</v>
      </c>
      <c r="D9842" s="2349" t="s">
        <v>19756</v>
      </c>
      <c r="E9842" s="2350">
        <v>160</v>
      </c>
      <c r="F9842" s="2350">
        <v>60</v>
      </c>
    </row>
    <row r="9843" spans="1:6" x14ac:dyDescent="0.25">
      <c r="A9843" s="2349" t="s">
        <v>19755</v>
      </c>
      <c r="B9843" s="2349" t="s">
        <v>19571</v>
      </c>
      <c r="C9843" s="2349" t="s">
        <v>19571</v>
      </c>
      <c r="D9843" s="2349" t="s">
        <v>19757</v>
      </c>
      <c r="E9843" s="2350">
        <v>60</v>
      </c>
      <c r="F9843" s="2350">
        <v>10</v>
      </c>
    </row>
    <row r="9844" spans="1:6" x14ac:dyDescent="0.25">
      <c r="A9844" s="2349" t="s">
        <v>7627</v>
      </c>
      <c r="B9844" s="2349" t="s">
        <v>19571</v>
      </c>
      <c r="C9844" s="2349" t="s">
        <v>19571</v>
      </c>
      <c r="D9844" s="2349" t="s">
        <v>19758</v>
      </c>
      <c r="E9844" s="2350">
        <v>60</v>
      </c>
      <c r="F9844" s="2350">
        <v>20</v>
      </c>
    </row>
    <row r="9845" spans="1:6" x14ac:dyDescent="0.25">
      <c r="A9845" s="2349" t="s">
        <v>19759</v>
      </c>
      <c r="B9845" s="2349" t="s">
        <v>19571</v>
      </c>
      <c r="C9845" s="2349" t="s">
        <v>19571</v>
      </c>
      <c r="D9845" s="2349" t="s">
        <v>19760</v>
      </c>
      <c r="E9845" s="2350">
        <v>100</v>
      </c>
      <c r="F9845" s="2350">
        <v>20</v>
      </c>
    </row>
    <row r="9846" spans="1:6" x14ac:dyDescent="0.25">
      <c r="A9846" s="2349" t="s">
        <v>19761</v>
      </c>
      <c r="B9846" s="2349" t="s">
        <v>19571</v>
      </c>
      <c r="C9846" s="2349" t="s">
        <v>19571</v>
      </c>
      <c r="D9846" s="2349" t="s">
        <v>19762</v>
      </c>
      <c r="E9846" s="2350">
        <v>100</v>
      </c>
      <c r="F9846" s="2350">
        <v>30</v>
      </c>
    </row>
    <row r="9847" spans="1:6" x14ac:dyDescent="0.25">
      <c r="A9847" s="2349" t="s">
        <v>19761</v>
      </c>
      <c r="B9847" s="2349" t="s">
        <v>19571</v>
      </c>
      <c r="C9847" s="2349" t="s">
        <v>19571</v>
      </c>
      <c r="D9847" s="2349" t="s">
        <v>19763</v>
      </c>
      <c r="E9847" s="2350">
        <v>100</v>
      </c>
      <c r="F9847" s="2350">
        <v>25</v>
      </c>
    </row>
    <row r="9848" spans="1:6" x14ac:dyDescent="0.25">
      <c r="A9848" s="2349" t="s">
        <v>19761</v>
      </c>
      <c r="B9848" s="2349" t="s">
        <v>19571</v>
      </c>
      <c r="C9848" s="2349" t="s">
        <v>19571</v>
      </c>
      <c r="D9848" s="2349" t="s">
        <v>19764</v>
      </c>
      <c r="E9848" s="2350">
        <v>160</v>
      </c>
      <c r="F9848" s="2350">
        <v>25</v>
      </c>
    </row>
    <row r="9849" spans="1:6" x14ac:dyDescent="0.25">
      <c r="A9849" s="2349" t="s">
        <v>19765</v>
      </c>
      <c r="B9849" s="2349" t="s">
        <v>19571</v>
      </c>
      <c r="C9849" s="2349" t="s">
        <v>19571</v>
      </c>
      <c r="D9849" s="2349" t="s">
        <v>19757</v>
      </c>
      <c r="E9849" s="2350">
        <v>160</v>
      </c>
      <c r="F9849" s="2350">
        <v>20</v>
      </c>
    </row>
    <row r="9850" spans="1:6" x14ac:dyDescent="0.25">
      <c r="A9850" s="2349" t="s">
        <v>19765</v>
      </c>
      <c r="B9850" s="2349" t="s">
        <v>19571</v>
      </c>
      <c r="C9850" s="2349" t="s">
        <v>19571</v>
      </c>
      <c r="D9850" s="2349" t="s">
        <v>19766</v>
      </c>
      <c r="E9850" s="2350">
        <v>250</v>
      </c>
      <c r="F9850" s="2350">
        <v>20</v>
      </c>
    </row>
    <row r="9851" spans="1:6" x14ac:dyDescent="0.25">
      <c r="A9851" s="2349" t="s">
        <v>19765</v>
      </c>
      <c r="B9851" s="2349" t="s">
        <v>19571</v>
      </c>
      <c r="C9851" s="2349" t="s">
        <v>19571</v>
      </c>
      <c r="D9851" s="2349" t="s">
        <v>19767</v>
      </c>
      <c r="E9851" s="2350">
        <v>400</v>
      </c>
      <c r="F9851" s="2350">
        <v>80</v>
      </c>
    </row>
    <row r="9852" spans="1:6" x14ac:dyDescent="0.25">
      <c r="A9852" s="2349" t="s">
        <v>19768</v>
      </c>
      <c r="B9852" s="2349" t="s">
        <v>19571</v>
      </c>
      <c r="C9852" s="2349" t="s">
        <v>19571</v>
      </c>
      <c r="D9852" s="2349" t="s">
        <v>19769</v>
      </c>
      <c r="E9852" s="2350">
        <v>160</v>
      </c>
      <c r="F9852" s="2350">
        <v>40</v>
      </c>
    </row>
    <row r="9853" spans="1:6" x14ac:dyDescent="0.25">
      <c r="A9853" s="2349" t="s">
        <v>19759</v>
      </c>
      <c r="B9853" s="2349" t="s">
        <v>19571</v>
      </c>
      <c r="C9853" s="2349" t="s">
        <v>19571</v>
      </c>
      <c r="D9853" s="2349" t="s">
        <v>19760</v>
      </c>
      <c r="E9853" s="2350">
        <v>160</v>
      </c>
      <c r="F9853" s="2350">
        <v>130</v>
      </c>
    </row>
    <row r="9854" spans="1:6" x14ac:dyDescent="0.25">
      <c r="A9854" s="2349" t="s">
        <v>19761</v>
      </c>
      <c r="B9854" s="2349" t="s">
        <v>19571</v>
      </c>
      <c r="C9854" s="2349" t="s">
        <v>19571</v>
      </c>
      <c r="D9854" s="2349" t="s">
        <v>19762</v>
      </c>
      <c r="E9854" s="2350">
        <v>160</v>
      </c>
      <c r="F9854" s="2350">
        <v>20</v>
      </c>
    </row>
    <row r="9855" spans="1:6" x14ac:dyDescent="0.25">
      <c r="A9855" s="2349" t="s">
        <v>19761</v>
      </c>
      <c r="B9855" s="2349" t="s">
        <v>19571</v>
      </c>
      <c r="C9855" s="2349" t="s">
        <v>19571</v>
      </c>
      <c r="D9855" s="2349" t="s">
        <v>19763</v>
      </c>
      <c r="E9855" s="2350">
        <v>160</v>
      </c>
      <c r="F9855" s="2350">
        <v>20</v>
      </c>
    </row>
    <row r="9856" spans="1:6" x14ac:dyDescent="0.25">
      <c r="A9856" s="2349" t="s">
        <v>19761</v>
      </c>
      <c r="B9856" s="2349" t="s">
        <v>19571</v>
      </c>
      <c r="C9856" s="2349" t="s">
        <v>19571</v>
      </c>
      <c r="D9856" s="2349" t="s">
        <v>19764</v>
      </c>
      <c r="E9856" s="2350">
        <v>160</v>
      </c>
      <c r="F9856" s="2350">
        <v>80</v>
      </c>
    </row>
    <row r="9857" spans="1:6" x14ac:dyDescent="0.25">
      <c r="A9857" s="2349" t="s">
        <v>19761</v>
      </c>
      <c r="B9857" s="2349" t="s">
        <v>19571</v>
      </c>
      <c r="C9857" s="2349" t="s">
        <v>19571</v>
      </c>
      <c r="D9857" s="2349" t="s">
        <v>19770</v>
      </c>
      <c r="E9857" s="2350">
        <v>160</v>
      </c>
      <c r="F9857" s="2350">
        <v>80</v>
      </c>
    </row>
    <row r="9858" spans="1:6" x14ac:dyDescent="0.25">
      <c r="A9858" s="2349" t="s">
        <v>19771</v>
      </c>
      <c r="B9858" s="2349" t="s">
        <v>19571</v>
      </c>
      <c r="C9858" s="2349" t="s">
        <v>19571</v>
      </c>
      <c r="D9858" s="2349" t="s">
        <v>19772</v>
      </c>
      <c r="E9858" s="2350">
        <v>160</v>
      </c>
      <c r="F9858" s="2350">
        <v>130</v>
      </c>
    </row>
    <row r="9859" spans="1:6" x14ac:dyDescent="0.25">
      <c r="A9859" s="2349" t="s">
        <v>19771</v>
      </c>
      <c r="B9859" s="2349" t="s">
        <v>19571</v>
      </c>
      <c r="C9859" s="2349" t="s">
        <v>19571</v>
      </c>
      <c r="D9859" s="2349" t="s">
        <v>19773</v>
      </c>
      <c r="E9859" s="2350">
        <v>100</v>
      </c>
      <c r="F9859" s="2350">
        <v>20</v>
      </c>
    </row>
    <row r="9860" spans="1:6" x14ac:dyDescent="0.25">
      <c r="A9860" s="2349" t="s">
        <v>19774</v>
      </c>
      <c r="B9860" s="2349" t="s">
        <v>19571</v>
      </c>
      <c r="C9860" s="2349" t="s">
        <v>19571</v>
      </c>
      <c r="D9860" s="2349" t="s">
        <v>19775</v>
      </c>
      <c r="E9860" s="2350">
        <v>40</v>
      </c>
      <c r="F9860" s="2350">
        <v>20</v>
      </c>
    </row>
    <row r="9861" spans="1:6" x14ac:dyDescent="0.25">
      <c r="A9861" s="2349" t="s">
        <v>10644</v>
      </c>
      <c r="B9861" s="2349" t="s">
        <v>19571</v>
      </c>
      <c r="C9861" s="2349" t="s">
        <v>19571</v>
      </c>
      <c r="D9861" s="2349" t="s">
        <v>19776</v>
      </c>
      <c r="E9861" s="2350">
        <v>10</v>
      </c>
      <c r="F9861" s="2350">
        <v>0</v>
      </c>
    </row>
    <row r="9862" spans="1:6" x14ac:dyDescent="0.25">
      <c r="A9862" s="2349" t="s">
        <v>19777</v>
      </c>
      <c r="B9862" s="2349" t="s">
        <v>19571</v>
      </c>
      <c r="C9862" s="2349" t="s">
        <v>19571</v>
      </c>
      <c r="D9862" s="2349" t="s">
        <v>19778</v>
      </c>
      <c r="E9862" s="2350">
        <v>63</v>
      </c>
      <c r="F9862" s="2350">
        <v>20</v>
      </c>
    </row>
    <row r="9863" spans="1:6" x14ac:dyDescent="0.25">
      <c r="A9863" s="2349" t="s">
        <v>19777</v>
      </c>
      <c r="B9863" s="2349" t="s">
        <v>19571</v>
      </c>
      <c r="C9863" s="2349" t="s">
        <v>19571</v>
      </c>
      <c r="D9863" s="2349" t="s">
        <v>19779</v>
      </c>
      <c r="E9863" s="2350">
        <v>100</v>
      </c>
      <c r="F9863" s="2350">
        <v>20</v>
      </c>
    </row>
    <row r="9864" spans="1:6" x14ac:dyDescent="0.25">
      <c r="A9864" s="2349" t="s">
        <v>19780</v>
      </c>
      <c r="B9864" s="2349" t="s">
        <v>19571</v>
      </c>
      <c r="C9864" s="2349" t="s">
        <v>19571</v>
      </c>
      <c r="D9864" s="2349" t="s">
        <v>19781</v>
      </c>
      <c r="E9864" s="2350">
        <v>250</v>
      </c>
      <c r="F9864" s="2350">
        <v>80</v>
      </c>
    </row>
    <row r="9865" spans="1:6" x14ac:dyDescent="0.25">
      <c r="A9865" s="2349" t="s">
        <v>19780</v>
      </c>
      <c r="B9865" s="2349" t="s">
        <v>19571</v>
      </c>
      <c r="C9865" s="2349" t="s">
        <v>19571</v>
      </c>
      <c r="D9865" s="2349" t="s">
        <v>19782</v>
      </c>
      <c r="E9865" s="2350">
        <v>250</v>
      </c>
      <c r="F9865" s="2350">
        <v>20</v>
      </c>
    </row>
    <row r="9866" spans="1:6" x14ac:dyDescent="0.25">
      <c r="A9866" s="2349" t="s">
        <v>19780</v>
      </c>
      <c r="B9866" s="2349" t="s">
        <v>19571</v>
      </c>
      <c r="C9866" s="2349" t="s">
        <v>19571</v>
      </c>
      <c r="D9866" s="2349" t="s">
        <v>19783</v>
      </c>
      <c r="E9866" s="2350">
        <v>63</v>
      </c>
      <c r="F9866" s="2350">
        <v>20</v>
      </c>
    </row>
    <row r="9867" spans="1:6" x14ac:dyDescent="0.25">
      <c r="A9867" s="2349" t="s">
        <v>19780</v>
      </c>
      <c r="B9867" s="2349" t="s">
        <v>19571</v>
      </c>
      <c r="C9867" s="2349" t="s">
        <v>19571</v>
      </c>
      <c r="D9867" s="2349" t="s">
        <v>19784</v>
      </c>
      <c r="E9867" s="2350">
        <v>400</v>
      </c>
      <c r="F9867" s="2350">
        <v>80</v>
      </c>
    </row>
    <row r="9868" spans="1:6" x14ac:dyDescent="0.25">
      <c r="A9868" s="2349" t="s">
        <v>19780</v>
      </c>
      <c r="B9868" s="2349" t="s">
        <v>19571</v>
      </c>
      <c r="C9868" s="2349" t="s">
        <v>19571</v>
      </c>
      <c r="D9868" s="2349" t="s">
        <v>19785</v>
      </c>
      <c r="E9868" s="2350">
        <v>63</v>
      </c>
      <c r="F9868" s="2350">
        <v>20</v>
      </c>
    </row>
    <row r="9869" spans="1:6" x14ac:dyDescent="0.25">
      <c r="A9869" s="2349" t="s">
        <v>19780</v>
      </c>
      <c r="B9869" s="2349" t="s">
        <v>19571</v>
      </c>
      <c r="C9869" s="2349" t="s">
        <v>19571</v>
      </c>
      <c r="D9869" s="2349" t="s">
        <v>19786</v>
      </c>
      <c r="E9869" s="2350">
        <v>160</v>
      </c>
      <c r="F9869" s="2350">
        <v>20</v>
      </c>
    </row>
    <row r="9870" spans="1:6" x14ac:dyDescent="0.25">
      <c r="A9870" s="2349" t="s">
        <v>19780</v>
      </c>
      <c r="B9870" s="2349" t="s">
        <v>19571</v>
      </c>
      <c r="C9870" s="2349" t="s">
        <v>19571</v>
      </c>
      <c r="D9870" s="2349" t="s">
        <v>19787</v>
      </c>
      <c r="E9870" s="2350">
        <v>100</v>
      </c>
      <c r="F9870" s="2350">
        <v>80</v>
      </c>
    </row>
    <row r="9871" spans="1:6" x14ac:dyDescent="0.25">
      <c r="A9871" s="2349" t="s">
        <v>19780</v>
      </c>
      <c r="B9871" s="2349" t="s">
        <v>19571</v>
      </c>
      <c r="C9871" s="2349" t="s">
        <v>19571</v>
      </c>
      <c r="D9871" s="2349" t="s">
        <v>19788</v>
      </c>
      <c r="E9871" s="2350">
        <v>63</v>
      </c>
      <c r="F9871" s="2350">
        <v>20</v>
      </c>
    </row>
    <row r="9872" spans="1:6" x14ac:dyDescent="0.25">
      <c r="A9872" s="2349" t="s">
        <v>19789</v>
      </c>
      <c r="B9872" s="2349" t="s">
        <v>19571</v>
      </c>
      <c r="C9872" s="2349" t="s">
        <v>19571</v>
      </c>
      <c r="D9872" s="2349" t="s">
        <v>19790</v>
      </c>
      <c r="E9872" s="2350">
        <v>60</v>
      </c>
      <c r="F9872" s="2350">
        <v>20</v>
      </c>
    </row>
    <row r="9873" spans="1:6" x14ac:dyDescent="0.25">
      <c r="A9873" s="2349" t="s">
        <v>14504</v>
      </c>
      <c r="B9873" s="2349" t="s">
        <v>19571</v>
      </c>
      <c r="C9873" s="2349" t="s">
        <v>19571</v>
      </c>
      <c r="D9873" s="2349" t="s">
        <v>19791</v>
      </c>
      <c r="E9873" s="2350">
        <v>40</v>
      </c>
      <c r="F9873" s="2350">
        <v>15</v>
      </c>
    </row>
    <row r="9874" spans="1:6" x14ac:dyDescent="0.25">
      <c r="A9874" s="2349" t="s">
        <v>19792</v>
      </c>
      <c r="B9874" s="2349" t="s">
        <v>19571</v>
      </c>
      <c r="C9874" s="2349" t="s">
        <v>19571</v>
      </c>
      <c r="D9874" s="2349" t="s">
        <v>19793</v>
      </c>
      <c r="E9874" s="2350">
        <v>160</v>
      </c>
      <c r="F9874" s="2350">
        <v>20</v>
      </c>
    </row>
    <row r="9875" spans="1:6" x14ac:dyDescent="0.25">
      <c r="A9875" s="2349" t="s">
        <v>19792</v>
      </c>
      <c r="B9875" s="2349" t="s">
        <v>19571</v>
      </c>
      <c r="C9875" s="2349" t="s">
        <v>19571</v>
      </c>
      <c r="D9875" s="2349" t="s">
        <v>19794</v>
      </c>
      <c r="E9875" s="2350">
        <v>160</v>
      </c>
      <c r="F9875" s="2350">
        <v>20</v>
      </c>
    </row>
    <row r="9876" spans="1:6" x14ac:dyDescent="0.25">
      <c r="A9876" s="2349" t="s">
        <v>19792</v>
      </c>
      <c r="B9876" s="2349" t="s">
        <v>19571</v>
      </c>
      <c r="C9876" s="2349" t="s">
        <v>19571</v>
      </c>
      <c r="D9876" s="2349" t="s">
        <v>19795</v>
      </c>
      <c r="E9876" s="2350">
        <v>160</v>
      </c>
      <c r="F9876" s="2350">
        <v>15</v>
      </c>
    </row>
    <row r="9877" spans="1:6" x14ac:dyDescent="0.25">
      <c r="A9877" s="2349" t="s">
        <v>19792</v>
      </c>
      <c r="B9877" s="2349" t="s">
        <v>19571</v>
      </c>
      <c r="C9877" s="2349" t="s">
        <v>19571</v>
      </c>
      <c r="D9877" s="2349" t="s">
        <v>19796</v>
      </c>
      <c r="E9877" s="2350">
        <v>100</v>
      </c>
      <c r="F9877" s="2350">
        <v>20</v>
      </c>
    </row>
    <row r="9878" spans="1:6" x14ac:dyDescent="0.25">
      <c r="A9878" s="2349" t="s">
        <v>19792</v>
      </c>
      <c r="B9878" s="2349" t="s">
        <v>19571</v>
      </c>
      <c r="C9878" s="2349" t="s">
        <v>19571</v>
      </c>
      <c r="D9878" s="2349" t="s">
        <v>19797</v>
      </c>
      <c r="E9878" s="2350">
        <v>100</v>
      </c>
      <c r="F9878" s="2350">
        <v>20</v>
      </c>
    </row>
    <row r="9879" spans="1:6" x14ac:dyDescent="0.25">
      <c r="A9879" s="2349" t="s">
        <v>19798</v>
      </c>
      <c r="B9879" s="2349" t="s">
        <v>19571</v>
      </c>
      <c r="C9879" s="2349" t="s">
        <v>19571</v>
      </c>
      <c r="D9879" s="2349" t="s">
        <v>19799</v>
      </c>
      <c r="E9879" s="2350">
        <v>160</v>
      </c>
      <c r="F9879" s="2350">
        <v>80</v>
      </c>
    </row>
    <row r="9880" spans="1:6" x14ac:dyDescent="0.25">
      <c r="A9880" s="2349" t="s">
        <v>19798</v>
      </c>
      <c r="B9880" s="2349" t="s">
        <v>19571</v>
      </c>
      <c r="C9880" s="2349" t="s">
        <v>19571</v>
      </c>
      <c r="D9880" s="2349" t="s">
        <v>19800</v>
      </c>
      <c r="E9880" s="2350">
        <v>60</v>
      </c>
      <c r="F9880" s="2350">
        <v>20</v>
      </c>
    </row>
    <row r="9881" spans="1:6" x14ac:dyDescent="0.25">
      <c r="A9881" s="2349" t="s">
        <v>11874</v>
      </c>
      <c r="B9881" s="2349" t="s">
        <v>19571</v>
      </c>
      <c r="C9881" s="2349" t="s">
        <v>19571</v>
      </c>
      <c r="D9881" s="2349" t="s">
        <v>19801</v>
      </c>
      <c r="E9881" s="2350">
        <v>60</v>
      </c>
      <c r="F9881" s="2350">
        <v>20</v>
      </c>
    </row>
    <row r="9882" spans="1:6" x14ac:dyDescent="0.25">
      <c r="A9882" s="2349" t="s">
        <v>18619</v>
      </c>
      <c r="B9882" s="2349" t="s">
        <v>10781</v>
      </c>
      <c r="C9882" s="2349" t="s">
        <v>10781</v>
      </c>
      <c r="D9882" s="2349" t="s">
        <v>10782</v>
      </c>
      <c r="E9882" s="2350">
        <v>160</v>
      </c>
      <c r="F9882" s="2350">
        <v>15</v>
      </c>
    </row>
    <row r="9883" spans="1:6" x14ac:dyDescent="0.25">
      <c r="A9883" s="2349" t="s">
        <v>18619</v>
      </c>
      <c r="B9883" s="2349" t="s">
        <v>10781</v>
      </c>
      <c r="C9883" s="2349" t="s">
        <v>10781</v>
      </c>
      <c r="D9883" s="2349" t="s">
        <v>10783</v>
      </c>
      <c r="E9883" s="2350">
        <v>30</v>
      </c>
      <c r="F9883" s="2350">
        <v>0</v>
      </c>
    </row>
    <row r="9884" spans="1:6" x14ac:dyDescent="0.25">
      <c r="A9884" s="2349" t="s">
        <v>18620</v>
      </c>
      <c r="B9884" s="2349" t="s">
        <v>10781</v>
      </c>
      <c r="C9884" s="2349" t="s">
        <v>10781</v>
      </c>
      <c r="D9884" s="2349" t="s">
        <v>10784</v>
      </c>
      <c r="E9884" s="2350">
        <v>160</v>
      </c>
      <c r="F9884" s="2350">
        <v>45</v>
      </c>
    </row>
    <row r="9885" spans="1:6" x14ac:dyDescent="0.25">
      <c r="A9885" s="2349" t="s">
        <v>18621</v>
      </c>
      <c r="B9885" s="2349" t="s">
        <v>10781</v>
      </c>
      <c r="C9885" s="2349" t="s">
        <v>10781</v>
      </c>
      <c r="D9885" s="2349" t="s">
        <v>10785</v>
      </c>
      <c r="E9885" s="2350">
        <v>40</v>
      </c>
      <c r="F9885" s="2350">
        <v>25</v>
      </c>
    </row>
    <row r="9886" spans="1:6" x14ac:dyDescent="0.25">
      <c r="A9886" s="2349" t="s">
        <v>18622</v>
      </c>
      <c r="B9886" s="2349" t="s">
        <v>10781</v>
      </c>
      <c r="C9886" s="2349" t="s">
        <v>10781</v>
      </c>
      <c r="D9886" s="2349" t="s">
        <v>10786</v>
      </c>
      <c r="E9886" s="2350">
        <v>20</v>
      </c>
      <c r="F9886" s="2350">
        <v>0</v>
      </c>
    </row>
    <row r="9887" spans="1:6" x14ac:dyDescent="0.25">
      <c r="A9887" s="2349" t="s">
        <v>18623</v>
      </c>
      <c r="B9887" s="2349" t="s">
        <v>10781</v>
      </c>
      <c r="C9887" s="2349" t="s">
        <v>10781</v>
      </c>
      <c r="D9887" s="2349" t="s">
        <v>10787</v>
      </c>
      <c r="E9887" s="2350">
        <v>100</v>
      </c>
      <c r="F9887" s="2350">
        <v>0</v>
      </c>
    </row>
    <row r="9888" spans="1:6" x14ac:dyDescent="0.25">
      <c r="A9888" s="2349" t="s">
        <v>18624</v>
      </c>
      <c r="B9888" s="2349" t="s">
        <v>10781</v>
      </c>
      <c r="C9888" s="2349" t="s">
        <v>10781</v>
      </c>
      <c r="D9888" s="2349" t="s">
        <v>10788</v>
      </c>
      <c r="E9888" s="2350">
        <v>20</v>
      </c>
      <c r="F9888" s="2350">
        <v>0</v>
      </c>
    </row>
    <row r="9889" spans="1:6" x14ac:dyDescent="0.25">
      <c r="A9889" s="2349" t="s">
        <v>18625</v>
      </c>
      <c r="B9889" s="2349" t="s">
        <v>10781</v>
      </c>
      <c r="C9889" s="2349" t="s">
        <v>10781</v>
      </c>
      <c r="D9889" s="2349" t="s">
        <v>10789</v>
      </c>
      <c r="E9889" s="2350">
        <v>63</v>
      </c>
      <c r="F9889" s="2350">
        <v>10</v>
      </c>
    </row>
    <row r="9890" spans="1:6" x14ac:dyDescent="0.25">
      <c r="A9890" s="2349" t="s">
        <v>10790</v>
      </c>
      <c r="B9890" s="2349" t="s">
        <v>10781</v>
      </c>
      <c r="C9890" s="2349" t="s">
        <v>10781</v>
      </c>
      <c r="D9890" s="2349" t="s">
        <v>10791</v>
      </c>
      <c r="E9890" s="2350">
        <v>10</v>
      </c>
      <c r="F9890" s="2350">
        <v>3</v>
      </c>
    </row>
    <row r="9891" spans="1:6" x14ac:dyDescent="0.25">
      <c r="A9891" s="2349" t="s">
        <v>18626</v>
      </c>
      <c r="B9891" s="2349" t="s">
        <v>10781</v>
      </c>
      <c r="C9891" s="2349" t="s">
        <v>10781</v>
      </c>
      <c r="D9891" s="2349" t="s">
        <v>10792</v>
      </c>
      <c r="E9891" s="2350">
        <v>100</v>
      </c>
      <c r="F9891" s="2350">
        <v>20</v>
      </c>
    </row>
    <row r="9892" spans="1:6" x14ac:dyDescent="0.25">
      <c r="A9892" s="2349" t="s">
        <v>18627</v>
      </c>
      <c r="B9892" s="2349" t="s">
        <v>10781</v>
      </c>
      <c r="C9892" s="2349" t="s">
        <v>10781</v>
      </c>
      <c r="D9892" s="2349" t="s">
        <v>10793</v>
      </c>
      <c r="E9892" s="2350">
        <v>10</v>
      </c>
      <c r="F9892" s="2350">
        <v>3</v>
      </c>
    </row>
    <row r="9893" spans="1:6" x14ac:dyDescent="0.25">
      <c r="A9893" s="2349" t="s">
        <v>18628</v>
      </c>
      <c r="B9893" s="2349" t="s">
        <v>10781</v>
      </c>
      <c r="C9893" s="2349" t="s">
        <v>10781</v>
      </c>
      <c r="D9893" s="2349" t="s">
        <v>10794</v>
      </c>
      <c r="E9893" s="2350">
        <v>10</v>
      </c>
      <c r="F9893" s="2350">
        <v>0</v>
      </c>
    </row>
    <row r="9894" spans="1:6" x14ac:dyDescent="0.25">
      <c r="A9894" s="2349" t="s">
        <v>18629</v>
      </c>
      <c r="B9894" s="2349" t="s">
        <v>10781</v>
      </c>
      <c r="C9894" s="2349" t="s">
        <v>10781</v>
      </c>
      <c r="D9894" s="2349" t="s">
        <v>10795</v>
      </c>
      <c r="E9894" s="2350">
        <v>250</v>
      </c>
      <c r="F9894" s="2350">
        <v>90</v>
      </c>
    </row>
    <row r="9895" spans="1:6" x14ac:dyDescent="0.25">
      <c r="A9895" s="2349" t="s">
        <v>10796</v>
      </c>
      <c r="B9895" s="2349" t="s">
        <v>10781</v>
      </c>
      <c r="C9895" s="2349" t="s">
        <v>10781</v>
      </c>
      <c r="D9895" s="2349" t="s">
        <v>10797</v>
      </c>
      <c r="E9895" s="2350">
        <v>60</v>
      </c>
      <c r="F9895" s="2350">
        <v>0</v>
      </c>
    </row>
    <row r="9896" spans="1:6" x14ac:dyDescent="0.25">
      <c r="A9896" s="2349" t="s">
        <v>18630</v>
      </c>
      <c r="B9896" s="2349" t="s">
        <v>10781</v>
      </c>
      <c r="C9896" s="2349" t="s">
        <v>10781</v>
      </c>
      <c r="D9896" s="2349" t="s">
        <v>10798</v>
      </c>
      <c r="E9896" s="2350">
        <v>160</v>
      </c>
      <c r="F9896" s="2350">
        <v>60</v>
      </c>
    </row>
    <row r="9897" spans="1:6" x14ac:dyDescent="0.25">
      <c r="A9897" s="2349" t="s">
        <v>18631</v>
      </c>
      <c r="B9897" s="2349" t="s">
        <v>10781</v>
      </c>
      <c r="C9897" s="2349" t="s">
        <v>10781</v>
      </c>
      <c r="D9897" s="2349" t="s">
        <v>10799</v>
      </c>
      <c r="E9897" s="2350">
        <v>160</v>
      </c>
      <c r="F9897" s="2350">
        <v>20</v>
      </c>
    </row>
    <row r="9898" spans="1:6" x14ac:dyDescent="0.25">
      <c r="A9898" s="2349" t="s">
        <v>18632</v>
      </c>
      <c r="B9898" s="2349" t="s">
        <v>10781</v>
      </c>
      <c r="C9898" s="2349" t="s">
        <v>10781</v>
      </c>
      <c r="D9898" s="2349" t="s">
        <v>10800</v>
      </c>
      <c r="E9898" s="2350">
        <v>100</v>
      </c>
      <c r="F9898" s="2350">
        <v>55</v>
      </c>
    </row>
    <row r="9899" spans="1:6" x14ac:dyDescent="0.25">
      <c r="A9899" s="2349" t="s">
        <v>18633</v>
      </c>
      <c r="B9899" s="2349" t="s">
        <v>10781</v>
      </c>
      <c r="C9899" s="2349" t="s">
        <v>10781</v>
      </c>
      <c r="D9899" s="2349" t="s">
        <v>10801</v>
      </c>
      <c r="E9899" s="2350">
        <v>20</v>
      </c>
      <c r="F9899" s="2350">
        <v>0</v>
      </c>
    </row>
    <row r="9900" spans="1:6" x14ac:dyDescent="0.25">
      <c r="A9900" s="2349" t="s">
        <v>18634</v>
      </c>
      <c r="B9900" s="2349" t="s">
        <v>10781</v>
      </c>
      <c r="C9900" s="2349" t="s">
        <v>10781</v>
      </c>
      <c r="D9900" s="2349" t="s">
        <v>10802</v>
      </c>
      <c r="E9900" s="2350">
        <v>100</v>
      </c>
      <c r="F9900" s="2350">
        <v>15</v>
      </c>
    </row>
    <row r="9901" spans="1:6" x14ac:dyDescent="0.25">
      <c r="A9901" s="2349" t="s">
        <v>18635</v>
      </c>
      <c r="B9901" s="2349" t="s">
        <v>10781</v>
      </c>
      <c r="C9901" s="2349" t="s">
        <v>10781</v>
      </c>
      <c r="D9901" s="2349" t="s">
        <v>10803</v>
      </c>
      <c r="E9901" s="2350">
        <v>30</v>
      </c>
      <c r="F9901" s="2350">
        <v>20</v>
      </c>
    </row>
    <row r="9902" spans="1:6" x14ac:dyDescent="0.25">
      <c r="A9902" s="2349" t="s">
        <v>17126</v>
      </c>
      <c r="B9902" s="2349" t="s">
        <v>10781</v>
      </c>
      <c r="C9902" s="2349" t="s">
        <v>10781</v>
      </c>
      <c r="D9902" s="2349" t="s">
        <v>10804</v>
      </c>
      <c r="E9902" s="2350">
        <v>63</v>
      </c>
      <c r="F9902" s="2350">
        <v>15</v>
      </c>
    </row>
    <row r="9903" spans="1:6" x14ac:dyDescent="0.25">
      <c r="A9903" s="2349" t="s">
        <v>18636</v>
      </c>
      <c r="B9903" s="2349" t="s">
        <v>10781</v>
      </c>
      <c r="C9903" s="2349" t="s">
        <v>10781</v>
      </c>
      <c r="D9903" s="2349" t="s">
        <v>10805</v>
      </c>
      <c r="E9903" s="2350">
        <v>60</v>
      </c>
      <c r="F9903" s="2350">
        <v>15</v>
      </c>
    </row>
    <row r="9904" spans="1:6" x14ac:dyDescent="0.25">
      <c r="A9904" s="2349" t="s">
        <v>18637</v>
      </c>
      <c r="B9904" s="2349" t="s">
        <v>10781</v>
      </c>
      <c r="C9904" s="2349" t="s">
        <v>10781</v>
      </c>
      <c r="D9904" s="2349" t="s">
        <v>4015</v>
      </c>
      <c r="E9904" s="2350">
        <v>100</v>
      </c>
      <c r="F9904" s="2350">
        <v>25</v>
      </c>
    </row>
    <row r="9905" spans="1:6" x14ac:dyDescent="0.25">
      <c r="A9905" s="2349" t="s">
        <v>18638</v>
      </c>
      <c r="B9905" s="2349" t="s">
        <v>10781</v>
      </c>
      <c r="C9905" s="2349" t="s">
        <v>10781</v>
      </c>
      <c r="D9905" s="2349" t="s">
        <v>10806</v>
      </c>
      <c r="E9905" s="2350">
        <v>50</v>
      </c>
      <c r="F9905" s="2350">
        <v>15</v>
      </c>
    </row>
    <row r="9906" spans="1:6" x14ac:dyDescent="0.25">
      <c r="A9906" s="2349" t="s">
        <v>18639</v>
      </c>
      <c r="B9906" s="2349" t="s">
        <v>10781</v>
      </c>
      <c r="C9906" s="2349" t="s">
        <v>10781</v>
      </c>
      <c r="D9906" s="2349" t="s">
        <v>10807</v>
      </c>
      <c r="E9906" s="2350">
        <v>63</v>
      </c>
      <c r="F9906" s="2350">
        <v>10</v>
      </c>
    </row>
    <row r="9907" spans="1:6" x14ac:dyDescent="0.25">
      <c r="A9907" s="2349" t="s">
        <v>18640</v>
      </c>
      <c r="B9907" s="2349" t="s">
        <v>10781</v>
      </c>
      <c r="C9907" s="2349" t="s">
        <v>10781</v>
      </c>
      <c r="D9907" s="2349" t="s">
        <v>10808</v>
      </c>
      <c r="E9907" s="2350">
        <v>10</v>
      </c>
      <c r="F9907" s="2350">
        <v>0</v>
      </c>
    </row>
    <row r="9908" spans="1:6" x14ac:dyDescent="0.25">
      <c r="A9908" s="2349" t="s">
        <v>18640</v>
      </c>
      <c r="B9908" s="2349" t="s">
        <v>10781</v>
      </c>
      <c r="C9908" s="2349" t="s">
        <v>10781</v>
      </c>
      <c r="D9908" s="2349" t="s">
        <v>10809</v>
      </c>
      <c r="E9908" s="2350">
        <v>10</v>
      </c>
      <c r="F9908" s="2350">
        <v>0</v>
      </c>
    </row>
    <row r="9909" spans="1:6" x14ac:dyDescent="0.25">
      <c r="A9909" s="2349" t="s">
        <v>18641</v>
      </c>
      <c r="B9909" s="2349" t="s">
        <v>10781</v>
      </c>
      <c r="C9909" s="2349" t="s">
        <v>10781</v>
      </c>
      <c r="D9909" s="2349" t="s">
        <v>10810</v>
      </c>
      <c r="E9909" s="2350">
        <v>10</v>
      </c>
      <c r="F9909" s="2350">
        <v>0</v>
      </c>
    </row>
    <row r="9910" spans="1:6" x14ac:dyDescent="0.25">
      <c r="A9910" s="2349" t="s">
        <v>18642</v>
      </c>
      <c r="B9910" s="2349" t="s">
        <v>10781</v>
      </c>
      <c r="C9910" s="2349" t="s">
        <v>10781</v>
      </c>
      <c r="D9910" s="2349" t="s">
        <v>10811</v>
      </c>
      <c r="E9910" s="2350">
        <v>160</v>
      </c>
      <c r="F9910" s="2350">
        <v>0</v>
      </c>
    </row>
    <row r="9911" spans="1:6" x14ac:dyDescent="0.25">
      <c r="A9911" s="2349" t="s">
        <v>18642</v>
      </c>
      <c r="B9911" s="2349" t="s">
        <v>10781</v>
      </c>
      <c r="C9911" s="2349" t="s">
        <v>10781</v>
      </c>
      <c r="D9911" s="2349" t="s">
        <v>10812</v>
      </c>
      <c r="E9911" s="2350">
        <v>160</v>
      </c>
      <c r="F9911" s="2350">
        <v>0</v>
      </c>
    </row>
    <row r="9912" spans="1:6" x14ac:dyDescent="0.25">
      <c r="A9912" s="2349" t="s">
        <v>18642</v>
      </c>
      <c r="B9912" s="2349" t="s">
        <v>10781</v>
      </c>
      <c r="C9912" s="2349" t="s">
        <v>10781</v>
      </c>
      <c r="D9912" s="2349" t="s">
        <v>10813</v>
      </c>
      <c r="E9912" s="2350">
        <v>100</v>
      </c>
      <c r="F9912" s="2350">
        <v>5</v>
      </c>
    </row>
    <row r="9913" spans="1:6" x14ac:dyDescent="0.25">
      <c r="A9913" s="2349" t="s">
        <v>18643</v>
      </c>
      <c r="B9913" s="2349" t="s">
        <v>10781</v>
      </c>
      <c r="C9913" s="2349" t="s">
        <v>10781</v>
      </c>
      <c r="D9913" s="2349" t="s">
        <v>10814</v>
      </c>
      <c r="E9913" s="2350">
        <v>30</v>
      </c>
      <c r="F9913" s="2350">
        <v>10</v>
      </c>
    </row>
    <row r="9914" spans="1:6" x14ac:dyDescent="0.25">
      <c r="A9914" s="2349" t="s">
        <v>18644</v>
      </c>
      <c r="B9914" s="2349" t="s">
        <v>10781</v>
      </c>
      <c r="C9914" s="2349" t="s">
        <v>10781</v>
      </c>
      <c r="D9914" s="2349" t="s">
        <v>10815</v>
      </c>
      <c r="E9914" s="2350">
        <v>100</v>
      </c>
      <c r="F9914" s="2350">
        <v>5</v>
      </c>
    </row>
    <row r="9915" spans="1:6" x14ac:dyDescent="0.25">
      <c r="A9915" s="2349" t="s">
        <v>18645</v>
      </c>
      <c r="B9915" s="2349" t="s">
        <v>10781</v>
      </c>
      <c r="C9915" s="2349" t="s">
        <v>10781</v>
      </c>
      <c r="D9915" s="2349" t="s">
        <v>3981</v>
      </c>
      <c r="E9915" s="2350">
        <v>100</v>
      </c>
      <c r="F9915" s="2350">
        <v>10</v>
      </c>
    </row>
    <row r="9916" spans="1:6" x14ac:dyDescent="0.25">
      <c r="A9916" s="2349" t="s">
        <v>18646</v>
      </c>
      <c r="B9916" s="2349" t="s">
        <v>10781</v>
      </c>
      <c r="C9916" s="2349" t="s">
        <v>10781</v>
      </c>
      <c r="D9916" s="2349" t="s">
        <v>10816</v>
      </c>
      <c r="E9916" s="2350">
        <v>30</v>
      </c>
      <c r="F9916" s="2350">
        <v>3</v>
      </c>
    </row>
    <row r="9917" spans="1:6" x14ac:dyDescent="0.25">
      <c r="A9917" s="2349" t="s">
        <v>18647</v>
      </c>
      <c r="B9917" s="2349" t="s">
        <v>10781</v>
      </c>
      <c r="C9917" s="2349" t="s">
        <v>10781</v>
      </c>
      <c r="D9917" s="2349" t="s">
        <v>10817</v>
      </c>
      <c r="E9917" s="2350">
        <v>250</v>
      </c>
      <c r="F9917" s="2350">
        <v>200</v>
      </c>
    </row>
    <row r="9918" spans="1:6" x14ac:dyDescent="0.25">
      <c r="A9918" s="2349" t="s">
        <v>18647</v>
      </c>
      <c r="B9918" s="2349" t="s">
        <v>10781</v>
      </c>
      <c r="C9918" s="2349" t="s">
        <v>10781</v>
      </c>
      <c r="D9918" s="2349" t="s">
        <v>10818</v>
      </c>
      <c r="E9918" s="2350" t="s">
        <v>18648</v>
      </c>
      <c r="F9918" s="2350">
        <v>500</v>
      </c>
    </row>
    <row r="9919" spans="1:6" x14ac:dyDescent="0.25">
      <c r="A9919" s="2349" t="s">
        <v>18647</v>
      </c>
      <c r="B9919" s="2349" t="s">
        <v>10781</v>
      </c>
      <c r="C9919" s="2349" t="s">
        <v>10781</v>
      </c>
      <c r="D9919" s="2349" t="s">
        <v>10820</v>
      </c>
      <c r="E9919" s="2350">
        <v>250</v>
      </c>
      <c r="F9919" s="2350">
        <v>45</v>
      </c>
    </row>
    <row r="9920" spans="1:6" x14ac:dyDescent="0.25">
      <c r="A9920" s="2349" t="s">
        <v>10821</v>
      </c>
      <c r="B9920" s="2349" t="s">
        <v>10781</v>
      </c>
      <c r="C9920" s="2349" t="s">
        <v>10781</v>
      </c>
      <c r="D9920" s="2349" t="s">
        <v>10822</v>
      </c>
      <c r="E9920" s="2350">
        <v>160</v>
      </c>
      <c r="F9920" s="2350">
        <v>5</v>
      </c>
    </row>
    <row r="9921" spans="1:6" x14ac:dyDescent="0.25">
      <c r="A9921" s="2349" t="s">
        <v>18649</v>
      </c>
      <c r="B9921" s="2349" t="s">
        <v>10781</v>
      </c>
      <c r="C9921" s="2349" t="s">
        <v>10781</v>
      </c>
      <c r="D9921" s="2349" t="s">
        <v>10823</v>
      </c>
      <c r="E9921" s="2350">
        <v>100</v>
      </c>
      <c r="F9921" s="2350">
        <v>5</v>
      </c>
    </row>
    <row r="9922" spans="1:6" x14ac:dyDescent="0.25">
      <c r="A9922" s="2349" t="s">
        <v>18650</v>
      </c>
      <c r="B9922" s="2349" t="s">
        <v>10781</v>
      </c>
      <c r="C9922" s="2349" t="s">
        <v>10781</v>
      </c>
      <c r="D9922" s="2349" t="s">
        <v>10824</v>
      </c>
      <c r="E9922" s="2350">
        <v>100</v>
      </c>
      <c r="F9922" s="2350">
        <v>50</v>
      </c>
    </row>
    <row r="9923" spans="1:6" x14ac:dyDescent="0.25">
      <c r="A9923" s="2349" t="s">
        <v>8589</v>
      </c>
      <c r="B9923" s="2349" t="s">
        <v>10781</v>
      </c>
      <c r="C9923" s="2349" t="s">
        <v>10781</v>
      </c>
      <c r="D9923" s="2349" t="s">
        <v>10825</v>
      </c>
      <c r="E9923" s="2350">
        <v>100</v>
      </c>
      <c r="F9923" s="2350">
        <v>30</v>
      </c>
    </row>
    <row r="9924" spans="1:6" x14ac:dyDescent="0.25">
      <c r="A9924" s="2349" t="s">
        <v>18651</v>
      </c>
      <c r="B9924" s="2349" t="s">
        <v>10781</v>
      </c>
      <c r="C9924" s="2349" t="s">
        <v>10781</v>
      </c>
      <c r="D9924" s="2349" t="s">
        <v>10826</v>
      </c>
      <c r="E9924" s="2350">
        <v>63</v>
      </c>
      <c r="F9924" s="2350">
        <v>25</v>
      </c>
    </row>
    <row r="9925" spans="1:6" x14ac:dyDescent="0.25">
      <c r="A9925" s="2349" t="s">
        <v>18652</v>
      </c>
      <c r="B9925" s="2349" t="s">
        <v>10781</v>
      </c>
      <c r="C9925" s="2349" t="s">
        <v>10781</v>
      </c>
      <c r="D9925" s="2349" t="s">
        <v>10827</v>
      </c>
      <c r="E9925" s="2350">
        <v>100</v>
      </c>
      <c r="F9925" s="2350">
        <v>80</v>
      </c>
    </row>
    <row r="9926" spans="1:6" x14ac:dyDescent="0.25">
      <c r="A9926" s="2349" t="s">
        <v>18653</v>
      </c>
      <c r="B9926" s="2349" t="s">
        <v>10781</v>
      </c>
      <c r="C9926" s="2349" t="s">
        <v>10781</v>
      </c>
      <c r="D9926" s="2349" t="s">
        <v>10828</v>
      </c>
      <c r="E9926" s="2350">
        <v>25</v>
      </c>
      <c r="F9926" s="2350">
        <v>3</v>
      </c>
    </row>
    <row r="9927" spans="1:6" x14ac:dyDescent="0.25">
      <c r="A9927" s="2349" t="s">
        <v>18654</v>
      </c>
      <c r="B9927" s="2349" t="s">
        <v>10781</v>
      </c>
      <c r="C9927" s="2349" t="s">
        <v>10781</v>
      </c>
      <c r="D9927" s="2349" t="s">
        <v>10829</v>
      </c>
      <c r="E9927" s="2350">
        <v>25</v>
      </c>
      <c r="F9927" s="2350">
        <v>5</v>
      </c>
    </row>
    <row r="9928" spans="1:6" x14ac:dyDescent="0.25">
      <c r="A9928" s="2349" t="s">
        <v>18655</v>
      </c>
      <c r="B9928" s="2349" t="s">
        <v>10781</v>
      </c>
      <c r="C9928" s="2349" t="s">
        <v>10781</v>
      </c>
      <c r="D9928" s="2349" t="s">
        <v>10830</v>
      </c>
      <c r="E9928" s="2350">
        <v>63</v>
      </c>
      <c r="F9928" s="2350">
        <v>20</v>
      </c>
    </row>
    <row r="9929" spans="1:6" x14ac:dyDescent="0.25">
      <c r="A9929" s="2349" t="s">
        <v>18656</v>
      </c>
      <c r="B9929" s="2349" t="s">
        <v>10781</v>
      </c>
      <c r="C9929" s="2349" t="s">
        <v>10781</v>
      </c>
      <c r="D9929" s="2349" t="s">
        <v>10831</v>
      </c>
      <c r="E9929" s="2350">
        <v>63</v>
      </c>
      <c r="F9929" s="2350">
        <v>25</v>
      </c>
    </row>
    <row r="9930" spans="1:6" x14ac:dyDescent="0.25">
      <c r="A9930" s="2349" t="s">
        <v>18657</v>
      </c>
      <c r="B9930" s="2349" t="s">
        <v>10781</v>
      </c>
      <c r="C9930" s="2349" t="s">
        <v>10781</v>
      </c>
      <c r="D9930" s="2349" t="s">
        <v>10832</v>
      </c>
      <c r="E9930" s="2350">
        <v>10</v>
      </c>
      <c r="F9930" s="2350">
        <v>1</v>
      </c>
    </row>
    <row r="9931" spans="1:6" x14ac:dyDescent="0.25">
      <c r="A9931" s="2349" t="s">
        <v>18658</v>
      </c>
      <c r="B9931" s="2349" t="s">
        <v>10781</v>
      </c>
      <c r="C9931" s="2349" t="s">
        <v>10781</v>
      </c>
      <c r="D9931" s="2349" t="s">
        <v>10833</v>
      </c>
      <c r="E9931" s="2350">
        <v>10</v>
      </c>
      <c r="F9931" s="2350">
        <v>3</v>
      </c>
    </row>
    <row r="9932" spans="1:6" x14ac:dyDescent="0.25">
      <c r="A9932" s="2349" t="s">
        <v>18659</v>
      </c>
      <c r="B9932" s="2349" t="s">
        <v>10781</v>
      </c>
      <c r="C9932" s="2349" t="s">
        <v>10781</v>
      </c>
      <c r="D9932" s="2349" t="s">
        <v>3762</v>
      </c>
      <c r="E9932" s="2350">
        <v>100</v>
      </c>
      <c r="F9932" s="2350">
        <v>50</v>
      </c>
    </row>
    <row r="9933" spans="1:6" x14ac:dyDescent="0.25">
      <c r="A9933" s="2349" t="s">
        <v>18660</v>
      </c>
      <c r="B9933" s="2349" t="s">
        <v>10781</v>
      </c>
      <c r="C9933" s="2349" t="s">
        <v>10781</v>
      </c>
      <c r="D9933" s="2349" t="s">
        <v>10791</v>
      </c>
      <c r="E9933" s="2350">
        <v>60</v>
      </c>
      <c r="F9933" s="2350">
        <v>55</v>
      </c>
    </row>
    <row r="9934" spans="1:6" x14ac:dyDescent="0.25">
      <c r="A9934" s="2349" t="s">
        <v>18661</v>
      </c>
      <c r="B9934" s="2349" t="s">
        <v>10781</v>
      </c>
      <c r="C9934" s="2349" t="s">
        <v>10781</v>
      </c>
      <c r="D9934" s="2349" t="s">
        <v>10834</v>
      </c>
      <c r="E9934" s="2350">
        <v>20</v>
      </c>
      <c r="F9934" s="2350">
        <v>3</v>
      </c>
    </row>
    <row r="9935" spans="1:6" x14ac:dyDescent="0.25">
      <c r="A9935" s="2349" t="s">
        <v>18619</v>
      </c>
      <c r="B9935" s="2349" t="s">
        <v>10781</v>
      </c>
      <c r="C9935" s="2349" t="s">
        <v>10781</v>
      </c>
      <c r="D9935" s="2349" t="s">
        <v>10835</v>
      </c>
      <c r="E9935" s="2350">
        <v>160</v>
      </c>
      <c r="F9935" s="2350">
        <v>100</v>
      </c>
    </row>
    <row r="9936" spans="1:6" x14ac:dyDescent="0.25">
      <c r="A9936" s="2349" t="s">
        <v>18662</v>
      </c>
      <c r="B9936" s="2349" t="s">
        <v>10781</v>
      </c>
      <c r="C9936" s="2349" t="s">
        <v>10781</v>
      </c>
      <c r="D9936" s="2349" t="s">
        <v>10836</v>
      </c>
      <c r="E9936" s="2350">
        <v>60</v>
      </c>
      <c r="F9936" s="2350">
        <v>15</v>
      </c>
    </row>
    <row r="9937" spans="1:6" x14ac:dyDescent="0.25">
      <c r="A9937" s="2349" t="s">
        <v>18663</v>
      </c>
      <c r="B9937" s="2349" t="s">
        <v>10781</v>
      </c>
      <c r="C9937" s="2349" t="s">
        <v>10781</v>
      </c>
      <c r="D9937" s="2349" t="s">
        <v>10837</v>
      </c>
      <c r="E9937" s="2350">
        <v>10</v>
      </c>
      <c r="F9937" s="2350">
        <v>3</v>
      </c>
    </row>
    <row r="9938" spans="1:6" x14ac:dyDescent="0.25">
      <c r="A9938" s="2349" t="s">
        <v>18664</v>
      </c>
      <c r="B9938" s="2349" t="s">
        <v>10781</v>
      </c>
      <c r="C9938" s="2349" t="s">
        <v>10781</v>
      </c>
      <c r="D9938" s="2349" t="s">
        <v>10838</v>
      </c>
      <c r="E9938" s="2350">
        <v>25</v>
      </c>
      <c r="F9938" s="2350">
        <v>0</v>
      </c>
    </row>
    <row r="9939" spans="1:6" x14ac:dyDescent="0.25">
      <c r="A9939" s="2349" t="s">
        <v>18665</v>
      </c>
      <c r="B9939" s="2349" t="s">
        <v>10781</v>
      </c>
      <c r="C9939" s="2349" t="s">
        <v>10781</v>
      </c>
      <c r="D9939" s="2349" t="s">
        <v>10839</v>
      </c>
      <c r="E9939" s="2350">
        <v>40</v>
      </c>
      <c r="F9939" s="2350">
        <v>0</v>
      </c>
    </row>
    <row r="9940" spans="1:6" x14ac:dyDescent="0.25">
      <c r="A9940" s="2349" t="s">
        <v>18666</v>
      </c>
      <c r="B9940" s="2349" t="s">
        <v>10781</v>
      </c>
      <c r="C9940" s="2349" t="s">
        <v>10781</v>
      </c>
      <c r="D9940" s="2349" t="s">
        <v>10840</v>
      </c>
      <c r="E9940" s="2350">
        <v>10</v>
      </c>
      <c r="F9940" s="2350">
        <v>0</v>
      </c>
    </row>
    <row r="9941" spans="1:6" x14ac:dyDescent="0.25">
      <c r="A9941" s="2349" t="s">
        <v>18667</v>
      </c>
      <c r="B9941" s="2349" t="s">
        <v>10781</v>
      </c>
      <c r="C9941" s="2349" t="s">
        <v>10781</v>
      </c>
      <c r="D9941" s="2349" t="s">
        <v>10841</v>
      </c>
      <c r="E9941" s="2350">
        <v>160</v>
      </c>
      <c r="F9941" s="2350">
        <v>30</v>
      </c>
    </row>
    <row r="9942" spans="1:6" x14ac:dyDescent="0.25">
      <c r="A9942" s="2349" t="s">
        <v>18668</v>
      </c>
      <c r="B9942" s="2349" t="s">
        <v>10781</v>
      </c>
      <c r="C9942" s="2349" t="s">
        <v>10781</v>
      </c>
      <c r="D9942" s="2349" t="s">
        <v>10842</v>
      </c>
      <c r="E9942" s="2350">
        <v>25</v>
      </c>
      <c r="F9942" s="2350">
        <v>3</v>
      </c>
    </row>
    <row r="9943" spans="1:6" x14ac:dyDescent="0.25">
      <c r="A9943" s="2349" t="s">
        <v>18669</v>
      </c>
      <c r="B9943" s="2349" t="s">
        <v>10781</v>
      </c>
      <c r="C9943" s="2349" t="s">
        <v>10781</v>
      </c>
      <c r="D9943" s="2349" t="s">
        <v>10843</v>
      </c>
      <c r="E9943" s="2350">
        <v>160</v>
      </c>
      <c r="F9943" s="2350">
        <v>50</v>
      </c>
    </row>
    <row r="9944" spans="1:6" x14ac:dyDescent="0.25">
      <c r="A9944" s="2349" t="s">
        <v>18670</v>
      </c>
      <c r="B9944" s="2349" t="s">
        <v>10781</v>
      </c>
      <c r="C9944" s="2349" t="s">
        <v>10781</v>
      </c>
      <c r="D9944" s="2349" t="s">
        <v>10844</v>
      </c>
      <c r="E9944" s="2350">
        <v>250</v>
      </c>
      <c r="F9944" s="2350">
        <v>40</v>
      </c>
    </row>
    <row r="9945" spans="1:6" x14ac:dyDescent="0.25">
      <c r="A9945" s="2349" t="s">
        <v>18671</v>
      </c>
      <c r="B9945" s="2349" t="s">
        <v>10781</v>
      </c>
      <c r="C9945" s="2349" t="s">
        <v>10781</v>
      </c>
      <c r="D9945" s="2349" t="s">
        <v>10845</v>
      </c>
      <c r="E9945" s="2350">
        <v>100</v>
      </c>
      <c r="F9945" s="2350">
        <v>45</v>
      </c>
    </row>
    <row r="9946" spans="1:6" x14ac:dyDescent="0.25">
      <c r="A9946" s="2349" t="s">
        <v>18672</v>
      </c>
      <c r="B9946" s="2349" t="s">
        <v>10781</v>
      </c>
      <c r="C9946" s="2349" t="s">
        <v>10781</v>
      </c>
      <c r="D9946" s="2349" t="s">
        <v>10846</v>
      </c>
      <c r="E9946" s="2350">
        <v>63</v>
      </c>
      <c r="F9946" s="2350">
        <v>0</v>
      </c>
    </row>
    <row r="9947" spans="1:6" x14ac:dyDescent="0.25">
      <c r="A9947" s="2349" t="s">
        <v>18673</v>
      </c>
      <c r="B9947" s="2349" t="s">
        <v>10781</v>
      </c>
      <c r="C9947" s="2349" t="s">
        <v>10781</v>
      </c>
      <c r="D9947" s="2349" t="s">
        <v>10847</v>
      </c>
      <c r="E9947" s="2350">
        <v>100</v>
      </c>
      <c r="F9947" s="2350">
        <v>15</v>
      </c>
    </row>
    <row r="9948" spans="1:6" x14ac:dyDescent="0.25">
      <c r="A9948" s="2349" t="s">
        <v>18674</v>
      </c>
      <c r="B9948" s="2349" t="s">
        <v>10781</v>
      </c>
      <c r="C9948" s="2349" t="s">
        <v>10781</v>
      </c>
      <c r="D9948" s="2349" t="s">
        <v>10848</v>
      </c>
      <c r="E9948" s="2350">
        <v>100</v>
      </c>
      <c r="F9948" s="2350">
        <v>45</v>
      </c>
    </row>
    <row r="9949" spans="1:6" x14ac:dyDescent="0.25">
      <c r="A9949" s="2349" t="s">
        <v>18675</v>
      </c>
      <c r="B9949" s="2349" t="s">
        <v>10781</v>
      </c>
      <c r="C9949" s="2349" t="s">
        <v>10781</v>
      </c>
      <c r="D9949" s="2349" t="s">
        <v>10849</v>
      </c>
      <c r="E9949" s="2350">
        <v>40</v>
      </c>
      <c r="F9949" s="2350">
        <v>0</v>
      </c>
    </row>
    <row r="9950" spans="1:6" x14ac:dyDescent="0.25">
      <c r="A9950" s="2349" t="s">
        <v>18676</v>
      </c>
      <c r="B9950" s="2349" t="s">
        <v>10781</v>
      </c>
      <c r="C9950" s="2349" t="s">
        <v>10781</v>
      </c>
      <c r="D9950" s="2349" t="s">
        <v>10850</v>
      </c>
      <c r="E9950" s="2350">
        <v>40</v>
      </c>
      <c r="F9950" s="2350">
        <v>10</v>
      </c>
    </row>
    <row r="9951" spans="1:6" x14ac:dyDescent="0.25">
      <c r="A9951" s="2349" t="s">
        <v>18677</v>
      </c>
      <c r="B9951" s="2349" t="s">
        <v>10781</v>
      </c>
      <c r="C9951" s="2349" t="s">
        <v>10781</v>
      </c>
      <c r="D9951" s="2349" t="s">
        <v>10851</v>
      </c>
      <c r="E9951" s="2350">
        <v>25</v>
      </c>
      <c r="F9951" s="2350">
        <v>15</v>
      </c>
    </row>
    <row r="9952" spans="1:6" x14ac:dyDescent="0.25">
      <c r="A9952" s="2349" t="s">
        <v>18088</v>
      </c>
      <c r="B9952" s="2349" t="s">
        <v>10781</v>
      </c>
      <c r="C9952" s="2349" t="s">
        <v>10781</v>
      </c>
      <c r="D9952" s="2349" t="s">
        <v>4154</v>
      </c>
      <c r="E9952" s="2350">
        <v>40</v>
      </c>
      <c r="F9952" s="2350">
        <v>13</v>
      </c>
    </row>
    <row r="9953" spans="1:6" x14ac:dyDescent="0.25">
      <c r="A9953" s="2349" t="s">
        <v>10852</v>
      </c>
      <c r="B9953" s="2349" t="s">
        <v>10781</v>
      </c>
      <c r="C9953" s="2349" t="s">
        <v>10781</v>
      </c>
      <c r="D9953" s="2349" t="s">
        <v>10853</v>
      </c>
      <c r="E9953" s="2350">
        <v>160</v>
      </c>
      <c r="F9953" s="2350">
        <v>0</v>
      </c>
    </row>
    <row r="9954" spans="1:6" x14ac:dyDescent="0.25">
      <c r="A9954" s="2349" t="s">
        <v>6703</v>
      </c>
      <c r="B9954" s="2349" t="s">
        <v>10781</v>
      </c>
      <c r="C9954" s="2349" t="s">
        <v>10781</v>
      </c>
      <c r="D9954" s="2349" t="s">
        <v>10854</v>
      </c>
      <c r="E9954" s="2350">
        <v>100</v>
      </c>
      <c r="F9954" s="2350">
        <v>15</v>
      </c>
    </row>
    <row r="9955" spans="1:6" x14ac:dyDescent="0.25">
      <c r="A9955" s="2349" t="s">
        <v>10855</v>
      </c>
      <c r="B9955" s="2349" t="s">
        <v>10781</v>
      </c>
      <c r="C9955" s="2349" t="s">
        <v>10781</v>
      </c>
      <c r="D9955" s="2349" t="s">
        <v>10856</v>
      </c>
      <c r="E9955" s="2350">
        <v>160</v>
      </c>
      <c r="F9955" s="2350">
        <v>15</v>
      </c>
    </row>
    <row r="9956" spans="1:6" x14ac:dyDescent="0.25">
      <c r="A9956" s="2349" t="s">
        <v>10855</v>
      </c>
      <c r="B9956" s="2349" t="s">
        <v>10781</v>
      </c>
      <c r="C9956" s="2349" t="s">
        <v>10781</v>
      </c>
      <c r="D9956" s="2349" t="s">
        <v>10857</v>
      </c>
      <c r="E9956" s="2350">
        <v>100</v>
      </c>
      <c r="F9956" s="2350">
        <v>35</v>
      </c>
    </row>
    <row r="9957" spans="1:6" x14ac:dyDescent="0.25">
      <c r="A9957" s="2349" t="s">
        <v>10858</v>
      </c>
      <c r="B9957" s="2349" t="s">
        <v>10781</v>
      </c>
      <c r="C9957" s="2349" t="s">
        <v>10781</v>
      </c>
      <c r="D9957" s="2349" t="s">
        <v>10859</v>
      </c>
      <c r="E9957" s="2350">
        <v>100</v>
      </c>
      <c r="F9957" s="2350">
        <v>15</v>
      </c>
    </row>
    <row r="9958" spans="1:6" x14ac:dyDescent="0.25">
      <c r="A9958" s="2349" t="s">
        <v>18678</v>
      </c>
      <c r="B9958" s="2349" t="s">
        <v>10781</v>
      </c>
      <c r="C9958" s="2349" t="s">
        <v>10781</v>
      </c>
      <c r="D9958" s="2349" t="s">
        <v>10860</v>
      </c>
      <c r="E9958" s="2350">
        <v>100</v>
      </c>
      <c r="F9958" s="2350">
        <v>40</v>
      </c>
    </row>
    <row r="9959" spans="1:6" x14ac:dyDescent="0.25">
      <c r="A9959" s="2349" t="s">
        <v>18679</v>
      </c>
      <c r="B9959" s="2349" t="s">
        <v>10781</v>
      </c>
      <c r="C9959" s="2349" t="s">
        <v>10781</v>
      </c>
      <c r="D9959" s="2349" t="s">
        <v>10861</v>
      </c>
      <c r="E9959" s="2350">
        <v>250</v>
      </c>
      <c r="F9959" s="2350">
        <v>15</v>
      </c>
    </row>
    <row r="9960" spans="1:6" x14ac:dyDescent="0.25">
      <c r="A9960" s="2349" t="s">
        <v>18680</v>
      </c>
      <c r="B9960" s="2349" t="s">
        <v>10781</v>
      </c>
      <c r="C9960" s="2349" t="s">
        <v>10781</v>
      </c>
      <c r="D9960" s="2349" t="s">
        <v>10862</v>
      </c>
      <c r="E9960" s="2350">
        <v>63</v>
      </c>
      <c r="F9960" s="2350">
        <v>5</v>
      </c>
    </row>
    <row r="9961" spans="1:6" x14ac:dyDescent="0.25">
      <c r="A9961" s="2349" t="s">
        <v>18681</v>
      </c>
      <c r="B9961" s="2349" t="s">
        <v>10781</v>
      </c>
      <c r="C9961" s="2349" t="s">
        <v>10781</v>
      </c>
      <c r="D9961" s="2349" t="s">
        <v>10863</v>
      </c>
      <c r="E9961" s="2350">
        <v>63</v>
      </c>
      <c r="F9961" s="2350">
        <v>5</v>
      </c>
    </row>
    <row r="9962" spans="1:6" x14ac:dyDescent="0.25">
      <c r="A9962" s="2349" t="s">
        <v>18682</v>
      </c>
      <c r="B9962" s="2349" t="s">
        <v>10781</v>
      </c>
      <c r="C9962" s="2349" t="s">
        <v>10781</v>
      </c>
      <c r="D9962" s="2349" t="s">
        <v>10864</v>
      </c>
      <c r="E9962" s="2350">
        <v>160</v>
      </c>
      <c r="F9962" s="2350">
        <v>85</v>
      </c>
    </row>
    <row r="9963" spans="1:6" x14ac:dyDescent="0.25">
      <c r="A9963" s="2349" t="s">
        <v>18683</v>
      </c>
      <c r="B9963" s="2349" t="s">
        <v>10781</v>
      </c>
      <c r="C9963" s="2349" t="s">
        <v>10781</v>
      </c>
      <c r="D9963" s="2349" t="s">
        <v>10865</v>
      </c>
      <c r="E9963" s="2350">
        <v>60</v>
      </c>
      <c r="F9963" s="2350">
        <v>0</v>
      </c>
    </row>
    <row r="9964" spans="1:6" x14ac:dyDescent="0.25">
      <c r="A9964" s="2349" t="s">
        <v>18684</v>
      </c>
      <c r="B9964" s="2349" t="s">
        <v>10781</v>
      </c>
      <c r="C9964" s="2349" t="s">
        <v>10781</v>
      </c>
      <c r="D9964" s="2349" t="s">
        <v>10866</v>
      </c>
      <c r="E9964" s="2350">
        <v>20</v>
      </c>
      <c r="F9964" s="2350">
        <v>0</v>
      </c>
    </row>
    <row r="9965" spans="1:6" x14ac:dyDescent="0.25">
      <c r="A9965" s="2349" t="s">
        <v>18685</v>
      </c>
      <c r="B9965" s="2349" t="s">
        <v>10781</v>
      </c>
      <c r="C9965" s="2349" t="s">
        <v>10781</v>
      </c>
      <c r="D9965" s="2349" t="s">
        <v>10867</v>
      </c>
      <c r="E9965" s="2350">
        <v>160</v>
      </c>
      <c r="F9965" s="2350">
        <v>35</v>
      </c>
    </row>
    <row r="9966" spans="1:6" x14ac:dyDescent="0.25">
      <c r="A9966" s="2349" t="s">
        <v>18686</v>
      </c>
      <c r="B9966" s="2349" t="s">
        <v>10781</v>
      </c>
      <c r="C9966" s="2349" t="s">
        <v>10781</v>
      </c>
      <c r="D9966" s="2349" t="s">
        <v>10868</v>
      </c>
      <c r="E9966" s="2350">
        <v>30</v>
      </c>
      <c r="F9966" s="2350">
        <v>0</v>
      </c>
    </row>
    <row r="9967" spans="1:6" x14ac:dyDescent="0.25">
      <c r="A9967" s="2349" t="s">
        <v>18687</v>
      </c>
      <c r="B9967" s="2349" t="s">
        <v>10781</v>
      </c>
      <c r="C9967" s="2349" t="s">
        <v>10781</v>
      </c>
      <c r="D9967" s="2349" t="s">
        <v>10869</v>
      </c>
      <c r="E9967" s="2350">
        <v>160</v>
      </c>
      <c r="F9967" s="2350">
        <v>30</v>
      </c>
    </row>
    <row r="9968" spans="1:6" x14ac:dyDescent="0.25">
      <c r="A9968" s="2349" t="s">
        <v>10870</v>
      </c>
      <c r="B9968" s="2349" t="s">
        <v>10781</v>
      </c>
      <c r="C9968" s="2349" t="s">
        <v>10781</v>
      </c>
      <c r="D9968" s="2349" t="s">
        <v>10871</v>
      </c>
      <c r="E9968" s="2350">
        <v>250</v>
      </c>
      <c r="F9968" s="2350">
        <v>75</v>
      </c>
    </row>
    <row r="9969" spans="1:6" x14ac:dyDescent="0.25">
      <c r="A9969" s="2349" t="s">
        <v>18688</v>
      </c>
      <c r="B9969" s="2349" t="s">
        <v>10781</v>
      </c>
      <c r="C9969" s="2349" t="s">
        <v>10781</v>
      </c>
      <c r="D9969" s="2349" t="s">
        <v>10872</v>
      </c>
      <c r="E9969" s="2350">
        <v>250</v>
      </c>
      <c r="F9969" s="2350">
        <v>100</v>
      </c>
    </row>
    <row r="9970" spans="1:6" x14ac:dyDescent="0.25">
      <c r="A9970" s="2349" t="s">
        <v>18688</v>
      </c>
      <c r="B9970" s="2349" t="s">
        <v>10781</v>
      </c>
      <c r="C9970" s="2349" t="s">
        <v>10781</v>
      </c>
      <c r="D9970" s="2349" t="s">
        <v>10873</v>
      </c>
      <c r="E9970" s="2350">
        <v>160</v>
      </c>
      <c r="F9970" s="2350">
        <v>65</v>
      </c>
    </row>
    <row r="9971" spans="1:6" x14ac:dyDescent="0.25">
      <c r="A9971" s="2349" t="s">
        <v>10874</v>
      </c>
      <c r="B9971" s="2349" t="s">
        <v>10781</v>
      </c>
      <c r="C9971" s="2349" t="s">
        <v>10781</v>
      </c>
      <c r="D9971" s="2349" t="s">
        <v>10875</v>
      </c>
      <c r="E9971" s="2350">
        <v>160</v>
      </c>
      <c r="F9971" s="2350">
        <v>85</v>
      </c>
    </row>
    <row r="9972" spans="1:6" x14ac:dyDescent="0.25">
      <c r="A9972" s="2349" t="s">
        <v>18689</v>
      </c>
      <c r="B9972" s="2349" t="s">
        <v>10781</v>
      </c>
      <c r="C9972" s="2349" t="s">
        <v>10781</v>
      </c>
      <c r="D9972" s="2349" t="s">
        <v>10876</v>
      </c>
      <c r="E9972" s="2350">
        <v>40</v>
      </c>
      <c r="F9972" s="2350">
        <v>0</v>
      </c>
    </row>
    <row r="9973" spans="1:6" x14ac:dyDescent="0.25">
      <c r="A9973" s="2349" t="s">
        <v>18690</v>
      </c>
      <c r="B9973" s="2349" t="s">
        <v>10781</v>
      </c>
      <c r="C9973" s="2349" t="s">
        <v>10781</v>
      </c>
      <c r="D9973" s="2349" t="s">
        <v>10877</v>
      </c>
      <c r="E9973" s="2350">
        <v>63</v>
      </c>
      <c r="F9973" s="2350">
        <v>5</v>
      </c>
    </row>
    <row r="9974" spans="1:6" x14ac:dyDescent="0.25">
      <c r="A9974" s="2349" t="s">
        <v>18691</v>
      </c>
      <c r="B9974" s="2349" t="s">
        <v>10781</v>
      </c>
      <c r="C9974" s="2349" t="s">
        <v>10781</v>
      </c>
      <c r="D9974" s="2349" t="s">
        <v>3664</v>
      </c>
      <c r="E9974" s="2350">
        <v>40</v>
      </c>
      <c r="F9974" s="2350">
        <v>5</v>
      </c>
    </row>
    <row r="9975" spans="1:6" x14ac:dyDescent="0.25">
      <c r="A9975" s="2349" t="s">
        <v>18692</v>
      </c>
      <c r="B9975" s="2349" t="s">
        <v>10781</v>
      </c>
      <c r="C9975" s="2349" t="s">
        <v>10781</v>
      </c>
      <c r="D9975" s="2349" t="s">
        <v>10878</v>
      </c>
      <c r="E9975" s="2350">
        <v>100</v>
      </c>
      <c r="F9975" s="2350">
        <v>15</v>
      </c>
    </row>
    <row r="9976" spans="1:6" x14ac:dyDescent="0.25">
      <c r="A9976" s="2349" t="s">
        <v>18693</v>
      </c>
      <c r="B9976" s="2349" t="s">
        <v>10781</v>
      </c>
      <c r="C9976" s="2349" t="s">
        <v>10781</v>
      </c>
      <c r="D9976" s="2349" t="s">
        <v>10879</v>
      </c>
      <c r="E9976" s="2350">
        <v>63</v>
      </c>
      <c r="F9976" s="2350">
        <v>10</v>
      </c>
    </row>
    <row r="9977" spans="1:6" x14ac:dyDescent="0.25">
      <c r="A9977" s="2349" t="s">
        <v>18694</v>
      </c>
      <c r="B9977" s="2349" t="s">
        <v>10781</v>
      </c>
      <c r="C9977" s="2349" t="s">
        <v>10781</v>
      </c>
      <c r="D9977" s="2349" t="s">
        <v>10880</v>
      </c>
      <c r="E9977" s="2350">
        <v>63</v>
      </c>
      <c r="F9977" s="2350">
        <v>10</v>
      </c>
    </row>
    <row r="9978" spans="1:6" x14ac:dyDescent="0.25">
      <c r="A9978" s="2349" t="s">
        <v>18695</v>
      </c>
      <c r="B9978" s="2349" t="s">
        <v>10781</v>
      </c>
      <c r="C9978" s="2349" t="s">
        <v>10781</v>
      </c>
      <c r="D9978" s="2349" t="s">
        <v>10881</v>
      </c>
      <c r="E9978" s="2350">
        <v>100</v>
      </c>
      <c r="F9978" s="2350">
        <v>5</v>
      </c>
    </row>
    <row r="9979" spans="1:6" x14ac:dyDescent="0.25">
      <c r="A9979" s="2349" t="s">
        <v>18696</v>
      </c>
      <c r="B9979" s="2349" t="s">
        <v>10781</v>
      </c>
      <c r="C9979" s="2349" t="s">
        <v>10781</v>
      </c>
      <c r="D9979" s="2349" t="s">
        <v>10882</v>
      </c>
      <c r="E9979" s="2350">
        <v>100</v>
      </c>
      <c r="F9979" s="2350">
        <v>15</v>
      </c>
    </row>
    <row r="9980" spans="1:6" x14ac:dyDescent="0.25">
      <c r="A9980" s="2349" t="s">
        <v>18660</v>
      </c>
      <c r="B9980" s="2349" t="s">
        <v>10781</v>
      </c>
      <c r="C9980" s="2349" t="s">
        <v>10781</v>
      </c>
      <c r="D9980" s="2349" t="s">
        <v>10791</v>
      </c>
      <c r="E9980" s="2350">
        <v>100</v>
      </c>
      <c r="F9980" s="2350">
        <v>30</v>
      </c>
    </row>
    <row r="9981" spans="1:6" x14ac:dyDescent="0.25">
      <c r="A9981" s="2349" t="s">
        <v>18697</v>
      </c>
      <c r="B9981" s="2349" t="s">
        <v>10781</v>
      </c>
      <c r="C9981" s="2349" t="s">
        <v>10781</v>
      </c>
      <c r="D9981" s="2349" t="s">
        <v>10883</v>
      </c>
      <c r="E9981" s="2350">
        <v>10</v>
      </c>
      <c r="F9981" s="2350">
        <v>0</v>
      </c>
    </row>
    <row r="9982" spans="1:6" x14ac:dyDescent="0.25">
      <c r="A9982" s="2349" t="s">
        <v>18698</v>
      </c>
      <c r="B9982" s="2349" t="s">
        <v>10781</v>
      </c>
      <c r="C9982" s="2349" t="s">
        <v>10781</v>
      </c>
      <c r="D9982" s="2349" t="s">
        <v>10884</v>
      </c>
      <c r="E9982" s="2350">
        <v>160</v>
      </c>
      <c r="F9982" s="2350">
        <v>15</v>
      </c>
    </row>
    <row r="9983" spans="1:6" x14ac:dyDescent="0.25">
      <c r="A9983" s="2349" t="s">
        <v>18699</v>
      </c>
      <c r="B9983" s="2349" t="s">
        <v>10781</v>
      </c>
      <c r="C9983" s="2349" t="s">
        <v>10781</v>
      </c>
      <c r="D9983" s="2349" t="s">
        <v>10885</v>
      </c>
      <c r="E9983" s="2350">
        <v>100</v>
      </c>
      <c r="F9983" s="2350">
        <v>10</v>
      </c>
    </row>
    <row r="9984" spans="1:6" x14ac:dyDescent="0.25">
      <c r="A9984" s="2349" t="s">
        <v>18699</v>
      </c>
      <c r="B9984" s="2349" t="s">
        <v>10781</v>
      </c>
      <c r="C9984" s="2349" t="s">
        <v>10781</v>
      </c>
      <c r="D9984" s="2349" t="s">
        <v>10886</v>
      </c>
      <c r="E9984" s="2350">
        <v>160</v>
      </c>
      <c r="F9984" s="2350">
        <v>45</v>
      </c>
    </row>
    <row r="9985" spans="1:6" x14ac:dyDescent="0.25">
      <c r="A9985" s="2349" t="s">
        <v>18700</v>
      </c>
      <c r="B9985" s="2349" t="s">
        <v>10781</v>
      </c>
      <c r="C9985" s="2349" t="s">
        <v>10781</v>
      </c>
      <c r="D9985" s="2349" t="s">
        <v>10887</v>
      </c>
      <c r="E9985" s="2350">
        <v>100</v>
      </c>
      <c r="F9985" s="2350">
        <v>10</v>
      </c>
    </row>
    <row r="9986" spans="1:6" x14ac:dyDescent="0.25">
      <c r="A9986" s="2349" t="s">
        <v>18701</v>
      </c>
      <c r="B9986" s="2349" t="s">
        <v>10781</v>
      </c>
      <c r="C9986" s="2349" t="s">
        <v>10781</v>
      </c>
      <c r="D9986" s="2349" t="s">
        <v>10888</v>
      </c>
      <c r="E9986" s="2350">
        <v>63</v>
      </c>
      <c r="F9986" s="2350">
        <v>25</v>
      </c>
    </row>
    <row r="9987" spans="1:6" x14ac:dyDescent="0.25">
      <c r="A9987" s="2349" t="s">
        <v>18701</v>
      </c>
      <c r="B9987" s="2349" t="s">
        <v>10781</v>
      </c>
      <c r="C9987" s="2349" t="s">
        <v>10781</v>
      </c>
      <c r="D9987" s="2349" t="s">
        <v>10889</v>
      </c>
      <c r="E9987" s="2350">
        <v>250</v>
      </c>
      <c r="F9987" s="2350">
        <v>75</v>
      </c>
    </row>
    <row r="9988" spans="1:6" x14ac:dyDescent="0.25">
      <c r="A9988" s="2349" t="s">
        <v>18702</v>
      </c>
      <c r="B9988" s="2349" t="s">
        <v>10781</v>
      </c>
      <c r="C9988" s="2349" t="s">
        <v>10781</v>
      </c>
      <c r="D9988" s="2349" t="s">
        <v>10890</v>
      </c>
      <c r="E9988" s="2350">
        <v>4</v>
      </c>
      <c r="F9988" s="2350">
        <v>0</v>
      </c>
    </row>
    <row r="9989" spans="1:6" x14ac:dyDescent="0.25">
      <c r="A9989" s="2349" t="s">
        <v>18703</v>
      </c>
      <c r="B9989" s="2349" t="s">
        <v>10781</v>
      </c>
      <c r="C9989" s="2349" t="s">
        <v>10781</v>
      </c>
      <c r="D9989" s="2349" t="s">
        <v>10891</v>
      </c>
      <c r="E9989" s="2350">
        <v>100</v>
      </c>
      <c r="F9989" s="2350">
        <v>15</v>
      </c>
    </row>
    <row r="9990" spans="1:6" x14ac:dyDescent="0.25">
      <c r="A9990" s="2349" t="s">
        <v>18704</v>
      </c>
      <c r="B9990" s="2349" t="s">
        <v>10781</v>
      </c>
      <c r="C9990" s="2349" t="s">
        <v>10781</v>
      </c>
      <c r="D9990" s="2349" t="s">
        <v>10892</v>
      </c>
      <c r="E9990" s="2350">
        <v>40</v>
      </c>
      <c r="F9990" s="2350">
        <v>0</v>
      </c>
    </row>
    <row r="9991" spans="1:6" x14ac:dyDescent="0.25">
      <c r="A9991" s="2349" t="s">
        <v>18705</v>
      </c>
      <c r="B9991" s="2349" t="s">
        <v>10781</v>
      </c>
      <c r="C9991" s="2349" t="s">
        <v>10781</v>
      </c>
      <c r="D9991" s="2349" t="s">
        <v>10893</v>
      </c>
      <c r="E9991" s="2350">
        <v>63</v>
      </c>
      <c r="F9991" s="2350">
        <v>50</v>
      </c>
    </row>
    <row r="9992" spans="1:6" x14ac:dyDescent="0.25">
      <c r="A9992" s="2349" t="s">
        <v>18706</v>
      </c>
      <c r="B9992" s="2349" t="s">
        <v>10781</v>
      </c>
      <c r="C9992" s="2349" t="s">
        <v>10781</v>
      </c>
      <c r="D9992" s="2349" t="s">
        <v>10894</v>
      </c>
      <c r="E9992" s="2350">
        <v>40</v>
      </c>
      <c r="F9992" s="2350">
        <v>15</v>
      </c>
    </row>
    <row r="9993" spans="1:6" x14ac:dyDescent="0.25">
      <c r="A9993" s="2349" t="s">
        <v>18707</v>
      </c>
      <c r="B9993" s="2349" t="s">
        <v>10781</v>
      </c>
      <c r="C9993" s="2349" t="s">
        <v>10781</v>
      </c>
      <c r="D9993" s="2349" t="s">
        <v>10895</v>
      </c>
      <c r="E9993" s="2350">
        <v>63</v>
      </c>
      <c r="F9993" s="2350">
        <v>5</v>
      </c>
    </row>
    <row r="9994" spans="1:6" x14ac:dyDescent="0.25">
      <c r="A9994" s="2349" t="s">
        <v>18708</v>
      </c>
      <c r="B9994" s="2349" t="s">
        <v>10781</v>
      </c>
      <c r="C9994" s="2349" t="s">
        <v>10781</v>
      </c>
      <c r="D9994" s="2349" t="s">
        <v>3815</v>
      </c>
      <c r="E9994" s="2350">
        <v>100</v>
      </c>
      <c r="F9994" s="2350">
        <v>45</v>
      </c>
    </row>
    <row r="9995" spans="1:6" x14ac:dyDescent="0.25">
      <c r="A9995" s="2349" t="s">
        <v>10896</v>
      </c>
      <c r="B9995" s="2349" t="s">
        <v>10781</v>
      </c>
      <c r="C9995" s="2349" t="s">
        <v>10781</v>
      </c>
      <c r="D9995" s="2349" t="s">
        <v>10897</v>
      </c>
      <c r="E9995" s="2350">
        <v>100</v>
      </c>
      <c r="F9995" s="2350">
        <v>12</v>
      </c>
    </row>
    <row r="9996" spans="1:6" x14ac:dyDescent="0.25">
      <c r="A9996" s="2349" t="s">
        <v>10896</v>
      </c>
      <c r="B9996" s="2349" t="s">
        <v>10781</v>
      </c>
      <c r="C9996" s="2349" t="s">
        <v>10781</v>
      </c>
      <c r="D9996" s="2349" t="s">
        <v>10898</v>
      </c>
      <c r="E9996" s="2350">
        <v>100</v>
      </c>
      <c r="F9996" s="2350">
        <v>70</v>
      </c>
    </row>
    <row r="9997" spans="1:6" x14ac:dyDescent="0.25">
      <c r="A9997" s="2349" t="s">
        <v>10896</v>
      </c>
      <c r="B9997" s="2349" t="s">
        <v>10781</v>
      </c>
      <c r="C9997" s="2349" t="s">
        <v>10781</v>
      </c>
      <c r="D9997" s="2349" t="s">
        <v>10899</v>
      </c>
      <c r="E9997" s="2350">
        <v>250</v>
      </c>
      <c r="F9997" s="2350">
        <v>100</v>
      </c>
    </row>
    <row r="9998" spans="1:6" x14ac:dyDescent="0.25">
      <c r="A9998" s="2349" t="s">
        <v>18709</v>
      </c>
      <c r="B9998" s="2349" t="s">
        <v>10781</v>
      </c>
      <c r="C9998" s="2349" t="s">
        <v>10781</v>
      </c>
      <c r="D9998" s="2349" t="s">
        <v>10900</v>
      </c>
      <c r="E9998" s="2350">
        <v>250</v>
      </c>
      <c r="F9998" s="2350">
        <v>150</v>
      </c>
    </row>
    <row r="9999" spans="1:6" x14ac:dyDescent="0.25">
      <c r="A9999" s="2349" t="s">
        <v>18710</v>
      </c>
      <c r="B9999" s="2349" t="s">
        <v>10781</v>
      </c>
      <c r="C9999" s="2349" t="s">
        <v>10781</v>
      </c>
      <c r="D9999" s="2349" t="s">
        <v>10901</v>
      </c>
      <c r="E9999" s="2350">
        <v>40</v>
      </c>
      <c r="F9999" s="2350">
        <v>10</v>
      </c>
    </row>
    <row r="10000" spans="1:6" x14ac:dyDescent="0.25">
      <c r="A10000" s="2349" t="s">
        <v>18711</v>
      </c>
      <c r="B10000" s="2349" t="s">
        <v>10781</v>
      </c>
      <c r="C10000" s="2349" t="s">
        <v>10781</v>
      </c>
      <c r="D10000" s="2349" t="s">
        <v>10902</v>
      </c>
      <c r="E10000" s="2350">
        <v>10</v>
      </c>
      <c r="F10000" s="2350">
        <v>7</v>
      </c>
    </row>
    <row r="10001" spans="1:6" x14ac:dyDescent="0.25">
      <c r="A10001" s="2349" t="s">
        <v>10903</v>
      </c>
      <c r="B10001" s="2349" t="s">
        <v>10781</v>
      </c>
      <c r="C10001" s="2349" t="s">
        <v>10781</v>
      </c>
      <c r="D10001" s="2349" t="s">
        <v>10904</v>
      </c>
      <c r="E10001" s="2350">
        <v>250</v>
      </c>
      <c r="F10001" s="2350">
        <v>65</v>
      </c>
    </row>
    <row r="10002" spans="1:6" x14ac:dyDescent="0.25">
      <c r="A10002" s="2349" t="s">
        <v>18341</v>
      </c>
      <c r="B10002" s="2349" t="s">
        <v>10781</v>
      </c>
      <c r="C10002" s="2349" t="s">
        <v>10781</v>
      </c>
      <c r="D10002" s="2349" t="s">
        <v>10905</v>
      </c>
      <c r="E10002" s="2350">
        <v>100</v>
      </c>
      <c r="F10002" s="2350">
        <v>70</v>
      </c>
    </row>
    <row r="10003" spans="1:6" x14ac:dyDescent="0.25">
      <c r="A10003" s="2349" t="s">
        <v>18712</v>
      </c>
      <c r="B10003" s="2349" t="s">
        <v>10781</v>
      </c>
      <c r="C10003" s="2349" t="s">
        <v>10781</v>
      </c>
      <c r="D10003" s="2349" t="s">
        <v>10906</v>
      </c>
      <c r="E10003" s="2350">
        <v>30</v>
      </c>
      <c r="F10003" s="2350">
        <v>0</v>
      </c>
    </row>
    <row r="10004" spans="1:6" x14ac:dyDescent="0.25">
      <c r="A10004" s="2349" t="s">
        <v>18712</v>
      </c>
      <c r="B10004" s="2349" t="s">
        <v>10781</v>
      </c>
      <c r="C10004" s="2349" t="s">
        <v>10781</v>
      </c>
      <c r="D10004" s="2349" t="s">
        <v>10907</v>
      </c>
      <c r="E10004" s="2350">
        <v>160</v>
      </c>
      <c r="F10004" s="2350">
        <v>25</v>
      </c>
    </row>
    <row r="10005" spans="1:6" x14ac:dyDescent="0.25">
      <c r="A10005" s="2349" t="s">
        <v>10908</v>
      </c>
      <c r="B10005" s="2349" t="s">
        <v>10781</v>
      </c>
      <c r="C10005" s="2349" t="s">
        <v>10781</v>
      </c>
      <c r="D10005" s="2349" t="s">
        <v>10909</v>
      </c>
      <c r="E10005" s="2350">
        <v>30</v>
      </c>
      <c r="F10005" s="2350">
        <v>0</v>
      </c>
    </row>
    <row r="10006" spans="1:6" x14ac:dyDescent="0.25">
      <c r="A10006" s="2349" t="s">
        <v>10908</v>
      </c>
      <c r="B10006" s="2349" t="s">
        <v>10781</v>
      </c>
      <c r="C10006" s="2349" t="s">
        <v>10781</v>
      </c>
      <c r="D10006" s="2349" t="s">
        <v>10910</v>
      </c>
      <c r="E10006" s="2350">
        <v>63</v>
      </c>
      <c r="F10006" s="2350">
        <v>18</v>
      </c>
    </row>
    <row r="10007" spans="1:6" x14ac:dyDescent="0.25">
      <c r="A10007" s="2349" t="s">
        <v>18713</v>
      </c>
      <c r="B10007" s="2349" t="s">
        <v>10781</v>
      </c>
      <c r="C10007" s="2349" t="s">
        <v>10781</v>
      </c>
      <c r="D10007" s="2349" t="s">
        <v>10911</v>
      </c>
      <c r="E10007" s="2350">
        <v>100</v>
      </c>
      <c r="F10007" s="2350">
        <v>30</v>
      </c>
    </row>
    <row r="10008" spans="1:6" x14ac:dyDescent="0.25">
      <c r="A10008" s="2349" t="s">
        <v>18713</v>
      </c>
      <c r="B10008" s="2349" t="s">
        <v>10781</v>
      </c>
      <c r="C10008" s="2349" t="s">
        <v>10781</v>
      </c>
      <c r="D10008" s="2349" t="s">
        <v>10912</v>
      </c>
      <c r="E10008" s="2350">
        <v>63</v>
      </c>
      <c r="F10008" s="2350">
        <v>0</v>
      </c>
    </row>
    <row r="10009" spans="1:6" x14ac:dyDescent="0.25">
      <c r="A10009" s="2349" t="s">
        <v>10913</v>
      </c>
      <c r="B10009" s="2349" t="s">
        <v>10781</v>
      </c>
      <c r="C10009" s="2349" t="s">
        <v>10781</v>
      </c>
      <c r="D10009" s="2349" t="s">
        <v>10914</v>
      </c>
      <c r="E10009" s="2350">
        <v>100</v>
      </c>
      <c r="F10009" s="2350">
        <v>30</v>
      </c>
    </row>
    <row r="10010" spans="1:6" x14ac:dyDescent="0.25">
      <c r="A10010" s="2349" t="s">
        <v>10915</v>
      </c>
      <c r="B10010" s="2349" t="s">
        <v>10781</v>
      </c>
      <c r="C10010" s="2349" t="s">
        <v>10781</v>
      </c>
      <c r="D10010" s="2349" t="s">
        <v>10916</v>
      </c>
      <c r="E10010" s="2350">
        <v>60</v>
      </c>
      <c r="F10010" s="2350">
        <v>5</v>
      </c>
    </row>
    <row r="10011" spans="1:6" x14ac:dyDescent="0.25">
      <c r="A10011" s="2349" t="s">
        <v>10917</v>
      </c>
      <c r="B10011" s="2349" t="s">
        <v>10781</v>
      </c>
      <c r="C10011" s="2349" t="s">
        <v>10781</v>
      </c>
      <c r="D10011" s="2349" t="s">
        <v>10918</v>
      </c>
      <c r="E10011" s="2350">
        <v>100</v>
      </c>
      <c r="F10011" s="2350">
        <v>10</v>
      </c>
    </row>
    <row r="10012" spans="1:6" x14ac:dyDescent="0.25">
      <c r="A10012" s="2349" t="s">
        <v>10919</v>
      </c>
      <c r="B10012" s="2349" t="s">
        <v>10781</v>
      </c>
      <c r="C10012" s="2349" t="s">
        <v>10781</v>
      </c>
      <c r="D10012" s="2349" t="s">
        <v>10920</v>
      </c>
      <c r="E10012" s="2350">
        <v>30</v>
      </c>
      <c r="F10012" s="2350">
        <v>15</v>
      </c>
    </row>
    <row r="10013" spans="1:6" x14ac:dyDescent="0.25">
      <c r="A10013" s="2349" t="s">
        <v>10921</v>
      </c>
      <c r="B10013" s="2349" t="s">
        <v>10781</v>
      </c>
      <c r="C10013" s="2349" t="s">
        <v>10781</v>
      </c>
      <c r="D10013" s="2349" t="s">
        <v>10922</v>
      </c>
      <c r="E10013" s="2350">
        <v>100</v>
      </c>
      <c r="F10013" s="2350">
        <v>55</v>
      </c>
    </row>
    <row r="10014" spans="1:6" x14ac:dyDescent="0.25">
      <c r="A10014" s="2349" t="s">
        <v>10923</v>
      </c>
      <c r="B10014" s="2349" t="s">
        <v>10781</v>
      </c>
      <c r="C10014" s="2349" t="s">
        <v>10781</v>
      </c>
      <c r="D10014" s="2349" t="s">
        <v>10924</v>
      </c>
      <c r="E10014" s="2350">
        <v>30</v>
      </c>
      <c r="F10014" s="2350">
        <v>20</v>
      </c>
    </row>
    <row r="10015" spans="1:6" x14ac:dyDescent="0.25">
      <c r="A10015" s="2349" t="s">
        <v>9077</v>
      </c>
      <c r="B10015" s="2349" t="s">
        <v>10781</v>
      </c>
      <c r="C10015" s="2349" t="s">
        <v>10781</v>
      </c>
      <c r="D10015" s="2349" t="s">
        <v>10925</v>
      </c>
      <c r="E10015" s="2350">
        <v>100</v>
      </c>
      <c r="F10015" s="2350">
        <v>5</v>
      </c>
    </row>
    <row r="10016" spans="1:6" x14ac:dyDescent="0.25">
      <c r="A10016" s="2349" t="s">
        <v>9077</v>
      </c>
      <c r="B10016" s="2349" t="s">
        <v>10781</v>
      </c>
      <c r="C10016" s="2349" t="s">
        <v>10781</v>
      </c>
      <c r="D10016" s="2349" t="s">
        <v>10926</v>
      </c>
      <c r="E10016" s="2350">
        <v>250</v>
      </c>
      <c r="F10016" s="2350">
        <v>240</v>
      </c>
    </row>
    <row r="10017" spans="1:6" x14ac:dyDescent="0.25">
      <c r="A10017" s="2349" t="s">
        <v>9077</v>
      </c>
      <c r="B10017" s="2349" t="s">
        <v>10781</v>
      </c>
      <c r="C10017" s="2349" t="s">
        <v>10781</v>
      </c>
      <c r="D10017" s="2349" t="s">
        <v>10927</v>
      </c>
      <c r="E10017" s="2350">
        <v>100</v>
      </c>
      <c r="F10017" s="2350">
        <v>100</v>
      </c>
    </row>
    <row r="10018" spans="1:6" x14ac:dyDescent="0.25">
      <c r="A10018" s="2349" t="s">
        <v>9196</v>
      </c>
      <c r="B10018" s="2349" t="s">
        <v>10781</v>
      </c>
      <c r="C10018" s="2349" t="s">
        <v>10781</v>
      </c>
      <c r="D10018" s="2349" t="s">
        <v>10928</v>
      </c>
      <c r="E10018" s="2350">
        <v>100</v>
      </c>
      <c r="F10018" s="2350">
        <v>65</v>
      </c>
    </row>
    <row r="10019" spans="1:6" x14ac:dyDescent="0.25">
      <c r="A10019" s="2349" t="s">
        <v>10929</v>
      </c>
      <c r="B10019" s="2349" t="s">
        <v>10781</v>
      </c>
      <c r="C10019" s="2349" t="s">
        <v>10781</v>
      </c>
      <c r="D10019" s="2349" t="s">
        <v>10930</v>
      </c>
      <c r="E10019" s="2350">
        <v>30</v>
      </c>
      <c r="F10019" s="2350">
        <v>0</v>
      </c>
    </row>
    <row r="10020" spans="1:6" x14ac:dyDescent="0.25">
      <c r="A10020" s="2349" t="s">
        <v>18714</v>
      </c>
      <c r="B10020" s="2349" t="s">
        <v>10781</v>
      </c>
      <c r="C10020" s="2349" t="s">
        <v>10781</v>
      </c>
      <c r="D10020" s="2349" t="s">
        <v>10931</v>
      </c>
      <c r="E10020" s="2350">
        <v>30</v>
      </c>
      <c r="F10020" s="2350">
        <v>12</v>
      </c>
    </row>
    <row r="10021" spans="1:6" x14ac:dyDescent="0.25">
      <c r="A10021" s="2349" t="s">
        <v>10932</v>
      </c>
      <c r="B10021" s="2349" t="s">
        <v>10781</v>
      </c>
      <c r="C10021" s="2349" t="s">
        <v>10781</v>
      </c>
      <c r="D10021" s="2349" t="s">
        <v>10933</v>
      </c>
      <c r="E10021" s="2350">
        <v>40</v>
      </c>
      <c r="F10021" s="2350">
        <v>30</v>
      </c>
    </row>
    <row r="10022" spans="1:6" x14ac:dyDescent="0.25">
      <c r="A10022" s="2349" t="s">
        <v>10934</v>
      </c>
      <c r="B10022" s="2349" t="s">
        <v>10781</v>
      </c>
      <c r="C10022" s="2349" t="s">
        <v>10781</v>
      </c>
      <c r="D10022" s="2349" t="s">
        <v>10935</v>
      </c>
      <c r="E10022" s="2350">
        <v>10</v>
      </c>
      <c r="F10022" s="2350">
        <v>3</v>
      </c>
    </row>
    <row r="10023" spans="1:6" x14ac:dyDescent="0.25">
      <c r="A10023" s="2349" t="s">
        <v>10936</v>
      </c>
      <c r="B10023" s="2349" t="s">
        <v>10781</v>
      </c>
      <c r="C10023" s="2349" t="s">
        <v>10781</v>
      </c>
      <c r="D10023" s="2349" t="s">
        <v>10937</v>
      </c>
      <c r="E10023" s="2350">
        <v>100</v>
      </c>
      <c r="F10023" s="2350">
        <v>0</v>
      </c>
    </row>
    <row r="10024" spans="1:6" x14ac:dyDescent="0.25">
      <c r="A10024" s="2349" t="s">
        <v>10938</v>
      </c>
      <c r="B10024" s="2349" t="s">
        <v>10781</v>
      </c>
      <c r="C10024" s="2349" t="s">
        <v>10781</v>
      </c>
      <c r="D10024" s="2349" t="s">
        <v>10939</v>
      </c>
      <c r="E10024" s="2350">
        <v>25</v>
      </c>
      <c r="F10024" s="2350">
        <v>3</v>
      </c>
    </row>
    <row r="10025" spans="1:6" x14ac:dyDescent="0.25">
      <c r="A10025" s="2349" t="s">
        <v>10940</v>
      </c>
      <c r="B10025" s="2349" t="s">
        <v>10781</v>
      </c>
      <c r="C10025" s="2349" t="s">
        <v>10781</v>
      </c>
      <c r="D10025" s="2349" t="s">
        <v>10941</v>
      </c>
      <c r="E10025" s="2350">
        <v>30</v>
      </c>
      <c r="F10025" s="2350">
        <v>10</v>
      </c>
    </row>
    <row r="10026" spans="1:6" x14ac:dyDescent="0.25">
      <c r="A10026" s="2349" t="s">
        <v>10942</v>
      </c>
      <c r="B10026" s="2349" t="s">
        <v>10781</v>
      </c>
      <c r="C10026" s="2349" t="s">
        <v>10781</v>
      </c>
      <c r="D10026" s="2349" t="s">
        <v>10943</v>
      </c>
      <c r="E10026" s="2350">
        <v>160</v>
      </c>
      <c r="F10026" s="2350">
        <v>18</v>
      </c>
    </row>
    <row r="10027" spans="1:6" x14ac:dyDescent="0.25">
      <c r="A10027" s="2349" t="s">
        <v>10942</v>
      </c>
      <c r="B10027" s="2349" t="s">
        <v>10781</v>
      </c>
      <c r="C10027" s="2349" t="s">
        <v>10781</v>
      </c>
      <c r="D10027" s="2349" t="s">
        <v>10944</v>
      </c>
      <c r="E10027" s="2350">
        <v>100</v>
      </c>
      <c r="F10027" s="2350">
        <v>20</v>
      </c>
    </row>
    <row r="10028" spans="1:6" x14ac:dyDescent="0.25">
      <c r="A10028" s="2349" t="s">
        <v>10945</v>
      </c>
      <c r="B10028" s="2349" t="s">
        <v>10781</v>
      </c>
      <c r="C10028" s="2349" t="s">
        <v>10781</v>
      </c>
      <c r="D10028" s="2349" t="s">
        <v>10946</v>
      </c>
      <c r="E10028" s="2350">
        <v>100</v>
      </c>
      <c r="F10028" s="2350">
        <v>45</v>
      </c>
    </row>
    <row r="10029" spans="1:6" x14ac:dyDescent="0.25">
      <c r="A10029" s="2349" t="s">
        <v>10947</v>
      </c>
      <c r="B10029" s="2349" t="s">
        <v>10781</v>
      </c>
      <c r="C10029" s="2349" t="s">
        <v>10781</v>
      </c>
      <c r="D10029" s="2349" t="s">
        <v>10948</v>
      </c>
      <c r="E10029" s="2350">
        <v>60</v>
      </c>
      <c r="F10029" s="2350">
        <v>35</v>
      </c>
    </row>
    <row r="10030" spans="1:6" x14ac:dyDescent="0.25">
      <c r="A10030" s="2349" t="s">
        <v>4324</v>
      </c>
      <c r="B10030" s="2349" t="s">
        <v>10781</v>
      </c>
      <c r="C10030" s="2349" t="s">
        <v>10781</v>
      </c>
      <c r="D10030" s="2349" t="s">
        <v>10949</v>
      </c>
      <c r="E10030" s="2350">
        <v>63</v>
      </c>
      <c r="F10030" s="2350">
        <v>40</v>
      </c>
    </row>
    <row r="10031" spans="1:6" x14ac:dyDescent="0.25">
      <c r="A10031" s="2349" t="s">
        <v>18715</v>
      </c>
      <c r="B10031" s="2349" t="s">
        <v>10781</v>
      </c>
      <c r="C10031" s="2349" t="s">
        <v>10781</v>
      </c>
      <c r="D10031" s="2349" t="s">
        <v>10950</v>
      </c>
      <c r="E10031" s="2350">
        <v>63</v>
      </c>
      <c r="F10031" s="2350">
        <v>0</v>
      </c>
    </row>
    <row r="10032" spans="1:6" x14ac:dyDescent="0.25">
      <c r="A10032" s="2349" t="s">
        <v>10951</v>
      </c>
      <c r="B10032" s="2349" t="s">
        <v>10781</v>
      </c>
      <c r="C10032" s="2349" t="s">
        <v>10781</v>
      </c>
      <c r="D10032" s="2349" t="s">
        <v>10952</v>
      </c>
      <c r="E10032" s="2350">
        <v>100</v>
      </c>
      <c r="F10032" s="2350">
        <v>12</v>
      </c>
    </row>
    <row r="10033" spans="1:6" x14ac:dyDescent="0.25">
      <c r="A10033" s="2349" t="s">
        <v>10951</v>
      </c>
      <c r="B10033" s="2349" t="s">
        <v>10781</v>
      </c>
      <c r="C10033" s="2349" t="s">
        <v>10781</v>
      </c>
      <c r="D10033" s="2349" t="s">
        <v>10953</v>
      </c>
      <c r="E10033" s="2350">
        <v>250</v>
      </c>
      <c r="F10033" s="2350">
        <v>15</v>
      </c>
    </row>
    <row r="10034" spans="1:6" x14ac:dyDescent="0.25">
      <c r="A10034" s="2349" t="s">
        <v>10951</v>
      </c>
      <c r="B10034" s="2349" t="s">
        <v>10781</v>
      </c>
      <c r="C10034" s="2349" t="s">
        <v>10781</v>
      </c>
      <c r="D10034" s="2349" t="s">
        <v>10954</v>
      </c>
      <c r="E10034" s="2350">
        <v>250</v>
      </c>
      <c r="F10034" s="2350">
        <v>235</v>
      </c>
    </row>
    <row r="10035" spans="1:6" x14ac:dyDescent="0.25">
      <c r="A10035" s="2349" t="s">
        <v>10951</v>
      </c>
      <c r="B10035" s="2349" t="s">
        <v>10781</v>
      </c>
      <c r="C10035" s="2349" t="s">
        <v>10781</v>
      </c>
      <c r="D10035" s="2349" t="s">
        <v>10955</v>
      </c>
      <c r="E10035" s="2350">
        <v>250</v>
      </c>
      <c r="F10035" s="2350">
        <v>100</v>
      </c>
    </row>
    <row r="10036" spans="1:6" x14ac:dyDescent="0.25">
      <c r="A10036" s="2349" t="s">
        <v>10951</v>
      </c>
      <c r="B10036" s="2349" t="s">
        <v>10781</v>
      </c>
      <c r="C10036" s="2349" t="s">
        <v>10781</v>
      </c>
      <c r="D10036" s="2349" t="s">
        <v>10956</v>
      </c>
      <c r="E10036" s="2350">
        <v>63</v>
      </c>
      <c r="F10036" s="2350">
        <v>12</v>
      </c>
    </row>
    <row r="10037" spans="1:6" x14ac:dyDescent="0.25">
      <c r="A10037" s="2349" t="s">
        <v>10957</v>
      </c>
      <c r="B10037" s="2349" t="s">
        <v>10781</v>
      </c>
      <c r="C10037" s="2349" t="s">
        <v>10781</v>
      </c>
      <c r="D10037" s="2349" t="s">
        <v>10958</v>
      </c>
      <c r="E10037" s="2350">
        <v>60</v>
      </c>
      <c r="F10037" s="2350">
        <v>0</v>
      </c>
    </row>
    <row r="10038" spans="1:6" x14ac:dyDescent="0.25">
      <c r="A10038" s="2349" t="s">
        <v>18716</v>
      </c>
      <c r="B10038" s="2349" t="s">
        <v>10781</v>
      </c>
      <c r="C10038" s="2349" t="s">
        <v>10781</v>
      </c>
      <c r="D10038" s="2349" t="s">
        <v>10959</v>
      </c>
      <c r="E10038" s="2350">
        <v>63</v>
      </c>
      <c r="F10038" s="2350">
        <v>22</v>
      </c>
    </row>
    <row r="10039" spans="1:6" x14ac:dyDescent="0.25">
      <c r="A10039" s="2349" t="s">
        <v>10960</v>
      </c>
      <c r="B10039" s="2349" t="s">
        <v>10781</v>
      </c>
      <c r="C10039" s="2349" t="s">
        <v>10781</v>
      </c>
      <c r="D10039" s="2349" t="s">
        <v>10961</v>
      </c>
      <c r="E10039" s="2350">
        <v>63</v>
      </c>
      <c r="F10039" s="2350">
        <v>12</v>
      </c>
    </row>
    <row r="10040" spans="1:6" x14ac:dyDescent="0.25">
      <c r="A10040" s="2349" t="s">
        <v>3889</v>
      </c>
      <c r="B10040" s="2349" t="s">
        <v>10781</v>
      </c>
      <c r="C10040" s="2349" t="s">
        <v>10781</v>
      </c>
      <c r="D10040" s="2349" t="s">
        <v>3890</v>
      </c>
      <c r="E10040" s="2350">
        <v>63</v>
      </c>
      <c r="F10040" s="2350">
        <v>20</v>
      </c>
    </row>
    <row r="10041" spans="1:6" x14ac:dyDescent="0.25">
      <c r="A10041" s="2349" t="s">
        <v>10962</v>
      </c>
      <c r="B10041" s="2349" t="s">
        <v>10781</v>
      </c>
      <c r="C10041" s="2349" t="s">
        <v>10781</v>
      </c>
      <c r="D10041" s="2349" t="s">
        <v>10963</v>
      </c>
      <c r="E10041" s="2350">
        <v>63</v>
      </c>
      <c r="F10041" s="2350">
        <v>12</v>
      </c>
    </row>
    <row r="10042" spans="1:6" x14ac:dyDescent="0.25">
      <c r="A10042" s="2349" t="s">
        <v>10962</v>
      </c>
      <c r="B10042" s="2349" t="s">
        <v>10781</v>
      </c>
      <c r="C10042" s="2349" t="s">
        <v>10781</v>
      </c>
      <c r="D10042" s="2349" t="s">
        <v>10964</v>
      </c>
      <c r="E10042" s="2350">
        <v>250</v>
      </c>
      <c r="F10042" s="2350">
        <v>55</v>
      </c>
    </row>
    <row r="10043" spans="1:6" x14ac:dyDescent="0.25">
      <c r="A10043" s="2349" t="s">
        <v>10962</v>
      </c>
      <c r="B10043" s="2349" t="s">
        <v>10781</v>
      </c>
      <c r="C10043" s="2349" t="s">
        <v>10781</v>
      </c>
      <c r="D10043" s="2349" t="s">
        <v>10965</v>
      </c>
      <c r="E10043" s="2350">
        <v>250</v>
      </c>
      <c r="F10043" s="2350">
        <v>150</v>
      </c>
    </row>
    <row r="10044" spans="1:6" x14ac:dyDescent="0.25">
      <c r="A10044" s="2349" t="s">
        <v>10962</v>
      </c>
      <c r="B10044" s="2349" t="s">
        <v>10781</v>
      </c>
      <c r="C10044" s="2349" t="s">
        <v>10781</v>
      </c>
      <c r="D10044" s="2349" t="s">
        <v>10966</v>
      </c>
      <c r="E10044" s="2350">
        <v>100</v>
      </c>
      <c r="F10044" s="2350">
        <v>90</v>
      </c>
    </row>
    <row r="10045" spans="1:6" x14ac:dyDescent="0.25">
      <c r="A10045" s="2349" t="s">
        <v>10967</v>
      </c>
      <c r="B10045" s="2349" t="s">
        <v>10781</v>
      </c>
      <c r="C10045" s="2349" t="s">
        <v>10781</v>
      </c>
      <c r="D10045" s="2349" t="s">
        <v>10968</v>
      </c>
      <c r="E10045" s="2350">
        <v>160</v>
      </c>
      <c r="F10045" s="2350">
        <v>0</v>
      </c>
    </row>
    <row r="10046" spans="1:6" x14ac:dyDescent="0.25">
      <c r="A10046" s="2349" t="s">
        <v>10969</v>
      </c>
      <c r="B10046" s="2349" t="s">
        <v>10781</v>
      </c>
      <c r="C10046" s="2349" t="s">
        <v>10781</v>
      </c>
      <c r="D10046" s="2349" t="s">
        <v>10862</v>
      </c>
      <c r="E10046" s="2350">
        <v>160</v>
      </c>
      <c r="F10046" s="2350">
        <v>0</v>
      </c>
    </row>
    <row r="10047" spans="1:6" x14ac:dyDescent="0.25">
      <c r="A10047" s="2349" t="s">
        <v>10970</v>
      </c>
      <c r="B10047" s="2349" t="s">
        <v>10781</v>
      </c>
      <c r="C10047" s="2349" t="s">
        <v>10781</v>
      </c>
      <c r="D10047" s="2349" t="s">
        <v>10971</v>
      </c>
      <c r="E10047" s="2350">
        <v>63</v>
      </c>
      <c r="F10047" s="2350">
        <v>25</v>
      </c>
    </row>
    <row r="10048" spans="1:6" x14ac:dyDescent="0.25">
      <c r="A10048" s="2349" t="s">
        <v>10970</v>
      </c>
      <c r="B10048" s="2349" t="s">
        <v>10781</v>
      </c>
      <c r="C10048" s="2349" t="s">
        <v>10781</v>
      </c>
      <c r="D10048" s="2349" t="s">
        <v>10972</v>
      </c>
      <c r="E10048" s="2350">
        <v>100</v>
      </c>
      <c r="F10048" s="2350">
        <v>45</v>
      </c>
    </row>
    <row r="10049" spans="1:6" x14ac:dyDescent="0.25">
      <c r="A10049" s="2349" t="s">
        <v>10973</v>
      </c>
      <c r="B10049" s="2349" t="s">
        <v>10781</v>
      </c>
      <c r="C10049" s="2349" t="s">
        <v>10781</v>
      </c>
      <c r="D10049" s="2349" t="s">
        <v>10974</v>
      </c>
      <c r="E10049" s="2350">
        <v>160</v>
      </c>
      <c r="F10049" s="2350">
        <v>35</v>
      </c>
    </row>
    <row r="10050" spans="1:6" x14ac:dyDescent="0.25">
      <c r="A10050" s="2349" t="s">
        <v>10975</v>
      </c>
      <c r="B10050" s="2349" t="s">
        <v>10781</v>
      </c>
      <c r="C10050" s="2349" t="s">
        <v>10781</v>
      </c>
      <c r="D10050" s="2349" t="s">
        <v>10976</v>
      </c>
      <c r="E10050" s="2350">
        <v>30</v>
      </c>
      <c r="F10050" s="2350">
        <v>0</v>
      </c>
    </row>
    <row r="10051" spans="1:6" x14ac:dyDescent="0.25">
      <c r="A10051" s="2349" t="s">
        <v>10977</v>
      </c>
      <c r="B10051" s="2349" t="s">
        <v>10781</v>
      </c>
      <c r="C10051" s="2349" t="s">
        <v>10781</v>
      </c>
      <c r="D10051" s="2349" t="s">
        <v>10978</v>
      </c>
      <c r="E10051" s="2350">
        <v>30</v>
      </c>
      <c r="F10051" s="2350">
        <v>0</v>
      </c>
    </row>
    <row r="10052" spans="1:6" x14ac:dyDescent="0.25">
      <c r="A10052" s="2349" t="s">
        <v>10979</v>
      </c>
      <c r="B10052" s="2349" t="s">
        <v>10781</v>
      </c>
      <c r="C10052" s="2349" t="s">
        <v>10781</v>
      </c>
      <c r="D10052" s="2349" t="s">
        <v>10980</v>
      </c>
      <c r="E10052" s="2350">
        <v>10</v>
      </c>
      <c r="F10052" s="2350">
        <v>7</v>
      </c>
    </row>
    <row r="10053" spans="1:6" x14ac:dyDescent="0.25">
      <c r="A10053" s="2349" t="s">
        <v>10981</v>
      </c>
      <c r="B10053" s="2349" t="s">
        <v>10781</v>
      </c>
      <c r="C10053" s="2349" t="s">
        <v>10781</v>
      </c>
      <c r="D10053" s="2349" t="s">
        <v>10982</v>
      </c>
      <c r="E10053" s="2350">
        <v>100</v>
      </c>
      <c r="F10053" s="2350">
        <v>15</v>
      </c>
    </row>
    <row r="10054" spans="1:6" x14ac:dyDescent="0.25">
      <c r="A10054" s="2349" t="s">
        <v>10983</v>
      </c>
      <c r="B10054" s="2349" t="s">
        <v>10781</v>
      </c>
      <c r="C10054" s="2349" t="s">
        <v>10781</v>
      </c>
      <c r="D10054" s="2349" t="s">
        <v>10984</v>
      </c>
      <c r="E10054" s="2350">
        <v>250</v>
      </c>
      <c r="F10054" s="2350">
        <v>150</v>
      </c>
    </row>
    <row r="10055" spans="1:6" x14ac:dyDescent="0.25">
      <c r="A10055" s="2349" t="s">
        <v>10985</v>
      </c>
      <c r="B10055" s="2349" t="s">
        <v>10781</v>
      </c>
      <c r="C10055" s="2349" t="s">
        <v>10781</v>
      </c>
      <c r="D10055" s="2349" t="s">
        <v>10986</v>
      </c>
      <c r="E10055" s="2350">
        <v>100</v>
      </c>
      <c r="F10055" s="2350">
        <v>10</v>
      </c>
    </row>
    <row r="10056" spans="1:6" x14ac:dyDescent="0.25">
      <c r="A10056" s="2349" t="s">
        <v>18717</v>
      </c>
      <c r="B10056" s="2349" t="s">
        <v>10781</v>
      </c>
      <c r="C10056" s="2349" t="s">
        <v>10781</v>
      </c>
      <c r="D10056" s="2349" t="s">
        <v>10987</v>
      </c>
      <c r="E10056" s="2350">
        <v>250</v>
      </c>
      <c r="F10056" s="2350">
        <v>45</v>
      </c>
    </row>
    <row r="10057" spans="1:6" x14ac:dyDescent="0.25">
      <c r="A10057" s="2349" t="s">
        <v>10858</v>
      </c>
      <c r="B10057" s="2349" t="s">
        <v>10781</v>
      </c>
      <c r="C10057" s="2349" t="s">
        <v>10781</v>
      </c>
      <c r="D10057" s="2349" t="s">
        <v>10988</v>
      </c>
      <c r="E10057" s="2350">
        <v>400</v>
      </c>
      <c r="F10057" s="2350">
        <v>250</v>
      </c>
    </row>
    <row r="10058" spans="1:6" x14ac:dyDescent="0.25">
      <c r="A10058" s="2349" t="s">
        <v>10858</v>
      </c>
      <c r="B10058" s="2349" t="s">
        <v>10781</v>
      </c>
      <c r="C10058" s="2349" t="s">
        <v>10781</v>
      </c>
      <c r="D10058" s="2349" t="s">
        <v>10989</v>
      </c>
      <c r="E10058" s="2350">
        <v>160</v>
      </c>
      <c r="F10058" s="2350">
        <v>15</v>
      </c>
    </row>
    <row r="10059" spans="1:6" x14ac:dyDescent="0.25">
      <c r="A10059" s="2349" t="s">
        <v>10858</v>
      </c>
      <c r="B10059" s="2349" t="s">
        <v>10781</v>
      </c>
      <c r="C10059" s="2349" t="s">
        <v>10781</v>
      </c>
      <c r="D10059" s="2349" t="s">
        <v>10990</v>
      </c>
      <c r="E10059" s="2350">
        <v>63</v>
      </c>
      <c r="F10059" s="2350">
        <v>0</v>
      </c>
    </row>
    <row r="10060" spans="1:6" x14ac:dyDescent="0.25">
      <c r="A10060" s="2349" t="s">
        <v>10991</v>
      </c>
      <c r="B10060" s="2349" t="s">
        <v>10781</v>
      </c>
      <c r="C10060" s="2349" t="s">
        <v>10781</v>
      </c>
      <c r="D10060" s="2349" t="s">
        <v>10992</v>
      </c>
      <c r="E10060" s="2350">
        <v>160</v>
      </c>
      <c r="F10060" s="2350">
        <v>60</v>
      </c>
    </row>
    <row r="10061" spans="1:6" x14ac:dyDescent="0.25">
      <c r="A10061" s="2349" t="s">
        <v>10993</v>
      </c>
      <c r="B10061" s="2349" t="s">
        <v>10781</v>
      </c>
      <c r="C10061" s="2349" t="s">
        <v>10781</v>
      </c>
      <c r="D10061" s="2349" t="s">
        <v>10994</v>
      </c>
      <c r="E10061" s="2350">
        <v>63</v>
      </c>
      <c r="F10061" s="2350">
        <v>10</v>
      </c>
    </row>
    <row r="10062" spans="1:6" x14ac:dyDescent="0.25">
      <c r="A10062" s="2349" t="s">
        <v>10995</v>
      </c>
      <c r="B10062" s="2349" t="s">
        <v>10781</v>
      </c>
      <c r="C10062" s="2349" t="s">
        <v>10781</v>
      </c>
      <c r="D10062" s="2349" t="s">
        <v>10996</v>
      </c>
      <c r="E10062" s="2350">
        <v>63</v>
      </c>
      <c r="F10062" s="2350">
        <v>30</v>
      </c>
    </row>
    <row r="10063" spans="1:6" x14ac:dyDescent="0.25">
      <c r="A10063" s="2349" t="s">
        <v>10997</v>
      </c>
      <c r="B10063" s="2349" t="s">
        <v>10781</v>
      </c>
      <c r="C10063" s="2349" t="s">
        <v>10781</v>
      </c>
      <c r="D10063" s="2349" t="s">
        <v>10998</v>
      </c>
      <c r="E10063" s="2350">
        <v>100</v>
      </c>
      <c r="F10063" s="2350">
        <v>45</v>
      </c>
    </row>
    <row r="10064" spans="1:6" x14ac:dyDescent="0.25">
      <c r="A10064" s="2349" t="s">
        <v>10999</v>
      </c>
      <c r="B10064" s="2349" t="s">
        <v>10781</v>
      </c>
      <c r="C10064" s="2349" t="s">
        <v>10781</v>
      </c>
      <c r="D10064" s="2349" t="s">
        <v>11000</v>
      </c>
      <c r="E10064" s="2350">
        <v>40</v>
      </c>
      <c r="F10064" s="2350">
        <v>25</v>
      </c>
    </row>
    <row r="10065" spans="1:6" x14ac:dyDescent="0.25">
      <c r="A10065" s="2349" t="s">
        <v>5502</v>
      </c>
      <c r="B10065" s="2349" t="s">
        <v>10781</v>
      </c>
      <c r="C10065" s="2349" t="s">
        <v>10781</v>
      </c>
      <c r="D10065" s="2349" t="s">
        <v>11001</v>
      </c>
      <c r="E10065" s="2350">
        <v>160</v>
      </c>
      <c r="F10065" s="2350">
        <v>60</v>
      </c>
    </row>
    <row r="10066" spans="1:6" x14ac:dyDescent="0.25">
      <c r="A10066" s="2349" t="s">
        <v>4904</v>
      </c>
      <c r="B10066" s="2349" t="s">
        <v>10781</v>
      </c>
      <c r="C10066" s="2349" t="s">
        <v>10781</v>
      </c>
      <c r="D10066" s="2349" t="s">
        <v>11002</v>
      </c>
      <c r="E10066" s="2350">
        <v>100</v>
      </c>
      <c r="F10066" s="2350">
        <v>45</v>
      </c>
    </row>
    <row r="10067" spans="1:6" x14ac:dyDescent="0.25">
      <c r="A10067" s="2349" t="s">
        <v>4609</v>
      </c>
      <c r="B10067" s="2349" t="s">
        <v>10781</v>
      </c>
      <c r="C10067" s="2349" t="s">
        <v>10781</v>
      </c>
      <c r="D10067" s="2349" t="s">
        <v>11003</v>
      </c>
      <c r="E10067" s="2350">
        <v>10</v>
      </c>
      <c r="F10067" s="2350">
        <v>0</v>
      </c>
    </row>
    <row r="10068" spans="1:6" x14ac:dyDescent="0.25">
      <c r="A10068" s="2349" t="s">
        <v>11004</v>
      </c>
      <c r="B10068" s="2349" t="s">
        <v>10781</v>
      </c>
      <c r="C10068" s="2349" t="s">
        <v>10781</v>
      </c>
      <c r="D10068" s="2349" t="s">
        <v>11005</v>
      </c>
      <c r="E10068" s="2350">
        <v>63</v>
      </c>
      <c r="F10068" s="2350">
        <v>30</v>
      </c>
    </row>
    <row r="10069" spans="1:6" x14ac:dyDescent="0.25">
      <c r="A10069" s="2349" t="s">
        <v>10858</v>
      </c>
      <c r="B10069" s="2349" t="s">
        <v>10781</v>
      </c>
      <c r="C10069" s="2349" t="s">
        <v>10781</v>
      </c>
      <c r="D10069" s="2349" t="s">
        <v>11006</v>
      </c>
      <c r="E10069" s="2350">
        <v>100</v>
      </c>
      <c r="F10069" s="2350">
        <v>15</v>
      </c>
    </row>
    <row r="10070" spans="1:6" x14ac:dyDescent="0.25">
      <c r="A10070" s="2349" t="s">
        <v>11007</v>
      </c>
      <c r="B10070" s="2349" t="s">
        <v>10781</v>
      </c>
      <c r="C10070" s="2349" t="s">
        <v>10781</v>
      </c>
      <c r="D10070" s="2349" t="s">
        <v>11008</v>
      </c>
      <c r="E10070" s="2350">
        <v>25</v>
      </c>
      <c r="F10070" s="2350">
        <v>0</v>
      </c>
    </row>
    <row r="10071" spans="1:6" x14ac:dyDescent="0.25">
      <c r="A10071" s="2349" t="s">
        <v>11009</v>
      </c>
      <c r="B10071" s="2349" t="s">
        <v>10781</v>
      </c>
      <c r="C10071" s="2349" t="s">
        <v>10781</v>
      </c>
      <c r="D10071" s="2349" t="s">
        <v>11010</v>
      </c>
      <c r="E10071" s="2350">
        <v>30</v>
      </c>
      <c r="F10071" s="2350">
        <v>25</v>
      </c>
    </row>
    <row r="10072" spans="1:6" x14ac:dyDescent="0.25">
      <c r="A10072" s="2349" t="s">
        <v>11011</v>
      </c>
      <c r="B10072" s="2349" t="s">
        <v>10781</v>
      </c>
      <c r="C10072" s="2349" t="s">
        <v>10781</v>
      </c>
      <c r="D10072" s="2349" t="s">
        <v>11012</v>
      </c>
      <c r="E10072" s="2350">
        <v>100</v>
      </c>
      <c r="F10072" s="2350">
        <v>90</v>
      </c>
    </row>
    <row r="10073" spans="1:6" x14ac:dyDescent="0.25">
      <c r="A10073" s="2349" t="s">
        <v>11013</v>
      </c>
      <c r="B10073" s="2349" t="s">
        <v>10781</v>
      </c>
      <c r="C10073" s="2349" t="s">
        <v>10781</v>
      </c>
      <c r="D10073" s="2349" t="s">
        <v>11014</v>
      </c>
      <c r="E10073" s="2350">
        <v>100</v>
      </c>
      <c r="F10073" s="2350">
        <v>75</v>
      </c>
    </row>
    <row r="10074" spans="1:6" x14ac:dyDescent="0.25">
      <c r="A10074" s="2349" t="s">
        <v>11015</v>
      </c>
      <c r="B10074" s="2349" t="s">
        <v>10781</v>
      </c>
      <c r="C10074" s="2349" t="s">
        <v>10781</v>
      </c>
      <c r="D10074" s="2349" t="s">
        <v>11016</v>
      </c>
      <c r="E10074" s="2350">
        <v>160</v>
      </c>
      <c r="F10074" s="2350">
        <v>35</v>
      </c>
    </row>
    <row r="10075" spans="1:6" x14ac:dyDescent="0.25">
      <c r="A10075" s="2349" t="s">
        <v>10969</v>
      </c>
      <c r="B10075" s="2349" t="s">
        <v>10781</v>
      </c>
      <c r="C10075" s="2349" t="s">
        <v>10781</v>
      </c>
      <c r="D10075" s="2349" t="s">
        <v>11017</v>
      </c>
      <c r="E10075" s="2350">
        <v>63</v>
      </c>
      <c r="F10075" s="2350">
        <v>25</v>
      </c>
    </row>
    <row r="10076" spans="1:6" x14ac:dyDescent="0.25">
      <c r="A10076" s="2349" t="s">
        <v>18718</v>
      </c>
      <c r="B10076" s="2349" t="s">
        <v>10781</v>
      </c>
      <c r="C10076" s="2349" t="s">
        <v>10781</v>
      </c>
      <c r="D10076" s="2349" t="s">
        <v>11018</v>
      </c>
      <c r="E10076" s="2350">
        <v>160</v>
      </c>
      <c r="F10076" s="2350">
        <v>60</v>
      </c>
    </row>
    <row r="10077" spans="1:6" x14ac:dyDescent="0.25">
      <c r="A10077" s="2349" t="s">
        <v>11019</v>
      </c>
      <c r="B10077" s="2349" t="s">
        <v>10781</v>
      </c>
      <c r="C10077" s="2349" t="s">
        <v>10781</v>
      </c>
      <c r="D10077" s="2349" t="s">
        <v>11020</v>
      </c>
      <c r="E10077" s="2350">
        <v>10</v>
      </c>
      <c r="F10077" s="2350">
        <v>7</v>
      </c>
    </row>
    <row r="10078" spans="1:6" x14ac:dyDescent="0.25">
      <c r="A10078" s="2349" t="s">
        <v>11021</v>
      </c>
      <c r="B10078" s="2349" t="s">
        <v>10781</v>
      </c>
      <c r="C10078" s="2349" t="s">
        <v>10781</v>
      </c>
      <c r="D10078" s="2349" t="s">
        <v>11022</v>
      </c>
      <c r="E10078" s="2350">
        <v>63</v>
      </c>
      <c r="F10078" s="2350">
        <v>12</v>
      </c>
    </row>
    <row r="10079" spans="1:6" x14ac:dyDescent="0.25">
      <c r="A10079" s="2349" t="s">
        <v>18719</v>
      </c>
      <c r="B10079" s="2349" t="s">
        <v>10781</v>
      </c>
      <c r="C10079" s="2349" t="s">
        <v>10781</v>
      </c>
      <c r="D10079" s="2349" t="s">
        <v>11023</v>
      </c>
      <c r="E10079" s="2350">
        <v>25</v>
      </c>
      <c r="F10079" s="2350">
        <v>5</v>
      </c>
    </row>
    <row r="10080" spans="1:6" x14ac:dyDescent="0.25">
      <c r="A10080" s="2349" t="s">
        <v>11024</v>
      </c>
      <c r="B10080" s="2349" t="s">
        <v>10781</v>
      </c>
      <c r="C10080" s="2349" t="s">
        <v>10781</v>
      </c>
      <c r="D10080" s="2349" t="s">
        <v>11025</v>
      </c>
      <c r="E10080" s="2350">
        <v>30</v>
      </c>
      <c r="F10080" s="2350">
        <v>25</v>
      </c>
    </row>
    <row r="10081" spans="1:6" x14ac:dyDescent="0.25">
      <c r="A10081" s="2349" t="s">
        <v>11026</v>
      </c>
      <c r="B10081" s="2349" t="s">
        <v>10781</v>
      </c>
      <c r="C10081" s="2349" t="s">
        <v>10781</v>
      </c>
      <c r="D10081" s="2349" t="s">
        <v>11027</v>
      </c>
      <c r="E10081" s="2350">
        <v>100</v>
      </c>
      <c r="F10081" s="2350">
        <v>75</v>
      </c>
    </row>
    <row r="10082" spans="1:6" x14ac:dyDescent="0.25">
      <c r="A10082" s="2349" t="s">
        <v>10934</v>
      </c>
      <c r="B10082" s="2349" t="s">
        <v>10781</v>
      </c>
      <c r="C10082" s="2349" t="s">
        <v>10781</v>
      </c>
      <c r="D10082" s="2349" t="s">
        <v>10935</v>
      </c>
      <c r="E10082" s="2350">
        <v>25</v>
      </c>
      <c r="F10082" s="2350">
        <v>5</v>
      </c>
    </row>
    <row r="10083" spans="1:6" x14ac:dyDescent="0.25">
      <c r="A10083" s="2349" t="s">
        <v>11028</v>
      </c>
      <c r="B10083" s="2349" t="s">
        <v>10781</v>
      </c>
      <c r="C10083" s="2349" t="s">
        <v>10781</v>
      </c>
      <c r="D10083" s="2349" t="s">
        <v>11029</v>
      </c>
      <c r="E10083" s="2350">
        <v>250</v>
      </c>
      <c r="F10083" s="2350">
        <v>55</v>
      </c>
    </row>
    <row r="10084" spans="1:6" x14ac:dyDescent="0.25">
      <c r="A10084" s="2349" t="s">
        <v>6520</v>
      </c>
      <c r="B10084" s="2349" t="s">
        <v>10781</v>
      </c>
      <c r="C10084" s="2349" t="s">
        <v>10781</v>
      </c>
      <c r="D10084" s="2349" t="s">
        <v>11030</v>
      </c>
      <c r="E10084" s="2350">
        <v>160</v>
      </c>
      <c r="F10084" s="2350">
        <v>65</v>
      </c>
    </row>
    <row r="10085" spans="1:6" x14ac:dyDescent="0.25">
      <c r="A10085" s="2349" t="s">
        <v>6520</v>
      </c>
      <c r="B10085" s="2349" t="s">
        <v>10781</v>
      </c>
      <c r="C10085" s="2349" t="s">
        <v>10781</v>
      </c>
      <c r="D10085" s="2349" t="s">
        <v>11031</v>
      </c>
      <c r="E10085" s="2350">
        <v>160</v>
      </c>
      <c r="F10085" s="2350">
        <v>55</v>
      </c>
    </row>
    <row r="10086" spans="1:6" x14ac:dyDescent="0.25">
      <c r="A10086" s="2349" t="s">
        <v>6520</v>
      </c>
      <c r="B10086" s="2349" t="s">
        <v>10781</v>
      </c>
      <c r="C10086" s="2349" t="s">
        <v>10781</v>
      </c>
      <c r="D10086" s="2349" t="s">
        <v>11032</v>
      </c>
      <c r="E10086" s="2350">
        <v>160</v>
      </c>
      <c r="F10086" s="2350">
        <v>160</v>
      </c>
    </row>
    <row r="10087" spans="1:6" x14ac:dyDescent="0.25">
      <c r="A10087" s="2349" t="s">
        <v>7403</v>
      </c>
      <c r="B10087" s="2349" t="s">
        <v>10781</v>
      </c>
      <c r="C10087" s="2349" t="s">
        <v>10781</v>
      </c>
      <c r="D10087" s="2349" t="s">
        <v>11033</v>
      </c>
      <c r="E10087" s="2350">
        <v>10</v>
      </c>
      <c r="F10087" s="2350">
        <v>0</v>
      </c>
    </row>
    <row r="10088" spans="1:6" x14ac:dyDescent="0.25">
      <c r="A10088" s="2349" t="s">
        <v>9793</v>
      </c>
      <c r="B10088" s="2349" t="s">
        <v>10781</v>
      </c>
      <c r="C10088" s="2349" t="s">
        <v>10781</v>
      </c>
      <c r="D10088" s="2349" t="s">
        <v>11034</v>
      </c>
      <c r="E10088" s="2350">
        <v>30</v>
      </c>
      <c r="F10088" s="2350">
        <v>12</v>
      </c>
    </row>
    <row r="10089" spans="1:6" x14ac:dyDescent="0.25">
      <c r="A10089" s="2349" t="s">
        <v>11035</v>
      </c>
      <c r="B10089" s="2349" t="s">
        <v>10781</v>
      </c>
      <c r="C10089" s="2349" t="s">
        <v>10781</v>
      </c>
      <c r="D10089" s="2349" t="s">
        <v>11036</v>
      </c>
      <c r="E10089" s="2350">
        <v>160</v>
      </c>
      <c r="F10089" s="2350">
        <v>140</v>
      </c>
    </row>
    <row r="10090" spans="1:6" x14ac:dyDescent="0.25">
      <c r="A10090" s="2349" t="s">
        <v>11035</v>
      </c>
      <c r="B10090" s="2349" t="s">
        <v>10781</v>
      </c>
      <c r="C10090" s="2349" t="s">
        <v>10781</v>
      </c>
      <c r="D10090" s="2349" t="s">
        <v>11037</v>
      </c>
      <c r="E10090" s="2350">
        <v>250</v>
      </c>
      <c r="F10090" s="2350">
        <v>200</v>
      </c>
    </row>
    <row r="10091" spans="1:6" x14ac:dyDescent="0.25">
      <c r="A10091" s="2349" t="s">
        <v>10999</v>
      </c>
      <c r="B10091" s="2349" t="s">
        <v>10781</v>
      </c>
      <c r="C10091" s="2349" t="s">
        <v>10781</v>
      </c>
      <c r="D10091" s="2349" t="s">
        <v>11000</v>
      </c>
      <c r="E10091" s="2350">
        <v>100</v>
      </c>
      <c r="F10091" s="2350">
        <v>10</v>
      </c>
    </row>
    <row r="10092" spans="1:6" x14ac:dyDescent="0.25">
      <c r="A10092" s="2349" t="s">
        <v>11038</v>
      </c>
      <c r="B10092" s="2349" t="s">
        <v>10781</v>
      </c>
      <c r="C10092" s="2349" t="s">
        <v>10781</v>
      </c>
      <c r="D10092" s="2349" t="s">
        <v>11039</v>
      </c>
      <c r="E10092" s="2350">
        <v>20</v>
      </c>
      <c r="F10092" s="2350">
        <v>5</v>
      </c>
    </row>
    <row r="10093" spans="1:6" x14ac:dyDescent="0.25">
      <c r="A10093" s="2349" t="s">
        <v>11040</v>
      </c>
      <c r="B10093" s="2349" t="s">
        <v>10781</v>
      </c>
      <c r="C10093" s="2349" t="s">
        <v>10781</v>
      </c>
      <c r="D10093" s="2349" t="s">
        <v>11041</v>
      </c>
      <c r="E10093" s="2350">
        <v>160</v>
      </c>
      <c r="F10093" s="2350">
        <v>100</v>
      </c>
    </row>
    <row r="10094" spans="1:6" x14ac:dyDescent="0.25">
      <c r="A10094" s="2349" t="s">
        <v>10903</v>
      </c>
      <c r="B10094" s="2349" t="s">
        <v>10781</v>
      </c>
      <c r="C10094" s="2349" t="s">
        <v>10781</v>
      </c>
      <c r="D10094" s="2349" t="s">
        <v>11042</v>
      </c>
      <c r="E10094" s="2350">
        <v>250</v>
      </c>
      <c r="F10094" s="2350">
        <v>150</v>
      </c>
    </row>
    <row r="10095" spans="1:6" x14ac:dyDescent="0.25">
      <c r="A10095" s="2349" t="s">
        <v>10942</v>
      </c>
      <c r="B10095" s="2349" t="s">
        <v>10781</v>
      </c>
      <c r="C10095" s="2349" t="s">
        <v>10781</v>
      </c>
      <c r="D10095" s="2349" t="s">
        <v>11043</v>
      </c>
      <c r="E10095" s="2350">
        <v>250</v>
      </c>
      <c r="F10095" s="2350">
        <v>55</v>
      </c>
    </row>
    <row r="10096" spans="1:6" x14ac:dyDescent="0.25">
      <c r="A10096" s="2349" t="s">
        <v>10858</v>
      </c>
      <c r="B10096" s="2349" t="s">
        <v>10781</v>
      </c>
      <c r="C10096" s="2349" t="s">
        <v>10781</v>
      </c>
      <c r="D10096" s="2349" t="s">
        <v>11044</v>
      </c>
      <c r="E10096" s="2350">
        <v>250</v>
      </c>
      <c r="F10096" s="2350">
        <v>125</v>
      </c>
    </row>
    <row r="10097" spans="1:6" x14ac:dyDescent="0.25">
      <c r="A10097" s="2349" t="s">
        <v>11028</v>
      </c>
      <c r="B10097" s="2349" t="s">
        <v>10781</v>
      </c>
      <c r="C10097" s="2349" t="s">
        <v>10781</v>
      </c>
      <c r="D10097" s="2349" t="s">
        <v>11045</v>
      </c>
      <c r="E10097" s="2350">
        <v>250</v>
      </c>
      <c r="F10097" s="2350">
        <v>100</v>
      </c>
    </row>
    <row r="10098" spans="1:6" x14ac:dyDescent="0.25">
      <c r="A10098" s="2349" t="s">
        <v>18720</v>
      </c>
      <c r="B10098" s="2349" t="s">
        <v>10781</v>
      </c>
      <c r="C10098" s="2349" t="s">
        <v>10781</v>
      </c>
      <c r="D10098" s="2349" t="s">
        <v>3803</v>
      </c>
      <c r="E10098" s="2350">
        <v>250</v>
      </c>
      <c r="F10098" s="2350">
        <v>150</v>
      </c>
    </row>
    <row r="10099" spans="1:6" x14ac:dyDescent="0.25">
      <c r="A10099" s="2349" t="s">
        <v>11046</v>
      </c>
      <c r="B10099" s="2349" t="s">
        <v>10781</v>
      </c>
      <c r="C10099" s="2349" t="s">
        <v>10781</v>
      </c>
      <c r="D10099" s="2349" t="s">
        <v>11047</v>
      </c>
      <c r="E10099" s="2350">
        <v>25</v>
      </c>
      <c r="F10099" s="2350">
        <v>15</v>
      </c>
    </row>
    <row r="10100" spans="1:6" x14ac:dyDescent="0.25">
      <c r="A10100" s="2349" t="s">
        <v>6420</v>
      </c>
      <c r="B10100" s="2349" t="s">
        <v>10781</v>
      </c>
      <c r="C10100" s="2349" t="s">
        <v>10781</v>
      </c>
      <c r="D10100" s="2349" t="s">
        <v>11048</v>
      </c>
      <c r="E10100" s="2350">
        <v>63</v>
      </c>
      <c r="F10100" s="2350">
        <v>25</v>
      </c>
    </row>
    <row r="10101" spans="1:6" x14ac:dyDescent="0.25">
      <c r="A10101" s="2349" t="s">
        <v>11049</v>
      </c>
      <c r="B10101" s="2349" t="s">
        <v>10781</v>
      </c>
      <c r="C10101" s="2349" t="s">
        <v>10781</v>
      </c>
      <c r="D10101" s="2349" t="s">
        <v>11050</v>
      </c>
      <c r="E10101" s="2350">
        <v>63</v>
      </c>
      <c r="F10101" s="2350">
        <v>15</v>
      </c>
    </row>
    <row r="10102" spans="1:6" x14ac:dyDescent="0.25">
      <c r="A10102" s="2349" t="s">
        <v>11051</v>
      </c>
      <c r="B10102" s="2349" t="s">
        <v>10781</v>
      </c>
      <c r="C10102" s="2349" t="s">
        <v>10781</v>
      </c>
      <c r="D10102" s="2349" t="s">
        <v>11052</v>
      </c>
      <c r="E10102" s="2350">
        <v>400</v>
      </c>
      <c r="F10102" s="2350">
        <v>0</v>
      </c>
    </row>
    <row r="10103" spans="1:6" x14ac:dyDescent="0.25">
      <c r="A10103" s="2349" t="s">
        <v>11053</v>
      </c>
      <c r="B10103" s="2349" t="s">
        <v>10781</v>
      </c>
      <c r="C10103" s="2349" t="s">
        <v>10781</v>
      </c>
      <c r="D10103" s="2349" t="s">
        <v>11054</v>
      </c>
      <c r="E10103" s="2350">
        <v>250</v>
      </c>
      <c r="F10103" s="2350">
        <v>150</v>
      </c>
    </row>
    <row r="10104" spans="1:6" x14ac:dyDescent="0.25">
      <c r="A10104" s="2349" t="s">
        <v>6703</v>
      </c>
      <c r="B10104" s="2349" t="s">
        <v>10781</v>
      </c>
      <c r="C10104" s="2349" t="s">
        <v>10781</v>
      </c>
      <c r="D10104" s="2349" t="s">
        <v>10854</v>
      </c>
      <c r="E10104" s="2350">
        <v>160</v>
      </c>
      <c r="F10104" s="2350">
        <v>65</v>
      </c>
    </row>
    <row r="10105" spans="1:6" x14ac:dyDescent="0.25">
      <c r="A10105" s="2349" t="s">
        <v>4411</v>
      </c>
      <c r="B10105" s="2349" t="s">
        <v>10781</v>
      </c>
      <c r="C10105" s="2349" t="s">
        <v>10781</v>
      </c>
      <c r="D10105" s="2349" t="s">
        <v>11055</v>
      </c>
      <c r="E10105" s="2350">
        <v>63</v>
      </c>
      <c r="F10105" s="2350">
        <v>0</v>
      </c>
    </row>
    <row r="10106" spans="1:6" x14ac:dyDescent="0.25">
      <c r="A10106" s="2349" t="s">
        <v>10870</v>
      </c>
      <c r="B10106" s="2349" t="s">
        <v>10781</v>
      </c>
      <c r="C10106" s="2349" t="s">
        <v>10781</v>
      </c>
      <c r="D10106" s="2349" t="s">
        <v>11056</v>
      </c>
      <c r="E10106" s="2350">
        <v>160</v>
      </c>
      <c r="F10106" s="2350">
        <v>60</v>
      </c>
    </row>
    <row r="10107" spans="1:6" x14ac:dyDescent="0.25">
      <c r="A10107" s="2349" t="s">
        <v>10896</v>
      </c>
      <c r="B10107" s="2349" t="s">
        <v>10781</v>
      </c>
      <c r="C10107" s="2349" t="s">
        <v>10781</v>
      </c>
      <c r="D10107" s="2349" t="s">
        <v>11057</v>
      </c>
      <c r="E10107" s="2350">
        <v>63</v>
      </c>
      <c r="F10107" s="2350">
        <v>25</v>
      </c>
    </row>
    <row r="10108" spans="1:6" x14ac:dyDescent="0.25">
      <c r="A10108" s="2349" t="s">
        <v>11058</v>
      </c>
      <c r="B10108" s="2349" t="s">
        <v>10781</v>
      </c>
      <c r="C10108" s="2349" t="s">
        <v>10781</v>
      </c>
      <c r="D10108" s="2349" t="s">
        <v>11059</v>
      </c>
      <c r="E10108" s="2350">
        <v>63</v>
      </c>
      <c r="F10108" s="2350">
        <v>0</v>
      </c>
    </row>
    <row r="10109" spans="1:6" x14ac:dyDescent="0.25">
      <c r="A10109" s="2349" t="s">
        <v>11060</v>
      </c>
      <c r="B10109" s="2349" t="s">
        <v>10781</v>
      </c>
      <c r="C10109" s="2349" t="s">
        <v>10781</v>
      </c>
      <c r="D10109" s="2349" t="s">
        <v>11061</v>
      </c>
      <c r="E10109" s="2350">
        <v>63</v>
      </c>
      <c r="F10109" s="2350">
        <v>30</v>
      </c>
    </row>
    <row r="10110" spans="1:6" x14ac:dyDescent="0.25">
      <c r="A10110" s="2349" t="s">
        <v>11060</v>
      </c>
      <c r="B10110" s="2349" t="s">
        <v>10781</v>
      </c>
      <c r="C10110" s="2349" t="s">
        <v>10781</v>
      </c>
      <c r="D10110" s="2349" t="s">
        <v>11062</v>
      </c>
      <c r="E10110" s="2350">
        <v>40</v>
      </c>
      <c r="F10110" s="2350">
        <v>25</v>
      </c>
    </row>
    <row r="10111" spans="1:6" x14ac:dyDescent="0.25">
      <c r="A10111" s="2349" t="s">
        <v>10855</v>
      </c>
      <c r="B10111" s="2349" t="s">
        <v>10781</v>
      </c>
      <c r="C10111" s="2349" t="s">
        <v>10781</v>
      </c>
      <c r="D10111" s="2349" t="s">
        <v>10857</v>
      </c>
      <c r="E10111" s="2350">
        <v>250</v>
      </c>
      <c r="F10111" s="2350">
        <v>150</v>
      </c>
    </row>
    <row r="10112" spans="1:6" x14ac:dyDescent="0.25">
      <c r="A10112" s="2349" t="s">
        <v>11063</v>
      </c>
      <c r="B10112" s="2349" t="s">
        <v>10781</v>
      </c>
      <c r="C10112" s="2349" t="s">
        <v>10781</v>
      </c>
      <c r="D10112" s="2349" t="s">
        <v>11064</v>
      </c>
      <c r="E10112" s="2350">
        <v>63</v>
      </c>
      <c r="F10112" s="2350">
        <v>35</v>
      </c>
    </row>
    <row r="10113" spans="1:6" x14ac:dyDescent="0.25">
      <c r="A10113" s="2349" t="s">
        <v>11065</v>
      </c>
      <c r="B10113" s="2349" t="s">
        <v>10781</v>
      </c>
      <c r="C10113" s="2349" t="s">
        <v>10781</v>
      </c>
      <c r="D10113" s="2349" t="s">
        <v>11066</v>
      </c>
      <c r="E10113" s="2350">
        <v>63</v>
      </c>
      <c r="F10113" s="2350">
        <v>25</v>
      </c>
    </row>
    <row r="10114" spans="1:6" x14ac:dyDescent="0.25">
      <c r="A10114" s="2349" t="s">
        <v>10896</v>
      </c>
      <c r="B10114" s="2349" t="s">
        <v>10781</v>
      </c>
      <c r="C10114" s="2349" t="s">
        <v>10781</v>
      </c>
      <c r="D10114" s="2349" t="s">
        <v>11067</v>
      </c>
      <c r="E10114" s="2350">
        <v>100</v>
      </c>
      <c r="F10114" s="2350">
        <v>45</v>
      </c>
    </row>
    <row r="10115" spans="1:6" x14ac:dyDescent="0.25">
      <c r="A10115" s="2349" t="s">
        <v>11068</v>
      </c>
      <c r="B10115" s="2349" t="s">
        <v>10781</v>
      </c>
      <c r="C10115" s="2349" t="s">
        <v>10781</v>
      </c>
      <c r="D10115" s="2349" t="s">
        <v>11069</v>
      </c>
      <c r="E10115" s="2350">
        <v>100</v>
      </c>
      <c r="F10115" s="2350">
        <v>45</v>
      </c>
    </row>
    <row r="10116" spans="1:6" x14ac:dyDescent="0.25">
      <c r="A10116" s="2349" t="s">
        <v>11070</v>
      </c>
      <c r="B10116" s="2349" t="s">
        <v>10781</v>
      </c>
      <c r="C10116" s="2349" t="s">
        <v>10781</v>
      </c>
      <c r="D10116" s="2349" t="s">
        <v>11071</v>
      </c>
      <c r="E10116" s="2350">
        <v>50</v>
      </c>
      <c r="F10116" s="2350">
        <v>35</v>
      </c>
    </row>
    <row r="10117" spans="1:6" x14ac:dyDescent="0.25">
      <c r="A10117" s="2349" t="s">
        <v>11072</v>
      </c>
      <c r="B10117" s="2349" t="s">
        <v>10781</v>
      </c>
      <c r="C10117" s="2349" t="s">
        <v>10781</v>
      </c>
      <c r="D10117" s="2349" t="s">
        <v>11073</v>
      </c>
      <c r="E10117" s="2350">
        <v>100</v>
      </c>
      <c r="F10117" s="2350">
        <v>35</v>
      </c>
    </row>
    <row r="10118" spans="1:6" x14ac:dyDescent="0.25">
      <c r="A10118" s="2349" t="s">
        <v>9793</v>
      </c>
      <c r="B10118" s="2349" t="s">
        <v>10781</v>
      </c>
      <c r="C10118" s="2349" t="s">
        <v>10781</v>
      </c>
      <c r="D10118" s="2349" t="s">
        <v>11074</v>
      </c>
      <c r="E10118" s="2350">
        <v>100</v>
      </c>
      <c r="F10118" s="2350">
        <v>85</v>
      </c>
    </row>
    <row r="10119" spans="1:6" x14ac:dyDescent="0.25">
      <c r="A10119" s="2349" t="s">
        <v>11075</v>
      </c>
      <c r="B10119" s="2349" t="s">
        <v>10781</v>
      </c>
      <c r="C10119" s="2349" t="s">
        <v>10781</v>
      </c>
      <c r="D10119" s="2349" t="s">
        <v>10783</v>
      </c>
      <c r="E10119" s="2350">
        <v>160</v>
      </c>
      <c r="F10119" s="2350">
        <v>65</v>
      </c>
    </row>
    <row r="10121" spans="1:6" ht="102" x14ac:dyDescent="0.25">
      <c r="A10121" s="2395" t="s">
        <v>20292</v>
      </c>
    </row>
  </sheetData>
  <autoFilter ref="A2:F9881"/>
  <mergeCells count="1">
    <mergeCell ref="A1:F1"/>
  </mergeCells>
  <pageMargins left="0.7" right="0.7" top="0.75" bottom="0.75" header="0.3" footer="0.3"/>
  <pageSetup paperSize="9" scale="8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 filterMode="1"/>
  <dimension ref="A1:AV461"/>
  <sheetViews>
    <sheetView topLeftCell="B1" zoomScale="85" zoomScaleNormal="85" workbookViewId="0">
      <selection activeCell="P251" sqref="P251"/>
    </sheetView>
  </sheetViews>
  <sheetFormatPr defaultRowHeight="15" x14ac:dyDescent="0.25"/>
  <cols>
    <col min="1" max="1" width="8.140625" style="232" hidden="1" customWidth="1"/>
    <col min="2" max="2" width="6" style="233" customWidth="1"/>
    <col min="3" max="3" width="30.85546875" style="233" customWidth="1"/>
    <col min="4" max="4" width="5.7109375" style="233" customWidth="1"/>
    <col min="5" max="5" width="2.28515625" style="233" customWidth="1"/>
    <col min="6" max="6" width="9.5703125" style="233" customWidth="1"/>
    <col min="7" max="7" width="2.28515625" style="233" customWidth="1"/>
    <col min="8" max="8" width="3.85546875" style="233" bestFit="1" customWidth="1"/>
    <col min="9" max="9" width="9.140625" style="232" hidden="1" customWidth="1"/>
    <col min="10" max="10" width="57.140625" style="240" customWidth="1"/>
    <col min="11" max="11" width="15.5703125" style="232" hidden="1" customWidth="1"/>
    <col min="12" max="12" width="12.7109375" style="232" hidden="1" customWidth="1"/>
    <col min="13" max="13" width="9.140625" style="232" hidden="1" customWidth="1"/>
    <col min="14" max="14" width="9.140625" style="233" customWidth="1"/>
    <col min="15" max="16384" width="9.140625" style="233"/>
  </cols>
  <sheetData>
    <row r="1" spans="1:48" ht="15" customHeight="1" x14ac:dyDescent="0.25">
      <c r="A1" s="2495" t="s">
        <v>20056</v>
      </c>
      <c r="B1" s="2496"/>
      <c r="C1" s="2496"/>
      <c r="D1" s="2496"/>
      <c r="E1" s="2496"/>
      <c r="F1" s="2496"/>
      <c r="G1" s="2496"/>
      <c r="H1" s="2496"/>
      <c r="I1" s="2495"/>
      <c r="J1" s="2497"/>
      <c r="K1" s="2496"/>
      <c r="L1" s="2496"/>
      <c r="M1" s="1225"/>
    </row>
    <row r="2" spans="1:48" ht="15.75" customHeight="1" x14ac:dyDescent="0.25">
      <c r="A2" s="2495"/>
      <c r="B2" s="2496"/>
      <c r="C2" s="2496"/>
      <c r="D2" s="2496"/>
      <c r="E2" s="2496"/>
      <c r="F2" s="2496"/>
      <c r="G2" s="2496"/>
      <c r="H2" s="2496"/>
      <c r="I2" s="2495"/>
      <c r="J2" s="2497"/>
      <c r="K2" s="2496"/>
      <c r="L2" s="2496"/>
      <c r="M2" s="1225"/>
    </row>
    <row r="3" spans="1:48" ht="15" customHeight="1" x14ac:dyDescent="0.25">
      <c r="A3" s="2498"/>
      <c r="B3" s="2499"/>
      <c r="C3" s="2499"/>
      <c r="D3" s="2499"/>
      <c r="E3" s="2499"/>
      <c r="F3" s="2499"/>
      <c r="G3" s="2499"/>
      <c r="H3" s="2499"/>
      <c r="I3" s="2498"/>
      <c r="J3" s="2500"/>
      <c r="K3" s="2499"/>
      <c r="L3" s="2499"/>
      <c r="M3" s="1225"/>
    </row>
    <row r="4" spans="1:48" ht="19.5" customHeight="1" x14ac:dyDescent="0.25">
      <c r="A4" s="2504" t="str">
        <f>Итоговая!B5</f>
        <v>№п/п</v>
      </c>
      <c r="B4" s="2503" t="s">
        <v>774</v>
      </c>
      <c r="C4" s="2503" t="str">
        <f>Итоговая!C5</f>
        <v>Наименование объекта центра питания, класс напряжения</v>
      </c>
      <c r="D4" s="2504" t="str">
        <f>Итоговая!D5</f>
        <v xml:space="preserve">Текущий дефицит </v>
      </c>
      <c r="E4" s="2511"/>
      <c r="F4" s="2511"/>
      <c r="G4" s="2511"/>
      <c r="H4" s="2512"/>
      <c r="I4" s="2504"/>
      <c r="J4" s="2513"/>
      <c r="K4" s="2503" t="str">
        <f>Итоговая!S5</f>
        <v>Примечание</v>
      </c>
      <c r="L4" s="2504" t="str">
        <f>Итоговая!T5</f>
        <v>Примечание</v>
      </c>
      <c r="M4" s="2503" t="str">
        <f>Итоговая!U5</f>
        <v>Процент загрузки к номинальной мощности, %</v>
      </c>
    </row>
    <row r="5" spans="1:48" ht="15" customHeight="1" x14ac:dyDescent="0.25">
      <c r="A5" s="2504"/>
      <c r="B5" s="2503"/>
      <c r="C5" s="2503"/>
      <c r="D5" s="2505" t="str">
        <f>Итоговая!D6</f>
        <v>Установленная мощность трансформаторов Sуст. с указанием их количества, шт/ МВА</v>
      </c>
      <c r="E5" s="2506"/>
      <c r="F5" s="2506"/>
      <c r="G5" s="2506"/>
      <c r="H5" s="2507"/>
      <c r="I5" s="2505" t="str">
        <f>Итоговая!Q6</f>
        <v>Дефицит/профицит  ЦП, МВА</v>
      </c>
      <c r="J5" s="2514"/>
      <c r="K5" s="2503"/>
      <c r="L5" s="2504"/>
      <c r="M5" s="2503"/>
    </row>
    <row r="6" spans="1:48" x14ac:dyDescent="0.25">
      <c r="A6" s="2504"/>
      <c r="B6" s="2503"/>
      <c r="C6" s="2503"/>
      <c r="D6" s="2508"/>
      <c r="E6" s="2509"/>
      <c r="F6" s="2509"/>
      <c r="G6" s="2509"/>
      <c r="H6" s="2510"/>
      <c r="I6" s="2508"/>
      <c r="J6" s="2515"/>
      <c r="K6" s="2503"/>
      <c r="L6" s="2504"/>
      <c r="M6" s="2503"/>
    </row>
    <row r="7" spans="1:48" s="232" customFormat="1" hidden="1" x14ac:dyDescent="0.25">
      <c r="A7" s="898">
        <f>Итоговая!B8</f>
        <v>1</v>
      </c>
      <c r="B7" s="899"/>
      <c r="C7" s="867">
        <f>Итоговая!C8</f>
        <v>2</v>
      </c>
      <c r="D7" s="2516">
        <f>Итоговая!D8</f>
        <v>3</v>
      </c>
      <c r="E7" s="2517"/>
      <c r="F7" s="2517"/>
      <c r="G7" s="2517"/>
      <c r="H7" s="2518"/>
      <c r="I7" s="899">
        <f>Итоговая!Q8</f>
        <v>10</v>
      </c>
      <c r="J7" s="901">
        <f>Итоговая!R8</f>
        <v>11</v>
      </c>
      <c r="K7" s="900">
        <f>Итоговая!S8</f>
        <v>12</v>
      </c>
      <c r="L7" s="898">
        <f>Итоговая!T8</f>
        <v>13</v>
      </c>
      <c r="M7" s="899">
        <f>Итоговая!U8</f>
        <v>13</v>
      </c>
      <c r="N7" s="233"/>
      <c r="O7" s="233"/>
      <c r="P7" s="233"/>
      <c r="Q7" s="233"/>
      <c r="R7" s="233"/>
      <c r="S7" s="233"/>
      <c r="T7" s="233"/>
      <c r="U7" s="233"/>
      <c r="V7" s="233"/>
      <c r="W7" s="233"/>
      <c r="X7" s="233"/>
      <c r="Y7" s="233"/>
      <c r="Z7" s="233"/>
      <c r="AA7" s="233"/>
      <c r="AB7" s="233"/>
      <c r="AC7" s="233"/>
      <c r="AD7" s="233"/>
      <c r="AE7" s="233"/>
      <c r="AF7" s="233"/>
      <c r="AG7" s="233"/>
      <c r="AH7" s="233"/>
      <c r="AI7" s="233"/>
      <c r="AJ7" s="233"/>
      <c r="AK7" s="233"/>
      <c r="AL7" s="233"/>
      <c r="AM7" s="233"/>
      <c r="AN7" s="233"/>
      <c r="AO7" s="233"/>
      <c r="AP7" s="233"/>
      <c r="AQ7" s="233"/>
      <c r="AR7" s="233"/>
      <c r="AS7" s="233"/>
      <c r="AT7" s="233"/>
      <c r="AU7" s="233"/>
      <c r="AV7" s="233"/>
    </row>
    <row r="8" spans="1:48" s="232" customFormat="1" hidden="1" x14ac:dyDescent="0.25">
      <c r="A8" s="212">
        <f>Итоговая!A9</f>
        <v>1</v>
      </c>
      <c r="B8" s="212">
        <f>COUNTIFS($C$8:C8,"*ПС*",$L$8:L8,"*закрыт*")</f>
        <v>0</v>
      </c>
      <c r="C8" s="213" t="str">
        <f>Итоговая!C9</f>
        <v>ПС  35/10 кВ Алексейково</v>
      </c>
      <c r="D8" s="230">
        <f>Итоговая!D9</f>
        <v>1.6</v>
      </c>
      <c r="E8" s="229">
        <f>Итоговая!E9</f>
        <v>0</v>
      </c>
      <c r="F8" s="229">
        <f>Итоговая!F9</f>
        <v>0</v>
      </c>
      <c r="G8" s="229">
        <f>Итоговая!G9</f>
        <v>0</v>
      </c>
      <c r="H8" s="229">
        <f>Итоговая!H9</f>
        <v>0</v>
      </c>
      <c r="I8" s="172">
        <f>Итоговая!Q9</f>
        <v>0.52999999999999992</v>
      </c>
      <c r="J8" s="172">
        <f>Итоговая!R9</f>
        <v>0.52999999999999992</v>
      </c>
      <c r="K8" s="242" t="str">
        <f>Итоговая!S9</f>
        <v>открыт</v>
      </c>
      <c r="L8" s="259" t="str">
        <f>Итоговая!T9</f>
        <v>открыт</v>
      </c>
      <c r="M8" s="757">
        <f>Итоговая!U9</f>
        <v>39.285714285714285</v>
      </c>
      <c r="N8" s="903"/>
      <c r="O8" s="233"/>
    </row>
    <row r="9" spans="1:48" s="232" customFormat="1" hidden="1" x14ac:dyDescent="0.25">
      <c r="A9" s="212">
        <f>Итоговая!A10</f>
        <v>2</v>
      </c>
      <c r="B9" s="1221">
        <f>COUNTIFS($C$8:C9,"*ПС*",$L$8:L9,"*закрыт*")</f>
        <v>0</v>
      </c>
      <c r="C9" s="212" t="str">
        <f>Итоговая!C10</f>
        <v xml:space="preserve">ПС 35/10 кВ Беляницы </v>
      </c>
      <c r="D9" s="230">
        <f>Итоговая!D10</f>
        <v>1.6</v>
      </c>
      <c r="E9" s="229">
        <f>Итоговая!E10</f>
        <v>0</v>
      </c>
      <c r="F9" s="229">
        <f>Итоговая!F10</f>
        <v>0</v>
      </c>
      <c r="G9" s="229">
        <f>Итоговая!G10</f>
        <v>0</v>
      </c>
      <c r="H9" s="229">
        <f>Итоговая!H10</f>
        <v>0</v>
      </c>
      <c r="I9" s="172">
        <f>Итоговая!Q10</f>
        <v>0.90999999999999992</v>
      </c>
      <c r="J9" s="172">
        <f>Итоговая!R10</f>
        <v>0.90999999999999992</v>
      </c>
      <c r="K9" s="212" t="str">
        <f>Итоговая!S10</f>
        <v>открыт</v>
      </c>
      <c r="L9" s="259" t="str">
        <f>Итоговая!T10</f>
        <v>открыт</v>
      </c>
      <c r="M9" s="757">
        <f>Итоговая!U10</f>
        <v>32.142857142857139</v>
      </c>
      <c r="N9" s="902"/>
      <c r="O9" s="902"/>
      <c r="P9" s="902"/>
    </row>
    <row r="10" spans="1:48" x14ac:dyDescent="0.25">
      <c r="A10" s="212">
        <f>Итоговая!A11</f>
        <v>3</v>
      </c>
      <c r="B10" s="1221">
        <f>COUNTIFS($C$8:C10,"*ПС*",$L$8:L10,"*закрыт*")</f>
        <v>1</v>
      </c>
      <c r="C10" s="212" t="str">
        <f>Итоговая!C11</f>
        <v xml:space="preserve">ПС 35/10 кВ Борисовское </v>
      </c>
      <c r="D10" s="230">
        <f>Итоговая!D11</f>
        <v>1</v>
      </c>
      <c r="E10" s="229">
        <f>Итоговая!E11</f>
        <v>0</v>
      </c>
      <c r="F10" s="229">
        <f>Итоговая!F11</f>
        <v>0</v>
      </c>
      <c r="G10" s="229">
        <f>Итоговая!G11</f>
        <v>0</v>
      </c>
      <c r="H10" s="229">
        <f>Итоговая!H11</f>
        <v>0</v>
      </c>
      <c r="I10" s="172">
        <f>Итоговая!Q11</f>
        <v>-0.11</v>
      </c>
      <c r="J10" s="172">
        <f>Итоговая!R11</f>
        <v>-0.11</v>
      </c>
      <c r="K10" s="212" t="str">
        <f>Итоговая!S11</f>
        <v>закрыт</v>
      </c>
      <c r="L10" s="259" t="str">
        <f>Итоговая!T11</f>
        <v>закрыт</v>
      </c>
      <c r="M10" s="757">
        <f>Итоговая!U11</f>
        <v>10.476190476190476</v>
      </c>
      <c r="N10" s="907"/>
      <c r="O10" s="907"/>
      <c r="P10" s="907"/>
    </row>
    <row r="11" spans="1:48" s="232" customFormat="1" hidden="1" x14ac:dyDescent="0.25">
      <c r="A11" s="212">
        <f>Итоговая!A12</f>
        <v>4</v>
      </c>
      <c r="B11" s="1221">
        <f>COUNTIFS($C$8:C11,"*ПС*",$L$8:L11,"*закрыт*")</f>
        <v>1</v>
      </c>
      <c r="C11" s="212" t="str">
        <f>Итоговая!C12</f>
        <v xml:space="preserve">ПС 35/10 кВ Высокуша  </v>
      </c>
      <c r="D11" s="230">
        <f>Итоговая!D12</f>
        <v>1.6</v>
      </c>
      <c r="E11" s="229">
        <f>Итоговая!E12</f>
        <v>0</v>
      </c>
      <c r="F11" s="229">
        <f>Итоговая!F12</f>
        <v>0</v>
      </c>
      <c r="G11" s="229">
        <f>Итоговая!G12</f>
        <v>0</v>
      </c>
      <c r="H11" s="229">
        <f>Итоговая!H12</f>
        <v>0</v>
      </c>
      <c r="I11" s="172">
        <f>Итоговая!Q12</f>
        <v>0.7</v>
      </c>
      <c r="J11" s="172">
        <f>Итоговая!R12</f>
        <v>0.7</v>
      </c>
      <c r="K11" s="212" t="str">
        <f>Итоговая!S12</f>
        <v>открыт</v>
      </c>
      <c r="L11" s="259" t="str">
        <f>Итоговая!T12</f>
        <v>открыт</v>
      </c>
      <c r="M11" s="757">
        <f>Итоговая!U12</f>
        <v>10.119047619047619</v>
      </c>
      <c r="N11" s="902"/>
      <c r="O11" s="902"/>
      <c r="P11" s="902"/>
    </row>
    <row r="12" spans="1:48" x14ac:dyDescent="0.25">
      <c r="A12" s="212">
        <f>Итоговая!A13</f>
        <v>5</v>
      </c>
      <c r="B12" s="1221">
        <f>COUNTIFS($C$8:C12,"*ПС*",$L$8:L12,"*закрыт*")</f>
        <v>2</v>
      </c>
      <c r="C12" s="212" t="str">
        <f>Итоговая!C13</f>
        <v xml:space="preserve">ПС 35/10 кВ Гостиница </v>
      </c>
      <c r="D12" s="230">
        <f>Итоговая!D13</f>
        <v>1.6</v>
      </c>
      <c r="E12" s="229">
        <f>Итоговая!E13</f>
        <v>0</v>
      </c>
      <c r="F12" s="229">
        <f>Итоговая!F13</f>
        <v>0</v>
      </c>
      <c r="G12" s="229">
        <f>Итоговая!G13</f>
        <v>0</v>
      </c>
      <c r="H12" s="229">
        <f>Итоговая!H13</f>
        <v>0</v>
      </c>
      <c r="I12" s="172">
        <f>Итоговая!Q13</f>
        <v>-0.18</v>
      </c>
      <c r="J12" s="172">
        <f>Итоговая!R13</f>
        <v>-0.18</v>
      </c>
      <c r="K12" s="212" t="str">
        <f>Итоговая!S13</f>
        <v>закрыт</v>
      </c>
      <c r="L12" s="259" t="str">
        <f>Итоговая!T13</f>
        <v>закрыт</v>
      </c>
      <c r="M12" s="757">
        <f>Итоговая!U13</f>
        <v>10.714285714285714</v>
      </c>
      <c r="N12" s="907"/>
      <c r="O12" s="907"/>
      <c r="P12" s="907"/>
    </row>
    <row r="13" spans="1:48" s="232" customFormat="1" hidden="1" x14ac:dyDescent="0.25">
      <c r="A13" s="212">
        <f>Итоговая!A14</f>
        <v>6</v>
      </c>
      <c r="B13" s="1221">
        <f>COUNTIFS($C$8:C13,"*ПС*",$L$8:L13,"*закрыт*")</f>
        <v>2</v>
      </c>
      <c r="C13" s="212" t="str">
        <f>Итоговая!C14</f>
        <v xml:space="preserve">ПС  35/10 кВ Григорово </v>
      </c>
      <c r="D13" s="230">
        <f>Итоговая!D14</f>
        <v>2.5</v>
      </c>
      <c r="E13" s="229">
        <f>Итоговая!E14</f>
        <v>0</v>
      </c>
      <c r="F13" s="229">
        <f>Итоговая!F14</f>
        <v>0</v>
      </c>
      <c r="G13" s="229">
        <f>Итоговая!G14</f>
        <v>0</v>
      </c>
      <c r="H13" s="229">
        <f>Итоговая!H14</f>
        <v>0</v>
      </c>
      <c r="I13" s="172">
        <f>Итоговая!Q14</f>
        <v>0.58000000000000007</v>
      </c>
      <c r="J13" s="172">
        <f>Итоговая!R14</f>
        <v>0.58000000000000007</v>
      </c>
      <c r="K13" s="212" t="str">
        <f>Итоговая!S14</f>
        <v>открыт</v>
      </c>
      <c r="L13" s="259" t="str">
        <f>Итоговая!T14</f>
        <v>открыт</v>
      </c>
      <c r="M13" s="757">
        <f>Итоговая!U14</f>
        <v>8.7619047619047628</v>
      </c>
      <c r="N13" s="902"/>
      <c r="O13" s="902"/>
      <c r="P13" s="902"/>
    </row>
    <row r="14" spans="1:48" s="232" customFormat="1" hidden="1" x14ac:dyDescent="0.25">
      <c r="A14" s="212">
        <f>Итоговая!A15</f>
        <v>7</v>
      </c>
      <c r="B14" s="1221">
        <f>COUNTIFS($C$8:C14,"*ПС*",$L$8:L14,"*закрыт*")</f>
        <v>2</v>
      </c>
      <c r="C14" s="212" t="str">
        <f>Итоговая!C15</f>
        <v xml:space="preserve">ПС 35/10 кВ Деледино </v>
      </c>
      <c r="D14" s="230">
        <f>Итоговая!D15</f>
        <v>4</v>
      </c>
      <c r="E14" s="229">
        <f>Итоговая!E15</f>
        <v>0</v>
      </c>
      <c r="F14" s="229">
        <f>Итоговая!F15</f>
        <v>0</v>
      </c>
      <c r="G14" s="229">
        <f>Итоговая!G15</f>
        <v>0</v>
      </c>
      <c r="H14" s="229">
        <f>Итоговая!H15</f>
        <v>0</v>
      </c>
      <c r="I14" s="172">
        <f>Итоговая!Q15</f>
        <v>0.51</v>
      </c>
      <c r="J14" s="172">
        <f>Итоговая!R15</f>
        <v>0.51</v>
      </c>
      <c r="K14" s="212" t="str">
        <f>Итоговая!S15</f>
        <v>открыт</v>
      </c>
      <c r="L14" s="259" t="str">
        <f>Итоговая!T15</f>
        <v>открыт</v>
      </c>
      <c r="M14" s="757">
        <f>Итоговая!U15</f>
        <v>4.2857142857142856</v>
      </c>
      <c r="N14" s="902"/>
      <c r="O14" s="902"/>
      <c r="P14" s="902"/>
    </row>
    <row r="15" spans="1:48" s="232" customFormat="1" hidden="1" x14ac:dyDescent="0.25">
      <c r="A15" s="212">
        <f>Итоговая!A16</f>
        <v>8</v>
      </c>
      <c r="B15" s="1221">
        <f>COUNTIFS($C$8:C15,"*ПС*",$L$8:L15,"*закрыт*")</f>
        <v>2</v>
      </c>
      <c r="C15" s="212" t="str">
        <f>Итоговая!C16</f>
        <v xml:space="preserve">ПС 35/10 кВ Зараменье </v>
      </c>
      <c r="D15" s="230">
        <f>Итоговая!D16</f>
        <v>1.6</v>
      </c>
      <c r="E15" s="229">
        <f>Итоговая!E16</f>
        <v>0</v>
      </c>
      <c r="F15" s="229">
        <f>Итоговая!F16</f>
        <v>0</v>
      </c>
      <c r="G15" s="229">
        <f>Итоговая!G16</f>
        <v>0</v>
      </c>
      <c r="H15" s="229">
        <f>Итоговая!H16</f>
        <v>0</v>
      </c>
      <c r="I15" s="172">
        <f>Итоговая!Q16</f>
        <v>0.75</v>
      </c>
      <c r="J15" s="172">
        <f>Итоговая!R16</f>
        <v>0.75</v>
      </c>
      <c r="K15" s="212" t="str">
        <f>Итоговая!S16</f>
        <v>открыт</v>
      </c>
      <c r="L15" s="259" t="str">
        <f>Итоговая!T16</f>
        <v>открыт</v>
      </c>
      <c r="M15" s="757">
        <f>Итоговая!U16</f>
        <v>16.666666666666668</v>
      </c>
      <c r="N15" s="902"/>
      <c r="O15" s="902"/>
      <c r="P15" s="902"/>
    </row>
    <row r="16" spans="1:48" s="232" customFormat="1" hidden="1" x14ac:dyDescent="0.25">
      <c r="A16" s="212">
        <f>Итоговая!A17</f>
        <v>9</v>
      </c>
      <c r="B16" s="1221">
        <f>COUNTIFS($C$8:C16,"*ПС*",$L$8:L16,"*закрыт*")</f>
        <v>2</v>
      </c>
      <c r="C16" s="212" t="str">
        <f>Итоговая!C17</f>
        <v xml:space="preserve">ПС 35/10 кВ Зобы </v>
      </c>
      <c r="D16" s="230">
        <f>Итоговая!D17</f>
        <v>2.5</v>
      </c>
      <c r="E16" s="229">
        <f>Итоговая!E17</f>
        <v>0</v>
      </c>
      <c r="F16" s="229">
        <f>Итоговая!F17</f>
        <v>0</v>
      </c>
      <c r="G16" s="229">
        <f>Итоговая!G17</f>
        <v>0</v>
      </c>
      <c r="H16" s="229">
        <f>Итоговая!H17</f>
        <v>0</v>
      </c>
      <c r="I16" s="172">
        <f>Итоговая!Q17</f>
        <v>2.76</v>
      </c>
      <c r="J16" s="172">
        <f>Итоговая!R17</f>
        <v>2.76</v>
      </c>
      <c r="K16" s="212" t="str">
        <f>Итоговая!S17</f>
        <v>открыт</v>
      </c>
      <c r="L16" s="259" t="str">
        <f>Итоговая!T17</f>
        <v>открыт</v>
      </c>
      <c r="M16" s="757">
        <f>Итоговая!U17</f>
        <v>6.8571428571428568</v>
      </c>
      <c r="N16" s="902"/>
      <c r="O16" s="902"/>
      <c r="P16" s="902"/>
    </row>
    <row r="17" spans="1:48" s="232" customFormat="1" hidden="1" x14ac:dyDescent="0.25">
      <c r="A17" s="212">
        <f>Итоговая!A18</f>
        <v>10</v>
      </c>
      <c r="B17" s="1221">
        <f>COUNTIFS($C$8:C17,"*ПС*",$L$8:L17,"*закрыт*")</f>
        <v>2</v>
      </c>
      <c r="C17" s="212" t="str">
        <f>Итоговая!C18</f>
        <v xml:space="preserve">ПС 35/10 кВ Кой  </v>
      </c>
      <c r="D17" s="230">
        <f>Итоговая!D18</f>
        <v>1.8</v>
      </c>
      <c r="E17" s="229">
        <f>Итоговая!E18</f>
        <v>0</v>
      </c>
      <c r="F17" s="229">
        <f>Итоговая!F18</f>
        <v>0</v>
      </c>
      <c r="G17" s="229">
        <f>Итоговая!G18</f>
        <v>0</v>
      </c>
      <c r="H17" s="229">
        <f>Итоговая!H18</f>
        <v>0</v>
      </c>
      <c r="I17" s="172">
        <f>Итоговая!Q18</f>
        <v>0.47</v>
      </c>
      <c r="J17" s="172">
        <f>Итоговая!R18</f>
        <v>0.47</v>
      </c>
      <c r="K17" s="212" t="str">
        <f>Итоговая!S18</f>
        <v>открыт</v>
      </c>
      <c r="L17" s="259" t="str">
        <f>Итоговая!T18</f>
        <v>открыт</v>
      </c>
      <c r="M17" s="757">
        <f>Итоговая!U18</f>
        <v>13.756613756613756</v>
      </c>
      <c r="N17" s="902"/>
      <c r="O17" s="902"/>
      <c r="P17" s="902"/>
    </row>
    <row r="18" spans="1:48" s="232" customFormat="1" hidden="1" x14ac:dyDescent="0.25">
      <c r="A18" s="212">
        <f>Итоговая!A19</f>
        <v>11</v>
      </c>
      <c r="B18" s="1221">
        <f>COUNTIFS($C$8:C18,"*ПС*",$L$8:L18,"*закрыт*")</f>
        <v>2</v>
      </c>
      <c r="C18" s="212" t="str">
        <f>Итоговая!C19</f>
        <v xml:space="preserve">ПС 35/10 кВ Ладожское  </v>
      </c>
      <c r="D18" s="230">
        <f>Итоговая!D19</f>
        <v>1.6</v>
      </c>
      <c r="E18" s="229">
        <f>Итоговая!E19</f>
        <v>0</v>
      </c>
      <c r="F18" s="229">
        <f>Итоговая!F19</f>
        <v>0</v>
      </c>
      <c r="G18" s="229">
        <f>Итоговая!G19</f>
        <v>0</v>
      </c>
      <c r="H18" s="229">
        <f>Итоговая!H19</f>
        <v>0</v>
      </c>
      <c r="I18" s="172">
        <f>Итоговая!Q19</f>
        <v>1.24</v>
      </c>
      <c r="J18" s="172">
        <f>Итоговая!R19</f>
        <v>1.24</v>
      </c>
      <c r="K18" s="212" t="str">
        <f>Итоговая!S19</f>
        <v>открыт</v>
      </c>
      <c r="L18" s="259" t="str">
        <f>Итоговая!T19</f>
        <v>открыт</v>
      </c>
      <c r="M18" s="757">
        <f>Итоговая!U19</f>
        <v>6.5476190476190466</v>
      </c>
      <c r="N18" s="902"/>
      <c r="O18" s="902"/>
      <c r="P18" s="902"/>
    </row>
    <row r="19" spans="1:48" s="232" customFormat="1" hidden="1" x14ac:dyDescent="0.25">
      <c r="A19" s="212">
        <f>Итоговая!A20</f>
        <v>12</v>
      </c>
      <c r="B19" s="1221">
        <f>COUNTIFS($C$8:C19,"*ПС*",$L$8:L19,"*закрыт*")</f>
        <v>2</v>
      </c>
      <c r="C19" s="212" t="str">
        <f>Итоговая!C20</f>
        <v xml:space="preserve">ПС 35/10 кВ Литвиново </v>
      </c>
      <c r="D19" s="230">
        <f>Итоговая!D20</f>
        <v>4</v>
      </c>
      <c r="E19" s="229">
        <f>Итоговая!E20</f>
        <v>0</v>
      </c>
      <c r="F19" s="229">
        <f>Итоговая!F20</f>
        <v>0</v>
      </c>
      <c r="G19" s="229">
        <f>Итоговая!G20</f>
        <v>0</v>
      </c>
      <c r="H19" s="229">
        <f>Итоговая!H20</f>
        <v>0</v>
      </c>
      <c r="I19" s="172">
        <f>Итоговая!Q20</f>
        <v>0.83</v>
      </c>
      <c r="J19" s="172">
        <f>Итоговая!R20</f>
        <v>0.83</v>
      </c>
      <c r="K19" s="212" t="str">
        <f>Итоговая!S20</f>
        <v>открыт</v>
      </c>
      <c r="L19" s="259" t="str">
        <f>Итоговая!T20</f>
        <v>открыт</v>
      </c>
      <c r="M19" s="757">
        <f>Итоговая!U20</f>
        <v>4.0476190476190474</v>
      </c>
      <c r="N19" s="902"/>
      <c r="O19" s="902"/>
      <c r="P19" s="902"/>
    </row>
    <row r="20" spans="1:48" s="232" customFormat="1" hidden="1" x14ac:dyDescent="0.25">
      <c r="A20" s="212">
        <f>Итоговая!A21</f>
        <v>13</v>
      </c>
      <c r="B20" s="1221">
        <f>COUNTIFS($C$8:C20,"*ПС*",$L$8:L20,"*закрыт*")</f>
        <v>2</v>
      </c>
      <c r="C20" s="212" t="str">
        <f>Итоговая!C21</f>
        <v xml:space="preserve">ПС 35/10 кВ Лощемля  </v>
      </c>
      <c r="D20" s="230">
        <f>Итоговая!D21</f>
        <v>2.5</v>
      </c>
      <c r="E20" s="229">
        <f>Итоговая!E21</f>
        <v>0</v>
      </c>
      <c r="F20" s="229">
        <f>Итоговая!F21</f>
        <v>0</v>
      </c>
      <c r="G20" s="229">
        <f>Итоговая!G21</f>
        <v>0</v>
      </c>
      <c r="H20" s="229">
        <f>Итоговая!H21</f>
        <v>0</v>
      </c>
      <c r="I20" s="172">
        <f>Итоговая!Q21</f>
        <v>0.46</v>
      </c>
      <c r="J20" s="172">
        <f>Итоговая!R21</f>
        <v>0.46</v>
      </c>
      <c r="K20" s="212" t="str">
        <f>Итоговая!S21</f>
        <v>открыт</v>
      </c>
      <c r="L20" s="259" t="str">
        <f>Итоговая!T21</f>
        <v>открыт</v>
      </c>
      <c r="M20" s="757">
        <f>Итоговая!U21</f>
        <v>11.80952380952381</v>
      </c>
      <c r="N20" s="902"/>
      <c r="O20" s="902"/>
      <c r="P20" s="902"/>
    </row>
    <row r="21" spans="1:48" s="232" customFormat="1" hidden="1" x14ac:dyDescent="0.25">
      <c r="A21" s="212">
        <f>Итоговая!A22</f>
        <v>14</v>
      </c>
      <c r="B21" s="1221">
        <f>COUNTIFS($C$8:C21,"*ПС*",$L$8:L21,"*закрыт*")</f>
        <v>2</v>
      </c>
      <c r="C21" s="212" t="str">
        <f>Итоговая!C22</f>
        <v xml:space="preserve">ПС 35/10 кВ Любегощи </v>
      </c>
      <c r="D21" s="230">
        <f>Итоговая!D22</f>
        <v>1.8</v>
      </c>
      <c r="E21" s="229">
        <f>Итоговая!E22</f>
        <v>0</v>
      </c>
      <c r="F21" s="229">
        <f>Итоговая!F22</f>
        <v>0</v>
      </c>
      <c r="G21" s="229">
        <f>Итоговая!G22</f>
        <v>0</v>
      </c>
      <c r="H21" s="229">
        <f>Итоговая!H22</f>
        <v>0</v>
      </c>
      <c r="I21" s="172">
        <f>Итоговая!Q22</f>
        <v>0.9900000000000001</v>
      </c>
      <c r="J21" s="172">
        <f>Итоговая!R22</f>
        <v>0.9900000000000001</v>
      </c>
      <c r="K21" s="212" t="str">
        <f>Итоговая!S22</f>
        <v>открыт</v>
      </c>
      <c r="L21" s="259" t="str">
        <f>Итоговая!T22</f>
        <v>открыт</v>
      </c>
      <c r="M21" s="757">
        <f>Итоговая!U22</f>
        <v>19.047619047619047</v>
      </c>
      <c r="N21" s="902"/>
      <c r="O21" s="902"/>
      <c r="P21" s="902"/>
    </row>
    <row r="22" spans="1:48" s="232" customFormat="1" hidden="1" x14ac:dyDescent="0.25">
      <c r="A22" s="212">
        <f>Итоговая!A23</f>
        <v>15</v>
      </c>
      <c r="B22" s="1221">
        <f>COUNTIFS($C$8:C22,"*ПС*",$L$8:L22,"*закрыт*")</f>
        <v>2</v>
      </c>
      <c r="C22" s="212" t="str">
        <f>Итоговая!C23</f>
        <v xml:space="preserve">ПС 35/10 кВ Мартыново </v>
      </c>
      <c r="D22" s="230">
        <f>Итоговая!D23</f>
        <v>1.6</v>
      </c>
      <c r="E22" s="229">
        <f>Итоговая!E23</f>
        <v>0</v>
      </c>
      <c r="F22" s="229">
        <f>Итоговая!F23</f>
        <v>0</v>
      </c>
      <c r="G22" s="229">
        <f>Итоговая!G23</f>
        <v>0</v>
      </c>
      <c r="H22" s="229">
        <f>Итоговая!H23</f>
        <v>0</v>
      </c>
      <c r="I22" s="172">
        <f>Итоговая!Q23</f>
        <v>0.6</v>
      </c>
      <c r="J22" s="172">
        <f>Итоговая!R23</f>
        <v>0.6</v>
      </c>
      <c r="K22" s="212" t="str">
        <f>Итоговая!S23</f>
        <v>открыт</v>
      </c>
      <c r="L22" s="259" t="str">
        <f>Итоговая!T23</f>
        <v>открыт</v>
      </c>
      <c r="M22" s="757">
        <f>Итоговая!U23</f>
        <v>5.9523809523809517</v>
      </c>
      <c r="N22" s="902"/>
      <c r="O22" s="902"/>
      <c r="P22" s="902"/>
    </row>
    <row r="23" spans="1:48" s="232" customFormat="1" hidden="1" x14ac:dyDescent="0.25">
      <c r="A23" s="212">
        <f>Итоговая!A24</f>
        <v>16</v>
      </c>
      <c r="B23" s="1221">
        <f>COUNTIFS($C$8:C23,"*ПС*",$L$8:L23,"*закрыт*")</f>
        <v>2</v>
      </c>
      <c r="C23" s="212" t="str">
        <f>Итоговая!C24</f>
        <v xml:space="preserve">ПС 35/10 кВ Михайловское  </v>
      </c>
      <c r="D23" s="230">
        <f>Итоговая!D24</f>
        <v>2.5</v>
      </c>
      <c r="E23" s="229">
        <f>Итоговая!E24</f>
        <v>0</v>
      </c>
      <c r="F23" s="229">
        <f>Итоговая!F24</f>
        <v>0</v>
      </c>
      <c r="G23" s="229">
        <f>Итоговая!G24</f>
        <v>0</v>
      </c>
      <c r="H23" s="229">
        <f>Итоговая!H24</f>
        <v>0</v>
      </c>
      <c r="I23" s="172">
        <f>Итоговая!Q24</f>
        <v>1.19</v>
      </c>
      <c r="J23" s="172">
        <f>Итоговая!R24</f>
        <v>1.19</v>
      </c>
      <c r="K23" s="212" t="str">
        <f>Итоговая!S24</f>
        <v>открыт</v>
      </c>
      <c r="L23" s="259" t="str">
        <f>Итоговая!T24</f>
        <v>открыт</v>
      </c>
      <c r="M23" s="757">
        <f>Итоговая!U24</f>
        <v>4.9523809523809526</v>
      </c>
      <c r="N23" s="902"/>
      <c r="O23" s="902"/>
      <c r="P23" s="902"/>
    </row>
    <row r="24" spans="1:48" s="232" customFormat="1" hidden="1" x14ac:dyDescent="0.25">
      <c r="A24" s="212">
        <f>Итоговая!A25</f>
        <v>17</v>
      </c>
      <c r="B24" s="1221">
        <f>COUNTIFS($C$8:C24,"*ПС*",$L$8:L24,"*закрыт*")</f>
        <v>2</v>
      </c>
      <c r="C24" s="212" t="str">
        <f>Итоговая!C25</f>
        <v xml:space="preserve">ПС 35/10 кВ Морозово  </v>
      </c>
      <c r="D24" s="230">
        <f>Итоговая!D25</f>
        <v>2.5</v>
      </c>
      <c r="E24" s="229">
        <f>Итоговая!E25</f>
        <v>0</v>
      </c>
      <c r="F24" s="229">
        <f>Итоговая!F25</f>
        <v>0</v>
      </c>
      <c r="G24" s="229">
        <f>Итоговая!G25</f>
        <v>0</v>
      </c>
      <c r="H24" s="229">
        <f>Итоговая!H25</f>
        <v>0</v>
      </c>
      <c r="I24" s="172">
        <f>Итоговая!Q25</f>
        <v>0.75</v>
      </c>
      <c r="J24" s="172">
        <f>Итоговая!R25</f>
        <v>0.75</v>
      </c>
      <c r="K24" s="212" t="str">
        <f>Итоговая!S25</f>
        <v>открыт</v>
      </c>
      <c r="L24" s="259" t="str">
        <f>Итоговая!T25</f>
        <v>открыт</v>
      </c>
      <c r="M24" s="757">
        <f>Итоговая!U25</f>
        <v>6.0952380952380949</v>
      </c>
      <c r="N24" s="902"/>
      <c r="O24" s="902"/>
      <c r="P24" s="902"/>
    </row>
    <row r="25" spans="1:48" s="232" customFormat="1" hidden="1" x14ac:dyDescent="0.25">
      <c r="A25" s="212">
        <f>Итоговая!A26</f>
        <v>18</v>
      </c>
      <c r="B25" s="1221">
        <f>COUNTIFS($C$8:C25,"*ПС*",$L$8:L25,"*закрыт*")</f>
        <v>2</v>
      </c>
      <c r="C25" s="212" t="str">
        <f>Итоговая!C26</f>
        <v xml:space="preserve">ПС 35/10 кВ Поповка </v>
      </c>
      <c r="D25" s="230">
        <f>Итоговая!D26</f>
        <v>1.6</v>
      </c>
      <c r="E25" s="229">
        <f>Итоговая!E26</f>
        <v>0</v>
      </c>
      <c r="F25" s="229">
        <f>Итоговая!F26</f>
        <v>0</v>
      </c>
      <c r="G25" s="229">
        <f>Итоговая!G26</f>
        <v>0</v>
      </c>
      <c r="H25" s="229">
        <f>Итоговая!H26</f>
        <v>0</v>
      </c>
      <c r="I25" s="172">
        <f>Итоговая!Q26</f>
        <v>0.6399999999999999</v>
      </c>
      <c r="J25" s="172">
        <f>Итоговая!R26</f>
        <v>0.6399999999999999</v>
      </c>
      <c r="K25" s="212" t="str">
        <f>Итоговая!S26</f>
        <v>открыт</v>
      </c>
      <c r="L25" s="259" t="str">
        <f>Итоговая!T26</f>
        <v>открыт</v>
      </c>
      <c r="M25" s="757">
        <f>Итоговая!U26</f>
        <v>4.166666666666667</v>
      </c>
      <c r="N25" s="902"/>
      <c r="O25" s="902"/>
      <c r="P25" s="902"/>
    </row>
    <row r="26" spans="1:48" s="232" customFormat="1" hidden="1" x14ac:dyDescent="0.25">
      <c r="A26" s="212">
        <f>Итоговая!A27</f>
        <v>19</v>
      </c>
      <c r="B26" s="1221">
        <f>COUNTIFS($C$8:C26,"*ПС*",$L$8:L26,"*закрыт*")</f>
        <v>2</v>
      </c>
      <c r="C26" s="212" t="str">
        <f>Итоговая!C27</f>
        <v xml:space="preserve">ПС 35/10 кВ Романцево </v>
      </c>
      <c r="D26" s="230">
        <f>Итоговая!D27</f>
        <v>1.6</v>
      </c>
      <c r="E26" s="229">
        <f>Итоговая!E27</f>
        <v>0</v>
      </c>
      <c r="F26" s="229">
        <f>Итоговая!F27</f>
        <v>0</v>
      </c>
      <c r="G26" s="229">
        <f>Итоговая!G27</f>
        <v>0</v>
      </c>
      <c r="H26" s="229">
        <f>Итоговая!H27</f>
        <v>0</v>
      </c>
      <c r="I26" s="172">
        <f>Итоговая!Q27</f>
        <v>0.57999999999999996</v>
      </c>
      <c r="J26" s="172">
        <f>Итоговая!R27</f>
        <v>0.57999999999999996</v>
      </c>
      <c r="K26" s="212" t="str">
        <f>Итоговая!S27</f>
        <v>открыт</v>
      </c>
      <c r="L26" s="259" t="str">
        <f>Итоговая!T27</f>
        <v>открыт</v>
      </c>
      <c r="M26" s="757">
        <f>Итоговая!U27</f>
        <v>8.928571428571427</v>
      </c>
      <c r="N26" s="902"/>
      <c r="O26" s="902"/>
      <c r="P26" s="902"/>
    </row>
    <row r="27" spans="1:48" s="232" customFormat="1" hidden="1" x14ac:dyDescent="0.25">
      <c r="A27" s="212">
        <f>Итоговая!A28</f>
        <v>20</v>
      </c>
      <c r="B27" s="212">
        <f>COUNTIFS($C$8:C27,"*ПС*",$L$8:L27,"*закрыт*")</f>
        <v>2</v>
      </c>
      <c r="C27" s="212" t="str">
        <f>Итоговая!C28</f>
        <v xml:space="preserve">ПС 35/10 кВ Старое Сандово </v>
      </c>
      <c r="D27" s="230">
        <f>Итоговая!D28</f>
        <v>2.5</v>
      </c>
      <c r="E27" s="229">
        <f>Итоговая!E28</f>
        <v>0</v>
      </c>
      <c r="F27" s="229">
        <f>Итоговая!F28</f>
        <v>0</v>
      </c>
      <c r="G27" s="229">
        <f>Итоговая!G28</f>
        <v>0</v>
      </c>
      <c r="H27" s="229">
        <f>Итоговая!H28</f>
        <v>0</v>
      </c>
      <c r="I27" s="172">
        <f>Итоговая!Q28</f>
        <v>0.42000000000000004</v>
      </c>
      <c r="J27" s="172">
        <f>Итоговая!R28</f>
        <v>0.42000000000000004</v>
      </c>
      <c r="K27" s="212" t="str">
        <f>Итоговая!S28</f>
        <v>открыт</v>
      </c>
      <c r="L27" s="259" t="str">
        <f>Итоговая!T28</f>
        <v>открыт</v>
      </c>
      <c r="M27" s="757">
        <f>Итоговая!U28</f>
        <v>9.9047619047619051</v>
      </c>
      <c r="N27" s="907"/>
      <c r="O27" s="907"/>
      <c r="P27" s="907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</row>
    <row r="28" spans="1:48" hidden="1" x14ac:dyDescent="0.25">
      <c r="A28" s="212">
        <f>Итоговая!A29</f>
        <v>21</v>
      </c>
      <c r="B28" s="212">
        <f>COUNTIFS($C$8:C28,"*ПС*",$L$8:L28,"*закрыт*")</f>
        <v>2</v>
      </c>
      <c r="C28" s="212" t="str">
        <f>Итоговая!C29</f>
        <v xml:space="preserve">ПС 35/10 кВ Сукромны </v>
      </c>
      <c r="D28" s="230">
        <f>Итоговая!D29</f>
        <v>1.6</v>
      </c>
      <c r="E28" s="229">
        <f>Итоговая!E29</f>
        <v>0</v>
      </c>
      <c r="F28" s="229">
        <f>Итоговая!F29</f>
        <v>0</v>
      </c>
      <c r="G28" s="229">
        <f>Итоговая!G29</f>
        <v>0</v>
      </c>
      <c r="H28" s="229">
        <f>Итоговая!H29</f>
        <v>0</v>
      </c>
      <c r="I28" s="172">
        <f>Итоговая!Q29</f>
        <v>0.15000000000000002</v>
      </c>
      <c r="J28" s="172">
        <f>Итоговая!R29</f>
        <v>0.15000000000000002</v>
      </c>
      <c r="K28" s="212" t="str">
        <f>Итоговая!S29</f>
        <v>открыт</v>
      </c>
      <c r="L28" s="259" t="str">
        <f>Итоговая!T29</f>
        <v>открыт</v>
      </c>
      <c r="M28" s="757">
        <f>Итоговая!U29</f>
        <v>31.547619047619044</v>
      </c>
      <c r="N28" s="907"/>
      <c r="O28" s="907"/>
      <c r="P28" s="907"/>
    </row>
    <row r="29" spans="1:48" s="232" customFormat="1" hidden="1" x14ac:dyDescent="0.25">
      <c r="A29" s="212">
        <f>Итоговая!A30</f>
        <v>22</v>
      </c>
      <c r="B29" s="212">
        <f>COUNTIFS($C$8:C29,"*ПС*",$L$8:L29,"*закрыт*")</f>
        <v>2</v>
      </c>
      <c r="C29" s="212" t="str">
        <f>Итоговая!C30</f>
        <v xml:space="preserve">ПС 35/10 кВ Теблеши </v>
      </c>
      <c r="D29" s="230">
        <f>Итоговая!D30</f>
        <v>2.5</v>
      </c>
      <c r="E29" s="229">
        <f>Итоговая!E30</f>
        <v>0</v>
      </c>
      <c r="F29" s="229">
        <f>Итоговая!F30</f>
        <v>0</v>
      </c>
      <c r="G29" s="229">
        <f>Итоговая!G30</f>
        <v>0</v>
      </c>
      <c r="H29" s="229">
        <f>Итоговая!H30</f>
        <v>0</v>
      </c>
      <c r="I29" s="172">
        <f>Итоговая!Q30</f>
        <v>1.1599999999999999</v>
      </c>
      <c r="J29" s="172">
        <f>Итоговая!R30</f>
        <v>1.1599999999999999</v>
      </c>
      <c r="K29" s="212" t="str">
        <f>Итоговая!S30</f>
        <v>открыт</v>
      </c>
      <c r="L29" s="259" t="str">
        <f>Итоговая!T30</f>
        <v>открыт</v>
      </c>
      <c r="M29" s="757">
        <f>Итоговая!U30</f>
        <v>4.1904761904761907</v>
      </c>
      <c r="N29" s="902"/>
      <c r="O29" s="902"/>
      <c r="P29" s="902"/>
    </row>
    <row r="30" spans="1:48" s="232" customFormat="1" hidden="1" x14ac:dyDescent="0.25">
      <c r="A30" s="212">
        <f>Итоговая!A31</f>
        <v>23</v>
      </c>
      <c r="B30" s="212">
        <f>COUNTIFS($C$8:C30,"*ПС*",$L$8:L30,"*закрыт*")</f>
        <v>2</v>
      </c>
      <c r="C30" s="212" t="str">
        <f>Итоговая!C31</f>
        <v xml:space="preserve">ПС 35/10 кВ Трестна </v>
      </c>
      <c r="D30" s="230">
        <f>Итоговая!D31</f>
        <v>2.5</v>
      </c>
      <c r="E30" s="229">
        <f>Итоговая!E31</f>
        <v>0</v>
      </c>
      <c r="F30" s="229">
        <f>Итоговая!F31</f>
        <v>0</v>
      </c>
      <c r="G30" s="229">
        <f>Итоговая!G31</f>
        <v>0</v>
      </c>
      <c r="H30" s="229">
        <f>Итоговая!H31</f>
        <v>0</v>
      </c>
      <c r="I30" s="172">
        <f>Итоговая!Q31</f>
        <v>1.1700000000000002</v>
      </c>
      <c r="J30" s="172">
        <f>Итоговая!R31</f>
        <v>1.1700000000000002</v>
      </c>
      <c r="K30" s="212" t="str">
        <f>Итоговая!S31</f>
        <v>открыт</v>
      </c>
      <c r="L30" s="259" t="str">
        <f>Итоговая!T31</f>
        <v>открыт</v>
      </c>
      <c r="M30" s="757">
        <f>Итоговая!U31</f>
        <v>7.6190476190476186</v>
      </c>
      <c r="N30" s="902"/>
      <c r="O30" s="902"/>
      <c r="P30" s="902"/>
    </row>
    <row r="31" spans="1:48" s="232" customFormat="1" hidden="1" x14ac:dyDescent="0.25">
      <c r="A31" s="212">
        <f>Итоговая!A32</f>
        <v>24</v>
      </c>
      <c r="B31" s="212">
        <f>COUNTIFS($C$8:C31,"*ПС*",$L$8:L31,"*закрыт*")</f>
        <v>2</v>
      </c>
      <c r="C31" s="212" t="str">
        <f>Итоговая!C32</f>
        <v xml:space="preserve">ПС  35/10 кВ Фралёво </v>
      </c>
      <c r="D31" s="230">
        <f>Итоговая!D32</f>
        <v>4</v>
      </c>
      <c r="E31" s="229">
        <f>Итоговая!E32</f>
        <v>0</v>
      </c>
      <c r="F31" s="229">
        <f>Итоговая!F32</f>
        <v>0</v>
      </c>
      <c r="G31" s="229">
        <f>Итоговая!G32</f>
        <v>0</v>
      </c>
      <c r="H31" s="229">
        <f>Итоговая!H32</f>
        <v>0</v>
      </c>
      <c r="I31" s="172">
        <f>Итоговая!Q32</f>
        <v>1.3599999999999999</v>
      </c>
      <c r="J31" s="172">
        <f>Итоговая!R32</f>
        <v>1.3599999999999999</v>
      </c>
      <c r="K31" s="212" t="str">
        <f>Итоговая!S32</f>
        <v>открыт</v>
      </c>
      <c r="L31" s="259" t="str">
        <f>Итоговая!T32</f>
        <v>открыт</v>
      </c>
      <c r="M31" s="757">
        <f>Итоговая!U32</f>
        <v>9.5238095238095237</v>
      </c>
      <c r="N31" s="902"/>
      <c r="O31" s="902"/>
      <c r="P31" s="902"/>
    </row>
    <row r="32" spans="1:48" s="232" customFormat="1" x14ac:dyDescent="0.25">
      <c r="A32" s="212">
        <f>Итоговая!A33</f>
        <v>25</v>
      </c>
      <c r="B32" s="212">
        <f>COUNTIFS($C$8:C32,"*ПС*",$L$8:L32,"*закрыт*")</f>
        <v>3</v>
      </c>
      <c r="C32" s="212" t="str">
        <f>Итоговая!C33</f>
        <v xml:space="preserve">ПС 35/10 кВ Чамерово </v>
      </c>
      <c r="D32" s="230">
        <f>Итоговая!D33</f>
        <v>1.8</v>
      </c>
      <c r="E32" s="229">
        <f>Итоговая!E33</f>
        <v>0</v>
      </c>
      <c r="F32" s="229">
        <f>Итоговая!F33</f>
        <v>0</v>
      </c>
      <c r="G32" s="229">
        <f>Итоговая!G33</f>
        <v>0</v>
      </c>
      <c r="H32" s="229">
        <f>Итоговая!H33</f>
        <v>0</v>
      </c>
      <c r="I32" s="172">
        <f>Итоговая!Q33</f>
        <v>-3.0000000000000027E-2</v>
      </c>
      <c r="J32" s="172">
        <f>Итоговая!R33</f>
        <v>-3.0000000000000027E-2</v>
      </c>
      <c r="K32" s="212" t="str">
        <f>Итоговая!S33</f>
        <v>закрыт</v>
      </c>
      <c r="L32" s="259" t="str">
        <f>Итоговая!T33</f>
        <v>закрыт</v>
      </c>
      <c r="M32" s="757">
        <f>Итоговая!U33</f>
        <v>40.211640211640209</v>
      </c>
      <c r="N32" s="907"/>
      <c r="O32" s="907"/>
      <c r="P32" s="907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</row>
    <row r="33" spans="1:48" s="232" customFormat="1" hidden="1" x14ac:dyDescent="0.25">
      <c r="A33" s="212">
        <f>Итоговая!A34</f>
        <v>26</v>
      </c>
      <c r="B33" s="212">
        <f>COUNTIFS($C$8:C33,"*ПС*",$L$8:L33,"*закрыт*")</f>
        <v>3</v>
      </c>
      <c r="C33" s="212" t="str">
        <f>Итоговая!C34</f>
        <v xml:space="preserve">ПС 110/10 кВ Ахматово </v>
      </c>
      <c r="D33" s="230">
        <f>Итоговая!D34</f>
        <v>2.5</v>
      </c>
      <c r="E33" s="229">
        <f>Итоговая!E34</f>
        <v>0</v>
      </c>
      <c r="F33" s="229">
        <f>Итоговая!F34</f>
        <v>0</v>
      </c>
      <c r="G33" s="229">
        <f>Итоговая!G34</f>
        <v>0</v>
      </c>
      <c r="H33" s="229">
        <f>Итоговая!H34</f>
        <v>0</v>
      </c>
      <c r="I33" s="172">
        <f>Итоговая!Q34</f>
        <v>0.5</v>
      </c>
      <c r="J33" s="172">
        <f>Итоговая!R34</f>
        <v>0.5</v>
      </c>
      <c r="K33" s="212" t="str">
        <f>Итоговая!S34</f>
        <v>открыт</v>
      </c>
      <c r="L33" s="259" t="str">
        <f>Итоговая!T34</f>
        <v>открыт</v>
      </c>
      <c r="M33" s="757">
        <f>Итоговая!U34</f>
        <v>9.5238095238095237</v>
      </c>
      <c r="N33" s="902"/>
      <c r="O33" s="902"/>
      <c r="P33" s="902"/>
    </row>
    <row r="34" spans="1:48" s="232" customFormat="1" hidden="1" x14ac:dyDescent="0.25">
      <c r="A34" s="212">
        <f>Итоговая!A35</f>
        <v>27</v>
      </c>
      <c r="B34" s="212">
        <f>COUNTIFS($C$8:C34,"*ПС*",$L$8:L34,"*закрыт*")</f>
        <v>3</v>
      </c>
      <c r="C34" s="212" t="str">
        <f>Итоговая!C35</f>
        <v xml:space="preserve">ПС 110/10 кВ Кладово </v>
      </c>
      <c r="D34" s="230">
        <f>Итоговая!D35</f>
        <v>6.3</v>
      </c>
      <c r="E34" s="229">
        <f>Итоговая!E35</f>
        <v>0</v>
      </c>
      <c r="F34" s="229">
        <f>Итоговая!F35</f>
        <v>0</v>
      </c>
      <c r="G34" s="229">
        <f>Итоговая!G35</f>
        <v>0</v>
      </c>
      <c r="H34" s="229">
        <f>Итоговая!H35</f>
        <v>0</v>
      </c>
      <c r="I34" s="172">
        <f>Итоговая!Q35</f>
        <v>0.8600000000000001</v>
      </c>
      <c r="J34" s="172">
        <f>Итоговая!R35</f>
        <v>0.8600000000000001</v>
      </c>
      <c r="K34" s="212" t="str">
        <f>Итоговая!S35</f>
        <v>открыт</v>
      </c>
      <c r="L34" s="259" t="str">
        <f>Итоговая!T35</f>
        <v>открыт</v>
      </c>
      <c r="M34" s="757">
        <f>Итоговая!U35</f>
        <v>10.733182161753589</v>
      </c>
      <c r="N34" s="902"/>
      <c r="O34" s="902"/>
      <c r="P34" s="902"/>
    </row>
    <row r="35" spans="1:48" s="232" customFormat="1" hidden="1" x14ac:dyDescent="0.25">
      <c r="A35" s="212">
        <f>Итоговая!A36</f>
        <v>28</v>
      </c>
      <c r="B35" s="212">
        <f>COUNTIFS($C$8:C35,"*ПС*",$L$8:L35,"*закрыт*")</f>
        <v>3</v>
      </c>
      <c r="C35" s="212" t="str">
        <f>Итоговая!C36</f>
        <v xml:space="preserve">ПС 110/10 кВ Лаптиха </v>
      </c>
      <c r="D35" s="230">
        <f>Итоговая!D36</f>
        <v>2.5</v>
      </c>
      <c r="E35" s="229">
        <f>Итоговая!E36</f>
        <v>0</v>
      </c>
      <c r="F35" s="229">
        <f>Итоговая!F36</f>
        <v>0</v>
      </c>
      <c r="G35" s="229">
        <f>Итоговая!G36</f>
        <v>0</v>
      </c>
      <c r="H35" s="229">
        <f>Итоговая!H36</f>
        <v>0</v>
      </c>
      <c r="I35" s="172">
        <f>Итоговая!Q36</f>
        <v>0.83</v>
      </c>
      <c r="J35" s="172">
        <f>Итоговая!R36</f>
        <v>0.83</v>
      </c>
      <c r="K35" s="212" t="str">
        <f>Итоговая!S36</f>
        <v>открыт</v>
      </c>
      <c r="L35" s="259" t="str">
        <f>Итоговая!T36</f>
        <v>открыт</v>
      </c>
      <c r="M35" s="757">
        <f>Итоговая!U36</f>
        <v>4.9523809523809526</v>
      </c>
      <c r="N35" s="902"/>
      <c r="O35" s="902"/>
      <c r="P35" s="902"/>
    </row>
    <row r="36" spans="1:48" s="232" customFormat="1" hidden="1" x14ac:dyDescent="0.25">
      <c r="A36" s="212">
        <f>Итоговая!A37</f>
        <v>29</v>
      </c>
      <c r="B36" s="212">
        <f>COUNTIFS($C$8:C36,"*ПС*",$L$8:L36,"*закрыт*")</f>
        <v>3</v>
      </c>
      <c r="C36" s="212" t="str">
        <f>Итоговая!C37</f>
        <v xml:space="preserve">ПС 110/10 кВ Малышево </v>
      </c>
      <c r="D36" s="230">
        <f>Итоговая!D37</f>
        <v>2.5</v>
      </c>
      <c r="E36" s="229">
        <f>Итоговая!E37</f>
        <v>0</v>
      </c>
      <c r="F36" s="229">
        <f>Итоговая!F37</f>
        <v>0</v>
      </c>
      <c r="G36" s="229">
        <f>Итоговая!G37</f>
        <v>0</v>
      </c>
      <c r="H36" s="229">
        <f>Итоговая!H37</f>
        <v>0</v>
      </c>
      <c r="I36" s="172">
        <f>Итоговая!Q37</f>
        <v>0.36</v>
      </c>
      <c r="J36" s="172">
        <f>Итоговая!R37</f>
        <v>0.36</v>
      </c>
      <c r="K36" s="212" t="str">
        <f>Итоговая!S37</f>
        <v>открыт</v>
      </c>
      <c r="L36" s="259" t="str">
        <f>Итоговая!T37</f>
        <v>открыт</v>
      </c>
      <c r="M36" s="757">
        <f>Итоговая!U37</f>
        <v>19.80952380952381</v>
      </c>
      <c r="N36" s="902"/>
      <c r="O36" s="902"/>
      <c r="P36" s="902"/>
    </row>
    <row r="37" spans="1:48" s="232" customFormat="1" hidden="1" x14ac:dyDescent="0.25">
      <c r="A37" s="212">
        <f>Итоговая!A38</f>
        <v>30</v>
      </c>
      <c r="B37" s="212">
        <f>COUNTIFS($C$8:C37,"*ПС*",$L$8:L37,"*закрыт*")</f>
        <v>3</v>
      </c>
      <c r="C37" s="212" t="str">
        <f>Итоговая!C38</f>
        <v xml:space="preserve">ПС 110/10 кВ Старт </v>
      </c>
      <c r="D37" s="230">
        <f>Итоговая!D38</f>
        <v>16</v>
      </c>
      <c r="E37" s="229">
        <f>Итоговая!E38</f>
        <v>0</v>
      </c>
      <c r="F37" s="229">
        <f>Итоговая!F38</f>
        <v>0</v>
      </c>
      <c r="G37" s="229">
        <f>Итоговая!G38</f>
        <v>0</v>
      </c>
      <c r="H37" s="229">
        <f>Итоговая!H38</f>
        <v>0</v>
      </c>
      <c r="I37" s="172">
        <f>Итоговая!Q38</f>
        <v>2.2000000000000002</v>
      </c>
      <c r="J37" s="172">
        <f>Итоговая!R38</f>
        <v>2.2000000000000002</v>
      </c>
      <c r="K37" s="212" t="str">
        <f>Итоговая!S38</f>
        <v>открыт</v>
      </c>
      <c r="L37" s="259" t="str">
        <f>Итоговая!T38</f>
        <v>открыт</v>
      </c>
      <c r="M37" s="757">
        <f>Итоговая!U38</f>
        <v>4.2857142857142856</v>
      </c>
      <c r="N37" s="902"/>
      <c r="O37" s="902"/>
      <c r="P37" s="902"/>
    </row>
    <row r="38" spans="1:48" s="232" customFormat="1" hidden="1" x14ac:dyDescent="0.25">
      <c r="A38" s="212">
        <f>Итоговая!A39</f>
        <v>31</v>
      </c>
      <c r="B38" s="212">
        <f>COUNTIFS($C$8:C38,"*ПС*",$L$8:L38,"*закрыт*")</f>
        <v>3</v>
      </c>
      <c r="C38" s="212" t="str">
        <f>Итоговая!C39</f>
        <v xml:space="preserve">ПС 110/35 кВ Рассвет </v>
      </c>
      <c r="D38" s="230">
        <f>Итоговая!D39</f>
        <v>10</v>
      </c>
      <c r="E38" s="229">
        <f>Итоговая!E39</f>
        <v>0</v>
      </c>
      <c r="F38" s="229">
        <f>Итоговая!F39</f>
        <v>0</v>
      </c>
      <c r="G38" s="229">
        <f>Итоговая!G39</f>
        <v>0</v>
      </c>
      <c r="H38" s="229">
        <f>Итоговая!H39</f>
        <v>0</v>
      </c>
      <c r="I38" s="172">
        <f>Итоговая!Q39</f>
        <v>8.0000000000000071E-2</v>
      </c>
      <c r="J38" s="172">
        <f>Итоговая!R39</f>
        <v>8.0000000000000071E-2</v>
      </c>
      <c r="K38" s="212" t="str">
        <f>Итоговая!S39</f>
        <v>открыт</v>
      </c>
      <c r="L38" s="259" t="str">
        <f>Итоговая!T39</f>
        <v>открыт</v>
      </c>
      <c r="M38" s="757">
        <f>Итоговая!U39</f>
        <v>46.857142857142854</v>
      </c>
      <c r="N38" s="907"/>
      <c r="O38" s="907"/>
      <c r="P38" s="907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</row>
    <row r="39" spans="1:48" x14ac:dyDescent="0.25">
      <c r="A39" s="2419">
        <f>Итоговая!A40</f>
        <v>32</v>
      </c>
      <c r="B39" s="2423">
        <f>COUNTIFS($C$8:C39,"*ПС*",$L$8:L39,"*закрыт*")</f>
        <v>4</v>
      </c>
      <c r="C39" s="212" t="str">
        <f>Итоговая!C40</f>
        <v xml:space="preserve">ПС 110/35/10 кВ Иваново </v>
      </c>
      <c r="D39" s="230">
        <f>Итоговая!D40</f>
        <v>6.3</v>
      </c>
      <c r="E39" s="229">
        <f>Итоговая!E40</f>
        <v>0</v>
      </c>
      <c r="F39" s="229">
        <f>Итоговая!F40</f>
        <v>0</v>
      </c>
      <c r="G39" s="229">
        <f>Итоговая!G40</f>
        <v>0</v>
      </c>
      <c r="H39" s="229">
        <f>Итоговая!H40</f>
        <v>0</v>
      </c>
      <c r="I39" s="172">
        <f>Итоговая!Q40</f>
        <v>0.53999999999999981</v>
      </c>
      <c r="J39" s="2405">
        <f>Итоговая!R40</f>
        <v>-0.56000000000000005</v>
      </c>
      <c r="K39" s="2423" t="str">
        <f>Итоговая!S40</f>
        <v>закрыт</v>
      </c>
      <c r="L39" s="259" t="str">
        <f>Итоговая!T40</f>
        <v>закрыт</v>
      </c>
      <c r="M39" s="2398">
        <f>Итоговая!U40</f>
        <v>12.849584278155708</v>
      </c>
      <c r="N39" s="907"/>
      <c r="O39" s="907"/>
      <c r="P39" s="907"/>
    </row>
    <row r="40" spans="1:48" hidden="1" x14ac:dyDescent="0.25">
      <c r="A40" s="2419">
        <f>Итоговая!A41</f>
        <v>0</v>
      </c>
      <c r="B40" s="2440"/>
      <c r="C40" s="212" t="str">
        <f>Итоговая!C41</f>
        <v xml:space="preserve">Ном. Мощность СН, МВА </v>
      </c>
      <c r="D40" s="230">
        <f>Итоговая!D41</f>
        <v>6.3</v>
      </c>
      <c r="E40" s="229">
        <f>Итоговая!E41</f>
        <v>0</v>
      </c>
      <c r="F40" s="229">
        <f>Итоговая!F41</f>
        <v>0</v>
      </c>
      <c r="G40" s="229">
        <f>Итоговая!G41</f>
        <v>0</v>
      </c>
      <c r="H40" s="229">
        <f>Итоговая!H41</f>
        <v>0</v>
      </c>
      <c r="I40" s="172">
        <f>Итоговая!Q41</f>
        <v>-0.56000000000000005</v>
      </c>
      <c r="J40" s="2406">
        <f>Итоговая!R41</f>
        <v>0</v>
      </c>
      <c r="K40" s="2440">
        <f>Итоговая!S41</f>
        <v>0</v>
      </c>
      <c r="L40" s="259" t="str">
        <f>Итоговая!T41</f>
        <v>открыт</v>
      </c>
      <c r="M40" s="2398">
        <f>Итоговая!U41</f>
        <v>0</v>
      </c>
      <c r="N40" s="907"/>
      <c r="O40" s="907"/>
      <c r="P40" s="907"/>
    </row>
    <row r="41" spans="1:48" hidden="1" x14ac:dyDescent="0.25">
      <c r="A41" s="2419">
        <f>Итоговая!A42</f>
        <v>0</v>
      </c>
      <c r="B41" s="2441"/>
      <c r="C41" s="212" t="str">
        <f>Итоговая!C42</f>
        <v>Ном. мощность НН, МВА</v>
      </c>
      <c r="D41" s="230">
        <f>Итоговая!D42</f>
        <v>6.3</v>
      </c>
      <c r="E41" s="229">
        <f>Итоговая!E42</f>
        <v>0</v>
      </c>
      <c r="F41" s="229">
        <f>Итоговая!F42</f>
        <v>0</v>
      </c>
      <c r="G41" s="229">
        <f>Итоговая!G42</f>
        <v>0</v>
      </c>
      <c r="H41" s="229">
        <f>Итоговая!H42</f>
        <v>0</v>
      </c>
      <c r="I41" s="172">
        <f>Итоговая!Q42</f>
        <v>1.0999999999999999</v>
      </c>
      <c r="J41" s="2407">
        <f>Итоговая!R42</f>
        <v>0</v>
      </c>
      <c r="K41" s="2441">
        <f>Итоговая!S42</f>
        <v>0</v>
      </c>
      <c r="L41" s="259" t="str">
        <f>Итоговая!T42</f>
        <v>открыт</v>
      </c>
      <c r="M41" s="2398">
        <f>Итоговая!U42</f>
        <v>0</v>
      </c>
      <c r="N41" s="907"/>
      <c r="O41" s="907"/>
      <c r="P41" s="907"/>
    </row>
    <row r="42" spans="1:48" x14ac:dyDescent="0.25">
      <c r="A42" s="2419">
        <f>Итоговая!A43</f>
        <v>33</v>
      </c>
      <c r="B42" s="2423">
        <f>COUNTIFS($C$8:C42,"*ПС*",$L$8:L42,"*закрыт*")</f>
        <v>5</v>
      </c>
      <c r="C42" s="212" t="str">
        <f>Итоговая!C43</f>
        <v xml:space="preserve">ПС 110/35/10 кВ Кесьма </v>
      </c>
      <c r="D42" s="230">
        <f>Итоговая!D43</f>
        <v>6.3</v>
      </c>
      <c r="E42" s="229">
        <f>Итоговая!E43</f>
        <v>0</v>
      </c>
      <c r="F42" s="229">
        <f>Итоговая!F43</f>
        <v>0</v>
      </c>
      <c r="G42" s="229">
        <f>Итоговая!G43</f>
        <v>0</v>
      </c>
      <c r="H42" s="229">
        <f>Итоговая!H43</f>
        <v>0</v>
      </c>
      <c r="I42" s="172">
        <f>Итоговая!Q43</f>
        <v>0.69</v>
      </c>
      <c r="J42" s="2420">
        <f>Итоговая!R43</f>
        <v>-0.12</v>
      </c>
      <c r="K42" s="2423" t="str">
        <f>Итоговая!S43</f>
        <v>закрыт</v>
      </c>
      <c r="L42" s="259" t="str">
        <f>Итоговая!T43</f>
        <v>закрыт</v>
      </c>
      <c r="M42" s="2398">
        <f>Итоговая!U43</f>
        <v>10.733182161753589</v>
      </c>
      <c r="N42" s="907"/>
      <c r="O42" s="907"/>
      <c r="P42" s="907"/>
    </row>
    <row r="43" spans="1:48" hidden="1" x14ac:dyDescent="0.25">
      <c r="A43" s="2419">
        <f>Итоговая!A44</f>
        <v>0</v>
      </c>
      <c r="B43" s="2440"/>
      <c r="C43" s="212" t="str">
        <f>Итоговая!C44</f>
        <v xml:space="preserve">Ном. Мощность СН, МВА </v>
      </c>
      <c r="D43" s="230">
        <f>Итоговая!D44</f>
        <v>6.3</v>
      </c>
      <c r="E43" s="229">
        <f>Итоговая!E44</f>
        <v>0</v>
      </c>
      <c r="F43" s="229">
        <f>Итоговая!F44</f>
        <v>0</v>
      </c>
      <c r="G43" s="229">
        <f>Итоговая!G44</f>
        <v>0</v>
      </c>
      <c r="H43" s="229">
        <f>Итоговая!H44</f>
        <v>0</v>
      </c>
      <c r="I43" s="172">
        <f>Итоговая!Q44</f>
        <v>-0.12</v>
      </c>
      <c r="J43" s="2420">
        <f>Итоговая!R44</f>
        <v>0</v>
      </c>
      <c r="K43" s="2440">
        <f>Итоговая!S44</f>
        <v>0</v>
      </c>
      <c r="L43" s="259" t="str">
        <f>Итоговая!T44</f>
        <v>открыт</v>
      </c>
      <c r="M43" s="2398">
        <f>Итоговая!U44</f>
        <v>0</v>
      </c>
      <c r="N43" s="907"/>
      <c r="O43" s="907"/>
      <c r="P43" s="907"/>
    </row>
    <row r="44" spans="1:48" hidden="1" x14ac:dyDescent="0.25">
      <c r="A44" s="2419">
        <f>Итоговая!A45</f>
        <v>0</v>
      </c>
      <c r="B44" s="2441"/>
      <c r="C44" s="212" t="str">
        <f>Итоговая!C45</f>
        <v>Ном. мощность НН, МВА</v>
      </c>
      <c r="D44" s="230">
        <f>Итоговая!D45</f>
        <v>6.3</v>
      </c>
      <c r="E44" s="229">
        <f>Итоговая!E45</f>
        <v>0</v>
      </c>
      <c r="F44" s="229">
        <f>Итоговая!F45</f>
        <v>0</v>
      </c>
      <c r="G44" s="229">
        <f>Итоговая!G45</f>
        <v>0</v>
      </c>
      <c r="H44" s="229">
        <f>Итоговая!H45</f>
        <v>0</v>
      </c>
      <c r="I44" s="172">
        <f>Итоговая!Q45</f>
        <v>0.80999999999999994</v>
      </c>
      <c r="J44" s="2420">
        <f>Итоговая!R45</f>
        <v>0</v>
      </c>
      <c r="K44" s="2441">
        <f>Итоговая!S45</f>
        <v>0</v>
      </c>
      <c r="L44" s="259" t="str">
        <f>Итоговая!T45</f>
        <v>открыт</v>
      </c>
      <c r="M44" s="2398">
        <f>Итоговая!U45</f>
        <v>0</v>
      </c>
      <c r="N44" s="907"/>
      <c r="O44" s="907"/>
      <c r="P44" s="907"/>
    </row>
    <row r="45" spans="1:48" ht="30" x14ac:dyDescent="0.25">
      <c r="A45" s="212">
        <f>Итоговая!A46</f>
        <v>34</v>
      </c>
      <c r="B45" s="2423">
        <f>COUNTIFS($C$8:C45,"*ПС*",$L$8:L45,"*закрыт*")</f>
        <v>6</v>
      </c>
      <c r="C45" s="212" t="str">
        <f>Итоговая!C46</f>
        <v xml:space="preserve">ПС 110/35/10 кВ Моркины Горы </v>
      </c>
      <c r="D45" s="230">
        <f>Итоговая!D46</f>
        <v>5.6</v>
      </c>
      <c r="E45" s="229">
        <f>Итоговая!E46</f>
        <v>0</v>
      </c>
      <c r="F45" s="229">
        <f>Итоговая!F46</f>
        <v>0</v>
      </c>
      <c r="G45" s="229">
        <f>Итоговая!G46</f>
        <v>0</v>
      </c>
      <c r="H45" s="229">
        <f>Итоговая!H46</f>
        <v>0</v>
      </c>
      <c r="I45" s="172">
        <f>Итоговая!Q46</f>
        <v>0.91999999999999993</v>
      </c>
      <c r="J45" s="172">
        <f>Итоговая!R46</f>
        <v>-0.13</v>
      </c>
      <c r="K45" s="2423" t="str">
        <f>Итоговая!S46</f>
        <v>закрыт</v>
      </c>
      <c r="L45" s="259" t="str">
        <f>Итоговая!T46</f>
        <v>закрыт</v>
      </c>
      <c r="M45" s="757">
        <f>Итоговая!U46</f>
        <v>9.183673469387756</v>
      </c>
      <c r="N45" s="907"/>
      <c r="O45" s="907"/>
      <c r="P45" s="907"/>
    </row>
    <row r="46" spans="1:48" hidden="1" x14ac:dyDescent="0.25">
      <c r="A46" s="212">
        <f>Итоговая!A47</f>
        <v>0</v>
      </c>
      <c r="B46" s="2440"/>
      <c r="C46" s="212" t="str">
        <f>Итоговая!C47</f>
        <v xml:space="preserve">Ном. Мощность СН, МВА </v>
      </c>
      <c r="D46" s="230">
        <f>Итоговая!D47</f>
        <v>5.6</v>
      </c>
      <c r="E46" s="229">
        <f>Итоговая!E47</f>
        <v>0</v>
      </c>
      <c r="F46" s="229">
        <f>Итоговая!F47</f>
        <v>0</v>
      </c>
      <c r="G46" s="229">
        <f>Итоговая!G47</f>
        <v>0</v>
      </c>
      <c r="H46" s="229">
        <f>Итоговая!H47</f>
        <v>0</v>
      </c>
      <c r="I46" s="172">
        <f>Итоговая!Q47</f>
        <v>-0.13</v>
      </c>
      <c r="J46" s="172">
        <f>Итоговая!R47</f>
        <v>0</v>
      </c>
      <c r="K46" s="2440">
        <f>Итоговая!S47</f>
        <v>0</v>
      </c>
      <c r="L46" s="259" t="str">
        <f>Итоговая!T47</f>
        <v>открыт</v>
      </c>
      <c r="M46" s="757">
        <f>Итоговая!U47</f>
        <v>0</v>
      </c>
      <c r="N46" s="907"/>
      <c r="O46" s="907"/>
      <c r="P46" s="907"/>
    </row>
    <row r="47" spans="1:48" hidden="1" x14ac:dyDescent="0.25">
      <c r="A47" s="212">
        <f>Итоговая!A48</f>
        <v>0</v>
      </c>
      <c r="B47" s="2441"/>
      <c r="C47" s="212" t="str">
        <f>Итоговая!C48</f>
        <v>Ном. мощность НН, МВА</v>
      </c>
      <c r="D47" s="230">
        <f>Итоговая!D48</f>
        <v>5.6</v>
      </c>
      <c r="E47" s="229">
        <f>Итоговая!E48</f>
        <v>0</v>
      </c>
      <c r="F47" s="229">
        <f>Итоговая!F48</f>
        <v>0</v>
      </c>
      <c r="G47" s="229">
        <f>Итоговая!G48</f>
        <v>0</v>
      </c>
      <c r="H47" s="229">
        <f>Итоговая!H48</f>
        <v>0</v>
      </c>
      <c r="I47" s="172">
        <f>Итоговая!Q48</f>
        <v>1.05</v>
      </c>
      <c r="J47" s="172">
        <f>Итоговая!R48</f>
        <v>0</v>
      </c>
      <c r="K47" s="2441">
        <f>Итоговая!S48</f>
        <v>0</v>
      </c>
      <c r="L47" s="259" t="str">
        <f>Итоговая!T48</f>
        <v>открыт</v>
      </c>
      <c r="M47" s="757">
        <f>Итоговая!U48</f>
        <v>0</v>
      </c>
      <c r="N47" s="907"/>
      <c r="O47" s="907"/>
      <c r="P47" s="907"/>
    </row>
    <row r="48" spans="1:48" s="232" customFormat="1" hidden="1" x14ac:dyDescent="0.25">
      <c r="A48" s="212">
        <f>Итоговая!A49</f>
        <v>35</v>
      </c>
      <c r="B48" s="2423">
        <f>COUNTIFS($C$8:C48,"*ПС*",$L$8:L48,"*закрыт*")</f>
        <v>6</v>
      </c>
      <c r="C48" s="212" t="str">
        <f>Итоговая!C49</f>
        <v xml:space="preserve">ПС 110/35/10 кВ Топалки  </v>
      </c>
      <c r="D48" s="230">
        <f>Итоговая!D49</f>
        <v>6.3</v>
      </c>
      <c r="E48" s="229">
        <f>Итоговая!E49</f>
        <v>0</v>
      </c>
      <c r="F48" s="229">
        <f>Итоговая!F49</f>
        <v>0</v>
      </c>
      <c r="G48" s="229">
        <f>Итоговая!G49</f>
        <v>0</v>
      </c>
      <c r="H48" s="229">
        <f>Итоговая!H49</f>
        <v>0</v>
      </c>
      <c r="I48" s="172">
        <f>Итоговая!Q49</f>
        <v>3.75</v>
      </c>
      <c r="J48" s="172">
        <f>Итоговая!R49</f>
        <v>0.74</v>
      </c>
      <c r="K48" s="757" t="str">
        <f>Итоговая!S49</f>
        <v>открыт</v>
      </c>
      <c r="L48" s="259" t="str">
        <f>Итоговая!T49</f>
        <v>открыт</v>
      </c>
      <c r="M48" s="757">
        <f>Итоговая!U49</f>
        <v>35.222978080120939</v>
      </c>
      <c r="N48" s="902"/>
      <c r="O48" s="902"/>
      <c r="P48" s="902"/>
    </row>
    <row r="49" spans="1:16" hidden="1" x14ac:dyDescent="0.25">
      <c r="A49" s="212">
        <f>Итоговая!A50</f>
        <v>0</v>
      </c>
      <c r="B49" s="2440"/>
      <c r="C49" s="212" t="str">
        <f>Итоговая!C50</f>
        <v xml:space="preserve">Ном. Мощность СН, МВА </v>
      </c>
      <c r="D49" s="230">
        <f>Итоговая!D50</f>
        <v>6.3</v>
      </c>
      <c r="E49" s="229">
        <f>Итоговая!E50</f>
        <v>0</v>
      </c>
      <c r="F49" s="229">
        <f>Итоговая!F50</f>
        <v>0</v>
      </c>
      <c r="G49" s="229">
        <f>Итоговая!G50</f>
        <v>0</v>
      </c>
      <c r="H49" s="229">
        <f>Итоговая!H50</f>
        <v>0</v>
      </c>
      <c r="I49" s="172">
        <f>Итоговая!Q50</f>
        <v>3.01</v>
      </c>
      <c r="J49" s="172">
        <f>Итоговая!R50</f>
        <v>0</v>
      </c>
      <c r="K49" s="757" t="str">
        <f>Итоговая!S50</f>
        <v>открыт</v>
      </c>
      <c r="L49" s="259" t="str">
        <f>Итоговая!T50</f>
        <v>открыт</v>
      </c>
      <c r="M49" s="757">
        <f>Итоговая!U50</f>
        <v>0</v>
      </c>
      <c r="N49" s="902"/>
      <c r="O49" s="902"/>
      <c r="P49" s="902"/>
    </row>
    <row r="50" spans="1:16" hidden="1" x14ac:dyDescent="0.25">
      <c r="A50" s="212">
        <f>Итоговая!A51</f>
        <v>0</v>
      </c>
      <c r="B50" s="2441"/>
      <c r="C50" s="212" t="str">
        <f>Итоговая!C51</f>
        <v>Ном. мощность НН, МВА</v>
      </c>
      <c r="D50" s="230">
        <f>Итоговая!D51</f>
        <v>6.3</v>
      </c>
      <c r="E50" s="229">
        <f>Итоговая!E51</f>
        <v>0</v>
      </c>
      <c r="F50" s="229">
        <f>Итоговая!F51</f>
        <v>0</v>
      </c>
      <c r="G50" s="229">
        <f>Итоговая!G51</f>
        <v>0</v>
      </c>
      <c r="H50" s="229">
        <f>Итоговая!H51</f>
        <v>0</v>
      </c>
      <c r="I50" s="172">
        <f>Итоговая!Q51</f>
        <v>0.74</v>
      </c>
      <c r="J50" s="172">
        <f>Итоговая!R51</f>
        <v>0</v>
      </c>
      <c r="K50" s="757" t="str">
        <f>Итоговая!S51</f>
        <v>открыт</v>
      </c>
      <c r="L50" s="259" t="str">
        <f>Итоговая!T51</f>
        <v>открыт</v>
      </c>
      <c r="M50" s="757">
        <f>Итоговая!U51</f>
        <v>0</v>
      </c>
      <c r="N50" s="902"/>
      <c r="O50" s="902"/>
      <c r="P50" s="902"/>
    </row>
    <row r="51" spans="1:16" hidden="1" x14ac:dyDescent="0.25">
      <c r="A51" s="212">
        <f>Итоговая!A52</f>
        <v>36</v>
      </c>
      <c r="B51" s="752">
        <f>COUNTIFS($C$8:C51,"*ПС*",$L$8:L51,"*закрыт*")</f>
        <v>6</v>
      </c>
      <c r="C51" s="212" t="str">
        <f>Итоговая!C52</f>
        <v xml:space="preserve">ПС 35/10 кВ Березьё  </v>
      </c>
      <c r="D51" s="230">
        <f>Итоговая!D52</f>
        <v>1</v>
      </c>
      <c r="E51" s="229" t="str">
        <f>Итоговая!E52</f>
        <v>+</v>
      </c>
      <c r="F51" s="229">
        <f>Итоговая!F52</f>
        <v>1</v>
      </c>
      <c r="G51" s="229">
        <f>Итоговая!G52</f>
        <v>0</v>
      </c>
      <c r="H51" s="229">
        <f>Итоговая!H52</f>
        <v>0</v>
      </c>
      <c r="I51" s="172">
        <f>Итоговая!Q52</f>
        <v>1.69</v>
      </c>
      <c r="J51" s="172">
        <f>Итоговая!R52</f>
        <v>1.69</v>
      </c>
      <c r="K51" s="757" t="str">
        <f>Итоговая!S52</f>
        <v>открыт</v>
      </c>
      <c r="L51" s="259" t="str">
        <f>Итоговая!T52</f>
        <v>открыт</v>
      </c>
      <c r="M51" s="757">
        <f>Итоговая!U52</f>
        <v>4.7619047619047619</v>
      </c>
      <c r="N51" s="902"/>
      <c r="O51" s="902"/>
      <c r="P51" s="902"/>
    </row>
    <row r="52" spans="1:16" hidden="1" x14ac:dyDescent="0.25">
      <c r="A52" s="212">
        <f>Итоговая!A53</f>
        <v>37</v>
      </c>
      <c r="B52" s="752">
        <f>COUNTIFS($C$8:C52,"*ПС*",$L$8:L52,"*закрыт*")</f>
        <v>6</v>
      </c>
      <c r="C52" s="212" t="str">
        <f>Итоговая!C53</f>
        <v xml:space="preserve">ПС 35/10 кВ Лесное </v>
      </c>
      <c r="D52" s="230">
        <f>Итоговая!D53</f>
        <v>2.5</v>
      </c>
      <c r="E52" s="229" t="str">
        <f>Итоговая!E53</f>
        <v>+</v>
      </c>
      <c r="F52" s="229">
        <f>Итоговая!F53</f>
        <v>4</v>
      </c>
      <c r="G52" s="229">
        <f>Итоговая!G53</f>
        <v>0</v>
      </c>
      <c r="H52" s="229">
        <f>Итоговая!H53</f>
        <v>0</v>
      </c>
      <c r="I52" s="172">
        <f>Итоговая!Q53</f>
        <v>2.2249999999999996</v>
      </c>
      <c r="J52" s="172">
        <f>Итоговая!R53</f>
        <v>2.2249999999999996</v>
      </c>
      <c r="K52" s="757" t="str">
        <f>Итоговая!S53</f>
        <v>открыт</v>
      </c>
      <c r="L52" s="259" t="str">
        <f>Итоговая!T53</f>
        <v>открыт</v>
      </c>
      <c r="M52" s="757">
        <f>Итоговая!U53</f>
        <v>71.238095238095241</v>
      </c>
      <c r="N52" s="902"/>
      <c r="O52" s="902"/>
      <c r="P52" s="902"/>
    </row>
    <row r="53" spans="1:16" hidden="1" x14ac:dyDescent="0.25">
      <c r="A53" s="212">
        <f>Итоговая!A54</f>
        <v>38</v>
      </c>
      <c r="B53" s="752">
        <f>COUNTIFS($C$8:C53,"*ПС*",$L$8:L53,"*закрыт*")</f>
        <v>6</v>
      </c>
      <c r="C53" s="212" t="str">
        <f>Итоговая!C54</f>
        <v xml:space="preserve">ПС 35/10 кВ Максатиха   </v>
      </c>
      <c r="D53" s="230">
        <f>Итоговая!D54</f>
        <v>6.3</v>
      </c>
      <c r="E53" s="229" t="str">
        <f>Итоговая!E54</f>
        <v>+</v>
      </c>
      <c r="F53" s="229">
        <f>Итоговая!F54</f>
        <v>4</v>
      </c>
      <c r="G53" s="229">
        <f>Итоговая!G54</f>
        <v>0</v>
      </c>
      <c r="H53" s="229">
        <f>Итоговая!H54</f>
        <v>0</v>
      </c>
      <c r="I53" s="172">
        <f>Итоговая!Q54</f>
        <v>1.2799999999999998</v>
      </c>
      <c r="J53" s="172">
        <f>Итоговая!R54</f>
        <v>1.2799999999999998</v>
      </c>
      <c r="K53" s="757" t="str">
        <f>Итоговая!S54</f>
        <v>открыт</v>
      </c>
      <c r="L53" s="259" t="str">
        <f>Итоговая!T54</f>
        <v>открыт</v>
      </c>
      <c r="M53" s="757">
        <f>Итоговая!U54</f>
        <v>110.71428571428572</v>
      </c>
      <c r="N53" s="902"/>
      <c r="O53" s="902"/>
      <c r="P53" s="902"/>
    </row>
    <row r="54" spans="1:16" hidden="1" x14ac:dyDescent="0.25">
      <c r="A54" s="212">
        <f>Итоговая!A55</f>
        <v>39</v>
      </c>
      <c r="B54" s="752">
        <f>COUNTIFS($C$8:C54,"*ПС*",$L$8:L54,"*закрыт*")</f>
        <v>6</v>
      </c>
      <c r="C54" s="212" t="str">
        <f>Итоговая!C55</f>
        <v xml:space="preserve">ПС 35/10 кВ Молоково </v>
      </c>
      <c r="D54" s="230">
        <f>Итоговая!D55</f>
        <v>4</v>
      </c>
      <c r="E54" s="229" t="str">
        <f>Итоговая!E55</f>
        <v>+</v>
      </c>
      <c r="F54" s="229">
        <f>Итоговая!F55</f>
        <v>2.5</v>
      </c>
      <c r="G54" s="229">
        <f>Итоговая!G55</f>
        <v>0</v>
      </c>
      <c r="H54" s="229">
        <f>Итоговая!H55</f>
        <v>0</v>
      </c>
      <c r="I54" s="172">
        <f>Итоговая!Q55</f>
        <v>1.9550000000000001</v>
      </c>
      <c r="J54" s="172">
        <f>Итоговая!R55</f>
        <v>1.9550000000000001</v>
      </c>
      <c r="K54" s="757" t="str">
        <f>Итоговая!S55</f>
        <v>открыт</v>
      </c>
      <c r="L54" s="259" t="str">
        <f>Итоговая!T55</f>
        <v>открыт</v>
      </c>
      <c r="M54" s="757">
        <f>Итоговая!U55</f>
        <v>68.19047619047619</v>
      </c>
      <c r="N54" s="902"/>
      <c r="O54" s="902"/>
      <c r="P54" s="902"/>
    </row>
    <row r="55" spans="1:16" hidden="1" x14ac:dyDescent="0.25">
      <c r="A55" s="212">
        <f>Итоговая!A56</f>
        <v>40</v>
      </c>
      <c r="B55" s="752">
        <f>COUNTIFS($C$8:C55,"*ПС*",$L$8:L55,"*закрыт*")</f>
        <v>6</v>
      </c>
      <c r="C55" s="212" t="str">
        <f>Итоговая!C56</f>
        <v>ПС 35/10 кВ Новокотово</v>
      </c>
      <c r="D55" s="230">
        <f>Итоговая!D56</f>
        <v>2.5</v>
      </c>
      <c r="E55" s="229" t="str">
        <f>Итоговая!E56</f>
        <v>+</v>
      </c>
      <c r="F55" s="229">
        <f>Итоговая!F56</f>
        <v>2.5</v>
      </c>
      <c r="G55" s="229">
        <f>Итоговая!G56</f>
        <v>0</v>
      </c>
      <c r="H55" s="229">
        <f>Итоговая!H56</f>
        <v>0</v>
      </c>
      <c r="I55" s="172">
        <f>Итоговая!Q56</f>
        <v>2.4449999999999998</v>
      </c>
      <c r="J55" s="172">
        <f>Итоговая!R56</f>
        <v>2.4449999999999998</v>
      </c>
      <c r="K55" s="757" t="str">
        <f>Итоговая!S56</f>
        <v>открыт</v>
      </c>
      <c r="L55" s="259" t="str">
        <f>Итоговая!T56</f>
        <v>открыт</v>
      </c>
      <c r="M55" s="757">
        <f>Итоговая!U56</f>
        <v>6.8571428571428568</v>
      </c>
      <c r="N55" s="902"/>
      <c r="O55" s="902"/>
      <c r="P55" s="902"/>
    </row>
    <row r="56" spans="1:16" hidden="1" x14ac:dyDescent="0.25">
      <c r="A56" s="212">
        <f>Итоговая!A57</f>
        <v>41</v>
      </c>
      <c r="B56" s="752">
        <f>COUNTIFS($C$8:C56,"*ПС*",$L$8:L56,"*закрыт*")</f>
        <v>6</v>
      </c>
      <c r="C56" s="212" t="str">
        <f>Итоговая!C57</f>
        <v xml:space="preserve">ПС 35/10 кВ Ривзавод  </v>
      </c>
      <c r="D56" s="230">
        <f>Итоговая!D57</f>
        <v>1.6</v>
      </c>
      <c r="E56" s="229" t="str">
        <f>Итоговая!E57</f>
        <v>+</v>
      </c>
      <c r="F56" s="229">
        <f>Итоговая!F57</f>
        <v>2.5</v>
      </c>
      <c r="G56" s="229">
        <f>Итоговая!G57</f>
        <v>0</v>
      </c>
      <c r="H56" s="229">
        <f>Итоговая!H57</f>
        <v>0</v>
      </c>
      <c r="I56" s="172">
        <f>Итоговая!Q57</f>
        <v>1.99</v>
      </c>
      <c r="J56" s="172">
        <f>Итоговая!R57</f>
        <v>1.99</v>
      </c>
      <c r="K56" s="757" t="str">
        <f>Итоговая!S57</f>
        <v>открыт</v>
      </c>
      <c r="L56" s="259" t="str">
        <f>Итоговая!T57</f>
        <v>открыт</v>
      </c>
      <c r="M56" s="757">
        <f>Итоговая!U57</f>
        <v>66.666666666666671</v>
      </c>
      <c r="N56" s="902"/>
      <c r="O56" s="902"/>
      <c r="P56" s="902"/>
    </row>
    <row r="57" spans="1:16" hidden="1" x14ac:dyDescent="0.25">
      <c r="A57" s="212">
        <f>Итоговая!A58</f>
        <v>42</v>
      </c>
      <c r="B57" s="752">
        <f>COUNTIFS($C$8:C57,"*ПС*",$L$8:L57,"*закрыт*")</f>
        <v>6</v>
      </c>
      <c r="C57" s="212" t="str">
        <f>Итоговая!C58</f>
        <v xml:space="preserve">ПС 35/10 кВ Сонково </v>
      </c>
      <c r="D57" s="230">
        <f>Итоговая!D58</f>
        <v>4</v>
      </c>
      <c r="E57" s="229" t="str">
        <f>Итоговая!E58</f>
        <v>+</v>
      </c>
      <c r="F57" s="229">
        <f>Итоговая!F58</f>
        <v>3.2</v>
      </c>
      <c r="G57" s="229">
        <f>Итоговая!G58</f>
        <v>0</v>
      </c>
      <c r="H57" s="229">
        <f>Итоговая!H58</f>
        <v>0</v>
      </c>
      <c r="I57" s="172">
        <f>Итоговая!Q58</f>
        <v>1.7700000000000005</v>
      </c>
      <c r="J57" s="172">
        <f>Итоговая!R58</f>
        <v>1.7700000000000005</v>
      </c>
      <c r="K57" s="757" t="str">
        <f>Итоговая!S58</f>
        <v>открыт</v>
      </c>
      <c r="L57" s="259" t="str">
        <f>Итоговая!T58</f>
        <v>открыт</v>
      </c>
      <c r="M57" s="757">
        <f>Итоговая!U58</f>
        <v>113.09523809523809</v>
      </c>
      <c r="N57" s="902"/>
      <c r="O57" s="902"/>
      <c r="P57" s="902"/>
    </row>
    <row r="58" spans="1:16" ht="30" hidden="1" x14ac:dyDescent="0.25">
      <c r="A58" s="212">
        <f>Итоговая!A59</f>
        <v>43</v>
      </c>
      <c r="B58" s="752">
        <f>COUNTIFS($C$8:C58,"*ПС*",$L$8:L58,"*закрыт*")</f>
        <v>6</v>
      </c>
      <c r="C58" s="212" t="str">
        <f>Итоговая!C59</f>
        <v xml:space="preserve">ПС 35/10 кВ Сулежский Борок </v>
      </c>
      <c r="D58" s="230">
        <f>Итоговая!D59</f>
        <v>1.6</v>
      </c>
      <c r="E58" s="229" t="str">
        <f>Итоговая!E59</f>
        <v>+</v>
      </c>
      <c r="F58" s="229">
        <f>Итоговая!F59</f>
        <v>2.5</v>
      </c>
      <c r="G58" s="229">
        <f>Итоговая!G59</f>
        <v>0</v>
      </c>
      <c r="H58" s="229">
        <f>Итоговая!H59</f>
        <v>0</v>
      </c>
      <c r="I58" s="172">
        <f>Итоговая!Q59</f>
        <v>1.9800000000000002</v>
      </c>
      <c r="J58" s="172">
        <f>Итоговая!R59</f>
        <v>1.9800000000000002</v>
      </c>
      <c r="K58" s="757" t="str">
        <f>Итоговая!S59</f>
        <v>открыт</v>
      </c>
      <c r="L58" s="259" t="str">
        <f>Итоговая!T59</f>
        <v>открыт</v>
      </c>
      <c r="M58" s="757">
        <f>Итоговая!U59</f>
        <v>25.595238095238091</v>
      </c>
      <c r="N58" s="902"/>
      <c r="O58" s="902"/>
      <c r="P58" s="902"/>
    </row>
    <row r="59" spans="1:16" ht="30" hidden="1" x14ac:dyDescent="0.25">
      <c r="A59" s="212">
        <f>Итоговая!A60</f>
        <v>44</v>
      </c>
      <c r="B59" s="752">
        <f>COUNTIFS($C$8:C59,"*ПС*",$L$8:L59,"*закрыт*")</f>
        <v>6</v>
      </c>
      <c r="C59" s="212" t="str">
        <f>Итоговая!C60</f>
        <v xml:space="preserve">ПС 110/10 кВ Шишково Дуброво </v>
      </c>
      <c r="D59" s="230">
        <f>Итоговая!D60</f>
        <v>6.3</v>
      </c>
      <c r="E59" s="229" t="str">
        <f>Итоговая!E60</f>
        <v>+</v>
      </c>
      <c r="F59" s="229">
        <f>Итоговая!F60</f>
        <v>6.3</v>
      </c>
      <c r="G59" s="229">
        <f>Итоговая!G60</f>
        <v>0</v>
      </c>
      <c r="H59" s="229">
        <f>Итоговая!H60</f>
        <v>0</v>
      </c>
      <c r="I59" s="172">
        <f>Итоговая!Q60</f>
        <v>6.9950000000000001</v>
      </c>
      <c r="J59" s="172">
        <f>Итоговая!R60</f>
        <v>6.9950000000000001</v>
      </c>
      <c r="K59" s="757" t="str">
        <f>Итоговая!S60</f>
        <v>открыт</v>
      </c>
      <c r="L59" s="259" t="str">
        <f>Итоговая!T60</f>
        <v>открыт</v>
      </c>
      <c r="M59" s="757">
        <f>Итоговая!U60</f>
        <v>9.0702947845804989</v>
      </c>
      <c r="N59" s="902"/>
      <c r="O59" s="902"/>
      <c r="P59" s="902"/>
    </row>
    <row r="60" spans="1:16" hidden="1" x14ac:dyDescent="0.25">
      <c r="A60" s="2419">
        <f>Итоговая!A61</f>
        <v>45</v>
      </c>
      <c r="B60" s="2423">
        <f>COUNTIFS($C$8:C60,"*ПС*",$L$8:L60,"*закрыт*")</f>
        <v>6</v>
      </c>
      <c r="C60" s="212" t="str">
        <f>Итоговая!C61</f>
        <v xml:space="preserve">ПС 110/35/10 кВ Весьегонск </v>
      </c>
      <c r="D60" s="230">
        <f>Итоговая!D61</f>
        <v>6.3</v>
      </c>
      <c r="E60" s="229" t="str">
        <f>Итоговая!E61</f>
        <v>+</v>
      </c>
      <c r="F60" s="229">
        <f>Итоговая!F61</f>
        <v>6.3</v>
      </c>
      <c r="G60" s="229">
        <f>Итоговая!G61</f>
        <v>0</v>
      </c>
      <c r="H60" s="229">
        <f>Итоговая!H61</f>
        <v>0</v>
      </c>
      <c r="I60" s="172">
        <f>Итоговая!Q61</f>
        <v>2.7650000000000006</v>
      </c>
      <c r="J60" s="2420">
        <f>Итоговая!R61</f>
        <v>2.5550000000000006</v>
      </c>
      <c r="K60" s="2400" t="str">
        <f>Итоговая!S61</f>
        <v>открыт</v>
      </c>
      <c r="L60" s="259" t="str">
        <f>Итоговая!T61</f>
        <v>открыт</v>
      </c>
      <c r="M60" s="2400">
        <f>Итоговая!U61</f>
        <v>61.375661375661366</v>
      </c>
      <c r="N60" s="902"/>
      <c r="O60" s="902"/>
      <c r="P60" s="902"/>
    </row>
    <row r="61" spans="1:16" hidden="1" x14ac:dyDescent="0.25">
      <c r="A61" s="2419">
        <f>Итоговая!A62</f>
        <v>0</v>
      </c>
      <c r="B61" s="2440"/>
      <c r="C61" s="212" t="str">
        <f>Итоговая!C62</f>
        <v xml:space="preserve">Ном. Мощность СН, МВА </v>
      </c>
      <c r="D61" s="230">
        <f>Итоговая!D62</f>
        <v>6.3</v>
      </c>
      <c r="E61" s="229" t="str">
        <f>Итоговая!E62</f>
        <v>+</v>
      </c>
      <c r="F61" s="229">
        <f>Итоговая!F62</f>
        <v>6.3</v>
      </c>
      <c r="G61" s="229">
        <f>Итоговая!G62</f>
        <v>0</v>
      </c>
      <c r="H61" s="229">
        <f>Итоговая!H62</f>
        <v>0</v>
      </c>
      <c r="I61" s="172">
        <f>Итоговая!Q62</f>
        <v>6.8250000000000002</v>
      </c>
      <c r="J61" s="2420">
        <f>Итоговая!R62</f>
        <v>0</v>
      </c>
      <c r="K61" s="2501">
        <f>Итоговая!S62</f>
        <v>0</v>
      </c>
      <c r="L61" s="259" t="str">
        <f>Итоговая!T62</f>
        <v>открыт</v>
      </c>
      <c r="M61" s="2501">
        <f>Итоговая!U62</f>
        <v>0</v>
      </c>
      <c r="N61" s="902"/>
      <c r="O61" s="902"/>
      <c r="P61" s="902"/>
    </row>
    <row r="62" spans="1:16" hidden="1" x14ac:dyDescent="0.25">
      <c r="A62" s="2419">
        <f>Итоговая!A63</f>
        <v>0</v>
      </c>
      <c r="B62" s="2441"/>
      <c r="C62" s="212" t="str">
        <f>Итоговая!C63</f>
        <v>Ном. мощность НН, МВА</v>
      </c>
      <c r="D62" s="230">
        <f>Итоговая!D63</f>
        <v>6.3</v>
      </c>
      <c r="E62" s="229" t="str">
        <f>Итоговая!E63</f>
        <v>+</v>
      </c>
      <c r="F62" s="229">
        <f>Итоговая!F63</f>
        <v>6.3</v>
      </c>
      <c r="G62" s="229">
        <f>Итоговая!G63</f>
        <v>0</v>
      </c>
      <c r="H62" s="229">
        <f>Итоговая!H63</f>
        <v>0</v>
      </c>
      <c r="I62" s="172">
        <f>Итоговая!Q63</f>
        <v>2.5550000000000006</v>
      </c>
      <c r="J62" s="2420">
        <f>Итоговая!R63</f>
        <v>0</v>
      </c>
      <c r="K62" s="2502">
        <f>Итоговая!S63</f>
        <v>0</v>
      </c>
      <c r="L62" s="259" t="str">
        <f>Итоговая!T63</f>
        <v>открыт</v>
      </c>
      <c r="M62" s="2502">
        <f>Итоговая!U63</f>
        <v>0</v>
      </c>
      <c r="N62" s="902"/>
      <c r="O62" s="902"/>
      <c r="P62" s="902"/>
    </row>
    <row r="63" spans="1:16" hidden="1" x14ac:dyDescent="0.25">
      <c r="A63" s="2419">
        <f>Итоговая!A64</f>
        <v>46</v>
      </c>
      <c r="B63" s="2423">
        <f>COUNTIFS($C$8:C63,"*ПС*",$L$8:L63,"*закрыт*")</f>
        <v>6</v>
      </c>
      <c r="C63" s="212" t="str">
        <f>Итоговая!C64</f>
        <v xml:space="preserve">ПС 110/35/10 кВ ДВП  </v>
      </c>
      <c r="D63" s="230">
        <f>Итоговая!D64</f>
        <v>25</v>
      </c>
      <c r="E63" s="229" t="str">
        <f>Итоговая!E64</f>
        <v>+</v>
      </c>
      <c r="F63" s="229">
        <f>Итоговая!F64</f>
        <v>25</v>
      </c>
      <c r="G63" s="229">
        <f>Итоговая!G64</f>
        <v>0</v>
      </c>
      <c r="H63" s="229">
        <f>Итоговая!H64</f>
        <v>0</v>
      </c>
      <c r="I63" s="172">
        <f>Итоговая!Q64</f>
        <v>17.649999999999999</v>
      </c>
      <c r="J63" s="2420">
        <f>Итоговая!R64</f>
        <v>17.649999999999999</v>
      </c>
      <c r="K63" s="2400" t="str">
        <f>Итоговая!S64</f>
        <v>открыт</v>
      </c>
      <c r="L63" s="259" t="str">
        <f>Итоговая!T64</f>
        <v>открыт</v>
      </c>
      <c r="M63" s="2400">
        <f>Итоговая!U64</f>
        <v>42.285714285714285</v>
      </c>
      <c r="N63" s="902"/>
      <c r="O63" s="902"/>
      <c r="P63" s="902"/>
    </row>
    <row r="64" spans="1:16" hidden="1" x14ac:dyDescent="0.25">
      <c r="A64" s="2419">
        <f>Итоговая!A65</f>
        <v>0</v>
      </c>
      <c r="B64" s="2440"/>
      <c r="C64" s="212" t="str">
        <f>Итоговая!C65</f>
        <v xml:space="preserve">Ном. Мощность СН, МВА </v>
      </c>
      <c r="D64" s="230">
        <f>Итоговая!D65</f>
        <v>25</v>
      </c>
      <c r="E64" s="229" t="str">
        <f>Итоговая!E65</f>
        <v>+</v>
      </c>
      <c r="F64" s="229">
        <f>Итоговая!F65</f>
        <v>25</v>
      </c>
      <c r="G64" s="229">
        <f>Итоговая!G65</f>
        <v>0</v>
      </c>
      <c r="H64" s="229">
        <f>Итоговая!H65</f>
        <v>0</v>
      </c>
      <c r="I64" s="172">
        <f>Итоговая!Q65</f>
        <v>23.95</v>
      </c>
      <c r="J64" s="2420">
        <f>Итоговая!R65</f>
        <v>0</v>
      </c>
      <c r="K64" s="2501">
        <f>Итоговая!S65</f>
        <v>0</v>
      </c>
      <c r="L64" s="259" t="str">
        <f>Итоговая!T65</f>
        <v>открыт</v>
      </c>
      <c r="M64" s="2501">
        <f>Итоговая!U65</f>
        <v>0</v>
      </c>
      <c r="N64" s="902"/>
      <c r="O64" s="902"/>
      <c r="P64" s="902"/>
    </row>
    <row r="65" spans="1:16" s="232" customFormat="1" hidden="1" x14ac:dyDescent="0.25">
      <c r="A65" s="2419">
        <f>Итоговая!A66</f>
        <v>0</v>
      </c>
      <c r="B65" s="2441"/>
      <c r="C65" s="212" t="str">
        <f>Итоговая!C66</f>
        <v>Ном. мощность НН, МВА</v>
      </c>
      <c r="D65" s="230">
        <f>Итоговая!D66</f>
        <v>25</v>
      </c>
      <c r="E65" s="229" t="str">
        <f>Итоговая!E66</f>
        <v>+</v>
      </c>
      <c r="F65" s="229">
        <f>Итоговая!F66</f>
        <v>25</v>
      </c>
      <c r="G65" s="229">
        <f>Итоговая!G66</f>
        <v>0</v>
      </c>
      <c r="H65" s="229">
        <f>Итоговая!H66</f>
        <v>0</v>
      </c>
      <c r="I65" s="172">
        <f>Итоговая!Q66</f>
        <v>19.95</v>
      </c>
      <c r="J65" s="2420">
        <f>Итоговая!R66</f>
        <v>0</v>
      </c>
      <c r="K65" s="2502">
        <f>Итоговая!S66</f>
        <v>0</v>
      </c>
      <c r="L65" s="259" t="str">
        <f>Итоговая!T66</f>
        <v>открыт</v>
      </c>
      <c r="M65" s="2502">
        <f>Итоговая!U66</f>
        <v>0</v>
      </c>
      <c r="N65" s="902"/>
      <c r="O65" s="902"/>
      <c r="P65" s="902"/>
    </row>
    <row r="66" spans="1:16" s="232" customFormat="1" ht="30" hidden="1" x14ac:dyDescent="0.25">
      <c r="A66" s="2419">
        <f>Итоговая!A67</f>
        <v>47</v>
      </c>
      <c r="B66" s="2423">
        <f>COUNTIFS($C$8:C66,"*ПС*",$L$8:L66,"*закрыт*")</f>
        <v>6</v>
      </c>
      <c r="C66" s="212" t="str">
        <f>Итоговая!C67</f>
        <v xml:space="preserve">ПС 110/35/10 кВ Красный Холм </v>
      </c>
      <c r="D66" s="230">
        <f>Итоговая!D67</f>
        <v>10</v>
      </c>
      <c r="E66" s="229" t="str">
        <f>Итоговая!E67</f>
        <v>+</v>
      </c>
      <c r="F66" s="229">
        <f>Итоговая!F67</f>
        <v>10</v>
      </c>
      <c r="G66" s="229">
        <f>Итоговая!G67</f>
        <v>0</v>
      </c>
      <c r="H66" s="229">
        <f>Итоговая!H67</f>
        <v>0</v>
      </c>
      <c r="I66" s="172">
        <f>Итоговая!Q67</f>
        <v>11.14</v>
      </c>
      <c r="J66" s="2420">
        <f>Итоговая!R67</f>
        <v>5.15</v>
      </c>
      <c r="K66" s="2400" t="str">
        <f>Итоговая!S67</f>
        <v>открыт</v>
      </c>
      <c r="L66" s="259" t="str">
        <f>Итоговая!T67</f>
        <v>открыт</v>
      </c>
      <c r="M66" s="2400">
        <f>Итоговая!U67</f>
        <v>53.428571428571431</v>
      </c>
      <c r="N66" s="902"/>
      <c r="O66" s="902"/>
      <c r="P66" s="902"/>
    </row>
    <row r="67" spans="1:16" s="232" customFormat="1" hidden="1" x14ac:dyDescent="0.25">
      <c r="A67" s="2419">
        <f>Итоговая!A68</f>
        <v>0</v>
      </c>
      <c r="B67" s="2440"/>
      <c r="C67" s="212" t="str">
        <f>Итоговая!C68</f>
        <v xml:space="preserve">Ном. Мощность СН, МВА </v>
      </c>
      <c r="D67" s="230">
        <f>Итоговая!D68</f>
        <v>10</v>
      </c>
      <c r="E67" s="229" t="str">
        <f>Итоговая!E68</f>
        <v>+</v>
      </c>
      <c r="F67" s="229">
        <f>Итоговая!F68</f>
        <v>10</v>
      </c>
      <c r="G67" s="229">
        <f>Итоговая!G68</f>
        <v>0</v>
      </c>
      <c r="H67" s="229">
        <f>Итоговая!H68</f>
        <v>0</v>
      </c>
      <c r="I67" s="172">
        <f>Итоговая!Q68</f>
        <v>16.490000000000002</v>
      </c>
      <c r="J67" s="2420">
        <f>Итоговая!R68</f>
        <v>0</v>
      </c>
      <c r="K67" s="2501">
        <f>Итоговая!S68</f>
        <v>0</v>
      </c>
      <c r="L67" s="259" t="str">
        <f>Итоговая!T68</f>
        <v>открыт</v>
      </c>
      <c r="M67" s="2501">
        <f>Итоговая!U68</f>
        <v>0</v>
      </c>
      <c r="N67" s="902"/>
      <c r="O67" s="902"/>
      <c r="P67" s="902"/>
    </row>
    <row r="68" spans="1:16" s="232" customFormat="1" hidden="1" x14ac:dyDescent="0.25">
      <c r="A68" s="2419">
        <f>Итоговая!A69</f>
        <v>0</v>
      </c>
      <c r="B68" s="2441"/>
      <c r="C68" s="212" t="str">
        <f>Итоговая!C69</f>
        <v>Ном. мощность НН, МВА</v>
      </c>
      <c r="D68" s="230">
        <f>Итоговая!D69</f>
        <v>10</v>
      </c>
      <c r="E68" s="229" t="str">
        <f>Итоговая!E69</f>
        <v>+</v>
      </c>
      <c r="F68" s="229">
        <f>Итоговая!F69</f>
        <v>10</v>
      </c>
      <c r="G68" s="229">
        <f>Итоговая!G69</f>
        <v>0</v>
      </c>
      <c r="H68" s="229">
        <f>Итоговая!H69</f>
        <v>0</v>
      </c>
      <c r="I68" s="172">
        <f>Итоговая!Q69</f>
        <v>5.15</v>
      </c>
      <c r="J68" s="2420">
        <f>Итоговая!R69</f>
        <v>0</v>
      </c>
      <c r="K68" s="2502">
        <f>Итоговая!S69</f>
        <v>0</v>
      </c>
      <c r="L68" s="259" t="str">
        <f>Итоговая!T69</f>
        <v>открыт</v>
      </c>
      <c r="M68" s="2502">
        <f>Итоговая!U69</f>
        <v>0</v>
      </c>
      <c r="N68" s="902"/>
      <c r="O68" s="902"/>
      <c r="P68" s="902"/>
    </row>
    <row r="69" spans="1:16" s="232" customFormat="1" hidden="1" x14ac:dyDescent="0.25">
      <c r="A69" s="2419">
        <f>Итоговая!A70</f>
        <v>48</v>
      </c>
      <c r="B69" s="2423">
        <f>COUNTIFS($C$8:C69,"*ПС*",$L$8:L69,"*закрыт*")</f>
        <v>6</v>
      </c>
      <c r="C69" s="212" t="str">
        <f>Итоговая!C70</f>
        <v xml:space="preserve">ПС 110/35/10 кВ Поречье </v>
      </c>
      <c r="D69" s="230">
        <f>Итоговая!D70</f>
        <v>6.3</v>
      </c>
      <c r="E69" s="229" t="str">
        <f>Итоговая!E70</f>
        <v>+</v>
      </c>
      <c r="F69" s="229">
        <f>Итоговая!F70</f>
        <v>6.3</v>
      </c>
      <c r="G69" s="229">
        <f>Итоговая!G70</f>
        <v>0</v>
      </c>
      <c r="H69" s="229">
        <f>Итоговая!H70</f>
        <v>0</v>
      </c>
      <c r="I69" s="172">
        <f>Итоговая!Q70</f>
        <v>10.195</v>
      </c>
      <c r="J69" s="2420">
        <f>Итоговая!R70</f>
        <v>6.3450000000000006</v>
      </c>
      <c r="K69" s="2400" t="str">
        <f>Итоговая!S70</f>
        <v>открыт</v>
      </c>
      <c r="L69" s="259" t="str">
        <f>Итоговая!T70</f>
        <v>открыт</v>
      </c>
      <c r="M69" s="2400">
        <f>Итоговая!U70</f>
        <v>40.362811791383216</v>
      </c>
      <c r="N69" s="902"/>
      <c r="O69" s="902"/>
      <c r="P69" s="902"/>
    </row>
    <row r="70" spans="1:16" s="232" customFormat="1" hidden="1" x14ac:dyDescent="0.25">
      <c r="A70" s="2419">
        <f>Итоговая!A71</f>
        <v>0</v>
      </c>
      <c r="B70" s="2440"/>
      <c r="C70" s="212" t="str">
        <f>Итоговая!C71</f>
        <v xml:space="preserve">Ном. Мощность СН, МВА </v>
      </c>
      <c r="D70" s="230">
        <f>Итоговая!D71</f>
        <v>6.3</v>
      </c>
      <c r="E70" s="229" t="str">
        <f>Итоговая!E71</f>
        <v>+</v>
      </c>
      <c r="F70" s="229">
        <f>Итоговая!F71</f>
        <v>6.3</v>
      </c>
      <c r="G70" s="229">
        <f>Итоговая!G71</f>
        <v>0</v>
      </c>
      <c r="H70" s="229">
        <f>Итоговая!H71</f>
        <v>0</v>
      </c>
      <c r="I70" s="172">
        <f>Итоговая!Q71</f>
        <v>10.465</v>
      </c>
      <c r="J70" s="2420">
        <f>Итоговая!R71</f>
        <v>0</v>
      </c>
      <c r="K70" s="2501">
        <f>Итоговая!S71</f>
        <v>0</v>
      </c>
      <c r="L70" s="259" t="str">
        <f>Итоговая!T71</f>
        <v>открыт</v>
      </c>
      <c r="M70" s="2501">
        <f>Итоговая!U71</f>
        <v>0</v>
      </c>
      <c r="N70" s="902"/>
      <c r="O70" s="902"/>
      <c r="P70" s="902"/>
    </row>
    <row r="71" spans="1:16" s="232" customFormat="1" hidden="1" x14ac:dyDescent="0.25">
      <c r="A71" s="2419">
        <f>Итоговая!A72</f>
        <v>0</v>
      </c>
      <c r="B71" s="2441"/>
      <c r="C71" s="212" t="str">
        <f>Итоговая!C72</f>
        <v>Ном. мощность НН, МВА</v>
      </c>
      <c r="D71" s="230">
        <f>Итоговая!D72</f>
        <v>6.3</v>
      </c>
      <c r="E71" s="229" t="str">
        <f>Итоговая!E72</f>
        <v>+</v>
      </c>
      <c r="F71" s="229">
        <f>Итоговая!F72</f>
        <v>6.3</v>
      </c>
      <c r="G71" s="229">
        <f>Итоговая!G72</f>
        <v>0</v>
      </c>
      <c r="H71" s="229">
        <f>Итоговая!H72</f>
        <v>0</v>
      </c>
      <c r="I71" s="172">
        <f>Итоговая!Q72</f>
        <v>6.3450000000000006</v>
      </c>
      <c r="J71" s="2420">
        <f>Итоговая!R72</f>
        <v>0</v>
      </c>
      <c r="K71" s="2502">
        <f>Итоговая!S72</f>
        <v>0</v>
      </c>
      <c r="L71" s="259" t="str">
        <f>Итоговая!T72</f>
        <v>открыт</v>
      </c>
      <c r="M71" s="2502">
        <f>Итоговая!U72</f>
        <v>0</v>
      </c>
      <c r="N71" s="902"/>
      <c r="O71" s="902"/>
      <c r="P71" s="902"/>
    </row>
    <row r="72" spans="1:16" s="232" customFormat="1" hidden="1" x14ac:dyDescent="0.25">
      <c r="A72" s="2419">
        <f>Итоговая!A73</f>
        <v>49</v>
      </c>
      <c r="B72" s="2423">
        <f>COUNTIFS($C$8:C72,"*ПС*",$L$8:L72,"*закрыт*")</f>
        <v>6</v>
      </c>
      <c r="C72" s="212" t="str">
        <f>Итоговая!C73</f>
        <v xml:space="preserve">ПС 110/35/10 кВ Сандово </v>
      </c>
      <c r="D72" s="230">
        <f>Итоговая!D73</f>
        <v>10</v>
      </c>
      <c r="E72" s="229" t="str">
        <f>Итоговая!E73</f>
        <v>+</v>
      </c>
      <c r="F72" s="229">
        <f>Итоговая!F73</f>
        <v>10</v>
      </c>
      <c r="G72" s="229">
        <f>Итоговая!G73</f>
        <v>0</v>
      </c>
      <c r="H72" s="229">
        <f>Итоговая!H73</f>
        <v>0</v>
      </c>
      <c r="I72" s="172">
        <f>Итоговая!Q73</f>
        <v>9.9600000000000009</v>
      </c>
      <c r="J72" s="2420">
        <f>Итоговая!R73</f>
        <v>9.4</v>
      </c>
      <c r="K72" s="2400" t="str">
        <f>Итоговая!S73</f>
        <v>открыт</v>
      </c>
      <c r="L72" s="259" t="str">
        <f>Итоговая!T73</f>
        <v>открыт</v>
      </c>
      <c r="M72" s="2400">
        <f>Итоговая!U73</f>
        <v>49.428571428571431</v>
      </c>
      <c r="N72" s="902"/>
      <c r="O72" s="902"/>
      <c r="P72" s="902"/>
    </row>
    <row r="73" spans="1:16" s="232" customFormat="1" hidden="1" x14ac:dyDescent="0.25">
      <c r="A73" s="2419">
        <f>Итоговая!A74</f>
        <v>0</v>
      </c>
      <c r="B73" s="2440"/>
      <c r="C73" s="212" t="str">
        <f>Итоговая!C74</f>
        <v xml:space="preserve">Ном. Мощность СН, МВА </v>
      </c>
      <c r="D73" s="230">
        <f>Итоговая!D74</f>
        <v>10</v>
      </c>
      <c r="E73" s="229" t="str">
        <f>Итоговая!E74</f>
        <v>+</v>
      </c>
      <c r="F73" s="229">
        <f>Итоговая!F74</f>
        <v>10</v>
      </c>
      <c r="G73" s="229">
        <f>Итоговая!G74</f>
        <v>0</v>
      </c>
      <c r="H73" s="229">
        <f>Итоговая!H74</f>
        <v>0</v>
      </c>
      <c r="I73" s="172">
        <f>Итоговая!Q74</f>
        <v>11.06</v>
      </c>
      <c r="J73" s="2420">
        <f>Итоговая!R74</f>
        <v>0</v>
      </c>
      <c r="K73" s="2501">
        <f>Итоговая!S74</f>
        <v>0</v>
      </c>
      <c r="L73" s="259" t="str">
        <f>Итоговая!T74</f>
        <v>открыт</v>
      </c>
      <c r="M73" s="2501">
        <f>Итоговая!U74</f>
        <v>0</v>
      </c>
      <c r="N73" s="902"/>
      <c r="O73" s="902"/>
      <c r="P73" s="902"/>
    </row>
    <row r="74" spans="1:16" s="232" customFormat="1" hidden="1" x14ac:dyDescent="0.25">
      <c r="A74" s="2419">
        <f>Итоговая!A75</f>
        <v>0</v>
      </c>
      <c r="B74" s="2441"/>
      <c r="C74" s="212" t="str">
        <f>Итоговая!C75</f>
        <v>Ном. мощность НН, МВА</v>
      </c>
      <c r="D74" s="230">
        <f>Итоговая!D75</f>
        <v>10</v>
      </c>
      <c r="E74" s="229" t="str">
        <f>Итоговая!E75</f>
        <v>+</v>
      </c>
      <c r="F74" s="229">
        <f>Итоговая!F75</f>
        <v>10</v>
      </c>
      <c r="G74" s="229">
        <f>Итоговая!G75</f>
        <v>0</v>
      </c>
      <c r="H74" s="229">
        <f>Итоговая!H75</f>
        <v>0</v>
      </c>
      <c r="I74" s="172">
        <f>Итоговая!Q75</f>
        <v>9.4</v>
      </c>
      <c r="J74" s="2420">
        <f>Итоговая!R75</f>
        <v>0</v>
      </c>
      <c r="K74" s="2502">
        <f>Итоговая!S75</f>
        <v>0</v>
      </c>
      <c r="L74" s="259" t="str">
        <f>Итоговая!T75</f>
        <v>открыт</v>
      </c>
      <c r="M74" s="2502">
        <f>Итоговая!U75</f>
        <v>0</v>
      </c>
      <c r="N74" s="902"/>
      <c r="O74" s="902"/>
      <c r="P74" s="902"/>
    </row>
    <row r="75" spans="1:16" s="232" customFormat="1" hidden="1" x14ac:dyDescent="0.25">
      <c r="A75" s="2419">
        <f>Итоговая!A76</f>
        <v>50</v>
      </c>
      <c r="B75" s="2423">
        <f>COUNTIFS($C$8:C75,"*ПС*",$L$8:L75,"*закрыт*")</f>
        <v>6</v>
      </c>
      <c r="C75" s="212" t="str">
        <f>Итоговая!C76</f>
        <v xml:space="preserve">ПС 110/35/10 кВ Шолмино </v>
      </c>
      <c r="D75" s="230">
        <f>Итоговая!D76</f>
        <v>25</v>
      </c>
      <c r="E75" s="229" t="str">
        <f>Итоговая!E76</f>
        <v>+</v>
      </c>
      <c r="F75" s="229">
        <f>Итоговая!F76</f>
        <v>25</v>
      </c>
      <c r="G75" s="229">
        <f>Итоговая!G76</f>
        <v>0</v>
      </c>
      <c r="H75" s="229">
        <f>Итоговая!H76</f>
        <v>0</v>
      </c>
      <c r="I75" s="172">
        <f>Итоговая!Q76</f>
        <v>17.559999999999999</v>
      </c>
      <c r="J75" s="2420">
        <f>Итоговая!R76</f>
        <v>17.559999999999999</v>
      </c>
      <c r="K75" s="2400" t="str">
        <f>Итоговая!S76</f>
        <v>открыт</v>
      </c>
      <c r="L75" s="259" t="str">
        <f>Итоговая!T76</f>
        <v>открыт</v>
      </c>
      <c r="M75" s="2400">
        <f>Итоговая!U76</f>
        <v>51.009523809523813</v>
      </c>
      <c r="N75" s="902"/>
      <c r="O75" s="902"/>
      <c r="P75" s="902"/>
    </row>
    <row r="76" spans="1:16" s="232" customFormat="1" hidden="1" x14ac:dyDescent="0.25">
      <c r="A76" s="2419">
        <f>Итоговая!A77</f>
        <v>0</v>
      </c>
      <c r="B76" s="2440"/>
      <c r="C76" s="212" t="str">
        <f>Итоговая!C77</f>
        <v xml:space="preserve">Ном. Мощность СН, МВА </v>
      </c>
      <c r="D76" s="230">
        <f>Итоговая!D77</f>
        <v>25</v>
      </c>
      <c r="E76" s="229" t="str">
        <f>Итоговая!E77</f>
        <v>+</v>
      </c>
      <c r="F76" s="229">
        <f>Итоговая!F77</f>
        <v>25</v>
      </c>
      <c r="G76" s="229">
        <f>Итоговая!G77</f>
        <v>0</v>
      </c>
      <c r="H76" s="229">
        <f>Итоговая!H77</f>
        <v>0</v>
      </c>
      <c r="I76" s="172">
        <f>Итоговая!Q77</f>
        <v>25.55</v>
      </c>
      <c r="J76" s="2420">
        <f>Итоговая!R77</f>
        <v>0</v>
      </c>
      <c r="K76" s="2501">
        <f>Итоговая!S77</f>
        <v>0</v>
      </c>
      <c r="L76" s="259" t="str">
        <f>Итоговая!T77</f>
        <v>открыт</v>
      </c>
      <c r="M76" s="2501">
        <f>Итоговая!U77</f>
        <v>0</v>
      </c>
      <c r="N76" s="902"/>
      <c r="O76" s="902"/>
      <c r="P76" s="902"/>
    </row>
    <row r="77" spans="1:16" s="232" customFormat="1" hidden="1" x14ac:dyDescent="0.25">
      <c r="A77" s="2419">
        <f>Итоговая!A78</f>
        <v>0</v>
      </c>
      <c r="B77" s="2441"/>
      <c r="C77" s="212" t="str">
        <f>Итоговая!C78</f>
        <v>Ном. мощность НН, МВА</v>
      </c>
      <c r="D77" s="230">
        <f>Итоговая!D78</f>
        <v>25</v>
      </c>
      <c r="E77" s="229" t="str">
        <f>Итоговая!E78</f>
        <v>+</v>
      </c>
      <c r="F77" s="229">
        <f>Итоговая!F78</f>
        <v>25</v>
      </c>
      <c r="G77" s="229">
        <f>Итоговая!G78</f>
        <v>0</v>
      </c>
      <c r="H77" s="229">
        <f>Итоговая!H78</f>
        <v>0</v>
      </c>
      <c r="I77" s="172">
        <f>Итоговая!Q78</f>
        <v>18.259999999999998</v>
      </c>
      <c r="J77" s="2420">
        <f>Итоговая!R78</f>
        <v>0</v>
      </c>
      <c r="K77" s="2502">
        <f>Итоговая!S78</f>
        <v>0</v>
      </c>
      <c r="L77" s="259" t="str">
        <f>Итоговая!T78</f>
        <v>открыт</v>
      </c>
      <c r="M77" s="2502">
        <f>Итоговая!U78</f>
        <v>0</v>
      </c>
      <c r="N77" s="902"/>
      <c r="O77" s="902"/>
      <c r="P77" s="902"/>
    </row>
    <row r="78" spans="1:16" x14ac:dyDescent="0.25">
      <c r="A78" s="212">
        <f>Итоговая!A79</f>
        <v>51</v>
      </c>
      <c r="B78" s="212">
        <f>COUNTIFS($C$8:C78,"*ПС*",$L$8:L78,"*закрыт*")</f>
        <v>7</v>
      </c>
      <c r="C78" s="212" t="str">
        <f>Итоговая!C79</f>
        <v xml:space="preserve">ПС 35/6 кВ Бельский Карьер </v>
      </c>
      <c r="D78" s="230">
        <f>Итоговая!D79</f>
        <v>4</v>
      </c>
      <c r="E78" s="229">
        <f>Итоговая!E79</f>
        <v>0</v>
      </c>
      <c r="F78" s="229">
        <f>Итоговая!F79</f>
        <v>0</v>
      </c>
      <c r="G78" s="229">
        <f>Итоговая!G79</f>
        <v>0</v>
      </c>
      <c r="H78" s="229">
        <f>Итоговая!H79</f>
        <v>0</v>
      </c>
      <c r="I78" s="172">
        <f>Итоговая!Q79</f>
        <v>-0.18</v>
      </c>
      <c r="J78" s="172">
        <f>Итоговая!R79</f>
        <v>-0.18</v>
      </c>
      <c r="K78" s="212" t="str">
        <f>Итоговая!S79</f>
        <v>закрыт</v>
      </c>
      <c r="L78" s="259" t="str">
        <f>Итоговая!T79</f>
        <v>закрыт</v>
      </c>
      <c r="M78" s="757">
        <f>Итоговая!U79</f>
        <v>4.5238095238095237</v>
      </c>
      <c r="N78" s="907"/>
      <c r="O78" s="907"/>
      <c r="P78" s="907"/>
    </row>
    <row r="79" spans="1:16" s="232" customFormat="1" hidden="1" x14ac:dyDescent="0.25">
      <c r="A79" s="212">
        <f>Итоговая!A80</f>
        <v>52</v>
      </c>
      <c r="B79" s="212">
        <f>COUNTIFS($C$8:C79,"*ПС*",$L$8:L79,"*закрыт*")</f>
        <v>7</v>
      </c>
      <c r="C79" s="212" t="str">
        <f>Итоговая!C80</f>
        <v xml:space="preserve">ПС 35/10 кВ Дубровка </v>
      </c>
      <c r="D79" s="230">
        <f>Итоговая!D80</f>
        <v>1.6</v>
      </c>
      <c r="E79" s="229">
        <f>Итоговая!E80</f>
        <v>0</v>
      </c>
      <c r="F79" s="229">
        <f>Итоговая!F80</f>
        <v>0</v>
      </c>
      <c r="G79" s="229">
        <f>Итоговая!G80</f>
        <v>0</v>
      </c>
      <c r="H79" s="229">
        <f>Итоговая!H80</f>
        <v>0</v>
      </c>
      <c r="I79" s="172">
        <f>Итоговая!Q80</f>
        <v>1.999999999999999E-2</v>
      </c>
      <c r="J79" s="172">
        <f>Итоговая!R80</f>
        <v>1.999999999999999E-2</v>
      </c>
      <c r="K79" s="212" t="str">
        <f>Итоговая!S80</f>
        <v>открыт</v>
      </c>
      <c r="L79" s="259" t="str">
        <f>Итоговая!T80</f>
        <v>открыт</v>
      </c>
      <c r="M79" s="757">
        <f>Итоговая!U80</f>
        <v>13.69047619047619</v>
      </c>
      <c r="N79" s="902"/>
      <c r="O79" s="902"/>
      <c r="P79" s="902"/>
    </row>
    <row r="80" spans="1:16" x14ac:dyDescent="0.25">
      <c r="A80" s="212">
        <f>Итоговая!A81</f>
        <v>53</v>
      </c>
      <c r="B80" s="212">
        <f>COUNTIFS($C$8:C80,"*ПС*",$L$8:L80,"*закрыт*")</f>
        <v>8</v>
      </c>
      <c r="C80" s="212" t="str">
        <f>Итоговая!C81</f>
        <v xml:space="preserve">ПС 35/10 кВ Жилотково </v>
      </c>
      <c r="D80" s="230">
        <f>Итоговая!D81</f>
        <v>1.8</v>
      </c>
      <c r="E80" s="229">
        <f>Итоговая!E81</f>
        <v>0</v>
      </c>
      <c r="F80" s="229">
        <f>Итоговая!F81</f>
        <v>0</v>
      </c>
      <c r="G80" s="229">
        <f>Итоговая!G81</f>
        <v>0</v>
      </c>
      <c r="H80" s="229">
        <f>Итоговая!H81</f>
        <v>0</v>
      </c>
      <c r="I80" s="172">
        <f>Итоговая!Q81</f>
        <v>-0.35</v>
      </c>
      <c r="J80" s="172">
        <f>Итоговая!R81</f>
        <v>-0.35</v>
      </c>
      <c r="K80" s="212" t="str">
        <f>Итоговая!S81</f>
        <v>закрыт</v>
      </c>
      <c r="L80" s="259" t="str">
        <f>Итоговая!T81</f>
        <v>закрыт</v>
      </c>
      <c r="M80" s="757">
        <f>Итоговая!U81</f>
        <v>18.518518518518519</v>
      </c>
      <c r="N80" s="907"/>
      <c r="O80" s="907"/>
      <c r="P80" s="907"/>
    </row>
    <row r="81" spans="1:48" s="232" customFormat="1" x14ac:dyDescent="0.25">
      <c r="A81" s="212">
        <f>Итоговая!A82</f>
        <v>54</v>
      </c>
      <c r="B81" s="212">
        <f>COUNTIFS($C$8:C81,"*ПС*",$L$8:L81,"*закрыт*")</f>
        <v>9</v>
      </c>
      <c r="C81" s="212" t="str">
        <f>Итоговая!C82</f>
        <v xml:space="preserve">ПС 35/10 кВ Копачево </v>
      </c>
      <c r="D81" s="230">
        <f>Итоговая!D82</f>
        <v>1.6</v>
      </c>
      <c r="E81" s="229">
        <f>Итоговая!E82</f>
        <v>0</v>
      </c>
      <c r="F81" s="229">
        <f>Итоговая!F82</f>
        <v>0</v>
      </c>
      <c r="G81" s="229">
        <f>Итоговая!G82</f>
        <v>0</v>
      </c>
      <c r="H81" s="229">
        <f>Итоговая!H82</f>
        <v>0</v>
      </c>
      <c r="I81" s="172">
        <f>Итоговая!Q82</f>
        <v>-9.9999999999999811E-3</v>
      </c>
      <c r="J81" s="172">
        <f>Итоговая!R82</f>
        <v>-9.9999999999999811E-3</v>
      </c>
      <c r="K81" s="212" t="str">
        <f>Итоговая!S82</f>
        <v>закрыт</v>
      </c>
      <c r="L81" s="259" t="str">
        <f>Итоговая!T82</f>
        <v>закрыт</v>
      </c>
      <c r="M81" s="757">
        <f>Итоговая!U82</f>
        <v>14.285714285714285</v>
      </c>
      <c r="N81" s="902"/>
      <c r="O81" s="902"/>
      <c r="P81" s="902"/>
    </row>
    <row r="82" spans="1:48" s="232" customFormat="1" x14ac:dyDescent="0.25">
      <c r="A82" s="212">
        <f>Итоговая!A83</f>
        <v>55</v>
      </c>
      <c r="B82" s="212">
        <f>COUNTIFS($C$8:C82,"*ПС*",$L$8:L82,"*закрыт*")</f>
        <v>10</v>
      </c>
      <c r="C82" s="212" t="str">
        <f>Итоговая!C83</f>
        <v xml:space="preserve">ПС 35/10 кВ Кузнецово </v>
      </c>
      <c r="D82" s="230">
        <f>Итоговая!D83</f>
        <v>1.6</v>
      </c>
      <c r="E82" s="229">
        <f>Итоговая!E83</f>
        <v>0</v>
      </c>
      <c r="F82" s="229">
        <f>Итоговая!F83</f>
        <v>0</v>
      </c>
      <c r="G82" s="229">
        <f>Итоговая!G83</f>
        <v>0</v>
      </c>
      <c r="H82" s="229">
        <f>Итоговая!H83</f>
        <v>0</v>
      </c>
      <c r="I82" s="172">
        <f>Итоговая!Q83</f>
        <v>-9.9999999999999978E-2</v>
      </c>
      <c r="J82" s="172">
        <f>Итоговая!R83</f>
        <v>-9.9999999999999978E-2</v>
      </c>
      <c r="K82" s="212" t="str">
        <f>Итоговая!S83</f>
        <v>закрыт</v>
      </c>
      <c r="L82" s="259" t="str">
        <f>Итоговая!T83</f>
        <v>закрыт</v>
      </c>
      <c r="M82" s="757">
        <f>Итоговая!U83</f>
        <v>21.428571428571427</v>
      </c>
      <c r="N82" s="902"/>
      <c r="O82" s="902"/>
      <c r="P82" s="902"/>
    </row>
    <row r="83" spans="1:48" s="232" customFormat="1" hidden="1" x14ac:dyDescent="0.25">
      <c r="A83" s="212">
        <f>Итоговая!A84</f>
        <v>56</v>
      </c>
      <c r="B83" s="212">
        <f>COUNTIFS($C$8:C83,"*ПС*",$L$8:L83,"*закрыт*")</f>
        <v>10</v>
      </c>
      <c r="C83" s="212" t="str">
        <f>Итоговая!C84</f>
        <v xml:space="preserve">ПС 35/10 кВ Лужниково </v>
      </c>
      <c r="D83" s="230">
        <f>Итоговая!D84</f>
        <v>2.5</v>
      </c>
      <c r="E83" s="229">
        <f>Итоговая!E84</f>
        <v>0</v>
      </c>
      <c r="F83" s="229">
        <f>Итоговая!F84</f>
        <v>0</v>
      </c>
      <c r="G83" s="229">
        <f>Итоговая!G84</f>
        <v>0</v>
      </c>
      <c r="H83" s="229">
        <f>Итоговая!H84</f>
        <v>0</v>
      </c>
      <c r="I83" s="172">
        <f>Итоговая!Q84</f>
        <v>0</v>
      </c>
      <c r="J83" s="172">
        <f>Итоговая!R84</f>
        <v>0</v>
      </c>
      <c r="K83" s="212" t="str">
        <f>Итоговая!S84</f>
        <v>открыт</v>
      </c>
      <c r="L83" s="259" t="str">
        <f>Итоговая!T84</f>
        <v>открыт</v>
      </c>
      <c r="M83" s="757">
        <f>Итоговая!U84</f>
        <v>4.5714285714285712</v>
      </c>
      <c r="N83" s="907"/>
      <c r="O83" s="907"/>
      <c r="P83" s="907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</row>
    <row r="84" spans="1:48" x14ac:dyDescent="0.25">
      <c r="A84" s="212">
        <f>Итоговая!A85</f>
        <v>57</v>
      </c>
      <c r="B84" s="212">
        <f>COUNTIFS($C$8:C84,"*ПС*",$L$8:L84,"*закрыт*")</f>
        <v>11</v>
      </c>
      <c r="C84" s="212" t="str">
        <f>Итоговая!C85</f>
        <v xml:space="preserve">ПС 35/10 кВ Насакино  </v>
      </c>
      <c r="D84" s="230">
        <f>Итоговая!D85</f>
        <v>2.5</v>
      </c>
      <c r="E84" s="229">
        <f>Итоговая!E85</f>
        <v>0</v>
      </c>
      <c r="F84" s="229">
        <f>Итоговая!F85</f>
        <v>0</v>
      </c>
      <c r="G84" s="229">
        <f>Итоговая!G85</f>
        <v>0</v>
      </c>
      <c r="H84" s="229">
        <f>Итоговая!H85</f>
        <v>0</v>
      </c>
      <c r="I84" s="172">
        <f>Итоговая!Q85</f>
        <v>-0.03</v>
      </c>
      <c r="J84" s="172">
        <f>Итоговая!R85</f>
        <v>-0.03</v>
      </c>
      <c r="K84" s="212" t="str">
        <f>Итоговая!S85</f>
        <v>закрыт</v>
      </c>
      <c r="L84" s="259" t="str">
        <f>Итоговая!T85</f>
        <v>закрыт</v>
      </c>
      <c r="M84" s="757">
        <f>Итоговая!U85</f>
        <v>3.0476190476190474</v>
      </c>
      <c r="N84" s="907"/>
      <c r="O84" s="907"/>
      <c r="P84" s="907"/>
    </row>
    <row r="85" spans="1:48" s="232" customFormat="1" ht="30" hidden="1" x14ac:dyDescent="0.25">
      <c r="A85" s="212">
        <f>Итоговая!A86</f>
        <v>58</v>
      </c>
      <c r="B85" s="212">
        <f>COUNTIFS($C$8:C85,"*ПС*",$L$8:L85,"*закрыт*")</f>
        <v>11</v>
      </c>
      <c r="C85" s="212" t="str">
        <f>Итоговая!C86</f>
        <v xml:space="preserve">ПС 110/35 кВ Октябрьский Карьер </v>
      </c>
      <c r="D85" s="230">
        <f>Итоговая!D86</f>
        <v>25</v>
      </c>
      <c r="E85" s="229">
        <f>Итоговая!E86</f>
        <v>0</v>
      </c>
      <c r="F85" s="229">
        <f>Итоговая!F86</f>
        <v>0</v>
      </c>
      <c r="G85" s="229">
        <f>Итоговая!G86</f>
        <v>0</v>
      </c>
      <c r="H85" s="229">
        <f>Итоговая!H86</f>
        <v>0</v>
      </c>
      <c r="I85" s="172">
        <f>Итоговая!Q86</f>
        <v>0</v>
      </c>
      <c r="J85" s="172">
        <f>Итоговая!R86</f>
        <v>0</v>
      </c>
      <c r="K85" s="212" t="str">
        <f>Итоговая!S86</f>
        <v>открыт</v>
      </c>
      <c r="L85" s="259" t="str">
        <f>Итоговая!T86</f>
        <v>открыт</v>
      </c>
      <c r="M85" s="757">
        <f>Итоговая!U86</f>
        <v>3.6952380952380954</v>
      </c>
      <c r="N85" s="907"/>
      <c r="O85" s="907"/>
      <c r="P85" s="907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3"/>
      <c r="AU85" s="233"/>
      <c r="AV85" s="233"/>
    </row>
    <row r="86" spans="1:48" s="232" customFormat="1" x14ac:dyDescent="0.25">
      <c r="A86" s="212">
        <f>Итоговая!A87</f>
        <v>59</v>
      </c>
      <c r="B86" s="212">
        <f>COUNTIFS($C$8:C86,"*ПС*",$L$8:L86,"*закрыт*")</f>
        <v>12</v>
      </c>
      <c r="C86" s="212" t="str">
        <f>Итоговая!C87</f>
        <v xml:space="preserve">ПС 35/10 кВ Порожки </v>
      </c>
      <c r="D86" s="230">
        <f>Итоговая!D87</f>
        <v>1</v>
      </c>
      <c r="E86" s="229">
        <f>Итоговая!E87</f>
        <v>0</v>
      </c>
      <c r="F86" s="229">
        <f>Итоговая!F87</f>
        <v>0</v>
      </c>
      <c r="G86" s="229">
        <f>Итоговая!G87</f>
        <v>0</v>
      </c>
      <c r="H86" s="229">
        <f>Итоговая!H87</f>
        <v>0</v>
      </c>
      <c r="I86" s="172">
        <f>Итоговая!Q87</f>
        <v>-1.0000000000000009E-2</v>
      </c>
      <c r="J86" s="172">
        <f>Итоговая!R87</f>
        <v>-1.0000000000000009E-2</v>
      </c>
      <c r="K86" s="212" t="str">
        <f>Итоговая!S87</f>
        <v>закрыт</v>
      </c>
      <c r="L86" s="259" t="str">
        <f>Итоговая!T87</f>
        <v>закрыт</v>
      </c>
      <c r="M86" s="757">
        <f>Итоговая!U87</f>
        <v>23.80952380952381</v>
      </c>
      <c r="N86" s="902"/>
      <c r="O86" s="902"/>
      <c r="P86" s="902"/>
    </row>
    <row r="87" spans="1:48" x14ac:dyDescent="0.25">
      <c r="A87" s="212">
        <f>Итоговая!A88</f>
        <v>60</v>
      </c>
      <c r="B87" s="212">
        <f>COUNTIFS($C$8:C87,"*ПС*",$L$8:L87,"*закрыт*")</f>
        <v>13</v>
      </c>
      <c r="C87" s="212" t="str">
        <f>Итоговая!C88</f>
        <v>ПС 35/6 кВ ХБК</v>
      </c>
      <c r="D87" s="230">
        <f>Итоговая!D88</f>
        <v>4</v>
      </c>
      <c r="E87" s="229">
        <f>Итоговая!E88</f>
        <v>0</v>
      </c>
      <c r="F87" s="229">
        <f>Итоговая!F88</f>
        <v>0</v>
      </c>
      <c r="G87" s="229">
        <f>Итоговая!G88</f>
        <v>0</v>
      </c>
      <c r="H87" s="229">
        <f>Итоговая!H88</f>
        <v>0</v>
      </c>
      <c r="I87" s="172">
        <f>Итоговая!Q88</f>
        <v>-1.5500000000000003</v>
      </c>
      <c r="J87" s="172">
        <f>Итоговая!R88</f>
        <v>-1.5500000000000003</v>
      </c>
      <c r="K87" s="212" t="str">
        <f>Итоговая!S88</f>
        <v>закрыт</v>
      </c>
      <c r="L87" s="259" t="str">
        <f>Итоговая!T88</f>
        <v>закрыт</v>
      </c>
      <c r="M87" s="757">
        <f>Итоговая!U88</f>
        <v>58.333333333333336</v>
      </c>
      <c r="N87" s="907"/>
      <c r="O87" s="907"/>
      <c r="P87" s="907"/>
    </row>
    <row r="88" spans="1:48" s="232" customFormat="1" hidden="1" x14ac:dyDescent="0.25">
      <c r="A88" s="212">
        <f>Итоговая!A89</f>
        <v>61</v>
      </c>
      <c r="B88" s="212">
        <f>COUNTIFS($C$8:C88,"*ПС*",$L$8:L88,"*закрыт*")</f>
        <v>13</v>
      </c>
      <c r="C88" s="212" t="str">
        <f>Итоговая!C89</f>
        <v xml:space="preserve">ПС 35/6 кВ №5 </v>
      </c>
      <c r="D88" s="230">
        <f>Итоговая!D89</f>
        <v>1</v>
      </c>
      <c r="E88" s="229" t="str">
        <f>Итоговая!E89</f>
        <v>+</v>
      </c>
      <c r="F88" s="229">
        <f>Итоговая!F89</f>
        <v>1.6</v>
      </c>
      <c r="G88" s="229">
        <f>Итоговая!G89</f>
        <v>0</v>
      </c>
      <c r="H88" s="229">
        <f>Итоговая!H89</f>
        <v>0</v>
      </c>
      <c r="I88" s="172">
        <f>Итоговая!Q89</f>
        <v>0.41000000000000003</v>
      </c>
      <c r="J88" s="172">
        <f>Итоговая!R89</f>
        <v>0.41000000000000003</v>
      </c>
      <c r="K88" s="212" t="str">
        <f>Итоговая!S89</f>
        <v>открыт</v>
      </c>
      <c r="L88" s="259" t="str">
        <f>Итоговая!T89</f>
        <v>открыт</v>
      </c>
      <c r="M88" s="757">
        <f>Итоговая!U89</f>
        <v>60.952380952380949</v>
      </c>
      <c r="N88" s="902"/>
      <c r="O88" s="902"/>
      <c r="P88" s="902"/>
    </row>
    <row r="89" spans="1:48" s="232" customFormat="1" hidden="1" x14ac:dyDescent="0.25">
      <c r="A89" s="212">
        <f>Итоговая!A90</f>
        <v>62</v>
      </c>
      <c r="B89" s="212">
        <f>COUNTIFS($C$8:C89,"*ПС*",$L$8:L89,"*закрыт*")</f>
        <v>13</v>
      </c>
      <c r="C89" s="212" t="str">
        <f>Итоговая!C90</f>
        <v xml:space="preserve">ПС 35/10 кВ 9-е Января  </v>
      </c>
      <c r="D89" s="230">
        <f>Итоговая!D90</f>
        <v>6.3</v>
      </c>
      <c r="E89" s="229" t="str">
        <f>Итоговая!E90</f>
        <v>+</v>
      </c>
      <c r="F89" s="229">
        <f>Итоговая!F90</f>
        <v>10</v>
      </c>
      <c r="G89" s="229">
        <f>Итоговая!G90</f>
        <v>0</v>
      </c>
      <c r="H89" s="229">
        <f>Итоговая!H90</f>
        <v>0</v>
      </c>
      <c r="I89" s="172">
        <f>Итоговая!Q90</f>
        <v>2.4649999999999999</v>
      </c>
      <c r="J89" s="172">
        <f>Итоговая!R90</f>
        <v>2.4649999999999999</v>
      </c>
      <c r="K89" s="212" t="str">
        <f>Итоговая!S90</f>
        <v>открыт</v>
      </c>
      <c r="L89" s="259" t="str">
        <f>Итоговая!T90</f>
        <v>открыт</v>
      </c>
      <c r="M89" s="757">
        <f>Итоговая!U90</f>
        <v>62.736205593348458</v>
      </c>
      <c r="N89" s="902"/>
      <c r="O89" s="902"/>
      <c r="P89" s="902"/>
    </row>
    <row r="90" spans="1:48" s="232" customFormat="1" hidden="1" x14ac:dyDescent="0.25">
      <c r="A90" s="212">
        <f>Итоговая!A91</f>
        <v>63</v>
      </c>
      <c r="B90" s="212">
        <f>COUNTIFS($C$8:C90,"*ПС*",$L$8:L90,"*закрыт*")</f>
        <v>13</v>
      </c>
      <c r="C90" s="212" t="str">
        <f>Итоговая!C91</f>
        <v xml:space="preserve">ПС 35/6 кВ АКУ </v>
      </c>
      <c r="D90" s="230">
        <f>Итоговая!D91</f>
        <v>3.2</v>
      </c>
      <c r="E90" s="229" t="str">
        <f>Итоговая!E91</f>
        <v>+</v>
      </c>
      <c r="F90" s="229">
        <f>Итоговая!F91</f>
        <v>4</v>
      </c>
      <c r="G90" s="229">
        <f>Итоговая!G91</f>
        <v>0</v>
      </c>
      <c r="H90" s="229">
        <f>Итоговая!H91</f>
        <v>0</v>
      </c>
      <c r="I90" s="172">
        <f>Итоговая!Q91</f>
        <v>2.6000000000000005</v>
      </c>
      <c r="J90" s="172">
        <f>Итоговая!R91</f>
        <v>2.6000000000000005</v>
      </c>
      <c r="K90" s="212" t="str">
        <f>Итоговая!S91</f>
        <v>открыт</v>
      </c>
      <c r="L90" s="259" t="str">
        <f>Итоговая!T91</f>
        <v>открыт</v>
      </c>
      <c r="M90" s="757">
        <f>Итоговая!U91</f>
        <v>28.571428571428569</v>
      </c>
      <c r="N90" s="902"/>
      <c r="O90" s="902"/>
      <c r="P90" s="902"/>
    </row>
    <row r="91" spans="1:48" s="232" customFormat="1" hidden="1" x14ac:dyDescent="0.25">
      <c r="A91" s="212">
        <f>Итоговая!A92</f>
        <v>64</v>
      </c>
      <c r="B91" s="212">
        <f>COUNTIFS($C$8:C91,"*ПС*",$L$8:L91,"*закрыт*")</f>
        <v>13</v>
      </c>
      <c r="C91" s="212" t="str">
        <f>Итоговая!C92</f>
        <v xml:space="preserve">ПС 35/6 кВ Афанасово </v>
      </c>
      <c r="D91" s="230">
        <f>Итоговая!D92</f>
        <v>1</v>
      </c>
      <c r="E91" s="229" t="str">
        <f>Итоговая!E92</f>
        <v>+</v>
      </c>
      <c r="F91" s="229">
        <f>Итоговая!F92</f>
        <v>1.8</v>
      </c>
      <c r="G91" s="229">
        <f>Итоговая!G92</f>
        <v>0</v>
      </c>
      <c r="H91" s="229">
        <f>Итоговая!H92</f>
        <v>0</v>
      </c>
      <c r="I91" s="172">
        <f>Итоговая!Q92</f>
        <v>1.03</v>
      </c>
      <c r="J91" s="172">
        <f>Итоговая!R92</f>
        <v>1.03</v>
      </c>
      <c r="K91" s="212" t="str">
        <f>Итоговая!S92</f>
        <v>открыт</v>
      </c>
      <c r="L91" s="259" t="str">
        <f>Итоговая!T92</f>
        <v>открыт</v>
      </c>
      <c r="M91" s="757">
        <f>Итоговая!U92</f>
        <v>1.9047619047619047</v>
      </c>
      <c r="N91" s="902"/>
      <c r="O91" s="902"/>
      <c r="P91" s="902"/>
    </row>
    <row r="92" spans="1:48" s="232" customFormat="1" hidden="1" x14ac:dyDescent="0.25">
      <c r="A92" s="212">
        <f>Итоговая!A93</f>
        <v>65</v>
      </c>
      <c r="B92" s="212">
        <f>COUNTIFS($C$8:C92,"*ПС*",$L$8:L92,"*закрыт*")</f>
        <v>13</v>
      </c>
      <c r="C92" s="212" t="str">
        <f>Итоговая!C93</f>
        <v xml:space="preserve">ПС 110/6 кВ Б-4 </v>
      </c>
      <c r="D92" s="230">
        <f>Итоговая!D93</f>
        <v>10</v>
      </c>
      <c r="E92" s="229" t="str">
        <f>Итоговая!E93</f>
        <v>+</v>
      </c>
      <c r="F92" s="229">
        <f>Итоговая!F93</f>
        <v>10</v>
      </c>
      <c r="G92" s="229">
        <f>Итоговая!G93</f>
        <v>0</v>
      </c>
      <c r="H92" s="229">
        <f>Итоговая!H93</f>
        <v>0</v>
      </c>
      <c r="I92" s="172">
        <f>Итоговая!Q93</f>
        <v>6</v>
      </c>
      <c r="J92" s="172">
        <f>Итоговая!R93</f>
        <v>6</v>
      </c>
      <c r="K92" s="212" t="str">
        <f>Итоговая!S93</f>
        <v>открыт</v>
      </c>
      <c r="L92" s="259" t="str">
        <f>Итоговая!T93</f>
        <v>открыт</v>
      </c>
      <c r="M92" s="757">
        <f>Итоговая!U93</f>
        <v>42.857142857142854</v>
      </c>
      <c r="N92" s="902"/>
      <c r="O92" s="902"/>
      <c r="P92" s="902"/>
    </row>
    <row r="93" spans="1:48" hidden="1" x14ac:dyDescent="0.25">
      <c r="A93" s="212">
        <f>Итоговая!A94</f>
        <v>66</v>
      </c>
      <c r="B93" s="212">
        <f>COUNTIFS($C$8:C93,"*ПС*",$L$8:L93,"*закрыт*")</f>
        <v>13</v>
      </c>
      <c r="C93" s="212" t="str">
        <f>Итоговая!C94</f>
        <v xml:space="preserve">ПС 35/6 кВ Борисово </v>
      </c>
      <c r="D93" s="230">
        <f>Итоговая!D94</f>
        <v>3.2</v>
      </c>
      <c r="E93" s="229" t="str">
        <f>Итоговая!E94</f>
        <v>+</v>
      </c>
      <c r="F93" s="229">
        <f>Итоговая!F94</f>
        <v>3.2</v>
      </c>
      <c r="G93" s="229">
        <f>Итоговая!G94</f>
        <v>0</v>
      </c>
      <c r="H93" s="229">
        <f>Итоговая!H94</f>
        <v>0</v>
      </c>
      <c r="I93" s="172">
        <f>Итоговая!Q94</f>
        <v>0.51000000000000023</v>
      </c>
      <c r="J93" s="172">
        <f>Итоговая!R94</f>
        <v>0.51000000000000023</v>
      </c>
      <c r="K93" s="212" t="str">
        <f>Итоговая!S94</f>
        <v>открыт</v>
      </c>
      <c r="L93" s="259" t="str">
        <f>Итоговая!T94</f>
        <v>открыт</v>
      </c>
      <c r="M93" s="757">
        <f>Итоговая!U94</f>
        <v>84.821428571428569</v>
      </c>
      <c r="N93" s="902"/>
      <c r="O93" s="902"/>
      <c r="P93" s="902"/>
    </row>
    <row r="94" spans="1:48" s="232" customFormat="1" hidden="1" x14ac:dyDescent="0.25">
      <c r="A94" s="212">
        <f>Итоговая!A95</f>
        <v>67</v>
      </c>
      <c r="B94" s="212">
        <f>COUNTIFS($C$8:C94,"*ПС*",$L$8:L94,"*закрыт*")</f>
        <v>13</v>
      </c>
      <c r="C94" s="212" t="str">
        <f>Итоговая!C95</f>
        <v xml:space="preserve">ПС 35/10 кВ Боровно </v>
      </c>
      <c r="D94" s="230">
        <f>Итоговая!D95</f>
        <v>2.5</v>
      </c>
      <c r="E94" s="229" t="str">
        <f>Итоговая!E95</f>
        <v>+</v>
      </c>
      <c r="F94" s="229">
        <f>Итоговая!F95</f>
        <v>2.5</v>
      </c>
      <c r="G94" s="229">
        <f>Итоговая!G95</f>
        <v>0</v>
      </c>
      <c r="H94" s="229">
        <f>Итоговая!H95</f>
        <v>0</v>
      </c>
      <c r="I94" s="172">
        <f>Итоговая!Q95</f>
        <v>2.3849999999999998</v>
      </c>
      <c r="J94" s="172">
        <f>Итоговая!R95</f>
        <v>2.3849999999999998</v>
      </c>
      <c r="K94" s="212" t="str">
        <f>Итоговая!S95</f>
        <v>открыт</v>
      </c>
      <c r="L94" s="259" t="str">
        <f>Итоговая!T95</f>
        <v>открыт</v>
      </c>
      <c r="M94" s="757">
        <f>Итоговая!U95</f>
        <v>16.761904761904763</v>
      </c>
      <c r="N94" s="902"/>
      <c r="O94" s="902"/>
      <c r="P94" s="902"/>
    </row>
    <row r="95" spans="1:48" s="232" customFormat="1" hidden="1" x14ac:dyDescent="0.25">
      <c r="A95" s="212">
        <f>Итоговая!A96</f>
        <v>68</v>
      </c>
      <c r="B95" s="212">
        <f>COUNTIFS($C$8:C95,"*ПС*",$L$8:L95,"*закрыт*")</f>
        <v>13</v>
      </c>
      <c r="C95" s="212" t="str">
        <f>Итоговая!C96</f>
        <v xml:space="preserve">ПС 110/10 кВ Бушевец </v>
      </c>
      <c r="D95" s="230">
        <f>Итоговая!D96</f>
        <v>6.3</v>
      </c>
      <c r="E95" s="229" t="str">
        <f>Итоговая!E96</f>
        <v>+</v>
      </c>
      <c r="F95" s="229">
        <f>Итоговая!F96</f>
        <v>6.3</v>
      </c>
      <c r="G95" s="229">
        <f>Итоговая!G96</f>
        <v>0</v>
      </c>
      <c r="H95" s="229">
        <f>Итоговая!H96</f>
        <v>0</v>
      </c>
      <c r="I95" s="172">
        <f>Итоговая!Q96</f>
        <v>6.2149999999999999</v>
      </c>
      <c r="J95" s="172">
        <f>Итоговая!R96</f>
        <v>6.2149999999999999</v>
      </c>
      <c r="K95" s="212" t="str">
        <f>Итоговая!S96</f>
        <v>открыт</v>
      </c>
      <c r="L95" s="259" t="str">
        <f>Итоговая!T96</f>
        <v>открыт</v>
      </c>
      <c r="M95" s="757">
        <f>Итоговая!U96</f>
        <v>6.046863189720332</v>
      </c>
      <c r="N95" s="902"/>
      <c r="O95" s="902"/>
      <c r="P95" s="902"/>
    </row>
    <row r="96" spans="1:48" s="232" customFormat="1" hidden="1" x14ac:dyDescent="0.25">
      <c r="A96" s="212">
        <f>Итоговая!A97</f>
        <v>69</v>
      </c>
      <c r="B96" s="212">
        <f>COUNTIFS($C$8:C96,"*ПС*",$L$8:L96,"*закрыт*")</f>
        <v>13</v>
      </c>
      <c r="C96" s="212" t="str">
        <f>Итоговая!C97</f>
        <v xml:space="preserve">ПС 35/6 кВ Великий Октябрь </v>
      </c>
      <c r="D96" s="230">
        <f>Итоговая!D97</f>
        <v>6.3</v>
      </c>
      <c r="E96" s="229" t="str">
        <f>Итоговая!E97</f>
        <v>+</v>
      </c>
      <c r="F96" s="229">
        <f>Итоговая!F97</f>
        <v>4</v>
      </c>
      <c r="G96" s="229">
        <f>Итоговая!G97</f>
        <v>0</v>
      </c>
      <c r="H96" s="229">
        <f>Итоговая!H97</f>
        <v>0</v>
      </c>
      <c r="I96" s="172">
        <f>Итоговая!Q97</f>
        <v>3.0500000000000003</v>
      </c>
      <c r="J96" s="172">
        <f>Итоговая!R97</f>
        <v>3.0500000000000003</v>
      </c>
      <c r="K96" s="212" t="str">
        <f>Итоговая!S97</f>
        <v>открыт</v>
      </c>
      <c r="L96" s="259" t="str">
        <f>Итоговая!T97</f>
        <v>открыт</v>
      </c>
      <c r="M96" s="757">
        <f>Итоговая!U97</f>
        <v>27.380952380952376</v>
      </c>
      <c r="N96" s="902"/>
      <c r="O96" s="902"/>
      <c r="P96" s="902"/>
    </row>
    <row r="97" spans="1:16" hidden="1" x14ac:dyDescent="0.25">
      <c r="A97" s="212">
        <f>Итоговая!A98</f>
        <v>70</v>
      </c>
      <c r="B97" s="212">
        <f>COUNTIFS($C$8:C97,"*ПС*",$L$8:L97,"*закрыт*")</f>
        <v>13</v>
      </c>
      <c r="C97" s="212" t="str">
        <f>Итоговая!C98</f>
        <v xml:space="preserve">ПС 35/10 кВ Выдропужск </v>
      </c>
      <c r="D97" s="230">
        <f>Итоговая!D98</f>
        <v>2.5</v>
      </c>
      <c r="E97" s="229" t="str">
        <f>Итоговая!E98</f>
        <v>+</v>
      </c>
      <c r="F97" s="229">
        <f>Итоговая!F98</f>
        <v>1.6</v>
      </c>
      <c r="G97" s="229">
        <f>Итоговая!G98</f>
        <v>0</v>
      </c>
      <c r="H97" s="229">
        <f>Итоговая!H98</f>
        <v>0</v>
      </c>
      <c r="I97" s="172">
        <f>Итоговая!Q98</f>
        <v>0.9700000000000002</v>
      </c>
      <c r="J97" s="172">
        <f>Итоговая!R98</f>
        <v>0.9700000000000002</v>
      </c>
      <c r="K97" s="212" t="str">
        <f>Итоговая!S98</f>
        <v>открыт</v>
      </c>
      <c r="L97" s="259" t="str">
        <f>Итоговая!T98</f>
        <v>открыт</v>
      </c>
      <c r="M97" s="757">
        <f>Итоговая!U98</f>
        <v>42.261904761904759</v>
      </c>
      <c r="N97" s="902"/>
      <c r="O97" s="902"/>
      <c r="P97" s="902"/>
    </row>
    <row r="98" spans="1:16" hidden="1" x14ac:dyDescent="0.25">
      <c r="A98" s="212">
        <f>Итоговая!A99</f>
        <v>71</v>
      </c>
      <c r="B98" s="212">
        <f>COUNTIFS($C$8:C98,"*ПС*",$L$8:L98,"*закрыт*")</f>
        <v>13</v>
      </c>
      <c r="C98" s="212" t="str">
        <f>Итоговая!C99</f>
        <v xml:space="preserve">ПС 35/10 кВ Голубые Озера  </v>
      </c>
      <c r="D98" s="230">
        <f>Итоговая!D99</f>
        <v>2.5</v>
      </c>
      <c r="E98" s="229" t="str">
        <f>Итоговая!E99</f>
        <v>+</v>
      </c>
      <c r="F98" s="229">
        <f>Итоговая!F99</f>
        <v>1.6</v>
      </c>
      <c r="G98" s="229">
        <f>Итоговая!G99</f>
        <v>0</v>
      </c>
      <c r="H98" s="229">
        <f>Итоговая!H99</f>
        <v>0</v>
      </c>
      <c r="I98" s="172">
        <f>Итоговая!Q99</f>
        <v>1.6900000000000002</v>
      </c>
      <c r="J98" s="172">
        <f>Итоговая!R99</f>
        <v>1.6900000000000002</v>
      </c>
      <c r="K98" s="212" t="str">
        <f>Итоговая!S99</f>
        <v>открыт</v>
      </c>
      <c r="L98" s="259" t="str">
        <f>Итоговая!T99</f>
        <v>открыт</v>
      </c>
      <c r="M98" s="757">
        <f>Итоговая!U99</f>
        <v>23.214285714285712</v>
      </c>
      <c r="N98" s="902"/>
      <c r="O98" s="902"/>
      <c r="P98" s="902"/>
    </row>
    <row r="99" spans="1:16" hidden="1" x14ac:dyDescent="0.25">
      <c r="A99" s="212">
        <f>Итоговая!A100</f>
        <v>72</v>
      </c>
      <c r="B99" s="212">
        <f>COUNTIFS($C$8:C99,"*ПС*",$L$8:L99,"*закрыт*")</f>
        <v>13</v>
      </c>
      <c r="C99" s="212" t="str">
        <f>Итоговая!C100</f>
        <v xml:space="preserve">ПС 35/6 кВ Городок </v>
      </c>
      <c r="D99" s="230">
        <f>Итоговая!D100</f>
        <v>1.6</v>
      </c>
      <c r="E99" s="229" t="str">
        <f>Итоговая!E100</f>
        <v>+</v>
      </c>
      <c r="F99" s="229">
        <f>Итоговая!F100</f>
        <v>1.6</v>
      </c>
      <c r="G99" s="229">
        <f>Итоговая!G100</f>
        <v>0</v>
      </c>
      <c r="H99" s="229">
        <f>Итоговая!H100</f>
        <v>0</v>
      </c>
      <c r="I99" s="172">
        <f>Итоговая!Q100</f>
        <v>1.4000000000000001</v>
      </c>
      <c r="J99" s="172">
        <f>Итоговая!R100</f>
        <v>1.4000000000000001</v>
      </c>
      <c r="K99" s="212" t="str">
        <f>Итоговая!S100</f>
        <v>открыт</v>
      </c>
      <c r="L99" s="259" t="str">
        <f>Итоговая!T100</f>
        <v>открыт</v>
      </c>
      <c r="M99" s="757">
        <f>Итоговая!U100</f>
        <v>16.666666666666668</v>
      </c>
      <c r="N99" s="902"/>
      <c r="O99" s="902"/>
      <c r="P99" s="902"/>
    </row>
    <row r="100" spans="1:16" hidden="1" x14ac:dyDescent="0.25">
      <c r="A100" s="212">
        <f>Итоговая!A101</f>
        <v>73</v>
      </c>
      <c r="B100" s="212">
        <f>COUNTIFS($C$8:C100,"*ПС*",$L$8:L100,"*закрыт*")</f>
        <v>13</v>
      </c>
      <c r="C100" s="212" t="str">
        <f>Итоговая!C101</f>
        <v xml:space="preserve">ПС 35/10 кВ ДОЗ </v>
      </c>
      <c r="D100" s="230">
        <f>Итоговая!D101</f>
        <v>4</v>
      </c>
      <c r="E100" s="229" t="str">
        <f>Итоговая!E101</f>
        <v>+</v>
      </c>
      <c r="F100" s="229">
        <f>Итоговая!F101</f>
        <v>4</v>
      </c>
      <c r="G100" s="229">
        <f>Итоговая!G101</f>
        <v>0</v>
      </c>
      <c r="H100" s="229">
        <f>Итоговая!H101</f>
        <v>0</v>
      </c>
      <c r="I100" s="172">
        <f>Итоговая!Q101</f>
        <v>1.5300000000000002</v>
      </c>
      <c r="J100" s="172">
        <f>Итоговая!R101</f>
        <v>1.5300000000000002</v>
      </c>
      <c r="K100" s="212" t="str">
        <f>Итоговая!S101</f>
        <v>открыт</v>
      </c>
      <c r="L100" s="259" t="str">
        <f>Итоговая!T101</f>
        <v>открыт</v>
      </c>
      <c r="M100" s="757">
        <f>Итоговая!U101</f>
        <v>63.571428571428569</v>
      </c>
      <c r="N100" s="907"/>
      <c r="O100" s="907"/>
      <c r="P100" s="907"/>
    </row>
    <row r="101" spans="1:16" hidden="1" x14ac:dyDescent="0.25">
      <c r="A101" s="212">
        <f>Итоговая!A102</f>
        <v>74</v>
      </c>
      <c r="B101" s="212">
        <f>COUNTIFS($C$8:C101,"*ПС*",$L$8:L101,"*закрыт*")</f>
        <v>13</v>
      </c>
      <c r="C101" s="212" t="str">
        <f>Итоговая!C102</f>
        <v xml:space="preserve">ПС 35/10 кВ Дятлово </v>
      </c>
      <c r="D101" s="230">
        <f>Итоговая!D102</f>
        <v>1.6</v>
      </c>
      <c r="E101" s="229" t="str">
        <f>Итоговая!E102</f>
        <v>+</v>
      </c>
      <c r="F101" s="229">
        <f>Итоговая!F102</f>
        <v>1.6</v>
      </c>
      <c r="G101" s="229">
        <f>Итоговая!G102</f>
        <v>0</v>
      </c>
      <c r="H101" s="229">
        <f>Итоговая!H102</f>
        <v>0</v>
      </c>
      <c r="I101" s="172">
        <f>Итоговая!Q102</f>
        <v>1.2200000000000002</v>
      </c>
      <c r="J101" s="172">
        <f>Итоговая!R102</f>
        <v>1.2200000000000002</v>
      </c>
      <c r="K101" s="757" t="str">
        <f>Итоговая!S102</f>
        <v>открыт</v>
      </c>
      <c r="L101" s="259" t="str">
        <f>Итоговая!T102</f>
        <v>открыт</v>
      </c>
      <c r="M101" s="757">
        <f>Итоговая!U102</f>
        <v>27.38095238095238</v>
      </c>
      <c r="N101" s="902"/>
      <c r="O101" s="902"/>
      <c r="P101" s="902"/>
    </row>
    <row r="102" spans="1:16" hidden="1" x14ac:dyDescent="0.25">
      <c r="A102" s="212">
        <f>Итоговая!A103</f>
        <v>75</v>
      </c>
      <c r="B102" s="212">
        <f>COUNTIFS($C$8:C102,"*ПС*",$L$8:L102,"*закрыт*")</f>
        <v>13</v>
      </c>
      <c r="C102" s="212" t="str">
        <f>Итоговая!C103</f>
        <v xml:space="preserve">ПС 35/10 кВ Есеновичи </v>
      </c>
      <c r="D102" s="230">
        <f>Итоговая!D103</f>
        <v>1.8</v>
      </c>
      <c r="E102" s="229" t="str">
        <f>Итоговая!E103</f>
        <v>+</v>
      </c>
      <c r="F102" s="229">
        <f>Итоговая!F103</f>
        <v>2.5</v>
      </c>
      <c r="G102" s="229">
        <f>Итоговая!G103</f>
        <v>0</v>
      </c>
      <c r="H102" s="229">
        <f>Итоговая!H103</f>
        <v>0</v>
      </c>
      <c r="I102" s="172">
        <f>Итоговая!Q103</f>
        <v>0.84000000000000008</v>
      </c>
      <c r="J102" s="172">
        <f>Итоговая!R103</f>
        <v>0.84000000000000008</v>
      </c>
      <c r="K102" s="757" t="str">
        <f>Итоговая!S103</f>
        <v>открыт</v>
      </c>
      <c r="L102" s="259" t="str">
        <f>Итоговая!T103</f>
        <v>открыт</v>
      </c>
      <c r="M102" s="757">
        <f>Итоговая!U103</f>
        <v>55.55555555555555</v>
      </c>
      <c r="N102" s="902"/>
      <c r="O102" s="902"/>
      <c r="P102" s="902"/>
    </row>
    <row r="103" spans="1:16" hidden="1" x14ac:dyDescent="0.25">
      <c r="A103" s="212">
        <f>Итоговая!A104</f>
        <v>76</v>
      </c>
      <c r="B103" s="212">
        <f>COUNTIFS($C$8:C103,"*ПС*",$L$8:L103,"*закрыт*")</f>
        <v>13</v>
      </c>
      <c r="C103" s="212" t="str">
        <f>Итоговая!C104</f>
        <v xml:space="preserve">ПС 35/10 кВ ЖБИ  </v>
      </c>
      <c r="D103" s="230">
        <f>Итоговая!D104</f>
        <v>2.5</v>
      </c>
      <c r="E103" s="229" t="str">
        <f>Итоговая!E104</f>
        <v>+</v>
      </c>
      <c r="F103" s="229">
        <f>Итоговая!F104</f>
        <v>2.5</v>
      </c>
      <c r="G103" s="229">
        <f>Итоговая!G104</f>
        <v>0</v>
      </c>
      <c r="H103" s="229">
        <f>Итоговая!H104</f>
        <v>0</v>
      </c>
      <c r="I103" s="172">
        <f>Итоговая!Q104</f>
        <v>2.2149999999999999</v>
      </c>
      <c r="J103" s="172">
        <f>Итоговая!R104</f>
        <v>2.2149999999999999</v>
      </c>
      <c r="K103" s="757" t="str">
        <f>Итоговая!S104</f>
        <v>открыт</v>
      </c>
      <c r="L103" s="259" t="str">
        <f>Итоговая!T104</f>
        <v>открыт</v>
      </c>
      <c r="M103" s="757">
        <f>Итоговая!U104</f>
        <v>15.619047619047619</v>
      </c>
      <c r="N103" s="902"/>
      <c r="O103" s="902"/>
      <c r="P103" s="902"/>
    </row>
    <row r="104" spans="1:16" hidden="1" x14ac:dyDescent="0.25">
      <c r="A104" s="212">
        <f>Итоговая!A105</f>
        <v>77</v>
      </c>
      <c r="B104" s="212">
        <f>COUNTIFS($C$8:C104,"*ПС*",$L$8:L104,"*закрыт*")</f>
        <v>13</v>
      </c>
      <c r="C104" s="212" t="str">
        <f>Итоговая!C105</f>
        <v>ПС  35/10 кВ Заозерная</v>
      </c>
      <c r="D104" s="230">
        <f>Итоговая!D105</f>
        <v>6.3</v>
      </c>
      <c r="E104" s="229" t="str">
        <f>Итоговая!E105</f>
        <v>+</v>
      </c>
      <c r="F104" s="229">
        <f>Итоговая!F105</f>
        <v>6.3</v>
      </c>
      <c r="G104" s="229">
        <f>Итоговая!G105</f>
        <v>0</v>
      </c>
      <c r="H104" s="229">
        <f>Итоговая!H105</f>
        <v>0</v>
      </c>
      <c r="I104" s="172">
        <f>Итоговая!Q105</f>
        <v>5.335</v>
      </c>
      <c r="J104" s="172">
        <f>Итоговая!R105</f>
        <v>5.335</v>
      </c>
      <c r="K104" s="757" t="str">
        <f>Итоговая!S105</f>
        <v>открыт</v>
      </c>
      <c r="L104" s="259" t="str">
        <f>Итоговая!T105</f>
        <v>открыт</v>
      </c>
      <c r="M104" s="757">
        <f>Итоговая!U105</f>
        <v>22.373393801965229</v>
      </c>
      <c r="N104" s="902"/>
      <c r="O104" s="902"/>
      <c r="P104" s="902"/>
    </row>
    <row r="105" spans="1:16" hidden="1" x14ac:dyDescent="0.25">
      <c r="A105" s="212">
        <f>Итоговая!A106</f>
        <v>78</v>
      </c>
      <c r="B105" s="212">
        <f>COUNTIFS($C$8:C105,"*ПС*",$L$8:L105,"*закрыт*")</f>
        <v>13</v>
      </c>
      <c r="C105" s="212" t="str">
        <f>Итоговая!C106</f>
        <v xml:space="preserve">ПС 35/10 кВ Княщины  </v>
      </c>
      <c r="D105" s="230">
        <f>Итоговая!D106</f>
        <v>2.5</v>
      </c>
      <c r="E105" s="229" t="str">
        <f>Итоговая!E106</f>
        <v>+</v>
      </c>
      <c r="F105" s="229">
        <f>Итоговая!F106</f>
        <v>2.5</v>
      </c>
      <c r="G105" s="229">
        <f>Итоговая!G106</f>
        <v>0</v>
      </c>
      <c r="H105" s="229">
        <f>Итоговая!H106</f>
        <v>0</v>
      </c>
      <c r="I105" s="172">
        <f>Итоговая!Q106</f>
        <v>2.375</v>
      </c>
      <c r="J105" s="172">
        <f>Итоговая!R106</f>
        <v>2.375</v>
      </c>
      <c r="K105" s="757" t="str">
        <f>Итоговая!S106</f>
        <v>открыт</v>
      </c>
      <c r="L105" s="259" t="str">
        <f>Итоговая!T106</f>
        <v>открыт</v>
      </c>
      <c r="M105" s="757">
        <f>Итоговая!U106</f>
        <v>19.80952380952381</v>
      </c>
      <c r="N105" s="902"/>
      <c r="O105" s="902"/>
      <c r="P105" s="902"/>
    </row>
    <row r="106" spans="1:16" hidden="1" x14ac:dyDescent="0.25">
      <c r="A106" s="212">
        <f>Итоговая!A107</f>
        <v>79</v>
      </c>
      <c r="B106" s="212">
        <f>COUNTIFS($C$8:C106,"*ПС*",$L$8:L106,"*закрыт*")</f>
        <v>13</v>
      </c>
      <c r="C106" s="212" t="str">
        <f>Итоговая!C107</f>
        <v xml:space="preserve">ПС 35/10 кВ Козлово </v>
      </c>
      <c r="D106" s="230">
        <f>Итоговая!D107</f>
        <v>1.8</v>
      </c>
      <c r="E106" s="229" t="str">
        <f>Итоговая!E107</f>
        <v>+</v>
      </c>
      <c r="F106" s="229">
        <f>Итоговая!F107</f>
        <v>4</v>
      </c>
      <c r="G106" s="229">
        <f>Итоговая!G107</f>
        <v>0</v>
      </c>
      <c r="H106" s="229">
        <f>Итоговая!H107</f>
        <v>0</v>
      </c>
      <c r="I106" s="172">
        <f>Итоговая!Q107</f>
        <v>1.25</v>
      </c>
      <c r="J106" s="172">
        <f>Итоговая!R107</f>
        <v>1.25</v>
      </c>
      <c r="K106" s="757" t="str">
        <f>Итоговая!S107</f>
        <v>открыт</v>
      </c>
      <c r="L106" s="259" t="str">
        <f>Итоговая!T107</f>
        <v>открыт</v>
      </c>
      <c r="M106" s="757">
        <f>Итоговая!U107</f>
        <v>33.862433862433861</v>
      </c>
      <c r="N106" s="902"/>
      <c r="O106" s="902"/>
      <c r="P106" s="902"/>
    </row>
    <row r="107" spans="1:16" hidden="1" x14ac:dyDescent="0.25">
      <c r="A107" s="212">
        <f>Итоговая!A108</f>
        <v>80</v>
      </c>
      <c r="B107" s="212">
        <f>COUNTIFS($C$8:C107,"*ПС*",$L$8:L107,"*закрыт*")</f>
        <v>13</v>
      </c>
      <c r="C107" s="212" t="str">
        <f>Итоговая!C108</f>
        <v xml:space="preserve">ПС 35/10 кВ Красное Знамя </v>
      </c>
      <c r="D107" s="230">
        <f>Итоговая!D108</f>
        <v>1.6</v>
      </c>
      <c r="E107" s="229" t="str">
        <f>Итоговая!E108</f>
        <v>+</v>
      </c>
      <c r="F107" s="229">
        <f>Итоговая!F108</f>
        <v>1.8</v>
      </c>
      <c r="G107" s="229">
        <f>Итоговая!G108</f>
        <v>0</v>
      </c>
      <c r="H107" s="229">
        <f>Итоговая!H108</f>
        <v>0</v>
      </c>
      <c r="I107" s="172">
        <f>Итоговая!Q108</f>
        <v>1.2600000000000002</v>
      </c>
      <c r="J107" s="172">
        <f>Итоговая!R108</f>
        <v>1.2600000000000002</v>
      </c>
      <c r="K107" s="757" t="str">
        <f>Итоговая!S108</f>
        <v>открыт</v>
      </c>
      <c r="L107" s="259" t="str">
        <f>Итоговая!T108</f>
        <v>открыт</v>
      </c>
      <c r="M107" s="757">
        <f>Итоговая!U108</f>
        <v>24.999999999999996</v>
      </c>
      <c r="N107" s="902"/>
      <c r="O107" s="902"/>
      <c r="P107" s="902"/>
    </row>
    <row r="108" spans="1:16" hidden="1" x14ac:dyDescent="0.25">
      <c r="A108" s="212">
        <f>Итоговая!A109</f>
        <v>81</v>
      </c>
      <c r="B108" s="212">
        <f>COUNTIFS($C$8:C108,"*ПС*",$L$8:L108,"*закрыт*")</f>
        <v>13</v>
      </c>
      <c r="C108" s="212" t="str">
        <f>Итоговая!C109</f>
        <v xml:space="preserve">ПС 35/6 кВ Красный Май </v>
      </c>
      <c r="D108" s="230">
        <f>Итоговая!D109</f>
        <v>10</v>
      </c>
      <c r="E108" s="229" t="str">
        <f>Итоговая!E109</f>
        <v>+</v>
      </c>
      <c r="F108" s="229">
        <f>Итоговая!F109</f>
        <v>10</v>
      </c>
      <c r="G108" s="229">
        <f>Итоговая!G109</f>
        <v>0</v>
      </c>
      <c r="H108" s="229">
        <f>Итоговая!H109</f>
        <v>0</v>
      </c>
      <c r="I108" s="172">
        <f>Итоговая!Q109</f>
        <v>8.27</v>
      </c>
      <c r="J108" s="172">
        <f>Итоговая!R109</f>
        <v>8.27</v>
      </c>
      <c r="K108" s="757" t="str">
        <f>Итоговая!S109</f>
        <v>открыт</v>
      </c>
      <c r="L108" s="259" t="str">
        <f>Итоговая!T109</f>
        <v>открыт</v>
      </c>
      <c r="M108" s="757">
        <f>Итоговая!U109</f>
        <v>21.238095238095237</v>
      </c>
      <c r="N108" s="902"/>
      <c r="O108" s="902"/>
      <c r="P108" s="902"/>
    </row>
    <row r="109" spans="1:16" hidden="1" x14ac:dyDescent="0.25">
      <c r="A109" s="212">
        <f>Итоговая!A110</f>
        <v>82</v>
      </c>
      <c r="B109" s="212">
        <f>COUNTIFS($C$8:C109,"*ПС*",$L$8:L109,"*закрыт*")</f>
        <v>13</v>
      </c>
      <c r="C109" s="212" t="str">
        <f>Итоговая!C110</f>
        <v xml:space="preserve">ПС 35/10 кВ Куженкино </v>
      </c>
      <c r="D109" s="230">
        <f>Итоговая!D110</f>
        <v>2.5</v>
      </c>
      <c r="E109" s="229" t="str">
        <f>Итоговая!E110</f>
        <v>+</v>
      </c>
      <c r="F109" s="229">
        <f>Итоговая!F110</f>
        <v>3.2</v>
      </c>
      <c r="G109" s="229">
        <f>Итоговая!G110</f>
        <v>0</v>
      </c>
      <c r="H109" s="229">
        <f>Итоговая!H110</f>
        <v>0</v>
      </c>
      <c r="I109" s="172">
        <f>Итоговая!Q110</f>
        <v>0.99499999999999988</v>
      </c>
      <c r="J109" s="172">
        <f>Итоговая!R110</f>
        <v>0.99499999999999988</v>
      </c>
      <c r="K109" s="757" t="str">
        <f>Итоговая!S110</f>
        <v>открыт</v>
      </c>
      <c r="L109" s="259" t="str">
        <f>Итоговая!T110</f>
        <v>открыт</v>
      </c>
      <c r="M109" s="757">
        <f>Итоговая!U110</f>
        <v>69.714285714285708</v>
      </c>
      <c r="N109" s="902"/>
      <c r="O109" s="902"/>
      <c r="P109" s="902"/>
    </row>
    <row r="110" spans="1:16" hidden="1" x14ac:dyDescent="0.25">
      <c r="A110" s="212">
        <f>Итоговая!A111</f>
        <v>83</v>
      </c>
      <c r="B110" s="212">
        <f>COUNTIFS($C$8:C110,"*ПС*",$L$8:L110,"*закрыт*")</f>
        <v>13</v>
      </c>
      <c r="C110" s="212" t="str">
        <f>Итоговая!C111</f>
        <v xml:space="preserve">ПС 35/10 кВ Лукино  </v>
      </c>
      <c r="D110" s="230">
        <f>Итоговая!D111</f>
        <v>2.5</v>
      </c>
      <c r="E110" s="229" t="str">
        <f>Итоговая!E111</f>
        <v>+</v>
      </c>
      <c r="F110" s="229">
        <f>Итоговая!F111</f>
        <v>1.6</v>
      </c>
      <c r="G110" s="229">
        <f>Итоговая!G111</f>
        <v>0</v>
      </c>
      <c r="H110" s="229">
        <f>Итоговая!H111</f>
        <v>0</v>
      </c>
      <c r="I110" s="172">
        <f>Итоговая!Q111</f>
        <v>1.4400000000000002</v>
      </c>
      <c r="J110" s="172">
        <f>Итоговая!R111</f>
        <v>1.4400000000000002</v>
      </c>
      <c r="K110" s="757" t="str">
        <f>Итоговая!S111</f>
        <v>открыт</v>
      </c>
      <c r="L110" s="259" t="str">
        <f>Итоговая!T111</f>
        <v>открыт</v>
      </c>
      <c r="M110" s="757">
        <f>Итоговая!U111</f>
        <v>14.285714285714285</v>
      </c>
      <c r="N110" s="902"/>
      <c r="O110" s="902"/>
      <c r="P110" s="902"/>
    </row>
    <row r="111" spans="1:16" hidden="1" x14ac:dyDescent="0.25">
      <c r="A111" s="212">
        <f>Итоговая!A112</f>
        <v>84</v>
      </c>
      <c r="B111" s="212">
        <f>COUNTIFS($C$8:C111,"*ПС*",$L$8:L111,"*закрыт*")</f>
        <v>13</v>
      </c>
      <c r="C111" s="212" t="str">
        <f>Итоговая!C112</f>
        <v xml:space="preserve">ПС 35/6 кВ Макарово  </v>
      </c>
      <c r="D111" s="230">
        <f>Итоговая!D112</f>
        <v>4</v>
      </c>
      <c r="E111" s="229" t="str">
        <f>Итоговая!E112</f>
        <v>+</v>
      </c>
      <c r="F111" s="229">
        <f>Итоговая!F112</f>
        <v>4</v>
      </c>
      <c r="G111" s="229">
        <f>Итоговая!G112</f>
        <v>0</v>
      </c>
      <c r="H111" s="229">
        <f>Итоговая!H112</f>
        <v>0</v>
      </c>
      <c r="I111" s="172">
        <f>Итоговая!Q112</f>
        <v>3.2600000000000002</v>
      </c>
      <c r="J111" s="172">
        <f>Итоговая!R112</f>
        <v>3.2600000000000002</v>
      </c>
      <c r="K111" s="757" t="str">
        <f>Итоговая!S112</f>
        <v>открыт</v>
      </c>
      <c r="L111" s="259" t="str">
        <f>Итоговая!T112</f>
        <v>открыт</v>
      </c>
      <c r="M111" s="757">
        <f>Итоговая!U112</f>
        <v>24.761904761904759</v>
      </c>
      <c r="N111" s="902"/>
      <c r="O111" s="902"/>
      <c r="P111" s="902"/>
    </row>
    <row r="112" spans="1:16" hidden="1" x14ac:dyDescent="0.25">
      <c r="A112" s="212">
        <f>Итоговая!A113</f>
        <v>85</v>
      </c>
      <c r="B112" s="212">
        <f>COUNTIFS($C$8:C112,"*ПС*",$L$8:L112,"*закрыт*")</f>
        <v>13</v>
      </c>
      <c r="C112" s="212" t="str">
        <f>Итоговая!C113</f>
        <v xml:space="preserve">ПС 110/10 кВ Манхино </v>
      </c>
      <c r="D112" s="230">
        <f>Итоговая!D113</f>
        <v>2.5</v>
      </c>
      <c r="E112" s="229" t="str">
        <f>Итоговая!E113</f>
        <v>+</v>
      </c>
      <c r="F112" s="229">
        <f>Итоговая!F113</f>
        <v>2.5</v>
      </c>
      <c r="G112" s="229">
        <f>Итоговая!G113</f>
        <v>0</v>
      </c>
      <c r="H112" s="229">
        <f>Итоговая!H113</f>
        <v>0</v>
      </c>
      <c r="I112" s="172">
        <f>Итоговая!Q113</f>
        <v>2.2549999999999999</v>
      </c>
      <c r="J112" s="172">
        <f>Итоговая!R113</f>
        <v>2.2549999999999999</v>
      </c>
      <c r="K112" s="757" t="str">
        <f>Итоговая!S113</f>
        <v>открыт</v>
      </c>
      <c r="L112" s="259" t="str">
        <f>Итоговая!T113</f>
        <v>открыт</v>
      </c>
      <c r="M112" s="757">
        <f>Итоговая!U113</f>
        <v>14.095238095238095</v>
      </c>
      <c r="N112" s="902"/>
      <c r="O112" s="902"/>
      <c r="P112" s="902"/>
    </row>
    <row r="113" spans="1:16" hidden="1" x14ac:dyDescent="0.25">
      <c r="A113" s="212">
        <f>Итоговая!A114</f>
        <v>86</v>
      </c>
      <c r="B113" s="212">
        <f>COUNTIFS($C$8:C113,"*ПС*",$L$8:L113,"*закрыт*")</f>
        <v>13</v>
      </c>
      <c r="C113" s="212" t="str">
        <f>Итоговая!C114</f>
        <v xml:space="preserve">ПС 35/10 кВ Молдино </v>
      </c>
      <c r="D113" s="230">
        <f>Итоговая!D114</f>
        <v>1</v>
      </c>
      <c r="E113" s="229" t="str">
        <f>Итоговая!E114</f>
        <v>+</v>
      </c>
      <c r="F113" s="229">
        <f>Итоговая!F114</f>
        <v>1</v>
      </c>
      <c r="G113" s="229">
        <f>Итоговая!G114</f>
        <v>0</v>
      </c>
      <c r="H113" s="229">
        <f>Итоговая!H114</f>
        <v>0</v>
      </c>
      <c r="I113" s="172">
        <f>Итоговая!Q114</f>
        <v>0.96</v>
      </c>
      <c r="J113" s="172">
        <f>Итоговая!R114</f>
        <v>0.96</v>
      </c>
      <c r="K113" s="757" t="str">
        <f>Итоговая!S114</f>
        <v>открыт</v>
      </c>
      <c r="L113" s="259" t="str">
        <f>Итоговая!T114</f>
        <v>открыт</v>
      </c>
      <c r="M113" s="757">
        <f>Итоговая!U114</f>
        <v>53.333333333333336</v>
      </c>
      <c r="N113" s="902"/>
      <c r="O113" s="902"/>
      <c r="P113" s="902"/>
    </row>
    <row r="114" spans="1:16" ht="30" hidden="1" x14ac:dyDescent="0.25">
      <c r="A114" s="212">
        <f>Итоговая!A115</f>
        <v>87</v>
      </c>
      <c r="B114" s="212">
        <f>COUNTIFS($C$8:C114,"*ПС*",$L$8:L114,"*закрыт*")</f>
        <v>13</v>
      </c>
      <c r="C114" s="212" t="str">
        <f>Итоговая!C115</f>
        <v xml:space="preserve">ПС 35/10 кВ Ново-Кузьминская </v>
      </c>
      <c r="D114" s="230">
        <f>Итоговая!D115</f>
        <v>1</v>
      </c>
      <c r="E114" s="229" t="str">
        <f>Итоговая!E115</f>
        <v>+</v>
      </c>
      <c r="F114" s="229">
        <f>Итоговая!F115</f>
        <v>1</v>
      </c>
      <c r="G114" s="229">
        <f>Итоговая!G115</f>
        <v>0</v>
      </c>
      <c r="H114" s="229">
        <f>Итоговая!H115</f>
        <v>0</v>
      </c>
      <c r="I114" s="172">
        <f>Итоговая!Q115</f>
        <v>0.99</v>
      </c>
      <c r="J114" s="172">
        <f>Итоговая!R115</f>
        <v>0.99</v>
      </c>
      <c r="K114" s="757" t="str">
        <f>Итоговая!S115</f>
        <v>открыт</v>
      </c>
      <c r="L114" s="259" t="str">
        <f>Итоговая!T115</f>
        <v>открыт</v>
      </c>
      <c r="M114" s="757">
        <f>Итоговая!U115</f>
        <v>40.952380952380949</v>
      </c>
      <c r="N114" s="902"/>
      <c r="O114" s="902"/>
      <c r="P114" s="902"/>
    </row>
    <row r="115" spans="1:16" hidden="1" x14ac:dyDescent="0.25">
      <c r="A115" s="212">
        <f>Итоговая!A116</f>
        <v>88</v>
      </c>
      <c r="B115" s="212">
        <f>COUNTIFS($C$8:C115,"*ПС*",$L$8:L115,"*закрыт*")</f>
        <v>13</v>
      </c>
      <c r="C115" s="212" t="str">
        <f>Итоговая!C116</f>
        <v xml:space="preserve">ПС 35/10 кВ Овсище </v>
      </c>
      <c r="D115" s="230">
        <f>Итоговая!D116</f>
        <v>2.5</v>
      </c>
      <c r="E115" s="229" t="str">
        <f>Итоговая!E116</f>
        <v>+</v>
      </c>
      <c r="F115" s="229">
        <f>Итоговая!F116</f>
        <v>1.6</v>
      </c>
      <c r="G115" s="229">
        <f>Итоговая!G116</f>
        <v>0</v>
      </c>
      <c r="H115" s="229">
        <f>Итоговая!H116</f>
        <v>0</v>
      </c>
      <c r="I115" s="172">
        <f>Итоговая!Q116</f>
        <v>1.3800000000000001</v>
      </c>
      <c r="J115" s="172">
        <f>Итоговая!R116</f>
        <v>1.3800000000000001</v>
      </c>
      <c r="K115" s="757" t="str">
        <f>Итоговая!S116</f>
        <v>открыт</v>
      </c>
      <c r="L115" s="259" t="str">
        <f>Итоговая!T116</f>
        <v>открыт</v>
      </c>
      <c r="M115" s="757">
        <f>Итоговая!U116</f>
        <v>17.857142857142854</v>
      </c>
      <c r="N115" s="902"/>
      <c r="O115" s="902"/>
      <c r="P115" s="902"/>
    </row>
    <row r="116" spans="1:16" hidden="1" x14ac:dyDescent="0.25">
      <c r="A116" s="212">
        <f>Итоговая!A117</f>
        <v>89</v>
      </c>
      <c r="B116" s="212">
        <f>COUNTIFS($C$8:C116,"*ПС*",$L$8:L116,"*закрыт*")</f>
        <v>13</v>
      </c>
      <c r="C116" s="212" t="str">
        <f>Итоговая!C117</f>
        <v xml:space="preserve">ПС 35/6 кВ ОЭЗ  </v>
      </c>
      <c r="D116" s="230">
        <f>Итоговая!D117</f>
        <v>2.5</v>
      </c>
      <c r="E116" s="229" t="str">
        <f>Итоговая!E117</f>
        <v>+</v>
      </c>
      <c r="F116" s="229">
        <f>Итоговая!F117</f>
        <v>2.5</v>
      </c>
      <c r="G116" s="229">
        <f>Итоговая!G117</f>
        <v>0</v>
      </c>
      <c r="H116" s="229">
        <f>Итоговая!H117</f>
        <v>0</v>
      </c>
      <c r="I116" s="172">
        <f>Итоговая!Q117</f>
        <v>2.3849999999999998</v>
      </c>
      <c r="J116" s="172">
        <f>Итоговая!R117</f>
        <v>2.3849999999999998</v>
      </c>
      <c r="K116" s="757" t="str">
        <f>Итоговая!S117</f>
        <v>открыт</v>
      </c>
      <c r="L116" s="259" t="str">
        <f>Итоговая!T117</f>
        <v>открыт</v>
      </c>
      <c r="M116" s="757">
        <f>Итоговая!U117</f>
        <v>62.476190476190474</v>
      </c>
      <c r="N116" s="902"/>
      <c r="O116" s="902"/>
      <c r="P116" s="902"/>
    </row>
    <row r="117" spans="1:16" hidden="1" x14ac:dyDescent="0.25">
      <c r="A117" s="212">
        <f>Итоговая!A118</f>
        <v>90</v>
      </c>
      <c r="B117" s="212">
        <f>COUNTIFS($C$8:C117,"*ПС*",$L$8:L117,"*закрыт*")</f>
        <v>13</v>
      </c>
      <c r="C117" s="212" t="str">
        <f>Итоговая!C118</f>
        <v xml:space="preserve">ПС 35/10 кВ Плотично  </v>
      </c>
      <c r="D117" s="230">
        <f>Итоговая!D118</f>
        <v>1.8</v>
      </c>
      <c r="E117" s="229" t="str">
        <f>Итоговая!E118</f>
        <v>+</v>
      </c>
      <c r="F117" s="229">
        <f>Итоговая!F118</f>
        <v>1.6</v>
      </c>
      <c r="G117" s="229">
        <f>Итоговая!G118</f>
        <v>0</v>
      </c>
      <c r="H117" s="229">
        <f>Итоговая!H118</f>
        <v>0</v>
      </c>
      <c r="I117" s="172">
        <f>Итоговая!Q118</f>
        <v>1.4200000000000002</v>
      </c>
      <c r="J117" s="172">
        <f>Итоговая!R118</f>
        <v>1.4200000000000002</v>
      </c>
      <c r="K117" s="757" t="str">
        <f>Итоговая!S118</f>
        <v>открыт</v>
      </c>
      <c r="L117" s="259" t="str">
        <f>Итоговая!T118</f>
        <v>открыт</v>
      </c>
      <c r="M117" s="757">
        <f>Итоговая!U118</f>
        <v>15.476190476190474</v>
      </c>
      <c r="N117" s="902"/>
      <c r="O117" s="902"/>
      <c r="P117" s="902"/>
    </row>
    <row r="118" spans="1:16" hidden="1" x14ac:dyDescent="0.25">
      <c r="A118" s="212">
        <f>Итоговая!A119</f>
        <v>91</v>
      </c>
      <c r="B118" s="212">
        <f>COUNTIFS($C$8:C118,"*ПС*",$L$8:L118,"*закрыт*")</f>
        <v>13</v>
      </c>
      <c r="C118" s="212" t="str">
        <f>Итоговая!C119</f>
        <v xml:space="preserve">ПС 35/10 кВ Попово  </v>
      </c>
      <c r="D118" s="230">
        <f>Итоговая!D119</f>
        <v>1</v>
      </c>
      <c r="E118" s="229" t="str">
        <f>Итоговая!E119</f>
        <v>+</v>
      </c>
      <c r="F118" s="229">
        <f>Итоговая!F119</f>
        <v>1</v>
      </c>
      <c r="G118" s="229">
        <f>Итоговая!G119</f>
        <v>0</v>
      </c>
      <c r="H118" s="229">
        <f>Итоговая!H119</f>
        <v>0</v>
      </c>
      <c r="I118" s="172">
        <f>Итоговая!Q119</f>
        <v>0.84000000000000008</v>
      </c>
      <c r="J118" s="172">
        <f>Итоговая!R119</f>
        <v>0.84000000000000008</v>
      </c>
      <c r="K118" s="757" t="str">
        <f>Итоговая!S119</f>
        <v>открыт</v>
      </c>
      <c r="L118" s="259" t="str">
        <f>Итоговая!T119</f>
        <v>открыт</v>
      </c>
      <c r="M118" s="757">
        <f>Итоговая!U119</f>
        <v>20</v>
      </c>
      <c r="N118" s="902"/>
      <c r="O118" s="902"/>
      <c r="P118" s="902"/>
    </row>
    <row r="119" spans="1:16" hidden="1" x14ac:dyDescent="0.25">
      <c r="A119" s="212">
        <f>Итоговая!A120</f>
        <v>92</v>
      </c>
      <c r="B119" s="212">
        <f>COUNTIFS($C$8:C119,"*ПС*",$L$8:L119,"*закрыт*")</f>
        <v>13</v>
      </c>
      <c r="C119" s="212" t="str">
        <f>Итоговая!C120</f>
        <v>ПС 35/10 кВ Пролетарий</v>
      </c>
      <c r="D119" s="230">
        <f>Итоговая!D120</f>
        <v>2.5</v>
      </c>
      <c r="E119" s="229" t="str">
        <f>Итоговая!E120</f>
        <v>+</v>
      </c>
      <c r="F119" s="229">
        <f>Итоговая!F120</f>
        <v>2.5</v>
      </c>
      <c r="G119" s="229">
        <f>Итоговая!G120</f>
        <v>0</v>
      </c>
      <c r="H119" s="229">
        <f>Итоговая!H120</f>
        <v>0</v>
      </c>
      <c r="I119" s="172">
        <f>Итоговая!Q120</f>
        <v>1.675</v>
      </c>
      <c r="J119" s="172">
        <f>Итоговая!R120</f>
        <v>1.675</v>
      </c>
      <c r="K119" s="757" t="str">
        <f>Итоговая!S120</f>
        <v>открыт</v>
      </c>
      <c r="L119" s="259" t="str">
        <f>Итоговая!T120</f>
        <v>открыт</v>
      </c>
      <c r="M119" s="757">
        <f>Итоговая!U120</f>
        <v>62.857142857142854</v>
      </c>
      <c r="N119" s="902"/>
      <c r="O119" s="902"/>
      <c r="P119" s="902"/>
    </row>
    <row r="120" spans="1:16" hidden="1" x14ac:dyDescent="0.25">
      <c r="A120" s="212">
        <f>Итоговая!A121</f>
        <v>93</v>
      </c>
      <c r="B120" s="212">
        <f>COUNTIFS($C$8:C120,"*ПС*",$L$8:L120,"*закрыт*")</f>
        <v>13</v>
      </c>
      <c r="C120" s="212" t="str">
        <f>Итоговая!C121</f>
        <v xml:space="preserve">ПС 35/10 кВ Рождество </v>
      </c>
      <c r="D120" s="230">
        <f>Итоговая!D121</f>
        <v>2.5</v>
      </c>
      <c r="E120" s="229" t="str">
        <f>Итоговая!E121</f>
        <v>+</v>
      </c>
      <c r="F120" s="229">
        <f>Итоговая!F121</f>
        <v>2.5</v>
      </c>
      <c r="G120" s="229">
        <f>Итоговая!G121</f>
        <v>0</v>
      </c>
      <c r="H120" s="229">
        <f>Итоговая!H121</f>
        <v>0</v>
      </c>
      <c r="I120" s="172">
        <f>Итоговая!Q121</f>
        <v>2.1349999999999998</v>
      </c>
      <c r="J120" s="172">
        <f>Итоговая!R121</f>
        <v>2.1349999999999998</v>
      </c>
      <c r="K120" s="757" t="str">
        <f>Итоговая!S121</f>
        <v>открыт</v>
      </c>
      <c r="L120" s="259" t="str">
        <f>Итоговая!T121</f>
        <v>открыт</v>
      </c>
      <c r="M120" s="757">
        <f>Итоговая!U121</f>
        <v>18.666666666666668</v>
      </c>
      <c r="N120" s="902"/>
      <c r="O120" s="902"/>
      <c r="P120" s="902"/>
    </row>
    <row r="121" spans="1:16" hidden="1" x14ac:dyDescent="0.25">
      <c r="A121" s="212">
        <f>Итоговая!A122</f>
        <v>94</v>
      </c>
      <c r="B121" s="212">
        <f>COUNTIFS($C$8:C121,"*ПС*",$L$8:L121,"*закрыт*")</f>
        <v>13</v>
      </c>
      <c r="C121" s="212" t="str">
        <f>Итоговая!C122</f>
        <v xml:space="preserve">ПС 35/10 кВ Ряд </v>
      </c>
      <c r="D121" s="230">
        <f>Итоговая!D122</f>
        <v>2.5</v>
      </c>
      <c r="E121" s="229" t="str">
        <f>Итоговая!E122</f>
        <v>+</v>
      </c>
      <c r="F121" s="229">
        <f>Итоговая!F122</f>
        <v>2.5</v>
      </c>
      <c r="G121" s="229">
        <f>Итоговая!G122</f>
        <v>0</v>
      </c>
      <c r="H121" s="229">
        <f>Итоговая!H122</f>
        <v>0</v>
      </c>
      <c r="I121" s="172">
        <f>Итоговая!Q122</f>
        <v>2.625</v>
      </c>
      <c r="J121" s="172">
        <f>Итоговая!R122</f>
        <v>2.625</v>
      </c>
      <c r="K121" s="757" t="str">
        <f>Итоговая!S122</f>
        <v>открыт</v>
      </c>
      <c r="L121" s="259" t="str">
        <f>Итоговая!T122</f>
        <v>открыт</v>
      </c>
      <c r="M121" s="757">
        <f>Итоговая!U122</f>
        <v>11.428571428571429</v>
      </c>
      <c r="N121" s="902"/>
      <c r="O121" s="902"/>
      <c r="P121" s="902"/>
    </row>
    <row r="122" spans="1:16" hidden="1" x14ac:dyDescent="0.25">
      <c r="A122" s="212">
        <f>Итоговая!A123</f>
        <v>95</v>
      </c>
      <c r="B122" s="212">
        <f>COUNTIFS($C$8:C122,"*ПС*",$L$8:L122,"*закрыт*")</f>
        <v>13</v>
      </c>
      <c r="C122" s="212" t="str">
        <f>Итоговая!C123</f>
        <v xml:space="preserve">ПС 35/10 кВ Сеглино  </v>
      </c>
      <c r="D122" s="230">
        <f>Итоговая!D123</f>
        <v>1.6</v>
      </c>
      <c r="E122" s="229" t="str">
        <f>Итоговая!E123</f>
        <v>+</v>
      </c>
      <c r="F122" s="229">
        <f>Итоговая!F123</f>
        <v>1.6</v>
      </c>
      <c r="G122" s="229">
        <f>Итоговая!G123</f>
        <v>0</v>
      </c>
      <c r="H122" s="229">
        <f>Итоговая!H123</f>
        <v>0</v>
      </c>
      <c r="I122" s="172">
        <f>Итоговая!Q123</f>
        <v>1.1900000000000002</v>
      </c>
      <c r="J122" s="172">
        <f>Итоговая!R123</f>
        <v>1.1900000000000002</v>
      </c>
      <c r="K122" s="757" t="str">
        <f>Итоговая!S123</f>
        <v>открыт</v>
      </c>
      <c r="L122" s="259" t="str">
        <f>Итоговая!T123</f>
        <v>открыт</v>
      </c>
      <c r="M122" s="757">
        <f>Итоговая!U123</f>
        <v>29.166666666666664</v>
      </c>
      <c r="N122" s="902"/>
      <c r="O122" s="902"/>
      <c r="P122" s="902"/>
    </row>
    <row r="123" spans="1:16" hidden="1" x14ac:dyDescent="0.25">
      <c r="A123" s="212">
        <f>Итоговая!A124</f>
        <v>96</v>
      </c>
      <c r="B123" s="212">
        <f>COUNTIFS($C$8:C123,"*ПС*",$L$8:L123,"*закрыт*")</f>
        <v>13</v>
      </c>
      <c r="C123" s="212" t="str">
        <f>Итоговая!C124</f>
        <v xml:space="preserve">ПС 35/10 кВ Сороки </v>
      </c>
      <c r="D123" s="230">
        <f>Итоговая!D124</f>
        <v>2.5</v>
      </c>
      <c r="E123" s="229" t="str">
        <f>Итоговая!E124</f>
        <v>+</v>
      </c>
      <c r="F123" s="229">
        <f>Итоговая!F124</f>
        <v>2.5</v>
      </c>
      <c r="G123" s="229">
        <f>Итоговая!G124</f>
        <v>0</v>
      </c>
      <c r="H123" s="229">
        <f>Итоговая!H124</f>
        <v>0</v>
      </c>
      <c r="I123" s="172">
        <f>Итоговая!Q124</f>
        <v>1.9849999999999999</v>
      </c>
      <c r="J123" s="172">
        <f>Итоговая!R124</f>
        <v>1.9849999999999999</v>
      </c>
      <c r="K123" s="757" t="str">
        <f>Итоговая!S124</f>
        <v>открыт</v>
      </c>
      <c r="L123" s="259" t="str">
        <f>Итоговая!T124</f>
        <v>открыт</v>
      </c>
      <c r="M123" s="757">
        <f>Итоговая!U124</f>
        <v>24.38095238095238</v>
      </c>
      <c r="N123" s="902"/>
      <c r="O123" s="902"/>
      <c r="P123" s="902"/>
    </row>
    <row r="124" spans="1:16" hidden="1" x14ac:dyDescent="0.25">
      <c r="A124" s="212">
        <f>Итоговая!A125</f>
        <v>97</v>
      </c>
      <c r="B124" s="212">
        <f>COUNTIFS($C$8:C124,"*ПС*",$L$8:L124,"*закрыт*")</f>
        <v>13</v>
      </c>
      <c r="C124" s="212" t="str">
        <f>Итоговая!C125</f>
        <v xml:space="preserve">ПС 35/10 кВ Терелесово </v>
      </c>
      <c r="D124" s="230">
        <f>Итоговая!D125</f>
        <v>1.6</v>
      </c>
      <c r="E124" s="229" t="str">
        <f>Итоговая!E125</f>
        <v>+</v>
      </c>
      <c r="F124" s="229">
        <f>Итоговая!F125</f>
        <v>1.6</v>
      </c>
      <c r="G124" s="229">
        <f>Итоговая!G125</f>
        <v>0</v>
      </c>
      <c r="H124" s="229">
        <f>Итоговая!H125</f>
        <v>0</v>
      </c>
      <c r="I124" s="172">
        <f>Итоговая!Q125</f>
        <v>1.54</v>
      </c>
      <c r="J124" s="172">
        <f>Итоговая!R125</f>
        <v>1.54</v>
      </c>
      <c r="K124" s="757" t="str">
        <f>Итоговая!S125</f>
        <v>открыт</v>
      </c>
      <c r="L124" s="259" t="str">
        <f>Итоговая!T125</f>
        <v>открыт</v>
      </c>
      <c r="M124" s="757">
        <f>Итоговая!U125</f>
        <v>36.309523809523803</v>
      </c>
      <c r="N124" s="902"/>
      <c r="O124" s="902"/>
      <c r="P124" s="902"/>
    </row>
    <row r="125" spans="1:16" hidden="1" x14ac:dyDescent="0.25">
      <c r="A125" s="212">
        <f>Итоговая!A126</f>
        <v>98</v>
      </c>
      <c r="B125" s="212">
        <f>COUNTIFS($C$8:C125,"*ПС*",$L$8:L125,"*закрыт*")</f>
        <v>13</v>
      </c>
      <c r="C125" s="212" t="str">
        <f>Итоговая!C126</f>
        <v xml:space="preserve">ПС 35/10 кВ Тимково </v>
      </c>
      <c r="D125" s="230">
        <f>Итоговая!D126</f>
        <v>1.6</v>
      </c>
      <c r="E125" s="229" t="str">
        <f>Итоговая!E126</f>
        <v>+</v>
      </c>
      <c r="F125" s="229">
        <f>Итоговая!F126</f>
        <v>1.6</v>
      </c>
      <c r="G125" s="229">
        <f>Итоговая!G126</f>
        <v>0</v>
      </c>
      <c r="H125" s="229">
        <f>Итоговая!H126</f>
        <v>0</v>
      </c>
      <c r="I125" s="172">
        <f>Итоговая!Q126</f>
        <v>0.90000000000000013</v>
      </c>
      <c r="J125" s="172">
        <f>Итоговая!R126</f>
        <v>0.90000000000000013</v>
      </c>
      <c r="K125" s="757" t="str">
        <f>Итоговая!S126</f>
        <v>открыт</v>
      </c>
      <c r="L125" s="259" t="str">
        <f>Итоговая!T126</f>
        <v>открыт</v>
      </c>
      <c r="M125" s="757">
        <f>Итоговая!U126</f>
        <v>46.428571428571423</v>
      </c>
      <c r="N125" s="902"/>
      <c r="O125" s="902"/>
      <c r="P125" s="902"/>
    </row>
    <row r="126" spans="1:16" hidden="1" x14ac:dyDescent="0.25">
      <c r="A126" s="212">
        <f>Итоговая!A127</f>
        <v>99</v>
      </c>
      <c r="B126" s="212">
        <f>COUNTIFS($C$8:C126,"*ПС*",$L$8:L126,"*закрыт*")</f>
        <v>13</v>
      </c>
      <c r="C126" s="212" t="str">
        <f>Итоговая!C127</f>
        <v xml:space="preserve">ПС 35/10 кВ Фирово </v>
      </c>
      <c r="D126" s="230">
        <f>Итоговая!D127</f>
        <v>2.5</v>
      </c>
      <c r="E126" s="229" t="str">
        <f>Итоговая!E127</f>
        <v>+</v>
      </c>
      <c r="F126" s="229">
        <f>Итоговая!F127</f>
        <v>2.5</v>
      </c>
      <c r="G126" s="229">
        <f>Итоговая!G127</f>
        <v>0</v>
      </c>
      <c r="H126" s="229">
        <f>Итоговая!H127</f>
        <v>0</v>
      </c>
      <c r="I126" s="172">
        <f>Итоговая!Q127</f>
        <v>2.1550000000000002</v>
      </c>
      <c r="J126" s="172">
        <f>Итоговая!R127</f>
        <v>2.1550000000000002</v>
      </c>
      <c r="K126" s="757" t="str">
        <f>Итоговая!S127</f>
        <v>открыт</v>
      </c>
      <c r="L126" s="259" t="str">
        <f>Итоговая!T127</f>
        <v>открыт</v>
      </c>
      <c r="M126" s="757">
        <f>Итоговая!U127</f>
        <v>71.61904761904762</v>
      </c>
      <c r="N126" s="902"/>
      <c r="O126" s="902"/>
      <c r="P126" s="902"/>
    </row>
    <row r="127" spans="1:16" hidden="1" x14ac:dyDescent="0.25">
      <c r="A127" s="212">
        <f>Итоговая!A128</f>
        <v>100</v>
      </c>
      <c r="B127" s="212">
        <f>COUNTIFS($C$8:C127,"*ПС*",$L$8:L127,"*закрыт*")</f>
        <v>13</v>
      </c>
      <c r="C127" s="212" t="str">
        <f>Итоговая!C128</f>
        <v xml:space="preserve">ПС 35/6 кВ Юбилейная </v>
      </c>
      <c r="D127" s="230">
        <f>Итоговая!D128</f>
        <v>7.5</v>
      </c>
      <c r="E127" s="229" t="str">
        <f>Итоговая!E128</f>
        <v>+</v>
      </c>
      <c r="F127" s="229">
        <f>Итоговая!F128</f>
        <v>10</v>
      </c>
      <c r="G127" s="229">
        <f>Итоговая!G128</f>
        <v>0</v>
      </c>
      <c r="H127" s="229">
        <f>Итоговая!H128</f>
        <v>0</v>
      </c>
      <c r="I127" s="172">
        <f>Итоговая!Q128</f>
        <v>1.6550000000000002</v>
      </c>
      <c r="J127" s="172">
        <f>Итоговая!R128</f>
        <v>1.6550000000000002</v>
      </c>
      <c r="K127" s="757" t="str">
        <f>Итоговая!S128</f>
        <v>открыт</v>
      </c>
      <c r="L127" s="259" t="str">
        <f>Итоговая!T128</f>
        <v>открыт</v>
      </c>
      <c r="M127" s="757">
        <f>Итоговая!U128</f>
        <v>90.412698412698418</v>
      </c>
      <c r="N127" s="902"/>
      <c r="O127" s="902"/>
      <c r="P127" s="902"/>
    </row>
    <row r="128" spans="1:16" hidden="1" x14ac:dyDescent="0.25">
      <c r="A128" s="212">
        <f>Итоговая!A129</f>
        <v>101</v>
      </c>
      <c r="B128" s="212">
        <f>COUNTIFS($C$8:C128,"*ПС*",$L$8:L128,"*закрыт*")</f>
        <v>13</v>
      </c>
      <c r="C128" s="212" t="str">
        <f>Итоговая!C129</f>
        <v xml:space="preserve">ПС 35/10 кВ Яконово </v>
      </c>
      <c r="D128" s="230">
        <f>Итоговая!D129</f>
        <v>2.5</v>
      </c>
      <c r="E128" s="229" t="str">
        <f>Итоговая!E129</f>
        <v>+</v>
      </c>
      <c r="F128" s="229">
        <f>Итоговая!F129</f>
        <v>2.5</v>
      </c>
      <c r="G128" s="229">
        <f>Итоговая!G129</f>
        <v>0</v>
      </c>
      <c r="H128" s="229">
        <f>Итоговая!H129</f>
        <v>0</v>
      </c>
      <c r="I128" s="172">
        <f>Итоговая!Q129</f>
        <v>2.5249999999999999</v>
      </c>
      <c r="J128" s="172">
        <f>Итоговая!R129</f>
        <v>2.5249999999999999</v>
      </c>
      <c r="K128" s="757" t="str">
        <f>Итоговая!S129</f>
        <v>открыт</v>
      </c>
      <c r="L128" s="259" t="str">
        <f>Итоговая!T129</f>
        <v>открыт</v>
      </c>
      <c r="M128" s="757">
        <f>Итоговая!U129</f>
        <v>10.285714285714286</v>
      </c>
      <c r="N128" s="902"/>
      <c r="O128" s="902"/>
      <c r="P128" s="902"/>
    </row>
    <row r="129" spans="1:16" hidden="1" x14ac:dyDescent="0.25">
      <c r="A129" s="2419">
        <f>Итоговая!A130</f>
        <v>102</v>
      </c>
      <c r="B129" s="2423">
        <f>COUNTIFS($C$8:C129,"*ПС*",$L$8:L129,"*закрыт*")</f>
        <v>13</v>
      </c>
      <c r="C129" s="212" t="str">
        <f>Итоговая!C130</f>
        <v xml:space="preserve">ПС 110/35/10 кВ Брусово  </v>
      </c>
      <c r="D129" s="230">
        <f>Итоговая!D130</f>
        <v>10</v>
      </c>
      <c r="E129" s="229" t="str">
        <f>Итоговая!E130</f>
        <v>+</v>
      </c>
      <c r="F129" s="229">
        <f>Итоговая!F130</f>
        <v>10</v>
      </c>
      <c r="G129" s="229">
        <f>Итоговая!G130</f>
        <v>0</v>
      </c>
      <c r="H129" s="229">
        <f>Итоговая!H130</f>
        <v>0</v>
      </c>
      <c r="I129" s="172">
        <f>Итоговая!Q130</f>
        <v>9.6</v>
      </c>
      <c r="J129" s="2420">
        <f>Итоговая!R130</f>
        <v>9.6</v>
      </c>
      <c r="K129" s="2398" t="str">
        <f>Итоговая!S130</f>
        <v>открыт</v>
      </c>
      <c r="L129" s="259" t="str">
        <f>Итоговая!T130</f>
        <v>открыт</v>
      </c>
      <c r="M129" s="2398">
        <f>Итоговая!U130</f>
        <v>21.61904761904762</v>
      </c>
      <c r="N129" s="902"/>
      <c r="O129" s="902"/>
      <c r="P129" s="902"/>
    </row>
    <row r="130" spans="1:16" hidden="1" x14ac:dyDescent="0.25">
      <c r="A130" s="2419">
        <f>Итоговая!A131</f>
        <v>0</v>
      </c>
      <c r="B130" s="2440"/>
      <c r="C130" s="212" t="str">
        <f>Итоговая!C131</f>
        <v xml:space="preserve">Ном. Мощность СН, МВА </v>
      </c>
      <c r="D130" s="230">
        <f>Итоговая!D131</f>
        <v>10</v>
      </c>
      <c r="E130" s="229" t="str">
        <f>Итоговая!E131</f>
        <v>+</v>
      </c>
      <c r="F130" s="229">
        <f>Итоговая!F131</f>
        <v>10</v>
      </c>
      <c r="G130" s="229">
        <f>Итоговая!G131</f>
        <v>0</v>
      </c>
      <c r="H130" s="229">
        <f>Итоговая!H131</f>
        <v>0</v>
      </c>
      <c r="I130" s="172">
        <f>Итоговая!Q131</f>
        <v>10.029999999999999</v>
      </c>
      <c r="J130" s="2420">
        <f>Итоговая!R131</f>
        <v>0</v>
      </c>
      <c r="K130" s="2399">
        <f>Итоговая!S131</f>
        <v>0</v>
      </c>
      <c r="L130" s="259" t="str">
        <f>Итоговая!T131</f>
        <v>открыт</v>
      </c>
      <c r="M130" s="2399">
        <f>Итоговая!U131</f>
        <v>0</v>
      </c>
      <c r="N130" s="902"/>
      <c r="O130" s="902"/>
      <c r="P130" s="902"/>
    </row>
    <row r="131" spans="1:16" hidden="1" x14ac:dyDescent="0.25">
      <c r="A131" s="2419">
        <f>Итоговая!A132</f>
        <v>0</v>
      </c>
      <c r="B131" s="2441"/>
      <c r="C131" s="212" t="str">
        <f>Итоговая!C132</f>
        <v>Ном. мощность НН, МВА</v>
      </c>
      <c r="D131" s="230">
        <f>Итоговая!D132</f>
        <v>10</v>
      </c>
      <c r="E131" s="229" t="str">
        <f>Итоговая!E132</f>
        <v>+</v>
      </c>
      <c r="F131" s="229">
        <f>Итоговая!F132</f>
        <v>10</v>
      </c>
      <c r="G131" s="229">
        <f>Итоговая!G132</f>
        <v>0</v>
      </c>
      <c r="H131" s="229">
        <f>Итоговая!H132</f>
        <v>0</v>
      </c>
      <c r="I131" s="172">
        <f>Итоговая!Q132</f>
        <v>10.07</v>
      </c>
      <c r="J131" s="2420">
        <f>Итоговая!R132</f>
        <v>0</v>
      </c>
      <c r="K131" s="2399">
        <f>Итоговая!S132</f>
        <v>0</v>
      </c>
      <c r="L131" s="259" t="str">
        <f>Итоговая!T132</f>
        <v>открыт</v>
      </c>
      <c r="M131" s="2399">
        <f>Итоговая!U132</f>
        <v>0</v>
      </c>
      <c r="N131" s="902"/>
      <c r="O131" s="902"/>
      <c r="P131" s="902"/>
    </row>
    <row r="132" spans="1:16" hidden="1" x14ac:dyDescent="0.25">
      <c r="A132" s="2419">
        <f>Итоговая!A133</f>
        <v>103</v>
      </c>
      <c r="B132" s="2423">
        <f>COUNTIFS($C$8:C132,"*ПС*",$L$8:L132,"*закрыт*")</f>
        <v>13</v>
      </c>
      <c r="C132" s="212" t="str">
        <f>Итоговая!C133</f>
        <v xml:space="preserve">ПС 110/35/6 кВ Выползово </v>
      </c>
      <c r="D132" s="230">
        <f>Итоговая!D133</f>
        <v>10</v>
      </c>
      <c r="E132" s="229" t="str">
        <f>Итоговая!E133</f>
        <v>+</v>
      </c>
      <c r="F132" s="229">
        <f>Итоговая!F133</f>
        <v>10</v>
      </c>
      <c r="G132" s="229">
        <f>Итоговая!G133</f>
        <v>0</v>
      </c>
      <c r="H132" s="229">
        <f>Итоговая!H133</f>
        <v>0</v>
      </c>
      <c r="I132" s="172">
        <f>Итоговая!Q133</f>
        <v>7.78</v>
      </c>
      <c r="J132" s="2420">
        <f>Итоговая!R133</f>
        <v>7.78</v>
      </c>
      <c r="K132" s="2398" t="str">
        <f>Итоговая!S133</f>
        <v>открыт</v>
      </c>
      <c r="L132" s="259" t="str">
        <f>Итоговая!T133</f>
        <v>открыт</v>
      </c>
      <c r="M132" s="2398">
        <f>Итоговая!U133</f>
        <v>36.19047619047619</v>
      </c>
      <c r="N132" s="902"/>
      <c r="O132" s="902"/>
      <c r="P132" s="902"/>
    </row>
    <row r="133" spans="1:16" hidden="1" x14ac:dyDescent="0.25">
      <c r="A133" s="2419">
        <f>Итоговая!A134</f>
        <v>0</v>
      </c>
      <c r="B133" s="2440"/>
      <c r="C133" s="212" t="str">
        <f>Итоговая!C134</f>
        <v xml:space="preserve">Ном. Мощность СН, МВА </v>
      </c>
      <c r="D133" s="230">
        <f>Итоговая!D134</f>
        <v>10</v>
      </c>
      <c r="E133" s="229" t="str">
        <f>Итоговая!E134</f>
        <v>+</v>
      </c>
      <c r="F133" s="229">
        <f>Итоговая!F134</f>
        <v>10</v>
      </c>
      <c r="G133" s="229">
        <f>Итоговая!G134</f>
        <v>0</v>
      </c>
      <c r="H133" s="229">
        <f>Итоговая!H134</f>
        <v>0</v>
      </c>
      <c r="I133" s="172">
        <f>Итоговая!Q134</f>
        <v>8.42</v>
      </c>
      <c r="J133" s="2420">
        <f>Итоговая!R134</f>
        <v>0</v>
      </c>
      <c r="K133" s="2399">
        <f>Итоговая!S134</f>
        <v>0</v>
      </c>
      <c r="L133" s="259" t="str">
        <f>Итоговая!T134</f>
        <v>открыт</v>
      </c>
      <c r="M133" s="2399">
        <f>Итоговая!U134</f>
        <v>0</v>
      </c>
      <c r="N133" s="902"/>
      <c r="O133" s="902"/>
      <c r="P133" s="902"/>
    </row>
    <row r="134" spans="1:16" hidden="1" x14ac:dyDescent="0.25">
      <c r="A134" s="2419">
        <f>Итоговая!A135</f>
        <v>0</v>
      </c>
      <c r="B134" s="2441"/>
      <c r="C134" s="212" t="str">
        <f>Итоговая!C135</f>
        <v>Ном. мощность НН, МВА</v>
      </c>
      <c r="D134" s="230">
        <f>Итоговая!D135</f>
        <v>10</v>
      </c>
      <c r="E134" s="229" t="str">
        <f>Итоговая!E135</f>
        <v>+</v>
      </c>
      <c r="F134" s="229">
        <f>Итоговая!F135</f>
        <v>10</v>
      </c>
      <c r="G134" s="229">
        <f>Итоговая!G135</f>
        <v>0</v>
      </c>
      <c r="H134" s="229">
        <f>Итоговая!H135</f>
        <v>0</v>
      </c>
      <c r="I134" s="172">
        <f>Итоговая!Q135</f>
        <v>9.86</v>
      </c>
      <c r="J134" s="2420">
        <f>Итоговая!R135</f>
        <v>0</v>
      </c>
      <c r="K134" s="2399">
        <f>Итоговая!S135</f>
        <v>0</v>
      </c>
      <c r="L134" s="259" t="str">
        <f>Итоговая!T135</f>
        <v>открыт</v>
      </c>
      <c r="M134" s="2399">
        <f>Итоговая!U135</f>
        <v>0</v>
      </c>
      <c r="N134" s="902"/>
      <c r="O134" s="902"/>
      <c r="P134" s="902"/>
    </row>
    <row r="135" spans="1:16" ht="30" hidden="1" x14ac:dyDescent="0.25">
      <c r="A135" s="2419">
        <f>Итоговая!A136</f>
        <v>104</v>
      </c>
      <c r="B135" s="2423">
        <f>COUNTIFS($C$8:C135,"*ПС*",$L$8:L135,"*закрыт*")</f>
        <v>13</v>
      </c>
      <c r="C135" s="212" t="str">
        <f>Итоговая!C136</f>
        <v xml:space="preserve">ПС 110/35/6 кВ Вышний Волочек </v>
      </c>
      <c r="D135" s="230">
        <f>Итоговая!D136</f>
        <v>40</v>
      </c>
      <c r="E135" s="229" t="str">
        <f>Итоговая!E136</f>
        <v>+</v>
      </c>
      <c r="F135" s="229">
        <f>Итоговая!F136</f>
        <v>40</v>
      </c>
      <c r="G135" s="229">
        <f>Итоговая!G136</f>
        <v>0</v>
      </c>
      <c r="H135" s="229">
        <f>Итоговая!H136</f>
        <v>0</v>
      </c>
      <c r="I135" s="172">
        <f>Итоговая!Q136</f>
        <v>18.68</v>
      </c>
      <c r="J135" s="2420">
        <f>Итоговая!R136</f>
        <v>18.68</v>
      </c>
      <c r="K135" s="2398" t="str">
        <f>Итоговая!S136</f>
        <v>открыт</v>
      </c>
      <c r="L135" s="259" t="str">
        <f>Итоговая!T136</f>
        <v>открыт</v>
      </c>
      <c r="M135" s="2398">
        <f>Итоговая!U136</f>
        <v>55.523809523809526</v>
      </c>
      <c r="N135" s="902"/>
      <c r="O135" s="902"/>
      <c r="P135" s="902"/>
    </row>
    <row r="136" spans="1:16" hidden="1" x14ac:dyDescent="0.25">
      <c r="A136" s="2419">
        <f>Итоговая!A137</f>
        <v>0</v>
      </c>
      <c r="B136" s="2440"/>
      <c r="C136" s="212" t="str">
        <f>Итоговая!C137</f>
        <v xml:space="preserve">Ном. Мощность СН, МВА </v>
      </c>
      <c r="D136" s="230">
        <f>Итоговая!D137</f>
        <v>40</v>
      </c>
      <c r="E136" s="229" t="str">
        <f>Итоговая!E137</f>
        <v>+</v>
      </c>
      <c r="F136" s="229">
        <f>Итоговая!F137</f>
        <v>40</v>
      </c>
      <c r="G136" s="229">
        <f>Итоговая!G137</f>
        <v>0</v>
      </c>
      <c r="H136" s="229">
        <f>Итоговая!H137</f>
        <v>0</v>
      </c>
      <c r="I136" s="172">
        <f>Итоговая!Q137</f>
        <v>24.14</v>
      </c>
      <c r="J136" s="2420">
        <f>Итоговая!R137</f>
        <v>0</v>
      </c>
      <c r="K136" s="2399">
        <f>Итоговая!S137</f>
        <v>0</v>
      </c>
      <c r="L136" s="259" t="str">
        <f>Итоговая!T137</f>
        <v>открыт</v>
      </c>
      <c r="M136" s="2399">
        <f>Итоговая!U137</f>
        <v>0</v>
      </c>
      <c r="N136" s="902"/>
      <c r="O136" s="902"/>
      <c r="P136" s="902"/>
    </row>
    <row r="137" spans="1:16" hidden="1" x14ac:dyDescent="0.25">
      <c r="A137" s="2419">
        <f>Итоговая!A138</f>
        <v>0</v>
      </c>
      <c r="B137" s="2441"/>
      <c r="C137" s="212" t="str">
        <f>Итоговая!C138</f>
        <v>Ном. мощность НН, МВА</v>
      </c>
      <c r="D137" s="230">
        <f>Итоговая!D138</f>
        <v>40</v>
      </c>
      <c r="E137" s="229" t="str">
        <f>Итоговая!E138</f>
        <v>+</v>
      </c>
      <c r="F137" s="229">
        <f>Итоговая!F138</f>
        <v>40</v>
      </c>
      <c r="G137" s="229">
        <f>Итоговая!G138</f>
        <v>0</v>
      </c>
      <c r="H137" s="229">
        <f>Итоговая!H138</f>
        <v>0</v>
      </c>
      <c r="I137" s="172">
        <f>Итоговая!Q138</f>
        <v>36.54</v>
      </c>
      <c r="J137" s="2420">
        <f>Итоговая!R138</f>
        <v>0</v>
      </c>
      <c r="K137" s="2399">
        <f>Итоговая!S138</f>
        <v>0</v>
      </c>
      <c r="L137" s="259" t="str">
        <f>Итоговая!T138</f>
        <v>открыт</v>
      </c>
      <c r="M137" s="2399">
        <f>Итоговая!U138</f>
        <v>0</v>
      </c>
      <c r="N137" s="902"/>
      <c r="O137" s="902"/>
      <c r="P137" s="902"/>
    </row>
    <row r="138" spans="1:16" hidden="1" x14ac:dyDescent="0.25">
      <c r="A138" s="2423">
        <f>Итоговая!A139</f>
        <v>105</v>
      </c>
      <c r="B138" s="2423">
        <f>COUNTIFS($C$8:C138,"*ПС*",$L$8:L138,"*закрыт*")</f>
        <v>13</v>
      </c>
      <c r="C138" s="212" t="str">
        <f>Итоговая!C139</f>
        <v xml:space="preserve">ПС 110/35/10-6 кВ Кашарово </v>
      </c>
      <c r="D138" s="230">
        <f>Итоговая!D139</f>
        <v>25</v>
      </c>
      <c r="E138" s="229" t="str">
        <f>Итоговая!E139</f>
        <v>+</v>
      </c>
      <c r="F138" s="229">
        <f>Итоговая!F139</f>
        <v>20</v>
      </c>
      <c r="G138" s="229">
        <f>Итоговая!G139</f>
        <v>0</v>
      </c>
      <c r="H138" s="229">
        <f>Итоговая!H139</f>
        <v>0</v>
      </c>
      <c r="I138" s="172">
        <f>Итоговая!Q139</f>
        <v>12.57</v>
      </c>
      <c r="J138" s="2405">
        <f>Итоговая!R139</f>
        <v>12.57</v>
      </c>
      <c r="K138" s="2400" t="str">
        <f>Итоговая!S139</f>
        <v>открыт</v>
      </c>
      <c r="L138" s="259" t="str">
        <f>Итоговая!T139</f>
        <v>открыт</v>
      </c>
      <c r="M138" s="2400">
        <f>Итоговая!U139</f>
        <v>56.047619047619051</v>
      </c>
      <c r="N138" s="902"/>
      <c r="O138" s="902"/>
      <c r="P138" s="902"/>
    </row>
    <row r="139" spans="1:16" hidden="1" x14ac:dyDescent="0.25">
      <c r="A139" s="2440">
        <f>Итоговая!A140</f>
        <v>0</v>
      </c>
      <c r="B139" s="2440"/>
      <c r="C139" s="212" t="str">
        <f>Итоговая!C140</f>
        <v xml:space="preserve">Ном. Мощность СН, МВА </v>
      </c>
      <c r="D139" s="230">
        <f>Итоговая!D140</f>
        <v>25</v>
      </c>
      <c r="E139" s="229" t="str">
        <f>Итоговая!E140</f>
        <v>+</v>
      </c>
      <c r="F139" s="229">
        <f>Итоговая!F140</f>
        <v>20</v>
      </c>
      <c r="G139" s="229">
        <f>Итоговая!G140</f>
        <v>0</v>
      </c>
      <c r="H139" s="229">
        <f>Итоговая!H140</f>
        <v>0</v>
      </c>
      <c r="I139" s="172">
        <f>Итоговая!Q140</f>
        <v>14.190000000000001</v>
      </c>
      <c r="J139" s="2406">
        <f>Итоговая!R140</f>
        <v>0</v>
      </c>
      <c r="K139" s="2401">
        <f>Итоговая!S140</f>
        <v>0</v>
      </c>
      <c r="L139" s="259" t="str">
        <f>Итоговая!T140</f>
        <v>открыт</v>
      </c>
      <c r="M139" s="2401">
        <f>Итоговая!U140</f>
        <v>0</v>
      </c>
      <c r="N139" s="902"/>
      <c r="O139" s="902"/>
      <c r="P139" s="902"/>
    </row>
    <row r="140" spans="1:16" hidden="1" x14ac:dyDescent="0.25">
      <c r="A140" s="2441">
        <f>Итоговая!A141</f>
        <v>0</v>
      </c>
      <c r="B140" s="2441"/>
      <c r="C140" s="212" t="str">
        <f>Итоговая!C141</f>
        <v>Ном. мощность НН, МВА</v>
      </c>
      <c r="D140" s="230">
        <f>Итоговая!D141</f>
        <v>25</v>
      </c>
      <c r="E140" s="229" t="str">
        <f>Итоговая!E141</f>
        <v>+</v>
      </c>
      <c r="F140" s="229">
        <f>Итоговая!F141</f>
        <v>20</v>
      </c>
      <c r="G140" s="229">
        <f>Итоговая!G141</f>
        <v>0</v>
      </c>
      <c r="H140" s="229">
        <f>Итоговая!H141</f>
        <v>0</v>
      </c>
      <c r="I140" s="172">
        <f>Итоговая!Q141</f>
        <v>19.38</v>
      </c>
      <c r="J140" s="2407">
        <f>Итоговая!R141</f>
        <v>0</v>
      </c>
      <c r="K140" s="2402">
        <f>Итоговая!S141</f>
        <v>0</v>
      </c>
      <c r="L140" s="259" t="str">
        <f>Итоговая!T141</f>
        <v>открыт</v>
      </c>
      <c r="M140" s="2402">
        <f>Итоговая!U141</f>
        <v>0</v>
      </c>
      <c r="N140" s="902"/>
      <c r="O140" s="902"/>
      <c r="P140" s="902"/>
    </row>
    <row r="141" spans="1:16" hidden="1" x14ac:dyDescent="0.25">
      <c r="A141" s="2419">
        <f>Итоговая!A142</f>
        <v>106</v>
      </c>
      <c r="B141" s="2423">
        <f>COUNTIFS($C$8:C141,"*ПС*",$L$8:L141,"*закрыт*")</f>
        <v>13</v>
      </c>
      <c r="C141" s="212" t="str">
        <f>Итоговая!C142</f>
        <v xml:space="preserve">ПС 110/35/10 кВ Спирово </v>
      </c>
      <c r="D141" s="230">
        <f>Итоговая!D142</f>
        <v>16</v>
      </c>
      <c r="E141" s="229" t="str">
        <f>Итоговая!E142</f>
        <v>+</v>
      </c>
      <c r="F141" s="229">
        <f>Итоговая!F142</f>
        <v>16</v>
      </c>
      <c r="G141" s="229">
        <f>Итоговая!G142</f>
        <v>0</v>
      </c>
      <c r="H141" s="229">
        <f>Итоговая!H142</f>
        <v>0</v>
      </c>
      <c r="I141" s="172">
        <f>Итоговая!Q142</f>
        <v>14.360000000000001</v>
      </c>
      <c r="J141" s="2420">
        <f>Итоговая!R142</f>
        <v>14.360000000000001</v>
      </c>
      <c r="K141" s="2398" t="str">
        <f>Итоговая!S142</f>
        <v>открыт</v>
      </c>
      <c r="L141" s="259" t="str">
        <f>Итоговая!T142</f>
        <v>открыт</v>
      </c>
      <c r="M141" s="2398">
        <f>Итоговая!U142</f>
        <v>14.523809523809524</v>
      </c>
      <c r="N141" s="902"/>
      <c r="O141" s="902"/>
      <c r="P141" s="902"/>
    </row>
    <row r="142" spans="1:16" hidden="1" x14ac:dyDescent="0.25">
      <c r="A142" s="2419">
        <f>Итоговая!A143</f>
        <v>0</v>
      </c>
      <c r="B142" s="2440"/>
      <c r="C142" s="212" t="str">
        <f>Итоговая!C143</f>
        <v xml:space="preserve">Ном. Мощность СН, МВА </v>
      </c>
      <c r="D142" s="230">
        <f>Итоговая!D143</f>
        <v>16</v>
      </c>
      <c r="E142" s="229" t="str">
        <f>Итоговая!E143</f>
        <v>+</v>
      </c>
      <c r="F142" s="229">
        <f>Итоговая!F143</f>
        <v>16</v>
      </c>
      <c r="G142" s="229">
        <f>Итоговая!G143</f>
        <v>0</v>
      </c>
      <c r="H142" s="229">
        <f>Итоговая!H143</f>
        <v>0</v>
      </c>
      <c r="I142" s="172">
        <f>Итоговая!Q143</f>
        <v>15.81</v>
      </c>
      <c r="J142" s="2420">
        <f>Итоговая!R143</f>
        <v>0</v>
      </c>
      <c r="K142" s="2399">
        <f>Итоговая!S143</f>
        <v>0</v>
      </c>
      <c r="L142" s="259" t="str">
        <f>Итоговая!T143</f>
        <v>открыт</v>
      </c>
      <c r="M142" s="2399">
        <f>Итоговая!U143</f>
        <v>0</v>
      </c>
      <c r="N142" s="902"/>
      <c r="O142" s="902"/>
      <c r="P142" s="902"/>
    </row>
    <row r="143" spans="1:16" hidden="1" x14ac:dyDescent="0.25">
      <c r="A143" s="2419">
        <f>Итоговая!A144</f>
        <v>0</v>
      </c>
      <c r="B143" s="2441"/>
      <c r="C143" s="212" t="str">
        <f>Итоговая!C144</f>
        <v>Ном. мощность НН, МВА</v>
      </c>
      <c r="D143" s="230">
        <f>Итоговая!D144</f>
        <v>16</v>
      </c>
      <c r="E143" s="229" t="str">
        <f>Итоговая!E144</f>
        <v>+</v>
      </c>
      <c r="F143" s="229">
        <f>Итоговая!F144</f>
        <v>16</v>
      </c>
      <c r="G143" s="229">
        <f>Итоговая!G144</f>
        <v>0</v>
      </c>
      <c r="H143" s="229">
        <f>Итоговая!H144</f>
        <v>0</v>
      </c>
      <c r="I143" s="172">
        <f>Итоговая!Q144</f>
        <v>15.350000000000001</v>
      </c>
      <c r="J143" s="2420">
        <f>Итоговая!R144</f>
        <v>0</v>
      </c>
      <c r="K143" s="2399">
        <f>Итоговая!S144</f>
        <v>0</v>
      </c>
      <c r="L143" s="259" t="str">
        <f>Итоговая!T144</f>
        <v>открыт</v>
      </c>
      <c r="M143" s="2399">
        <f>Итоговая!U144</f>
        <v>0</v>
      </c>
      <c r="N143" s="902"/>
      <c r="O143" s="902"/>
      <c r="P143" s="902"/>
    </row>
    <row r="144" spans="1:16" hidden="1" x14ac:dyDescent="0.25">
      <c r="A144" s="2419">
        <f>Итоговая!A145</f>
        <v>107</v>
      </c>
      <c r="B144" s="2423">
        <f>COUNTIFS($C$8:C144,"*ПС*",$L$8:L144,"*закрыт*")</f>
        <v>13</v>
      </c>
      <c r="C144" s="212" t="str">
        <f>Итоговая!C145</f>
        <v>ПС 110/35/10 кВ Труд</v>
      </c>
      <c r="D144" s="230">
        <f>Итоговая!D145</f>
        <v>16</v>
      </c>
      <c r="E144" s="229" t="str">
        <f>Итоговая!E145</f>
        <v>+</v>
      </c>
      <c r="F144" s="229">
        <f>Итоговая!F145</f>
        <v>16</v>
      </c>
      <c r="G144" s="229">
        <f>Итоговая!G145</f>
        <v>0</v>
      </c>
      <c r="H144" s="229">
        <f>Итоговая!H145</f>
        <v>0</v>
      </c>
      <c r="I144" s="172">
        <f>Итоговая!Q145</f>
        <v>16.04</v>
      </c>
      <c r="J144" s="2420">
        <f>Итоговая!R145</f>
        <v>16.04</v>
      </c>
      <c r="K144" s="2398" t="str">
        <f>Итоговая!S145</f>
        <v>открыт</v>
      </c>
      <c r="L144" s="259" t="str">
        <f>Итоговая!T145</f>
        <v>открыт</v>
      </c>
      <c r="M144" s="2398">
        <f>Итоговая!U145</f>
        <v>20.833333333333332</v>
      </c>
      <c r="N144" s="902"/>
      <c r="O144" s="902"/>
      <c r="P144" s="902"/>
    </row>
    <row r="145" spans="1:16" hidden="1" x14ac:dyDescent="0.25">
      <c r="A145" s="2419">
        <f>Итоговая!A146</f>
        <v>0</v>
      </c>
      <c r="B145" s="2440"/>
      <c r="C145" s="212" t="str">
        <f>Итоговая!C146</f>
        <v xml:space="preserve">Ном. Мощность СН, МВА </v>
      </c>
      <c r="D145" s="230">
        <f>Итоговая!D146</f>
        <v>16</v>
      </c>
      <c r="E145" s="229" t="str">
        <f>Итоговая!E146</f>
        <v>+</v>
      </c>
      <c r="F145" s="229">
        <f>Итоговая!F146</f>
        <v>16</v>
      </c>
      <c r="G145" s="229">
        <f>Итоговая!G146</f>
        <v>0</v>
      </c>
      <c r="H145" s="229">
        <f>Итоговая!H146</f>
        <v>0</v>
      </c>
      <c r="I145" s="172">
        <f>Итоговая!Q146</f>
        <v>16.3</v>
      </c>
      <c r="J145" s="2420">
        <f>Итоговая!R146</f>
        <v>0</v>
      </c>
      <c r="K145" s="2399">
        <f>Итоговая!S146</f>
        <v>0</v>
      </c>
      <c r="L145" s="259" t="str">
        <f>Итоговая!T146</f>
        <v>открыт</v>
      </c>
      <c r="M145" s="2399">
        <f>Итоговая!U146</f>
        <v>0</v>
      </c>
      <c r="N145" s="902"/>
      <c r="O145" s="902"/>
      <c r="P145" s="902"/>
    </row>
    <row r="146" spans="1:16" hidden="1" x14ac:dyDescent="0.25">
      <c r="A146" s="2419">
        <f>Итоговая!A147</f>
        <v>0</v>
      </c>
      <c r="B146" s="2441"/>
      <c r="C146" s="212" t="str">
        <f>Итоговая!C147</f>
        <v>Ном. мощность НН, МВА</v>
      </c>
      <c r="D146" s="230">
        <f>Итоговая!D147</f>
        <v>16</v>
      </c>
      <c r="E146" s="229" t="str">
        <f>Итоговая!E147</f>
        <v>+</v>
      </c>
      <c r="F146" s="229">
        <f>Итоговая!F147</f>
        <v>16</v>
      </c>
      <c r="G146" s="229">
        <f>Итоговая!G147</f>
        <v>0</v>
      </c>
      <c r="H146" s="229">
        <f>Итоговая!H147</f>
        <v>0</v>
      </c>
      <c r="I146" s="172">
        <f>Итоговая!Q147</f>
        <v>16.54</v>
      </c>
      <c r="J146" s="2420">
        <f>Итоговая!R147</f>
        <v>0</v>
      </c>
      <c r="K146" s="2399">
        <f>Итоговая!S147</f>
        <v>0</v>
      </c>
      <c r="L146" s="259" t="str">
        <f>Итоговая!T147</f>
        <v>открыт</v>
      </c>
      <c r="M146" s="2399">
        <f>Итоговая!U147</f>
        <v>0</v>
      </c>
      <c r="N146" s="902"/>
      <c r="O146" s="902"/>
      <c r="P146" s="902"/>
    </row>
    <row r="147" spans="1:16" hidden="1" x14ac:dyDescent="0.25">
      <c r="A147" s="2419">
        <f>Итоговая!A148</f>
        <v>108</v>
      </c>
      <c r="B147" s="2423">
        <f>COUNTIFS($C$8:C147,"*ПС*",$L$8:L147,"*закрыт*")</f>
        <v>13</v>
      </c>
      <c r="C147" s="212" t="str">
        <f>Итоговая!C148</f>
        <v xml:space="preserve">ПС 110/35/10 кВ Удомля  </v>
      </c>
      <c r="D147" s="230">
        <f>Итоговая!D148</f>
        <v>25</v>
      </c>
      <c r="E147" s="229" t="str">
        <f>Итоговая!E148</f>
        <v>+</v>
      </c>
      <c r="F147" s="229">
        <f>Итоговая!F148</f>
        <v>25</v>
      </c>
      <c r="G147" s="229">
        <f>Итоговая!G148</f>
        <v>0</v>
      </c>
      <c r="H147" s="229">
        <f>Итоговая!H148</f>
        <v>0</v>
      </c>
      <c r="I147" s="172">
        <f>Итоговая!Q148</f>
        <v>16.720000000000002</v>
      </c>
      <c r="J147" s="2420">
        <f>Итоговая!R148</f>
        <v>16.720000000000002</v>
      </c>
      <c r="K147" s="2398" t="str">
        <f>Итоговая!S148</f>
        <v>открыт</v>
      </c>
      <c r="L147" s="259" t="str">
        <f>Итоговая!T148</f>
        <v>открыт</v>
      </c>
      <c r="M147" s="2398">
        <f>Итоговая!U148</f>
        <v>62.895238095238085</v>
      </c>
      <c r="N147" s="902"/>
      <c r="O147" s="902"/>
      <c r="P147" s="902"/>
    </row>
    <row r="148" spans="1:16" hidden="1" x14ac:dyDescent="0.25">
      <c r="A148" s="2419">
        <f>Итоговая!A149</f>
        <v>0</v>
      </c>
      <c r="B148" s="2440"/>
      <c r="C148" s="212" t="str">
        <f>Итоговая!C149</f>
        <v xml:space="preserve">Ном. Мощность СН, МВА </v>
      </c>
      <c r="D148" s="230">
        <f>Итоговая!D149</f>
        <v>25</v>
      </c>
      <c r="E148" s="229" t="str">
        <f>Итоговая!E149</f>
        <v>+</v>
      </c>
      <c r="F148" s="229">
        <f>Итоговая!F149</f>
        <v>25</v>
      </c>
      <c r="G148" s="229">
        <f>Итоговая!G149</f>
        <v>0</v>
      </c>
      <c r="H148" s="229">
        <f>Итоговая!H149</f>
        <v>0</v>
      </c>
      <c r="I148" s="172">
        <f>Итоговая!Q149</f>
        <v>22.990000000000002</v>
      </c>
      <c r="J148" s="2420">
        <f>Итоговая!R149</f>
        <v>0</v>
      </c>
      <c r="K148" s="2399">
        <f>Итоговая!S149</f>
        <v>0</v>
      </c>
      <c r="L148" s="259" t="str">
        <f>Итоговая!T149</f>
        <v>открыт</v>
      </c>
      <c r="M148" s="2399">
        <f>Итоговая!U149</f>
        <v>0</v>
      </c>
      <c r="N148" s="902"/>
      <c r="O148" s="902"/>
      <c r="P148" s="902"/>
    </row>
    <row r="149" spans="1:16" hidden="1" x14ac:dyDescent="0.25">
      <c r="A149" s="2419">
        <f>Итоговая!A150</f>
        <v>0</v>
      </c>
      <c r="B149" s="2441"/>
      <c r="C149" s="212" t="str">
        <f>Итоговая!C150</f>
        <v>Ном. мощность НН, МВА</v>
      </c>
      <c r="D149" s="230">
        <f>Итоговая!D150</f>
        <v>25</v>
      </c>
      <c r="E149" s="229" t="str">
        <f>Итоговая!E150</f>
        <v>+</v>
      </c>
      <c r="F149" s="229">
        <f>Итоговая!F150</f>
        <v>25</v>
      </c>
      <c r="G149" s="229">
        <f>Итоговая!G150</f>
        <v>0</v>
      </c>
      <c r="H149" s="229">
        <f>Итоговая!H150</f>
        <v>0</v>
      </c>
      <c r="I149" s="172">
        <f>Итоговая!Q150</f>
        <v>19.98</v>
      </c>
      <c r="J149" s="2420">
        <f>Итоговая!R150</f>
        <v>0</v>
      </c>
      <c r="K149" s="2399">
        <f>Итоговая!S150</f>
        <v>0</v>
      </c>
      <c r="L149" s="259" t="str">
        <f>Итоговая!T150</f>
        <v>открыт</v>
      </c>
      <c r="M149" s="2399">
        <f>Итоговая!U150</f>
        <v>0</v>
      </c>
      <c r="N149" s="902"/>
      <c r="O149" s="902"/>
      <c r="P149" s="902"/>
    </row>
    <row r="150" spans="1:16" hidden="1" x14ac:dyDescent="0.25">
      <c r="A150" s="2419">
        <f>Итоговая!A151</f>
        <v>109</v>
      </c>
      <c r="B150" s="2423">
        <f>COUNTIFS($C$8:C150,"*ПС*",$L$8:L150,"*закрыт*")</f>
        <v>13</v>
      </c>
      <c r="C150" s="212" t="str">
        <f>Итоговая!C151</f>
        <v xml:space="preserve">ПС 110/35/10 кВ Холохоленка </v>
      </c>
      <c r="D150" s="230">
        <f>Итоговая!D151</f>
        <v>6.3</v>
      </c>
      <c r="E150" s="229" t="str">
        <f>Итоговая!E151</f>
        <v>+</v>
      </c>
      <c r="F150" s="229">
        <f>Итоговая!F151</f>
        <v>6.3</v>
      </c>
      <c r="G150" s="229">
        <f>Итоговая!G151</f>
        <v>0</v>
      </c>
      <c r="H150" s="229">
        <f>Итоговая!H151</f>
        <v>0</v>
      </c>
      <c r="I150" s="172">
        <f>Итоговая!Q151</f>
        <v>4.2649999999999997</v>
      </c>
      <c r="J150" s="2420">
        <f>Итоговая!R151</f>
        <v>4.2649999999999997</v>
      </c>
      <c r="K150" s="2398" t="str">
        <f>Итоговая!S151</f>
        <v>открыт</v>
      </c>
      <c r="L150" s="259" t="str">
        <f>Итоговая!T151</f>
        <v>открыт</v>
      </c>
      <c r="M150" s="2398">
        <f>Итоговая!U151</f>
        <v>53.061224489795919</v>
      </c>
      <c r="N150" s="902"/>
      <c r="O150" s="902"/>
      <c r="P150" s="902"/>
    </row>
    <row r="151" spans="1:16" hidden="1" x14ac:dyDescent="0.25">
      <c r="A151" s="2419">
        <f>Итоговая!A152</f>
        <v>0</v>
      </c>
      <c r="B151" s="2440"/>
      <c r="C151" s="212" t="str">
        <f>Итоговая!C152</f>
        <v xml:space="preserve">Ном. Мощность СН, МВА </v>
      </c>
      <c r="D151" s="230">
        <f>Итоговая!D152</f>
        <v>6.3</v>
      </c>
      <c r="E151" s="229" t="str">
        <f>Итоговая!E152</f>
        <v>+</v>
      </c>
      <c r="F151" s="229">
        <f>Итоговая!F152</f>
        <v>6.3</v>
      </c>
      <c r="G151" s="229">
        <f>Итоговая!G152</f>
        <v>0</v>
      </c>
      <c r="H151" s="229">
        <f>Итоговая!H152</f>
        <v>0</v>
      </c>
      <c r="I151" s="172">
        <f>Итоговая!Q152</f>
        <v>5.5549999999999997</v>
      </c>
      <c r="J151" s="2420">
        <f>Итоговая!R152</f>
        <v>0</v>
      </c>
      <c r="K151" s="2399">
        <f>Итоговая!S152</f>
        <v>0</v>
      </c>
      <c r="L151" s="259" t="str">
        <f>Итоговая!T152</f>
        <v>открыт</v>
      </c>
      <c r="M151" s="2399">
        <f>Итоговая!U152</f>
        <v>0</v>
      </c>
      <c r="N151" s="902"/>
      <c r="O151" s="902"/>
      <c r="P151" s="902"/>
    </row>
    <row r="152" spans="1:16" hidden="1" x14ac:dyDescent="0.25">
      <c r="A152" s="2419">
        <f>Итоговая!A153</f>
        <v>0</v>
      </c>
      <c r="B152" s="2441"/>
      <c r="C152" s="212" t="str">
        <f>Итоговая!C153</f>
        <v>Ном. мощность НН, МВА</v>
      </c>
      <c r="D152" s="230">
        <f>Итоговая!D153</f>
        <v>6.3</v>
      </c>
      <c r="E152" s="229" t="str">
        <f>Итоговая!E153</f>
        <v>+</v>
      </c>
      <c r="F152" s="229">
        <f>Итоговая!F153</f>
        <v>6.3</v>
      </c>
      <c r="G152" s="229">
        <f>Итоговая!G153</f>
        <v>0</v>
      </c>
      <c r="H152" s="229">
        <f>Итоговая!H153</f>
        <v>0</v>
      </c>
      <c r="I152" s="172">
        <f>Итоговая!Q153</f>
        <v>5.3250000000000002</v>
      </c>
      <c r="J152" s="2420">
        <f>Итоговая!R153</f>
        <v>0</v>
      </c>
      <c r="K152" s="2399">
        <f>Итоговая!S153</f>
        <v>0</v>
      </c>
      <c r="L152" s="259" t="str">
        <f>Итоговая!T153</f>
        <v>открыт</v>
      </c>
      <c r="M152" s="2399">
        <f>Итоговая!U153</f>
        <v>0</v>
      </c>
      <c r="N152" s="902"/>
      <c r="O152" s="902"/>
      <c r="P152" s="902"/>
    </row>
    <row r="153" spans="1:16" hidden="1" x14ac:dyDescent="0.25">
      <c r="A153" s="2423">
        <f>Итоговая!A154</f>
        <v>110</v>
      </c>
      <c r="B153" s="2423">
        <f>COUNTIFS($C$8:C153,"*ПС*",$L$8:L153,"*закрыт*")</f>
        <v>13</v>
      </c>
      <c r="C153" s="228" t="str">
        <f>Итоговая!C154</f>
        <v xml:space="preserve">ПС 110/35/10 кВ Леонтьево </v>
      </c>
      <c r="D153" s="230">
        <f>Итоговая!D154</f>
        <v>25</v>
      </c>
      <c r="E153" s="229" t="str">
        <f>Итоговая!E154</f>
        <v>+</v>
      </c>
      <c r="F153" s="229">
        <f>Итоговая!F154</f>
        <v>25</v>
      </c>
      <c r="G153" s="229">
        <f>Итоговая!G154</f>
        <v>0</v>
      </c>
      <c r="H153" s="229">
        <f>Итоговая!H154</f>
        <v>0</v>
      </c>
      <c r="I153" s="172">
        <f>Итоговая!Q154</f>
        <v>22.33</v>
      </c>
      <c r="J153" s="2405">
        <f>Итоговая!R154</f>
        <v>22.33</v>
      </c>
      <c r="K153" s="2398" t="str">
        <f>Итоговая!S154</f>
        <v>открыт</v>
      </c>
      <c r="L153" s="259" t="str">
        <f>Итоговая!T154</f>
        <v>открыт</v>
      </c>
      <c r="M153" s="2398">
        <f>Итоговая!U154</f>
        <v>17.295238095238094</v>
      </c>
      <c r="N153" s="902"/>
      <c r="O153" s="902"/>
      <c r="P153" s="902"/>
    </row>
    <row r="154" spans="1:16" hidden="1" x14ac:dyDescent="0.25">
      <c r="A154" s="2424">
        <f>Итоговая!A155</f>
        <v>0</v>
      </c>
      <c r="B154" s="2440"/>
      <c r="C154" s="228" t="str">
        <f>Итоговая!C155</f>
        <v xml:space="preserve">Ном. Мощность СН, МВА </v>
      </c>
      <c r="D154" s="230">
        <f>Итоговая!D155</f>
        <v>25</v>
      </c>
      <c r="E154" s="229" t="str">
        <f>Итоговая!E155</f>
        <v>+</v>
      </c>
      <c r="F154" s="229">
        <f>Итоговая!F155</f>
        <v>25</v>
      </c>
      <c r="G154" s="229">
        <f>Итоговая!G155</f>
        <v>0</v>
      </c>
      <c r="H154" s="229">
        <f>Итоговая!H155</f>
        <v>0</v>
      </c>
      <c r="I154" s="172">
        <f>Итоговая!Q155</f>
        <v>22.509999999999998</v>
      </c>
      <c r="J154" s="2406">
        <f>Итоговая!R155</f>
        <v>0</v>
      </c>
      <c r="K154" s="2399">
        <f>Итоговая!S155</f>
        <v>0</v>
      </c>
      <c r="L154" s="259" t="str">
        <f>Итоговая!T155</f>
        <v>открыт</v>
      </c>
      <c r="M154" s="2399">
        <f>Итоговая!U155</f>
        <v>0</v>
      </c>
      <c r="N154" s="902"/>
      <c r="O154" s="902"/>
      <c r="P154" s="902"/>
    </row>
    <row r="155" spans="1:16" hidden="1" x14ac:dyDescent="0.25">
      <c r="A155" s="2425">
        <f>Итоговая!A156</f>
        <v>0</v>
      </c>
      <c r="B155" s="2441"/>
      <c r="C155" s="228" t="str">
        <f>Итоговая!C156</f>
        <v>Ном. мощность НН, МВА</v>
      </c>
      <c r="D155" s="230">
        <f>Итоговая!D156</f>
        <v>25</v>
      </c>
      <c r="E155" s="229" t="str">
        <f>Итоговая!E156</f>
        <v>+</v>
      </c>
      <c r="F155" s="229">
        <f>Итоговая!F156</f>
        <v>25</v>
      </c>
      <c r="G155" s="229">
        <f>Итоговая!G156</f>
        <v>0</v>
      </c>
      <c r="H155" s="229">
        <f>Итоговая!H156</f>
        <v>0</v>
      </c>
      <c r="I155" s="172">
        <f>Итоговая!Q156</f>
        <v>26.07</v>
      </c>
      <c r="J155" s="2407">
        <f>Итоговая!R156</f>
        <v>0</v>
      </c>
      <c r="K155" s="2399">
        <f>Итоговая!S156</f>
        <v>0</v>
      </c>
      <c r="L155" s="259" t="str">
        <f>Итоговая!T156</f>
        <v>открыт</v>
      </c>
      <c r="M155" s="2399">
        <f>Итоговая!U156</f>
        <v>0</v>
      </c>
      <c r="N155" s="902"/>
      <c r="O155" s="902"/>
      <c r="P155" s="902"/>
    </row>
    <row r="156" spans="1:16" x14ac:dyDescent="0.25">
      <c r="A156" s="84">
        <f>Итоговая!A157</f>
        <v>111</v>
      </c>
      <c r="B156" s="212">
        <f>COUNTIFS($C$8:C156,"*ПС*",$L$8:L156,"*закрыт*")</f>
        <v>14</v>
      </c>
      <c r="C156" s="84" t="str">
        <f>Итоговая!C157</f>
        <v xml:space="preserve">ПС  35/6 кВ Микрорайонная </v>
      </c>
      <c r="D156" s="230">
        <f>Итоговая!D157</f>
        <v>6.3</v>
      </c>
      <c r="E156" s="229">
        <f>Итоговая!E157</f>
        <v>0</v>
      </c>
      <c r="F156" s="229">
        <f>Итоговая!F157</f>
        <v>0</v>
      </c>
      <c r="G156" s="229">
        <f>Итоговая!G157</f>
        <v>0</v>
      </c>
      <c r="H156" s="229">
        <f>Итоговая!H157</f>
        <v>0</v>
      </c>
      <c r="I156" s="23">
        <f>Итоговая!Q157</f>
        <v>-1.4200000000000002</v>
      </c>
      <c r="J156" s="23">
        <f>Итоговая!R157</f>
        <v>-1.4200000000000002</v>
      </c>
      <c r="K156" s="757" t="str">
        <f>Итоговая!S157</f>
        <v>закрыт</v>
      </c>
      <c r="L156" s="259" t="str">
        <f>Итоговая!T157</f>
        <v>закрыт</v>
      </c>
      <c r="M156" s="757">
        <f>Итоговая!U157</f>
        <v>39.60695389266818</v>
      </c>
      <c r="N156" s="907"/>
      <c r="O156" s="907"/>
      <c r="P156" s="907"/>
    </row>
    <row r="157" spans="1:16" hidden="1" x14ac:dyDescent="0.25">
      <c r="A157" s="84">
        <f>Итоговая!A158</f>
        <v>112</v>
      </c>
      <c r="B157" s="212">
        <f>COUNTIFS($C$8:C157,"*ПС*",$L$8:L157,"*закрыт*")</f>
        <v>14</v>
      </c>
      <c r="C157" s="84" t="str">
        <f>Итоговая!C158</f>
        <v xml:space="preserve">ПС  35/10 кВ Барыково </v>
      </c>
      <c r="D157" s="230">
        <f>Итоговая!D158</f>
        <v>2.5</v>
      </c>
      <c r="E157" s="229" t="str">
        <f>Итоговая!E158</f>
        <v>+</v>
      </c>
      <c r="F157" s="229">
        <f>Итоговая!F158</f>
        <v>2.5</v>
      </c>
      <c r="G157" s="229">
        <f>Итоговая!G158</f>
        <v>0</v>
      </c>
      <c r="H157" s="229">
        <f>Итоговая!H158</f>
        <v>0</v>
      </c>
      <c r="I157" s="23">
        <f>Итоговая!Q158</f>
        <v>1.825</v>
      </c>
      <c r="J157" s="23">
        <f>Итоговая!R158</f>
        <v>1.825</v>
      </c>
      <c r="K157" s="757" t="str">
        <f>Итоговая!S158</f>
        <v>открыт</v>
      </c>
      <c r="L157" s="259" t="str">
        <f>Итоговая!T158</f>
        <v>открыт</v>
      </c>
      <c r="M157" s="757">
        <f>Итоговая!U158</f>
        <v>30.476190476190474</v>
      </c>
      <c r="N157" s="902"/>
      <c r="O157" s="902"/>
      <c r="P157" s="902"/>
    </row>
    <row r="158" spans="1:16" hidden="1" x14ac:dyDescent="0.25">
      <c r="A158" s="84">
        <f>Итоговая!A159</f>
        <v>113</v>
      </c>
      <c r="B158" s="212">
        <f>COUNTIFS($C$8:C158,"*ПС*",$L$8:L158,"*закрыт*")</f>
        <v>14</v>
      </c>
      <c r="C158" s="84" t="str">
        <f>Итоговая!C159</f>
        <v xml:space="preserve">ПС  35/6 кВ Б.Городок </v>
      </c>
      <c r="D158" s="230">
        <f>Итоговая!D159</f>
        <v>5.6</v>
      </c>
      <c r="E158" s="229" t="str">
        <f>Итоговая!E159</f>
        <v>+</v>
      </c>
      <c r="F158" s="229">
        <f>Итоговая!F159</f>
        <v>6.3</v>
      </c>
      <c r="G158" s="229">
        <f>Итоговая!G159</f>
        <v>0</v>
      </c>
      <c r="H158" s="229">
        <f>Итоговая!H159</f>
        <v>0</v>
      </c>
      <c r="I158" s="23">
        <f>Итоговая!Q159</f>
        <v>2.82</v>
      </c>
      <c r="J158" s="23">
        <f>Итоговая!R159</f>
        <v>2.82</v>
      </c>
      <c r="K158" s="757" t="str">
        <f>Итоговая!S159</f>
        <v>открыт</v>
      </c>
      <c r="L158" s="259" t="str">
        <f>Итоговая!T159</f>
        <v>открыт</v>
      </c>
      <c r="M158" s="757">
        <f>Итоговая!U159</f>
        <v>52.04081632653061</v>
      </c>
      <c r="N158" s="902"/>
      <c r="O158" s="902"/>
      <c r="P158" s="902"/>
    </row>
    <row r="159" spans="1:16" hidden="1" x14ac:dyDescent="0.25">
      <c r="A159" s="84">
        <f>Итоговая!A160</f>
        <v>114</v>
      </c>
      <c r="B159" s="212">
        <f>COUNTIFS($C$8:C159,"*ПС*",$L$8:L159,"*закрыт*")</f>
        <v>14</v>
      </c>
      <c r="C159" s="84" t="str">
        <f>Итоговая!C160</f>
        <v xml:space="preserve">ПС 35/10 кВ Вега </v>
      </c>
      <c r="D159" s="230">
        <f>Итоговая!D160</f>
        <v>2.5</v>
      </c>
      <c r="E159" s="229" t="str">
        <f>Итоговая!E160</f>
        <v>+</v>
      </c>
      <c r="F159" s="229">
        <f>Итоговая!F160</f>
        <v>2.5</v>
      </c>
      <c r="G159" s="229">
        <f>Итоговая!G160</f>
        <v>0</v>
      </c>
      <c r="H159" s="229">
        <f>Итоговая!H160</f>
        <v>0</v>
      </c>
      <c r="I159" s="23">
        <f>Итоговая!Q160</f>
        <v>1.2649999999999999</v>
      </c>
      <c r="J159" s="23">
        <f>Итоговая!R160</f>
        <v>1.2649999999999999</v>
      </c>
      <c r="K159" s="757" t="str">
        <f>Итоговая!S160</f>
        <v>открыт</v>
      </c>
      <c r="L159" s="259" t="str">
        <f>Итоговая!T160</f>
        <v>открыт</v>
      </c>
      <c r="M159" s="757">
        <f>Итоговая!U160</f>
        <v>51.80952380952381</v>
      </c>
      <c r="N159" s="902"/>
      <c r="O159" s="902"/>
      <c r="P159" s="902"/>
    </row>
    <row r="160" spans="1:16" hidden="1" x14ac:dyDescent="0.25">
      <c r="A160" s="84">
        <f>Итоговая!A161</f>
        <v>115</v>
      </c>
      <c r="B160" s="212">
        <f>COUNTIFS($C$8:C160,"*ПС*",$L$8:L160,"*закрыт*")</f>
        <v>14</v>
      </c>
      <c r="C160" s="84" t="str">
        <f>Итоговая!C161</f>
        <v xml:space="preserve"> ПС 35/10 кВ Волга </v>
      </c>
      <c r="D160" s="230">
        <f>Итоговая!D161</f>
        <v>6.3</v>
      </c>
      <c r="E160" s="229" t="str">
        <f>Итоговая!E161</f>
        <v>+</v>
      </c>
      <c r="F160" s="229">
        <f>Итоговая!F161</f>
        <v>6.3</v>
      </c>
      <c r="G160" s="229">
        <f>Итоговая!G161</f>
        <v>0</v>
      </c>
      <c r="H160" s="229">
        <f>Итоговая!H161</f>
        <v>0</v>
      </c>
      <c r="I160" s="23">
        <f>Итоговая!Q161</f>
        <v>2.1150000000000002</v>
      </c>
      <c r="J160" s="23">
        <f>Итоговая!R161</f>
        <v>2.1150000000000002</v>
      </c>
      <c r="K160" s="757" t="str">
        <f>Итоговая!S161</f>
        <v>открыт</v>
      </c>
      <c r="L160" s="259" t="str">
        <f>Итоговая!T161</f>
        <v>открыт</v>
      </c>
      <c r="M160" s="757">
        <f>Итоговая!U161</f>
        <v>68.027210884353735</v>
      </c>
      <c r="N160" s="902"/>
      <c r="O160" s="902"/>
      <c r="P160" s="902"/>
    </row>
    <row r="161" spans="1:16" s="232" customFormat="1" hidden="1" x14ac:dyDescent="0.25">
      <c r="A161" s="84">
        <f>Итоговая!A162</f>
        <v>116</v>
      </c>
      <c r="B161" s="212">
        <f>COUNTIFS($C$8:C161,"*ПС*",$L$8:L161,"*закрыт*")</f>
        <v>14</v>
      </c>
      <c r="C161" s="84" t="str">
        <f>Итоговая!C162</f>
        <v xml:space="preserve">ПС 35/10 кВ Ильинское </v>
      </c>
      <c r="D161" s="230">
        <f>Итоговая!D162</f>
        <v>4</v>
      </c>
      <c r="E161" s="229" t="str">
        <f>Итоговая!E162</f>
        <v>+</v>
      </c>
      <c r="F161" s="229">
        <f>Итоговая!F162</f>
        <v>2.5</v>
      </c>
      <c r="G161" s="229">
        <f>Итоговая!G162</f>
        <v>0</v>
      </c>
      <c r="H161" s="229">
        <f>Итоговая!H162</f>
        <v>0</v>
      </c>
      <c r="I161" s="23">
        <f>Итоговая!Q162</f>
        <v>1.415</v>
      </c>
      <c r="J161" s="23">
        <f>Итоговая!R162</f>
        <v>1.415</v>
      </c>
      <c r="K161" s="757" t="str">
        <f>Итоговая!S162</f>
        <v>открыт</v>
      </c>
      <c r="L161" s="259" t="str">
        <f>Итоговая!T162</f>
        <v>открыт</v>
      </c>
      <c r="M161" s="757">
        <f>Итоговая!U162</f>
        <v>46.095238095238095</v>
      </c>
      <c r="N161" s="902"/>
      <c r="O161" s="902"/>
      <c r="P161" s="902"/>
    </row>
    <row r="162" spans="1:16" hidden="1" x14ac:dyDescent="0.25">
      <c r="A162" s="84">
        <f>Итоговая!A163</f>
        <v>117</v>
      </c>
      <c r="B162" s="212">
        <f>COUNTIFS($C$8:C162,"*ПС*",$L$8:L162,"*закрыт*")</f>
        <v>14</v>
      </c>
      <c r="C162" s="84" t="str">
        <f>Итоговая!C163</f>
        <v xml:space="preserve">ПС  35/10 кВ Калязин </v>
      </c>
      <c r="D162" s="230">
        <f>Итоговая!D163</f>
        <v>6.3</v>
      </c>
      <c r="E162" s="229" t="str">
        <f>Итоговая!E163</f>
        <v>+</v>
      </c>
      <c r="F162" s="229">
        <f>Итоговая!F163</f>
        <v>6.3</v>
      </c>
      <c r="G162" s="229">
        <f>Итоговая!G163</f>
        <v>0</v>
      </c>
      <c r="H162" s="229">
        <f>Итоговая!H163</f>
        <v>0</v>
      </c>
      <c r="I162" s="23">
        <f>Итоговая!Q163</f>
        <v>1.9750000000000005</v>
      </c>
      <c r="J162" s="23">
        <f>Итоговая!R163</f>
        <v>1.9750000000000005</v>
      </c>
      <c r="K162" s="757" t="str">
        <f>Итоговая!S163</f>
        <v>открыт</v>
      </c>
      <c r="L162" s="259" t="str">
        <f>Итоговая!T163</f>
        <v>открыт</v>
      </c>
      <c r="M162" s="757">
        <f>Итоговая!U163</f>
        <v>70.143613000755849</v>
      </c>
      <c r="N162" s="902"/>
      <c r="O162" s="902"/>
      <c r="P162" s="902"/>
    </row>
    <row r="163" spans="1:16" s="232" customFormat="1" hidden="1" x14ac:dyDescent="0.25">
      <c r="A163" s="84">
        <f>Итоговая!A164</f>
        <v>118</v>
      </c>
      <c r="B163" s="212">
        <f>COUNTIFS($C$8:C163,"*ПС*",$L$8:L163,"*закрыт*")</f>
        <v>14</v>
      </c>
      <c r="C163" s="84" t="str">
        <f>Итоговая!C164</f>
        <v xml:space="preserve">ПС 35/10 кВ Кимры </v>
      </c>
      <c r="D163" s="230">
        <f>Итоговая!D164</f>
        <v>16</v>
      </c>
      <c r="E163" s="229" t="str">
        <f>Итоговая!E164</f>
        <v>+</v>
      </c>
      <c r="F163" s="229">
        <f>Итоговая!F164</f>
        <v>16</v>
      </c>
      <c r="G163" s="229">
        <f>Итоговая!G164</f>
        <v>0</v>
      </c>
      <c r="H163" s="229">
        <f>Итоговая!H164</f>
        <v>0</v>
      </c>
      <c r="I163" s="23">
        <f>Итоговая!Q164</f>
        <v>9.59</v>
      </c>
      <c r="J163" s="23">
        <f>Итоговая!R164</f>
        <v>9.59</v>
      </c>
      <c r="K163" s="757" t="str">
        <f>Итоговая!S164</f>
        <v>открыт</v>
      </c>
      <c r="L163" s="259" t="str">
        <f>Итоговая!T164</f>
        <v>открыт</v>
      </c>
      <c r="M163" s="757">
        <f>Итоговая!U164</f>
        <v>42.916666666666664</v>
      </c>
      <c r="N163" s="902"/>
      <c r="O163" s="902"/>
      <c r="P163" s="902"/>
    </row>
    <row r="164" spans="1:16" s="232" customFormat="1" ht="30" hidden="1" x14ac:dyDescent="0.25">
      <c r="A164" s="84">
        <f>Итоговая!A165</f>
        <v>119</v>
      </c>
      <c r="B164" s="212">
        <f>COUNTIFS($C$8:C164,"*ПС*",$L$8:L164,"*закрыт*")</f>
        <v>14</v>
      </c>
      <c r="C164" s="84" t="str">
        <f>Итоговая!C165</f>
        <v xml:space="preserve"> ПС 35/10 кВ Козьмодемьяновская </v>
      </c>
      <c r="D164" s="230">
        <f>Итоговая!D165</f>
        <v>2.5</v>
      </c>
      <c r="E164" s="229" t="str">
        <f>Итоговая!E165</f>
        <v>+</v>
      </c>
      <c r="F164" s="229">
        <f>Итоговая!F165</f>
        <v>2.5</v>
      </c>
      <c r="G164" s="229">
        <f>Итоговая!G165</f>
        <v>0</v>
      </c>
      <c r="H164" s="229">
        <f>Итоговая!H165</f>
        <v>0</v>
      </c>
      <c r="I164" s="23">
        <f>Итоговая!Q165</f>
        <v>2.0649999999999999</v>
      </c>
      <c r="J164" s="23">
        <f>Итоговая!R165</f>
        <v>2.0649999999999999</v>
      </c>
      <c r="K164" s="757" t="str">
        <f>Итоговая!S165</f>
        <v>открыт</v>
      </c>
      <c r="L164" s="259" t="str">
        <f>Итоговая!T165</f>
        <v>открыт</v>
      </c>
      <c r="M164" s="757">
        <f>Итоговая!U165</f>
        <v>21.333333333333336</v>
      </c>
      <c r="N164" s="902"/>
      <c r="O164" s="902"/>
      <c r="P164" s="902"/>
    </row>
    <row r="165" spans="1:16" s="232" customFormat="1" hidden="1" x14ac:dyDescent="0.25">
      <c r="A165" s="84">
        <f>Итоговая!A166</f>
        <v>120</v>
      </c>
      <c r="B165" s="212">
        <f>COUNTIFS($C$8:C165,"*ПС*",$L$8:L165,"*закрыт*")</f>
        <v>14</v>
      </c>
      <c r="C165" s="84" t="str">
        <f>Итоговая!C166</f>
        <v xml:space="preserve">ПС  35/10 кВ Курортная </v>
      </c>
      <c r="D165" s="230">
        <f>Итоговая!D166</f>
        <v>4</v>
      </c>
      <c r="E165" s="229" t="str">
        <f>Итоговая!E166</f>
        <v>+</v>
      </c>
      <c r="F165" s="229">
        <f>Итоговая!F166</f>
        <v>4</v>
      </c>
      <c r="G165" s="229">
        <f>Итоговая!G166</f>
        <v>0</v>
      </c>
      <c r="H165" s="229">
        <f>Итоговая!H166</f>
        <v>0</v>
      </c>
      <c r="I165" s="23">
        <f>Итоговая!Q166</f>
        <v>1.7200000000000002</v>
      </c>
      <c r="J165" s="23">
        <f>Итоговая!R166</f>
        <v>1.7200000000000002</v>
      </c>
      <c r="K165" s="757" t="str">
        <f>Итоговая!S166</f>
        <v>открыт</v>
      </c>
      <c r="L165" s="259" t="str">
        <f>Итоговая!T166</f>
        <v>открыт</v>
      </c>
      <c r="M165" s="757">
        <f>Итоговая!U166</f>
        <v>59.047619047619044</v>
      </c>
      <c r="N165" s="902"/>
      <c r="O165" s="902"/>
      <c r="P165" s="902"/>
    </row>
    <row r="166" spans="1:16" s="232" customFormat="1" hidden="1" x14ac:dyDescent="0.25">
      <c r="A166" s="84">
        <f>Итоговая!A167</f>
        <v>121</v>
      </c>
      <c r="B166" s="212">
        <f>COUNTIFS($C$8:C166,"*ПС*",$L$8:L166,"*закрыт*")</f>
        <v>14</v>
      </c>
      <c r="C166" s="84" t="str">
        <f>Итоговая!C167</f>
        <v xml:space="preserve"> ПС 35/10 кВ Маяк </v>
      </c>
      <c r="D166" s="230">
        <f>Итоговая!D167</f>
        <v>6.3</v>
      </c>
      <c r="E166" s="229" t="str">
        <f>Итоговая!E167</f>
        <v>+</v>
      </c>
      <c r="F166" s="229">
        <f>Итоговая!F167</f>
        <v>6.3</v>
      </c>
      <c r="G166" s="229">
        <f>Итоговая!G167</f>
        <v>0</v>
      </c>
      <c r="H166" s="229">
        <f>Итоговая!H167</f>
        <v>0</v>
      </c>
      <c r="I166" s="23">
        <f>Итоговая!Q167</f>
        <v>1.3550000000000004</v>
      </c>
      <c r="J166" s="23">
        <f>Итоговая!R167</f>
        <v>1.3550000000000004</v>
      </c>
      <c r="K166" s="757" t="str">
        <f>Итоговая!S167</f>
        <v>открыт</v>
      </c>
      <c r="L166" s="259" t="str">
        <f>Итоговая!T167</f>
        <v>открыт</v>
      </c>
      <c r="M166" s="757">
        <f>Итоговая!U167</f>
        <v>79.516250944822374</v>
      </c>
      <c r="N166" s="902"/>
      <c r="O166" s="902"/>
      <c r="P166" s="902"/>
    </row>
    <row r="167" spans="1:16" s="232" customFormat="1" hidden="1" x14ac:dyDescent="0.25">
      <c r="A167" s="84">
        <f>Итоговая!A168</f>
        <v>122</v>
      </c>
      <c r="B167" s="212">
        <f>COUNTIFS($C$8:C167,"*ПС*",$L$8:L167,"*закрыт*")</f>
        <v>14</v>
      </c>
      <c r="C167" s="84" t="str">
        <f>Итоговая!C168</f>
        <v xml:space="preserve"> ПС 35/10 кВ Микрорайонная </v>
      </c>
      <c r="D167" s="230">
        <f>Итоговая!D168</f>
        <v>4</v>
      </c>
      <c r="E167" s="229" t="str">
        <f>Итоговая!E168</f>
        <v>+</v>
      </c>
      <c r="F167" s="229">
        <f>Итоговая!F168</f>
        <v>4</v>
      </c>
      <c r="G167" s="229">
        <f>Итоговая!G168</f>
        <v>0</v>
      </c>
      <c r="H167" s="229">
        <f>Итоговая!H168</f>
        <v>0</v>
      </c>
      <c r="I167" s="23">
        <f>Итоговая!Q168</f>
        <v>1.35</v>
      </c>
      <c r="J167" s="23">
        <f>Итоговая!R168</f>
        <v>1.35</v>
      </c>
      <c r="K167" s="757" t="str">
        <f>Итоговая!S168</f>
        <v>открыт</v>
      </c>
      <c r="L167" s="259" t="str">
        <f>Итоговая!T168</f>
        <v>открыт</v>
      </c>
      <c r="M167" s="757">
        <f>Итоговая!U168</f>
        <v>67.857142857142861</v>
      </c>
      <c r="N167" s="902"/>
      <c r="O167" s="902"/>
      <c r="P167" s="902"/>
    </row>
    <row r="168" spans="1:16" s="232" customFormat="1" hidden="1" x14ac:dyDescent="0.25">
      <c r="A168" s="84">
        <f>Итоговая!A169</f>
        <v>123</v>
      </c>
      <c r="B168" s="212">
        <f>COUNTIFS($C$8:C168,"*ПС*",$L$8:L168,"*закрыт*")</f>
        <v>14</v>
      </c>
      <c r="C168" s="84" t="str">
        <f>Итоговая!C169</f>
        <v>ПС 35/10 кВ Нагорское</v>
      </c>
      <c r="D168" s="230">
        <f>Итоговая!D169</f>
        <v>2.5</v>
      </c>
      <c r="E168" s="229" t="str">
        <f>Итоговая!E169</f>
        <v>+</v>
      </c>
      <c r="F168" s="229">
        <f>Итоговая!F169</f>
        <v>1.8</v>
      </c>
      <c r="G168" s="229">
        <f>Итоговая!G169</f>
        <v>0</v>
      </c>
      <c r="H168" s="229">
        <f>Итоговая!H169</f>
        <v>0</v>
      </c>
      <c r="I168" s="23">
        <f>Итоговая!Q169</f>
        <v>1.3200000000000003</v>
      </c>
      <c r="J168" s="23">
        <f>Итоговая!R169</f>
        <v>1.3200000000000003</v>
      </c>
      <c r="K168" s="757" t="str">
        <f>Итоговая!S169</f>
        <v>открыт</v>
      </c>
      <c r="L168" s="259" t="str">
        <f>Итоговая!T169</f>
        <v>открыт</v>
      </c>
      <c r="M168" s="757">
        <f>Итоговая!U169</f>
        <v>30.158730158730155</v>
      </c>
      <c r="N168" s="902"/>
      <c r="O168" s="902"/>
      <c r="P168" s="902"/>
    </row>
    <row r="169" spans="1:16" hidden="1" x14ac:dyDescent="0.25">
      <c r="A169" s="84">
        <f>Итоговая!A170</f>
        <v>124</v>
      </c>
      <c r="B169" s="212">
        <f>COUNTIFS($C$8:C169,"*ПС*",$L$8:L169,"*закрыт*")</f>
        <v>14</v>
      </c>
      <c r="C169" s="84" t="str">
        <f>Итоговая!C170</f>
        <v>ПС 35/10 кВ Неклюдово</v>
      </c>
      <c r="D169" s="230">
        <f>Итоговая!D170</f>
        <v>1.6</v>
      </c>
      <c r="E169" s="229" t="str">
        <f>Итоговая!E170</f>
        <v>+</v>
      </c>
      <c r="F169" s="229">
        <f>Итоговая!F170</f>
        <v>1.6</v>
      </c>
      <c r="G169" s="229">
        <f>Итоговая!G170</f>
        <v>0</v>
      </c>
      <c r="H169" s="229">
        <f>Итоговая!H170</f>
        <v>0</v>
      </c>
      <c r="I169" s="23">
        <f>Итоговая!Q170</f>
        <v>0.50000000000000022</v>
      </c>
      <c r="J169" s="23">
        <f>Итоговая!R170</f>
        <v>0.50000000000000022</v>
      </c>
      <c r="K169" s="757" t="str">
        <f>Итоговая!S170</f>
        <v>открыт</v>
      </c>
      <c r="L169" s="259" t="str">
        <f>Итоговая!T170</f>
        <v>открыт</v>
      </c>
      <c r="M169" s="757">
        <f>Итоговая!U170</f>
        <v>70.238095238095227</v>
      </c>
      <c r="N169" s="902"/>
      <c r="O169" s="902"/>
      <c r="P169" s="902"/>
    </row>
    <row r="170" spans="1:16" s="232" customFormat="1" hidden="1" x14ac:dyDescent="0.25">
      <c r="A170" s="84">
        <f>Итоговая!A171</f>
        <v>125</v>
      </c>
      <c r="B170" s="212">
        <f>COUNTIFS($C$8:C170,"*ПС*",$L$8:L170,"*закрыт*")</f>
        <v>14</v>
      </c>
      <c r="C170" s="84" t="str">
        <f>Итоговая!C171</f>
        <v>ПС 35/10 кВ Нерль</v>
      </c>
      <c r="D170" s="230">
        <f>Итоговая!D171</f>
        <v>4</v>
      </c>
      <c r="E170" s="229" t="str">
        <f>Итоговая!E171</f>
        <v>+</v>
      </c>
      <c r="F170" s="229">
        <f>Итоговая!F171</f>
        <v>2.5</v>
      </c>
      <c r="G170" s="229">
        <f>Итоговая!G171</f>
        <v>0</v>
      </c>
      <c r="H170" s="229">
        <f>Итоговая!H171</f>
        <v>0</v>
      </c>
      <c r="I170" s="23">
        <f>Итоговая!Q171</f>
        <v>1.095</v>
      </c>
      <c r="J170" s="23">
        <f>Итоговая!R171</f>
        <v>1.095</v>
      </c>
      <c r="K170" s="757" t="str">
        <f>Итоговая!S171</f>
        <v>открыт</v>
      </c>
      <c r="L170" s="259" t="str">
        <f>Итоговая!T171</f>
        <v>открыт</v>
      </c>
      <c r="M170" s="757">
        <f>Итоговая!U171</f>
        <v>58.285714285714285</v>
      </c>
      <c r="N170" s="902"/>
      <c r="O170" s="902"/>
      <c r="P170" s="902"/>
    </row>
    <row r="171" spans="1:16" s="232" customFormat="1" hidden="1" x14ac:dyDescent="0.25">
      <c r="A171" s="84">
        <f>Итоговая!A172</f>
        <v>126</v>
      </c>
      <c r="B171" s="212">
        <f>COUNTIFS($C$8:C171,"*ПС*",$L$8:L171,"*закрыт*")</f>
        <v>14</v>
      </c>
      <c r="C171" s="84" t="str">
        <f>Итоговая!C172</f>
        <v xml:space="preserve">ПС 35/10 кВ Плутково  </v>
      </c>
      <c r="D171" s="230">
        <f>Итоговая!D172</f>
        <v>2.5</v>
      </c>
      <c r="E171" s="229" t="str">
        <f>Итоговая!E172</f>
        <v>+</v>
      </c>
      <c r="F171" s="229">
        <f>Итоговая!F172</f>
        <v>2.5</v>
      </c>
      <c r="G171" s="229">
        <f>Итоговая!G172</f>
        <v>0</v>
      </c>
      <c r="H171" s="229">
        <f>Итоговая!H172</f>
        <v>0</v>
      </c>
      <c r="I171" s="23">
        <f>Итоговая!Q172</f>
        <v>0.92500000000000004</v>
      </c>
      <c r="J171" s="23">
        <f>Итоговая!R172</f>
        <v>0.92500000000000004</v>
      </c>
      <c r="K171" s="757" t="str">
        <f>Итоговая!S172</f>
        <v>открыт</v>
      </c>
      <c r="L171" s="259" t="str">
        <f>Итоговая!T172</f>
        <v>открыт</v>
      </c>
      <c r="M171" s="757">
        <f>Итоговая!U172</f>
        <v>64.761904761904759</v>
      </c>
      <c r="N171" s="902"/>
      <c r="O171" s="902"/>
      <c r="P171" s="902"/>
    </row>
    <row r="172" spans="1:16" s="232" customFormat="1" hidden="1" x14ac:dyDescent="0.25">
      <c r="A172" s="84">
        <f>Итоговая!A173</f>
        <v>127</v>
      </c>
      <c r="B172" s="212">
        <f>COUNTIFS($C$8:C172,"*ПС*",$L$8:L172,"*закрыт*")</f>
        <v>14</v>
      </c>
      <c r="C172" s="84" t="str">
        <f>Итоговая!C173</f>
        <v xml:space="preserve">ПС 35/10 кВ Савцино </v>
      </c>
      <c r="D172" s="230">
        <f>Итоговая!D173</f>
        <v>2.5</v>
      </c>
      <c r="E172" s="229" t="str">
        <f>Итоговая!E173</f>
        <v>+</v>
      </c>
      <c r="F172" s="229">
        <f>Итоговая!F173</f>
        <v>2.5</v>
      </c>
      <c r="G172" s="229">
        <f>Итоговая!G173</f>
        <v>0</v>
      </c>
      <c r="H172" s="229">
        <f>Итоговая!H173</f>
        <v>0</v>
      </c>
      <c r="I172" s="23">
        <f>Итоговая!Q173</f>
        <v>2.4649999999999999</v>
      </c>
      <c r="J172" s="23">
        <f>Итоговая!R173</f>
        <v>2.4649999999999999</v>
      </c>
      <c r="K172" s="757" t="str">
        <f>Итоговая!S173</f>
        <v>открыт</v>
      </c>
      <c r="L172" s="259" t="str">
        <f>Итоговая!T173</f>
        <v>открыт</v>
      </c>
      <c r="M172" s="757">
        <f>Итоговая!U173</f>
        <v>6.0952380952380949</v>
      </c>
      <c r="N172" s="902"/>
      <c r="O172" s="902"/>
      <c r="P172" s="902"/>
    </row>
    <row r="173" spans="1:16" s="232" customFormat="1" hidden="1" x14ac:dyDescent="0.25">
      <c r="A173" s="84">
        <f>Итоговая!A174</f>
        <v>128</v>
      </c>
      <c r="B173" s="212">
        <f>COUNTIFS($C$8:C173,"*ПС*",$L$8:L173,"*закрыт*")</f>
        <v>14</v>
      </c>
      <c r="C173" s="84" t="str">
        <f>Итоговая!C174</f>
        <v xml:space="preserve">ПС 35/10 кВ Сотское </v>
      </c>
      <c r="D173" s="230">
        <f>Итоговая!D174</f>
        <v>1.6</v>
      </c>
      <c r="E173" s="229" t="str">
        <f>Итоговая!E174</f>
        <v>+</v>
      </c>
      <c r="F173" s="229">
        <f>Итоговая!F174</f>
        <v>2.5</v>
      </c>
      <c r="G173" s="229">
        <f>Итоговая!G174</f>
        <v>0</v>
      </c>
      <c r="H173" s="229">
        <f>Итоговая!H174</f>
        <v>0</v>
      </c>
      <c r="I173" s="23">
        <f>Итоговая!Q174</f>
        <v>1.2300000000000002</v>
      </c>
      <c r="J173" s="23">
        <f>Итоговая!R174</f>
        <v>1.2300000000000002</v>
      </c>
      <c r="K173" s="757" t="str">
        <f>Итоговая!S174</f>
        <v>открыт</v>
      </c>
      <c r="L173" s="259" t="str">
        <f>Итоговая!T174</f>
        <v>открыт</v>
      </c>
      <c r="M173" s="757">
        <f>Итоговая!U174</f>
        <v>26.785714285714285</v>
      </c>
      <c r="N173" s="902"/>
      <c r="O173" s="902"/>
      <c r="P173" s="902"/>
    </row>
    <row r="174" spans="1:16" s="232" customFormat="1" hidden="1" x14ac:dyDescent="0.25">
      <c r="A174" s="84">
        <f>Итоговая!A175</f>
        <v>129</v>
      </c>
      <c r="B174" s="212">
        <f>COUNTIFS($C$8:C174,"*ПС*",$L$8:L174,"*закрыт*")</f>
        <v>14</v>
      </c>
      <c r="C174" s="84" t="str">
        <f>Итоговая!C175</f>
        <v xml:space="preserve">ПС 35/10 кВ Стоянцы </v>
      </c>
      <c r="D174" s="230">
        <f>Итоговая!D175</f>
        <v>2.5</v>
      </c>
      <c r="E174" s="229" t="str">
        <f>Итоговая!E175</f>
        <v>+</v>
      </c>
      <c r="F174" s="229">
        <f>Итоговая!F175</f>
        <v>2.5</v>
      </c>
      <c r="G174" s="229">
        <f>Итоговая!G175</f>
        <v>0</v>
      </c>
      <c r="H174" s="229">
        <f>Итоговая!H175</f>
        <v>0</v>
      </c>
      <c r="I174" s="23">
        <f>Итоговая!Q175</f>
        <v>2.3050000000000002</v>
      </c>
      <c r="J174" s="23">
        <f>Итоговая!R175</f>
        <v>2.3050000000000002</v>
      </c>
      <c r="K174" s="757" t="str">
        <f>Итоговая!S175</f>
        <v>открыт</v>
      </c>
      <c r="L174" s="259" t="str">
        <f>Итоговая!T175</f>
        <v>открыт</v>
      </c>
      <c r="M174" s="757">
        <f>Итоговая!U175</f>
        <v>12.19047619047619</v>
      </c>
      <c r="N174" s="902"/>
      <c r="O174" s="902"/>
      <c r="P174" s="902"/>
    </row>
    <row r="175" spans="1:16" hidden="1" x14ac:dyDescent="0.25">
      <c r="A175" s="84">
        <f>Итоговая!A176</f>
        <v>130</v>
      </c>
      <c r="B175" s="212">
        <f>COUNTIFS($C$8:C175,"*ПС*",$L$8:L175,"*закрыт*")</f>
        <v>14</v>
      </c>
      <c r="C175" s="84" t="str">
        <f>Итоговая!C176</f>
        <v xml:space="preserve">ПС 35/10 кВ Уланово </v>
      </c>
      <c r="D175" s="230">
        <f>Итоговая!D176</f>
        <v>1.6</v>
      </c>
      <c r="E175" s="229" t="str">
        <f>Итоговая!E176</f>
        <v>+</v>
      </c>
      <c r="F175" s="229">
        <f>Итоговая!F176</f>
        <v>1.6</v>
      </c>
      <c r="G175" s="229">
        <f>Итоговая!G176</f>
        <v>0</v>
      </c>
      <c r="H175" s="229">
        <f>Итоговая!H176</f>
        <v>0</v>
      </c>
      <c r="I175" s="23">
        <f>Итоговая!Q176</f>
        <v>0.33000000000000007</v>
      </c>
      <c r="J175" s="23">
        <f>Итоговая!R176</f>
        <v>0.33000000000000007</v>
      </c>
      <c r="K175" s="757" t="str">
        <f>Итоговая!S176</f>
        <v>открыт</v>
      </c>
      <c r="L175" s="259" t="str">
        <f>Итоговая!T176</f>
        <v>открыт</v>
      </c>
      <c r="M175" s="757">
        <f>Итоговая!U176</f>
        <v>80.357142857142847</v>
      </c>
      <c r="N175" s="902"/>
      <c r="O175" s="902"/>
      <c r="P175" s="902"/>
    </row>
    <row r="176" spans="1:16" s="232" customFormat="1" hidden="1" x14ac:dyDescent="0.25">
      <c r="A176" s="84">
        <f>Итоговая!A177</f>
        <v>131</v>
      </c>
      <c r="B176" s="212">
        <f>COUNTIFS($C$8:C176,"*ПС*",$L$8:L176,"*закрыт*")</f>
        <v>14</v>
      </c>
      <c r="C176" s="84" t="str">
        <f>Итоговая!C177</f>
        <v xml:space="preserve">ПС 35/10 кВ Уницы </v>
      </c>
      <c r="D176" s="230">
        <f>Итоговая!D177</f>
        <v>4</v>
      </c>
      <c r="E176" s="229" t="str">
        <f>Итоговая!E177</f>
        <v>+</v>
      </c>
      <c r="F176" s="229">
        <f>Итоговая!F177</f>
        <v>4</v>
      </c>
      <c r="G176" s="229">
        <f>Итоговая!G177</f>
        <v>0</v>
      </c>
      <c r="H176" s="229">
        <f>Итоговая!H177</f>
        <v>0</v>
      </c>
      <c r="I176" s="23">
        <f>Итоговая!Q177</f>
        <v>3.98</v>
      </c>
      <c r="J176" s="23">
        <f>Итоговая!R177</f>
        <v>3.98</v>
      </c>
      <c r="K176" s="757" t="str">
        <f>Итоговая!S177</f>
        <v>открыт</v>
      </c>
      <c r="L176" s="259" t="str">
        <f>Итоговая!T177</f>
        <v>открыт</v>
      </c>
      <c r="M176" s="757">
        <f>Итоговая!U177</f>
        <v>5.2380952380952381</v>
      </c>
      <c r="N176" s="902"/>
      <c r="O176" s="902"/>
      <c r="P176" s="902"/>
    </row>
    <row r="177" spans="1:16" hidden="1" x14ac:dyDescent="0.25">
      <c r="A177" s="84">
        <f>Итоговая!A178</f>
        <v>132</v>
      </c>
      <c r="B177" s="212">
        <f>COUNTIFS($C$8:C177,"*ПС*",$L$8:L177,"*закрыт*")</f>
        <v>14</v>
      </c>
      <c r="C177" s="84" t="str">
        <f>Итоговая!C178</f>
        <v xml:space="preserve">ПС 35/10 кВ Фенево </v>
      </c>
      <c r="D177" s="230">
        <f>Итоговая!D178</f>
        <v>2.5</v>
      </c>
      <c r="E177" s="229" t="str">
        <f>Итоговая!E178</f>
        <v>+</v>
      </c>
      <c r="F177" s="229">
        <f>Итоговая!F178</f>
        <v>2.5</v>
      </c>
      <c r="G177" s="229">
        <f>Итоговая!G178</f>
        <v>0</v>
      </c>
      <c r="H177" s="229">
        <f>Итоговая!H178</f>
        <v>0</v>
      </c>
      <c r="I177" s="23">
        <f>Итоговая!Q178</f>
        <v>2.0649999999999999</v>
      </c>
      <c r="J177" s="23">
        <f>Итоговая!R178</f>
        <v>2.0649999999999999</v>
      </c>
      <c r="K177" s="757" t="str">
        <f>Итоговая!S178</f>
        <v>открыт</v>
      </c>
      <c r="L177" s="259" t="str">
        <f>Итоговая!T178</f>
        <v>открыт</v>
      </c>
      <c r="M177" s="757">
        <f>Итоговая!U178</f>
        <v>21.333333333333336</v>
      </c>
      <c r="N177" s="902"/>
      <c r="O177" s="902"/>
      <c r="P177" s="902"/>
    </row>
    <row r="178" spans="1:16" hidden="1" x14ac:dyDescent="0.25">
      <c r="A178" s="84">
        <f>Итоговая!A179</f>
        <v>133</v>
      </c>
      <c r="B178" s="212">
        <f>COUNTIFS($C$8:C178,"*ПС*",$L$8:L178,"*закрыт*")</f>
        <v>14</v>
      </c>
      <c r="C178" s="84" t="str">
        <f>Итоговая!C179</f>
        <v xml:space="preserve">ПС 35/10 кВ Фролово </v>
      </c>
      <c r="D178" s="230">
        <f>Итоговая!D179</f>
        <v>2.5</v>
      </c>
      <c r="E178" s="229" t="str">
        <f>Итоговая!E179</f>
        <v>+</v>
      </c>
      <c r="F178" s="229">
        <f>Итоговая!F179</f>
        <v>2.5</v>
      </c>
      <c r="G178" s="229">
        <f>Итоговая!G179</f>
        <v>0</v>
      </c>
      <c r="H178" s="229">
        <f>Итоговая!H179</f>
        <v>0</v>
      </c>
      <c r="I178" s="23">
        <f>Итоговая!Q179</f>
        <v>1.915</v>
      </c>
      <c r="J178" s="23">
        <f>Итоговая!R179</f>
        <v>1.915</v>
      </c>
      <c r="K178" s="757" t="str">
        <f>Итоговая!S179</f>
        <v>открыт</v>
      </c>
      <c r="L178" s="259" t="str">
        <f>Итоговая!T179</f>
        <v>открыт</v>
      </c>
      <c r="M178" s="757">
        <f>Итоговая!U179</f>
        <v>27.047619047619047</v>
      </c>
      <c r="N178" s="902"/>
      <c r="O178" s="902"/>
      <c r="P178" s="902"/>
    </row>
    <row r="179" spans="1:16" hidden="1" x14ac:dyDescent="0.25">
      <c r="A179" s="84">
        <f>Итоговая!A180</f>
        <v>134</v>
      </c>
      <c r="B179" s="212">
        <f>COUNTIFS($C$8:C179,"*ПС*",$L$8:L179,"*закрыт*")</f>
        <v>14</v>
      </c>
      <c r="C179" s="84" t="str">
        <f>Итоговая!C180</f>
        <v xml:space="preserve"> ПС 110/10 кВ Зарница </v>
      </c>
      <c r="D179" s="230">
        <f>Итоговая!D180</f>
        <v>10</v>
      </c>
      <c r="E179" s="229" t="str">
        <f>Итоговая!E180</f>
        <v>+</v>
      </c>
      <c r="F179" s="229">
        <f>Итоговая!F180</f>
        <v>10</v>
      </c>
      <c r="G179" s="229">
        <f>Итоговая!G180</f>
        <v>0</v>
      </c>
      <c r="H179" s="229">
        <f>Итоговая!H180</f>
        <v>0</v>
      </c>
      <c r="I179" s="23">
        <f>Итоговая!Q180</f>
        <v>10.39</v>
      </c>
      <c r="J179" s="23">
        <f>Итоговая!R180</f>
        <v>10.39</v>
      </c>
      <c r="K179" s="757" t="str">
        <f>Итоговая!S180</f>
        <v>открыт</v>
      </c>
      <c r="L179" s="259" t="str">
        <f>Итоговая!T180</f>
        <v>открыт</v>
      </c>
      <c r="M179" s="757">
        <f>Итоговая!U180</f>
        <v>1.0476190476190477</v>
      </c>
      <c r="N179" s="902"/>
      <c r="O179" s="902"/>
      <c r="P179" s="902"/>
    </row>
    <row r="180" spans="1:16" hidden="1" x14ac:dyDescent="0.25">
      <c r="A180" s="84">
        <f>Итоговая!A181</f>
        <v>135</v>
      </c>
      <c r="B180" s="212">
        <f>COUNTIFS($C$8:C180,"*ПС*",$L$8:L180,"*закрыт*")</f>
        <v>14</v>
      </c>
      <c r="C180" s="84" t="str">
        <f>Итоговая!C181</f>
        <v xml:space="preserve">ПС 110/10 кВ Зобнино </v>
      </c>
      <c r="D180" s="230">
        <f>Итоговая!D181</f>
        <v>2.5</v>
      </c>
      <c r="E180" s="229" t="str">
        <f>Итоговая!E181</f>
        <v>+</v>
      </c>
      <c r="F180" s="229">
        <f>Итоговая!F181</f>
        <v>2.5</v>
      </c>
      <c r="G180" s="229">
        <f>Итоговая!G181</f>
        <v>0</v>
      </c>
      <c r="H180" s="229">
        <f>Итоговая!H181</f>
        <v>0</v>
      </c>
      <c r="I180" s="23">
        <f>Итоговая!Q181</f>
        <v>2.2050000000000001</v>
      </c>
      <c r="J180" s="23">
        <f>Итоговая!R181</f>
        <v>2.2050000000000001</v>
      </c>
      <c r="K180" s="757" t="str">
        <f>Итоговая!S181</f>
        <v>открыт</v>
      </c>
      <c r="L180" s="259" t="str">
        <f>Итоговая!T181</f>
        <v>открыт</v>
      </c>
      <c r="M180" s="757">
        <f>Итоговая!U181</f>
        <v>16</v>
      </c>
      <c r="N180" s="902"/>
      <c r="O180" s="902"/>
      <c r="P180" s="902"/>
    </row>
    <row r="181" spans="1:16" hidden="1" x14ac:dyDescent="0.25">
      <c r="A181" s="84">
        <f>Итоговая!A182</f>
        <v>136</v>
      </c>
      <c r="B181" s="212">
        <f>COUNTIFS($C$8:C181,"*ПС*",$L$8:L181,"*закрыт*")</f>
        <v>14</v>
      </c>
      <c r="C181" s="84" t="str">
        <f>Итоговая!C182</f>
        <v xml:space="preserve">ПС 110/10 кВ Инякино </v>
      </c>
      <c r="D181" s="230">
        <f>Итоговая!D182</f>
        <v>25</v>
      </c>
      <c r="E181" s="229" t="str">
        <f>Итоговая!E182</f>
        <v>+</v>
      </c>
      <c r="F181" s="229">
        <f>Итоговая!F182</f>
        <v>25</v>
      </c>
      <c r="G181" s="229">
        <f>Итоговая!G182</f>
        <v>0</v>
      </c>
      <c r="H181" s="229">
        <f>Итоговая!H182</f>
        <v>0</v>
      </c>
      <c r="I181" s="23">
        <f>Итоговая!Q182</f>
        <v>26.03</v>
      </c>
      <c r="J181" s="23">
        <f>Итоговая!R182</f>
        <v>26.03</v>
      </c>
      <c r="K181" s="757" t="str">
        <f>Итоговая!S182</f>
        <v>открыт</v>
      </c>
      <c r="L181" s="259" t="str">
        <f>Итоговая!T182</f>
        <v>открыт</v>
      </c>
      <c r="M181" s="757">
        <f>Итоговая!U182</f>
        <v>0.83809523809523812</v>
      </c>
      <c r="N181" s="902"/>
      <c r="O181" s="902"/>
      <c r="P181" s="902"/>
    </row>
    <row r="182" spans="1:16" hidden="1" x14ac:dyDescent="0.25">
      <c r="A182" s="2412">
        <f>Итоговая!A183</f>
        <v>137</v>
      </c>
      <c r="B182" s="2423">
        <f>COUNTIFS($C$8:C182,"*ПС*",$L$8:L182,"*закрыт*")</f>
        <v>14</v>
      </c>
      <c r="C182" s="84" t="str">
        <f>Итоговая!C183</f>
        <v xml:space="preserve"> ПС 110/35/10 кВ Василево </v>
      </c>
      <c r="D182" s="230">
        <f>Итоговая!D183</f>
        <v>6.3</v>
      </c>
      <c r="E182" s="229" t="str">
        <f>Итоговая!E183</f>
        <v>+</v>
      </c>
      <c r="F182" s="229">
        <f>Итоговая!F183</f>
        <v>6.3</v>
      </c>
      <c r="G182" s="229">
        <f>Итоговая!G183</f>
        <v>0</v>
      </c>
      <c r="H182" s="229">
        <f>Итоговая!H183</f>
        <v>0</v>
      </c>
      <c r="I182" s="23">
        <f>Итоговая!Q183</f>
        <v>6.4750000000000005</v>
      </c>
      <c r="J182" s="2414">
        <f>Итоговая!R183</f>
        <v>6.4750000000000005</v>
      </c>
      <c r="K182" s="2398" t="str">
        <f>Итоговая!S183</f>
        <v>открыт</v>
      </c>
      <c r="L182" s="259" t="str">
        <f>Итоговая!T183</f>
        <v>открыт</v>
      </c>
      <c r="M182" s="2398">
        <f>Итоговая!U183</f>
        <v>2.1164021164021167</v>
      </c>
      <c r="N182" s="902"/>
      <c r="O182" s="902"/>
      <c r="P182" s="902"/>
    </row>
    <row r="183" spans="1:16" hidden="1" x14ac:dyDescent="0.25">
      <c r="A183" s="2412">
        <f>Итоговая!A184</f>
        <v>0</v>
      </c>
      <c r="B183" s="2440"/>
      <c r="C183" s="84" t="str">
        <f>Итоговая!C184</f>
        <v xml:space="preserve">Ном. Мощность СН, МВА </v>
      </c>
      <c r="D183" s="230">
        <f>Итоговая!D184</f>
        <v>6.3</v>
      </c>
      <c r="E183" s="229" t="str">
        <f>Итоговая!E184</f>
        <v>+</v>
      </c>
      <c r="F183" s="229">
        <f>Итоговая!F184</f>
        <v>6.3</v>
      </c>
      <c r="G183" s="229">
        <f>Итоговая!G184</f>
        <v>0</v>
      </c>
      <c r="H183" s="229">
        <f>Итоговая!H184</f>
        <v>0</v>
      </c>
      <c r="I183" s="23">
        <f>Итоговая!Q184</f>
        <v>6.6150000000000002</v>
      </c>
      <c r="J183" s="2414">
        <f>Итоговая!R184</f>
        <v>0</v>
      </c>
      <c r="K183" s="2399">
        <f>Итоговая!S184</f>
        <v>0</v>
      </c>
      <c r="L183" s="259" t="str">
        <f>Итоговая!T184</f>
        <v>открыт</v>
      </c>
      <c r="M183" s="2399">
        <f>Итоговая!U184</f>
        <v>0</v>
      </c>
      <c r="N183" s="902"/>
      <c r="O183" s="902"/>
      <c r="P183" s="902"/>
    </row>
    <row r="184" spans="1:16" hidden="1" x14ac:dyDescent="0.25">
      <c r="A184" s="2412">
        <f>Итоговая!A185</f>
        <v>0</v>
      </c>
      <c r="B184" s="2441"/>
      <c r="C184" s="84" t="str">
        <f>Итоговая!C185</f>
        <v>Ном. мощность НН, МВА</v>
      </c>
      <c r="D184" s="230">
        <f>Итоговая!D185</f>
        <v>6.3</v>
      </c>
      <c r="E184" s="229" t="str">
        <f>Итоговая!E185</f>
        <v>+</v>
      </c>
      <c r="F184" s="229">
        <f>Итоговая!F185</f>
        <v>6.3</v>
      </c>
      <c r="G184" s="229">
        <f>Итоговая!G185</f>
        <v>0</v>
      </c>
      <c r="H184" s="229">
        <f>Итоговая!H185</f>
        <v>0</v>
      </c>
      <c r="I184" s="23">
        <f>Итоговая!Q185</f>
        <v>6.4750000000000005</v>
      </c>
      <c r="J184" s="2414">
        <f>Итоговая!R185</f>
        <v>0</v>
      </c>
      <c r="K184" s="2399">
        <f>Итоговая!S185</f>
        <v>0</v>
      </c>
      <c r="L184" s="259" t="str">
        <f>Итоговая!T185</f>
        <v>открыт</v>
      </c>
      <c r="M184" s="2399">
        <f>Итоговая!U185</f>
        <v>0</v>
      </c>
      <c r="N184" s="902"/>
      <c r="O184" s="902"/>
      <c r="P184" s="902"/>
    </row>
    <row r="185" spans="1:16" hidden="1" x14ac:dyDescent="0.25">
      <c r="A185" s="2412">
        <f>Итоговая!A186</f>
        <v>138</v>
      </c>
      <c r="B185" s="2423">
        <f>COUNTIFS($C$8:C185,"*ПС*",$L$8:L185,"*закрыт*")</f>
        <v>14</v>
      </c>
      <c r="C185" s="84" t="str">
        <f>Итоговая!C186</f>
        <v xml:space="preserve">ПС 110/35/10 кВ Борки  </v>
      </c>
      <c r="D185" s="230">
        <f>Итоговая!D186</f>
        <v>40</v>
      </c>
      <c r="E185" s="229" t="str">
        <f>Итоговая!E186</f>
        <v>+</v>
      </c>
      <c r="F185" s="229">
        <f>Итоговая!F186</f>
        <v>25</v>
      </c>
      <c r="G185" s="229">
        <f>Итоговая!G186</f>
        <v>0</v>
      </c>
      <c r="H185" s="229">
        <f>Итоговая!H186</f>
        <v>0</v>
      </c>
      <c r="I185" s="23">
        <f>Итоговая!Q186</f>
        <v>7.93</v>
      </c>
      <c r="J185" s="2414">
        <f>Итоговая!R186</f>
        <v>7.93</v>
      </c>
      <c r="K185" s="2398" t="str">
        <f>Итоговая!S186</f>
        <v>открыт</v>
      </c>
      <c r="L185" s="259" t="str">
        <f>Итоговая!T186</f>
        <v>открыт</v>
      </c>
      <c r="M185" s="2398">
        <f>Итоговая!U186</f>
        <v>69.790476190476184</v>
      </c>
      <c r="N185" s="902"/>
      <c r="O185" s="902"/>
      <c r="P185" s="902"/>
    </row>
    <row r="186" spans="1:16" hidden="1" x14ac:dyDescent="0.25">
      <c r="A186" s="2412">
        <f>Итоговая!A187</f>
        <v>0</v>
      </c>
      <c r="B186" s="2440"/>
      <c r="C186" s="84" t="str">
        <f>Итоговая!C187</f>
        <v xml:space="preserve">Ном. Мощность СН, МВА </v>
      </c>
      <c r="D186" s="230">
        <f>Итоговая!D187</f>
        <v>40</v>
      </c>
      <c r="E186" s="229" t="str">
        <f>Итоговая!E187</f>
        <v>+</v>
      </c>
      <c r="F186" s="229">
        <f>Итоговая!F187</f>
        <v>25</v>
      </c>
      <c r="G186" s="229">
        <f>Итоговая!G187</f>
        <v>0</v>
      </c>
      <c r="H186" s="229">
        <f>Итоговая!H187</f>
        <v>0</v>
      </c>
      <c r="I186" s="23">
        <f>Итоговая!Q187</f>
        <v>9.73</v>
      </c>
      <c r="J186" s="2414">
        <f>Итоговая!R187</f>
        <v>0</v>
      </c>
      <c r="K186" s="2399">
        <f>Итоговая!S187</f>
        <v>0</v>
      </c>
      <c r="L186" s="259" t="str">
        <f>Итоговая!T187</f>
        <v>открыт</v>
      </c>
      <c r="M186" s="2399">
        <f>Итоговая!U187</f>
        <v>0</v>
      </c>
      <c r="N186" s="902"/>
      <c r="O186" s="902"/>
      <c r="P186" s="902"/>
    </row>
    <row r="187" spans="1:16" hidden="1" x14ac:dyDescent="0.25">
      <c r="A187" s="2412">
        <f>Итоговая!A188</f>
        <v>0</v>
      </c>
      <c r="B187" s="2441"/>
      <c r="C187" s="84" t="str">
        <f>Итоговая!C188</f>
        <v>Ном. мощность НН, МВА</v>
      </c>
      <c r="D187" s="230">
        <f>Итоговая!D188</f>
        <v>40</v>
      </c>
      <c r="E187" s="229" t="str">
        <f>Итоговая!E188</f>
        <v>+</v>
      </c>
      <c r="F187" s="229">
        <f>Итоговая!F188</f>
        <v>25</v>
      </c>
      <c r="G187" s="229">
        <f>Итоговая!G188</f>
        <v>0</v>
      </c>
      <c r="H187" s="229">
        <f>Итоговая!H188</f>
        <v>0</v>
      </c>
      <c r="I187" s="23">
        <f>Итоговая!Q188</f>
        <v>24.45</v>
      </c>
      <c r="J187" s="2414">
        <f>Итоговая!R188</f>
        <v>0</v>
      </c>
      <c r="K187" s="2399">
        <f>Итоговая!S188</f>
        <v>0</v>
      </c>
      <c r="L187" s="259" t="str">
        <f>Итоговая!T188</f>
        <v>открыт</v>
      </c>
      <c r="M187" s="2399">
        <f>Итоговая!U188</f>
        <v>0</v>
      </c>
      <c r="N187" s="902"/>
      <c r="O187" s="902"/>
      <c r="P187" s="902"/>
    </row>
    <row r="188" spans="1:16" ht="30" hidden="1" x14ac:dyDescent="0.25">
      <c r="A188" s="2412">
        <f>Итоговая!A189</f>
        <v>139</v>
      </c>
      <c r="B188" s="2423">
        <f>COUNTIFS($C$8:C188,"*ПС*",$L$8:L188,"*закрыт*")</f>
        <v>14</v>
      </c>
      <c r="C188" s="84" t="str">
        <f>Итоговая!C189</f>
        <v xml:space="preserve">ПС 110/35/10 кВ  Верхняя Троица </v>
      </c>
      <c r="D188" s="230">
        <f>Итоговая!D189</f>
        <v>6.3</v>
      </c>
      <c r="E188" s="229" t="str">
        <f>Итоговая!E189</f>
        <v>+</v>
      </c>
      <c r="F188" s="229">
        <f>Итоговая!F189</f>
        <v>6.3</v>
      </c>
      <c r="G188" s="229">
        <f>Итоговая!G189</f>
        <v>0</v>
      </c>
      <c r="H188" s="229">
        <f>Итоговая!H189</f>
        <v>0</v>
      </c>
      <c r="I188" s="23">
        <f>Итоговая!Q189</f>
        <v>4.9150000000000009</v>
      </c>
      <c r="J188" s="2414">
        <f>Итоговая!R189</f>
        <v>4.9150000000000009</v>
      </c>
      <c r="K188" s="2398" t="str">
        <f>Итоговая!S189</f>
        <v>открыт</v>
      </c>
      <c r="L188" s="259" t="str">
        <f>Итоговая!T189</f>
        <v>открыт</v>
      </c>
      <c r="M188" s="2398">
        <f>Итоговая!U189</f>
        <v>53.061224489795919</v>
      </c>
      <c r="N188" s="902"/>
      <c r="O188" s="902"/>
      <c r="P188" s="902"/>
    </row>
    <row r="189" spans="1:16" hidden="1" x14ac:dyDescent="0.25">
      <c r="A189" s="2412">
        <f>Итоговая!A190</f>
        <v>0</v>
      </c>
      <c r="B189" s="2440"/>
      <c r="C189" s="84" t="str">
        <f>Итоговая!C190</f>
        <v xml:space="preserve">Ном. Мощность СН, МВА </v>
      </c>
      <c r="D189" s="230">
        <f>Итоговая!D190</f>
        <v>6.3</v>
      </c>
      <c r="E189" s="229" t="str">
        <f>Итоговая!E190</f>
        <v>+</v>
      </c>
      <c r="F189" s="229">
        <f>Итоговая!F190</f>
        <v>6.3</v>
      </c>
      <c r="G189" s="229">
        <f>Итоговая!G190</f>
        <v>0</v>
      </c>
      <c r="H189" s="229">
        <f>Итоговая!H190</f>
        <v>0</v>
      </c>
      <c r="I189" s="23">
        <f>Итоговая!Q190</f>
        <v>6.4950000000000001</v>
      </c>
      <c r="J189" s="2414">
        <f>Итоговая!R190</f>
        <v>0</v>
      </c>
      <c r="K189" s="2399">
        <f>Итоговая!S190</f>
        <v>0</v>
      </c>
      <c r="L189" s="259" t="str">
        <f>Итоговая!T190</f>
        <v>открыт</v>
      </c>
      <c r="M189" s="2399">
        <f>Итоговая!U190</f>
        <v>0</v>
      </c>
      <c r="N189" s="902"/>
      <c r="O189" s="902"/>
      <c r="P189" s="902"/>
    </row>
    <row r="190" spans="1:16" hidden="1" x14ac:dyDescent="0.25">
      <c r="A190" s="2412">
        <f>Итоговая!A191</f>
        <v>0</v>
      </c>
      <c r="B190" s="2441"/>
      <c r="C190" s="84" t="str">
        <f>Итоговая!C191</f>
        <v>Ном. мощность НН, МВА</v>
      </c>
      <c r="D190" s="230">
        <f>Итоговая!D191</f>
        <v>6.3</v>
      </c>
      <c r="E190" s="229" t="str">
        <f>Итоговая!E191</f>
        <v>+</v>
      </c>
      <c r="F190" s="229">
        <f>Итоговая!F191</f>
        <v>6.3</v>
      </c>
      <c r="G190" s="229">
        <f>Итоговая!G191</f>
        <v>0</v>
      </c>
      <c r="H190" s="229">
        <f>Итоговая!H191</f>
        <v>0</v>
      </c>
      <c r="I190" s="23">
        <f>Итоговая!Q191</f>
        <v>5.0350000000000001</v>
      </c>
      <c r="J190" s="2414">
        <f>Итоговая!R191</f>
        <v>0</v>
      </c>
      <c r="K190" s="2399">
        <f>Итоговая!S191</f>
        <v>0</v>
      </c>
      <c r="L190" s="259" t="str">
        <f>Итоговая!T191</f>
        <v>открыт</v>
      </c>
      <c r="M190" s="2399">
        <f>Итоговая!U191</f>
        <v>0</v>
      </c>
      <c r="N190" s="902"/>
      <c r="O190" s="902"/>
      <c r="P190" s="902"/>
    </row>
    <row r="191" spans="1:16" hidden="1" x14ac:dyDescent="0.25">
      <c r="A191" s="2412">
        <f>Итоговая!A192</f>
        <v>140</v>
      </c>
      <c r="B191" s="2423">
        <f>COUNTIFS($C$8:C191,"*ПС*",$L$8:L191,"*закрыт*")</f>
        <v>14</v>
      </c>
      <c r="C191" s="84" t="str">
        <f>Итоговая!C192</f>
        <v xml:space="preserve">ПС 110/35/10 кВ Горицы </v>
      </c>
      <c r="D191" s="230">
        <f>Итоговая!D192</f>
        <v>6.3</v>
      </c>
      <c r="E191" s="229" t="str">
        <f>Итоговая!E192</f>
        <v>+</v>
      </c>
      <c r="F191" s="229">
        <f>Итоговая!F192</f>
        <v>6.3</v>
      </c>
      <c r="G191" s="229">
        <f>Итоговая!G192</f>
        <v>0</v>
      </c>
      <c r="H191" s="229">
        <f>Итоговая!H192</f>
        <v>0</v>
      </c>
      <c r="I191" s="23">
        <f>Итоговая!Q192</f>
        <v>5.125</v>
      </c>
      <c r="J191" s="2414">
        <f>Итоговая!R192</f>
        <v>5.125</v>
      </c>
      <c r="K191" s="2398" t="str">
        <f>Итоговая!S192</f>
        <v>открыт</v>
      </c>
      <c r="L191" s="259" t="str">
        <f>Итоговая!T192</f>
        <v>открыт</v>
      </c>
      <c r="M191" s="2398">
        <f>Итоговая!U192</f>
        <v>24.489795918367346</v>
      </c>
      <c r="N191" s="902"/>
      <c r="O191" s="902"/>
      <c r="P191" s="902"/>
    </row>
    <row r="192" spans="1:16" hidden="1" x14ac:dyDescent="0.25">
      <c r="A192" s="2412">
        <f>Итоговая!A193</f>
        <v>0</v>
      </c>
      <c r="B192" s="2440"/>
      <c r="C192" s="84" t="str">
        <f>Итоговая!C193</f>
        <v xml:space="preserve">Ном. Мощность СН, МВА </v>
      </c>
      <c r="D192" s="230">
        <f>Итоговая!D193</f>
        <v>6.3</v>
      </c>
      <c r="E192" s="229" t="str">
        <f>Итоговая!E193</f>
        <v>+</v>
      </c>
      <c r="F192" s="229">
        <f>Итоговая!F193</f>
        <v>6.3</v>
      </c>
      <c r="G192" s="229">
        <f>Итоговая!G193</f>
        <v>0</v>
      </c>
      <c r="H192" s="229">
        <f>Итоговая!H193</f>
        <v>0</v>
      </c>
      <c r="I192" s="23">
        <f>Итоговая!Q193</f>
        <v>6.5550000000000006</v>
      </c>
      <c r="J192" s="2414">
        <f>Итоговая!R193</f>
        <v>0</v>
      </c>
      <c r="K192" s="2399">
        <f>Итоговая!S193</f>
        <v>0</v>
      </c>
      <c r="L192" s="259" t="str">
        <f>Итоговая!T193</f>
        <v>открыт</v>
      </c>
      <c r="M192" s="2399">
        <f>Итоговая!U193</f>
        <v>0</v>
      </c>
      <c r="N192" s="902"/>
      <c r="O192" s="902"/>
      <c r="P192" s="902"/>
    </row>
    <row r="193" spans="1:16" s="232" customFormat="1" hidden="1" x14ac:dyDescent="0.25">
      <c r="A193" s="2412">
        <f>Итоговая!A194</f>
        <v>0</v>
      </c>
      <c r="B193" s="2441"/>
      <c r="C193" s="84" t="str">
        <f>Итоговая!C194</f>
        <v>Ном. мощность НН, МВА</v>
      </c>
      <c r="D193" s="230">
        <f>Итоговая!D194</f>
        <v>6.3</v>
      </c>
      <c r="E193" s="229" t="str">
        <f>Итоговая!E194</f>
        <v>+</v>
      </c>
      <c r="F193" s="229">
        <f>Итоговая!F194</f>
        <v>6.3</v>
      </c>
      <c r="G193" s="229">
        <f>Итоговая!G194</f>
        <v>0</v>
      </c>
      <c r="H193" s="229">
        <f>Итоговая!H194</f>
        <v>0</v>
      </c>
      <c r="I193" s="23">
        <f>Итоговая!Q194</f>
        <v>5.1850000000000005</v>
      </c>
      <c r="J193" s="2414">
        <f>Итоговая!R194</f>
        <v>0</v>
      </c>
      <c r="K193" s="2399">
        <f>Итоговая!S194</f>
        <v>0</v>
      </c>
      <c r="L193" s="259" t="str">
        <f>Итоговая!T194</f>
        <v>открыт</v>
      </c>
      <c r="M193" s="2399">
        <f>Итоговая!U194</f>
        <v>0</v>
      </c>
      <c r="N193" s="902"/>
      <c r="O193" s="902"/>
      <c r="P193" s="902"/>
    </row>
    <row r="194" spans="1:16" x14ac:dyDescent="0.25">
      <c r="A194" s="2412">
        <f>Итоговая!A195</f>
        <v>141</v>
      </c>
      <c r="B194" s="2423">
        <f>COUNTIFS($C$8:C194,"*ПС*",$L$8:L194,"*закрыт*")</f>
        <v>15</v>
      </c>
      <c r="C194" s="84" t="str">
        <f>Итоговая!C195</f>
        <v xml:space="preserve">ПС 110/35/10 кВ Луч </v>
      </c>
      <c r="D194" s="230">
        <f>Итоговая!D195</f>
        <v>16</v>
      </c>
      <c r="E194" s="229" t="str">
        <f>Итоговая!E195</f>
        <v>+</v>
      </c>
      <c r="F194" s="229">
        <f>Итоговая!F195</f>
        <v>16</v>
      </c>
      <c r="G194" s="229">
        <f>Итоговая!G195</f>
        <v>0</v>
      </c>
      <c r="H194" s="229">
        <f>Итоговая!H195</f>
        <v>0</v>
      </c>
      <c r="I194" s="23">
        <f>Итоговая!Q195</f>
        <v>-1.0000000000001563E-2</v>
      </c>
      <c r="J194" s="2415">
        <f>Итоговая!R195</f>
        <v>-1.0000000000001563E-2</v>
      </c>
      <c r="K194" s="2398" t="str">
        <f>Итоговая!S195</f>
        <v>закрыт</v>
      </c>
      <c r="L194" s="259" t="str">
        <f>Итоговая!T195</f>
        <v>закрыт</v>
      </c>
      <c r="M194" s="2398">
        <f>Итоговая!U195</f>
        <v>100.05952380952382</v>
      </c>
      <c r="N194" s="907"/>
      <c r="O194" s="907"/>
      <c r="P194" s="907"/>
    </row>
    <row r="195" spans="1:16" ht="20.100000000000001" hidden="1" customHeight="1" x14ac:dyDescent="0.25">
      <c r="A195" s="2412">
        <f>Итоговая!A196</f>
        <v>0</v>
      </c>
      <c r="B195" s="2440"/>
      <c r="C195" s="84" t="str">
        <f>Итоговая!C196</f>
        <v xml:space="preserve">Ном. Мощность СН, МВА </v>
      </c>
      <c r="D195" s="230">
        <f>Итоговая!D196</f>
        <v>16</v>
      </c>
      <c r="E195" s="229" t="str">
        <f>Итоговая!E196</f>
        <v>+</v>
      </c>
      <c r="F195" s="229">
        <f>Итоговая!F196</f>
        <v>16</v>
      </c>
      <c r="G195" s="229">
        <f>Итоговая!G196</f>
        <v>0</v>
      </c>
      <c r="H195" s="229">
        <f>Итоговая!H196</f>
        <v>0</v>
      </c>
      <c r="I195" s="23">
        <f>Итоговая!Q196</f>
        <v>4.5</v>
      </c>
      <c r="J195" s="2416">
        <f>Итоговая!R196</f>
        <v>0</v>
      </c>
      <c r="K195" s="2398">
        <f>Итоговая!S196</f>
        <v>0</v>
      </c>
      <c r="L195" s="259" t="str">
        <f>Итоговая!T196</f>
        <v>открыт</v>
      </c>
      <c r="M195" s="2398">
        <f>Итоговая!U196</f>
        <v>0</v>
      </c>
      <c r="N195" s="907"/>
      <c r="O195" s="907"/>
      <c r="P195" s="907"/>
    </row>
    <row r="196" spans="1:16" ht="20.100000000000001" hidden="1" customHeight="1" x14ac:dyDescent="0.25">
      <c r="A196" s="2412">
        <f>Итоговая!A197</f>
        <v>0</v>
      </c>
      <c r="B196" s="2441"/>
      <c r="C196" s="84" t="str">
        <f>Итоговая!C197</f>
        <v>Ном. мощность НН, МВА</v>
      </c>
      <c r="D196" s="230">
        <f>Итоговая!D197</f>
        <v>16</v>
      </c>
      <c r="E196" s="229" t="str">
        <f>Итоговая!E197</f>
        <v>+</v>
      </c>
      <c r="F196" s="229">
        <f>Итоговая!F197</f>
        <v>16</v>
      </c>
      <c r="G196" s="229">
        <f>Итоговая!G197</f>
        <v>0</v>
      </c>
      <c r="H196" s="229">
        <f>Итоговая!H197</f>
        <v>0</v>
      </c>
      <c r="I196" s="23">
        <f>Итоговая!Q197</f>
        <v>12.290000000000001</v>
      </c>
      <c r="J196" s="2417">
        <f>Итоговая!R197</f>
        <v>0</v>
      </c>
      <c r="K196" s="2398">
        <f>Итоговая!S197</f>
        <v>0</v>
      </c>
      <c r="L196" s="259" t="str">
        <f>Итоговая!T197</f>
        <v>открыт</v>
      </c>
      <c r="M196" s="2398">
        <f>Итоговая!U197</f>
        <v>0</v>
      </c>
      <c r="N196" s="907"/>
      <c r="O196" s="907"/>
      <c r="P196" s="907"/>
    </row>
    <row r="197" spans="1:16" s="232" customFormat="1" ht="30" hidden="1" customHeight="1" x14ac:dyDescent="0.25">
      <c r="A197" s="2412">
        <f>Итоговая!A198</f>
        <v>142</v>
      </c>
      <c r="B197" s="2423">
        <f>COUNTIFS($C$8:C197,"*ПС*",$L$8:L197,"*закрыт*")</f>
        <v>15</v>
      </c>
      <c r="C197" s="84" t="str">
        <f>Итоговая!C198</f>
        <v xml:space="preserve">ПС 110/35/10 кВ Простор </v>
      </c>
      <c r="D197" s="230">
        <f>Итоговая!D198</f>
        <v>25</v>
      </c>
      <c r="E197" s="229" t="str">
        <f>Итоговая!E198</f>
        <v>+</v>
      </c>
      <c r="F197" s="229">
        <f>Итоговая!F198</f>
        <v>25</v>
      </c>
      <c r="G197" s="229">
        <f>Итоговая!G198</f>
        <v>0</v>
      </c>
      <c r="H197" s="229">
        <f>Итоговая!H198</f>
        <v>0</v>
      </c>
      <c r="I197" s="23">
        <f>Итоговая!Q198</f>
        <v>13.39</v>
      </c>
      <c r="J197" s="2414">
        <f>Итоговая!R198</f>
        <v>13.39</v>
      </c>
      <c r="K197" s="2398" t="str">
        <f>Итоговая!S198</f>
        <v>открыт</v>
      </c>
      <c r="L197" s="259" t="str">
        <f>Итоговая!T198</f>
        <v>открыт</v>
      </c>
      <c r="M197" s="2398">
        <f>Итоговая!U198</f>
        <v>50.247619047619047</v>
      </c>
      <c r="N197" s="902"/>
      <c r="O197" s="902"/>
      <c r="P197" s="902"/>
    </row>
    <row r="198" spans="1:16" s="232" customFormat="1" ht="30" hidden="1" customHeight="1" x14ac:dyDescent="0.25">
      <c r="A198" s="2412">
        <f>Итоговая!A199</f>
        <v>0</v>
      </c>
      <c r="B198" s="2440"/>
      <c r="C198" s="84" t="str">
        <f>Итоговая!C199</f>
        <v xml:space="preserve">Ном. Мощность СН, МВА </v>
      </c>
      <c r="D198" s="230">
        <f>Итоговая!D199</f>
        <v>25</v>
      </c>
      <c r="E198" s="229" t="str">
        <f>Итоговая!E199</f>
        <v>+</v>
      </c>
      <c r="F198" s="229">
        <f>Итоговая!F199</f>
        <v>25</v>
      </c>
      <c r="G198" s="229">
        <f>Итоговая!G199</f>
        <v>0</v>
      </c>
      <c r="H198" s="229">
        <f>Итоговая!H199</f>
        <v>0</v>
      </c>
      <c r="I198" s="23">
        <f>Итоговая!Q199</f>
        <v>21.65</v>
      </c>
      <c r="J198" s="2414">
        <f>Итоговая!R199</f>
        <v>0</v>
      </c>
      <c r="K198" s="2399">
        <f>Итоговая!S199</f>
        <v>0</v>
      </c>
      <c r="L198" s="259" t="str">
        <f>Итоговая!T199</f>
        <v>открыт</v>
      </c>
      <c r="M198" s="2399">
        <f>Итоговая!U199</f>
        <v>0</v>
      </c>
      <c r="N198" s="902"/>
      <c r="O198" s="902"/>
      <c r="P198" s="902"/>
    </row>
    <row r="199" spans="1:16" s="232" customFormat="1" ht="30" hidden="1" customHeight="1" x14ac:dyDescent="0.25">
      <c r="A199" s="2412">
        <f>Итоговая!A200</f>
        <v>0</v>
      </c>
      <c r="B199" s="2441"/>
      <c r="C199" s="84" t="str">
        <f>Итоговая!C200</f>
        <v>Ном. мощность НН, МВА</v>
      </c>
      <c r="D199" s="230">
        <f>Итоговая!D200</f>
        <v>25</v>
      </c>
      <c r="E199" s="229" t="str">
        <f>Итоговая!E200</f>
        <v>+</v>
      </c>
      <c r="F199" s="229">
        <f>Итоговая!F200</f>
        <v>25</v>
      </c>
      <c r="G199" s="229">
        <f>Итоговая!G200</f>
        <v>0</v>
      </c>
      <c r="H199" s="229">
        <f>Итоговая!H200</f>
        <v>0</v>
      </c>
      <c r="I199" s="23">
        <f>Итоговая!Q200</f>
        <v>17.990000000000002</v>
      </c>
      <c r="J199" s="2414">
        <f>Итоговая!R200</f>
        <v>0</v>
      </c>
      <c r="K199" s="2399">
        <f>Итоговая!S200</f>
        <v>0</v>
      </c>
      <c r="L199" s="259" t="str">
        <f>Итоговая!T200</f>
        <v>открыт</v>
      </c>
      <c r="M199" s="2399">
        <f>Итоговая!U200</f>
        <v>0</v>
      </c>
      <c r="N199" s="902"/>
      <c r="O199" s="902"/>
      <c r="P199" s="902"/>
    </row>
    <row r="200" spans="1:16" ht="20.100000000000001" customHeight="1" x14ac:dyDescent="0.25">
      <c r="A200" s="2412">
        <f>Итоговая!A201</f>
        <v>143</v>
      </c>
      <c r="B200" s="2423">
        <f>COUNTIFS($C$8:C200,"*ПС*",$L$8:L200,"*закрыт*")</f>
        <v>16</v>
      </c>
      <c r="C200" s="84" t="str">
        <f>Итоговая!C201</f>
        <v xml:space="preserve">ПС 110/35/10 кВ  Радуга </v>
      </c>
      <c r="D200" s="230">
        <f>Итоговая!D201</f>
        <v>40</v>
      </c>
      <c r="E200" s="229" t="str">
        <f>Итоговая!E201</f>
        <v>+</v>
      </c>
      <c r="F200" s="229">
        <f>Итоговая!F201</f>
        <v>25</v>
      </c>
      <c r="G200" s="229">
        <f>Итоговая!G201</f>
        <v>0</v>
      </c>
      <c r="H200" s="229">
        <f>Итоговая!H201</f>
        <v>0</v>
      </c>
      <c r="I200" s="23">
        <f>Итоговая!Q201</f>
        <v>-0.33999999999999986</v>
      </c>
      <c r="J200" s="2415">
        <f>Итоговая!R201</f>
        <v>-0.33999999999999986</v>
      </c>
      <c r="K200" s="2398" t="str">
        <f>Итоговая!S201</f>
        <v>закрыт</v>
      </c>
      <c r="L200" s="259" t="str">
        <f>Итоговая!T201</f>
        <v>закрыт</v>
      </c>
      <c r="M200" s="2398">
        <f>Итоговая!U201</f>
        <v>101.63809523809523</v>
      </c>
      <c r="N200" s="907"/>
      <c r="O200" s="907"/>
      <c r="P200" s="907"/>
    </row>
    <row r="201" spans="1:16" ht="20.100000000000001" hidden="1" customHeight="1" x14ac:dyDescent="0.25">
      <c r="A201" s="2412">
        <f>Итоговая!A202</f>
        <v>0</v>
      </c>
      <c r="B201" s="2440"/>
      <c r="C201" s="84" t="str">
        <f>Итоговая!C202</f>
        <v xml:space="preserve">Ном. Мощность СН, МВА </v>
      </c>
      <c r="D201" s="230">
        <f>Итоговая!D202</f>
        <v>40</v>
      </c>
      <c r="E201" s="229" t="str">
        <f>Итоговая!E202</f>
        <v>+</v>
      </c>
      <c r="F201" s="229">
        <f>Итоговая!F202</f>
        <v>25</v>
      </c>
      <c r="G201" s="229">
        <f>Итоговая!G202</f>
        <v>0</v>
      </c>
      <c r="H201" s="229">
        <f>Итоговая!H202</f>
        <v>0</v>
      </c>
      <c r="I201" s="23">
        <f>Итоговая!Q202</f>
        <v>7.93</v>
      </c>
      <c r="J201" s="2416">
        <f>Итоговая!R202</f>
        <v>0</v>
      </c>
      <c r="K201" s="2398">
        <f>Итоговая!S202</f>
        <v>0</v>
      </c>
      <c r="L201" s="260" t="str">
        <f>Итоговая!T202</f>
        <v>открыт</v>
      </c>
      <c r="M201" s="2398">
        <f>Итоговая!U202</f>
        <v>0</v>
      </c>
      <c r="N201" s="907"/>
      <c r="O201" s="907"/>
      <c r="P201" s="907"/>
    </row>
    <row r="202" spans="1:16" ht="20.100000000000001" hidden="1" customHeight="1" x14ac:dyDescent="0.25">
      <c r="A202" s="2412">
        <f>Итоговая!A203</f>
        <v>0</v>
      </c>
      <c r="B202" s="2441"/>
      <c r="C202" s="84" t="str">
        <f>Итоговая!C203</f>
        <v>Ном. мощность НН, МВА</v>
      </c>
      <c r="D202" s="230">
        <f>Итоговая!D203</f>
        <v>40</v>
      </c>
      <c r="E202" s="229" t="str">
        <f>Итоговая!E203</f>
        <v>+</v>
      </c>
      <c r="F202" s="229">
        <f>Итоговая!F203</f>
        <v>25</v>
      </c>
      <c r="G202" s="229">
        <f>Итоговая!G203</f>
        <v>0</v>
      </c>
      <c r="H202" s="229">
        <f>Итоговая!H203</f>
        <v>0</v>
      </c>
      <c r="I202" s="23">
        <f>Итоговая!Q203</f>
        <v>17.98</v>
      </c>
      <c r="J202" s="2417">
        <f>Итоговая!R203</f>
        <v>0</v>
      </c>
      <c r="K202" s="2398">
        <f>Итоговая!S203</f>
        <v>0</v>
      </c>
      <c r="L202" s="259" t="str">
        <f>Итоговая!T203</f>
        <v>открыт</v>
      </c>
      <c r="M202" s="2398">
        <f>Итоговая!U203</f>
        <v>0</v>
      </c>
      <c r="N202" s="907"/>
      <c r="O202" s="907"/>
      <c r="P202" s="907"/>
    </row>
    <row r="203" spans="1:16" s="232" customFormat="1" ht="30" hidden="1" customHeight="1" x14ac:dyDescent="0.25">
      <c r="A203" s="2412">
        <f>Итоговая!A204</f>
        <v>144</v>
      </c>
      <c r="B203" s="2423">
        <f>COUNTIFS($C$8:C203,"*ПС*",$L$8:L203,"*закрыт*")</f>
        <v>16</v>
      </c>
      <c r="C203" s="84" t="str">
        <f>Итоговая!C204</f>
        <v xml:space="preserve">ПС 110/35/10 кВ Роща </v>
      </c>
      <c r="D203" s="230">
        <f>Итоговая!D204</f>
        <v>10</v>
      </c>
      <c r="E203" s="229" t="str">
        <f>Итоговая!E204</f>
        <v>+</v>
      </c>
      <c r="F203" s="229">
        <f>Итоговая!F204</f>
        <v>10</v>
      </c>
      <c r="G203" s="229">
        <f>Итоговая!G204</f>
        <v>0</v>
      </c>
      <c r="H203" s="229">
        <f>Итоговая!H204</f>
        <v>0</v>
      </c>
      <c r="I203" s="23">
        <f>Итоговая!Q204</f>
        <v>6.38</v>
      </c>
      <c r="J203" s="2414">
        <f>Итоговая!R204</f>
        <v>6.38</v>
      </c>
      <c r="K203" s="2398" t="str">
        <f>Итоговая!S204</f>
        <v>открыт</v>
      </c>
      <c r="L203" s="259" t="str">
        <f>Итоговая!T204</f>
        <v>открыт</v>
      </c>
      <c r="M203" s="2398">
        <f>Итоговая!U204</f>
        <v>39.238095238095241</v>
      </c>
      <c r="N203" s="902"/>
      <c r="O203" s="902"/>
      <c r="P203" s="902"/>
    </row>
    <row r="204" spans="1:16" s="232" customFormat="1" ht="30" hidden="1" customHeight="1" x14ac:dyDescent="0.25">
      <c r="A204" s="2412">
        <f>Итоговая!A205</f>
        <v>0</v>
      </c>
      <c r="B204" s="2440"/>
      <c r="C204" s="84" t="str">
        <f>Итоговая!C205</f>
        <v xml:space="preserve">Ном. Мощность СН, МВА </v>
      </c>
      <c r="D204" s="230">
        <f>Итоговая!D205</f>
        <v>10</v>
      </c>
      <c r="E204" s="229" t="str">
        <f>Итоговая!E205</f>
        <v>+</v>
      </c>
      <c r="F204" s="229">
        <f>Итоговая!F205</f>
        <v>10</v>
      </c>
      <c r="G204" s="229">
        <f>Итоговая!G205</f>
        <v>0</v>
      </c>
      <c r="H204" s="229">
        <f>Итоговая!H205</f>
        <v>0</v>
      </c>
      <c r="I204" s="23">
        <f>Итоговая!Q205</f>
        <v>9.5500000000000007</v>
      </c>
      <c r="J204" s="2414">
        <f>Итоговая!R205</f>
        <v>0</v>
      </c>
      <c r="K204" s="2399">
        <f>Итоговая!S205</f>
        <v>0</v>
      </c>
      <c r="L204" s="259" t="str">
        <f>Итоговая!T205</f>
        <v>открыт</v>
      </c>
      <c r="M204" s="2399">
        <f>Итоговая!U205</f>
        <v>0</v>
      </c>
      <c r="N204" s="902"/>
      <c r="O204" s="902"/>
      <c r="P204" s="902"/>
    </row>
    <row r="205" spans="1:16" s="232" customFormat="1" ht="30" hidden="1" customHeight="1" x14ac:dyDescent="0.25">
      <c r="A205" s="2412">
        <f>Итоговая!A206</f>
        <v>0</v>
      </c>
      <c r="B205" s="2441"/>
      <c r="C205" s="84" t="str">
        <f>Итоговая!C206</f>
        <v>Ном. мощность НН, МВА</v>
      </c>
      <c r="D205" s="230">
        <f>Итоговая!D206</f>
        <v>10</v>
      </c>
      <c r="E205" s="229" t="str">
        <f>Итоговая!E206</f>
        <v>+</v>
      </c>
      <c r="F205" s="229">
        <f>Итоговая!F206</f>
        <v>10</v>
      </c>
      <c r="G205" s="229">
        <f>Итоговая!G206</f>
        <v>0</v>
      </c>
      <c r="H205" s="229">
        <f>Итоговая!H206</f>
        <v>0</v>
      </c>
      <c r="I205" s="23">
        <f>Итоговая!Q206</f>
        <v>7.4700000000000006</v>
      </c>
      <c r="J205" s="2414">
        <f>Итоговая!R206</f>
        <v>0</v>
      </c>
      <c r="K205" s="2399">
        <f>Итоговая!S206</f>
        <v>0</v>
      </c>
      <c r="L205" s="259" t="str">
        <f>Итоговая!T206</f>
        <v>открыт</v>
      </c>
      <c r="M205" s="2399">
        <f>Итоговая!U206</f>
        <v>0</v>
      </c>
      <c r="N205" s="902"/>
      <c r="O205" s="902"/>
      <c r="P205" s="902"/>
    </row>
    <row r="206" spans="1:16" s="232" customFormat="1" ht="15" hidden="1" customHeight="1" x14ac:dyDescent="0.25">
      <c r="A206" s="212">
        <f>Итоговая!A207</f>
        <v>145</v>
      </c>
      <c r="B206" s="212">
        <f>COUNTIFS($C$8:C206,"*ПС*",$L$8:L206,"*закрыт*")</f>
        <v>16</v>
      </c>
      <c r="C206" s="212" t="str">
        <f>Итоговая!C207</f>
        <v>ПС 110/10 кВ Бибирево</v>
      </c>
      <c r="D206" s="230">
        <f>Итоговая!D207</f>
        <v>2.5</v>
      </c>
      <c r="E206" s="229">
        <f>Итоговая!E207</f>
        <v>0</v>
      </c>
      <c r="F206" s="229">
        <f>Итоговая!F207</f>
        <v>0</v>
      </c>
      <c r="G206" s="229">
        <f>Итоговая!G207</f>
        <v>0</v>
      </c>
      <c r="H206" s="229">
        <f>Итоговая!H207</f>
        <v>0</v>
      </c>
      <c r="I206" s="172">
        <f>Итоговая!Q207</f>
        <v>1.08</v>
      </c>
      <c r="J206" s="172">
        <f>Итоговая!R207</f>
        <v>1.08</v>
      </c>
      <c r="K206" s="757" t="str">
        <f>Итоговая!S207</f>
        <v>открыт</v>
      </c>
      <c r="L206" s="259" t="str">
        <f>Итоговая!T207</f>
        <v>открыт</v>
      </c>
      <c r="M206" s="757">
        <f>Итоговая!U207</f>
        <v>6.8571428571428568</v>
      </c>
      <c r="N206" s="902"/>
      <c r="O206" s="902"/>
      <c r="P206" s="902"/>
    </row>
    <row r="207" spans="1:16" s="232" customFormat="1" ht="15" hidden="1" customHeight="1" x14ac:dyDescent="0.25">
      <c r="A207" s="212">
        <f>Итоговая!A208</f>
        <v>146</v>
      </c>
      <c r="B207" s="212">
        <f>COUNTIFS($C$8:C207,"*ПС*",$L$8:L207,"*закрыт*")</f>
        <v>16</v>
      </c>
      <c r="C207" s="212" t="str">
        <f>Итоговая!C208</f>
        <v>ПС 35/10 кВ Бор</v>
      </c>
      <c r="D207" s="230">
        <f>Итоговая!D208</f>
        <v>1.6</v>
      </c>
      <c r="E207" s="229">
        <f>Итоговая!E208</f>
        <v>0</v>
      </c>
      <c r="F207" s="229">
        <f>Итоговая!F208</f>
        <v>0</v>
      </c>
      <c r="G207" s="229">
        <f>Итоговая!G208</f>
        <v>0</v>
      </c>
      <c r="H207" s="229">
        <f>Итоговая!H208</f>
        <v>0</v>
      </c>
      <c r="I207" s="172">
        <f>Итоговая!Q208</f>
        <v>1.03</v>
      </c>
      <c r="J207" s="172">
        <f>Итоговая!R208</f>
        <v>1.03</v>
      </c>
      <c r="K207" s="757" t="str">
        <f>Итоговая!S208</f>
        <v>открыт</v>
      </c>
      <c r="L207" s="259" t="str">
        <f>Итоговая!T208</f>
        <v>открыт</v>
      </c>
      <c r="M207" s="757">
        <f>Итоговая!U208</f>
        <v>18.452380952380949</v>
      </c>
      <c r="N207" s="902"/>
      <c r="O207" s="902"/>
      <c r="P207" s="902"/>
    </row>
    <row r="208" spans="1:16" s="232" customFormat="1" ht="15" hidden="1" customHeight="1" x14ac:dyDescent="0.25">
      <c r="A208" s="212">
        <f>Итоговая!A209</f>
        <v>147</v>
      </c>
      <c r="B208" s="212">
        <f>COUNTIFS($C$8:C208,"*ПС*",$L$8:L208,"*закрыт*")</f>
        <v>16</v>
      </c>
      <c r="C208" s="212" t="str">
        <f>Итоговая!C209</f>
        <v>ПС 110/10 кВ Воробьи</v>
      </c>
      <c r="D208" s="230">
        <f>Итоговая!D209</f>
        <v>2.5</v>
      </c>
      <c r="E208" s="229">
        <f>Итоговая!E209</f>
        <v>0</v>
      </c>
      <c r="F208" s="229">
        <f>Итоговая!F209</f>
        <v>0</v>
      </c>
      <c r="G208" s="229">
        <f>Итоговая!G209</f>
        <v>0</v>
      </c>
      <c r="H208" s="229">
        <f>Итоговая!H209</f>
        <v>0</v>
      </c>
      <c r="I208" s="172">
        <f>Итоговая!Q209</f>
        <v>1</v>
      </c>
      <c r="J208" s="172">
        <f>Итоговая!R209</f>
        <v>1</v>
      </c>
      <c r="K208" s="757" t="str">
        <f>Итоговая!S209</f>
        <v>открыт</v>
      </c>
      <c r="L208" s="259" t="str">
        <f>Итоговая!T209</f>
        <v>открыт</v>
      </c>
      <c r="M208" s="757">
        <f>Итоговая!U209</f>
        <v>10.666666666666668</v>
      </c>
      <c r="N208" s="902"/>
      <c r="O208" s="902"/>
      <c r="P208" s="902"/>
    </row>
    <row r="209" spans="1:16" ht="20.100000000000001" customHeight="1" x14ac:dyDescent="0.25">
      <c r="A209" s="212">
        <f>Итоговая!A210</f>
        <v>148</v>
      </c>
      <c r="B209" s="212">
        <f>COUNTIFS($C$8:C209,"*ПС*",$L$8:L209,"*закрыт*")</f>
        <v>17</v>
      </c>
      <c r="C209" s="212" t="str">
        <f>Итоговая!C210</f>
        <v>ПС 35/10 кВ Глазомичи</v>
      </c>
      <c r="D209" s="230">
        <f>Итоговая!D210</f>
        <v>2.5</v>
      </c>
      <c r="E209" s="229">
        <f>Итоговая!E210</f>
        <v>0</v>
      </c>
      <c r="F209" s="229">
        <f>Итоговая!F210</f>
        <v>0</v>
      </c>
      <c r="G209" s="229">
        <f>Итоговая!G210</f>
        <v>0</v>
      </c>
      <c r="H209" s="229">
        <f>Итоговая!H210</f>
        <v>0</v>
      </c>
      <c r="I209" s="172">
        <f>Итоговая!Q210</f>
        <v>-0.05</v>
      </c>
      <c r="J209" s="172">
        <f>Итоговая!R210</f>
        <v>-0.05</v>
      </c>
      <c r="K209" s="212" t="str">
        <f>Итоговая!S210</f>
        <v>закрыт</v>
      </c>
      <c r="L209" s="259" t="str">
        <f>Итоговая!T210</f>
        <v>закрыт</v>
      </c>
      <c r="M209" s="757">
        <f>Итоговая!U210</f>
        <v>1.9047619047619047</v>
      </c>
      <c r="N209" s="907"/>
      <c r="O209" s="907"/>
      <c r="P209" s="907"/>
    </row>
    <row r="210" spans="1:16" ht="20.100000000000001" customHeight="1" x14ac:dyDescent="0.25">
      <c r="A210" s="212">
        <f>Итоговая!A211</f>
        <v>149</v>
      </c>
      <c r="B210" s="212">
        <f>COUNTIFS($C$8:C210,"*ПС*",$L$8:L210,"*закрыт*")</f>
        <v>18</v>
      </c>
      <c r="C210" s="212" t="str">
        <f>Итоговая!C211</f>
        <v>ПС 35/10 кВ Жарки</v>
      </c>
      <c r="D210" s="230">
        <f>Итоговая!D211</f>
        <v>2.5</v>
      </c>
      <c r="E210" s="229">
        <f>Итоговая!E211</f>
        <v>0</v>
      </c>
      <c r="F210" s="229">
        <f>Итоговая!F211</f>
        <v>0</v>
      </c>
      <c r="G210" s="229">
        <f>Итоговая!G211</f>
        <v>0</v>
      </c>
      <c r="H210" s="229">
        <f>Итоговая!H211</f>
        <v>0</v>
      </c>
      <c r="I210" s="172">
        <f>Итоговая!Q211</f>
        <v>-1.86</v>
      </c>
      <c r="J210" s="172">
        <f>Итоговая!R211</f>
        <v>-1.86</v>
      </c>
      <c r="K210" s="212" t="str">
        <f>Итоговая!S211</f>
        <v>закрыт</v>
      </c>
      <c r="L210" s="259" t="str">
        <f>Итоговая!T211</f>
        <v>закрыт</v>
      </c>
      <c r="M210" s="757">
        <f>Итоговая!U211</f>
        <v>70.857142857142861</v>
      </c>
      <c r="N210" s="907"/>
      <c r="O210" s="907"/>
      <c r="P210" s="907"/>
    </row>
    <row r="211" spans="1:16" s="232" customFormat="1" ht="15" hidden="1" customHeight="1" x14ac:dyDescent="0.25">
      <c r="A211" s="212">
        <f>Итоговая!A212</f>
        <v>150</v>
      </c>
      <c r="B211" s="212">
        <f>COUNTIFS($C$8:C211,"*ПС*",$L$8:L211,"*закрыт*")</f>
        <v>18</v>
      </c>
      <c r="C211" s="212" t="str">
        <f>Итоговая!C212</f>
        <v>ПС 35/10 кВ Земцы</v>
      </c>
      <c r="D211" s="230">
        <f>Итоговая!D212</f>
        <v>2.5</v>
      </c>
      <c r="E211" s="229">
        <f>Итоговая!E212</f>
        <v>0</v>
      </c>
      <c r="F211" s="229">
        <f>Итоговая!F212</f>
        <v>0</v>
      </c>
      <c r="G211" s="229">
        <f>Итоговая!G212</f>
        <v>0</v>
      </c>
      <c r="H211" s="229">
        <f>Итоговая!H212</f>
        <v>0</v>
      </c>
      <c r="I211" s="172">
        <f>Итоговая!Q212</f>
        <v>2.35</v>
      </c>
      <c r="J211" s="172">
        <f>Итоговая!R212</f>
        <v>2.35</v>
      </c>
      <c r="K211" s="212" t="str">
        <f>Итоговая!S212</f>
        <v>открыт</v>
      </c>
      <c r="L211" s="259" t="str">
        <f>Итоговая!T212</f>
        <v>открыт</v>
      </c>
      <c r="M211" s="757">
        <f>Итоговая!U212</f>
        <v>14.476190476190476</v>
      </c>
      <c r="N211" s="902"/>
      <c r="O211" s="902"/>
      <c r="P211" s="902"/>
    </row>
    <row r="212" spans="1:16" s="232" customFormat="1" ht="15" hidden="1" customHeight="1" x14ac:dyDescent="0.25">
      <c r="A212" s="212">
        <f>Итоговая!A213</f>
        <v>151</v>
      </c>
      <c r="B212" s="212">
        <f>COUNTIFS($C$8:C212,"*ПС*",$L$8:L212,"*закрыт*")</f>
        <v>18</v>
      </c>
      <c r="C212" s="212" t="str">
        <f>Итоговая!C213</f>
        <v>ПС 35/10 кВ Ковалево</v>
      </c>
      <c r="D212" s="230">
        <f>Итоговая!D213</f>
        <v>2.5</v>
      </c>
      <c r="E212" s="229">
        <f>Итоговая!E213</f>
        <v>0</v>
      </c>
      <c r="F212" s="229">
        <f>Итоговая!F213</f>
        <v>0</v>
      </c>
      <c r="G212" s="229">
        <f>Итоговая!G213</f>
        <v>0</v>
      </c>
      <c r="H212" s="229">
        <f>Итоговая!H213</f>
        <v>0</v>
      </c>
      <c r="I212" s="172">
        <f>Итоговая!Q213</f>
        <v>0.70000000000000007</v>
      </c>
      <c r="J212" s="172">
        <f>Итоговая!R213</f>
        <v>0.70000000000000007</v>
      </c>
      <c r="K212" s="212" t="str">
        <f>Итоговая!S213</f>
        <v>открыт</v>
      </c>
      <c r="L212" s="259" t="str">
        <f>Итоговая!T213</f>
        <v>открыт</v>
      </c>
      <c r="M212" s="757">
        <f>Итоговая!U213</f>
        <v>8</v>
      </c>
      <c r="N212" s="902"/>
      <c r="O212" s="902"/>
      <c r="P212" s="902"/>
    </row>
    <row r="213" spans="1:16" s="232" customFormat="1" ht="15" hidden="1" customHeight="1" x14ac:dyDescent="0.25">
      <c r="A213" s="212">
        <f>Итоговая!A214</f>
        <v>152</v>
      </c>
      <c r="B213" s="212">
        <f>COUNTIFS($C$8:C213,"*ПС*",$L$8:L213,"*закрыт*")</f>
        <v>18</v>
      </c>
      <c r="C213" s="212" t="str">
        <f>Итоговая!C214</f>
        <v>ПС 35/10 кВ Коротыши</v>
      </c>
      <c r="D213" s="230">
        <f>Итоговая!D214</f>
        <v>1.6</v>
      </c>
      <c r="E213" s="229">
        <f>Итоговая!E214</f>
        <v>0</v>
      </c>
      <c r="F213" s="229">
        <f>Итоговая!F214</f>
        <v>0</v>
      </c>
      <c r="G213" s="229">
        <f>Итоговая!G214</f>
        <v>0</v>
      </c>
      <c r="H213" s="229">
        <f>Итоговая!H214</f>
        <v>0</v>
      </c>
      <c r="I213" s="172">
        <f>Итоговая!Q214</f>
        <v>0.67</v>
      </c>
      <c r="J213" s="172">
        <f>Итоговая!R214</f>
        <v>0.67</v>
      </c>
      <c r="K213" s="212" t="str">
        <f>Итоговая!S214</f>
        <v>открыт</v>
      </c>
      <c r="L213" s="259" t="str">
        <f>Итоговая!T214</f>
        <v>открыт</v>
      </c>
      <c r="M213" s="757">
        <f>Итоговая!U214</f>
        <v>14.88095238095238</v>
      </c>
      <c r="N213" s="902"/>
      <c r="O213" s="902"/>
      <c r="P213" s="902"/>
    </row>
    <row r="214" spans="1:16" ht="20.100000000000001" hidden="1" customHeight="1" x14ac:dyDescent="0.25">
      <c r="A214" s="212">
        <f>Итоговая!A215</f>
        <v>153</v>
      </c>
      <c r="B214" s="212">
        <f>COUNTIFS($C$8:C214,"*ПС*",$L$8:L214,"*закрыт*")</f>
        <v>18</v>
      </c>
      <c r="C214" s="212" t="str">
        <f>Итоговая!C215</f>
        <v>ПС 110/10 кВ Монино</v>
      </c>
      <c r="D214" s="230">
        <f>Итоговая!D215</f>
        <v>6.3</v>
      </c>
      <c r="E214" s="229">
        <f>Итоговая!E215</f>
        <v>0</v>
      </c>
      <c r="F214" s="229">
        <f>Итоговая!F215</f>
        <v>0</v>
      </c>
      <c r="G214" s="229">
        <f>Итоговая!G215</f>
        <v>0</v>
      </c>
      <c r="H214" s="229">
        <f>Итоговая!H215</f>
        <v>0</v>
      </c>
      <c r="I214" s="172">
        <f>Итоговая!Q215</f>
        <v>0.90999999999999992</v>
      </c>
      <c r="J214" s="172">
        <f>Итоговая!R215</f>
        <v>0.90999999999999992</v>
      </c>
      <c r="K214" s="212" t="str">
        <f>Итоговая!S215</f>
        <v>открыт</v>
      </c>
      <c r="L214" s="259" t="str">
        <f>Итоговая!T215</f>
        <v>открыт</v>
      </c>
      <c r="M214" s="757">
        <f>Итоговая!U215</f>
        <v>14.663643235071806</v>
      </c>
      <c r="N214" s="902"/>
      <c r="O214" s="902"/>
      <c r="P214" s="902"/>
    </row>
    <row r="215" spans="1:16" ht="20.100000000000001" hidden="1" customHeight="1" x14ac:dyDescent="0.25">
      <c r="A215" s="212">
        <f>Итоговая!A216</f>
        <v>154</v>
      </c>
      <c r="B215" s="212">
        <f>COUNTIFS($C$8:C215,"*ПС*",$L$8:L215,"*закрыт*")</f>
        <v>18</v>
      </c>
      <c r="C215" s="212" t="str">
        <f>Итоговая!C216</f>
        <v>ПС 35/10 кВ Озерец</v>
      </c>
      <c r="D215" s="230">
        <f>Итоговая!D216</f>
        <v>1</v>
      </c>
      <c r="E215" s="229">
        <f>Итоговая!E216</f>
        <v>0</v>
      </c>
      <c r="F215" s="229">
        <f>Итоговая!F216</f>
        <v>0</v>
      </c>
      <c r="G215" s="229">
        <f>Итоговая!G216</f>
        <v>0</v>
      </c>
      <c r="H215" s="229">
        <f>Итоговая!H216</f>
        <v>0</v>
      </c>
      <c r="I215" s="172">
        <f>Итоговая!Q216</f>
        <v>0.69</v>
      </c>
      <c r="J215" s="172">
        <f>Итоговая!R216</f>
        <v>0.69</v>
      </c>
      <c r="K215" s="212" t="str">
        <f>Итоговая!S216</f>
        <v>открыт</v>
      </c>
      <c r="L215" s="259" t="str">
        <f>Итоговая!T216</f>
        <v>открыт</v>
      </c>
      <c r="M215" s="757">
        <f>Итоговая!U216</f>
        <v>17.142857142857142</v>
      </c>
      <c r="N215" s="907"/>
      <c r="O215" s="907"/>
      <c r="P215" s="907"/>
    </row>
    <row r="216" spans="1:16" s="232" customFormat="1" ht="30" hidden="1" customHeight="1" x14ac:dyDescent="0.25">
      <c r="A216" s="212">
        <f>Итоговая!A217</f>
        <v>155</v>
      </c>
      <c r="B216" s="212">
        <f>COUNTIFS($C$8:C216,"*ПС*",$L$8:L216,"*закрыт*")</f>
        <v>18</v>
      </c>
      <c r="C216" s="212" t="str">
        <f>Итоговая!C217</f>
        <v>ПС 35/10 кВ Пожня</v>
      </c>
      <c r="D216" s="230">
        <f>Итоговая!D217</f>
        <v>1.6</v>
      </c>
      <c r="E216" s="229">
        <f>Итоговая!E217</f>
        <v>0</v>
      </c>
      <c r="F216" s="229">
        <f>Итоговая!F217</f>
        <v>0</v>
      </c>
      <c r="G216" s="229">
        <f>Итоговая!G217</f>
        <v>0</v>
      </c>
      <c r="H216" s="229">
        <f>Итоговая!H217</f>
        <v>0</v>
      </c>
      <c r="I216" s="172">
        <f>Итоговая!Q217</f>
        <v>0.67</v>
      </c>
      <c r="J216" s="172">
        <f>Итоговая!R217</f>
        <v>0.67</v>
      </c>
      <c r="K216" s="212" t="str">
        <f>Итоговая!S217</f>
        <v>открыт</v>
      </c>
      <c r="L216" s="259" t="str">
        <f>Итоговая!T217</f>
        <v>открыт</v>
      </c>
      <c r="M216" s="757">
        <f>Итоговая!U217</f>
        <v>13.69047619047619</v>
      </c>
      <c r="N216" s="902"/>
      <c r="O216" s="902"/>
      <c r="P216" s="902"/>
    </row>
    <row r="217" spans="1:16" s="232" customFormat="1" ht="15" hidden="1" customHeight="1" x14ac:dyDescent="0.25">
      <c r="A217" s="212">
        <f>Итоговая!A218</f>
        <v>156</v>
      </c>
      <c r="B217" s="212">
        <f>COUNTIFS($C$8:C217,"*ПС*",$L$8:L217,"*закрыт*")</f>
        <v>18</v>
      </c>
      <c r="C217" s="212" t="str">
        <f>Итоговая!C218</f>
        <v>ПС 35/10 кВ Половцово</v>
      </c>
      <c r="D217" s="230">
        <f>Итоговая!D218</f>
        <v>1.6</v>
      </c>
      <c r="E217" s="229">
        <f>Итоговая!E218</f>
        <v>0</v>
      </c>
      <c r="F217" s="229">
        <f>Итоговая!F218</f>
        <v>0</v>
      </c>
      <c r="G217" s="229">
        <f>Итоговая!G218</f>
        <v>0</v>
      </c>
      <c r="H217" s="229">
        <f>Итоговая!H218</f>
        <v>0</v>
      </c>
      <c r="I217" s="172">
        <f>Итоговая!Q218</f>
        <v>0.7</v>
      </c>
      <c r="J217" s="172">
        <f>Итоговая!R218</f>
        <v>0.7</v>
      </c>
      <c r="K217" s="212" t="str">
        <f>Итоговая!S218</f>
        <v>открыт</v>
      </c>
      <c r="L217" s="259" t="str">
        <f>Итоговая!T218</f>
        <v>открыт</v>
      </c>
      <c r="M217" s="757">
        <f>Итоговая!U218</f>
        <v>32.142857142857139</v>
      </c>
      <c r="N217" s="902"/>
      <c r="O217" s="902"/>
      <c r="P217" s="902"/>
    </row>
    <row r="218" spans="1:16" ht="20.100000000000001" hidden="1" customHeight="1" x14ac:dyDescent="0.25">
      <c r="A218" s="212">
        <f>Итоговая!A219</f>
        <v>157</v>
      </c>
      <c r="B218" s="212">
        <f>COUNTIFS($C$8:C218,"*ПС*",$L$8:L218,"*закрыт*")</f>
        <v>18</v>
      </c>
      <c r="C218" s="212" t="str">
        <f>Итоговая!C219</f>
        <v>ПС 110/10 кВ Понизовье</v>
      </c>
      <c r="D218" s="230">
        <f>Итоговая!D219</f>
        <v>2.5</v>
      </c>
      <c r="E218" s="229">
        <f>Итоговая!E219</f>
        <v>0</v>
      </c>
      <c r="F218" s="229">
        <f>Итоговая!F219</f>
        <v>0</v>
      </c>
      <c r="G218" s="229">
        <f>Итоговая!G219</f>
        <v>0</v>
      </c>
      <c r="H218" s="229">
        <f>Итоговая!H219</f>
        <v>0</v>
      </c>
      <c r="I218" s="172">
        <f>Итоговая!Q219</f>
        <v>2.0700000000000003</v>
      </c>
      <c r="J218" s="172">
        <f>Итоговая!R219</f>
        <v>2.0700000000000003</v>
      </c>
      <c r="K218" s="212" t="str">
        <f>Итоговая!S219</f>
        <v>открыт</v>
      </c>
      <c r="L218" s="259" t="str">
        <f>Итоговая!T219</f>
        <v>открыт</v>
      </c>
      <c r="M218" s="757">
        <f>Итоговая!U219</f>
        <v>14.476190476190476</v>
      </c>
      <c r="N218" s="902"/>
      <c r="O218" s="902"/>
      <c r="P218" s="902"/>
    </row>
    <row r="219" spans="1:16" s="232" customFormat="1" ht="15" hidden="1" customHeight="1" x14ac:dyDescent="0.25">
      <c r="A219" s="212">
        <f>Итоговая!A220</f>
        <v>158</v>
      </c>
      <c r="B219" s="212">
        <f>COUNTIFS($C$8:C219,"*ПС*",$L$8:L219,"*закрыт*")</f>
        <v>18</v>
      </c>
      <c r="C219" s="212" t="str">
        <f>Итоговая!C220</f>
        <v>ПС 35/10 кВ Синьково</v>
      </c>
      <c r="D219" s="230">
        <f>Итоговая!D220</f>
        <v>1</v>
      </c>
      <c r="E219" s="229">
        <f>Итоговая!E220</f>
        <v>0</v>
      </c>
      <c r="F219" s="229">
        <f>Итоговая!F220</f>
        <v>0</v>
      </c>
      <c r="G219" s="229">
        <f>Итоговая!G220</f>
        <v>0</v>
      </c>
      <c r="H219" s="229">
        <f>Итоговая!H220</f>
        <v>0</v>
      </c>
      <c r="I219" s="172">
        <f>Итоговая!Q220</f>
        <v>0.10000000000000003</v>
      </c>
      <c r="J219" s="172">
        <f>Итоговая!R220</f>
        <v>0.10000000000000003</v>
      </c>
      <c r="K219" s="212" t="str">
        <f>Итоговая!S220</f>
        <v>открыт</v>
      </c>
      <c r="L219" s="259" t="str">
        <f>Итоговая!T220</f>
        <v>открыт</v>
      </c>
      <c r="M219" s="757">
        <f>Итоговая!U220</f>
        <v>33.333333333333329</v>
      </c>
      <c r="N219" s="902"/>
      <c r="O219" s="902"/>
      <c r="P219" s="902"/>
    </row>
    <row r="220" spans="1:16" ht="20.100000000000001" customHeight="1" x14ac:dyDescent="0.25">
      <c r="A220" s="212">
        <f>Итоговая!A221</f>
        <v>159</v>
      </c>
      <c r="B220" s="212">
        <f>COUNTIFS($C$8:C220,"*ПС*",$L$8:L220,"*закрыт*")</f>
        <v>19</v>
      </c>
      <c r="C220" s="212" t="str">
        <f>Итоговая!C221</f>
        <v>ПС 35/10 кВ Улин</v>
      </c>
      <c r="D220" s="230">
        <f>Итоговая!D221</f>
        <v>1.6</v>
      </c>
      <c r="E220" s="229">
        <f>Итоговая!E221</f>
        <v>0</v>
      </c>
      <c r="F220" s="229">
        <f>Итоговая!F221</f>
        <v>0</v>
      </c>
      <c r="G220" s="229">
        <f>Итоговая!G221</f>
        <v>0</v>
      </c>
      <c r="H220" s="229">
        <f>Итоговая!H221</f>
        <v>0</v>
      </c>
      <c r="I220" s="172">
        <f>Итоговая!Q221</f>
        <v>-0.34</v>
      </c>
      <c r="J220" s="172">
        <f>Итоговая!R221</f>
        <v>-0.34</v>
      </c>
      <c r="K220" s="212" t="str">
        <f>Итоговая!S221</f>
        <v>закрыт</v>
      </c>
      <c r="L220" s="259" t="str">
        <f>Итоговая!T221</f>
        <v>закрыт</v>
      </c>
      <c r="M220" s="757">
        <f>Итоговая!U221</f>
        <v>20.238095238095237</v>
      </c>
      <c r="N220" s="907"/>
      <c r="O220" s="907"/>
      <c r="P220" s="907"/>
    </row>
    <row r="221" spans="1:16" s="232" customFormat="1" ht="15" hidden="1" customHeight="1" x14ac:dyDescent="0.25">
      <c r="A221" s="212">
        <f>Итоговая!A222</f>
        <v>160</v>
      </c>
      <c r="B221" s="212">
        <f>COUNTIFS($C$8:C221,"*ПС*",$L$8:L221,"*закрыт*")</f>
        <v>19</v>
      </c>
      <c r="C221" s="212" t="str">
        <f>Итоговая!C222</f>
        <v>ПС 35/10 кВ Кавельщино</v>
      </c>
      <c r="D221" s="230">
        <f>Итоговая!D222</f>
        <v>2.5</v>
      </c>
      <c r="E221" s="229">
        <f>Итоговая!E222</f>
        <v>0</v>
      </c>
      <c r="F221" s="229">
        <f>Итоговая!F222</f>
        <v>0</v>
      </c>
      <c r="G221" s="229">
        <f>Итоговая!G222</f>
        <v>0</v>
      </c>
      <c r="H221" s="229">
        <f>Итоговая!H222</f>
        <v>0</v>
      </c>
      <c r="I221" s="172">
        <f>Итоговая!Q222</f>
        <v>1.69</v>
      </c>
      <c r="J221" s="172">
        <f>Итоговая!R222</f>
        <v>1.69</v>
      </c>
      <c r="K221" s="757" t="str">
        <f>Итоговая!S222</f>
        <v>открыт</v>
      </c>
      <c r="L221" s="259" t="str">
        <f>Итоговая!T222</f>
        <v>открыт</v>
      </c>
      <c r="M221" s="757">
        <f>Итоговая!U222</f>
        <v>4.9523809523809526</v>
      </c>
      <c r="N221" s="902"/>
      <c r="O221" s="902"/>
      <c r="P221" s="902"/>
    </row>
    <row r="222" spans="1:16" s="232" customFormat="1" ht="15" hidden="1" customHeight="1" x14ac:dyDescent="0.25">
      <c r="A222" s="212">
        <f>Итоговая!A223</f>
        <v>161</v>
      </c>
      <c r="B222" s="212">
        <f>COUNTIFS($C$8:C222,"*ПС*",$L$8:L222,"*закрыт*")</f>
        <v>19</v>
      </c>
      <c r="C222" s="212" t="str">
        <f>Итоговая!C223</f>
        <v>ПС 35/10 кВ Бологово</v>
      </c>
      <c r="D222" s="230">
        <f>Итоговая!D223</f>
        <v>1.6</v>
      </c>
      <c r="E222" s="229" t="str">
        <f>Итоговая!E223</f>
        <v>+</v>
      </c>
      <c r="F222" s="229">
        <f>Итоговая!F223</f>
        <v>2.5</v>
      </c>
      <c r="G222" s="229">
        <f>Итоговая!G223</f>
        <v>0</v>
      </c>
      <c r="H222" s="229">
        <f>Итоговая!H223</f>
        <v>0</v>
      </c>
      <c r="I222" s="172">
        <f>Итоговая!Q223</f>
        <v>1.3900000000000001</v>
      </c>
      <c r="J222" s="172">
        <f>Итоговая!R223</f>
        <v>1.3900000000000001</v>
      </c>
      <c r="K222" s="757" t="str">
        <f>Итоговая!S223</f>
        <v>открыт</v>
      </c>
      <c r="L222" s="259" t="str">
        <f>Итоговая!T223</f>
        <v>открыт</v>
      </c>
      <c r="M222" s="757">
        <f>Итоговая!U223</f>
        <v>33.928571428571423</v>
      </c>
      <c r="N222" s="902"/>
      <c r="O222" s="902"/>
      <c r="P222" s="902"/>
    </row>
    <row r="223" spans="1:16" s="232" customFormat="1" ht="15" hidden="1" customHeight="1" x14ac:dyDescent="0.25">
      <c r="A223" s="212">
        <f>Итоговая!A224</f>
        <v>162</v>
      </c>
      <c r="B223" s="212">
        <f>COUNTIFS($C$8:C223,"*ПС*",$L$8:L223,"*закрыт*")</f>
        <v>19</v>
      </c>
      <c r="C223" s="212" t="str">
        <f>Итоговая!C224</f>
        <v>ПС 35/10 кВ Верховье</v>
      </c>
      <c r="D223" s="230">
        <f>Итоговая!D224</f>
        <v>1</v>
      </c>
      <c r="E223" s="229" t="str">
        <f>Итоговая!E224</f>
        <v>+</v>
      </c>
      <c r="F223" s="229">
        <f>Итоговая!F224</f>
        <v>2.5</v>
      </c>
      <c r="G223" s="229">
        <f>Итоговая!G224</f>
        <v>0</v>
      </c>
      <c r="H223" s="229">
        <f>Итоговая!H224</f>
        <v>0</v>
      </c>
      <c r="I223" s="172">
        <f>Итоговая!Q224</f>
        <v>0.82000000000000006</v>
      </c>
      <c r="J223" s="172">
        <f>Итоговая!R224</f>
        <v>0.82000000000000006</v>
      </c>
      <c r="K223" s="757" t="str">
        <f>Итоговая!S224</f>
        <v>открыт</v>
      </c>
      <c r="L223" s="259" t="str">
        <f>Итоговая!T224</f>
        <v>открыт</v>
      </c>
      <c r="M223" s="757">
        <f>Итоговая!U224</f>
        <v>32.38095238095238</v>
      </c>
      <c r="N223" s="902"/>
      <c r="O223" s="902"/>
      <c r="P223" s="902"/>
    </row>
    <row r="224" spans="1:16" s="232" customFormat="1" ht="15" hidden="1" customHeight="1" x14ac:dyDescent="0.25">
      <c r="A224" s="212">
        <f>Итоговая!A225</f>
        <v>163</v>
      </c>
      <c r="B224" s="212">
        <f>COUNTIFS($C$8:C224,"*ПС*",$L$8:L224,"*закрыт*")</f>
        <v>19</v>
      </c>
      <c r="C224" s="212" t="str">
        <f>Итоговая!C225</f>
        <v>ПС 35/10 кВ Воскресенское</v>
      </c>
      <c r="D224" s="230">
        <f>Итоговая!D225</f>
        <v>1.6</v>
      </c>
      <c r="E224" s="229" t="str">
        <f>Итоговая!E225</f>
        <v>+</v>
      </c>
      <c r="F224" s="229">
        <f>Итоговая!F225</f>
        <v>1.6</v>
      </c>
      <c r="G224" s="229">
        <f>Итоговая!G225</f>
        <v>0</v>
      </c>
      <c r="H224" s="229">
        <f>Итоговая!H225</f>
        <v>0</v>
      </c>
      <c r="I224" s="172">
        <f>Итоговая!Q225</f>
        <v>1.4400000000000002</v>
      </c>
      <c r="J224" s="172">
        <f>Итоговая!R225</f>
        <v>1.4400000000000002</v>
      </c>
      <c r="K224" s="757" t="str">
        <f>Итоговая!S225</f>
        <v>открыт</v>
      </c>
      <c r="L224" s="259" t="str">
        <f>Итоговая!T225</f>
        <v>открыт</v>
      </c>
      <c r="M224" s="757">
        <f>Итоговая!U225</f>
        <v>27.38095238095238</v>
      </c>
      <c r="N224" s="902"/>
      <c r="O224" s="902"/>
      <c r="P224" s="902"/>
    </row>
    <row r="225" spans="1:16" s="232" customFormat="1" ht="15" hidden="1" customHeight="1" x14ac:dyDescent="0.25">
      <c r="A225" s="212">
        <f>Итоговая!A226</f>
        <v>164</v>
      </c>
      <c r="B225" s="212">
        <f>COUNTIFS($C$8:C225,"*ПС*",$L$8:L225,"*закрыт*")</f>
        <v>19</v>
      </c>
      <c r="C225" s="212" t="str">
        <f>Итоговая!C226</f>
        <v>ПС 35/10 кВ Дашково</v>
      </c>
      <c r="D225" s="230">
        <f>Итоговая!D226</f>
        <v>4</v>
      </c>
      <c r="E225" s="229" t="str">
        <f>Итоговая!E226</f>
        <v>+</v>
      </c>
      <c r="F225" s="229">
        <f>Итоговая!F226</f>
        <v>4</v>
      </c>
      <c r="G225" s="229">
        <f>Итоговая!G226</f>
        <v>0</v>
      </c>
      <c r="H225" s="229">
        <f>Итоговая!H226</f>
        <v>0</v>
      </c>
      <c r="I225" s="172">
        <f>Итоговая!Q226</f>
        <v>3.52</v>
      </c>
      <c r="J225" s="172">
        <f>Итоговая!R226</f>
        <v>3.52</v>
      </c>
      <c r="K225" s="757" t="str">
        <f>Итоговая!S226</f>
        <v>открыт</v>
      </c>
      <c r="L225" s="259" t="str">
        <f>Итоговая!T226</f>
        <v>открыт</v>
      </c>
      <c r="M225" s="757">
        <f>Итоговая!U226</f>
        <v>36.666666666666664</v>
      </c>
      <c r="N225" s="902"/>
      <c r="O225" s="902"/>
      <c r="P225" s="902"/>
    </row>
    <row r="226" spans="1:16" s="232" customFormat="1" ht="15" hidden="1" customHeight="1" x14ac:dyDescent="0.25">
      <c r="A226" s="212">
        <f>Итоговая!A227</f>
        <v>165</v>
      </c>
      <c r="B226" s="212">
        <f>COUNTIFS($C$8:C226,"*ПС*",$L$8:L226,"*закрыт*")</f>
        <v>19</v>
      </c>
      <c r="C226" s="212" t="str">
        <f>Итоговая!C227</f>
        <v>ПС 110/10 кВ Ерохино</v>
      </c>
      <c r="D226" s="230">
        <f>Итоговая!D227</f>
        <v>25</v>
      </c>
      <c r="E226" s="229" t="str">
        <f>Итоговая!E227</f>
        <v>+</v>
      </c>
      <c r="F226" s="229">
        <f>Итоговая!F227</f>
        <v>25</v>
      </c>
      <c r="G226" s="229">
        <f>Итоговая!G227</f>
        <v>0</v>
      </c>
      <c r="H226" s="229">
        <f>Итоговая!H227</f>
        <v>0</v>
      </c>
      <c r="I226" s="784">
        <f>Итоговая!Q227</f>
        <v>23.52</v>
      </c>
      <c r="J226" s="784">
        <f>Итоговая!R227</f>
        <v>23.52</v>
      </c>
      <c r="K226" s="785" t="str">
        <f>Итоговая!S227</f>
        <v>открыт</v>
      </c>
      <c r="L226" s="259" t="str">
        <f>Итоговая!T227</f>
        <v>открыт</v>
      </c>
      <c r="M226" s="785">
        <f>Итоговая!U227</f>
        <v>10.4</v>
      </c>
      <c r="N226" s="902"/>
      <c r="O226" s="902"/>
      <c r="P226" s="902"/>
    </row>
    <row r="227" spans="1:16" s="232" customFormat="1" ht="15" hidden="1" customHeight="1" x14ac:dyDescent="0.25">
      <c r="A227" s="212">
        <f>Итоговая!A228</f>
        <v>166</v>
      </c>
      <c r="B227" s="212">
        <f>COUNTIFS($C$8:C227,"*ПС*",$L$8:L227,"*закрыт*")</f>
        <v>19</v>
      </c>
      <c r="C227" s="212" t="str">
        <f>Итоговая!C228</f>
        <v>ПС 35/10 кВ Ильино</v>
      </c>
      <c r="D227" s="230">
        <f>Итоговая!D228</f>
        <v>1.6</v>
      </c>
      <c r="E227" s="229" t="str">
        <f>Итоговая!E228</f>
        <v>+</v>
      </c>
      <c r="F227" s="229">
        <f>Итоговая!F228</f>
        <v>2.5</v>
      </c>
      <c r="G227" s="229">
        <f>Итоговая!G228</f>
        <v>0</v>
      </c>
      <c r="H227" s="229">
        <f>Итоговая!H228</f>
        <v>0</v>
      </c>
      <c r="I227" s="172">
        <f>Итоговая!Q228</f>
        <v>1.3600000000000003</v>
      </c>
      <c r="J227" s="172">
        <f>Итоговая!R228</f>
        <v>1.3600000000000003</v>
      </c>
      <c r="K227" s="757" t="str">
        <f>Итоговая!S228</f>
        <v>открыт</v>
      </c>
      <c r="L227" s="259" t="str">
        <f>Итоговая!T228</f>
        <v>открыт</v>
      </c>
      <c r="M227" s="757">
        <f>Итоговая!U228</f>
        <v>41.666666666666664</v>
      </c>
      <c r="N227" s="902"/>
      <c r="O227" s="902"/>
      <c r="P227" s="902"/>
    </row>
    <row r="228" spans="1:16" s="232" customFormat="1" ht="15" hidden="1" customHeight="1" x14ac:dyDescent="0.25">
      <c r="A228" s="212">
        <f>Итоговая!A229</f>
        <v>167</v>
      </c>
      <c r="B228" s="212">
        <f>COUNTIFS($C$8:C228,"*ПС*",$L$8:L228,"*закрыт*")</f>
        <v>19</v>
      </c>
      <c r="C228" s="212" t="str">
        <f>Итоговая!C229</f>
        <v>ПС 35/10 кВ Плоскошь</v>
      </c>
      <c r="D228" s="230">
        <f>Итоговая!D229</f>
        <v>3.2</v>
      </c>
      <c r="E228" s="229" t="str">
        <f>Итоговая!E229</f>
        <v>+</v>
      </c>
      <c r="F228" s="229">
        <f>Итоговая!F229</f>
        <v>4</v>
      </c>
      <c r="G228" s="229">
        <f>Итоговая!G229</f>
        <v>0</v>
      </c>
      <c r="H228" s="229">
        <f>Итоговая!H229</f>
        <v>0</v>
      </c>
      <c r="I228" s="172">
        <f>Итоговая!Q229</f>
        <v>3.12</v>
      </c>
      <c r="J228" s="172">
        <f>Итоговая!R229</f>
        <v>3.12</v>
      </c>
      <c r="K228" s="757" t="str">
        <f>Итоговая!S229</f>
        <v>открыт</v>
      </c>
      <c r="L228" s="259" t="str">
        <f>Итоговая!T229</f>
        <v>открыт</v>
      </c>
      <c r="M228" s="757">
        <f>Итоговая!U229</f>
        <v>23.809523809523807</v>
      </c>
      <c r="N228" s="902"/>
      <c r="O228" s="902"/>
      <c r="P228" s="902"/>
    </row>
    <row r="229" spans="1:16" s="232" customFormat="1" ht="15" hidden="1" customHeight="1" x14ac:dyDescent="0.25">
      <c r="A229" s="212">
        <f>Итоговая!A230</f>
        <v>168</v>
      </c>
      <c r="B229" s="212">
        <f>COUNTIFS($C$8:C229,"*ПС*",$L$8:L229,"*закрыт*")</f>
        <v>19</v>
      </c>
      <c r="C229" s="212" t="str">
        <f>Итоговая!C230</f>
        <v>ПС 35/6 кВ Половцово</v>
      </c>
      <c r="D229" s="230">
        <f>Итоговая!D230</f>
        <v>5.6</v>
      </c>
      <c r="E229" s="229" t="str">
        <f>Итоговая!E230</f>
        <v>+</v>
      </c>
      <c r="F229" s="229">
        <f>Итоговая!F230</f>
        <v>5.6</v>
      </c>
      <c r="G229" s="229">
        <f>Итоговая!G230</f>
        <v>0</v>
      </c>
      <c r="H229" s="229">
        <f>Итоговая!H230</f>
        <v>0</v>
      </c>
      <c r="I229" s="172">
        <f>Итоговая!Q230</f>
        <v>1.79</v>
      </c>
      <c r="J229" s="172">
        <f>Итоговая!R230</f>
        <v>1.79</v>
      </c>
      <c r="K229" s="757" t="str">
        <f>Итоговая!S230</f>
        <v>открыт</v>
      </c>
      <c r="L229" s="259" t="str">
        <f>Итоговая!T230</f>
        <v>открыт</v>
      </c>
      <c r="M229" s="757">
        <f>Итоговая!U230</f>
        <v>69.557823129251702</v>
      </c>
      <c r="N229" s="902"/>
      <c r="O229" s="902"/>
      <c r="P229" s="902"/>
    </row>
    <row r="230" spans="1:16" s="232" customFormat="1" ht="15" hidden="1" customHeight="1" x14ac:dyDescent="0.25">
      <c r="A230" s="212">
        <f>Итоговая!A231</f>
        <v>169</v>
      </c>
      <c r="B230" s="212">
        <f>COUNTIFS($C$8:C230,"*ПС*",$L$8:L230,"*закрыт*")</f>
        <v>19</v>
      </c>
      <c r="C230" s="212" t="str">
        <f>Итоговая!C231</f>
        <v>ПС 35/10 кВ Ст. Торопа</v>
      </c>
      <c r="D230" s="230">
        <f>Итоговая!D231</f>
        <v>4</v>
      </c>
      <c r="E230" s="229" t="str">
        <f>Итоговая!E231</f>
        <v>+</v>
      </c>
      <c r="F230" s="229">
        <f>Итоговая!F231</f>
        <v>4</v>
      </c>
      <c r="G230" s="229">
        <f>Итоговая!G231</f>
        <v>0</v>
      </c>
      <c r="H230" s="229">
        <f>Итоговая!H231</f>
        <v>0</v>
      </c>
      <c r="I230" s="172">
        <f>Итоговая!Q231</f>
        <v>2.3100000000000005</v>
      </c>
      <c r="J230" s="172">
        <f>Итоговая!R231</f>
        <v>2.3100000000000005</v>
      </c>
      <c r="K230" s="757" t="str">
        <f>Итоговая!S231</f>
        <v>открыт</v>
      </c>
      <c r="L230" s="259" t="str">
        <f>Итоговая!T231</f>
        <v>открыт</v>
      </c>
      <c r="M230" s="757">
        <f>Итоговая!U231</f>
        <v>45</v>
      </c>
      <c r="N230" s="902"/>
      <c r="O230" s="902"/>
      <c r="P230" s="902"/>
    </row>
    <row r="231" spans="1:16" s="232" customFormat="1" ht="15" hidden="1" customHeight="1" x14ac:dyDescent="0.25">
      <c r="A231" s="2419">
        <f>Итоговая!A232</f>
        <v>170</v>
      </c>
      <c r="B231" s="2423">
        <f>COUNTIFS($C$8:C231,"*ПС*",$L$8:L231,"*закрыт*")</f>
        <v>19</v>
      </c>
      <c r="C231" s="212" t="str">
        <f>Итоговая!C232</f>
        <v>ПС 110/35/10 кВ Андреаполь</v>
      </c>
      <c r="D231" s="230">
        <f>Итоговая!D232</f>
        <v>10</v>
      </c>
      <c r="E231" s="229" t="str">
        <f>Итоговая!E232</f>
        <v>+</v>
      </c>
      <c r="F231" s="229">
        <f>Итоговая!F232</f>
        <v>10</v>
      </c>
      <c r="G231" s="229">
        <f>Итоговая!G232</f>
        <v>0</v>
      </c>
      <c r="H231" s="229">
        <f>Итоговая!H232</f>
        <v>0</v>
      </c>
      <c r="I231" s="172">
        <f>Итоговая!Q232</f>
        <v>3.1800000000000006</v>
      </c>
      <c r="J231" s="2420">
        <f>Итоговая!R232</f>
        <v>3.1800000000000006</v>
      </c>
      <c r="K231" s="2398" t="str">
        <f>Итоговая!S232</f>
        <v>открыт</v>
      </c>
      <c r="L231" s="259" t="str">
        <f>Итоговая!T232</f>
        <v>открыт</v>
      </c>
      <c r="M231" s="2398">
        <f>Итоговая!U232</f>
        <v>75.809523809523796</v>
      </c>
      <c r="N231" s="902"/>
      <c r="O231" s="902"/>
      <c r="P231" s="902"/>
    </row>
    <row r="232" spans="1:16" s="232" customFormat="1" ht="15" hidden="1" customHeight="1" x14ac:dyDescent="0.25">
      <c r="A232" s="2419">
        <f>Итоговая!A233</f>
        <v>0</v>
      </c>
      <c r="B232" s="2440"/>
      <c r="C232" s="7" t="str">
        <f>Итоговая!C233</f>
        <v xml:space="preserve">Ном. Мощность СН, МВА </v>
      </c>
      <c r="D232" s="230">
        <f>Итоговая!D233</f>
        <v>10</v>
      </c>
      <c r="E232" s="229" t="str">
        <f>Итоговая!E233</f>
        <v>+</v>
      </c>
      <c r="F232" s="229">
        <f>Итоговая!F233</f>
        <v>10</v>
      </c>
      <c r="G232" s="229">
        <f>Итоговая!G233</f>
        <v>0</v>
      </c>
      <c r="H232" s="229">
        <f>Итоговая!H233</f>
        <v>0</v>
      </c>
      <c r="I232" s="172">
        <f>Итоговая!Q233</f>
        <v>7.4700000000000006</v>
      </c>
      <c r="J232" s="2420">
        <f>Итоговая!R233</f>
        <v>0</v>
      </c>
      <c r="K232" s="2399">
        <f>Итоговая!S233</f>
        <v>0</v>
      </c>
      <c r="L232" s="259" t="str">
        <f>Итоговая!T233</f>
        <v>открыт</v>
      </c>
      <c r="M232" s="2399">
        <f>Итоговая!U233</f>
        <v>0</v>
      </c>
      <c r="N232" s="902"/>
      <c r="O232" s="902"/>
      <c r="P232" s="902"/>
    </row>
    <row r="233" spans="1:16" s="232" customFormat="1" ht="15" hidden="1" customHeight="1" x14ac:dyDescent="0.25">
      <c r="A233" s="2419">
        <f>Итоговая!A234</f>
        <v>0</v>
      </c>
      <c r="B233" s="2441"/>
      <c r="C233" s="7" t="str">
        <f>Итоговая!C234</f>
        <v>Ном. мощность НН, МВА</v>
      </c>
      <c r="D233" s="230">
        <f>Итоговая!D234</f>
        <v>10</v>
      </c>
      <c r="E233" s="229" t="str">
        <f>Итоговая!E234</f>
        <v>+</v>
      </c>
      <c r="F233" s="229">
        <f>Итоговая!F234</f>
        <v>10</v>
      </c>
      <c r="G233" s="229">
        <f>Итоговая!G234</f>
        <v>0</v>
      </c>
      <c r="H233" s="229">
        <f>Итоговая!H234</f>
        <v>0</v>
      </c>
      <c r="I233" s="172">
        <f>Итоговая!Q234</f>
        <v>6.21</v>
      </c>
      <c r="J233" s="2420">
        <f>Итоговая!R234</f>
        <v>0</v>
      </c>
      <c r="K233" s="2399">
        <f>Итоговая!S234</f>
        <v>0</v>
      </c>
      <c r="L233" s="259" t="str">
        <f>Итоговая!T234</f>
        <v>открыт</v>
      </c>
      <c r="M233" s="2399">
        <f>Итоговая!U234</f>
        <v>0</v>
      </c>
      <c r="N233" s="902"/>
      <c r="O233" s="902"/>
      <c r="P233" s="902"/>
    </row>
    <row r="234" spans="1:16" s="232" customFormat="1" ht="15" hidden="1" customHeight="1" x14ac:dyDescent="0.25">
      <c r="A234" s="2419">
        <f>Итоговая!A235</f>
        <v>171</v>
      </c>
      <c r="B234" s="2423">
        <f>COUNTIFS($C$8:C234,"*ПС*",$L$8:L234,"*закрыт*")</f>
        <v>19</v>
      </c>
      <c r="C234" s="212" t="str">
        <f>Итоговая!C235</f>
        <v>ПС 110/35/10 кВ Белый</v>
      </c>
      <c r="D234" s="230">
        <f>Итоговая!D235</f>
        <v>16</v>
      </c>
      <c r="E234" s="229" t="str">
        <f>Итоговая!E235</f>
        <v>+</v>
      </c>
      <c r="F234" s="229">
        <f>Итоговая!F235</f>
        <v>10</v>
      </c>
      <c r="G234" s="229">
        <f>Итоговая!G235</f>
        <v>0</v>
      </c>
      <c r="H234" s="229">
        <f>Итоговая!H235</f>
        <v>0</v>
      </c>
      <c r="I234" s="172">
        <f>Итоговая!Q235</f>
        <v>6.1899999999999995</v>
      </c>
      <c r="J234" s="2420">
        <f>Итоговая!R235</f>
        <v>6.1899999999999995</v>
      </c>
      <c r="K234" s="2398" t="str">
        <f>Итоговая!S235</f>
        <v>открыт</v>
      </c>
      <c r="L234" s="259" t="str">
        <f>Итоговая!T235</f>
        <v>открыт</v>
      </c>
      <c r="M234" s="2398">
        <f>Итоговая!U235</f>
        <v>54.38095238095238</v>
      </c>
      <c r="N234" s="902"/>
      <c r="O234" s="902"/>
      <c r="P234" s="902"/>
    </row>
    <row r="235" spans="1:16" s="232" customFormat="1" ht="15" hidden="1" customHeight="1" x14ac:dyDescent="0.25">
      <c r="A235" s="2419">
        <f>Итоговая!A236</f>
        <v>0</v>
      </c>
      <c r="B235" s="2440"/>
      <c r="C235" s="7" t="str">
        <f>Итоговая!C236</f>
        <v xml:space="preserve">Ном. Мощность СН, МВА </v>
      </c>
      <c r="D235" s="230">
        <f>Итоговая!D236</f>
        <v>16</v>
      </c>
      <c r="E235" s="229" t="str">
        <f>Итоговая!E236</f>
        <v>+</v>
      </c>
      <c r="F235" s="229">
        <f>Итоговая!F236</f>
        <v>10</v>
      </c>
      <c r="G235" s="229">
        <f>Итоговая!G236</f>
        <v>0</v>
      </c>
      <c r="H235" s="229">
        <f>Итоговая!H236</f>
        <v>0</v>
      </c>
      <c r="I235" s="172">
        <f>Итоговая!Q236</f>
        <v>8.2100000000000009</v>
      </c>
      <c r="J235" s="2420">
        <f>Итоговая!R236</f>
        <v>0</v>
      </c>
      <c r="K235" s="2399">
        <f>Итоговая!S236</f>
        <v>0</v>
      </c>
      <c r="L235" s="259" t="str">
        <f>Итоговая!T236</f>
        <v>открыт</v>
      </c>
      <c r="M235" s="2399">
        <f>Итоговая!U236</f>
        <v>0</v>
      </c>
      <c r="N235" s="902"/>
      <c r="O235" s="902"/>
      <c r="P235" s="902"/>
    </row>
    <row r="236" spans="1:16" s="232" customFormat="1" ht="15" hidden="1" customHeight="1" x14ac:dyDescent="0.25">
      <c r="A236" s="2419">
        <f>Итоговая!A237</f>
        <v>0</v>
      </c>
      <c r="B236" s="2441"/>
      <c r="C236" s="7" t="str">
        <f>Итоговая!C237</f>
        <v>Ном. мощность НН, МВА</v>
      </c>
      <c r="D236" s="230">
        <f>Итоговая!D237</f>
        <v>16</v>
      </c>
      <c r="E236" s="229" t="str">
        <f>Итоговая!E237</f>
        <v>+</v>
      </c>
      <c r="F236" s="229">
        <f>Итоговая!F237</f>
        <v>10</v>
      </c>
      <c r="G236" s="229">
        <f>Итоговая!G237</f>
        <v>0</v>
      </c>
      <c r="H236" s="229">
        <f>Итоговая!H237</f>
        <v>0</v>
      </c>
      <c r="I236" s="172">
        <f>Итоговая!Q237</f>
        <v>8.48</v>
      </c>
      <c r="J236" s="2420">
        <f>Итоговая!R237</f>
        <v>0</v>
      </c>
      <c r="K236" s="2399">
        <f>Итоговая!S237</f>
        <v>0</v>
      </c>
      <c r="L236" s="259" t="str">
        <f>Итоговая!T237</f>
        <v>открыт</v>
      </c>
      <c r="M236" s="2399">
        <f>Итоговая!U237</f>
        <v>0</v>
      </c>
      <c r="N236" s="902"/>
      <c r="O236" s="902"/>
      <c r="P236" s="902"/>
    </row>
    <row r="237" spans="1:16" s="232" customFormat="1" ht="15" hidden="1" customHeight="1" x14ac:dyDescent="0.25">
      <c r="A237" s="2419">
        <f>Итоговая!A238</f>
        <v>172</v>
      </c>
      <c r="B237" s="2423">
        <f>COUNTIFS($C$8:C237,"*ПС*",$L$8:L237,"*закрыт*")</f>
        <v>19</v>
      </c>
      <c r="C237" s="212" t="str">
        <f>Итоговая!C238</f>
        <v>ПС 110/35/10 кВ Западная Двина</v>
      </c>
      <c r="D237" s="230">
        <f>Итоговая!D238</f>
        <v>10</v>
      </c>
      <c r="E237" s="229" t="str">
        <f>Итоговая!E238</f>
        <v>+</v>
      </c>
      <c r="F237" s="229">
        <f>Итоговая!F238</f>
        <v>10</v>
      </c>
      <c r="G237" s="229">
        <f>Итоговая!G238</f>
        <v>0</v>
      </c>
      <c r="H237" s="229">
        <f>Итоговая!H238</f>
        <v>0</v>
      </c>
      <c r="I237" s="172">
        <f>Итоговая!Q238</f>
        <v>3.1000000000000014</v>
      </c>
      <c r="J237" s="2420">
        <f>Итоговая!R238</f>
        <v>3.1000000000000014</v>
      </c>
      <c r="K237" s="2398" t="str">
        <f>Итоговая!S238</f>
        <v>открыт</v>
      </c>
      <c r="L237" s="259" t="str">
        <f>Итоговая!T238</f>
        <v>открыт</v>
      </c>
      <c r="M237" s="2398">
        <f>Итоговая!U238</f>
        <v>82.190476190476176</v>
      </c>
      <c r="N237" s="902"/>
      <c r="O237" s="902"/>
      <c r="P237" s="902"/>
    </row>
    <row r="238" spans="1:16" s="232" customFormat="1" ht="15" hidden="1" customHeight="1" x14ac:dyDescent="0.25">
      <c r="A238" s="2419">
        <f>Итоговая!A239</f>
        <v>0</v>
      </c>
      <c r="B238" s="2440"/>
      <c r="C238" s="7" t="str">
        <f>Итоговая!C239</f>
        <v xml:space="preserve">Ном. Мощность СН, МВА </v>
      </c>
      <c r="D238" s="230">
        <f>Итоговая!D239</f>
        <v>10</v>
      </c>
      <c r="E238" s="229" t="str">
        <f>Итоговая!E239</f>
        <v>+</v>
      </c>
      <c r="F238" s="229">
        <f>Итоговая!F239</f>
        <v>10</v>
      </c>
      <c r="G238" s="229">
        <f>Итоговая!G239</f>
        <v>0</v>
      </c>
      <c r="H238" s="229">
        <f>Итоговая!H239</f>
        <v>0</v>
      </c>
      <c r="I238" s="172">
        <f>Итоговая!Q239</f>
        <v>8.9600000000000009</v>
      </c>
      <c r="J238" s="2420">
        <f>Итоговая!R239</f>
        <v>0</v>
      </c>
      <c r="K238" s="2399">
        <f>Итоговая!S239</f>
        <v>0</v>
      </c>
      <c r="L238" s="259" t="str">
        <f>Итоговая!T239</f>
        <v>открыт</v>
      </c>
      <c r="M238" s="2399">
        <f>Итоговая!U239</f>
        <v>0</v>
      </c>
      <c r="N238" s="902"/>
      <c r="O238" s="902"/>
      <c r="P238" s="902"/>
    </row>
    <row r="239" spans="1:16" ht="20.100000000000001" hidden="1" customHeight="1" x14ac:dyDescent="0.25">
      <c r="A239" s="2419">
        <f>Итоговая!A240</f>
        <v>0</v>
      </c>
      <c r="B239" s="2441"/>
      <c r="C239" s="7" t="str">
        <f>Итоговая!C240</f>
        <v>Ном. мощность НН, МВА</v>
      </c>
      <c r="D239" s="230">
        <f>Итоговая!D240</f>
        <v>10</v>
      </c>
      <c r="E239" s="229" t="str">
        <f>Итоговая!E240</f>
        <v>+</v>
      </c>
      <c r="F239" s="229">
        <f>Итоговая!F240</f>
        <v>10</v>
      </c>
      <c r="G239" s="229">
        <f>Итоговая!G240</f>
        <v>0</v>
      </c>
      <c r="H239" s="229">
        <f>Итоговая!H240</f>
        <v>0</v>
      </c>
      <c r="I239" s="172">
        <f>Итоговая!Q240</f>
        <v>4.6400000000000006</v>
      </c>
      <c r="J239" s="2420">
        <f>Итоговая!R240</f>
        <v>0</v>
      </c>
      <c r="K239" s="2399">
        <f>Итоговая!S240</f>
        <v>0</v>
      </c>
      <c r="L239" s="259" t="str">
        <f>Итоговая!T240</f>
        <v>открыт</v>
      </c>
      <c r="M239" s="2399">
        <f>Итоговая!U240</f>
        <v>0</v>
      </c>
      <c r="N239" s="902"/>
      <c r="O239" s="902"/>
      <c r="P239" s="902"/>
    </row>
    <row r="240" spans="1:16" ht="20.100000000000001" hidden="1" customHeight="1" x14ac:dyDescent="0.25">
      <c r="A240" s="2419">
        <f>Итоговая!A241</f>
        <v>173</v>
      </c>
      <c r="B240" s="2423">
        <f>COUNTIFS($C$8:C240,"*ПС*",$L$8:L240,"*закрыт*")</f>
        <v>19</v>
      </c>
      <c r="C240" s="212" t="str">
        <f>Итоговая!C241</f>
        <v>ПС 110/35/10 кВ Торопец</v>
      </c>
      <c r="D240" s="230">
        <f>Итоговая!D241</f>
        <v>25</v>
      </c>
      <c r="E240" s="229" t="str">
        <f>Итоговая!E241</f>
        <v>+</v>
      </c>
      <c r="F240" s="229">
        <f>Итоговая!F241</f>
        <v>25</v>
      </c>
      <c r="G240" s="229">
        <f>Итоговая!G241</f>
        <v>0</v>
      </c>
      <c r="H240" s="229">
        <f>Итоговая!H241</f>
        <v>0</v>
      </c>
      <c r="I240" s="172">
        <f>Итоговая!Q241</f>
        <v>11.120000000000001</v>
      </c>
      <c r="J240" s="2405">
        <f>Итоговая!R241</f>
        <v>11.120000000000001</v>
      </c>
      <c r="K240" s="2398" t="str">
        <f>Итоговая!S241</f>
        <v>открыт</v>
      </c>
      <c r="L240" s="259" t="str">
        <f>Итоговая!T241</f>
        <v>открыт</v>
      </c>
      <c r="M240" s="2398">
        <f>Итоговая!U241</f>
        <v>62.74285714285714</v>
      </c>
      <c r="N240" s="902"/>
      <c r="O240" s="902"/>
      <c r="P240" s="902"/>
    </row>
    <row r="241" spans="1:48" ht="20.100000000000001" hidden="1" customHeight="1" x14ac:dyDescent="0.25">
      <c r="A241" s="2419">
        <f>Итоговая!A242</f>
        <v>0</v>
      </c>
      <c r="B241" s="2440"/>
      <c r="C241" s="7" t="str">
        <f>Итоговая!C242</f>
        <v xml:space="preserve">Ном. Мощность СН, МВА </v>
      </c>
      <c r="D241" s="230">
        <f>Итоговая!D242</f>
        <v>25</v>
      </c>
      <c r="E241" s="229" t="str">
        <f>Итоговая!E242</f>
        <v>+</v>
      </c>
      <c r="F241" s="229">
        <f>Итоговая!F242</f>
        <v>25</v>
      </c>
      <c r="G241" s="229">
        <f>Итоговая!G242</f>
        <v>0</v>
      </c>
      <c r="H241" s="229">
        <f>Итоговая!H242</f>
        <v>0</v>
      </c>
      <c r="I241" s="172">
        <f>Итоговая!Q242</f>
        <v>22.65</v>
      </c>
      <c r="J241" s="2406">
        <f>Итоговая!R242</f>
        <v>0</v>
      </c>
      <c r="K241" s="2398">
        <f>Итоговая!S242</f>
        <v>0</v>
      </c>
      <c r="L241" s="259" t="str">
        <f>Итоговая!T242</f>
        <v>открыт</v>
      </c>
      <c r="M241" s="2398">
        <f>Итоговая!U242</f>
        <v>0</v>
      </c>
      <c r="N241" s="902"/>
      <c r="O241" s="902"/>
      <c r="P241" s="902"/>
    </row>
    <row r="242" spans="1:48" s="232" customFormat="1" ht="31.5" hidden="1" customHeight="1" x14ac:dyDescent="0.25">
      <c r="A242" s="2419">
        <f>Итоговая!A243</f>
        <v>0</v>
      </c>
      <c r="B242" s="2441"/>
      <c r="C242" s="7" t="str">
        <f>Итоговая!C243</f>
        <v>Ном. мощность НН, МВА</v>
      </c>
      <c r="D242" s="230">
        <f>Итоговая!D243</f>
        <v>25</v>
      </c>
      <c r="E242" s="229" t="str">
        <f>Итоговая!E243</f>
        <v>+</v>
      </c>
      <c r="F242" s="229">
        <f>Итоговая!F243</f>
        <v>25</v>
      </c>
      <c r="G242" s="229">
        <f>Итоговая!G243</f>
        <v>0</v>
      </c>
      <c r="H242" s="229">
        <f>Итоговая!H243</f>
        <v>0</v>
      </c>
      <c r="I242" s="172">
        <f>Итоговая!Q243</f>
        <v>14.72</v>
      </c>
      <c r="J242" s="2407">
        <f>Итоговая!R243</f>
        <v>0</v>
      </c>
      <c r="K242" s="2398">
        <f>Итоговая!S243</f>
        <v>0</v>
      </c>
      <c r="L242" s="259" t="str">
        <f>Итоговая!T243</f>
        <v>открыт</v>
      </c>
      <c r="M242" s="2398">
        <f>Итоговая!U243</f>
        <v>0</v>
      </c>
      <c r="N242" s="902"/>
      <c r="O242" s="902"/>
      <c r="P242" s="902"/>
    </row>
    <row r="243" spans="1:48" s="232" customFormat="1" ht="31.5" customHeight="1" x14ac:dyDescent="0.25">
      <c r="A243" s="212">
        <f>Итоговая!A244</f>
        <v>174</v>
      </c>
      <c r="B243" s="212">
        <f>COUNTIFS($C$8:C243,"*ПС*",$L$8:L243,"*закрыт*")</f>
        <v>20</v>
      </c>
      <c r="C243" s="212" t="str">
        <f>Итоговая!C244</f>
        <v xml:space="preserve">ПС 35/10 кВ Бахмутово </v>
      </c>
      <c r="D243" s="230">
        <f>Итоговая!D244</f>
        <v>2.5</v>
      </c>
      <c r="E243" s="229">
        <f>Итоговая!E244</f>
        <v>0</v>
      </c>
      <c r="F243" s="229">
        <f>Итоговая!F244</f>
        <v>0</v>
      </c>
      <c r="G243" s="229">
        <f>Итоговая!G244</f>
        <v>0</v>
      </c>
      <c r="H243" s="229">
        <f>Итоговая!H244</f>
        <v>0</v>
      </c>
      <c r="I243" s="172">
        <f>Итоговая!Q244</f>
        <v>-7.1157999999998223E-2</v>
      </c>
      <c r="J243" s="172">
        <f>Итоговая!R244</f>
        <v>-7.1157999999998223E-2</v>
      </c>
      <c r="K243" s="757" t="str">
        <f>Итоговая!S244</f>
        <v>закрыт</v>
      </c>
      <c r="L243" s="259" t="str">
        <f>Итоговая!T244</f>
        <v>закрыт</v>
      </c>
      <c r="M243" s="757">
        <f>Итоговая!U244</f>
        <v>12.952380952380953</v>
      </c>
      <c r="N243" s="907"/>
      <c r="O243" s="907"/>
      <c r="P243" s="907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  <c r="AA243" s="233"/>
      <c r="AB243" s="233"/>
      <c r="AC243" s="233"/>
      <c r="AD243" s="233"/>
      <c r="AE243" s="233"/>
      <c r="AF243" s="233"/>
      <c r="AG243" s="233"/>
      <c r="AH243" s="233"/>
      <c r="AI243" s="233"/>
      <c r="AJ243" s="233"/>
      <c r="AK243" s="233"/>
      <c r="AL243" s="233"/>
      <c r="AM243" s="233"/>
      <c r="AN243" s="233"/>
      <c r="AO243" s="233"/>
      <c r="AP243" s="233"/>
      <c r="AQ243" s="233"/>
      <c r="AR243" s="233"/>
      <c r="AS243" s="233"/>
      <c r="AT243" s="233"/>
      <c r="AU243" s="233"/>
      <c r="AV243" s="233"/>
    </row>
    <row r="244" spans="1:48" ht="20.100000000000001" customHeight="1" x14ac:dyDescent="0.25">
      <c r="A244" s="212">
        <f>Итоговая!A245</f>
        <v>175</v>
      </c>
      <c r="B244" s="212">
        <f>COUNTIFS($C$8:C244,"*ПС*",$L$8:L244,"*закрыт*")</f>
        <v>21</v>
      </c>
      <c r="C244" s="212" t="str">
        <f>Итоговая!C245</f>
        <v xml:space="preserve">ПС 35/10 кВ Пятницкое </v>
      </c>
      <c r="D244" s="230">
        <f>Итоговая!D245</f>
        <v>2.5</v>
      </c>
      <c r="E244" s="229">
        <f>Итоговая!E245</f>
        <v>0</v>
      </c>
      <c r="F244" s="229">
        <f>Итоговая!F245</f>
        <v>0</v>
      </c>
      <c r="G244" s="229">
        <f>Итоговая!G245</f>
        <v>0</v>
      </c>
      <c r="H244" s="229">
        <f>Итоговая!H245</f>
        <v>0</v>
      </c>
      <c r="I244" s="172">
        <f>Итоговая!Q245</f>
        <v>-5.8247999999526595E-2</v>
      </c>
      <c r="J244" s="172">
        <f>Итоговая!R245</f>
        <v>-5.8247999999526595E-2</v>
      </c>
      <c r="K244" s="757" t="str">
        <f>Итоговая!S245</f>
        <v>закрыт</v>
      </c>
      <c r="L244" s="259" t="str">
        <f>Итоговая!T245</f>
        <v>закрыт</v>
      </c>
      <c r="M244" s="757">
        <f>Итоговая!U245</f>
        <v>10.285714285714286</v>
      </c>
      <c r="N244" s="907"/>
      <c r="O244" s="907"/>
      <c r="P244" s="907"/>
    </row>
    <row r="245" spans="1:48" ht="20.100000000000001" customHeight="1" x14ac:dyDescent="0.25">
      <c r="A245" s="212">
        <f>Итоговая!A246</f>
        <v>176</v>
      </c>
      <c r="B245" s="212">
        <f>COUNTIFS($C$8:C245,"*ПС*",$L$8:L245,"*закрыт*")</f>
        <v>22</v>
      </c>
      <c r="C245" s="212" t="str">
        <f>Итоговая!C246</f>
        <v xml:space="preserve">ПС 35/10 кВ Карамзино </v>
      </c>
      <c r="D245" s="230">
        <f>Итоговая!D246</f>
        <v>1.6</v>
      </c>
      <c r="E245" s="229">
        <f>Итоговая!E246</f>
        <v>0</v>
      </c>
      <c r="F245" s="229">
        <f>Итоговая!F246</f>
        <v>0</v>
      </c>
      <c r="G245" s="229">
        <f>Итоговая!G246</f>
        <v>0</v>
      </c>
      <c r="H245" s="229">
        <f>Итоговая!H246</f>
        <v>0</v>
      </c>
      <c r="I245" s="172">
        <f>Итоговая!Q246</f>
        <v>-0.51</v>
      </c>
      <c r="J245" s="172">
        <f>Итоговая!R246</f>
        <v>-0.51</v>
      </c>
      <c r="K245" s="757" t="str">
        <f>Итоговая!S246</f>
        <v>закрыт</v>
      </c>
      <c r="L245" s="259" t="str">
        <f>Итоговая!T246</f>
        <v>закрыт</v>
      </c>
      <c r="M245" s="757">
        <f>Итоговая!U246</f>
        <v>30.357142857142854</v>
      </c>
      <c r="N245" s="907"/>
      <c r="O245" s="907"/>
      <c r="P245" s="907"/>
    </row>
    <row r="246" spans="1:48" ht="20.100000000000001" customHeight="1" x14ac:dyDescent="0.25">
      <c r="A246" s="212">
        <f>Итоговая!A247</f>
        <v>177</v>
      </c>
      <c r="B246" s="212">
        <f>COUNTIFS($C$8:C246,"*ПС*",$L$8:L246,"*закрыт*")</f>
        <v>23</v>
      </c>
      <c r="C246" s="212" t="str">
        <f>Итоговая!C247</f>
        <v xml:space="preserve">ПС 35/10 кВ Кн.Горы  </v>
      </c>
      <c r="D246" s="230">
        <f>Итоговая!D247</f>
        <v>2.5</v>
      </c>
      <c r="E246" s="229">
        <f>Итоговая!E247</f>
        <v>0</v>
      </c>
      <c r="F246" s="229">
        <f>Итоговая!F247</f>
        <v>0</v>
      </c>
      <c r="G246" s="229">
        <f>Итоговая!G247</f>
        <v>0</v>
      </c>
      <c r="H246" s="229">
        <f>Итоговая!H247</f>
        <v>0</v>
      </c>
      <c r="I246" s="172">
        <f>Итоговая!Q247</f>
        <v>-1.58</v>
      </c>
      <c r="J246" s="172">
        <f>Итоговая!R247</f>
        <v>-1.58</v>
      </c>
      <c r="K246" s="757" t="str">
        <f>Итоговая!S247</f>
        <v>закрыт</v>
      </c>
      <c r="L246" s="259" t="str">
        <f>Итоговая!T247</f>
        <v>закрыт</v>
      </c>
      <c r="M246" s="757">
        <f>Итоговая!U247</f>
        <v>60.19047619047619</v>
      </c>
      <c r="N246" s="907"/>
      <c r="O246" s="907"/>
      <c r="P246" s="907"/>
    </row>
    <row r="247" spans="1:48" s="232" customFormat="1" ht="31.5" customHeight="1" x14ac:dyDescent="0.25">
      <c r="A247" s="212">
        <f>Итоговая!A248</f>
        <v>178</v>
      </c>
      <c r="B247" s="212">
        <f>COUNTIFS($C$8:C247,"*ПС*",$L$8:L247,"*закрыт*")</f>
        <v>24</v>
      </c>
      <c r="C247" s="212" t="str">
        <f>Итоговая!C248</f>
        <v xml:space="preserve">ПС 35/10 кВ Салино </v>
      </c>
      <c r="D247" s="230">
        <f>Итоговая!D248</f>
        <v>2.5</v>
      </c>
      <c r="E247" s="229">
        <f>Итоговая!E248</f>
        <v>0</v>
      </c>
      <c r="F247" s="229">
        <f>Итоговая!F248</f>
        <v>0</v>
      </c>
      <c r="G247" s="229">
        <f>Итоговая!G248</f>
        <v>0</v>
      </c>
      <c r="H247" s="229">
        <f>Итоговая!H248</f>
        <v>0</v>
      </c>
      <c r="I247" s="172">
        <f>Итоговая!Q248</f>
        <v>-0.8</v>
      </c>
      <c r="J247" s="172">
        <f>Итоговая!R248</f>
        <v>-0.8</v>
      </c>
      <c r="K247" s="757" t="str">
        <f>Итоговая!S248</f>
        <v>закрыт</v>
      </c>
      <c r="L247" s="259" t="str">
        <f>Итоговая!T248</f>
        <v>закрыт</v>
      </c>
      <c r="M247" s="757">
        <f>Итоговая!U248</f>
        <v>30.476190476190474</v>
      </c>
      <c r="N247" s="907"/>
      <c r="O247" s="907"/>
      <c r="P247" s="907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  <c r="AA247" s="233"/>
      <c r="AB247" s="233"/>
      <c r="AC247" s="233"/>
      <c r="AD247" s="233"/>
      <c r="AE247" s="233"/>
      <c r="AF247" s="233"/>
      <c r="AG247" s="233"/>
      <c r="AH247" s="233"/>
      <c r="AI247" s="233"/>
      <c r="AJ247" s="233"/>
      <c r="AK247" s="233"/>
      <c r="AL247" s="233"/>
      <c r="AM247" s="233"/>
      <c r="AN247" s="233"/>
      <c r="AO247" s="233"/>
      <c r="AP247" s="233"/>
      <c r="AQ247" s="233"/>
      <c r="AR247" s="233"/>
      <c r="AS247" s="233"/>
      <c r="AT247" s="233"/>
      <c r="AU247" s="233"/>
      <c r="AV247" s="233"/>
    </row>
    <row r="248" spans="1:48" s="232" customFormat="1" ht="31.5" customHeight="1" x14ac:dyDescent="0.25">
      <c r="A248" s="212">
        <f>Итоговая!A249</f>
        <v>179</v>
      </c>
      <c r="B248" s="212">
        <f>COUNTIFS($C$8:C248,"*ПС*",$L$8:L248,"*закрыт*")</f>
        <v>25</v>
      </c>
      <c r="C248" s="212" t="str">
        <f>Итоговая!C249</f>
        <v xml:space="preserve">ПС 35/10 кВ Гусево </v>
      </c>
      <c r="D248" s="230">
        <f>Итоговая!D249</f>
        <v>2.5</v>
      </c>
      <c r="E248" s="229">
        <f>Итоговая!E249</f>
        <v>0</v>
      </c>
      <c r="F248" s="229">
        <f>Итоговая!F249</f>
        <v>0</v>
      </c>
      <c r="G248" s="229">
        <f>Итоговая!G249</f>
        <v>0</v>
      </c>
      <c r="H248" s="229">
        <f>Итоговая!H249</f>
        <v>0</v>
      </c>
      <c r="I248" s="172">
        <f>Итоговая!Q249</f>
        <v>-2.4383499999152791E-2</v>
      </c>
      <c r="J248" s="172">
        <f>Итоговая!R249</f>
        <v>-2.4383499999152791E-2</v>
      </c>
      <c r="K248" s="757" t="str">
        <f>Итоговая!S249</f>
        <v>закрыт</v>
      </c>
      <c r="L248" s="259" t="str">
        <f>Итоговая!T249</f>
        <v>закрыт</v>
      </c>
      <c r="M248" s="757">
        <f>Итоговая!U249</f>
        <v>4.9523809523809526</v>
      </c>
      <c r="N248" s="907"/>
      <c r="O248" s="907"/>
      <c r="P248" s="907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  <c r="AC248" s="233"/>
      <c r="AD248" s="233"/>
      <c r="AE248" s="233"/>
      <c r="AF248" s="233"/>
      <c r="AG248" s="233"/>
      <c r="AH248" s="233"/>
      <c r="AI248" s="233"/>
      <c r="AJ248" s="233"/>
      <c r="AK248" s="233"/>
      <c r="AL248" s="233"/>
      <c r="AM248" s="233"/>
      <c r="AN248" s="233"/>
      <c r="AO248" s="233"/>
      <c r="AP248" s="233"/>
      <c r="AQ248" s="233"/>
      <c r="AR248" s="233"/>
    </row>
    <row r="249" spans="1:48" s="232" customFormat="1" ht="31.5" customHeight="1" x14ac:dyDescent="0.25">
      <c r="A249" s="212">
        <f>Итоговая!A250</f>
        <v>180</v>
      </c>
      <c r="B249" s="212">
        <f>COUNTIFS($C$8:C249,"*ПС*",$L$8:L249,"*закрыт*")</f>
        <v>26</v>
      </c>
      <c r="C249" s="212" t="str">
        <f>Итоговая!C250</f>
        <v xml:space="preserve">ПС 35/10 кВ Мол.Туд </v>
      </c>
      <c r="D249" s="230">
        <f>Итоговая!D250</f>
        <v>2.5</v>
      </c>
      <c r="E249" s="229">
        <f>Итоговая!E250</f>
        <v>0</v>
      </c>
      <c r="F249" s="229">
        <f>Итоговая!F250</f>
        <v>0</v>
      </c>
      <c r="G249" s="229">
        <f>Итоговая!G250</f>
        <v>0</v>
      </c>
      <c r="H249" s="229">
        <f>Итоговая!H250</f>
        <v>0</v>
      </c>
      <c r="I249" s="172">
        <f>Итоговая!Q250</f>
        <v>-0.16798200000032198</v>
      </c>
      <c r="J249" s="172">
        <f>Итоговая!R250</f>
        <v>-0.16798200000032198</v>
      </c>
      <c r="K249" s="757" t="str">
        <f>Итоговая!S250</f>
        <v>закрыт</v>
      </c>
      <c r="L249" s="259" t="str">
        <f>Итоговая!T250</f>
        <v>закрыт</v>
      </c>
      <c r="M249" s="757">
        <f>Итоговая!U250</f>
        <v>21.333333333333336</v>
      </c>
      <c r="N249" s="907"/>
      <c r="O249" s="907"/>
      <c r="P249" s="907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  <c r="AC249" s="233"/>
      <c r="AD249" s="233"/>
      <c r="AE249" s="233"/>
      <c r="AF249" s="233"/>
      <c r="AG249" s="233"/>
      <c r="AH249" s="233"/>
      <c r="AI249" s="233"/>
      <c r="AJ249" s="233"/>
      <c r="AK249" s="233"/>
      <c r="AL249" s="233"/>
      <c r="AM249" s="233"/>
      <c r="AN249" s="233"/>
      <c r="AO249" s="233"/>
      <c r="AP249" s="233"/>
      <c r="AQ249" s="233"/>
      <c r="AR249" s="233"/>
    </row>
    <row r="250" spans="1:48" s="232" customFormat="1" ht="31.5" customHeight="1" x14ac:dyDescent="0.25">
      <c r="A250" s="212">
        <f>Итоговая!A251</f>
        <v>181</v>
      </c>
      <c r="B250" s="212">
        <f>COUNTIFS($C$8:C250,"*ПС*",$L$8:L250,"*закрыт*")</f>
        <v>27</v>
      </c>
      <c r="C250" s="212" t="str">
        <f>Итоговая!C251</f>
        <v xml:space="preserve">ПС 35/10 кВ Ильенки </v>
      </c>
      <c r="D250" s="230">
        <f>Итоговая!D251</f>
        <v>2.5</v>
      </c>
      <c r="E250" s="229">
        <f>Итоговая!E251</f>
        <v>0</v>
      </c>
      <c r="F250" s="229">
        <f>Итоговая!F251</f>
        <v>0</v>
      </c>
      <c r="G250" s="229">
        <f>Итоговая!G251</f>
        <v>0</v>
      </c>
      <c r="H250" s="229">
        <f>Итоговая!H251</f>
        <v>0</v>
      </c>
      <c r="I250" s="172">
        <f>Итоговая!Q251</f>
        <v>-1.5408999999890899E-2</v>
      </c>
      <c r="J250" s="172">
        <f>Итоговая!R251</f>
        <v>-1.5408999999890899E-2</v>
      </c>
      <c r="K250" s="757" t="str">
        <f>Итоговая!S251</f>
        <v>закрыт</v>
      </c>
      <c r="L250" s="259" t="str">
        <f>Итоговая!T251</f>
        <v>закрыт</v>
      </c>
      <c r="M250" s="757">
        <f>Итоговая!U251</f>
        <v>7.6190476190476186</v>
      </c>
      <c r="N250" s="907"/>
      <c r="O250" s="907"/>
      <c r="P250" s="907"/>
      <c r="Q250" s="233"/>
      <c r="R250" s="233"/>
      <c r="S250" s="233"/>
      <c r="T250" s="233"/>
      <c r="U250" s="233"/>
      <c r="V250" s="233"/>
      <c r="W250" s="233"/>
      <c r="X250" s="233"/>
      <c r="Y250" s="233"/>
      <c r="Z250" s="233"/>
      <c r="AA250" s="233"/>
      <c r="AB250" s="233"/>
      <c r="AC250" s="233"/>
      <c r="AD250" s="233"/>
      <c r="AE250" s="233"/>
      <c r="AF250" s="233"/>
      <c r="AG250" s="233"/>
      <c r="AH250" s="233"/>
      <c r="AI250" s="233"/>
      <c r="AJ250" s="233"/>
      <c r="AK250" s="233"/>
      <c r="AL250" s="233"/>
      <c r="AM250" s="233"/>
      <c r="AN250" s="233"/>
      <c r="AO250" s="233"/>
      <c r="AP250" s="233"/>
      <c r="AQ250" s="233"/>
      <c r="AR250" s="233"/>
    </row>
    <row r="251" spans="1:48" s="232" customFormat="1" ht="31.5" customHeight="1" x14ac:dyDescent="0.25">
      <c r="A251" s="212">
        <f>Итоговая!A252</f>
        <v>182</v>
      </c>
      <c r="B251" s="212">
        <f>COUNTIFS($C$8:C251,"*ПС*",$L$8:L251,"*закрыт*")</f>
        <v>28</v>
      </c>
      <c r="C251" s="212" t="str">
        <f>Итоговая!C252</f>
        <v xml:space="preserve">ПС 35/10 кВ Каденка </v>
      </c>
      <c r="D251" s="230">
        <f>Итоговая!D252</f>
        <v>1</v>
      </c>
      <c r="E251" s="229">
        <f>Итоговая!E252</f>
        <v>0</v>
      </c>
      <c r="F251" s="229">
        <f>Итоговая!F252</f>
        <v>0</v>
      </c>
      <c r="G251" s="229">
        <f>Итоговая!G252</f>
        <v>0</v>
      </c>
      <c r="H251" s="229">
        <f>Итоговая!H252</f>
        <v>0</v>
      </c>
      <c r="I251" s="172">
        <f>Итоговая!Q252</f>
        <v>-0.14372549999978204</v>
      </c>
      <c r="J251" s="172">
        <f>Итоговая!R252</f>
        <v>-0.14372549999978204</v>
      </c>
      <c r="K251" s="757" t="str">
        <f>Итоговая!S252</f>
        <v>закрыт</v>
      </c>
      <c r="L251" s="259" t="str">
        <f>Итоговая!T252</f>
        <v>закрыт</v>
      </c>
      <c r="M251" s="757">
        <f>Итоговая!U252</f>
        <v>22.857142857142858</v>
      </c>
      <c r="N251" s="907"/>
      <c r="O251" s="907"/>
      <c r="P251" s="907"/>
      <c r="Q251" s="233"/>
      <c r="R251" s="233"/>
      <c r="S251" s="233"/>
      <c r="T251" s="233"/>
      <c r="U251" s="233"/>
      <c r="V251" s="233"/>
      <c r="W251" s="233"/>
      <c r="X251" s="233"/>
      <c r="Y251" s="233"/>
      <c r="Z251" s="233"/>
      <c r="AA251" s="233"/>
      <c r="AB251" s="233"/>
      <c r="AC251" s="233"/>
      <c r="AD251" s="233"/>
      <c r="AE251" s="233"/>
      <c r="AF251" s="233"/>
      <c r="AG251" s="233"/>
      <c r="AH251" s="233"/>
      <c r="AI251" s="233"/>
      <c r="AJ251" s="233"/>
      <c r="AK251" s="233"/>
      <c r="AL251" s="233"/>
      <c r="AM251" s="233"/>
      <c r="AN251" s="233"/>
      <c r="AO251" s="233"/>
      <c r="AP251" s="233"/>
      <c r="AQ251" s="233"/>
      <c r="AR251" s="233"/>
    </row>
    <row r="252" spans="1:48" ht="20.100000000000001" customHeight="1" x14ac:dyDescent="0.25">
      <c r="A252" s="212">
        <f>Итоговая!A253</f>
        <v>183</v>
      </c>
      <c r="B252" s="212">
        <f>COUNTIFS($C$8:C252,"*ПС*",$L$8:L252,"*закрыт*")</f>
        <v>29</v>
      </c>
      <c r="C252" s="212" t="str">
        <f>Итоговая!C253</f>
        <v xml:space="preserve">ПС 35/10 кВ Родня </v>
      </c>
      <c r="D252" s="230">
        <f>Итоговая!D253</f>
        <v>2.5</v>
      </c>
      <c r="E252" s="229">
        <f>Итоговая!E253</f>
        <v>0</v>
      </c>
      <c r="F252" s="229">
        <f>Итоговая!F253</f>
        <v>0</v>
      </c>
      <c r="G252" s="229">
        <f>Итоговая!G253</f>
        <v>0</v>
      </c>
      <c r="H252" s="229">
        <f>Итоговая!H253</f>
        <v>0</v>
      </c>
      <c r="I252" s="172">
        <f>Итоговая!Q253</f>
        <v>-0.12819199999952136</v>
      </c>
      <c r="J252" s="172">
        <f>Итоговая!R253</f>
        <v>-0.12819199999952136</v>
      </c>
      <c r="K252" s="757" t="str">
        <f>Итоговая!S253</f>
        <v>закрыт</v>
      </c>
      <c r="L252" s="259" t="str">
        <f>Итоговая!T253</f>
        <v>закрыт</v>
      </c>
      <c r="M252" s="757">
        <f>Итоговая!U253</f>
        <v>21.333333333333336</v>
      </c>
      <c r="N252" s="907"/>
      <c r="O252" s="907"/>
      <c r="P252" s="907"/>
    </row>
    <row r="253" spans="1:48" s="232" customFormat="1" ht="31.5" customHeight="1" x14ac:dyDescent="0.25">
      <c r="A253" s="212">
        <f>Итоговая!A254</f>
        <v>184</v>
      </c>
      <c r="B253" s="212">
        <f>COUNTIFS($C$8:C253,"*ПС*",$L$8:L253,"*закрыт*")</f>
        <v>30</v>
      </c>
      <c r="C253" s="212" t="str">
        <f>Итоговая!C254</f>
        <v xml:space="preserve">ПС 35/10 кВ Берново </v>
      </c>
      <c r="D253" s="230">
        <f>Итоговая!D254</f>
        <v>1.6</v>
      </c>
      <c r="E253" s="229">
        <f>Итоговая!E254</f>
        <v>0</v>
      </c>
      <c r="F253" s="229">
        <f>Итоговая!F254</f>
        <v>0</v>
      </c>
      <c r="G253" s="229">
        <f>Итоговая!G254</f>
        <v>0</v>
      </c>
      <c r="H253" s="229">
        <f>Итоговая!H254</f>
        <v>0</v>
      </c>
      <c r="I253" s="172">
        <f>Итоговая!Q254</f>
        <v>-0.10646019999957579</v>
      </c>
      <c r="J253" s="172">
        <f>Итоговая!R254</f>
        <v>-0.10646019999957579</v>
      </c>
      <c r="K253" s="757" t="str">
        <f>Итоговая!S254</f>
        <v>закрыт</v>
      </c>
      <c r="L253" s="259" t="str">
        <f>Итоговая!T254</f>
        <v>закрыт</v>
      </c>
      <c r="M253" s="757">
        <f>Итоговая!U254</f>
        <v>30.357142857142854</v>
      </c>
      <c r="N253" s="907"/>
      <c r="O253" s="907"/>
      <c r="P253" s="907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233"/>
      <c r="AB253" s="233"/>
      <c r="AC253" s="233"/>
      <c r="AD253" s="233"/>
      <c r="AE253" s="233"/>
      <c r="AF253" s="233"/>
      <c r="AG253" s="233"/>
      <c r="AH253" s="233"/>
      <c r="AI253" s="233"/>
      <c r="AJ253" s="233"/>
      <c r="AK253" s="233"/>
      <c r="AL253" s="233"/>
      <c r="AM253" s="233"/>
      <c r="AN253" s="233"/>
      <c r="AO253" s="233"/>
      <c r="AP253" s="233"/>
      <c r="AQ253" s="233"/>
      <c r="AR253" s="233"/>
      <c r="AS253" s="233"/>
      <c r="AT253" s="233"/>
      <c r="AU253" s="233"/>
      <c r="AV253" s="233"/>
    </row>
    <row r="254" spans="1:48" s="232" customFormat="1" ht="15.75" hidden="1" customHeight="1" x14ac:dyDescent="0.25">
      <c r="A254" s="212">
        <f>Итоговая!A255</f>
        <v>185</v>
      </c>
      <c r="B254" s="212">
        <f>COUNTIFS($C$8:C254,"*ПС*",$L$8:L254,"*закрыт*")</f>
        <v>30</v>
      </c>
      <c r="C254" s="212" t="str">
        <f>Итоговая!C255</f>
        <v xml:space="preserve">ПС 35/10 кВ РМК </v>
      </c>
      <c r="D254" s="230">
        <f>Итоговая!D255</f>
        <v>10</v>
      </c>
      <c r="E254" s="229" t="str">
        <f>Итоговая!E255</f>
        <v>+</v>
      </c>
      <c r="F254" s="229">
        <f>Итоговая!F255</f>
        <v>10</v>
      </c>
      <c r="G254" s="229">
        <f>Итоговая!G255</f>
        <v>0</v>
      </c>
      <c r="H254" s="229">
        <f>Итоговая!H255</f>
        <v>0</v>
      </c>
      <c r="I254" s="172">
        <f>Итоговая!Q255</f>
        <v>2.1581463600013926</v>
      </c>
      <c r="J254" s="172">
        <f>Итоговая!R255</f>
        <v>2.1581463600013926</v>
      </c>
      <c r="K254" s="757" t="str">
        <f>Итоговая!S255</f>
        <v>открыт</v>
      </c>
      <c r="L254" s="259" t="str">
        <f>Итоговая!T255</f>
        <v>открыт</v>
      </c>
      <c r="M254" s="757">
        <f>Итоговая!U255</f>
        <v>96.857142857142861</v>
      </c>
      <c r="N254" s="907"/>
      <c r="O254" s="907"/>
      <c r="P254" s="907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  <c r="AC254" s="233"/>
      <c r="AD254" s="233"/>
      <c r="AE254" s="233"/>
      <c r="AF254" s="233"/>
      <c r="AG254" s="233"/>
      <c r="AH254" s="233"/>
      <c r="AI254" s="233"/>
      <c r="AJ254" s="233"/>
      <c r="AK254" s="233"/>
      <c r="AL254" s="233"/>
      <c r="AM254" s="233"/>
      <c r="AN254" s="233"/>
      <c r="AO254" s="233"/>
      <c r="AP254" s="233"/>
      <c r="AQ254" s="233"/>
      <c r="AR254" s="233"/>
    </row>
    <row r="255" spans="1:48" s="232" customFormat="1" ht="15.75" hidden="1" customHeight="1" x14ac:dyDescent="0.25">
      <c r="A255" s="212">
        <f>Итоговая!A256</f>
        <v>186</v>
      </c>
      <c r="B255" s="212">
        <f>COUNTIFS($C$8:C255,"*ПС*",$L$8:L255,"*закрыт*")</f>
        <v>30</v>
      </c>
      <c r="C255" s="212" t="str">
        <f>Итоговая!C256</f>
        <v xml:space="preserve">ПС 35/10 кВ Осуга </v>
      </c>
      <c r="D255" s="230">
        <f>Итоговая!D256</f>
        <v>2.5</v>
      </c>
      <c r="E255" s="229" t="str">
        <f>Итоговая!E256</f>
        <v>+</v>
      </c>
      <c r="F255" s="229">
        <f>Итоговая!F256</f>
        <v>2.5</v>
      </c>
      <c r="G255" s="229">
        <f>Итоговая!G256</f>
        <v>0</v>
      </c>
      <c r="H255" s="229">
        <f>Итоговая!H256</f>
        <v>0</v>
      </c>
      <c r="I255" s="172">
        <f>Итоговая!Q256</f>
        <v>2.2650000000000001</v>
      </c>
      <c r="J255" s="172">
        <f>Итоговая!R256</f>
        <v>2.2650000000000001</v>
      </c>
      <c r="K255" s="757" t="str">
        <f>Итоговая!S256</f>
        <v>открыт</v>
      </c>
      <c r="L255" s="259" t="str">
        <f>Итоговая!T256</f>
        <v>открыт</v>
      </c>
      <c r="M255" s="757">
        <f>Итоговая!U256</f>
        <v>13.714285714285714</v>
      </c>
      <c r="N255" s="902"/>
      <c r="O255" s="902"/>
      <c r="P255" s="902"/>
    </row>
    <row r="256" spans="1:48" s="232" customFormat="1" ht="15.75" hidden="1" customHeight="1" x14ac:dyDescent="0.25">
      <c r="A256" s="212">
        <f>Итоговая!A257</f>
        <v>187</v>
      </c>
      <c r="B256" s="212">
        <f>COUNTIFS($C$8:C256,"*ПС*",$L$8:L256,"*закрыт*")</f>
        <v>30</v>
      </c>
      <c r="C256" s="212" t="str">
        <f>Итоговая!C257</f>
        <v xml:space="preserve">ПС 35/10 кВ Мин.Дворы </v>
      </c>
      <c r="D256" s="230">
        <f>Итоговая!D257</f>
        <v>2.5</v>
      </c>
      <c r="E256" s="229" t="str">
        <f>Итоговая!E257</f>
        <v>+</v>
      </c>
      <c r="F256" s="229">
        <f>Итоговая!F257</f>
        <v>3.2</v>
      </c>
      <c r="G256" s="229">
        <f>Итоговая!G257</f>
        <v>0</v>
      </c>
      <c r="H256" s="229">
        <f>Итоговая!H257</f>
        <v>0</v>
      </c>
      <c r="I256" s="172">
        <f>Итоговая!Q257</f>
        <v>1.425</v>
      </c>
      <c r="J256" s="172">
        <f>Итоговая!R257</f>
        <v>1.425</v>
      </c>
      <c r="K256" s="757" t="str">
        <f>Итоговая!S257</f>
        <v>открыт</v>
      </c>
      <c r="L256" s="259" t="str">
        <f>Итоговая!T257</f>
        <v>открыт</v>
      </c>
      <c r="M256" s="757">
        <f>Итоговая!U257</f>
        <v>45.714285714285715</v>
      </c>
      <c r="N256" s="902"/>
      <c r="O256" s="902"/>
      <c r="P256" s="902"/>
    </row>
    <row r="257" spans="1:16" ht="20.100000000000001" hidden="1" customHeight="1" x14ac:dyDescent="0.25">
      <c r="A257" s="212">
        <f>Итоговая!A258</f>
        <v>188</v>
      </c>
      <c r="B257" s="212">
        <f>COUNTIFS($C$8:C257,"*ПС*",$L$8:L257,"*закрыт*")</f>
        <v>30</v>
      </c>
      <c r="C257" s="212" t="str">
        <f>Итоговая!C258</f>
        <v xml:space="preserve">ПС 35/10 кВ Клешнево </v>
      </c>
      <c r="D257" s="230">
        <f>Итоговая!D258</f>
        <v>4</v>
      </c>
      <c r="E257" s="229" t="str">
        <f>Итоговая!E258</f>
        <v>+</v>
      </c>
      <c r="F257" s="229">
        <f>Итоговая!F258</f>
        <v>4</v>
      </c>
      <c r="G257" s="229">
        <f>Итоговая!G258</f>
        <v>0</v>
      </c>
      <c r="H257" s="229">
        <f>Итоговая!H258</f>
        <v>0</v>
      </c>
      <c r="I257" s="172">
        <f>Итоговая!Q258</f>
        <v>4.18</v>
      </c>
      <c r="J257" s="172">
        <f>Итоговая!R258</f>
        <v>4.18</v>
      </c>
      <c r="K257" s="757" t="str">
        <f>Итоговая!S258</f>
        <v>открыт</v>
      </c>
      <c r="L257" s="259" t="str">
        <f>Итоговая!T258</f>
        <v>открыт</v>
      </c>
      <c r="M257" s="757">
        <f>Итоговая!U258</f>
        <v>27.619047619047613</v>
      </c>
      <c r="N257" s="902"/>
      <c r="O257" s="902"/>
      <c r="P257" s="902"/>
    </row>
    <row r="258" spans="1:16" s="232" customFormat="1" ht="15.75" hidden="1" customHeight="1" x14ac:dyDescent="0.25">
      <c r="A258" s="2419">
        <f>Итоговая!A259</f>
        <v>189</v>
      </c>
      <c r="B258" s="2423">
        <f>COUNTIFS($C$8:C258,"*ПС*",$L$8:L258,"*закрыт*")</f>
        <v>30</v>
      </c>
      <c r="C258" s="212" t="str">
        <f>Итоговая!C259</f>
        <v xml:space="preserve">ПС 110/35/10 кВ Зубцов </v>
      </c>
      <c r="D258" s="230">
        <f>Итоговая!D259</f>
        <v>25</v>
      </c>
      <c r="E258" s="229" t="str">
        <f>Итоговая!E259</f>
        <v>+</v>
      </c>
      <c r="F258" s="229">
        <f>Итоговая!F259</f>
        <v>25</v>
      </c>
      <c r="G258" s="229">
        <f>Итоговая!G259</f>
        <v>0</v>
      </c>
      <c r="H258" s="229">
        <f>Итоговая!H259</f>
        <v>0</v>
      </c>
      <c r="I258" s="172">
        <f>Итоговая!Q259</f>
        <v>15.489204500000019</v>
      </c>
      <c r="J258" s="2405">
        <f>Итоговая!R259</f>
        <v>0</v>
      </c>
      <c r="K258" s="2405" t="str">
        <f>Итоговая!S259</f>
        <v>открыт</v>
      </c>
      <c r="L258" s="259" t="str">
        <f>Итоговая!T259</f>
        <v>открыт</v>
      </c>
      <c r="M258" s="2398">
        <f>Итоговая!U259</f>
        <v>53.44761904761905</v>
      </c>
      <c r="N258" s="902"/>
      <c r="O258" s="902"/>
      <c r="P258" s="902"/>
    </row>
    <row r="259" spans="1:16" s="232" customFormat="1" ht="15.75" hidden="1" customHeight="1" x14ac:dyDescent="0.25">
      <c r="A259" s="2419">
        <f>Итоговая!A260</f>
        <v>0</v>
      </c>
      <c r="B259" s="2440"/>
      <c r="C259" s="7" t="str">
        <f>Итоговая!C260</f>
        <v xml:space="preserve">Ном. мощность СН, МВА </v>
      </c>
      <c r="D259" s="230">
        <f>Итоговая!D260</f>
        <v>25</v>
      </c>
      <c r="E259" s="229" t="str">
        <f>Итоговая!E260</f>
        <v>+</v>
      </c>
      <c r="F259" s="229">
        <f>Итоговая!F260</f>
        <v>25</v>
      </c>
      <c r="G259" s="229">
        <f>Итоговая!G260</f>
        <v>0</v>
      </c>
      <c r="H259" s="229">
        <f>Итоговая!H260</f>
        <v>0</v>
      </c>
      <c r="I259" s="172">
        <f>Итоговая!Q260</f>
        <v>0</v>
      </c>
      <c r="J259" s="2406">
        <f>Итоговая!R260</f>
        <v>0</v>
      </c>
      <c r="K259" s="2406">
        <f>Итоговая!S260</f>
        <v>0</v>
      </c>
      <c r="L259" s="896" t="str">
        <f>Итоговая!T260</f>
        <v>открыт</v>
      </c>
      <c r="M259" s="2398">
        <f>Итоговая!U260</f>
        <v>0</v>
      </c>
      <c r="N259" s="902"/>
      <c r="O259" s="902"/>
      <c r="P259" s="902"/>
    </row>
    <row r="260" spans="1:16" s="232" customFormat="1" ht="15.75" hidden="1" customHeight="1" x14ac:dyDescent="0.25">
      <c r="A260" s="2419">
        <f>Итоговая!A261</f>
        <v>0</v>
      </c>
      <c r="B260" s="2441"/>
      <c r="C260" s="7" t="str">
        <f>Итоговая!C261</f>
        <v>Ном. мощность НН, МВА</v>
      </c>
      <c r="D260" s="230">
        <f>Итоговая!D261</f>
        <v>25</v>
      </c>
      <c r="E260" s="229" t="str">
        <f>Итоговая!E261</f>
        <v>+</v>
      </c>
      <c r="F260" s="229">
        <f>Итоговая!F261</f>
        <v>25</v>
      </c>
      <c r="G260" s="229">
        <f>Итоговая!G261</f>
        <v>0</v>
      </c>
      <c r="H260" s="229">
        <f>Итоговая!H261</f>
        <v>0</v>
      </c>
      <c r="I260" s="172">
        <f>Итоговая!Q261</f>
        <v>0</v>
      </c>
      <c r="J260" s="2407">
        <f>Итоговая!R261</f>
        <v>0</v>
      </c>
      <c r="K260" s="2407">
        <f>Итоговая!S261</f>
        <v>0</v>
      </c>
      <c r="L260" s="896" t="str">
        <f>Итоговая!T261</f>
        <v>открыт</v>
      </c>
      <c r="M260" s="2398">
        <f>Итоговая!U261</f>
        <v>0</v>
      </c>
      <c r="N260" s="902"/>
      <c r="O260" s="902"/>
      <c r="P260" s="902"/>
    </row>
    <row r="261" spans="1:16" s="232" customFormat="1" ht="15.75" hidden="1" customHeight="1" x14ac:dyDescent="0.25">
      <c r="A261" s="212">
        <f>Итоговая!A262</f>
        <v>190</v>
      </c>
      <c r="B261" s="212">
        <f>COUNTIFS($C$8:C261,"*ПС*",$L$8:L261,"*закрыт*")</f>
        <v>30</v>
      </c>
      <c r="C261" s="212" t="str">
        <f>Итоговая!C262</f>
        <v xml:space="preserve">ПС 35/10 кВ П.Городище </v>
      </c>
      <c r="D261" s="230">
        <f>Итоговая!D262</f>
        <v>5.6</v>
      </c>
      <c r="E261" s="229" t="str">
        <f>Итоговая!E262</f>
        <v>+</v>
      </c>
      <c r="F261" s="229">
        <f>Итоговая!F262</f>
        <v>5.6</v>
      </c>
      <c r="G261" s="229">
        <f>Итоговая!G262</f>
        <v>0</v>
      </c>
      <c r="H261" s="229">
        <f>Итоговая!H262</f>
        <v>0</v>
      </c>
      <c r="I261" s="172">
        <f>Итоговая!Q262</f>
        <v>2.7305623999994797</v>
      </c>
      <c r="J261" s="172">
        <f>Итоговая!R262</f>
        <v>2.7305623999994797</v>
      </c>
      <c r="K261" s="757" t="str">
        <f>Итоговая!S262</f>
        <v>открыт</v>
      </c>
      <c r="L261" s="259" t="str">
        <f>Итоговая!T262</f>
        <v>открыт</v>
      </c>
      <c r="M261" s="757">
        <f>Итоговая!U262</f>
        <v>60.884353741496597</v>
      </c>
      <c r="N261" s="902"/>
      <c r="O261" s="902"/>
      <c r="P261" s="902"/>
    </row>
    <row r="262" spans="1:16" s="232" customFormat="1" ht="15.75" hidden="1" customHeight="1" x14ac:dyDescent="0.25">
      <c r="A262" s="212">
        <f>Итоговая!A263</f>
        <v>191</v>
      </c>
      <c r="B262" s="212">
        <f>COUNTIFS($C$8:C262,"*ПС*",$L$8:L262,"*закрыт*")</f>
        <v>30</v>
      </c>
      <c r="C262" s="212" t="str">
        <f>Итоговая!C263</f>
        <v xml:space="preserve">ПС 35/10 кВ Степурино </v>
      </c>
      <c r="D262" s="230">
        <f>Итоговая!D263</f>
        <v>4</v>
      </c>
      <c r="E262" s="229" t="str">
        <f>Итоговая!E263</f>
        <v>+</v>
      </c>
      <c r="F262" s="229">
        <f>Итоговая!F263</f>
        <v>4</v>
      </c>
      <c r="G262" s="229">
        <f>Итоговая!G263</f>
        <v>0</v>
      </c>
      <c r="H262" s="229">
        <f>Итоговая!H263</f>
        <v>0</v>
      </c>
      <c r="I262" s="172">
        <f>Итоговая!Q263</f>
        <v>3.09</v>
      </c>
      <c r="J262" s="172">
        <f>Итоговая!R263</f>
        <v>3.09</v>
      </c>
      <c r="K262" s="757" t="str">
        <f>Итоговая!S263</f>
        <v>открыт</v>
      </c>
      <c r="L262" s="259" t="str">
        <f>Итоговая!T263</f>
        <v>открыт</v>
      </c>
      <c r="M262" s="757">
        <f>Итоговая!U263</f>
        <v>26.428571428571431</v>
      </c>
      <c r="N262" s="902"/>
      <c r="O262" s="902"/>
      <c r="P262" s="902"/>
    </row>
    <row r="263" spans="1:16" s="232" customFormat="1" ht="15.75" hidden="1" customHeight="1" x14ac:dyDescent="0.25">
      <c r="A263" s="212">
        <f>Итоговая!A264</f>
        <v>192</v>
      </c>
      <c r="B263" s="212">
        <f>COUNTIFS($C$8:C263,"*ПС*",$L$8:L263,"*закрыт*")</f>
        <v>30</v>
      </c>
      <c r="C263" s="212" t="str">
        <f>Итоговая!C264</f>
        <v xml:space="preserve">ПС 35/10 кВ Максимово </v>
      </c>
      <c r="D263" s="230">
        <f>Итоговая!D264</f>
        <v>2.5</v>
      </c>
      <c r="E263" s="229" t="str">
        <f>Итоговая!E264</f>
        <v>+</v>
      </c>
      <c r="F263" s="229">
        <f>Итоговая!F264</f>
        <v>2.5</v>
      </c>
      <c r="G263" s="229">
        <f>Итоговая!G264</f>
        <v>0</v>
      </c>
      <c r="H263" s="229">
        <f>Итоговая!H264</f>
        <v>0</v>
      </c>
      <c r="I263" s="172">
        <f>Итоговая!Q264</f>
        <v>2.6150000000000002</v>
      </c>
      <c r="J263" s="172">
        <f>Итоговая!R264</f>
        <v>2.6150000000000002</v>
      </c>
      <c r="K263" s="757" t="str">
        <f>Итоговая!S264</f>
        <v>открыт</v>
      </c>
      <c r="L263" s="259" t="str">
        <f>Итоговая!T264</f>
        <v>открыт</v>
      </c>
      <c r="M263" s="757">
        <f>Итоговая!U264</f>
        <v>11.80952380952381</v>
      </c>
      <c r="N263" s="902"/>
      <c r="O263" s="902"/>
      <c r="P263" s="902"/>
    </row>
    <row r="264" spans="1:16" ht="20.100000000000001" hidden="1" customHeight="1" x14ac:dyDescent="0.25">
      <c r="A264" s="212">
        <f>Итоговая!A265</f>
        <v>193</v>
      </c>
      <c r="B264" s="212">
        <f>COUNTIFS($C$8:C264,"*ПС*",$L$8:L264,"*закрыт*")</f>
        <v>30</v>
      </c>
      <c r="C264" s="212" t="str">
        <f>Итоговая!C265</f>
        <v xml:space="preserve">ПС 35/10 кВ Луковниково </v>
      </c>
      <c r="D264" s="230">
        <f>Итоговая!D265</f>
        <v>4</v>
      </c>
      <c r="E264" s="229" t="str">
        <f>Итоговая!E265</f>
        <v>+</v>
      </c>
      <c r="F264" s="229">
        <f>Итоговая!F265</f>
        <v>2.5</v>
      </c>
      <c r="G264" s="229">
        <f>Итоговая!G265</f>
        <v>0</v>
      </c>
      <c r="H264" s="229">
        <f>Итоговая!H265</f>
        <v>0</v>
      </c>
      <c r="I264" s="172">
        <f>Итоговая!Q265</f>
        <v>1.605</v>
      </c>
      <c r="J264" s="172">
        <f>Итоговая!R265</f>
        <v>1.605</v>
      </c>
      <c r="K264" s="757" t="str">
        <f>Итоговая!S265</f>
        <v>открыт</v>
      </c>
      <c r="L264" s="259" t="str">
        <f>Итоговая!T265</f>
        <v>открыт</v>
      </c>
      <c r="M264" s="757">
        <f>Итоговая!U265</f>
        <v>38.857142857142854</v>
      </c>
      <c r="N264" s="902"/>
      <c r="O264" s="902"/>
      <c r="P264" s="902"/>
    </row>
    <row r="265" spans="1:16" ht="20.100000000000001" hidden="1" customHeight="1" x14ac:dyDescent="0.25">
      <c r="A265" s="212">
        <f>Итоговая!A266</f>
        <v>194</v>
      </c>
      <c r="B265" s="212">
        <f>COUNTIFS($C$8:C265,"*ПС*",$L$8:L265,"*закрыт*")</f>
        <v>30</v>
      </c>
      <c r="C265" s="212" t="str">
        <f>Итоговая!C266</f>
        <v xml:space="preserve">ПС 110/10 кВ НТПФ </v>
      </c>
      <c r="D265" s="230">
        <f>Итоговая!D266</f>
        <v>6.3</v>
      </c>
      <c r="E265" s="229" t="str">
        <f>Итоговая!E266</f>
        <v>+</v>
      </c>
      <c r="F265" s="229">
        <f>Итоговая!F266</f>
        <v>6.3</v>
      </c>
      <c r="G265" s="229">
        <f>Итоговая!G266</f>
        <v>0</v>
      </c>
      <c r="H265" s="229">
        <f>Итоговая!H266</f>
        <v>0</v>
      </c>
      <c r="I265" s="172">
        <f>Итоговая!Q266</f>
        <v>5.3815720000000002</v>
      </c>
      <c r="J265" s="172">
        <f>Итоговая!R266</f>
        <v>5.3815720000000002</v>
      </c>
      <c r="K265" s="757" t="str">
        <f>Итоговая!S266</f>
        <v>открыт</v>
      </c>
      <c r="L265" s="259" t="str">
        <f>Итоговая!T266</f>
        <v>открыт</v>
      </c>
      <c r="M265" s="757">
        <f>Итоговая!U266</f>
        <v>27.966742252456537</v>
      </c>
      <c r="N265" s="902"/>
      <c r="O265" s="902"/>
      <c r="P265" s="902"/>
    </row>
    <row r="266" spans="1:16" ht="20.100000000000001" hidden="1" customHeight="1" x14ac:dyDescent="0.25">
      <c r="A266" s="212">
        <f>Итоговая!A267</f>
        <v>195</v>
      </c>
      <c r="B266" s="212">
        <f>COUNTIFS($C$8:C266,"*ПС*",$L$8:L266,"*закрыт*")</f>
        <v>30</v>
      </c>
      <c r="C266" s="212" t="str">
        <f>Итоговая!C267</f>
        <v xml:space="preserve">ПС 110/10 кВ Мостовая </v>
      </c>
      <c r="D266" s="230">
        <f>Итоговая!D267</f>
        <v>6.3</v>
      </c>
      <c r="E266" s="229" t="str">
        <f>Итоговая!E267</f>
        <v>+</v>
      </c>
      <c r="F266" s="229">
        <f>Итоговая!F267</f>
        <v>6.3</v>
      </c>
      <c r="G266" s="229">
        <f>Итоговая!G267</f>
        <v>0</v>
      </c>
      <c r="H266" s="229">
        <f>Итоговая!H267</f>
        <v>0</v>
      </c>
      <c r="I266" s="172">
        <f>Итоговая!Q267</f>
        <v>5.7316591999998678</v>
      </c>
      <c r="J266" s="172">
        <f>Итоговая!R267</f>
        <v>5.7316591999998678</v>
      </c>
      <c r="K266" s="757" t="str">
        <f>Итоговая!S267</f>
        <v>открыт</v>
      </c>
      <c r="L266" s="259" t="str">
        <f>Итоговая!T267</f>
        <v>открыт</v>
      </c>
      <c r="M266" s="757">
        <f>Итоговая!U267</f>
        <v>18.140589569160998</v>
      </c>
      <c r="N266" s="902"/>
      <c r="O266" s="902"/>
      <c r="P266" s="902"/>
    </row>
    <row r="267" spans="1:16" s="232" customFormat="1" ht="15.75" hidden="1" customHeight="1" x14ac:dyDescent="0.25">
      <c r="A267" s="2419">
        <f>Итоговая!A268</f>
        <v>196</v>
      </c>
      <c r="B267" s="2423">
        <f>COUNTIFS($C$8:C267,"*ПС*",$L$8:L267,"*закрыт*")</f>
        <v>30</v>
      </c>
      <c r="C267" s="212" t="str">
        <f>Итоговая!C268</f>
        <v xml:space="preserve">ПС 110/35/10кВ Ржев </v>
      </c>
      <c r="D267" s="230">
        <f>Итоговая!D268</f>
        <v>40.5</v>
      </c>
      <c r="E267" s="229" t="str">
        <f>Итоговая!E268</f>
        <v>+</v>
      </c>
      <c r="F267" s="229">
        <f>Итоговая!F268</f>
        <v>40</v>
      </c>
      <c r="G267" s="229">
        <f>Итоговая!G268</f>
        <v>0</v>
      </c>
      <c r="H267" s="229">
        <f>Итоговая!H268</f>
        <v>0</v>
      </c>
      <c r="I267" s="172">
        <f>Итоговая!Q268</f>
        <v>14.419860775999819</v>
      </c>
      <c r="J267" s="2405">
        <f>Итоговая!R268</f>
        <v>14.419860775999819</v>
      </c>
      <c r="K267" s="2398" t="str">
        <f>Итоговая!S268</f>
        <v>открыт</v>
      </c>
      <c r="L267" s="259" t="str">
        <f>Итоговая!T268</f>
        <v>открыт</v>
      </c>
      <c r="M267" s="2398">
        <f>Итоговая!U268</f>
        <v>73.857142857142861</v>
      </c>
      <c r="N267" s="902"/>
      <c r="O267" s="902"/>
      <c r="P267" s="902"/>
    </row>
    <row r="268" spans="1:16" s="232" customFormat="1" ht="15.75" hidden="1" customHeight="1" x14ac:dyDescent="0.25">
      <c r="A268" s="2419">
        <f>Итоговая!A269</f>
        <v>0</v>
      </c>
      <c r="B268" s="2440"/>
      <c r="C268" s="7" t="str">
        <f>Итоговая!C269</f>
        <v xml:space="preserve">Ном. мощность СН, МВА </v>
      </c>
      <c r="D268" s="230">
        <f>Итоговая!D269</f>
        <v>40.5</v>
      </c>
      <c r="E268" s="229" t="str">
        <f>Итоговая!E269</f>
        <v>+</v>
      </c>
      <c r="F268" s="229">
        <f>Итоговая!F269</f>
        <v>40</v>
      </c>
      <c r="G268" s="229">
        <f>Итоговая!G269</f>
        <v>0</v>
      </c>
      <c r="H268" s="229">
        <f>Итоговая!H269</f>
        <v>0</v>
      </c>
      <c r="I268" s="172">
        <f>Итоговая!Q269</f>
        <v>22.18138106</v>
      </c>
      <c r="J268" s="2406">
        <f>Итоговая!R269</f>
        <v>0</v>
      </c>
      <c r="K268" s="2398">
        <f>Итоговая!S269</f>
        <v>0</v>
      </c>
      <c r="L268" s="259" t="str">
        <f>Итоговая!T269</f>
        <v>открыт</v>
      </c>
      <c r="M268" s="2398">
        <f>Итоговая!U269</f>
        <v>0</v>
      </c>
      <c r="N268" s="902"/>
      <c r="O268" s="902"/>
      <c r="P268" s="902"/>
    </row>
    <row r="269" spans="1:16" s="232" customFormat="1" ht="15.75" hidden="1" customHeight="1" x14ac:dyDescent="0.25">
      <c r="A269" s="2419">
        <f>Итоговая!A270</f>
        <v>0</v>
      </c>
      <c r="B269" s="2441"/>
      <c r="C269" s="7" t="str">
        <f>Итоговая!C270</f>
        <v>Ном. мощность НН, МВА</v>
      </c>
      <c r="D269" s="230">
        <f>Итоговая!D270</f>
        <v>40.5</v>
      </c>
      <c r="E269" s="229" t="str">
        <f>Итоговая!E270</f>
        <v>+</v>
      </c>
      <c r="F269" s="229">
        <f>Итоговая!F270</f>
        <v>40</v>
      </c>
      <c r="G269" s="229">
        <f>Итоговая!G270</f>
        <v>0</v>
      </c>
      <c r="H269" s="229">
        <f>Итоговая!H270</f>
        <v>0</v>
      </c>
      <c r="I269" s="172">
        <f>Итоговая!Q270</f>
        <v>34.238479715999823</v>
      </c>
      <c r="J269" s="2407">
        <f>Итоговая!R270</f>
        <v>0</v>
      </c>
      <c r="K269" s="2398">
        <f>Итоговая!S270</f>
        <v>0</v>
      </c>
      <c r="L269" s="259" t="str">
        <f>Итоговая!T270</f>
        <v>открыт</v>
      </c>
      <c r="M269" s="2398">
        <f>Итоговая!U270</f>
        <v>0</v>
      </c>
      <c r="N269" s="902"/>
      <c r="O269" s="902"/>
      <c r="P269" s="902"/>
    </row>
    <row r="270" spans="1:16" s="232" customFormat="1" ht="15.75" hidden="1" customHeight="1" x14ac:dyDescent="0.25">
      <c r="A270" s="2419">
        <f>Итоговая!A271</f>
        <v>197</v>
      </c>
      <c r="B270" s="2423">
        <f>COUNTIFS($C$8:C270,"*ПС*",$L$8:L270,"*закрыт*")</f>
        <v>30</v>
      </c>
      <c r="C270" s="212" t="str">
        <f>Итоговая!C271</f>
        <v>ПС  110/35/10 кВ Чертолино</v>
      </c>
      <c r="D270" s="230">
        <f>Итоговая!D271</f>
        <v>5.6</v>
      </c>
      <c r="E270" s="229" t="str">
        <f>Итоговая!E271</f>
        <v>+</v>
      </c>
      <c r="F270" s="229">
        <f>Итоговая!F271</f>
        <v>6.3</v>
      </c>
      <c r="G270" s="229">
        <f>Итоговая!G271</f>
        <v>0</v>
      </c>
      <c r="H270" s="229">
        <f>Итоговая!H271</f>
        <v>0</v>
      </c>
      <c r="I270" s="172">
        <f>Итоговая!Q271</f>
        <v>4.8665584000017779</v>
      </c>
      <c r="J270" s="2420">
        <f>Итоговая!R271</f>
        <v>4.8665584000017779</v>
      </c>
      <c r="K270" s="2398" t="str">
        <f>Итоговая!S271</f>
        <v>открыт</v>
      </c>
      <c r="L270" s="259" t="str">
        <f>Итоговая!T271</f>
        <v>открыт</v>
      </c>
      <c r="M270" s="2398">
        <f>Итоговая!U271</f>
        <v>27.380952380952383</v>
      </c>
      <c r="N270" s="902"/>
      <c r="O270" s="902"/>
      <c r="P270" s="902"/>
    </row>
    <row r="271" spans="1:16" s="232" customFormat="1" ht="15.75" hidden="1" customHeight="1" x14ac:dyDescent="0.25">
      <c r="A271" s="2419">
        <f>Итоговая!A272</f>
        <v>0</v>
      </c>
      <c r="B271" s="2440"/>
      <c r="C271" s="7" t="str">
        <f>Итоговая!C272</f>
        <v xml:space="preserve">Ном. мощность СН, МВА </v>
      </c>
      <c r="D271" s="230">
        <f>Итоговая!D272</f>
        <v>5.6</v>
      </c>
      <c r="E271" s="229" t="str">
        <f>Итоговая!E272</f>
        <v>+</v>
      </c>
      <c r="F271" s="229">
        <f>Итоговая!F272</f>
        <v>6.3</v>
      </c>
      <c r="G271" s="229">
        <f>Итоговая!G272</f>
        <v>0</v>
      </c>
      <c r="H271" s="229">
        <f>Итоговая!H272</f>
        <v>0</v>
      </c>
      <c r="I271" s="172">
        <f>Итоговая!Q272</f>
        <v>5.8</v>
      </c>
      <c r="J271" s="2420">
        <f>Итоговая!R272</f>
        <v>0</v>
      </c>
      <c r="K271" s="2399" t="str">
        <f>Итоговая!S272</f>
        <v>открыт</v>
      </c>
      <c r="L271" s="259" t="str">
        <f>Итоговая!T272</f>
        <v>открыт</v>
      </c>
      <c r="M271" s="2399">
        <f>Итоговая!U272</f>
        <v>0</v>
      </c>
      <c r="N271" s="902"/>
      <c r="O271" s="902"/>
      <c r="P271" s="902"/>
    </row>
    <row r="272" spans="1:16" s="232" customFormat="1" ht="15.75" hidden="1" customHeight="1" x14ac:dyDescent="0.25">
      <c r="A272" s="2419">
        <f>Итоговая!A273</f>
        <v>0</v>
      </c>
      <c r="B272" s="2441"/>
      <c r="C272" s="7" t="str">
        <f>Итоговая!C273</f>
        <v>Ном. мощность НН, МВА</v>
      </c>
      <c r="D272" s="230">
        <f>Итоговая!D273</f>
        <v>5.6</v>
      </c>
      <c r="E272" s="229" t="str">
        <f>Итоговая!E273</f>
        <v>+</v>
      </c>
      <c r="F272" s="229">
        <f>Итоговая!F273</f>
        <v>6.3</v>
      </c>
      <c r="G272" s="229">
        <f>Итоговая!G273</f>
        <v>0</v>
      </c>
      <c r="H272" s="229">
        <f>Итоговая!H273</f>
        <v>0</v>
      </c>
      <c r="I272" s="172">
        <f>Итоговая!Q273</f>
        <v>4.9465584000017779</v>
      </c>
      <c r="J272" s="2420">
        <f>Итоговая!R273</f>
        <v>0</v>
      </c>
      <c r="K272" s="2399" t="str">
        <f>Итоговая!S273</f>
        <v>открыт</v>
      </c>
      <c r="L272" s="259" t="str">
        <f>Итоговая!T273</f>
        <v>открыт</v>
      </c>
      <c r="M272" s="2399">
        <f>Итоговая!U273</f>
        <v>0</v>
      </c>
      <c r="N272" s="902"/>
      <c r="O272" s="902"/>
      <c r="P272" s="902"/>
    </row>
    <row r="273" spans="1:48" s="232" customFormat="1" ht="15.75" hidden="1" customHeight="1" x14ac:dyDescent="0.25">
      <c r="A273" s="2419">
        <f>Итоговая!A274</f>
        <v>198</v>
      </c>
      <c r="B273" s="2423">
        <f>COUNTIFS($C$8:C273,"*ПС*",$L$8:L273,"*закрыт*")</f>
        <v>30</v>
      </c>
      <c r="C273" s="212" t="str">
        <f>Итоговая!C274</f>
        <v xml:space="preserve">ПС 110/35/10 кВ Оленино </v>
      </c>
      <c r="D273" s="230">
        <f>Итоговая!D274</f>
        <v>16</v>
      </c>
      <c r="E273" s="229" t="str">
        <f>Итоговая!E274</f>
        <v>+</v>
      </c>
      <c r="F273" s="229">
        <f>Итоговая!F274</f>
        <v>10</v>
      </c>
      <c r="G273" s="229">
        <f>Итоговая!G274</f>
        <v>0</v>
      </c>
      <c r="H273" s="229">
        <f>Итоговая!H274</f>
        <v>0</v>
      </c>
      <c r="I273" s="172">
        <f>Итоговая!Q274</f>
        <v>5.4308655000003272</v>
      </c>
      <c r="J273" s="2420">
        <f>Итоговая!R274</f>
        <v>5.4308655000003272</v>
      </c>
      <c r="K273" s="2398" t="str">
        <f>Итоговая!S274</f>
        <v>открыт</v>
      </c>
      <c r="L273" s="259" t="str">
        <f>Итоговая!T274</f>
        <v>открыт</v>
      </c>
      <c r="M273" s="2398">
        <f>Итоговая!U274</f>
        <v>50.952380952380949</v>
      </c>
      <c r="N273" s="902"/>
      <c r="O273" s="902"/>
      <c r="P273" s="902"/>
    </row>
    <row r="274" spans="1:48" s="232" customFormat="1" ht="15.75" hidden="1" customHeight="1" x14ac:dyDescent="0.25">
      <c r="A274" s="2419">
        <f>Итоговая!A275</f>
        <v>0</v>
      </c>
      <c r="B274" s="2440"/>
      <c r="C274" s="7" t="str">
        <f>Итоговая!C275</f>
        <v xml:space="preserve">Ном. мощность СН, МВА </v>
      </c>
      <c r="D274" s="230">
        <f>Итоговая!D275</f>
        <v>16</v>
      </c>
      <c r="E274" s="229" t="str">
        <f>Итоговая!E275</f>
        <v>+</v>
      </c>
      <c r="F274" s="229">
        <f>Итоговая!F275</f>
        <v>10</v>
      </c>
      <c r="G274" s="229">
        <f>Итоговая!G275</f>
        <v>0</v>
      </c>
      <c r="H274" s="229">
        <f>Итоговая!H275</f>
        <v>0</v>
      </c>
      <c r="I274" s="172">
        <f>Итоговая!Q275</f>
        <v>9.6908655000003279</v>
      </c>
      <c r="J274" s="2420">
        <f>Итоговая!R275</f>
        <v>0</v>
      </c>
      <c r="K274" s="2399" t="str">
        <f>Итоговая!S275</f>
        <v>открыт</v>
      </c>
      <c r="L274" s="259" t="str">
        <f>Итоговая!T275</f>
        <v>открыт</v>
      </c>
      <c r="M274" s="2399">
        <f>Итоговая!U275</f>
        <v>0</v>
      </c>
      <c r="N274" s="902"/>
      <c r="O274" s="902"/>
      <c r="P274" s="902"/>
    </row>
    <row r="275" spans="1:48" s="232" customFormat="1" ht="15.75" hidden="1" customHeight="1" x14ac:dyDescent="0.25">
      <c r="A275" s="2419">
        <f>Итоговая!A276</f>
        <v>0</v>
      </c>
      <c r="B275" s="2441"/>
      <c r="C275" s="7" t="str">
        <f>Итоговая!C276</f>
        <v>Ном. мощность НН, МВА</v>
      </c>
      <c r="D275" s="230">
        <f>Итоговая!D276</f>
        <v>16</v>
      </c>
      <c r="E275" s="229" t="str">
        <f>Итоговая!E276</f>
        <v>+</v>
      </c>
      <c r="F275" s="229">
        <f>Итоговая!F276</f>
        <v>10</v>
      </c>
      <c r="G275" s="229">
        <f>Итоговая!G276</f>
        <v>0</v>
      </c>
      <c r="H275" s="229">
        <f>Итоговая!H276</f>
        <v>0</v>
      </c>
      <c r="I275" s="172">
        <f>Итоговая!Q276</f>
        <v>6.24</v>
      </c>
      <c r="J275" s="2420">
        <f>Итоговая!R276</f>
        <v>0</v>
      </c>
      <c r="K275" s="2399" t="str">
        <f>Итоговая!S276</f>
        <v>открыт</v>
      </c>
      <c r="L275" s="259" t="str">
        <f>Итоговая!T276</f>
        <v>открыт</v>
      </c>
      <c r="M275" s="2399">
        <f>Итоговая!U276</f>
        <v>0</v>
      </c>
      <c r="N275" s="902"/>
      <c r="O275" s="902"/>
      <c r="P275" s="902"/>
    </row>
    <row r="276" spans="1:48" s="232" customFormat="1" ht="15.75" hidden="1" customHeight="1" x14ac:dyDescent="0.25">
      <c r="A276" s="2419">
        <f>Итоговая!A277</f>
        <v>199</v>
      </c>
      <c r="B276" s="2423">
        <f>COUNTIFS($C$8:C276,"*ПС*",$L$8:L276,"*закрыт*")</f>
        <v>30</v>
      </c>
      <c r="C276" s="212" t="str">
        <f>Итоговая!C277</f>
        <v xml:space="preserve">ПС 110/35/10 кВ Старица </v>
      </c>
      <c r="D276" s="230">
        <f>Итоговая!D277</f>
        <v>16</v>
      </c>
      <c r="E276" s="229" t="str">
        <f>Итоговая!E277</f>
        <v>+</v>
      </c>
      <c r="F276" s="229">
        <f>Итоговая!F277</f>
        <v>16</v>
      </c>
      <c r="G276" s="229">
        <f>Итоговая!G277</f>
        <v>0</v>
      </c>
      <c r="H276" s="229">
        <f>Итоговая!H277</f>
        <v>0</v>
      </c>
      <c r="I276" s="172">
        <f>Итоговая!Q277</f>
        <v>8.7677077399977179</v>
      </c>
      <c r="J276" s="2420">
        <f>Итоговая!R277</f>
        <v>8.7677077399977179</v>
      </c>
      <c r="K276" s="2398" t="str">
        <f>Итоговая!S277</f>
        <v>открыт</v>
      </c>
      <c r="L276" s="259" t="str">
        <f>Итоговая!T277</f>
        <v>открыт</v>
      </c>
      <c r="M276" s="2398">
        <f>Итоговая!U277</f>
        <v>65.476190476190467</v>
      </c>
      <c r="N276" s="902"/>
      <c r="O276" s="902"/>
      <c r="P276" s="902"/>
    </row>
    <row r="277" spans="1:48" s="232" customFormat="1" ht="15.75" hidden="1" customHeight="1" x14ac:dyDescent="0.25">
      <c r="A277" s="2419">
        <f>Итоговая!A278</f>
        <v>0</v>
      </c>
      <c r="B277" s="2440"/>
      <c r="C277" s="7" t="str">
        <f>Итоговая!C278</f>
        <v xml:space="preserve">Ном. мощность СН, МВА </v>
      </c>
      <c r="D277" s="230">
        <f>Итоговая!D278</f>
        <v>16</v>
      </c>
      <c r="E277" s="229" t="str">
        <f>Итоговая!E278</f>
        <v>+</v>
      </c>
      <c r="F277" s="229">
        <f>Итоговая!F278</f>
        <v>16</v>
      </c>
      <c r="G277" s="229">
        <f>Итоговая!G278</f>
        <v>0</v>
      </c>
      <c r="H277" s="229">
        <f>Итоговая!H278</f>
        <v>0</v>
      </c>
      <c r="I277" s="172">
        <f>Итоговая!Q278</f>
        <v>15.748476379996902</v>
      </c>
      <c r="J277" s="2420">
        <f>Итоговая!R278</f>
        <v>0</v>
      </c>
      <c r="K277" s="2399" t="str">
        <f>Итоговая!S278</f>
        <v>открыт</v>
      </c>
      <c r="L277" s="259" t="str">
        <f>Итоговая!T278</f>
        <v>открыт</v>
      </c>
      <c r="M277" s="2399">
        <f>Итоговая!U278</f>
        <v>0</v>
      </c>
      <c r="N277" s="902"/>
      <c r="O277" s="902"/>
      <c r="P277" s="902"/>
    </row>
    <row r="278" spans="1:48" s="232" customFormat="1" ht="15.75" hidden="1" customHeight="1" x14ac:dyDescent="0.25">
      <c r="A278" s="2419">
        <f>Итоговая!A279</f>
        <v>0</v>
      </c>
      <c r="B278" s="2441"/>
      <c r="C278" s="7" t="str">
        <f>Итоговая!C279</f>
        <v>Ном. мощность НН, МВА</v>
      </c>
      <c r="D278" s="230">
        <f>Итоговая!D279</f>
        <v>16</v>
      </c>
      <c r="E278" s="229" t="str">
        <f>Итоговая!E279</f>
        <v>+</v>
      </c>
      <c r="F278" s="229">
        <f>Итоговая!F279</f>
        <v>16</v>
      </c>
      <c r="G278" s="229">
        <f>Итоговая!G279</f>
        <v>0</v>
      </c>
      <c r="H278" s="229">
        <f>Итоговая!H279</f>
        <v>0</v>
      </c>
      <c r="I278" s="172">
        <f>Итоговая!Q279</f>
        <v>9.819231360000817</v>
      </c>
      <c r="J278" s="2420">
        <f>Итоговая!R279</f>
        <v>0</v>
      </c>
      <c r="K278" s="2399" t="str">
        <f>Итоговая!S279</f>
        <v>открыт</v>
      </c>
      <c r="L278" s="259" t="str">
        <f>Итоговая!T279</f>
        <v>открыт</v>
      </c>
      <c r="M278" s="2399">
        <f>Итоговая!U279</f>
        <v>0</v>
      </c>
      <c r="N278" s="902"/>
      <c r="O278" s="902"/>
      <c r="P278" s="902"/>
    </row>
    <row r="279" spans="1:48" s="232" customFormat="1" ht="30" hidden="1" customHeight="1" x14ac:dyDescent="0.25">
      <c r="A279" s="2419">
        <f>Итоговая!A280</f>
        <v>200</v>
      </c>
      <c r="B279" s="2423">
        <f>COUNTIFS($C$8:C279,"*ПС*",$L$8:L279,"*закрыт*")</f>
        <v>30</v>
      </c>
      <c r="C279" s="212" t="str">
        <f>Итоговая!C280</f>
        <v xml:space="preserve">ПС 110/35/10 кВ З.Поле </v>
      </c>
      <c r="D279" s="230">
        <f>Итоговая!D280</f>
        <v>6.3</v>
      </c>
      <c r="E279" s="229" t="str">
        <f>Итоговая!E280</f>
        <v>+</v>
      </c>
      <c r="F279" s="229">
        <f>Итоговая!F280</f>
        <v>6.3</v>
      </c>
      <c r="G279" s="229">
        <f>Итоговая!G280</f>
        <v>0</v>
      </c>
      <c r="H279" s="229">
        <f>Итоговая!H280</f>
        <v>0</v>
      </c>
      <c r="I279" s="172">
        <f>Итоговая!Q280</f>
        <v>3.0249999999999999</v>
      </c>
      <c r="J279" s="2420">
        <f>Итоговая!R280</f>
        <v>3.0249999999999999</v>
      </c>
      <c r="K279" s="2398" t="str">
        <f>Итоговая!S280</f>
        <v>открыт</v>
      </c>
      <c r="L279" s="259" t="str">
        <f>Итоговая!T280</f>
        <v>открыт</v>
      </c>
      <c r="M279" s="2398">
        <f>Итоговая!U280</f>
        <v>55.933484504913075</v>
      </c>
      <c r="N279" s="902"/>
      <c r="O279" s="902"/>
      <c r="P279" s="902"/>
    </row>
    <row r="280" spans="1:48" ht="20.100000000000001" hidden="1" customHeight="1" x14ac:dyDescent="0.25">
      <c r="A280" s="2419">
        <f>Итоговая!A281</f>
        <v>0</v>
      </c>
      <c r="B280" s="2440"/>
      <c r="C280" s="7" t="str">
        <f>Итоговая!C281</f>
        <v xml:space="preserve">Ном. мощность СН, МВА </v>
      </c>
      <c r="D280" s="230">
        <f>Итоговая!D281</f>
        <v>6.3</v>
      </c>
      <c r="E280" s="229" t="str">
        <f>Итоговая!E281</f>
        <v>+</v>
      </c>
      <c r="F280" s="229">
        <f>Итоговая!F281</f>
        <v>6.3</v>
      </c>
      <c r="G280" s="229">
        <f>Итоговая!G281</f>
        <v>0</v>
      </c>
      <c r="H280" s="229">
        <f>Итоговая!H281</f>
        <v>0</v>
      </c>
      <c r="I280" s="172">
        <f>Итоговая!Q281</f>
        <v>6.585</v>
      </c>
      <c r="J280" s="2420">
        <f>Итоговая!R281</f>
        <v>0</v>
      </c>
      <c r="K280" s="2399" t="str">
        <f>Итоговая!S281</f>
        <v>открыт</v>
      </c>
      <c r="L280" s="259" t="str">
        <f>Итоговая!T281</f>
        <v>открыт</v>
      </c>
      <c r="M280" s="2399">
        <f>Итоговая!U281</f>
        <v>0</v>
      </c>
      <c r="N280" s="902"/>
      <c r="O280" s="902"/>
      <c r="P280" s="902"/>
    </row>
    <row r="281" spans="1:48" ht="20.100000000000001" hidden="1" customHeight="1" x14ac:dyDescent="0.25">
      <c r="A281" s="2419">
        <f>Итоговая!A282</f>
        <v>0</v>
      </c>
      <c r="B281" s="2441"/>
      <c r="C281" s="7" t="str">
        <f>Итоговая!C282</f>
        <v>Ном. мощность НН, МВА</v>
      </c>
      <c r="D281" s="230">
        <f>Итоговая!D282</f>
        <v>6.3</v>
      </c>
      <c r="E281" s="229" t="str">
        <f>Итоговая!E282</f>
        <v>+</v>
      </c>
      <c r="F281" s="229">
        <f>Итоговая!F282</f>
        <v>6.3</v>
      </c>
      <c r="G281" s="229">
        <f>Итоговая!G282</f>
        <v>0</v>
      </c>
      <c r="H281" s="229">
        <f>Итоговая!H282</f>
        <v>0</v>
      </c>
      <c r="I281" s="172">
        <f>Итоговая!Q282</f>
        <v>3.0550000000000002</v>
      </c>
      <c r="J281" s="2420">
        <f>Итоговая!R282</f>
        <v>0</v>
      </c>
      <c r="K281" s="2399" t="str">
        <f>Итоговая!S282</f>
        <v>открыт</v>
      </c>
      <c r="L281" s="259" t="str">
        <f>Итоговая!T282</f>
        <v>открыт</v>
      </c>
      <c r="M281" s="2399">
        <f>Итоговая!U282</f>
        <v>0</v>
      </c>
      <c r="N281" s="902"/>
      <c r="O281" s="902"/>
      <c r="P281" s="902"/>
    </row>
    <row r="282" spans="1:48" ht="20.100000000000001" customHeight="1" x14ac:dyDescent="0.25">
      <c r="A282" s="212">
        <f>Итоговая!A283</f>
        <v>201</v>
      </c>
      <c r="B282" s="212">
        <f>COUNTIFS($C$8:C282,"*ПС*",$L$8:L282,"*закрыт*")</f>
        <v>31</v>
      </c>
      <c r="C282" s="212" t="str">
        <f>Итоговая!C283</f>
        <v xml:space="preserve">ПС 110/10 кВ Золоотвал </v>
      </c>
      <c r="D282" s="230">
        <f>Итоговая!D283</f>
        <v>2.5</v>
      </c>
      <c r="E282" s="229">
        <f>Итоговая!E283</f>
        <v>0</v>
      </c>
      <c r="F282" s="229">
        <f>Итоговая!F283</f>
        <v>0</v>
      </c>
      <c r="G282" s="229">
        <f>Итоговая!G283</f>
        <v>0</v>
      </c>
      <c r="H282" s="229">
        <f>Итоговая!H283</f>
        <v>0</v>
      </c>
      <c r="I282" s="172">
        <f>Итоговая!Q283</f>
        <v>-0.1399999999999999</v>
      </c>
      <c r="J282" s="172">
        <f>Итоговая!R283</f>
        <v>-0.1399999999999999</v>
      </c>
      <c r="K282" s="757" t="str">
        <f>Итоговая!S283</f>
        <v>закрыт</v>
      </c>
      <c r="L282" s="259" t="str">
        <f>Итоговая!T283</f>
        <v>закрыт</v>
      </c>
      <c r="M282" s="757">
        <f>Итоговая!U283</f>
        <v>47.238095238095241</v>
      </c>
      <c r="N282" s="907"/>
      <c r="O282" s="907"/>
      <c r="P282" s="907"/>
    </row>
    <row r="283" spans="1:48" ht="20.100000000000001" customHeight="1" x14ac:dyDescent="0.25">
      <c r="A283" s="212">
        <f>Итоговая!A284</f>
        <v>202</v>
      </c>
      <c r="B283" s="212">
        <f>COUNTIFS($C$8:C283,"*ПС*",$L$8:L283,"*закрыт*")</f>
        <v>32</v>
      </c>
      <c r="C283" s="212" t="str">
        <f>Итоговая!C284</f>
        <v xml:space="preserve">ПС 35/10 кВ Красногорская </v>
      </c>
      <c r="D283" s="230">
        <f>Итоговая!D284</f>
        <v>1.6</v>
      </c>
      <c r="E283" s="229">
        <f>Итоговая!E284</f>
        <v>0</v>
      </c>
      <c r="F283" s="229">
        <f>Итоговая!F284</f>
        <v>0</v>
      </c>
      <c r="G283" s="229">
        <f>Итоговая!G284</f>
        <v>0</v>
      </c>
      <c r="H283" s="229">
        <f>Итоговая!H284</f>
        <v>0</v>
      </c>
      <c r="I283" s="172">
        <f>Итоговая!Q284</f>
        <v>-1.41</v>
      </c>
      <c r="J283" s="172">
        <f>Итоговая!R284</f>
        <v>-1.41</v>
      </c>
      <c r="K283" s="172" t="str">
        <f>Итоговая!S284</f>
        <v>закрыт</v>
      </c>
      <c r="L283" s="259" t="str">
        <f>Итоговая!T284</f>
        <v>закрыт</v>
      </c>
      <c r="M283" s="757">
        <f>Итоговая!U284</f>
        <v>83.928571428571416</v>
      </c>
      <c r="N283" s="907"/>
      <c r="O283" s="907"/>
      <c r="P283" s="907"/>
    </row>
    <row r="284" spans="1:48" ht="20.100000000000001" customHeight="1" x14ac:dyDescent="0.25">
      <c r="A284" s="212">
        <f>Итоговая!A285</f>
        <v>203</v>
      </c>
      <c r="B284" s="212">
        <f>COUNTIFS($C$8:C284,"*ПС*",$L$8:L284,"*закрыт*")</f>
        <v>33</v>
      </c>
      <c r="C284" s="212" t="str">
        <f>Итоговая!C285</f>
        <v xml:space="preserve">ПС 35/10 кВ Лисицкий Бор </v>
      </c>
      <c r="D284" s="230">
        <f>Итоговая!D285</f>
        <v>2.5</v>
      </c>
      <c r="E284" s="229">
        <f>Итоговая!E285</f>
        <v>0</v>
      </c>
      <c r="F284" s="229">
        <f>Итоговая!F285</f>
        <v>0</v>
      </c>
      <c r="G284" s="229">
        <f>Итоговая!G285</f>
        <v>0</v>
      </c>
      <c r="H284" s="229">
        <f>Итоговая!H285</f>
        <v>0</v>
      </c>
      <c r="I284" s="172">
        <f>Итоговая!Q285</f>
        <v>-0.98</v>
      </c>
      <c r="J284" s="172">
        <f>Итоговая!R285</f>
        <v>-0.98</v>
      </c>
      <c r="K284" s="172" t="str">
        <f>Итоговая!S285</f>
        <v>закрыт</v>
      </c>
      <c r="L284" s="259" t="str">
        <f>Итоговая!T285</f>
        <v>закрыт</v>
      </c>
      <c r="M284" s="757">
        <f>Итоговая!U285</f>
        <v>37.333333333333336</v>
      </c>
      <c r="N284" s="907"/>
      <c r="O284" s="907"/>
      <c r="P284" s="907"/>
    </row>
    <row r="285" spans="1:48" ht="20.100000000000001" customHeight="1" x14ac:dyDescent="0.25">
      <c r="A285" s="212">
        <f>Итоговая!A286</f>
        <v>204</v>
      </c>
      <c r="B285" s="212">
        <f>COUNTIFS($C$8:C285,"*ПС*",$L$8:L285,"*закрыт*")</f>
        <v>34</v>
      </c>
      <c r="C285" s="212" t="str">
        <f>Итоговая!C286</f>
        <v xml:space="preserve">ПС  35/3 кВ №6 </v>
      </c>
      <c r="D285" s="230">
        <f>Итоговая!D286</f>
        <v>1</v>
      </c>
      <c r="E285" s="229">
        <f>Итоговая!E286</f>
        <v>0</v>
      </c>
      <c r="F285" s="229">
        <f>Итоговая!F286</f>
        <v>0</v>
      </c>
      <c r="G285" s="229">
        <f>Итоговая!G286</f>
        <v>0</v>
      </c>
      <c r="H285" s="229">
        <f>Итоговая!H286</f>
        <v>0</v>
      </c>
      <c r="I285" s="172">
        <f>Итоговая!Q286</f>
        <v>-0.15</v>
      </c>
      <c r="J285" s="172">
        <f>Итоговая!R286</f>
        <v>-0.15</v>
      </c>
      <c r="K285" s="172" t="str">
        <f>Итоговая!S286</f>
        <v>закрыт</v>
      </c>
      <c r="L285" s="259" t="str">
        <f>Итоговая!T286</f>
        <v>закрыт</v>
      </c>
      <c r="M285" s="757">
        <f>Итоговая!U286</f>
        <v>14.285714285714285</v>
      </c>
      <c r="N285" s="907"/>
      <c r="O285" s="907"/>
      <c r="P285" s="907"/>
    </row>
    <row r="286" spans="1:48" ht="20.100000000000001" customHeight="1" x14ac:dyDescent="0.25">
      <c r="A286" s="212">
        <f>Итоговая!A287</f>
        <v>205</v>
      </c>
      <c r="B286" s="212">
        <f>COUNTIFS($C$8:C286,"*ПС*",$L$8:L286,"*закрыт*")</f>
        <v>35</v>
      </c>
      <c r="C286" s="212" t="str">
        <f>Итоговая!C287</f>
        <v xml:space="preserve">ПС 35/6 кВ №1 </v>
      </c>
      <c r="D286" s="230">
        <f>Итоговая!D287</f>
        <v>1</v>
      </c>
      <c r="E286" s="229">
        <f>Итоговая!E287</f>
        <v>0</v>
      </c>
      <c r="F286" s="229">
        <f>Итоговая!F287</f>
        <v>0</v>
      </c>
      <c r="G286" s="229">
        <f>Итоговая!G287</f>
        <v>0</v>
      </c>
      <c r="H286" s="229">
        <f>Итоговая!H287</f>
        <v>0</v>
      </c>
      <c r="I286" s="172">
        <f>Итоговая!Q287</f>
        <v>-0.61</v>
      </c>
      <c r="J286" s="172">
        <f>Итоговая!R287</f>
        <v>-0.61</v>
      </c>
      <c r="K286" s="172" t="str">
        <f>Итоговая!S287</f>
        <v>закрыт</v>
      </c>
      <c r="L286" s="259" t="str">
        <f>Итоговая!T287</f>
        <v>закрыт</v>
      </c>
      <c r="M286" s="757">
        <f>Итоговая!U287</f>
        <v>58.095238095238095</v>
      </c>
      <c r="N286" s="907"/>
      <c r="O286" s="907"/>
      <c r="P286" s="907"/>
    </row>
    <row r="287" spans="1:48" s="232" customFormat="1" ht="15" customHeight="1" x14ac:dyDescent="0.25">
      <c r="A287" s="212">
        <f>Итоговая!A288</f>
        <v>206</v>
      </c>
      <c r="B287" s="212">
        <f>COUNTIFS($C$8:C287,"*ПС*",$L$8:L287,"*закрыт*")</f>
        <v>36</v>
      </c>
      <c r="C287" s="212" t="str">
        <f>Итоговая!C288</f>
        <v xml:space="preserve">  ПС  35/10 кВ №1 </v>
      </c>
      <c r="D287" s="230">
        <f>Итоговая!D288</f>
        <v>4</v>
      </c>
      <c r="E287" s="229">
        <f>Итоговая!E288</f>
        <v>0</v>
      </c>
      <c r="F287" s="229">
        <f>Итоговая!F288</f>
        <v>0</v>
      </c>
      <c r="G287" s="229">
        <f>Итоговая!G288</f>
        <v>0</v>
      </c>
      <c r="H287" s="229">
        <f>Итоговая!H288</f>
        <v>0</v>
      </c>
      <c r="I287" s="172">
        <f>Итоговая!Q288</f>
        <v>-2.12</v>
      </c>
      <c r="J287" s="172">
        <f>Итоговая!R288</f>
        <v>-2.12</v>
      </c>
      <c r="K287" s="172" t="str">
        <f>Итоговая!S288</f>
        <v>закрыт</v>
      </c>
      <c r="L287" s="259" t="str">
        <f>Итоговая!T288</f>
        <v>закрыт</v>
      </c>
      <c r="M287" s="757">
        <f>Итоговая!U288</f>
        <v>50.476190476190474</v>
      </c>
      <c r="N287" s="907"/>
      <c r="O287" s="907"/>
      <c r="P287" s="907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3"/>
      <c r="AU287" s="233"/>
      <c r="AV287" s="233"/>
    </row>
    <row r="288" spans="1:48" s="232" customFormat="1" ht="15" customHeight="1" x14ac:dyDescent="0.25">
      <c r="A288" s="212">
        <f>Итоговая!A289</f>
        <v>207</v>
      </c>
      <c r="B288" s="212">
        <f>COUNTIFS($C$8:C288,"*ПС*",$L$8:L288,"*закрыт*")</f>
        <v>37</v>
      </c>
      <c r="C288" s="212" t="str">
        <f>Итоговая!C289</f>
        <v>ПС  35/6 кВ №16</v>
      </c>
      <c r="D288" s="230">
        <f>Итоговая!D289</f>
        <v>1</v>
      </c>
      <c r="E288" s="229">
        <f>Итоговая!E289</f>
        <v>0</v>
      </c>
      <c r="F288" s="229">
        <f>Итоговая!F289</f>
        <v>0</v>
      </c>
      <c r="G288" s="229">
        <f>Итоговая!G289</f>
        <v>0</v>
      </c>
      <c r="H288" s="229">
        <f>Итоговая!H289</f>
        <v>0</v>
      </c>
      <c r="I288" s="172">
        <f>Итоговая!Q289</f>
        <v>-0.21</v>
      </c>
      <c r="J288" s="172">
        <f>Итоговая!R289</f>
        <v>-0.21</v>
      </c>
      <c r="K288" s="172" t="str">
        <f>Итоговая!S289</f>
        <v>закрыт</v>
      </c>
      <c r="L288" s="259" t="str">
        <f>Итоговая!T289</f>
        <v>закрыт</v>
      </c>
      <c r="M288" s="757">
        <f>Итоговая!U289</f>
        <v>20</v>
      </c>
      <c r="N288" s="907"/>
      <c r="O288" s="907"/>
      <c r="P288" s="907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3"/>
      <c r="AU288" s="233"/>
      <c r="AV288" s="233"/>
    </row>
    <row r="289" spans="1:48" s="232" customFormat="1" ht="15" customHeight="1" x14ac:dyDescent="0.25">
      <c r="A289" s="212">
        <f>Итоговая!A290</f>
        <v>208</v>
      </c>
      <c r="B289" s="212">
        <f>COUNTIFS($C$8:C289,"*ПС*",$L$8:L289,"*закрыт*")</f>
        <v>38</v>
      </c>
      <c r="C289" s="212" t="str">
        <f>Итоговая!C290</f>
        <v>ПС  35/10 кВ №16</v>
      </c>
      <c r="D289" s="230">
        <f>Итоговая!D290</f>
        <v>2.5</v>
      </c>
      <c r="E289" s="229">
        <f>Итоговая!E290</f>
        <v>0</v>
      </c>
      <c r="F289" s="229">
        <f>Итоговая!F290</f>
        <v>0</v>
      </c>
      <c r="G289" s="229">
        <f>Итоговая!G290</f>
        <v>0</v>
      </c>
      <c r="H289" s="229">
        <f>Итоговая!H290</f>
        <v>0</v>
      </c>
      <c r="I289" s="172">
        <f>Итоговая!Q290</f>
        <v>-1.4</v>
      </c>
      <c r="J289" s="172">
        <f>Итоговая!R290</f>
        <v>-1.4</v>
      </c>
      <c r="K289" s="172" t="str">
        <f>Итоговая!S290</f>
        <v>закрыт</v>
      </c>
      <c r="L289" s="259" t="str">
        <f>Итоговая!T290</f>
        <v>закрыт</v>
      </c>
      <c r="M289" s="757">
        <f>Итоговая!U290</f>
        <v>53.333333333333336</v>
      </c>
      <c r="N289" s="907"/>
      <c r="O289" s="907"/>
      <c r="P289" s="907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3"/>
      <c r="AU289" s="233"/>
      <c r="AV289" s="233"/>
    </row>
    <row r="290" spans="1:48" ht="20.100000000000001" customHeight="1" x14ac:dyDescent="0.25">
      <c r="A290" s="212">
        <f>Итоговая!A291</f>
        <v>209</v>
      </c>
      <c r="B290" s="212">
        <f>COUNTIFS($C$8:C290,"*ПС*",$L$8:L290,"*закрыт*")</f>
        <v>39</v>
      </c>
      <c r="C290" s="212" t="str">
        <f>Итоговая!C291</f>
        <v xml:space="preserve">ПС 35/10 кВ Золотиха </v>
      </c>
      <c r="D290" s="230">
        <f>Итоговая!D291</f>
        <v>2.5</v>
      </c>
      <c r="E290" s="229">
        <f>Итоговая!E291</f>
        <v>0</v>
      </c>
      <c r="F290" s="229">
        <f>Итоговая!F291</f>
        <v>0</v>
      </c>
      <c r="G290" s="229">
        <f>Итоговая!G291</f>
        <v>0</v>
      </c>
      <c r="H290" s="229">
        <f>Итоговая!H291</f>
        <v>0</v>
      </c>
      <c r="I290" s="172">
        <f>Итоговая!Q291</f>
        <v>-0.27</v>
      </c>
      <c r="J290" s="172">
        <f>Итоговая!R291</f>
        <v>-0.27</v>
      </c>
      <c r="K290" s="172" t="str">
        <f>Итоговая!S291</f>
        <v>закрыт</v>
      </c>
      <c r="L290" s="259" t="str">
        <f>Итоговая!T291</f>
        <v>закрыт</v>
      </c>
      <c r="M290" s="757">
        <f>Итоговая!U291</f>
        <v>33.142857142857146</v>
      </c>
      <c r="N290" s="907"/>
      <c r="O290" s="907"/>
      <c r="P290" s="907"/>
    </row>
    <row r="291" spans="1:48" ht="20.100000000000001" customHeight="1" x14ac:dyDescent="0.25">
      <c r="A291" s="212">
        <f>Итоговая!A292</f>
        <v>210</v>
      </c>
      <c r="B291" s="212">
        <f>COUNTIFS($C$8:C291,"*ПС*",$L$8:L291,"*закрыт*")</f>
        <v>40</v>
      </c>
      <c r="C291" s="212" t="str">
        <f>Итоговая!C292</f>
        <v>ПС  35/10 кВ Новый Стан</v>
      </c>
      <c r="D291" s="230">
        <f>Итоговая!D292</f>
        <v>2.5</v>
      </c>
      <c r="E291" s="229">
        <f>Итоговая!E292</f>
        <v>0</v>
      </c>
      <c r="F291" s="229">
        <f>Итоговая!F292</f>
        <v>0</v>
      </c>
      <c r="G291" s="229">
        <f>Итоговая!G292</f>
        <v>0</v>
      </c>
      <c r="H291" s="229">
        <f>Итоговая!H292</f>
        <v>0</v>
      </c>
      <c r="I291" s="172">
        <f>Итоговая!Q292</f>
        <v>-0.16</v>
      </c>
      <c r="J291" s="172">
        <f>Итоговая!R292</f>
        <v>-0.16</v>
      </c>
      <c r="K291" s="172" t="str">
        <f>Итоговая!S292</f>
        <v>закрыт</v>
      </c>
      <c r="L291" s="259" t="str">
        <f>Итоговая!T292</f>
        <v>закрыт</v>
      </c>
      <c r="M291" s="757">
        <f>Итоговая!U292</f>
        <v>12.571428571428571</v>
      </c>
      <c r="N291" s="907"/>
      <c r="O291" s="907"/>
      <c r="P291" s="907"/>
    </row>
    <row r="292" spans="1:48" ht="20.100000000000001" customHeight="1" x14ac:dyDescent="0.25">
      <c r="A292" s="212">
        <f>Итоговая!A293</f>
        <v>211</v>
      </c>
      <c r="B292" s="212">
        <f>COUNTIFS($C$8:C292,"*ПС*",$L$8:L292,"*закрыт*")</f>
        <v>41</v>
      </c>
      <c r="C292" s="212" t="str">
        <f>Итоговая!C293</f>
        <v>ПС  35/10 кВ Романово</v>
      </c>
      <c r="D292" s="230">
        <f>Итоговая!D293</f>
        <v>2.5</v>
      </c>
      <c r="E292" s="229">
        <f>Итоговая!E293</f>
        <v>0</v>
      </c>
      <c r="F292" s="229">
        <f>Итоговая!F293</f>
        <v>0</v>
      </c>
      <c r="G292" s="229">
        <f>Итоговая!G293</f>
        <v>0</v>
      </c>
      <c r="H292" s="229">
        <f>Итоговая!H293</f>
        <v>0</v>
      </c>
      <c r="I292" s="172">
        <f>Итоговая!Q293</f>
        <v>-0.35</v>
      </c>
      <c r="J292" s="172">
        <f>Итоговая!R293</f>
        <v>-0.35</v>
      </c>
      <c r="K292" s="172" t="str">
        <f>Итоговая!S293</f>
        <v>закрыт</v>
      </c>
      <c r="L292" s="259" t="str">
        <f>Итоговая!T293</f>
        <v>закрыт</v>
      </c>
      <c r="M292" s="757">
        <f>Итоговая!U293</f>
        <v>27.80952380952381</v>
      </c>
      <c r="N292" s="907"/>
      <c r="O292" s="907"/>
      <c r="P292" s="907"/>
    </row>
    <row r="293" spans="1:48" ht="20.100000000000001" customHeight="1" x14ac:dyDescent="0.25">
      <c r="A293" s="212">
        <f>Итоговая!A294</f>
        <v>212</v>
      </c>
      <c r="B293" s="212">
        <f>COUNTIFS($C$8:C293,"*ПС*",$L$8:L293,"*закрыт*")</f>
        <v>42</v>
      </c>
      <c r="C293" s="212" t="str">
        <f>Итоговая!C294</f>
        <v xml:space="preserve">ПС 35/10 кВ Первитино </v>
      </c>
      <c r="D293" s="230">
        <f>Итоговая!D294</f>
        <v>1.6</v>
      </c>
      <c r="E293" s="229">
        <f>Итоговая!E294</f>
        <v>0</v>
      </c>
      <c r="F293" s="229">
        <f>Итоговая!F294</f>
        <v>0</v>
      </c>
      <c r="G293" s="229">
        <f>Итоговая!G294</f>
        <v>0</v>
      </c>
      <c r="H293" s="229">
        <f>Итоговая!H294</f>
        <v>0</v>
      </c>
      <c r="I293" s="172">
        <f>Итоговая!Q294</f>
        <v>-0.32</v>
      </c>
      <c r="J293" s="172">
        <f>Итоговая!R294</f>
        <v>-0.32</v>
      </c>
      <c r="K293" s="172" t="str">
        <f>Итоговая!S294</f>
        <v>закрыт</v>
      </c>
      <c r="L293" s="259" t="str">
        <f>Итоговая!T294</f>
        <v>закрыт</v>
      </c>
      <c r="M293" s="757">
        <f>Итоговая!U294</f>
        <v>19.047619047619047</v>
      </c>
      <c r="N293" s="907"/>
      <c r="O293" s="907"/>
      <c r="P293" s="907"/>
    </row>
    <row r="294" spans="1:48" s="232" customFormat="1" ht="30" customHeight="1" x14ac:dyDescent="0.25">
      <c r="A294" s="212">
        <f>Итоговая!A295</f>
        <v>213</v>
      </c>
      <c r="B294" s="212">
        <f>COUNTIFS($C$8:C294,"*ПС*",$L$8:L294,"*закрыт*")</f>
        <v>43</v>
      </c>
      <c r="C294" s="212" t="str">
        <f>Итоговая!C295</f>
        <v xml:space="preserve">ПС 35/10 кВ № 8  </v>
      </c>
      <c r="D294" s="230">
        <f>Итоговая!D295</f>
        <v>2.5</v>
      </c>
      <c r="E294" s="229">
        <f>Итоговая!E295</f>
        <v>0</v>
      </c>
      <c r="F294" s="229">
        <f>Итоговая!F295</f>
        <v>0</v>
      </c>
      <c r="G294" s="229">
        <f>Итоговая!G295</f>
        <v>0</v>
      </c>
      <c r="H294" s="229">
        <f>Итоговая!H295</f>
        <v>0</v>
      </c>
      <c r="I294" s="172">
        <f>Итоговая!Q295</f>
        <v>-0.65</v>
      </c>
      <c r="J294" s="172">
        <f>Итоговая!R295</f>
        <v>-0.65</v>
      </c>
      <c r="K294" s="172" t="str">
        <f>Итоговая!S295</f>
        <v>закрыт</v>
      </c>
      <c r="L294" s="259" t="str">
        <f>Итоговая!T295</f>
        <v>закрыт</v>
      </c>
      <c r="M294" s="757">
        <f>Итоговая!U295</f>
        <v>24.761904761904763</v>
      </c>
      <c r="N294" s="907"/>
      <c r="O294" s="907"/>
      <c r="P294" s="907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3"/>
      <c r="AU294" s="233"/>
      <c r="AV294" s="233"/>
    </row>
    <row r="295" spans="1:48" ht="20.100000000000001" customHeight="1" x14ac:dyDescent="0.25">
      <c r="A295" s="212">
        <f>Итоговая!A296</f>
        <v>214</v>
      </c>
      <c r="B295" s="212">
        <f>COUNTIFS($C$8:C295,"*ПС*",$L$8:L295,"*закрыт*")</f>
        <v>44</v>
      </c>
      <c r="C295" s="212" t="str">
        <f>Итоговая!C296</f>
        <v xml:space="preserve">ПС 35/6 кВ Алексино </v>
      </c>
      <c r="D295" s="230">
        <f>Итоговая!D296</f>
        <v>2.5</v>
      </c>
      <c r="E295" s="229">
        <f>Итоговая!E296</f>
        <v>0</v>
      </c>
      <c r="F295" s="229">
        <f>Итоговая!F296</f>
        <v>0</v>
      </c>
      <c r="G295" s="229">
        <f>Итоговая!G296</f>
        <v>0</v>
      </c>
      <c r="H295" s="229">
        <f>Итоговая!H296</f>
        <v>0</v>
      </c>
      <c r="I295" s="172">
        <f>Итоговая!Q296</f>
        <v>-1.47</v>
      </c>
      <c r="J295" s="172">
        <f>Итоговая!R296</f>
        <v>-1.47</v>
      </c>
      <c r="K295" s="172" t="str">
        <f>Итоговая!S296</f>
        <v>закрыт</v>
      </c>
      <c r="L295" s="259" t="str">
        <f>Итоговая!T296</f>
        <v>закрыт</v>
      </c>
      <c r="M295" s="757">
        <f>Итоговая!U296</f>
        <v>56</v>
      </c>
      <c r="N295" s="907"/>
      <c r="O295" s="907"/>
      <c r="P295" s="907"/>
    </row>
    <row r="296" spans="1:48" s="232" customFormat="1" ht="15" customHeight="1" x14ac:dyDescent="0.25">
      <c r="A296" s="212">
        <f>Итоговая!A297</f>
        <v>215</v>
      </c>
      <c r="B296" s="212">
        <f>COUNTIFS($C$8:C296,"*ПС*",$L$8:L296,"*закрыт*")</f>
        <v>45</v>
      </c>
      <c r="C296" s="212" t="str">
        <f>Итоговая!C297</f>
        <v xml:space="preserve">ПС 35/10 кВ Безбородово </v>
      </c>
      <c r="D296" s="230">
        <f>Итоговая!D297</f>
        <v>2.5</v>
      </c>
      <c r="E296" s="229">
        <f>Итоговая!E297</f>
        <v>0</v>
      </c>
      <c r="F296" s="229">
        <f>Итоговая!F297</f>
        <v>0</v>
      </c>
      <c r="G296" s="229">
        <f>Итоговая!G297</f>
        <v>0</v>
      </c>
      <c r="H296" s="229">
        <f>Итоговая!H297</f>
        <v>0</v>
      </c>
      <c r="I296" s="172">
        <f>Итоговая!Q297</f>
        <v>-0.76</v>
      </c>
      <c r="J296" s="172">
        <f>Итоговая!R297</f>
        <v>-0.76</v>
      </c>
      <c r="K296" s="172" t="str">
        <f>Итоговая!S297</f>
        <v>закрыт</v>
      </c>
      <c r="L296" s="259" t="str">
        <f>Итоговая!T297</f>
        <v>закрыт</v>
      </c>
      <c r="M296" s="757">
        <f>Итоговая!U297</f>
        <v>28.952380952380953</v>
      </c>
      <c r="N296" s="907"/>
      <c r="O296" s="907"/>
      <c r="P296" s="907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3"/>
      <c r="AU296" s="233"/>
      <c r="AV296" s="233"/>
    </row>
    <row r="297" spans="1:48" s="232" customFormat="1" ht="15" customHeight="1" x14ac:dyDescent="0.25">
      <c r="A297" s="212">
        <f>Итоговая!A298</f>
        <v>216</v>
      </c>
      <c r="B297" s="212">
        <f>COUNTIFS($C$8:C297,"*ПС*",$L$8:L297,"*закрыт*")</f>
        <v>46</v>
      </c>
      <c r="C297" s="212" t="str">
        <f>Итоговая!C298</f>
        <v xml:space="preserve">ПС 110/10 кВ Медведиха </v>
      </c>
      <c r="D297" s="230">
        <f>Итоговая!D298</f>
        <v>2.5</v>
      </c>
      <c r="E297" s="229">
        <f>Итоговая!E298</f>
        <v>0</v>
      </c>
      <c r="F297" s="229">
        <f>Итоговая!F298</f>
        <v>0</v>
      </c>
      <c r="G297" s="229">
        <f>Итоговая!G298</f>
        <v>0</v>
      </c>
      <c r="H297" s="229">
        <f>Итоговая!H298</f>
        <v>0</v>
      </c>
      <c r="I297" s="172">
        <f>Итоговая!Q298</f>
        <v>-9.9999999999999978E-2</v>
      </c>
      <c r="J297" s="172">
        <f>Итоговая!R298</f>
        <v>-9.9999999999999978E-2</v>
      </c>
      <c r="K297" s="172" t="str">
        <f>Итоговая!S298</f>
        <v>закрыт</v>
      </c>
      <c r="L297" s="259" t="str">
        <f>Итоговая!T298</f>
        <v>закрыт</v>
      </c>
      <c r="M297" s="757">
        <f>Итоговая!U298</f>
        <v>16</v>
      </c>
      <c r="N297" s="907"/>
      <c r="O297" s="907"/>
      <c r="P297" s="907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</row>
    <row r="298" spans="1:48" s="232" customFormat="1" ht="15" customHeight="1" x14ac:dyDescent="0.25">
      <c r="A298" s="212">
        <f>Итоговая!A299</f>
        <v>217</v>
      </c>
      <c r="B298" s="212">
        <f>COUNTIFS($C$8:C298,"*ПС*",$L$8:L298,"*закрыт*")</f>
        <v>47</v>
      </c>
      <c r="C298" s="212" t="str">
        <f>Итоговая!C299</f>
        <v xml:space="preserve">ПС 35/10 кВ Киверичи </v>
      </c>
      <c r="D298" s="230">
        <f>Итоговая!D299</f>
        <v>2.5</v>
      </c>
      <c r="E298" s="229">
        <f>Итоговая!E299</f>
        <v>0</v>
      </c>
      <c r="F298" s="229">
        <f>Итоговая!F299</f>
        <v>0</v>
      </c>
      <c r="G298" s="229">
        <f>Итоговая!G299</f>
        <v>0</v>
      </c>
      <c r="H298" s="229">
        <f>Итоговая!H299</f>
        <v>0</v>
      </c>
      <c r="I298" s="172">
        <f>Итоговая!Q299</f>
        <v>-0.45</v>
      </c>
      <c r="J298" s="172">
        <f>Итоговая!R299</f>
        <v>-0.45</v>
      </c>
      <c r="K298" s="172" t="str">
        <f>Итоговая!S299</f>
        <v>закрыт</v>
      </c>
      <c r="L298" s="259" t="str">
        <f>Итоговая!T299</f>
        <v>закрыт</v>
      </c>
      <c r="M298" s="757">
        <f>Итоговая!U299</f>
        <v>17.142857142857142</v>
      </c>
      <c r="N298" s="907"/>
      <c r="O298" s="907"/>
      <c r="P298" s="907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3"/>
      <c r="AU298" s="233"/>
      <c r="AV298" s="233"/>
    </row>
    <row r="299" spans="1:48" s="232" customFormat="1" ht="15" hidden="1" customHeight="1" x14ac:dyDescent="0.25">
      <c r="A299" s="212">
        <f>Итоговая!A300</f>
        <v>218</v>
      </c>
      <c r="B299" s="212">
        <f>COUNTIFS($C$8:C299,"*ПС*",$L$8:L299,"*закрыт*")</f>
        <v>47</v>
      </c>
      <c r="C299" s="212" t="str">
        <f>Итоговая!C300</f>
        <v xml:space="preserve">ПС 35/10 кВ Диево </v>
      </c>
      <c r="D299" s="230">
        <f>Итоговая!D300</f>
        <v>2.5</v>
      </c>
      <c r="E299" s="229">
        <f>Итоговая!E300</f>
        <v>0</v>
      </c>
      <c r="F299" s="229">
        <f>Итоговая!F300</f>
        <v>0</v>
      </c>
      <c r="G299" s="229">
        <f>Итоговая!G300</f>
        <v>0</v>
      </c>
      <c r="H299" s="229">
        <f>Итоговая!H300</f>
        <v>0</v>
      </c>
      <c r="I299" s="172">
        <f>Итоговая!Q300</f>
        <v>0</v>
      </c>
      <c r="J299" s="172">
        <f>Итоговая!R300</f>
        <v>0</v>
      </c>
      <c r="K299" s="172" t="str">
        <f>Итоговая!S300</f>
        <v>открыт</v>
      </c>
      <c r="L299" s="259" t="str">
        <f>Итоговая!T300</f>
        <v>открыт</v>
      </c>
      <c r="M299" s="757">
        <f>Итоговая!U300</f>
        <v>4.1904761904761907</v>
      </c>
      <c r="N299" s="907"/>
      <c r="O299" s="907"/>
      <c r="P299" s="907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</row>
    <row r="300" spans="1:48" s="232" customFormat="1" ht="15" hidden="1" customHeight="1" x14ac:dyDescent="0.25">
      <c r="A300" s="212">
        <f>Итоговая!A301</f>
        <v>219</v>
      </c>
      <c r="B300" s="212">
        <f>COUNTIFS($C$8:C300,"*ПС*",$L$8:L300,"*закрыт*")</f>
        <v>47</v>
      </c>
      <c r="C300" s="212" t="str">
        <f>Итоговая!C301</f>
        <v xml:space="preserve">ПС 35/10 кВ №17 </v>
      </c>
      <c r="D300" s="230">
        <f>Итоговая!D301</f>
        <v>4</v>
      </c>
      <c r="E300" s="229" t="str">
        <f>Итоговая!E301</f>
        <v>+</v>
      </c>
      <c r="F300" s="229">
        <f>Итоговая!F301</f>
        <v>4</v>
      </c>
      <c r="G300" s="229">
        <f>Итоговая!G301</f>
        <v>0</v>
      </c>
      <c r="H300" s="229">
        <f>Итоговая!H301</f>
        <v>0</v>
      </c>
      <c r="I300" s="172">
        <f>Итоговая!Q301</f>
        <v>3.45</v>
      </c>
      <c r="J300" s="172">
        <f>Итоговая!R301</f>
        <v>3.45</v>
      </c>
      <c r="K300" s="172" t="str">
        <f>Итоговая!S301</f>
        <v>открыт</v>
      </c>
      <c r="L300" s="259" t="str">
        <f>Итоговая!T301</f>
        <v>открыт</v>
      </c>
      <c r="M300" s="757">
        <f>Итоговая!U301</f>
        <v>17.857142857142858</v>
      </c>
      <c r="N300" s="902"/>
      <c r="O300" s="902"/>
      <c r="P300" s="902"/>
    </row>
    <row r="301" spans="1:48" s="232" customFormat="1" ht="15" hidden="1" customHeight="1" x14ac:dyDescent="0.25">
      <c r="A301" s="212">
        <f>Итоговая!A302</f>
        <v>220</v>
      </c>
      <c r="B301" s="212">
        <f>COUNTIFS($C$8:C301,"*ПС*",$L$8:L301,"*закрыт*")</f>
        <v>47</v>
      </c>
      <c r="C301" s="212" t="str">
        <f>Итоговая!C302</f>
        <v>ПС  35/6 кВ Даниловская</v>
      </c>
      <c r="D301" s="230">
        <f>Итоговая!D302</f>
        <v>2.5</v>
      </c>
      <c r="E301" s="229" t="str">
        <f>Итоговая!E302</f>
        <v>+</v>
      </c>
      <c r="F301" s="229">
        <f>Итоговая!F302</f>
        <v>6.3</v>
      </c>
      <c r="G301" s="229">
        <f>Итоговая!G302</f>
        <v>0</v>
      </c>
      <c r="H301" s="229">
        <f>Итоговая!H302</f>
        <v>0</v>
      </c>
      <c r="I301" s="172">
        <f>Итоговая!Q302</f>
        <v>1.4450000000000001</v>
      </c>
      <c r="J301" s="172">
        <f>Итоговая!R302</f>
        <v>1.4450000000000001</v>
      </c>
      <c r="K301" s="172" t="str">
        <f>Итоговая!S302</f>
        <v>открыт</v>
      </c>
      <c r="L301" s="259" t="str">
        <f>Итоговая!T302</f>
        <v>открыт</v>
      </c>
      <c r="M301" s="757">
        <f>Итоговая!U302</f>
        <v>44.952380952380949</v>
      </c>
      <c r="N301" s="902"/>
      <c r="O301" s="902"/>
      <c r="P301" s="902"/>
    </row>
    <row r="302" spans="1:48" ht="20.100000000000001" hidden="1" customHeight="1" x14ac:dyDescent="0.25">
      <c r="A302" s="212">
        <f>Итоговая!A303</f>
        <v>221</v>
      </c>
      <c r="B302" s="212">
        <f>COUNTIFS($C$8:C302,"*ПС*",$L$8:L302,"*закрыт*")</f>
        <v>47</v>
      </c>
      <c r="C302" s="212" t="str">
        <f>Итоговая!C303</f>
        <v>ПС 35/10 кВ Кушалино</v>
      </c>
      <c r="D302" s="230">
        <f>Итоговая!D303</f>
        <v>2.5</v>
      </c>
      <c r="E302" s="229" t="str">
        <f>Итоговая!E303</f>
        <v>+</v>
      </c>
      <c r="F302" s="229">
        <f>Итоговая!F303</f>
        <v>2.5</v>
      </c>
      <c r="G302" s="229">
        <f>Итоговая!G303</f>
        <v>0</v>
      </c>
      <c r="H302" s="229">
        <f>Итоговая!H303</f>
        <v>0</v>
      </c>
      <c r="I302" s="172">
        <f>Итоговая!Q303</f>
        <v>1.145</v>
      </c>
      <c r="J302" s="172">
        <f>Итоговая!R303</f>
        <v>1.145</v>
      </c>
      <c r="K302" s="172" t="str">
        <f>Итоговая!S303</f>
        <v>открыт</v>
      </c>
      <c r="L302" s="259" t="str">
        <f>Итоговая!T303</f>
        <v>открыт</v>
      </c>
      <c r="M302" s="757">
        <f>Итоговая!U303</f>
        <v>56.38095238095238</v>
      </c>
      <c r="N302" s="902"/>
      <c r="O302" s="902"/>
      <c r="P302" s="902"/>
    </row>
    <row r="303" spans="1:48" ht="20.100000000000001" hidden="1" customHeight="1" x14ac:dyDescent="0.25">
      <c r="A303" s="212">
        <f>Итоговая!A304</f>
        <v>222</v>
      </c>
      <c r="B303" s="212">
        <f>COUNTIFS($C$8:C303,"*ПС*",$L$8:L303,"*закрыт*")</f>
        <v>47</v>
      </c>
      <c r="C303" s="212" t="str">
        <f>Итоговая!C304</f>
        <v xml:space="preserve">ПС 35/6 кВ №4 </v>
      </c>
      <c r="D303" s="230">
        <f>Итоговая!D304</f>
        <v>5.6</v>
      </c>
      <c r="E303" s="229" t="str">
        <f>Итоговая!E304</f>
        <v>+</v>
      </c>
      <c r="F303" s="229">
        <f>Итоговая!F304</f>
        <v>5.6</v>
      </c>
      <c r="G303" s="229">
        <f>Итоговая!G304</f>
        <v>0</v>
      </c>
      <c r="H303" s="229">
        <f>Итоговая!H304</f>
        <v>0</v>
      </c>
      <c r="I303" s="172">
        <f>Итоговая!Q304</f>
        <v>3.94</v>
      </c>
      <c r="J303" s="172">
        <f>Итоговая!R304</f>
        <v>3.94</v>
      </c>
      <c r="K303" s="172" t="str">
        <f>Итоговая!S304</f>
        <v>открыт</v>
      </c>
      <c r="L303" s="259" t="str">
        <f>Итоговая!T304</f>
        <v>открыт</v>
      </c>
      <c r="M303" s="757">
        <f>Итоговая!U304</f>
        <v>32.993197278911566</v>
      </c>
      <c r="N303" s="902"/>
      <c r="O303" s="902"/>
      <c r="P303" s="902"/>
    </row>
    <row r="304" spans="1:48" s="232" customFormat="1" ht="15" hidden="1" customHeight="1" x14ac:dyDescent="0.25">
      <c r="A304" s="212">
        <f>Итоговая!A305</f>
        <v>223</v>
      </c>
      <c r="B304" s="212">
        <f>COUNTIFS($C$8:C304,"*ПС*",$L$8:L304,"*закрыт*")</f>
        <v>47</v>
      </c>
      <c r="C304" s="212" t="str">
        <f>Итоговая!C305</f>
        <v>ПС  35/6 кВ №13</v>
      </c>
      <c r="D304" s="230">
        <f>Итоговая!D305</f>
        <v>3.2</v>
      </c>
      <c r="E304" s="229" t="str">
        <f>Итоговая!E305</f>
        <v>+</v>
      </c>
      <c r="F304" s="229">
        <f>Итоговая!F305</f>
        <v>3.2</v>
      </c>
      <c r="G304" s="229">
        <f>Итоговая!G305</f>
        <v>0</v>
      </c>
      <c r="H304" s="229">
        <f>Итоговая!H305</f>
        <v>0</v>
      </c>
      <c r="I304" s="172">
        <f>Итоговая!Q305</f>
        <v>2.04</v>
      </c>
      <c r="J304" s="172">
        <f>Итоговая!R305</f>
        <v>2.04</v>
      </c>
      <c r="K304" s="172" t="str">
        <f>Итоговая!S305</f>
        <v>открыт</v>
      </c>
      <c r="L304" s="259" t="str">
        <f>Итоговая!T305</f>
        <v>открыт</v>
      </c>
      <c r="M304" s="757">
        <f>Итоговая!U305</f>
        <v>39.285714285714285</v>
      </c>
      <c r="N304" s="902"/>
      <c r="O304" s="902"/>
      <c r="P304" s="902"/>
    </row>
    <row r="305" spans="1:48" s="232" customFormat="1" ht="15" customHeight="1" x14ac:dyDescent="0.25">
      <c r="A305" s="212">
        <f>Итоговая!A306</f>
        <v>224</v>
      </c>
      <c r="B305" s="212">
        <f>COUNTIFS($C$8:C305,"*ПС*",$L$8:L305,"*закрыт*")</f>
        <v>48</v>
      </c>
      <c r="C305" s="212" t="str">
        <f>Итоговая!C306</f>
        <v xml:space="preserve">ПС 35/6 кВ №27 </v>
      </c>
      <c r="D305" s="230">
        <f>Итоговая!D306</f>
        <v>10</v>
      </c>
      <c r="E305" s="229" t="str">
        <f>Итоговая!E306</f>
        <v>+</v>
      </c>
      <c r="F305" s="229">
        <f>Итоговая!F306</f>
        <v>10</v>
      </c>
      <c r="G305" s="229">
        <f>Итоговая!G306</f>
        <v>0</v>
      </c>
      <c r="H305" s="229">
        <f>Итоговая!H306</f>
        <v>0</v>
      </c>
      <c r="I305" s="172">
        <f>Итоговая!Q306</f>
        <v>-1.6999999999999993</v>
      </c>
      <c r="J305" s="172">
        <f>Итоговая!R306</f>
        <v>-1.6999999999999993</v>
      </c>
      <c r="K305" s="172" t="str">
        <f>Итоговая!S306</f>
        <v>закрыт</v>
      </c>
      <c r="L305" s="259" t="str">
        <f>Итоговая!T306</f>
        <v>закрыт</v>
      </c>
      <c r="M305" s="757">
        <f>Итоговая!U306</f>
        <v>116.19047619047619</v>
      </c>
      <c r="N305" s="907"/>
      <c r="O305" s="907"/>
      <c r="P305" s="907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  <c r="AA305" s="233"/>
      <c r="AB305" s="233"/>
      <c r="AC305" s="233"/>
      <c r="AD305" s="233"/>
      <c r="AE305" s="233"/>
      <c r="AF305" s="233"/>
      <c r="AG305" s="233"/>
      <c r="AH305" s="233"/>
      <c r="AI305" s="233"/>
      <c r="AJ305" s="233"/>
      <c r="AK305" s="233"/>
      <c r="AL305" s="233"/>
      <c r="AM305" s="233"/>
      <c r="AN305" s="233"/>
      <c r="AO305" s="233"/>
      <c r="AP305" s="233"/>
      <c r="AQ305" s="233"/>
      <c r="AR305" s="233"/>
      <c r="AS305" s="233"/>
      <c r="AT305" s="233"/>
      <c r="AU305" s="233"/>
      <c r="AV305" s="233"/>
    </row>
    <row r="306" spans="1:48" s="232" customFormat="1" ht="15" customHeight="1" x14ac:dyDescent="0.25">
      <c r="A306" s="212">
        <f>Итоговая!A307</f>
        <v>225</v>
      </c>
      <c r="B306" s="212">
        <f>COUNTIFS($C$8:C306,"*ПС*",$L$8:L306,"*закрыт*")</f>
        <v>49</v>
      </c>
      <c r="C306" s="212" t="str">
        <f>Итоговая!C307</f>
        <v xml:space="preserve">ПС 35/6 кВ Вагжановская </v>
      </c>
      <c r="D306" s="230">
        <f>Итоговая!D307</f>
        <v>16</v>
      </c>
      <c r="E306" s="229" t="str">
        <f>Итоговая!E307</f>
        <v>+</v>
      </c>
      <c r="F306" s="229">
        <f>Итоговая!F307</f>
        <v>16</v>
      </c>
      <c r="G306" s="229">
        <f>Итоговая!G307</f>
        <v>0</v>
      </c>
      <c r="H306" s="229">
        <f>Итоговая!H307</f>
        <v>0</v>
      </c>
      <c r="I306" s="172">
        <f>Итоговая!Q307</f>
        <v>-0.39999999999999858</v>
      </c>
      <c r="J306" s="172">
        <f>Итоговая!R307</f>
        <v>-0.39999999999999858</v>
      </c>
      <c r="K306" s="172" t="str">
        <f>Итоговая!S307</f>
        <v>закрыт</v>
      </c>
      <c r="L306" s="259" t="str">
        <f>Итоговая!T307</f>
        <v>закрыт</v>
      </c>
      <c r="M306" s="757">
        <f>Итоговая!U307</f>
        <v>102.38095238095238</v>
      </c>
      <c r="N306" s="907"/>
      <c r="O306" s="907"/>
      <c r="P306" s="907"/>
      <c r="Q306" s="233"/>
      <c r="R306" s="233"/>
      <c r="S306" s="233"/>
      <c r="T306" s="233"/>
      <c r="U306" s="233"/>
      <c r="V306" s="233"/>
      <c r="W306" s="233"/>
      <c r="X306" s="233"/>
      <c r="Y306" s="233"/>
      <c r="Z306" s="233"/>
      <c r="AA306" s="233"/>
      <c r="AB306" s="233"/>
      <c r="AC306" s="233"/>
      <c r="AD306" s="233"/>
      <c r="AE306" s="233"/>
      <c r="AF306" s="233"/>
      <c r="AG306" s="233"/>
      <c r="AH306" s="233"/>
      <c r="AI306" s="233"/>
      <c r="AJ306" s="233"/>
      <c r="AK306" s="233"/>
      <c r="AL306" s="233"/>
      <c r="AM306" s="233"/>
      <c r="AN306" s="233"/>
      <c r="AO306" s="233"/>
      <c r="AP306" s="233"/>
      <c r="AQ306" s="233"/>
      <c r="AR306" s="233"/>
      <c r="AS306" s="233"/>
      <c r="AT306" s="233"/>
      <c r="AU306" s="233"/>
      <c r="AV306" s="233"/>
    </row>
    <row r="307" spans="1:48" s="232" customFormat="1" ht="15" hidden="1" customHeight="1" x14ac:dyDescent="0.25">
      <c r="A307" s="212">
        <f>Итоговая!A308</f>
        <v>226</v>
      </c>
      <c r="B307" s="212">
        <f>COUNTIFS($C$8:C307,"*ПС*",$L$8:L307,"*закрыт*")</f>
        <v>49</v>
      </c>
      <c r="C307" s="212" t="str">
        <f>Итоговая!C308</f>
        <v>ПС  35/6 кВ Завод 1 Мая</v>
      </c>
      <c r="D307" s="230">
        <f>Итоговая!D308</f>
        <v>10</v>
      </c>
      <c r="E307" s="229" t="str">
        <f>Итоговая!E308</f>
        <v>+</v>
      </c>
      <c r="F307" s="229">
        <f>Итоговая!F308</f>
        <v>10</v>
      </c>
      <c r="G307" s="229">
        <f>Итоговая!G308</f>
        <v>0</v>
      </c>
      <c r="H307" s="229">
        <f>Итоговая!H308</f>
        <v>0</v>
      </c>
      <c r="I307" s="172">
        <f>Итоговая!Q308</f>
        <v>5.0599999999999996</v>
      </c>
      <c r="J307" s="172">
        <f>Итоговая!R308</f>
        <v>5.0599999999999996</v>
      </c>
      <c r="K307" s="172" t="str">
        <f>Итоговая!S308</f>
        <v>открыт</v>
      </c>
      <c r="L307" s="259" t="str">
        <f>Итоговая!T308</f>
        <v>открыт</v>
      </c>
      <c r="M307" s="757">
        <f>Итоговая!U308</f>
        <v>51.80952380952381</v>
      </c>
      <c r="N307" s="902"/>
      <c r="O307" s="902"/>
      <c r="P307" s="902"/>
    </row>
    <row r="308" spans="1:48" s="232" customFormat="1" hidden="1" x14ac:dyDescent="0.25">
      <c r="A308" s="212">
        <f>Итоговая!A309</f>
        <v>227</v>
      </c>
      <c r="B308" s="212">
        <f>COUNTIFS($C$8:C308,"*ПС*",$L$8:L308,"*закрыт*")</f>
        <v>49</v>
      </c>
      <c r="C308" s="212" t="str">
        <f>Итоговая!C309</f>
        <v xml:space="preserve">ПС 35/6 кВ Стекловолокно </v>
      </c>
      <c r="D308" s="230">
        <f>Итоговая!D309</f>
        <v>10</v>
      </c>
      <c r="E308" s="229" t="str">
        <f>Итоговая!E309</f>
        <v>+</v>
      </c>
      <c r="F308" s="229">
        <f>Итоговая!F309</f>
        <v>10</v>
      </c>
      <c r="G308" s="229">
        <f>Итоговая!G309</f>
        <v>0</v>
      </c>
      <c r="H308" s="229">
        <f>Итоговая!H309</f>
        <v>0</v>
      </c>
      <c r="I308" s="172">
        <f>Итоговая!Q309</f>
        <v>4.5199999999999996</v>
      </c>
      <c r="J308" s="172">
        <f>Итоговая!R309</f>
        <v>4.5199999999999996</v>
      </c>
      <c r="K308" s="172" t="str">
        <f>Итоговая!S309</f>
        <v>открыт</v>
      </c>
      <c r="L308" s="259" t="str">
        <f>Итоговая!T309</f>
        <v>открыт</v>
      </c>
      <c r="M308" s="757">
        <f>Итоговая!U309</f>
        <v>56.952380952380949</v>
      </c>
      <c r="N308" s="902"/>
      <c r="O308" s="902"/>
      <c r="P308" s="902"/>
    </row>
    <row r="309" spans="1:48" s="232" customFormat="1" ht="15" hidden="1" customHeight="1" x14ac:dyDescent="0.25">
      <c r="A309" s="212">
        <f>Итоговая!A310</f>
        <v>228</v>
      </c>
      <c r="B309" s="212">
        <f>COUNTIFS($C$8:C309,"*ПС*",$L$8:L309,"*закрыт*")</f>
        <v>49</v>
      </c>
      <c r="C309" s="212" t="str">
        <f>Итоговая!C310</f>
        <v xml:space="preserve">ПС 35/10 кВ Соминка </v>
      </c>
      <c r="D309" s="230">
        <f>Итоговая!D310</f>
        <v>16</v>
      </c>
      <c r="E309" s="229" t="str">
        <f>Итоговая!E310</f>
        <v>+</v>
      </c>
      <c r="F309" s="229">
        <f>Итоговая!F310</f>
        <v>16</v>
      </c>
      <c r="G309" s="229">
        <f>Итоговая!G310</f>
        <v>0</v>
      </c>
      <c r="H309" s="229">
        <f>Итоговая!H310</f>
        <v>0</v>
      </c>
      <c r="I309" s="172">
        <f>Итоговая!Q310</f>
        <v>3.3000000000000007</v>
      </c>
      <c r="J309" s="172">
        <f>Итоговая!R310</f>
        <v>3.3000000000000007</v>
      </c>
      <c r="K309" s="172" t="str">
        <f>Итоговая!S310</f>
        <v>открыт</v>
      </c>
      <c r="L309" s="259" t="str">
        <f>Итоговая!T310</f>
        <v>открыт</v>
      </c>
      <c r="M309" s="757">
        <f>Итоговая!U310</f>
        <v>80.357142857142847</v>
      </c>
      <c r="N309" s="902"/>
      <c r="O309" s="902"/>
      <c r="P309" s="902"/>
    </row>
    <row r="310" spans="1:48" ht="20.100000000000001" hidden="1" customHeight="1" x14ac:dyDescent="0.25">
      <c r="A310" s="212">
        <f>Итоговая!A311</f>
        <v>229</v>
      </c>
      <c r="B310" s="212">
        <f>COUNTIFS($C$8:C310,"*ПС*",$L$8:L310,"*закрыт*")</f>
        <v>49</v>
      </c>
      <c r="C310" s="212" t="str">
        <f>Итоговая!C311</f>
        <v>ПС  35/6 кВ Заволжская</v>
      </c>
      <c r="D310" s="230">
        <f>Итоговая!D311</f>
        <v>7.5</v>
      </c>
      <c r="E310" s="229" t="str">
        <f>Итоговая!E311</f>
        <v>+</v>
      </c>
      <c r="F310" s="229">
        <f>Итоговая!F311</f>
        <v>10</v>
      </c>
      <c r="G310" s="229">
        <f>Итоговая!G311</f>
        <v>0</v>
      </c>
      <c r="H310" s="229">
        <f>Итоговая!H311</f>
        <v>0</v>
      </c>
      <c r="I310" s="172">
        <f>Итоговая!Q311</f>
        <v>1.8949999999999996</v>
      </c>
      <c r="J310" s="172">
        <f>Итоговая!R311</f>
        <v>1.8949999999999996</v>
      </c>
      <c r="K310" s="172" t="str">
        <f>Итоговая!S311</f>
        <v>открыт</v>
      </c>
      <c r="L310" s="259" t="str">
        <f>Итоговая!T311</f>
        <v>открыт</v>
      </c>
      <c r="M310" s="757">
        <f>Итоговая!U311</f>
        <v>75.936507936507937</v>
      </c>
      <c r="N310" s="902"/>
      <c r="O310" s="902"/>
      <c r="P310" s="902"/>
    </row>
    <row r="311" spans="1:48" s="232" customFormat="1" ht="15" hidden="1" customHeight="1" x14ac:dyDescent="0.25">
      <c r="A311" s="212">
        <f>Итоговая!A312</f>
        <v>230</v>
      </c>
      <c r="B311" s="212">
        <f>COUNTIFS($C$8:C311,"*ПС*",$L$8:L311,"*закрыт*")</f>
        <v>49</v>
      </c>
      <c r="C311" s="212" t="str">
        <f>Итоговая!C312</f>
        <v xml:space="preserve">ПС 35/10 кВ Капошвар </v>
      </c>
      <c r="D311" s="230">
        <f>Итоговая!D312</f>
        <v>10</v>
      </c>
      <c r="E311" s="229" t="str">
        <f>Итоговая!E312</f>
        <v>+</v>
      </c>
      <c r="F311" s="229">
        <f>Итоговая!F312</f>
        <v>10</v>
      </c>
      <c r="G311" s="229">
        <f>Итоговая!G312</f>
        <v>0</v>
      </c>
      <c r="H311" s="229">
        <f>Итоговая!H312</f>
        <v>0</v>
      </c>
      <c r="I311" s="172">
        <f>Итоговая!Q312</f>
        <v>0.58999999999999986</v>
      </c>
      <c r="J311" s="172">
        <f>Итоговая!R312</f>
        <v>0.58999999999999986</v>
      </c>
      <c r="K311" s="172" t="str">
        <f>Итоговая!S312</f>
        <v>открыт</v>
      </c>
      <c r="L311" s="259" t="str">
        <f>Итоговая!T312</f>
        <v>открыт</v>
      </c>
      <c r="M311" s="757">
        <f>Итоговая!U312</f>
        <v>94.38095238095238</v>
      </c>
      <c r="N311" s="907"/>
      <c r="O311" s="907"/>
      <c r="P311" s="907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  <c r="AA311" s="233"/>
      <c r="AB311" s="233"/>
      <c r="AC311" s="233"/>
      <c r="AD311" s="233"/>
      <c r="AE311" s="233"/>
      <c r="AF311" s="233"/>
      <c r="AG311" s="233"/>
      <c r="AH311" s="233"/>
      <c r="AI311" s="233"/>
      <c r="AJ311" s="233"/>
      <c r="AK311" s="233"/>
      <c r="AL311" s="233"/>
      <c r="AM311" s="233"/>
      <c r="AN311" s="233"/>
      <c r="AO311" s="233"/>
      <c r="AP311" s="233"/>
      <c r="AQ311" s="233"/>
      <c r="AR311" s="233"/>
      <c r="AS311" s="233"/>
      <c r="AT311" s="233"/>
      <c r="AU311" s="233"/>
      <c r="AV311" s="233"/>
    </row>
    <row r="312" spans="1:48" s="232" customFormat="1" hidden="1" x14ac:dyDescent="0.25">
      <c r="A312" s="212">
        <f>Итоговая!A314</f>
        <v>232</v>
      </c>
      <c r="B312" s="212">
        <f>COUNTIFS($C$8:C312,"*ПС*",$L$8:L312,"*закрыт*")</f>
        <v>49</v>
      </c>
      <c r="C312" s="212" t="str">
        <f>Итоговая!C314</f>
        <v>ПС  110/10 кВ Мамулино</v>
      </c>
      <c r="D312" s="230">
        <f>Итоговая!D314</f>
        <v>6.3</v>
      </c>
      <c r="E312" s="229" t="str">
        <f>Итоговая!E314</f>
        <v>+</v>
      </c>
      <c r="F312" s="229">
        <f>Итоговая!F314</f>
        <v>6.3</v>
      </c>
      <c r="G312" s="229">
        <f>Итоговая!G314</f>
        <v>0</v>
      </c>
      <c r="H312" s="229">
        <f>Итоговая!H314</f>
        <v>0</v>
      </c>
      <c r="I312" s="172">
        <f>Итоговая!Q314</f>
        <v>2.9050000000000002</v>
      </c>
      <c r="J312" s="172">
        <f>Итоговая!R314</f>
        <v>2.9050000000000002</v>
      </c>
      <c r="K312" s="172" t="str">
        <f>Итоговая!S314</f>
        <v>открыт</v>
      </c>
      <c r="L312" s="259" t="str">
        <f>Итоговая!T314</f>
        <v>открыт</v>
      </c>
      <c r="M312" s="757">
        <f>Итоговая!U314</f>
        <v>56.084656084656082</v>
      </c>
      <c r="N312" s="902"/>
      <c r="O312" s="902"/>
      <c r="P312" s="902"/>
    </row>
    <row r="313" spans="1:48" s="232" customFormat="1" ht="15" hidden="1" customHeight="1" x14ac:dyDescent="0.25">
      <c r="A313" s="212">
        <f>Итоговая!A315</f>
        <v>233</v>
      </c>
      <c r="B313" s="212">
        <f>COUNTIFS($C$8:C313,"*ПС*",$L$8:L313,"*закрыт*")</f>
        <v>49</v>
      </c>
      <c r="C313" s="212" t="str">
        <f>Итоговая!C315</f>
        <v xml:space="preserve">ПС 110/10 кВ Глазково </v>
      </c>
      <c r="D313" s="230">
        <f>Итоговая!D315</f>
        <v>6.3</v>
      </c>
      <c r="E313" s="229" t="str">
        <f>Итоговая!E315</f>
        <v>+</v>
      </c>
      <c r="F313" s="229">
        <f>Итоговая!F315</f>
        <v>6.3</v>
      </c>
      <c r="G313" s="229">
        <f>Итоговая!G315</f>
        <v>0</v>
      </c>
      <c r="H313" s="229">
        <f>Итоговая!H315</f>
        <v>0</v>
      </c>
      <c r="I313" s="172">
        <f>Итоговая!Q315</f>
        <v>2.8550000000000004</v>
      </c>
      <c r="J313" s="172">
        <f>Итоговая!R315</f>
        <v>2.8550000000000004</v>
      </c>
      <c r="K313" s="172" t="str">
        <f>Итоговая!S315</f>
        <v>открыт</v>
      </c>
      <c r="L313" s="259" t="str">
        <f>Итоговая!T315</f>
        <v>открыт</v>
      </c>
      <c r="M313" s="757">
        <f>Итоговая!U315</f>
        <v>56.840513983371125</v>
      </c>
      <c r="N313" s="902"/>
      <c r="O313" s="902"/>
      <c r="P313" s="902"/>
    </row>
    <row r="314" spans="1:48" s="232" customFormat="1" ht="15" hidden="1" customHeight="1" x14ac:dyDescent="0.25">
      <c r="A314" s="212">
        <f>Итоговая!A316</f>
        <v>234</v>
      </c>
      <c r="B314" s="212">
        <f>COUNTIFS($C$8:C314,"*ПС*",$L$8:L314,"*закрыт*")</f>
        <v>49</v>
      </c>
      <c r="C314" s="212" t="str">
        <f>Итоговая!C316</f>
        <v xml:space="preserve">ПС 110/10 кВ Пролетарская </v>
      </c>
      <c r="D314" s="230">
        <f>Итоговая!D316</f>
        <v>16</v>
      </c>
      <c r="E314" s="229" t="str">
        <f>Итоговая!E316</f>
        <v>+</v>
      </c>
      <c r="F314" s="229">
        <f>Итоговая!F316</f>
        <v>16</v>
      </c>
      <c r="G314" s="229">
        <f>Итоговая!G316</f>
        <v>0</v>
      </c>
      <c r="H314" s="229">
        <f>Итоговая!H316</f>
        <v>0</v>
      </c>
      <c r="I314" s="172">
        <f>Итоговая!Q316</f>
        <v>9.4500000000000011</v>
      </c>
      <c r="J314" s="172">
        <f>Итоговая!R316</f>
        <v>9.4500000000000011</v>
      </c>
      <c r="K314" s="172" t="str">
        <f>Итоговая!S316</f>
        <v>открыт</v>
      </c>
      <c r="L314" s="259" t="str">
        <f>Итоговая!T316</f>
        <v>открыт</v>
      </c>
      <c r="M314" s="757">
        <f>Итоговая!U316</f>
        <v>43.75</v>
      </c>
      <c r="N314" s="902"/>
      <c r="O314" s="902"/>
      <c r="P314" s="902"/>
    </row>
    <row r="315" spans="1:48" s="232" customFormat="1" hidden="1" x14ac:dyDescent="0.25">
      <c r="A315" s="212">
        <f>Итоговая!A317</f>
        <v>235</v>
      </c>
      <c r="B315" s="212">
        <f>COUNTIFS($C$8:C315,"*ПС*",$L$8:L315,"*закрыт*")</f>
        <v>49</v>
      </c>
      <c r="C315" s="212" t="str">
        <f>Итоговая!C317</f>
        <v xml:space="preserve">ПС 35/10 кВ Тургиново </v>
      </c>
      <c r="D315" s="230">
        <f>Итоговая!D317</f>
        <v>6.3</v>
      </c>
      <c r="E315" s="229" t="str">
        <f>Итоговая!E317</f>
        <v>+</v>
      </c>
      <c r="F315" s="229">
        <f>Итоговая!F317</f>
        <v>6.3</v>
      </c>
      <c r="G315" s="229">
        <f>Итоговая!G317</f>
        <v>0</v>
      </c>
      <c r="H315" s="229">
        <f>Итоговая!H317</f>
        <v>0</v>
      </c>
      <c r="I315" s="172">
        <f>Итоговая!Q317</f>
        <v>2.0150000000000006</v>
      </c>
      <c r="J315" s="172">
        <f>Итоговая!R317</f>
        <v>2.0150000000000006</v>
      </c>
      <c r="K315" s="172" t="str">
        <f>Итоговая!S317</f>
        <v>открыт</v>
      </c>
      <c r="L315" s="259" t="str">
        <f>Итоговая!T317</f>
        <v>открыт</v>
      </c>
      <c r="M315" s="757">
        <f>Итоговая!U317</f>
        <v>69.538926681783821</v>
      </c>
      <c r="N315" s="907"/>
      <c r="O315" s="907"/>
      <c r="P315" s="907"/>
      <c r="Q315" s="233"/>
      <c r="R315" s="233"/>
      <c r="S315" s="233"/>
      <c r="T315" s="233"/>
      <c r="U315" s="233"/>
      <c r="V315" s="233"/>
      <c r="W315" s="233"/>
      <c r="X315" s="233"/>
      <c r="Y315" s="233"/>
      <c r="Z315" s="233"/>
      <c r="AA315" s="233"/>
      <c r="AB315" s="233"/>
      <c r="AC315" s="233"/>
      <c r="AD315" s="233"/>
      <c r="AE315" s="233"/>
      <c r="AF315" s="233"/>
      <c r="AG315" s="233"/>
      <c r="AH315" s="233"/>
      <c r="AI315" s="233"/>
      <c r="AJ315" s="233"/>
      <c r="AK315" s="233"/>
      <c r="AL315" s="233"/>
      <c r="AM315" s="233"/>
      <c r="AN315" s="233"/>
      <c r="AO315" s="233"/>
      <c r="AP315" s="233"/>
      <c r="AQ315" s="233"/>
      <c r="AR315" s="233"/>
      <c r="AS315" s="233"/>
      <c r="AT315" s="233"/>
      <c r="AU315" s="233"/>
      <c r="AV315" s="233"/>
    </row>
    <row r="316" spans="1:48" s="232" customFormat="1" ht="15" hidden="1" customHeight="1" x14ac:dyDescent="0.25">
      <c r="A316" s="212">
        <f>Итоговая!A318</f>
        <v>236</v>
      </c>
      <c r="B316" s="212">
        <f>COUNTIFS($C$8:C316,"*ПС*",$L$8:L316,"*закрыт*")</f>
        <v>49</v>
      </c>
      <c r="C316" s="212" t="str">
        <f>Итоговая!C318</f>
        <v xml:space="preserve">ПС 35/10 кВ Сахарово </v>
      </c>
      <c r="D316" s="230">
        <f>Итоговая!D318</f>
        <v>4</v>
      </c>
      <c r="E316" s="229" t="str">
        <f>Итоговая!E318</f>
        <v>+</v>
      </c>
      <c r="F316" s="229">
        <f>Итоговая!F318</f>
        <v>4</v>
      </c>
      <c r="G316" s="229">
        <f>Итоговая!G318</f>
        <v>0</v>
      </c>
      <c r="H316" s="229">
        <f>Итоговая!H318</f>
        <v>0</v>
      </c>
      <c r="I316" s="172">
        <f>Итоговая!Q318</f>
        <v>1.2800000000000002</v>
      </c>
      <c r="J316" s="172">
        <f>Итоговая!R318</f>
        <v>1.2800000000000002</v>
      </c>
      <c r="K316" s="172" t="str">
        <f>Итоговая!S318</f>
        <v>открыт</v>
      </c>
      <c r="L316" s="259" t="str">
        <f>Итоговая!T318</f>
        <v>открыт</v>
      </c>
      <c r="M316" s="757">
        <f>Итоговая!U318</f>
        <v>69.523809523809518</v>
      </c>
      <c r="N316" s="902"/>
      <c r="O316" s="902"/>
      <c r="P316" s="902"/>
    </row>
    <row r="317" spans="1:48" s="232" customFormat="1" hidden="1" x14ac:dyDescent="0.25">
      <c r="A317" s="212">
        <f>Итоговая!A319</f>
        <v>237</v>
      </c>
      <c r="B317" s="212">
        <f>COUNTIFS($C$8:C317,"*ПС*",$L$8:L317,"*закрыт*")</f>
        <v>49</v>
      </c>
      <c r="C317" s="212" t="str">
        <f>Итоговая!C319</f>
        <v>ПС  35/10 кВ Головино</v>
      </c>
      <c r="D317" s="230">
        <f>Итоговая!D319</f>
        <v>2.5</v>
      </c>
      <c r="E317" s="229" t="str">
        <f>Итоговая!E319</f>
        <v>+</v>
      </c>
      <c r="F317" s="229">
        <f>Итоговая!F319</f>
        <v>2.5</v>
      </c>
      <c r="G317" s="229">
        <f>Итоговая!G319</f>
        <v>0</v>
      </c>
      <c r="H317" s="229">
        <f>Итоговая!H319</f>
        <v>0</v>
      </c>
      <c r="I317" s="172">
        <f>Итоговая!Q319</f>
        <v>1.085</v>
      </c>
      <c r="J317" s="172">
        <f>Итоговая!R319</f>
        <v>1.085</v>
      </c>
      <c r="K317" s="172" t="str">
        <f>Итоговая!S319</f>
        <v>открыт</v>
      </c>
      <c r="L317" s="259" t="str">
        <f>Итоговая!T319</f>
        <v>открыт</v>
      </c>
      <c r="M317" s="757">
        <f>Итоговая!U319</f>
        <v>46.476190476190474</v>
      </c>
      <c r="N317" s="902"/>
      <c r="O317" s="902"/>
      <c r="P317" s="902"/>
    </row>
    <row r="318" spans="1:48" s="232" customFormat="1" ht="15" hidden="1" customHeight="1" x14ac:dyDescent="0.25">
      <c r="A318" s="212">
        <f>Итоговая!A320</f>
        <v>238</v>
      </c>
      <c r="B318" s="212">
        <f>COUNTIFS($C$8:C318,"*ПС*",$L$8:L318,"*закрыт*")</f>
        <v>49</v>
      </c>
      <c r="C318" s="212" t="str">
        <f>Итоговая!C320</f>
        <v>ПС  35/6 кВ Каликино</v>
      </c>
      <c r="D318" s="230">
        <f>Итоговая!D320</f>
        <v>10</v>
      </c>
      <c r="E318" s="229" t="str">
        <f>Итоговая!E320</f>
        <v>+</v>
      </c>
      <c r="F318" s="229">
        <f>Итоговая!F320</f>
        <v>3.2</v>
      </c>
      <c r="G318" s="229">
        <f>Итоговая!G320</f>
        <v>0</v>
      </c>
      <c r="H318" s="229">
        <f>Итоговая!H320</f>
        <v>0</v>
      </c>
      <c r="I318" s="172">
        <f>Итоговая!Q320</f>
        <v>0.3400000000000003</v>
      </c>
      <c r="J318" s="172">
        <f>Итоговая!R320</f>
        <v>0.3400000000000003</v>
      </c>
      <c r="K318" s="172" t="str">
        <f>Итоговая!S320</f>
        <v>открыт</v>
      </c>
      <c r="L318" s="259" t="str">
        <f>Итоговая!T320</f>
        <v>открыт</v>
      </c>
      <c r="M318" s="757">
        <f>Итоговая!U320</f>
        <v>89.880952380952365</v>
      </c>
      <c r="N318" s="907"/>
      <c r="O318" s="907"/>
      <c r="P318" s="907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233"/>
      <c r="AF318" s="233"/>
      <c r="AG318" s="233"/>
      <c r="AH318" s="233"/>
      <c r="AI318" s="233"/>
      <c r="AJ318" s="233"/>
      <c r="AK318" s="233"/>
      <c r="AL318" s="233"/>
      <c r="AM318" s="233"/>
      <c r="AN318" s="233"/>
      <c r="AO318" s="233"/>
      <c r="AP318" s="233"/>
      <c r="AQ318" s="233"/>
      <c r="AR318" s="233"/>
      <c r="AS318" s="233"/>
      <c r="AT318" s="233"/>
      <c r="AU318" s="233"/>
      <c r="AV318" s="233"/>
    </row>
    <row r="319" spans="1:48" s="232" customFormat="1" ht="15" hidden="1" customHeight="1" x14ac:dyDescent="0.25">
      <c r="A319" s="212">
        <f>Итоговая!A321</f>
        <v>239</v>
      </c>
      <c r="B319" s="212">
        <f>COUNTIFS($C$8:C319,"*ПС*",$L$8:L319,"*закрыт*")</f>
        <v>49</v>
      </c>
      <c r="C319" s="212" t="str">
        <f>Итоговая!C321</f>
        <v>ПС 35/10 кВ Квакшино</v>
      </c>
      <c r="D319" s="230">
        <f>Итоговая!D321</f>
        <v>4</v>
      </c>
      <c r="E319" s="229" t="str">
        <f>Итоговая!E321</f>
        <v>+</v>
      </c>
      <c r="F319" s="229">
        <f>Итоговая!F321</f>
        <v>4</v>
      </c>
      <c r="G319" s="229">
        <f>Итоговая!G321</f>
        <v>0</v>
      </c>
      <c r="H319" s="229">
        <f>Итоговая!H321</f>
        <v>0</v>
      </c>
      <c r="I319" s="172">
        <f>Итоговая!Q321</f>
        <v>3.3400000000000003</v>
      </c>
      <c r="J319" s="172">
        <f>Итоговая!R321</f>
        <v>3.3400000000000003</v>
      </c>
      <c r="K319" s="172" t="str">
        <f>Итоговая!S321</f>
        <v>открыт</v>
      </c>
      <c r="L319" s="259" t="str">
        <f>Итоговая!T321</f>
        <v>открыт</v>
      </c>
      <c r="M319" s="757">
        <f>Итоговая!U321</f>
        <v>20.476190476190474</v>
      </c>
      <c r="N319" s="902"/>
      <c r="O319" s="902"/>
      <c r="P319" s="902"/>
    </row>
    <row r="320" spans="1:48" s="232" customFormat="1" ht="15" hidden="1" customHeight="1" x14ac:dyDescent="0.25">
      <c r="A320" s="212">
        <f>Итоговая!A322</f>
        <v>240</v>
      </c>
      <c r="B320" s="212">
        <f>COUNTIFS($C$8:C320,"*ПС*",$L$8:L320,"*закрыт*")</f>
        <v>49</v>
      </c>
      <c r="C320" s="212" t="str">
        <f>Итоговая!C322</f>
        <v>ПС  35/10 кВ Городня</v>
      </c>
      <c r="D320" s="230">
        <f>Итоговая!D322</f>
        <v>6.3</v>
      </c>
      <c r="E320" s="229" t="str">
        <f>Итоговая!E322</f>
        <v>+</v>
      </c>
      <c r="F320" s="229">
        <f>Итоговая!F322</f>
        <v>6.3</v>
      </c>
      <c r="G320" s="229">
        <f>Итоговая!G322</f>
        <v>0</v>
      </c>
      <c r="H320" s="229">
        <f>Итоговая!H322</f>
        <v>0</v>
      </c>
      <c r="I320" s="172">
        <f>Итоговая!Q322</f>
        <v>0.12500000000000044</v>
      </c>
      <c r="J320" s="172">
        <f>Итоговая!R322</f>
        <v>0.12500000000000044</v>
      </c>
      <c r="K320" s="172" t="str">
        <f>Итоговая!S322</f>
        <v>открыт</v>
      </c>
      <c r="L320" s="259" t="str">
        <f>Итоговая!T322</f>
        <v>открыт</v>
      </c>
      <c r="M320" s="757">
        <f>Итоговая!U322</f>
        <v>55.479969765684046</v>
      </c>
      <c r="N320" s="907"/>
      <c r="O320" s="907"/>
      <c r="P320" s="907"/>
      <c r="Q320" s="233"/>
      <c r="R320" s="233"/>
      <c r="S320" s="233"/>
      <c r="T320" s="233"/>
      <c r="U320" s="233"/>
      <c r="V320" s="233"/>
      <c r="W320" s="233"/>
      <c r="X320" s="233"/>
      <c r="Y320" s="233"/>
      <c r="Z320" s="233"/>
      <c r="AA320" s="233"/>
      <c r="AB320" s="233"/>
      <c r="AC320" s="233"/>
      <c r="AD320" s="233"/>
      <c r="AE320" s="233"/>
      <c r="AF320" s="233"/>
      <c r="AG320" s="233"/>
      <c r="AH320" s="233"/>
      <c r="AI320" s="233"/>
      <c r="AJ320" s="233"/>
      <c r="AK320" s="233"/>
      <c r="AL320" s="233"/>
      <c r="AM320" s="233"/>
      <c r="AN320" s="233"/>
      <c r="AO320" s="233"/>
      <c r="AP320" s="233"/>
      <c r="AQ320" s="233"/>
      <c r="AR320" s="233"/>
    </row>
    <row r="321" spans="1:48" s="232" customFormat="1" ht="15" hidden="1" customHeight="1" x14ac:dyDescent="0.25">
      <c r="A321" s="212">
        <f>Итоговая!A323</f>
        <v>241</v>
      </c>
      <c r="B321" s="212">
        <f>COUNTIFS($C$8:C321,"*ПС*",$L$8:L321,"*закрыт*")</f>
        <v>49</v>
      </c>
      <c r="C321" s="212" t="str">
        <f>Итоговая!C323</f>
        <v xml:space="preserve">ПС 35/10 кВ Рязаново </v>
      </c>
      <c r="D321" s="230">
        <f>Итоговая!D323</f>
        <v>4</v>
      </c>
      <c r="E321" s="229" t="str">
        <f>Итоговая!E323</f>
        <v>+</v>
      </c>
      <c r="F321" s="229">
        <f>Итоговая!F323</f>
        <v>4</v>
      </c>
      <c r="G321" s="229">
        <f>Итоговая!G323</f>
        <v>0</v>
      </c>
      <c r="H321" s="229">
        <f>Итоговая!H323</f>
        <v>0</v>
      </c>
      <c r="I321" s="172">
        <f>Итоговая!Q323</f>
        <v>0.52000000000000013</v>
      </c>
      <c r="J321" s="172">
        <f>Итоговая!R323</f>
        <v>0.52000000000000013</v>
      </c>
      <c r="K321" s="172" t="str">
        <f>Итоговая!S323</f>
        <v>открыт</v>
      </c>
      <c r="L321" s="259" t="str">
        <f>Итоговая!T323</f>
        <v>открыт</v>
      </c>
      <c r="M321" s="757">
        <f>Итоговая!U323</f>
        <v>65.476190476190467</v>
      </c>
      <c r="N321" s="902"/>
      <c r="O321" s="902"/>
      <c r="P321" s="902"/>
    </row>
    <row r="322" spans="1:48" ht="20.100000000000001" hidden="1" customHeight="1" x14ac:dyDescent="0.25">
      <c r="A322" s="212">
        <f>Итоговая!A324</f>
        <v>242</v>
      </c>
      <c r="B322" s="212">
        <f>COUNTIFS($C$8:C322,"*ПС*",$L$8:L322,"*закрыт*")</f>
        <v>49</v>
      </c>
      <c r="C322" s="212" t="str">
        <f>Итоговая!C324</f>
        <v xml:space="preserve">ПС 35/10 кВ Савватьево </v>
      </c>
      <c r="D322" s="230">
        <f>Итоговая!D324</f>
        <v>1.6</v>
      </c>
      <c r="E322" s="229" t="str">
        <f>Итоговая!E324</f>
        <v>+</v>
      </c>
      <c r="F322" s="229">
        <f>Итоговая!F324</f>
        <v>2.5</v>
      </c>
      <c r="G322" s="229">
        <f>Итоговая!G324</f>
        <v>0</v>
      </c>
      <c r="H322" s="229">
        <f>Итоговая!H324</f>
        <v>0</v>
      </c>
      <c r="I322" s="172">
        <f>Итоговая!Q324</f>
        <v>0.50000000000000022</v>
      </c>
      <c r="J322" s="172">
        <f>Итоговая!R324</f>
        <v>0.50000000000000022</v>
      </c>
      <c r="K322" s="172" t="str">
        <f>Итоговая!S324</f>
        <v>открыт</v>
      </c>
      <c r="L322" s="259" t="str">
        <f>Итоговая!T324</f>
        <v>открыт</v>
      </c>
      <c r="M322" s="757">
        <f>Итоговая!U324</f>
        <v>70.238095238095227</v>
      </c>
      <c r="N322" s="902"/>
      <c r="O322" s="902"/>
      <c r="P322" s="902"/>
    </row>
    <row r="323" spans="1:48" s="232" customFormat="1" ht="15" hidden="1" customHeight="1" x14ac:dyDescent="0.25">
      <c r="A323" s="212">
        <f>Итоговая!A325</f>
        <v>243</v>
      </c>
      <c r="B323" s="212">
        <f>COUNTIFS($C$8:C323,"*ПС*",$L$8:L323,"*закрыт*")</f>
        <v>49</v>
      </c>
      <c r="C323" s="212" t="str">
        <f>Итоговая!C325</f>
        <v xml:space="preserve">ПС 35/10 кВ Беле-Кушаль </v>
      </c>
      <c r="D323" s="230">
        <f>Итоговая!D325</f>
        <v>1.6</v>
      </c>
      <c r="E323" s="229" t="str">
        <f>Итоговая!E325</f>
        <v>+</v>
      </c>
      <c r="F323" s="229">
        <f>Итоговая!F325</f>
        <v>2.5</v>
      </c>
      <c r="G323" s="229">
        <f>Итоговая!G325</f>
        <v>0</v>
      </c>
      <c r="H323" s="229">
        <f>Итоговая!H325</f>
        <v>0</v>
      </c>
      <c r="I323" s="172">
        <f>Итоговая!Q325</f>
        <v>0.86000000000000021</v>
      </c>
      <c r="J323" s="172">
        <f>Итоговая!R325</f>
        <v>0.86000000000000021</v>
      </c>
      <c r="K323" s="172" t="str">
        <f>Итоговая!S325</f>
        <v>открыт</v>
      </c>
      <c r="L323" s="259" t="str">
        <f>Итоговая!T325</f>
        <v>открыт</v>
      </c>
      <c r="M323" s="757">
        <f>Итоговая!U325</f>
        <v>48.809523809523803</v>
      </c>
      <c r="N323" s="902"/>
      <c r="O323" s="902"/>
      <c r="P323" s="902"/>
    </row>
    <row r="324" spans="1:48" s="232" customFormat="1" hidden="1" x14ac:dyDescent="0.25">
      <c r="A324" s="212">
        <f>Итоговая!A326</f>
        <v>244</v>
      </c>
      <c r="B324" s="212">
        <f>COUNTIFS($C$8:C324,"*ПС*",$L$8:L324,"*закрыт*")</f>
        <v>49</v>
      </c>
      <c r="C324" s="212" t="str">
        <f>Итоговая!C326</f>
        <v xml:space="preserve">ПС 35/10 кВ Стеклозавод </v>
      </c>
      <c r="D324" s="230">
        <f>Итоговая!D326</f>
        <v>2.5</v>
      </c>
      <c r="E324" s="229" t="str">
        <f>Итоговая!E326</f>
        <v>+</v>
      </c>
      <c r="F324" s="229">
        <f>Итоговая!F326</f>
        <v>2.5</v>
      </c>
      <c r="G324" s="229">
        <f>Итоговая!G326</f>
        <v>0</v>
      </c>
      <c r="H324" s="229">
        <f>Итоговая!H326</f>
        <v>0</v>
      </c>
      <c r="I324" s="172">
        <f>Итоговая!Q326</f>
        <v>1.9889999999999999</v>
      </c>
      <c r="J324" s="172">
        <f>Итоговая!R326</f>
        <v>1.9889999999999999</v>
      </c>
      <c r="K324" s="172" t="str">
        <f>Итоговая!S326</f>
        <v>открыт</v>
      </c>
      <c r="L324" s="259" t="str">
        <f>Итоговая!T326</f>
        <v>открыт</v>
      </c>
      <c r="M324" s="757">
        <f>Итоговая!U326</f>
        <v>11.047619047619046</v>
      </c>
      <c r="N324" s="902"/>
      <c r="O324" s="902"/>
      <c r="P324" s="902"/>
    </row>
    <row r="325" spans="1:48" s="232" customFormat="1" ht="15" customHeight="1" x14ac:dyDescent="0.25">
      <c r="A325" s="212">
        <f>Итоговая!A327</f>
        <v>245</v>
      </c>
      <c r="B325" s="212">
        <f>COUNTIFS($C$8:C325,"*ПС*",$L$8:L325,"*закрыт*")</f>
        <v>50</v>
      </c>
      <c r="C325" s="212" t="str">
        <f>Итоговая!C327</f>
        <v>ПС  35/10 кВ Гришкино</v>
      </c>
      <c r="D325" s="230">
        <f>Итоговая!D327</f>
        <v>6.3</v>
      </c>
      <c r="E325" s="229" t="str">
        <f>Итоговая!E327</f>
        <v>+</v>
      </c>
      <c r="F325" s="229">
        <f>Итоговая!F327</f>
        <v>6.3</v>
      </c>
      <c r="G325" s="229">
        <f>Итоговая!G327</f>
        <v>0</v>
      </c>
      <c r="H325" s="229">
        <f>Итоговая!H327</f>
        <v>0</v>
      </c>
      <c r="I325" s="172">
        <f>Итоговая!Q327</f>
        <v>-0.5649999999999995</v>
      </c>
      <c r="J325" s="172">
        <f>Итоговая!R327</f>
        <v>-0.5649999999999995</v>
      </c>
      <c r="K325" s="172" t="str">
        <f>Итоговая!S327</f>
        <v>закрыт</v>
      </c>
      <c r="L325" s="259" t="str">
        <f>Итоговая!T327</f>
        <v>закрыт</v>
      </c>
      <c r="M325" s="757">
        <f>Итоговая!U327</f>
        <v>108.54119425547997</v>
      </c>
      <c r="N325" s="907"/>
      <c r="O325" s="907"/>
      <c r="P325" s="907"/>
      <c r="Q325" s="233"/>
      <c r="R325" s="233"/>
      <c r="S325" s="233"/>
      <c r="T325" s="233"/>
      <c r="U325" s="233"/>
      <c r="V325" s="233"/>
      <c r="W325" s="233"/>
      <c r="X325" s="233"/>
      <c r="Y325" s="233"/>
      <c r="Z325" s="233"/>
      <c r="AA325" s="233"/>
      <c r="AB325" s="233"/>
      <c r="AC325" s="233"/>
      <c r="AD325" s="233"/>
      <c r="AE325" s="233"/>
      <c r="AF325" s="233"/>
      <c r="AG325" s="233"/>
      <c r="AH325" s="233"/>
      <c r="AI325" s="233"/>
      <c r="AJ325" s="233"/>
      <c r="AK325" s="233"/>
      <c r="AL325" s="233"/>
      <c r="AM325" s="233"/>
      <c r="AN325" s="233"/>
      <c r="AO325" s="233"/>
      <c r="AP325" s="233"/>
      <c r="AQ325" s="233"/>
      <c r="AR325" s="233"/>
    </row>
    <row r="326" spans="1:48" s="232" customFormat="1" ht="15" hidden="1" customHeight="1" x14ac:dyDescent="0.25">
      <c r="A326" s="212">
        <f>Итоговая!A328</f>
        <v>246</v>
      </c>
      <c r="B326" s="212">
        <f>COUNTIFS($C$8:C326,"*ПС*",$L$8:L326,"*закрыт*")</f>
        <v>50</v>
      </c>
      <c r="C326" s="212" t="str">
        <f>Итоговая!C328</f>
        <v xml:space="preserve">ПС 35/3 кВ №2 </v>
      </c>
      <c r="D326" s="230">
        <f>Итоговая!D328</f>
        <v>1</v>
      </c>
      <c r="E326" s="229" t="str">
        <f>Итоговая!E328</f>
        <v>+</v>
      </c>
      <c r="F326" s="229">
        <f>Итоговая!F328</f>
        <v>1</v>
      </c>
      <c r="G326" s="229">
        <f>Итоговая!G328</f>
        <v>0</v>
      </c>
      <c r="H326" s="229">
        <f>Итоговая!H328</f>
        <v>0</v>
      </c>
      <c r="I326" s="172">
        <f>Итоговая!Q328</f>
        <v>0.30000000000000004</v>
      </c>
      <c r="J326" s="172">
        <f>Итоговая!R328</f>
        <v>0.30000000000000004</v>
      </c>
      <c r="K326" s="172" t="str">
        <f>Итоговая!S328</f>
        <v>открыт</v>
      </c>
      <c r="L326" s="259" t="str">
        <f>Итоговая!T328</f>
        <v>открыт</v>
      </c>
      <c r="M326" s="757">
        <f>Итоговая!U328</f>
        <v>71.428571428571431</v>
      </c>
      <c r="N326" s="902"/>
      <c r="O326" s="902"/>
      <c r="P326" s="902"/>
    </row>
    <row r="327" spans="1:48" s="232" customFormat="1" ht="15" hidden="1" customHeight="1" x14ac:dyDescent="0.25">
      <c r="A327" s="212">
        <f>Итоговая!A329</f>
        <v>247</v>
      </c>
      <c r="B327" s="212">
        <f>COUNTIFS($C$8:C327,"*ПС*",$L$8:L327,"*закрыт*")</f>
        <v>50</v>
      </c>
      <c r="C327" s="212" t="str">
        <f>Итоговая!C329</f>
        <v>ПС  35/10 кВ №15</v>
      </c>
      <c r="D327" s="230">
        <f>Итоговая!D329</f>
        <v>4</v>
      </c>
      <c r="E327" s="229" t="str">
        <f>Итоговая!E329</f>
        <v>+</v>
      </c>
      <c r="F327" s="229">
        <f>Итоговая!F329</f>
        <v>6.3</v>
      </c>
      <c r="G327" s="229">
        <f>Итоговая!G329</f>
        <v>0</v>
      </c>
      <c r="H327" s="229">
        <f>Итоговая!H329</f>
        <v>0</v>
      </c>
      <c r="I327" s="172">
        <f>Итоговая!Q329</f>
        <v>1.6300000000000003</v>
      </c>
      <c r="J327" s="172">
        <f>Итоговая!R329</f>
        <v>1.6300000000000003</v>
      </c>
      <c r="K327" s="172" t="str">
        <f>Итоговая!S329</f>
        <v>открыт</v>
      </c>
      <c r="L327" s="259" t="str">
        <f>Итоговая!T329</f>
        <v>открыт</v>
      </c>
      <c r="M327" s="757">
        <f>Итоговая!U329</f>
        <v>61.19047619047619</v>
      </c>
      <c r="N327" s="907"/>
      <c r="O327" s="907"/>
      <c r="P327" s="907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3"/>
      <c r="AU327" s="233"/>
      <c r="AV327" s="233"/>
    </row>
    <row r="328" spans="1:48" s="232" customFormat="1" ht="15" hidden="1" customHeight="1" x14ac:dyDescent="0.25">
      <c r="A328" s="212">
        <f>Итоговая!A330</f>
        <v>248</v>
      </c>
      <c r="B328" s="212">
        <f>COUNTIFS($C$8:C328,"*ПС*",$L$8:L328,"*закрыт*")</f>
        <v>50</v>
      </c>
      <c r="C328" s="212" t="str">
        <f>Итоговая!C330</f>
        <v xml:space="preserve">ПС 35/10 кВ Медное </v>
      </c>
      <c r="D328" s="230">
        <f>Итоговая!D330</f>
        <v>6.3</v>
      </c>
      <c r="E328" s="229" t="str">
        <f>Итоговая!E330</f>
        <v>+</v>
      </c>
      <c r="F328" s="229">
        <f>Итоговая!F330</f>
        <v>6.3</v>
      </c>
      <c r="G328" s="229">
        <f>Итоговая!G330</f>
        <v>0</v>
      </c>
      <c r="H328" s="229">
        <f>Итоговая!H330</f>
        <v>0</v>
      </c>
      <c r="I328" s="172">
        <f>Итоговая!Q330</f>
        <v>1.9950000000000001</v>
      </c>
      <c r="J328" s="172">
        <f>Итоговая!R330</f>
        <v>1.9950000000000001</v>
      </c>
      <c r="K328" s="172" t="str">
        <f>Итоговая!S330</f>
        <v>открыт</v>
      </c>
      <c r="L328" s="259" t="str">
        <f>Итоговая!T330</f>
        <v>открыт</v>
      </c>
      <c r="M328" s="757">
        <f>Итоговая!U330</f>
        <v>56.084656084656082</v>
      </c>
      <c r="N328" s="902"/>
      <c r="O328" s="902"/>
      <c r="P328" s="902"/>
    </row>
    <row r="329" spans="1:48" s="232" customFormat="1" ht="30" hidden="1" customHeight="1" x14ac:dyDescent="0.25">
      <c r="A329" s="212">
        <f>Итоговая!A331</f>
        <v>249</v>
      </c>
      <c r="B329" s="212">
        <f>COUNTIFS($C$8:C329,"*ПС*",$L$8:L329,"*закрыт*")</f>
        <v>50</v>
      </c>
      <c r="C329" s="212" t="str">
        <f>Итоговая!C331</f>
        <v xml:space="preserve">ПС 35/10 кВ Толмачи       </v>
      </c>
      <c r="D329" s="230">
        <f>Итоговая!D331</f>
        <v>2.5</v>
      </c>
      <c r="E329" s="229" t="str">
        <f>Итоговая!E331</f>
        <v>+</v>
      </c>
      <c r="F329" s="229">
        <f>Итоговая!F331</f>
        <v>1.8</v>
      </c>
      <c r="G329" s="229">
        <f>Итоговая!G331</f>
        <v>0</v>
      </c>
      <c r="H329" s="229">
        <f>Итоговая!H331</f>
        <v>0</v>
      </c>
      <c r="I329" s="172">
        <f>Итоговая!Q331</f>
        <v>0.95000000000000018</v>
      </c>
      <c r="J329" s="172">
        <f>Итоговая!R331</f>
        <v>0.95000000000000018</v>
      </c>
      <c r="K329" s="172" t="str">
        <f>Итоговая!S331</f>
        <v>открыт</v>
      </c>
      <c r="L329" s="259" t="str">
        <f>Итоговая!T331</f>
        <v>открыт</v>
      </c>
      <c r="M329" s="757">
        <f>Итоговая!U331</f>
        <v>49.735449735449734</v>
      </c>
      <c r="N329" s="902"/>
      <c r="O329" s="902"/>
      <c r="P329" s="902"/>
    </row>
    <row r="330" spans="1:48" s="232" customFormat="1" ht="15" hidden="1" customHeight="1" x14ac:dyDescent="0.25">
      <c r="A330" s="212">
        <f>Итоговая!A332</f>
        <v>250</v>
      </c>
      <c r="B330" s="212">
        <f>COUNTIFS($C$8:C330,"*ПС*",$L$8:L330,"*закрыт*")</f>
        <v>50</v>
      </c>
      <c r="C330" s="212" t="str">
        <f>Итоговая!C332</f>
        <v xml:space="preserve">ПС 35/10 кВ № 7 </v>
      </c>
      <c r="D330" s="230">
        <f>Итоговая!D332</f>
        <v>1.6</v>
      </c>
      <c r="E330" s="229" t="str">
        <f>Итоговая!E332</f>
        <v>+</v>
      </c>
      <c r="F330" s="229">
        <f>Итоговая!F332</f>
        <v>2.5</v>
      </c>
      <c r="G330" s="229">
        <f>Итоговая!G332</f>
        <v>0</v>
      </c>
      <c r="H330" s="229">
        <f>Итоговая!H332</f>
        <v>0</v>
      </c>
      <c r="I330" s="172">
        <f>Итоговая!Q332</f>
        <v>1.1000000000000001</v>
      </c>
      <c r="J330" s="172">
        <f>Итоговая!R332</f>
        <v>1.1000000000000001</v>
      </c>
      <c r="K330" s="172" t="str">
        <f>Итоговая!S332</f>
        <v>открыт</v>
      </c>
      <c r="L330" s="259" t="str">
        <f>Итоговая!T332</f>
        <v>открыт</v>
      </c>
      <c r="M330" s="757">
        <f>Итоговая!U332</f>
        <v>34.523809523809518</v>
      </c>
      <c r="N330" s="902"/>
      <c r="O330" s="902"/>
      <c r="P330" s="902"/>
    </row>
    <row r="331" spans="1:48" ht="20.100000000000001" hidden="1" customHeight="1" x14ac:dyDescent="0.25">
      <c r="A331" s="212">
        <f>Итоговая!A333</f>
        <v>251</v>
      </c>
      <c r="B331" s="212">
        <f>COUNTIFS($C$8:C331,"*ПС*",$L$8:L331,"*закрыт*")</f>
        <v>50</v>
      </c>
      <c r="C331" s="212" t="str">
        <f>Итоговая!C333</f>
        <v xml:space="preserve">ПС  35/6 кВ № 5 </v>
      </c>
      <c r="D331" s="230">
        <f>Итоговая!D333</f>
        <v>5.6</v>
      </c>
      <c r="E331" s="229" t="str">
        <f>Итоговая!E333</f>
        <v>+</v>
      </c>
      <c r="F331" s="229">
        <f>Итоговая!F333</f>
        <v>4</v>
      </c>
      <c r="G331" s="229">
        <f>Итоговая!G333</f>
        <v>0</v>
      </c>
      <c r="H331" s="229">
        <f>Итоговая!H333</f>
        <v>0</v>
      </c>
      <c r="I331" s="172">
        <f>Итоговая!Q333</f>
        <v>2.1</v>
      </c>
      <c r="J331" s="172">
        <f>Итоговая!R333</f>
        <v>2.1</v>
      </c>
      <c r="K331" s="172" t="str">
        <f>Итоговая!S333</f>
        <v>открыт</v>
      </c>
      <c r="L331" s="259" t="str">
        <f>Итоговая!T333</f>
        <v>открыт</v>
      </c>
      <c r="M331" s="757">
        <f>Итоговая!U333</f>
        <v>50</v>
      </c>
      <c r="N331" s="902"/>
      <c r="O331" s="902"/>
      <c r="P331" s="902"/>
    </row>
    <row r="332" spans="1:48" s="232" customFormat="1" ht="15" hidden="1" customHeight="1" x14ac:dyDescent="0.25">
      <c r="A332" s="212">
        <f>Итоговая!A334</f>
        <v>252</v>
      </c>
      <c r="B332" s="212">
        <f>COUNTIFS($C$8:C332,"*ПС*",$L$8:L332,"*закрыт*")</f>
        <v>50</v>
      </c>
      <c r="C332" s="212" t="str">
        <f>Итоговая!C334</f>
        <v xml:space="preserve">ПС  35/6 кВ № 9 </v>
      </c>
      <c r="D332" s="230">
        <f>Итоговая!D334</f>
        <v>5.6</v>
      </c>
      <c r="E332" s="229" t="str">
        <f>Итоговая!E334</f>
        <v>+</v>
      </c>
      <c r="F332" s="229">
        <f>Итоговая!F334</f>
        <v>6.3</v>
      </c>
      <c r="G332" s="229">
        <f>Итоговая!G334</f>
        <v>0</v>
      </c>
      <c r="H332" s="229">
        <f>Итоговая!H334</f>
        <v>0</v>
      </c>
      <c r="I332" s="172">
        <f>Итоговая!Q334</f>
        <v>1.4299999999999997</v>
      </c>
      <c r="J332" s="172">
        <f>Итоговая!R334</f>
        <v>1.4299999999999997</v>
      </c>
      <c r="K332" s="172" t="str">
        <f>Итоговая!S334</f>
        <v>открыт</v>
      </c>
      <c r="L332" s="259" t="str">
        <f>Итоговая!T334</f>
        <v>открыт</v>
      </c>
      <c r="M332" s="757">
        <f>Итоговая!U334</f>
        <v>75.680272108843539</v>
      </c>
      <c r="N332" s="902"/>
      <c r="O332" s="902"/>
      <c r="P332" s="902"/>
    </row>
    <row r="333" spans="1:48" ht="20.100000000000001" hidden="1" customHeight="1" x14ac:dyDescent="0.25">
      <c r="A333" s="212">
        <f>Итоговая!A335</f>
        <v>253</v>
      </c>
      <c r="B333" s="212">
        <f>COUNTIFS($C$8:C333,"*ПС*",$L$8:L333,"*закрыт*")</f>
        <v>50</v>
      </c>
      <c r="C333" s="212" t="str">
        <f>Итоговая!C335</f>
        <v xml:space="preserve">ПС 35/10 кВ № 9  </v>
      </c>
      <c r="D333" s="230">
        <f>Итоговая!D335</f>
        <v>6.3</v>
      </c>
      <c r="E333" s="229" t="str">
        <f>Итоговая!E335</f>
        <v>+</v>
      </c>
      <c r="F333" s="229">
        <f>Итоговая!F335</f>
        <v>6.3</v>
      </c>
      <c r="G333" s="229">
        <f>Итоговая!G335</f>
        <v>0</v>
      </c>
      <c r="H333" s="229">
        <f>Итоговая!H335</f>
        <v>0</v>
      </c>
      <c r="I333" s="172">
        <f>Итоговая!Q335</f>
        <v>3.4950000000000001</v>
      </c>
      <c r="J333" s="172">
        <f>Итоговая!R335</f>
        <v>3.4950000000000001</v>
      </c>
      <c r="K333" s="172" t="str">
        <f>Итоговая!S335</f>
        <v>открыт</v>
      </c>
      <c r="L333" s="259" t="str">
        <f>Итоговая!T335</f>
        <v>открыт</v>
      </c>
      <c r="M333" s="757">
        <f>Итоговая!U335</f>
        <v>47.165532879818592</v>
      </c>
      <c r="N333" s="902"/>
      <c r="O333" s="902"/>
      <c r="P333" s="902"/>
    </row>
    <row r="334" spans="1:48" s="232" customFormat="1" ht="15" hidden="1" customHeight="1" x14ac:dyDescent="0.25">
      <c r="A334" s="212">
        <f>Итоговая!A336</f>
        <v>254</v>
      </c>
      <c r="B334" s="212">
        <f>COUNTIFS($C$8:C334,"*ПС*",$L$8:L334,"*закрыт*")</f>
        <v>50</v>
      </c>
      <c r="C334" s="212" t="str">
        <f>Итоговая!C336</f>
        <v xml:space="preserve">ПС 35/6 кВ № 10 </v>
      </c>
      <c r="D334" s="230">
        <f>Итоговая!D336</f>
        <v>1.8</v>
      </c>
      <c r="E334" s="229" t="str">
        <f>Итоговая!E336</f>
        <v>+</v>
      </c>
      <c r="F334" s="229">
        <f>Итоговая!F336</f>
        <v>1.8</v>
      </c>
      <c r="G334" s="229">
        <f>Итоговая!G336</f>
        <v>0</v>
      </c>
      <c r="H334" s="229">
        <f>Итоговая!H336</f>
        <v>0</v>
      </c>
      <c r="I334" s="172">
        <f>Итоговая!Q336</f>
        <v>0.15000000000000013</v>
      </c>
      <c r="J334" s="172">
        <f>Итоговая!R336</f>
        <v>0.15000000000000013</v>
      </c>
      <c r="K334" s="172" t="str">
        <f>Итоговая!S336</f>
        <v>открыт</v>
      </c>
      <c r="L334" s="259" t="str">
        <f>Итоговая!T336</f>
        <v>открыт</v>
      </c>
      <c r="M334" s="757">
        <f>Итоговая!U336</f>
        <v>92.063492063492063</v>
      </c>
      <c r="N334" s="902"/>
      <c r="O334" s="902"/>
      <c r="P334" s="902"/>
    </row>
    <row r="335" spans="1:48" s="232" customFormat="1" ht="15" hidden="1" customHeight="1" x14ac:dyDescent="0.25">
      <c r="A335" s="212">
        <f>Итоговая!A337</f>
        <v>255</v>
      </c>
      <c r="B335" s="212">
        <f>COUNTIFS($C$8:C335,"*ПС*",$L$8:L335,"*закрыт*")</f>
        <v>50</v>
      </c>
      <c r="C335" s="212" t="str">
        <f>Итоговая!C337</f>
        <v xml:space="preserve">ПС 35/10 кВ № 11  </v>
      </c>
      <c r="D335" s="230">
        <f>Итоговая!D337</f>
        <v>10</v>
      </c>
      <c r="E335" s="229" t="str">
        <f>Итоговая!E337</f>
        <v>+</v>
      </c>
      <c r="F335" s="229">
        <f>Итоговая!F337</f>
        <v>6.3</v>
      </c>
      <c r="G335" s="229">
        <f>Итоговая!G337</f>
        <v>0</v>
      </c>
      <c r="H335" s="229">
        <f>Итоговая!H337</f>
        <v>0</v>
      </c>
      <c r="I335" s="172">
        <f>Итоговая!Q337</f>
        <v>1.1850000000000005</v>
      </c>
      <c r="J335" s="172">
        <f>Итоговая!R337</f>
        <v>1.1850000000000005</v>
      </c>
      <c r="K335" s="172" t="str">
        <f>Итоговая!S337</f>
        <v>открыт</v>
      </c>
      <c r="L335" s="259" t="str">
        <f>Итоговая!T337</f>
        <v>открыт</v>
      </c>
      <c r="M335" s="757">
        <f>Итоговая!U337</f>
        <v>82.086167800453509</v>
      </c>
      <c r="N335" s="902"/>
      <c r="O335" s="902"/>
      <c r="P335" s="902"/>
    </row>
    <row r="336" spans="1:48" s="232" customFormat="1" ht="15" hidden="1" customHeight="1" x14ac:dyDescent="0.25">
      <c r="A336" s="212">
        <f>Итоговая!A338</f>
        <v>256</v>
      </c>
      <c r="B336" s="212">
        <f>COUNTIFS($C$8:C336,"*ПС*",$L$8:L336,"*закрыт*")</f>
        <v>50</v>
      </c>
      <c r="C336" s="212" t="str">
        <f>Итоговая!C338</f>
        <v xml:space="preserve">ПС 35/10 кВ Дм.Гора  </v>
      </c>
      <c r="D336" s="230">
        <f>Итоговая!D338</f>
        <v>10</v>
      </c>
      <c r="E336" s="229" t="str">
        <f>Итоговая!E338</f>
        <v>+</v>
      </c>
      <c r="F336" s="229">
        <f>Итоговая!F338</f>
        <v>10</v>
      </c>
      <c r="G336" s="229">
        <f>Итоговая!G338</f>
        <v>0</v>
      </c>
      <c r="H336" s="229">
        <f>Итоговая!H338</f>
        <v>0</v>
      </c>
      <c r="I336" s="172">
        <f>Итоговая!Q338</f>
        <v>5.64</v>
      </c>
      <c r="J336" s="172">
        <f>Итоговая!R338</f>
        <v>5.64</v>
      </c>
      <c r="K336" s="172" t="str">
        <f>Итоговая!S338</f>
        <v>открыт</v>
      </c>
      <c r="L336" s="259" t="str">
        <f>Итоговая!T338</f>
        <v>открыт</v>
      </c>
      <c r="M336" s="757">
        <f>Итоговая!U338</f>
        <v>46.285714285714292</v>
      </c>
      <c r="N336" s="902"/>
      <c r="O336" s="902"/>
      <c r="P336" s="902"/>
    </row>
    <row r="337" spans="1:48" ht="20.100000000000001" hidden="1" customHeight="1" x14ac:dyDescent="0.25">
      <c r="A337" s="212">
        <f>Итоговая!A339</f>
        <v>257</v>
      </c>
      <c r="B337" s="212">
        <f>COUNTIFS($C$8:C337,"*ПС*",$L$8:L337,"*закрыт*")</f>
        <v>50</v>
      </c>
      <c r="C337" s="212" t="str">
        <f>Итоговая!C339</f>
        <v xml:space="preserve">ПС 35/6 кВ ЗМИ  </v>
      </c>
      <c r="D337" s="230">
        <f>Итоговая!D339</f>
        <v>10</v>
      </c>
      <c r="E337" s="229" t="str">
        <f>Итоговая!E339</f>
        <v>+</v>
      </c>
      <c r="F337" s="229">
        <f>Итоговая!F339</f>
        <v>16</v>
      </c>
      <c r="G337" s="229">
        <f>Итоговая!G339</f>
        <v>0</v>
      </c>
      <c r="H337" s="229">
        <f>Итоговая!H339</f>
        <v>0</v>
      </c>
      <c r="I337" s="172">
        <f>Итоговая!Q339</f>
        <v>8.0299999999999994</v>
      </c>
      <c r="J337" s="172">
        <f>Итоговая!R339</f>
        <v>8.0299999999999994</v>
      </c>
      <c r="K337" s="172" t="str">
        <f>Итоговая!S339</f>
        <v>открыт</v>
      </c>
      <c r="L337" s="259" t="str">
        <f>Итоговая!T339</f>
        <v>открыт</v>
      </c>
      <c r="M337" s="757">
        <f>Итоговая!U339</f>
        <v>23.523809523809526</v>
      </c>
      <c r="N337" s="902"/>
      <c r="O337" s="902"/>
      <c r="P337" s="902"/>
    </row>
    <row r="338" spans="1:48" s="232" customFormat="1" ht="15" hidden="1" customHeight="1" x14ac:dyDescent="0.25">
      <c r="A338" s="212">
        <f>Итоговая!A340</f>
        <v>258</v>
      </c>
      <c r="B338" s="212">
        <f>COUNTIFS($C$8:C338,"*ПС*",$L$8:L338,"*закрыт*")</f>
        <v>50</v>
      </c>
      <c r="C338" s="212" t="str">
        <f>Итоговая!C340</f>
        <v xml:space="preserve">ПС 35/10 кВ Изоплит  </v>
      </c>
      <c r="D338" s="230">
        <f>Итоговая!D340</f>
        <v>6.3</v>
      </c>
      <c r="E338" s="229" t="str">
        <f>Итоговая!E340</f>
        <v>+</v>
      </c>
      <c r="F338" s="229">
        <f>Итоговая!F340</f>
        <v>6.3</v>
      </c>
      <c r="G338" s="229">
        <f>Итоговая!G340</f>
        <v>0</v>
      </c>
      <c r="H338" s="229">
        <f>Итоговая!H340</f>
        <v>0</v>
      </c>
      <c r="I338" s="172">
        <f>Итоговая!Q340</f>
        <v>2.7650000000000001</v>
      </c>
      <c r="J338" s="172">
        <f>Итоговая!R340</f>
        <v>2.7650000000000001</v>
      </c>
      <c r="K338" s="172" t="str">
        <f>Итоговая!S340</f>
        <v>открыт</v>
      </c>
      <c r="L338" s="259" t="str">
        <f>Итоговая!T340</f>
        <v>открыт</v>
      </c>
      <c r="M338" s="757">
        <f>Итоговая!U340</f>
        <v>58.201058201058203</v>
      </c>
      <c r="N338" s="902"/>
      <c r="O338" s="902"/>
      <c r="P338" s="902"/>
    </row>
    <row r="339" spans="1:48" s="232" customFormat="1" ht="15" hidden="1" customHeight="1" x14ac:dyDescent="0.25">
      <c r="A339" s="212">
        <f>Итоговая!A341</f>
        <v>259</v>
      </c>
      <c r="B339" s="212">
        <f>COUNTIFS($C$8:C339,"*ПС*",$L$8:L339,"*закрыт*")</f>
        <v>50</v>
      </c>
      <c r="C339" s="212" t="str">
        <f>Итоговая!C341</f>
        <v>ПС 35/6 кВ Карачарово</v>
      </c>
      <c r="D339" s="230">
        <f>Итоговая!D341</f>
        <v>4</v>
      </c>
      <c r="E339" s="229" t="str">
        <f>Итоговая!E341</f>
        <v>+</v>
      </c>
      <c r="F339" s="229">
        <f>Итоговая!F341</f>
        <v>6.3</v>
      </c>
      <c r="G339" s="229">
        <f>Итоговая!G341</f>
        <v>0</v>
      </c>
      <c r="H339" s="229">
        <f>Итоговая!H341</f>
        <v>0</v>
      </c>
      <c r="I339" s="172">
        <f>Итоговая!Q341</f>
        <v>0.21575999999999995</v>
      </c>
      <c r="J339" s="172">
        <f>Итоговая!R341</f>
        <v>0.21575999999999995</v>
      </c>
      <c r="K339" s="172" t="str">
        <f>Итоговая!S341</f>
        <v>открыт</v>
      </c>
      <c r="L339" s="259" t="str">
        <f>Итоговая!T341</f>
        <v>открыт</v>
      </c>
      <c r="M339" s="757">
        <f>Итоговая!U341</f>
        <v>57.142857142857139</v>
      </c>
      <c r="N339" s="902"/>
      <c r="O339" s="902"/>
      <c r="P339" s="902"/>
    </row>
    <row r="340" spans="1:48" s="232" customFormat="1" ht="15" hidden="1" customHeight="1" x14ac:dyDescent="0.25">
      <c r="A340" s="212">
        <f>Итоговая!A342</f>
        <v>260</v>
      </c>
      <c r="B340" s="212">
        <f>COUNTIFS($C$8:C340,"*ПС*",$L$8:L340,"*закрыт*")</f>
        <v>50</v>
      </c>
      <c r="C340" s="212" t="str">
        <f>Итоговая!C342</f>
        <v xml:space="preserve">ПС 35/6 кВ Кр. Луч  </v>
      </c>
      <c r="D340" s="230">
        <f>Итоговая!D342</f>
        <v>2.5</v>
      </c>
      <c r="E340" s="229" t="str">
        <f>Итоговая!E342</f>
        <v>+</v>
      </c>
      <c r="F340" s="229">
        <f>Итоговая!F342</f>
        <v>3.2</v>
      </c>
      <c r="G340" s="229">
        <f>Итоговая!G342</f>
        <v>0</v>
      </c>
      <c r="H340" s="229">
        <f>Итоговая!H342</f>
        <v>0</v>
      </c>
      <c r="I340" s="172">
        <f>Итоговая!Q342</f>
        <v>1.7999999999999849E-2</v>
      </c>
      <c r="J340" s="172">
        <f>Итоговая!R342</f>
        <v>1.7999999999999849E-2</v>
      </c>
      <c r="K340" s="172" t="str">
        <f>Итоговая!S342</f>
        <v>открыт</v>
      </c>
      <c r="L340" s="259" t="str">
        <f>Итоговая!T342</f>
        <v>открыт</v>
      </c>
      <c r="M340" s="757">
        <f>Итоговая!U342</f>
        <v>92.571428571428584</v>
      </c>
      <c r="N340" s="907"/>
      <c r="O340" s="907"/>
      <c r="P340" s="907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</row>
    <row r="341" spans="1:48" s="232" customFormat="1" ht="15" hidden="1" customHeight="1" x14ac:dyDescent="0.25">
      <c r="A341" s="212">
        <f>Итоговая!A343</f>
        <v>261</v>
      </c>
      <c r="B341" s="212">
        <f>COUNTIFS($C$8:C341,"*ПС*",$L$8:L341,"*закрыт*")</f>
        <v>50</v>
      </c>
      <c r="C341" s="212" t="str">
        <f>Итоговая!C343</f>
        <v xml:space="preserve">ПС 35/6 кВ Мелково  </v>
      </c>
      <c r="D341" s="230">
        <f>Итоговая!D343</f>
        <v>1.6</v>
      </c>
      <c r="E341" s="229" t="str">
        <f>Итоговая!E343</f>
        <v>+</v>
      </c>
      <c r="F341" s="229">
        <f>Итоговая!F343</f>
        <v>2.5</v>
      </c>
      <c r="G341" s="229">
        <f>Итоговая!G343</f>
        <v>0</v>
      </c>
      <c r="H341" s="229">
        <f>Итоговая!H343</f>
        <v>0</v>
      </c>
      <c r="I341" s="172">
        <f>Итоговая!Q343</f>
        <v>0.63000000000000012</v>
      </c>
      <c r="J341" s="172">
        <f>Итоговая!R343</f>
        <v>0.63000000000000012</v>
      </c>
      <c r="K341" s="172" t="str">
        <f>Итоговая!S343</f>
        <v>открыт</v>
      </c>
      <c r="L341" s="259" t="str">
        <f>Итоговая!T343</f>
        <v>открыт</v>
      </c>
      <c r="M341" s="757">
        <f>Итоговая!U343</f>
        <v>62.499999999999993</v>
      </c>
      <c r="N341" s="902"/>
      <c r="O341" s="902"/>
      <c r="P341" s="902"/>
    </row>
    <row r="342" spans="1:48" ht="20.100000000000001" hidden="1" customHeight="1" x14ac:dyDescent="0.25">
      <c r="A342" s="212">
        <f>Итоговая!A344</f>
        <v>262</v>
      </c>
      <c r="B342" s="212">
        <f>COUNTIFS($C$8:C342,"*ПС*",$L$8:L342,"*закрыт*")</f>
        <v>50</v>
      </c>
      <c r="C342" s="212" t="str">
        <f>Итоговая!C344</f>
        <v xml:space="preserve">ПС 35/10 кВ Селихово </v>
      </c>
      <c r="D342" s="230">
        <f>Итоговая!D344</f>
        <v>2.5</v>
      </c>
      <c r="E342" s="229" t="str">
        <f>Итоговая!E344</f>
        <v>+</v>
      </c>
      <c r="F342" s="229">
        <f>Итоговая!F344</f>
        <v>2.5</v>
      </c>
      <c r="G342" s="229">
        <f>Итоговая!G344</f>
        <v>0</v>
      </c>
      <c r="H342" s="229">
        <f>Итоговая!H344</f>
        <v>0</v>
      </c>
      <c r="I342" s="172">
        <f>Итоговая!Q344</f>
        <v>0.99500000000000011</v>
      </c>
      <c r="J342" s="172">
        <f>Итоговая!R344</f>
        <v>0.99500000000000011</v>
      </c>
      <c r="K342" s="172" t="str">
        <f>Итоговая!S344</f>
        <v>открыт</v>
      </c>
      <c r="L342" s="259" t="str">
        <f>Итоговая!T344</f>
        <v>открыт</v>
      </c>
      <c r="M342" s="757">
        <f>Итоговая!U344</f>
        <v>62.095238095238095</v>
      </c>
      <c r="N342" s="902"/>
      <c r="O342" s="902"/>
      <c r="P342" s="902"/>
    </row>
    <row r="343" spans="1:48" s="232" customFormat="1" ht="15" hidden="1" customHeight="1" x14ac:dyDescent="0.25">
      <c r="A343" s="212">
        <f>Итоговая!A345</f>
        <v>263</v>
      </c>
      <c r="B343" s="212">
        <f>COUNTIFS($C$8:C343,"*ПС*",$L$8:L343,"*закрыт*")</f>
        <v>50</v>
      </c>
      <c r="C343" s="212" t="str">
        <f>Итоговая!C345</f>
        <v>ПС 35/10 кВ Мокшино</v>
      </c>
      <c r="D343" s="230">
        <f>Итоговая!D345</f>
        <v>10</v>
      </c>
      <c r="E343" s="229" t="str">
        <f>Итоговая!E345</f>
        <v>+</v>
      </c>
      <c r="F343" s="229">
        <f>Итоговая!F345</f>
        <v>10</v>
      </c>
      <c r="G343" s="229">
        <f>Итоговая!G345</f>
        <v>0</v>
      </c>
      <c r="H343" s="229">
        <f>Итоговая!H345</f>
        <v>0</v>
      </c>
      <c r="I343" s="172">
        <f>Итоговая!Q345</f>
        <v>4.6500000000000004</v>
      </c>
      <c r="J343" s="172">
        <f>Итоговая!R345</f>
        <v>4.6500000000000004</v>
      </c>
      <c r="K343" s="172" t="str">
        <f>Итоговая!S345</f>
        <v>открыт</v>
      </c>
      <c r="L343" s="259" t="str">
        <f>Итоговая!T345</f>
        <v>открыт</v>
      </c>
      <c r="M343" s="757">
        <f>Итоговая!U345</f>
        <v>44.571428571428569</v>
      </c>
      <c r="N343" s="907"/>
      <c r="O343" s="907"/>
      <c r="P343" s="907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</row>
    <row r="344" spans="1:48" ht="20.100000000000001" customHeight="1" x14ac:dyDescent="0.25">
      <c r="A344" s="212">
        <f>Итоговая!A346</f>
        <v>264</v>
      </c>
      <c r="B344" s="212">
        <f>COUNTIFS($C$8:C344,"*ПС*",$L$8:L344,"*закрыт*")</f>
        <v>51</v>
      </c>
      <c r="C344" s="212" t="str">
        <f>Итоговая!C346</f>
        <v xml:space="preserve">ПС 35/10 кВ Энергетик </v>
      </c>
      <c r="D344" s="230">
        <f>Итоговая!D346</f>
        <v>4</v>
      </c>
      <c r="E344" s="229" t="str">
        <f>Итоговая!E346</f>
        <v>+</v>
      </c>
      <c r="F344" s="229">
        <f>Итоговая!F346</f>
        <v>2.5</v>
      </c>
      <c r="G344" s="229">
        <f>Итоговая!G346</f>
        <v>0</v>
      </c>
      <c r="H344" s="229">
        <f>Итоговая!H346</f>
        <v>0</v>
      </c>
      <c r="I344" s="172">
        <f>Итоговая!Q346</f>
        <v>-0.43500000000000005</v>
      </c>
      <c r="J344" s="172">
        <f>Итоговая!R346</f>
        <v>-0.43500000000000005</v>
      </c>
      <c r="K344" s="172" t="str">
        <f>Итоговая!S346</f>
        <v>закрыт</v>
      </c>
      <c r="L344" s="259" t="str">
        <f>Итоговая!T346</f>
        <v>закрыт</v>
      </c>
      <c r="M344" s="757">
        <f>Итоговая!U346</f>
        <v>116.57142857142857</v>
      </c>
      <c r="N344" s="902"/>
      <c r="O344" s="902"/>
      <c r="P344" s="902"/>
    </row>
    <row r="345" spans="1:48" s="232" customFormat="1" ht="30" hidden="1" customHeight="1" x14ac:dyDescent="0.25">
      <c r="A345" s="212">
        <f>Итоговая!A347</f>
        <v>265</v>
      </c>
      <c r="B345" s="212">
        <f>COUNTIFS($C$8:C345,"*ПС*",$L$8:L345,"*закрыт*")</f>
        <v>51</v>
      </c>
      <c r="C345" s="212" t="str">
        <f>Итоговая!C347</f>
        <v xml:space="preserve">ПС 35/10 кВ Эммаус  </v>
      </c>
      <c r="D345" s="230">
        <f>Итоговая!D347</f>
        <v>4</v>
      </c>
      <c r="E345" s="229" t="str">
        <f>Итоговая!E347</f>
        <v>+</v>
      </c>
      <c r="F345" s="229">
        <f>Итоговая!F347</f>
        <v>4</v>
      </c>
      <c r="G345" s="229">
        <f>Итоговая!G347</f>
        <v>0</v>
      </c>
      <c r="H345" s="229">
        <f>Итоговая!H347</f>
        <v>0</v>
      </c>
      <c r="I345" s="172">
        <f>Итоговая!Q347</f>
        <v>1.0700000000000003</v>
      </c>
      <c r="J345" s="172">
        <f>Итоговая!R347</f>
        <v>1.0700000000000003</v>
      </c>
      <c r="K345" s="172" t="str">
        <f>Итоговая!S347</f>
        <v>открыт</v>
      </c>
      <c r="L345" s="259" t="str">
        <f>Итоговая!T347</f>
        <v>открыт</v>
      </c>
      <c r="M345" s="757">
        <f>Итоговая!U347</f>
        <v>74.523809523809518</v>
      </c>
      <c r="N345" s="902"/>
      <c r="O345" s="902"/>
      <c r="P345" s="902"/>
    </row>
    <row r="346" spans="1:48" ht="20.100000000000001" hidden="1" customHeight="1" x14ac:dyDescent="0.25">
      <c r="A346" s="212">
        <f>Итоговая!A348</f>
        <v>266</v>
      </c>
      <c r="B346" s="212">
        <f>COUNTIFS($C$8:C346,"*ПС*",$L$8:L346,"*закрыт*")</f>
        <v>51</v>
      </c>
      <c r="C346" s="212" t="str">
        <f>Итоговая!C348</f>
        <v>ПС  35/10 кВ Ю.-Девичье</v>
      </c>
      <c r="D346" s="230">
        <f>Итоговая!D348</f>
        <v>6.3</v>
      </c>
      <c r="E346" s="229" t="str">
        <f>Итоговая!E348</f>
        <v>+</v>
      </c>
      <c r="F346" s="229">
        <f>Итоговая!F348</f>
        <v>4</v>
      </c>
      <c r="G346" s="229">
        <f>Итоговая!G348</f>
        <v>0</v>
      </c>
      <c r="H346" s="229">
        <f>Итоговая!H348</f>
        <v>0</v>
      </c>
      <c r="I346" s="172">
        <f>Итоговая!Q348</f>
        <v>1.6</v>
      </c>
      <c r="J346" s="172">
        <f>Итоговая!R348</f>
        <v>1.6</v>
      </c>
      <c r="K346" s="172" t="str">
        <f>Итоговая!S348</f>
        <v>открыт</v>
      </c>
      <c r="L346" s="259" t="str">
        <f>Итоговая!T348</f>
        <v>открыт</v>
      </c>
      <c r="M346" s="757">
        <f>Итоговая!U348</f>
        <v>61.904761904761905</v>
      </c>
      <c r="N346" s="902"/>
      <c r="O346" s="902"/>
      <c r="P346" s="902"/>
    </row>
    <row r="347" spans="1:48" ht="20.100000000000001" customHeight="1" x14ac:dyDescent="0.25">
      <c r="A347" s="212">
        <f>Итоговая!A349</f>
        <v>267</v>
      </c>
      <c r="B347" s="212">
        <f>COUNTIFS($C$8:C347,"*ПС*",$L$8:L347,"*закрыт*")</f>
        <v>52</v>
      </c>
      <c r="C347" s="212" t="str">
        <f>Итоговая!C349</f>
        <v xml:space="preserve">ПС 35/6 кВ №18  </v>
      </c>
      <c r="D347" s="230">
        <f>Итоговая!D349</f>
        <v>16</v>
      </c>
      <c r="E347" s="229" t="str">
        <f>Итоговая!E349</f>
        <v>+</v>
      </c>
      <c r="F347" s="229">
        <f>Итоговая!F349</f>
        <v>10</v>
      </c>
      <c r="G347" s="229" t="str">
        <f>Итоговая!G349</f>
        <v>+</v>
      </c>
      <c r="H347" s="229">
        <f>Итоговая!H349</f>
        <v>10</v>
      </c>
      <c r="I347" s="172">
        <f>Итоговая!Q349</f>
        <v>-4.7799999999999976</v>
      </c>
      <c r="J347" s="172">
        <f>Итоговая!R349</f>
        <v>-4.7799999999999976</v>
      </c>
      <c r="K347" s="172" t="str">
        <f>Итоговая!S349</f>
        <v>закрыт</v>
      </c>
      <c r="L347" s="259" t="str">
        <f>Итоговая!T349</f>
        <v>закрыт</v>
      </c>
      <c r="M347" s="757">
        <f>Итоговая!U349</f>
        <v>128.45238095238093</v>
      </c>
      <c r="N347" s="907"/>
      <c r="O347" s="907"/>
      <c r="P347" s="907"/>
    </row>
    <row r="348" spans="1:48" ht="20.100000000000001" hidden="1" customHeight="1" x14ac:dyDescent="0.25">
      <c r="A348" s="212">
        <f>Итоговая!A350</f>
        <v>268</v>
      </c>
      <c r="B348" s="212">
        <f>COUNTIFS($C$8:C348,"*ПС*",$L$8:L348,"*закрыт*")</f>
        <v>52</v>
      </c>
      <c r="C348" s="212" t="str">
        <f>Итоговая!C350</f>
        <v xml:space="preserve">ПС 35/6  кВ Затверецкая </v>
      </c>
      <c r="D348" s="230">
        <f>Итоговая!D350</f>
        <v>10</v>
      </c>
      <c r="E348" s="229" t="str">
        <f>Итоговая!E350</f>
        <v>+</v>
      </c>
      <c r="F348" s="229">
        <f>Итоговая!F350</f>
        <v>10</v>
      </c>
      <c r="G348" s="229" t="str">
        <f>Итоговая!G350</f>
        <v>+</v>
      </c>
      <c r="H348" s="229">
        <f>Итоговая!H350</f>
        <v>10</v>
      </c>
      <c r="I348" s="172">
        <f>Итоговая!Q350</f>
        <v>6.8800000000000008</v>
      </c>
      <c r="J348" s="172">
        <f>Итоговая!R350</f>
        <v>6.8800000000000008</v>
      </c>
      <c r="K348" s="172" t="str">
        <f>Итоговая!S350</f>
        <v>открыт</v>
      </c>
      <c r="L348" s="259" t="str">
        <f>Итоговая!T350</f>
        <v>открыт</v>
      </c>
      <c r="M348" s="757">
        <f>Итоговая!U350</f>
        <v>67.238095238095241</v>
      </c>
      <c r="N348" s="902"/>
      <c r="O348" s="902"/>
      <c r="P348" s="902"/>
    </row>
    <row r="349" spans="1:48" s="232" customFormat="1" ht="15" customHeight="1" x14ac:dyDescent="0.25">
      <c r="A349" s="2419">
        <f>Итоговая!A351</f>
        <v>269</v>
      </c>
      <c r="B349" s="2423">
        <f>COUNTIFS($C$8:C349,"*ПС*",$L$8:L349,"*закрыт*")</f>
        <v>53</v>
      </c>
      <c r="C349" s="212" t="str">
        <f>Итоговая!C351</f>
        <v xml:space="preserve">ПС 110/35/10 кВ Пушкино </v>
      </c>
      <c r="D349" s="230">
        <f>Итоговая!D351</f>
        <v>10</v>
      </c>
      <c r="E349" s="229">
        <f>Итоговая!E351</f>
        <v>0</v>
      </c>
      <c r="F349" s="229">
        <f>Итоговая!F351</f>
        <v>0</v>
      </c>
      <c r="G349" s="229">
        <f>Итоговая!G351</f>
        <v>0</v>
      </c>
      <c r="H349" s="229">
        <f>Итоговая!H351</f>
        <v>0</v>
      </c>
      <c r="I349" s="172">
        <f>Итоговая!Q351</f>
        <v>-0.49</v>
      </c>
      <c r="J349" s="2405">
        <f>Итоговая!R351</f>
        <v>-0.49</v>
      </c>
      <c r="K349" s="2405" t="str">
        <f>Итоговая!S351</f>
        <v>закрыт</v>
      </c>
      <c r="L349" s="259" t="str">
        <f>Итоговая!T351</f>
        <v>закрыт</v>
      </c>
      <c r="M349" s="2398">
        <f>Итоговая!U351</f>
        <v>16.857142857142858</v>
      </c>
      <c r="N349" s="907"/>
      <c r="O349" s="907"/>
      <c r="P349" s="907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  <c r="AT349" s="233"/>
      <c r="AU349" s="233"/>
      <c r="AV349" s="233"/>
    </row>
    <row r="350" spans="1:48" s="232" customFormat="1" ht="15" hidden="1" customHeight="1" x14ac:dyDescent="0.25">
      <c r="A350" s="2419">
        <f>Итоговая!A352</f>
        <v>0</v>
      </c>
      <c r="B350" s="2440"/>
      <c r="C350" s="7" t="str">
        <f>Итоговая!C352</f>
        <v xml:space="preserve">Ном. Мощность СН, МВА </v>
      </c>
      <c r="D350" s="230">
        <f>Итоговая!D352</f>
        <v>10</v>
      </c>
      <c r="E350" s="229">
        <f>Итоговая!E352</f>
        <v>0</v>
      </c>
      <c r="F350" s="229">
        <f>Итоговая!F352</f>
        <v>0</v>
      </c>
      <c r="G350" s="229">
        <f>Итоговая!G352</f>
        <v>0</v>
      </c>
      <c r="H350" s="229">
        <f>Итоговая!H352</f>
        <v>0</v>
      </c>
      <c r="I350" s="172">
        <f>Итоговая!Q352</f>
        <v>0</v>
      </c>
      <c r="J350" s="2406">
        <f>Итоговая!R352</f>
        <v>0</v>
      </c>
      <c r="K350" s="2406">
        <f>Итоговая!S352</f>
        <v>0</v>
      </c>
      <c r="L350" s="259" t="str">
        <f>Итоговая!T352</f>
        <v>открыт</v>
      </c>
      <c r="M350" s="2398">
        <f>Итоговая!U352</f>
        <v>0</v>
      </c>
      <c r="N350" s="907"/>
      <c r="O350" s="907"/>
      <c r="P350" s="907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  <c r="AT350" s="233"/>
      <c r="AU350" s="233"/>
      <c r="AV350" s="233"/>
    </row>
    <row r="351" spans="1:48" s="232" customFormat="1" ht="15" hidden="1" customHeight="1" x14ac:dyDescent="0.25">
      <c r="A351" s="2419">
        <f>Итоговая!A353</f>
        <v>0</v>
      </c>
      <c r="B351" s="2441"/>
      <c r="C351" s="7" t="str">
        <f>Итоговая!C353</f>
        <v>Ном. мощность НН, МВА</v>
      </c>
      <c r="D351" s="230">
        <f>Итоговая!D353</f>
        <v>10</v>
      </c>
      <c r="E351" s="229">
        <f>Итоговая!E353</f>
        <v>0</v>
      </c>
      <c r="F351" s="229">
        <f>Итоговая!F353</f>
        <v>0</v>
      </c>
      <c r="G351" s="229">
        <f>Итоговая!G353</f>
        <v>0</v>
      </c>
      <c r="H351" s="229">
        <f>Итоговая!H353</f>
        <v>0</v>
      </c>
      <c r="I351" s="172">
        <f>Итоговая!Q353</f>
        <v>0</v>
      </c>
      <c r="J351" s="2407">
        <f>Итоговая!R353</f>
        <v>0</v>
      </c>
      <c r="K351" s="2407">
        <f>Итоговая!S353</f>
        <v>0</v>
      </c>
      <c r="L351" s="259" t="str">
        <f>Итоговая!T353</f>
        <v>открыт</v>
      </c>
      <c r="M351" s="2398">
        <f>Итоговая!U353</f>
        <v>0</v>
      </c>
      <c r="N351" s="907"/>
      <c r="O351" s="907"/>
      <c r="P351" s="907"/>
      <c r="Q351" s="233"/>
      <c r="R351" s="233"/>
      <c r="S351" s="233"/>
      <c r="T351" s="233"/>
      <c r="U351" s="233"/>
      <c r="V351" s="233"/>
      <c r="W351" s="233"/>
      <c r="X351" s="233"/>
      <c r="Y351" s="233"/>
      <c r="Z351" s="233"/>
      <c r="AA351" s="233"/>
      <c r="AB351" s="233"/>
      <c r="AC351" s="233"/>
      <c r="AD351" s="233"/>
      <c r="AE351" s="233"/>
      <c r="AF351" s="233"/>
      <c r="AG351" s="233"/>
      <c r="AH351" s="233"/>
      <c r="AI351" s="233"/>
      <c r="AJ351" s="233"/>
      <c r="AK351" s="233"/>
      <c r="AL351" s="233"/>
      <c r="AM351" s="233"/>
      <c r="AN351" s="233"/>
      <c r="AO351" s="233"/>
      <c r="AP351" s="233"/>
      <c r="AQ351" s="233"/>
      <c r="AR351" s="233"/>
      <c r="AS351" s="233"/>
      <c r="AT351" s="233"/>
      <c r="AU351" s="233"/>
      <c r="AV351" s="233"/>
    </row>
    <row r="352" spans="1:48" hidden="1" x14ac:dyDescent="0.25">
      <c r="A352" s="2419">
        <f>Итоговая!A354</f>
        <v>270</v>
      </c>
      <c r="B352" s="2423">
        <f>COUNTIFS($C$8:C352,"*ПС*",$L$8:L352,"*закрыт*")</f>
        <v>53</v>
      </c>
      <c r="C352" s="212" t="str">
        <f>Итоговая!C354</f>
        <v xml:space="preserve">ПС 110/10/6 кВ Механич.з-д </v>
      </c>
      <c r="D352" s="230">
        <f>Итоговая!D354</f>
        <v>40</v>
      </c>
      <c r="E352" s="229" t="str">
        <f>Итоговая!E354</f>
        <v>+</v>
      </c>
      <c r="F352" s="229">
        <f>Итоговая!F354</f>
        <v>40</v>
      </c>
      <c r="G352" s="229">
        <f>Итоговая!G354</f>
        <v>0</v>
      </c>
      <c r="H352" s="229">
        <f>Итоговая!H354</f>
        <v>0</v>
      </c>
      <c r="I352" s="172">
        <f>Итоговая!Q354</f>
        <v>21.17</v>
      </c>
      <c r="J352" s="2420">
        <f>Итоговая!R354</f>
        <v>10.46</v>
      </c>
      <c r="K352" s="2398" t="str">
        <f>Итоговая!S354</f>
        <v>открыт</v>
      </c>
      <c r="L352" s="259" t="str">
        <f>Итоговая!T354</f>
        <v>открыт</v>
      </c>
      <c r="M352" s="2398">
        <f>Итоговая!U354</f>
        <v>49.595238095238095</v>
      </c>
      <c r="N352" s="902"/>
      <c r="O352" s="902"/>
      <c r="P352" s="902"/>
    </row>
    <row r="353" spans="1:16" hidden="1" x14ac:dyDescent="0.25">
      <c r="A353" s="2419">
        <f>Итоговая!A355</f>
        <v>0</v>
      </c>
      <c r="B353" s="2440"/>
      <c r="C353" s="7" t="str">
        <f>Итоговая!C355</f>
        <v xml:space="preserve">Ном. Мощность СН, МВА </v>
      </c>
      <c r="D353" s="230">
        <f>Итоговая!D355</f>
        <v>20</v>
      </c>
      <c r="E353" s="229" t="str">
        <f>Итоговая!E355</f>
        <v>+</v>
      </c>
      <c r="F353" s="229">
        <f>Итоговая!F355</f>
        <v>20</v>
      </c>
      <c r="G353" s="229">
        <f>Итоговая!G355</f>
        <v>0</v>
      </c>
      <c r="H353" s="229">
        <f>Итоговая!H355</f>
        <v>0</v>
      </c>
      <c r="I353" s="172">
        <f>Итоговая!Q355</f>
        <v>10.46</v>
      </c>
      <c r="J353" s="2420">
        <f>Итоговая!R355</f>
        <v>0</v>
      </c>
      <c r="K353" s="2399" t="str">
        <f>Итоговая!S355</f>
        <v>открыт</v>
      </c>
      <c r="L353" s="259" t="str">
        <f>Итоговая!T355</f>
        <v>открыт</v>
      </c>
      <c r="M353" s="2399">
        <f>Итоговая!U355</f>
        <v>0</v>
      </c>
      <c r="N353" s="902"/>
      <c r="O353" s="902"/>
      <c r="P353" s="902"/>
    </row>
    <row r="354" spans="1:16" hidden="1" x14ac:dyDescent="0.25">
      <c r="A354" s="2419">
        <f>Итоговая!A356</f>
        <v>0</v>
      </c>
      <c r="B354" s="2441"/>
      <c r="C354" s="7" t="str">
        <f>Итоговая!C356</f>
        <v>Ном. мощность НН, МВА</v>
      </c>
      <c r="D354" s="230">
        <f>Итоговая!D356</f>
        <v>20</v>
      </c>
      <c r="E354" s="229" t="str">
        <f>Итоговая!E356</f>
        <v>+</v>
      </c>
      <c r="F354" s="229">
        <f>Итоговая!F356</f>
        <v>20</v>
      </c>
      <c r="G354" s="229">
        <f>Итоговая!G356</f>
        <v>0</v>
      </c>
      <c r="H354" s="229">
        <f>Итоговая!H356</f>
        <v>0</v>
      </c>
      <c r="I354" s="172">
        <f>Итоговая!Q356</f>
        <v>10.71</v>
      </c>
      <c r="J354" s="2420">
        <f>Итоговая!R356</f>
        <v>0</v>
      </c>
      <c r="K354" s="2399" t="str">
        <f>Итоговая!S356</f>
        <v>открыт</v>
      </c>
      <c r="L354" s="259" t="str">
        <f>Итоговая!T356</f>
        <v>открыт</v>
      </c>
      <c r="M354" s="2399">
        <f>Итоговая!U356</f>
        <v>0</v>
      </c>
      <c r="N354" s="902"/>
      <c r="O354" s="902"/>
      <c r="P354" s="902"/>
    </row>
    <row r="355" spans="1:16" ht="15" hidden="1" customHeight="1" x14ac:dyDescent="0.25">
      <c r="A355" s="2419">
        <f>Итоговая!A357</f>
        <v>271</v>
      </c>
      <c r="B355" s="2423">
        <f>COUNTIFS($C$8:C355,"*ПС*",$L$8:L355,"*закрыт*")</f>
        <v>53</v>
      </c>
      <c r="C355" s="212" t="str">
        <f>Итоговая!C357</f>
        <v xml:space="preserve">ПС 110/35/10 кВ Южная </v>
      </c>
      <c r="D355" s="230">
        <f>Итоговая!D357</f>
        <v>40</v>
      </c>
      <c r="E355" s="229" t="str">
        <f>Итоговая!E357</f>
        <v>+</v>
      </c>
      <c r="F355" s="229">
        <f>Итоговая!F357</f>
        <v>40</v>
      </c>
      <c r="G355" s="229">
        <f>Итоговая!G357</f>
        <v>0</v>
      </c>
      <c r="H355" s="229">
        <f>Итоговая!H357</f>
        <v>0</v>
      </c>
      <c r="I355" s="172">
        <f>Итоговая!Q357</f>
        <v>5.5799999999999983</v>
      </c>
      <c r="J355" s="2405">
        <f>Итоговая!R357</f>
        <v>5.5799999999999983</v>
      </c>
      <c r="K355" s="2398" t="str">
        <f>Итоговая!S357</f>
        <v>открыт</v>
      </c>
      <c r="L355" s="259" t="str">
        <f>Итоговая!T357</f>
        <v>открыт</v>
      </c>
      <c r="M355" s="2398">
        <f>Итоговая!U357</f>
        <v>109.26190476190476</v>
      </c>
      <c r="N355" s="907"/>
      <c r="O355" s="907"/>
      <c r="P355" s="907"/>
    </row>
    <row r="356" spans="1:16" ht="15" hidden="1" customHeight="1" x14ac:dyDescent="0.25">
      <c r="A356" s="2419">
        <f>Итоговая!A358</f>
        <v>0</v>
      </c>
      <c r="B356" s="2440"/>
      <c r="C356" s="7" t="str">
        <f>Итоговая!C358</f>
        <v xml:space="preserve">Ном. Мощность СН, МВА </v>
      </c>
      <c r="D356" s="230">
        <f>Итоговая!D358</f>
        <v>40</v>
      </c>
      <c r="E356" s="229" t="str">
        <f>Итоговая!E358</f>
        <v>+</v>
      </c>
      <c r="F356" s="229">
        <f>Итоговая!F358</f>
        <v>40</v>
      </c>
      <c r="G356" s="229">
        <f>Итоговая!G358</f>
        <v>0</v>
      </c>
      <c r="H356" s="229">
        <f>Итоговая!H358</f>
        <v>0</v>
      </c>
      <c r="I356" s="172">
        <f>Итоговая!Q358</f>
        <v>26.630000000000003</v>
      </c>
      <c r="J356" s="2406">
        <f>Итоговая!R358</f>
        <v>0</v>
      </c>
      <c r="K356" s="2398">
        <f>Итоговая!S358</f>
        <v>0</v>
      </c>
      <c r="L356" s="259" t="str">
        <f>Итоговая!T358</f>
        <v>открыт</v>
      </c>
      <c r="M356" s="2398">
        <f>Итоговая!U358</f>
        <v>0</v>
      </c>
      <c r="N356" s="907"/>
      <c r="O356" s="907"/>
      <c r="P356" s="907"/>
    </row>
    <row r="357" spans="1:16" ht="15" hidden="1" customHeight="1" x14ac:dyDescent="0.25">
      <c r="A357" s="2419">
        <f>Итоговая!A359</f>
        <v>0</v>
      </c>
      <c r="B357" s="2441"/>
      <c r="C357" s="7" t="str">
        <f>Итоговая!C359</f>
        <v>Ном. мощность НН, МВА</v>
      </c>
      <c r="D357" s="230">
        <f>Итоговая!D359</f>
        <v>40</v>
      </c>
      <c r="E357" s="229" t="str">
        <f>Итоговая!E359</f>
        <v>+</v>
      </c>
      <c r="F357" s="229">
        <f>Итоговая!F359</f>
        <v>40</v>
      </c>
      <c r="G357" s="229">
        <f>Итоговая!G359</f>
        <v>0</v>
      </c>
      <c r="H357" s="229">
        <f>Итоговая!H359</f>
        <v>0</v>
      </c>
      <c r="I357" s="172">
        <f>Итоговая!Q359</f>
        <v>7.495000000000001</v>
      </c>
      <c r="J357" s="2407">
        <f>Итоговая!R359</f>
        <v>0</v>
      </c>
      <c r="K357" s="2398">
        <f>Итоговая!S359</f>
        <v>0</v>
      </c>
      <c r="L357" s="259" t="str">
        <f>Итоговая!T359</f>
        <v>открыт</v>
      </c>
      <c r="M357" s="2398">
        <f>Итоговая!U359</f>
        <v>0</v>
      </c>
      <c r="N357" s="907"/>
      <c r="O357" s="907"/>
      <c r="P357" s="907"/>
    </row>
    <row r="358" spans="1:16" ht="15" hidden="1" customHeight="1" x14ac:dyDescent="0.25">
      <c r="A358" s="2419">
        <f>Итоговая!A360</f>
        <v>272</v>
      </c>
      <c r="B358" s="2423">
        <f>COUNTIFS($C$8:C358,"*ПС*",$L$8:L358,"*закрыт*")</f>
        <v>53</v>
      </c>
      <c r="C358" s="212" t="str">
        <f>Итоговая!C360</f>
        <v xml:space="preserve">ПС 110/35/10 кВ Северная </v>
      </c>
      <c r="D358" s="230">
        <f>Итоговая!D360</f>
        <v>40</v>
      </c>
      <c r="E358" s="229" t="str">
        <f>Итоговая!E360</f>
        <v>+</v>
      </c>
      <c r="F358" s="229">
        <f>Итоговая!F360</f>
        <v>40</v>
      </c>
      <c r="G358" s="229">
        <f>Итоговая!G360</f>
        <v>0</v>
      </c>
      <c r="H358" s="229">
        <f>Итоговая!H360</f>
        <v>0</v>
      </c>
      <c r="I358" s="172">
        <f>Итоговая!Q360</f>
        <v>20.81</v>
      </c>
      <c r="J358" s="2420">
        <f>Итоговая!R360</f>
        <v>11.865</v>
      </c>
      <c r="K358" s="2398" t="str">
        <f>Итоговая!S360</f>
        <v>открыт</v>
      </c>
      <c r="L358" s="259" t="str">
        <f>Итоговая!T360</f>
        <v>открыт</v>
      </c>
      <c r="M358" s="2398">
        <f>Итоговая!U360</f>
        <v>72.357142857142861</v>
      </c>
      <c r="N358" s="902"/>
      <c r="O358" s="902"/>
      <c r="P358" s="902"/>
    </row>
    <row r="359" spans="1:16" ht="15" hidden="1" customHeight="1" x14ac:dyDescent="0.25">
      <c r="A359" s="2419">
        <f>Итоговая!A361</f>
        <v>0</v>
      </c>
      <c r="B359" s="2440"/>
      <c r="C359" s="7" t="str">
        <f>Итоговая!C361</f>
        <v xml:space="preserve">Ном. Мощность СН, МВА </v>
      </c>
      <c r="D359" s="230">
        <f>Итоговая!D361</f>
        <v>40</v>
      </c>
      <c r="E359" s="229" t="str">
        <f>Итоговая!E361</f>
        <v>+</v>
      </c>
      <c r="F359" s="229">
        <f>Итоговая!F361</f>
        <v>40</v>
      </c>
      <c r="G359" s="229">
        <f>Итоговая!G361</f>
        <v>0</v>
      </c>
      <c r="H359" s="229">
        <f>Итоговая!H361</f>
        <v>0</v>
      </c>
      <c r="I359" s="172">
        <f>Итоговая!Q361</f>
        <v>25.462249999999994</v>
      </c>
      <c r="J359" s="2420">
        <f>Итоговая!R361</f>
        <v>0</v>
      </c>
      <c r="K359" s="2399" t="str">
        <f>Итоговая!S361</f>
        <v>открыт</v>
      </c>
      <c r="L359" s="259" t="str">
        <f>Итоговая!T361</f>
        <v>открыт</v>
      </c>
      <c r="M359" s="2399">
        <f>Итоговая!U361</f>
        <v>0</v>
      </c>
      <c r="N359" s="902"/>
      <c r="O359" s="902"/>
      <c r="P359" s="902"/>
    </row>
    <row r="360" spans="1:16" ht="15" hidden="1" customHeight="1" x14ac:dyDescent="0.25">
      <c r="A360" s="2419">
        <f>Итоговая!A362</f>
        <v>0</v>
      </c>
      <c r="B360" s="2441"/>
      <c r="C360" s="7" t="str">
        <f>Итоговая!C362</f>
        <v>Ном. мощность НН, МВА</v>
      </c>
      <c r="D360" s="230">
        <f>Итоговая!D362</f>
        <v>40</v>
      </c>
      <c r="E360" s="229" t="str">
        <f>Итоговая!E362</f>
        <v>+</v>
      </c>
      <c r="F360" s="229">
        <f>Итоговая!F362</f>
        <v>40</v>
      </c>
      <c r="G360" s="229">
        <f>Итоговая!G362</f>
        <v>0</v>
      </c>
      <c r="H360" s="229">
        <f>Итоговая!H362</f>
        <v>0</v>
      </c>
      <c r="I360" s="172">
        <f>Итоговая!Q362</f>
        <v>11.865</v>
      </c>
      <c r="J360" s="2420">
        <f>Итоговая!R362</f>
        <v>0</v>
      </c>
      <c r="K360" s="2399" t="str">
        <f>Итоговая!S362</f>
        <v>открыт</v>
      </c>
      <c r="L360" s="259" t="str">
        <f>Итоговая!T362</f>
        <v>открыт</v>
      </c>
      <c r="M360" s="2399">
        <f>Итоговая!U362</f>
        <v>0</v>
      </c>
      <c r="N360" s="902"/>
      <c r="O360" s="902"/>
      <c r="P360" s="902"/>
    </row>
    <row r="361" spans="1:16" ht="15" hidden="1" customHeight="1" x14ac:dyDescent="0.25">
      <c r="A361" s="2419">
        <f>Итоговая!A363</f>
        <v>273</v>
      </c>
      <c r="B361" s="2423">
        <f>COUNTIFS($C$8:C361,"*ПС*",$L$8:L361,"*закрыт*")</f>
        <v>53</v>
      </c>
      <c r="C361" s="212" t="str">
        <f>Итоговая!C363</f>
        <v xml:space="preserve">ПС 110/35/10 кВ Лазурная </v>
      </c>
      <c r="D361" s="230">
        <f>Итоговая!D363</f>
        <v>40</v>
      </c>
      <c r="E361" s="229" t="str">
        <f>Итоговая!E363</f>
        <v>+</v>
      </c>
      <c r="F361" s="229">
        <f>Итоговая!F363</f>
        <v>40</v>
      </c>
      <c r="G361" s="229">
        <f>Итоговая!G363</f>
        <v>0</v>
      </c>
      <c r="H361" s="229">
        <f>Итоговая!H363</f>
        <v>0</v>
      </c>
      <c r="I361" s="172">
        <f>Итоговая!Q363</f>
        <v>14.969999999999999</v>
      </c>
      <c r="J361" s="2420">
        <f>Итоговая!R363</f>
        <v>14.969999999999999</v>
      </c>
      <c r="K361" s="2398" t="str">
        <f>Итоговая!S363</f>
        <v>открыт</v>
      </c>
      <c r="L361" s="259" t="str">
        <f>Итоговая!T363</f>
        <v>открыт</v>
      </c>
      <c r="M361" s="2398">
        <f>Итоговая!U363</f>
        <v>95.738095238095241</v>
      </c>
      <c r="N361" s="907"/>
      <c r="O361" s="907"/>
      <c r="P361" s="907"/>
    </row>
    <row r="362" spans="1:16" ht="15" hidden="1" customHeight="1" x14ac:dyDescent="0.25">
      <c r="A362" s="2419">
        <f>Итоговая!A364</f>
        <v>0</v>
      </c>
      <c r="B362" s="2440"/>
      <c r="C362" s="7" t="str">
        <f>Итоговая!C364</f>
        <v xml:space="preserve">Ном. Мощность СН, МВА </v>
      </c>
      <c r="D362" s="230">
        <f>Итоговая!D364</f>
        <v>40</v>
      </c>
      <c r="E362" s="229" t="str">
        <f>Итоговая!E364</f>
        <v>+</v>
      </c>
      <c r="F362" s="229">
        <f>Итоговая!F364</f>
        <v>40</v>
      </c>
      <c r="G362" s="229">
        <f>Итоговая!G364</f>
        <v>0</v>
      </c>
      <c r="H362" s="229">
        <f>Итоговая!H364</f>
        <v>0</v>
      </c>
      <c r="I362" s="172">
        <f>Итоговая!Q364</f>
        <v>28.419999999999998</v>
      </c>
      <c r="J362" s="2420">
        <f>Итоговая!R364</f>
        <v>0</v>
      </c>
      <c r="K362" s="2399">
        <f>Итоговая!S364</f>
        <v>0</v>
      </c>
      <c r="L362" s="259" t="str">
        <f>Итоговая!T364</f>
        <v>открыт</v>
      </c>
      <c r="M362" s="2399">
        <f>Итоговая!U364</f>
        <v>0</v>
      </c>
      <c r="N362" s="907"/>
      <c r="O362" s="907"/>
      <c r="P362" s="907"/>
    </row>
    <row r="363" spans="1:16" ht="15" hidden="1" customHeight="1" x14ac:dyDescent="0.25">
      <c r="A363" s="2419">
        <f>Итоговая!A365</f>
        <v>0</v>
      </c>
      <c r="B363" s="2441"/>
      <c r="C363" s="7" t="str">
        <f>Итоговая!C365</f>
        <v>Ном. мощность НН, МВА</v>
      </c>
      <c r="D363" s="230">
        <f>Итоговая!D365</f>
        <v>40</v>
      </c>
      <c r="E363" s="229" t="str">
        <f>Итоговая!E365</f>
        <v>+</v>
      </c>
      <c r="F363" s="229">
        <f>Итоговая!F365</f>
        <v>40</v>
      </c>
      <c r="G363" s="229">
        <f>Итоговая!G365</f>
        <v>0</v>
      </c>
      <c r="H363" s="229">
        <f>Итоговая!H365</f>
        <v>0</v>
      </c>
      <c r="I363" s="172">
        <f>Итоговая!Q365</f>
        <v>28.55</v>
      </c>
      <c r="J363" s="2420">
        <f>Итоговая!R365</f>
        <v>0</v>
      </c>
      <c r="K363" s="2399">
        <f>Итоговая!S365</f>
        <v>0</v>
      </c>
      <c r="L363" s="259" t="str">
        <f>Итоговая!T365</f>
        <v>открыт</v>
      </c>
      <c r="M363" s="2399">
        <f>Итоговая!U365</f>
        <v>0</v>
      </c>
      <c r="N363" s="907"/>
      <c r="O363" s="907"/>
      <c r="P363" s="907"/>
    </row>
    <row r="364" spans="1:16" ht="15" hidden="1" customHeight="1" x14ac:dyDescent="0.25">
      <c r="A364" s="2419">
        <f>Итоговая!A366</f>
        <v>274</v>
      </c>
      <c r="B364" s="2423">
        <f>COUNTIFS($C$8:C364,"*ПС*",$L$8:L364,"*закрыт*")</f>
        <v>53</v>
      </c>
      <c r="C364" s="212" t="str">
        <f>Итоговая!C366</f>
        <v xml:space="preserve">ПС 110/10/6 кВ Экскаваторный з-д </v>
      </c>
      <c r="D364" s="230">
        <f>Итоговая!D366</f>
        <v>40</v>
      </c>
      <c r="E364" s="229" t="str">
        <f>Итоговая!E366</f>
        <v>+</v>
      </c>
      <c r="F364" s="229">
        <f>Итоговая!F366</f>
        <v>40</v>
      </c>
      <c r="G364" s="229">
        <f>Итоговая!G366</f>
        <v>0</v>
      </c>
      <c r="H364" s="229">
        <f>Итоговая!H366</f>
        <v>0</v>
      </c>
      <c r="I364" s="172">
        <f>Итоговая!Q366</f>
        <v>19.52</v>
      </c>
      <c r="J364" s="2420">
        <f>Итоговая!R366</f>
        <v>3.8999999999999986</v>
      </c>
      <c r="K364" s="2398" t="str">
        <f>Итоговая!S366</f>
        <v>открыт</v>
      </c>
      <c r="L364" s="259" t="str">
        <f>Итоговая!T366</f>
        <v>открыт</v>
      </c>
      <c r="M364" s="2398">
        <f>Итоговая!U366</f>
        <v>53.523809523809526</v>
      </c>
      <c r="N364" s="902"/>
      <c r="O364" s="902"/>
      <c r="P364" s="902"/>
    </row>
    <row r="365" spans="1:16" ht="15" hidden="1" customHeight="1" x14ac:dyDescent="0.25">
      <c r="A365" s="2419">
        <f>Итоговая!A367</f>
        <v>0</v>
      </c>
      <c r="B365" s="2440"/>
      <c r="C365" s="7" t="str">
        <f>Итоговая!C367</f>
        <v xml:space="preserve">Ном. Мощность СН, МВА </v>
      </c>
      <c r="D365" s="230">
        <f>Итоговая!D367</f>
        <v>20</v>
      </c>
      <c r="E365" s="229" t="str">
        <f>Итоговая!E367</f>
        <v>+</v>
      </c>
      <c r="F365" s="229">
        <f>Итоговая!F367</f>
        <v>20</v>
      </c>
      <c r="G365" s="229">
        <f>Итоговая!G367</f>
        <v>0</v>
      </c>
      <c r="H365" s="229">
        <f>Итоговая!H367</f>
        <v>0</v>
      </c>
      <c r="I365" s="172">
        <f>Итоговая!Q367</f>
        <v>3.8999999999999986</v>
      </c>
      <c r="J365" s="2420">
        <f>Итоговая!R367</f>
        <v>0</v>
      </c>
      <c r="K365" s="2399" t="str">
        <f>Итоговая!S367</f>
        <v>открыт</v>
      </c>
      <c r="L365" s="259" t="str">
        <f>Итоговая!T367</f>
        <v>открыт</v>
      </c>
      <c r="M365" s="2399">
        <f>Итоговая!U367</f>
        <v>0</v>
      </c>
      <c r="N365" s="902"/>
      <c r="O365" s="902"/>
      <c r="P365" s="902"/>
    </row>
    <row r="366" spans="1:16" ht="15" hidden="1" customHeight="1" x14ac:dyDescent="0.25">
      <c r="A366" s="2419">
        <f>Итоговая!A368</f>
        <v>0</v>
      </c>
      <c r="B366" s="2441"/>
      <c r="C366" s="7" t="str">
        <f>Итоговая!C368</f>
        <v>Ном. мощность НН, МВА</v>
      </c>
      <c r="D366" s="230">
        <f>Итоговая!D368</f>
        <v>20</v>
      </c>
      <c r="E366" s="229" t="str">
        <f>Итоговая!E368</f>
        <v>+</v>
      </c>
      <c r="F366" s="229">
        <f>Итоговая!F368</f>
        <v>20</v>
      </c>
      <c r="G366" s="229">
        <f>Итоговая!G368</f>
        <v>0</v>
      </c>
      <c r="H366" s="229">
        <f>Итоговая!H368</f>
        <v>0</v>
      </c>
      <c r="I366" s="172">
        <f>Итоговая!Q368</f>
        <v>15.620000000000001</v>
      </c>
      <c r="J366" s="2420">
        <f>Итоговая!R368</f>
        <v>0</v>
      </c>
      <c r="K366" s="2399" t="str">
        <f>Итоговая!S368</f>
        <v>открыт</v>
      </c>
      <c r="L366" s="259" t="str">
        <f>Итоговая!T368</f>
        <v>открыт</v>
      </c>
      <c r="M366" s="2399">
        <f>Итоговая!U368</f>
        <v>0</v>
      </c>
      <c r="N366" s="902"/>
      <c r="O366" s="902"/>
      <c r="P366" s="902"/>
    </row>
    <row r="367" spans="1:16" ht="15" hidden="1" customHeight="1" x14ac:dyDescent="0.25">
      <c r="A367" s="2419">
        <f>Итоговая!A369</f>
        <v>275</v>
      </c>
      <c r="B367" s="2423">
        <f>COUNTIFS($C$8:C367,"*ПС*",$L$8:L367,"*закрыт*")</f>
        <v>53</v>
      </c>
      <c r="C367" s="212" t="str">
        <f>Итоговая!C369</f>
        <v xml:space="preserve">ПС 110/35/10 кВ Медновский в-ор </v>
      </c>
      <c r="D367" s="230">
        <f>Итоговая!D369</f>
        <v>10</v>
      </c>
      <c r="E367" s="229" t="str">
        <f>Итоговая!E369</f>
        <v>+</v>
      </c>
      <c r="F367" s="229">
        <f>Итоговая!F369</f>
        <v>10</v>
      </c>
      <c r="G367" s="229">
        <f>Итоговая!G369</f>
        <v>0</v>
      </c>
      <c r="H367" s="229">
        <f>Итоговая!H369</f>
        <v>0</v>
      </c>
      <c r="I367" s="172">
        <f>Итоговая!Q369</f>
        <v>6.7099999999999991</v>
      </c>
      <c r="J367" s="2420">
        <f>Итоговая!R369</f>
        <v>6.7099999999999991</v>
      </c>
      <c r="K367" s="2398" t="str">
        <f>Итоговая!S369</f>
        <v>открыт</v>
      </c>
      <c r="L367" s="259" t="str">
        <f>Итоговая!T369</f>
        <v>открыт</v>
      </c>
      <c r="M367" s="2398">
        <f>Итоговая!U369</f>
        <v>76.476190476190482</v>
      </c>
      <c r="N367" s="902"/>
      <c r="O367" s="902"/>
      <c r="P367" s="902"/>
    </row>
    <row r="368" spans="1:16" ht="15" hidden="1" customHeight="1" x14ac:dyDescent="0.25">
      <c r="A368" s="2419">
        <f>Итоговая!A370</f>
        <v>0</v>
      </c>
      <c r="B368" s="2440"/>
      <c r="C368" s="7" t="str">
        <f>Итоговая!C370</f>
        <v xml:space="preserve">Ном. Мощность СН, МВА </v>
      </c>
      <c r="D368" s="230">
        <f>Итоговая!D370</f>
        <v>10</v>
      </c>
      <c r="E368" s="229" t="str">
        <f>Итоговая!E370</f>
        <v>+</v>
      </c>
      <c r="F368" s="229">
        <f>Итоговая!F370</f>
        <v>10</v>
      </c>
      <c r="G368" s="229">
        <f>Итоговая!G370</f>
        <v>0</v>
      </c>
      <c r="H368" s="229">
        <f>Итоговая!H370</f>
        <v>0</v>
      </c>
      <c r="I368" s="172">
        <f>Итоговая!Q370</f>
        <v>8.59</v>
      </c>
      <c r="J368" s="2420">
        <f>Итоговая!R370</f>
        <v>0</v>
      </c>
      <c r="K368" s="2399" t="str">
        <f>Итоговая!S370</f>
        <v>открыт</v>
      </c>
      <c r="L368" s="259" t="str">
        <f>Итоговая!T370</f>
        <v>открыт</v>
      </c>
      <c r="M368" s="2399">
        <f>Итоговая!U370</f>
        <v>0</v>
      </c>
      <c r="N368" s="902"/>
      <c r="O368" s="902"/>
      <c r="P368" s="902"/>
    </row>
    <row r="369" spans="1:16" s="232" customFormat="1" ht="15" hidden="1" customHeight="1" x14ac:dyDescent="0.25">
      <c r="A369" s="2419">
        <f>Итоговая!A371</f>
        <v>0</v>
      </c>
      <c r="B369" s="2441"/>
      <c r="C369" s="7" t="str">
        <f>Итоговая!C371</f>
        <v>Ном. мощность НН, МВА</v>
      </c>
      <c r="D369" s="230">
        <f>Итоговая!D371</f>
        <v>10</v>
      </c>
      <c r="E369" s="229" t="str">
        <f>Итоговая!E371</f>
        <v>+</v>
      </c>
      <c r="F369" s="229">
        <f>Итоговая!F371</f>
        <v>10</v>
      </c>
      <c r="G369" s="229">
        <f>Итоговая!G371</f>
        <v>0</v>
      </c>
      <c r="H369" s="229">
        <f>Итоговая!H371</f>
        <v>0</v>
      </c>
      <c r="I369" s="172">
        <f>Итоговая!Q371</f>
        <v>8.620000000000001</v>
      </c>
      <c r="J369" s="2420">
        <f>Итоговая!R371</f>
        <v>0</v>
      </c>
      <c r="K369" s="2399" t="str">
        <f>Итоговая!S371</f>
        <v>открыт</v>
      </c>
      <c r="L369" s="259" t="str">
        <f>Итоговая!T371</f>
        <v>открыт</v>
      </c>
      <c r="M369" s="2399">
        <f>Итоговая!U371</f>
        <v>0</v>
      </c>
      <c r="N369" s="902"/>
      <c r="O369" s="902"/>
      <c r="P369" s="902"/>
    </row>
    <row r="370" spans="1:16" s="232" customFormat="1" ht="15" hidden="1" customHeight="1" x14ac:dyDescent="0.25">
      <c r="A370" s="2419">
        <f>Итоговая!A372</f>
        <v>276</v>
      </c>
      <c r="B370" s="2423">
        <f>COUNTIFS($C$8:C370,"*ПС*",$L$8:L370,"*закрыт*")</f>
        <v>53</v>
      </c>
      <c r="C370" s="212" t="str">
        <f>Итоговая!C372</f>
        <v xml:space="preserve">ПС 110/35/10 кВ Лихославль </v>
      </c>
      <c r="D370" s="230">
        <f>Итоговая!D372</f>
        <v>25</v>
      </c>
      <c r="E370" s="229" t="str">
        <f>Итоговая!E372</f>
        <v>+</v>
      </c>
      <c r="F370" s="229">
        <f>Итоговая!F372</f>
        <v>25</v>
      </c>
      <c r="G370" s="229">
        <f>Итоговая!G372</f>
        <v>0</v>
      </c>
      <c r="H370" s="229">
        <f>Итоговая!H372</f>
        <v>0</v>
      </c>
      <c r="I370" s="172">
        <f>Итоговая!Q372</f>
        <v>11.379999999999999</v>
      </c>
      <c r="J370" s="2420">
        <f>Итоговая!R372</f>
        <v>10.1206</v>
      </c>
      <c r="K370" s="2398" t="str">
        <f>Итоговая!S372</f>
        <v>открыт</v>
      </c>
      <c r="L370" s="259" t="str">
        <f>Итоговая!T372</f>
        <v>открыт</v>
      </c>
      <c r="M370" s="2398">
        <f>Итоговая!U372</f>
        <v>62.019047619047619</v>
      </c>
      <c r="N370" s="902"/>
      <c r="O370" s="902"/>
      <c r="P370" s="902"/>
    </row>
    <row r="371" spans="1:16" s="232" customFormat="1" ht="15" hidden="1" customHeight="1" x14ac:dyDescent="0.25">
      <c r="A371" s="2419">
        <f>Итоговая!A373</f>
        <v>0</v>
      </c>
      <c r="B371" s="2440"/>
      <c r="C371" s="7" t="str">
        <f>Итоговая!C373</f>
        <v xml:space="preserve">Ном. Мощность СН, МВА </v>
      </c>
      <c r="D371" s="230">
        <f>Итоговая!D373</f>
        <v>25</v>
      </c>
      <c r="E371" s="229" t="str">
        <f>Итоговая!E373</f>
        <v>+</v>
      </c>
      <c r="F371" s="229">
        <f>Итоговая!F373</f>
        <v>25</v>
      </c>
      <c r="G371" s="229">
        <f>Итоговая!G373</f>
        <v>0</v>
      </c>
      <c r="H371" s="229">
        <f>Итоговая!H373</f>
        <v>0</v>
      </c>
      <c r="I371" s="172">
        <f>Итоговая!Q373</f>
        <v>20.67</v>
      </c>
      <c r="J371" s="2420">
        <f>Итоговая!R373</f>
        <v>0</v>
      </c>
      <c r="K371" s="2399">
        <f>Итоговая!S373</f>
        <v>0</v>
      </c>
      <c r="L371" s="259" t="str">
        <f>Итоговая!T373</f>
        <v>открыт</v>
      </c>
      <c r="M371" s="2399">
        <f>Итоговая!U373</f>
        <v>0</v>
      </c>
      <c r="N371" s="902"/>
      <c r="O371" s="902"/>
      <c r="P371" s="902"/>
    </row>
    <row r="372" spans="1:16" s="232" customFormat="1" ht="15" hidden="1" customHeight="1" x14ac:dyDescent="0.25">
      <c r="A372" s="2419">
        <f>Итоговая!A374</f>
        <v>0</v>
      </c>
      <c r="B372" s="2441"/>
      <c r="C372" s="7" t="str">
        <f>Итоговая!C374</f>
        <v>Ном. мощность НН, МВА</v>
      </c>
      <c r="D372" s="230">
        <f>Итоговая!D374</f>
        <v>25</v>
      </c>
      <c r="E372" s="229" t="str">
        <f>Итоговая!E374</f>
        <v>+</v>
      </c>
      <c r="F372" s="229">
        <f>Итоговая!F374</f>
        <v>25</v>
      </c>
      <c r="G372" s="229">
        <f>Итоговая!G374</f>
        <v>0</v>
      </c>
      <c r="H372" s="229">
        <f>Итоговая!H374</f>
        <v>0</v>
      </c>
      <c r="I372" s="172">
        <f>Итоговая!Q374</f>
        <v>10.1206</v>
      </c>
      <c r="J372" s="2420">
        <f>Итоговая!R374</f>
        <v>0</v>
      </c>
      <c r="K372" s="2399">
        <f>Итоговая!S374</f>
        <v>0</v>
      </c>
      <c r="L372" s="259" t="str">
        <f>Итоговая!T374</f>
        <v>открыт</v>
      </c>
      <c r="M372" s="2399">
        <f>Итоговая!U374</f>
        <v>0</v>
      </c>
      <c r="N372" s="902"/>
      <c r="O372" s="902"/>
      <c r="P372" s="902"/>
    </row>
    <row r="373" spans="1:16" s="232" customFormat="1" ht="15" hidden="1" customHeight="1" x14ac:dyDescent="0.25">
      <c r="A373" s="2419">
        <f>Итоговая!A375</f>
        <v>277</v>
      </c>
      <c r="B373" s="2423">
        <f>COUNTIFS($C$8:C373,"*ПС*",$L$8:L373,"*закрыт*")</f>
        <v>53</v>
      </c>
      <c r="C373" s="212" t="str">
        <f>Итоговая!C375</f>
        <v xml:space="preserve">ПС 110/35/6 кВ Безбородово </v>
      </c>
      <c r="D373" s="230">
        <f>Итоговая!D375</f>
        <v>16</v>
      </c>
      <c r="E373" s="229" t="str">
        <f>Итоговая!E375</f>
        <v>+</v>
      </c>
      <c r="F373" s="229">
        <f>Итоговая!F375</f>
        <v>16</v>
      </c>
      <c r="G373" s="229">
        <f>Итоговая!G375</f>
        <v>0</v>
      </c>
      <c r="H373" s="229">
        <f>Итоговая!H375</f>
        <v>0</v>
      </c>
      <c r="I373" s="172">
        <f>Итоговая!Q375</f>
        <v>8.6300000000000008</v>
      </c>
      <c r="J373" s="2420">
        <f>Итоговая!R375</f>
        <v>8.6300000000000008</v>
      </c>
      <c r="K373" s="2398" t="str">
        <f>Итоговая!S375</f>
        <v>открыт</v>
      </c>
      <c r="L373" s="259" t="str">
        <f>Итоговая!T375</f>
        <v>открыт</v>
      </c>
      <c r="M373" s="2398">
        <f>Итоговая!U375</f>
        <v>72.38095238095238</v>
      </c>
      <c r="N373" s="902"/>
      <c r="O373" s="902"/>
      <c r="P373" s="902"/>
    </row>
    <row r="374" spans="1:16" s="232" customFormat="1" ht="15" hidden="1" customHeight="1" x14ac:dyDescent="0.25">
      <c r="A374" s="2419">
        <f>Итоговая!A376</f>
        <v>0</v>
      </c>
      <c r="B374" s="2440"/>
      <c r="C374" s="7" t="str">
        <f>Итоговая!C376</f>
        <v xml:space="preserve">Ном. Мощность СН, МВА </v>
      </c>
      <c r="D374" s="230">
        <f>Итоговая!D376</f>
        <v>16</v>
      </c>
      <c r="E374" s="229" t="str">
        <f>Итоговая!E376</f>
        <v>+</v>
      </c>
      <c r="F374" s="229">
        <f>Итоговая!F376</f>
        <v>16</v>
      </c>
      <c r="G374" s="229">
        <f>Итоговая!G376</f>
        <v>0</v>
      </c>
      <c r="H374" s="229">
        <f>Итоговая!H376</f>
        <v>0</v>
      </c>
      <c r="I374" s="172">
        <f>Итоговая!Q376</f>
        <v>8.6300000000000008</v>
      </c>
      <c r="J374" s="2420">
        <f>Итоговая!R376</f>
        <v>0</v>
      </c>
      <c r="K374" s="2399" t="str">
        <f>Итоговая!S376</f>
        <v>открыт</v>
      </c>
      <c r="L374" s="259" t="str">
        <f>Итоговая!T376</f>
        <v>открыт</v>
      </c>
      <c r="M374" s="2399">
        <f>Итоговая!U376</f>
        <v>0</v>
      </c>
      <c r="N374" s="902"/>
      <c r="O374" s="902"/>
      <c r="P374" s="902"/>
    </row>
    <row r="375" spans="1:16" s="232" customFormat="1" ht="15" hidden="1" customHeight="1" x14ac:dyDescent="0.25">
      <c r="A375" s="2419">
        <f>Итоговая!A377</f>
        <v>0</v>
      </c>
      <c r="B375" s="2441"/>
      <c r="C375" s="7" t="str">
        <f>Итоговая!C377</f>
        <v>Ном. мощность НН, МВА</v>
      </c>
      <c r="D375" s="230">
        <f>Итоговая!D377</f>
        <v>16</v>
      </c>
      <c r="E375" s="229" t="str">
        <f>Итоговая!E377</f>
        <v>+</v>
      </c>
      <c r="F375" s="229">
        <f>Итоговая!F377</f>
        <v>16</v>
      </c>
      <c r="G375" s="229">
        <f>Итоговая!G377</f>
        <v>0</v>
      </c>
      <c r="H375" s="229">
        <f>Итоговая!H377</f>
        <v>0</v>
      </c>
      <c r="I375" s="172">
        <f>Итоговая!Q377</f>
        <v>16.8</v>
      </c>
      <c r="J375" s="2420">
        <f>Итоговая!R377</f>
        <v>0</v>
      </c>
      <c r="K375" s="2399" t="str">
        <f>Итоговая!S377</f>
        <v>открыт</v>
      </c>
      <c r="L375" s="259" t="str">
        <f>Итоговая!T377</f>
        <v>открыт</v>
      </c>
      <c r="M375" s="2399">
        <f>Итоговая!U377</f>
        <v>0</v>
      </c>
      <c r="N375" s="902"/>
      <c r="O375" s="902"/>
      <c r="P375" s="902"/>
    </row>
    <row r="376" spans="1:16" s="232" customFormat="1" ht="15" hidden="1" customHeight="1" x14ac:dyDescent="0.25">
      <c r="A376" s="2419">
        <f>Итоговая!A378</f>
        <v>278</v>
      </c>
      <c r="B376" s="2423">
        <f>COUNTIFS($C$8:C376,"*ПС*",$L$8:L376,"*закрыт*")</f>
        <v>53</v>
      </c>
      <c r="C376" s="212" t="str">
        <f>Итоговая!C378</f>
        <v xml:space="preserve">ПС 110/35/6 кВ Редкино  </v>
      </c>
      <c r="D376" s="230">
        <f>Итоговая!D378</f>
        <v>40</v>
      </c>
      <c r="E376" s="229" t="str">
        <f>Итоговая!E378</f>
        <v>+</v>
      </c>
      <c r="F376" s="229">
        <f>Итоговая!F378</f>
        <v>40.5</v>
      </c>
      <c r="G376" s="229">
        <f>Итоговая!G378</f>
        <v>0</v>
      </c>
      <c r="H376" s="229">
        <f>Итоговая!H378</f>
        <v>0</v>
      </c>
      <c r="I376" s="172">
        <f>Итоговая!Q378</f>
        <v>27.449999999999996</v>
      </c>
      <c r="J376" s="2420">
        <f>Итоговая!R378</f>
        <v>19.454099999999997</v>
      </c>
      <c r="K376" s="2398" t="str">
        <f>Итоговая!S378</f>
        <v>открыт</v>
      </c>
      <c r="L376" s="259" t="str">
        <f>Итоговая!T378</f>
        <v>открыт</v>
      </c>
      <c r="M376" s="2398">
        <f>Итоговая!U378</f>
        <v>64.642857142857139</v>
      </c>
      <c r="N376" s="902"/>
      <c r="O376" s="902"/>
      <c r="P376" s="902"/>
    </row>
    <row r="377" spans="1:16" s="232" customFormat="1" ht="15" hidden="1" customHeight="1" x14ac:dyDescent="0.25">
      <c r="A377" s="2419">
        <f>Итоговая!A379</f>
        <v>0</v>
      </c>
      <c r="B377" s="2440"/>
      <c r="C377" s="7" t="str">
        <f>Итоговая!C379</f>
        <v xml:space="preserve">Ном. Мощность СН, МВА </v>
      </c>
      <c r="D377" s="230">
        <f>Итоговая!D379</f>
        <v>40</v>
      </c>
      <c r="E377" s="229" t="str">
        <f>Итоговая!E379</f>
        <v>+</v>
      </c>
      <c r="F377" s="229">
        <f>Итоговая!F379</f>
        <v>40.5</v>
      </c>
      <c r="G377" s="229">
        <f>Итоговая!G379</f>
        <v>0</v>
      </c>
      <c r="H377" s="229">
        <f>Итоговая!H379</f>
        <v>0</v>
      </c>
      <c r="I377" s="172">
        <f>Итоговая!Q379</f>
        <v>19.454099999999997</v>
      </c>
      <c r="J377" s="2420">
        <f>Итоговая!R379</f>
        <v>0</v>
      </c>
      <c r="K377" s="2399">
        <f>Итоговая!S379</f>
        <v>0</v>
      </c>
      <c r="L377" s="259" t="str">
        <f>Итоговая!T379</f>
        <v>открыт</v>
      </c>
      <c r="M377" s="2399">
        <f>Итоговая!U379</f>
        <v>0</v>
      </c>
      <c r="N377" s="902"/>
      <c r="O377" s="902"/>
      <c r="P377" s="902"/>
    </row>
    <row r="378" spans="1:16" s="232" customFormat="1" ht="15" hidden="1" customHeight="1" x14ac:dyDescent="0.25">
      <c r="A378" s="2419">
        <f>Итоговая!A380</f>
        <v>0</v>
      </c>
      <c r="B378" s="2441"/>
      <c r="C378" s="7" t="str">
        <f>Итоговая!C380</f>
        <v>Ном. мощность НН, МВА</v>
      </c>
      <c r="D378" s="230">
        <f>Итоговая!D380</f>
        <v>40</v>
      </c>
      <c r="E378" s="229" t="str">
        <f>Итоговая!E380</f>
        <v>+</v>
      </c>
      <c r="F378" s="229">
        <f>Итоговая!F380</f>
        <v>40.5</v>
      </c>
      <c r="G378" s="229">
        <f>Итоговая!G380</f>
        <v>0</v>
      </c>
      <c r="H378" s="229">
        <f>Итоговая!H380</f>
        <v>0</v>
      </c>
      <c r="I378" s="172">
        <f>Итоговая!Q380</f>
        <v>35.97</v>
      </c>
      <c r="J378" s="2420">
        <f>Итоговая!R380</f>
        <v>0</v>
      </c>
      <c r="K378" s="2399">
        <f>Итоговая!S380</f>
        <v>0</v>
      </c>
      <c r="L378" s="259" t="str">
        <f>Итоговая!T380</f>
        <v>открыт</v>
      </c>
      <c r="M378" s="2399">
        <f>Итоговая!U380</f>
        <v>0</v>
      </c>
      <c r="N378" s="902"/>
      <c r="O378" s="902"/>
      <c r="P378" s="902"/>
    </row>
    <row r="379" spans="1:16" s="232" customFormat="1" ht="15" hidden="1" customHeight="1" x14ac:dyDescent="0.25">
      <c r="A379" s="2419">
        <f>Итоговая!A381</f>
        <v>279</v>
      </c>
      <c r="B379" s="2423">
        <f>COUNTIFS($C$8:C379,"*ПС*",$L$8:L379,"*закрыт*")</f>
        <v>53</v>
      </c>
      <c r="C379" s="212" t="str">
        <f>Итоговая!C381</f>
        <v xml:space="preserve">ПС 110/35/10 кВ Рамешки </v>
      </c>
      <c r="D379" s="230">
        <f>Итоговая!D381</f>
        <v>10</v>
      </c>
      <c r="E379" s="229" t="str">
        <f>Итоговая!E381</f>
        <v>+</v>
      </c>
      <c r="F379" s="229">
        <f>Итоговая!F381</f>
        <v>25</v>
      </c>
      <c r="G379" s="229">
        <f>Итоговая!G381</f>
        <v>0</v>
      </c>
      <c r="H379" s="229">
        <f>Итоговая!H381</f>
        <v>0</v>
      </c>
      <c r="I379" s="172">
        <f>Итоговая!Q381</f>
        <v>5.83</v>
      </c>
      <c r="J379" s="2420">
        <f>Итоговая!R381</f>
        <v>5.83</v>
      </c>
      <c r="K379" s="2398" t="str">
        <f>Итоговая!S381</f>
        <v>открыт</v>
      </c>
      <c r="L379" s="259" t="str">
        <f>Итоговая!T381</f>
        <v>открыт</v>
      </c>
      <c r="M379" s="2398">
        <f>Итоговая!U381</f>
        <v>57.428571428571431</v>
      </c>
      <c r="N379" s="902"/>
      <c r="O379" s="902"/>
      <c r="P379" s="902"/>
    </row>
    <row r="380" spans="1:16" s="232" customFormat="1" ht="15" hidden="1" customHeight="1" x14ac:dyDescent="0.25">
      <c r="A380" s="2419">
        <f>Итоговая!A382</f>
        <v>0</v>
      </c>
      <c r="B380" s="2440"/>
      <c r="C380" s="7" t="str">
        <f>Итоговая!C382</f>
        <v xml:space="preserve">Ном. Мощность СН, МВА </v>
      </c>
      <c r="D380" s="230">
        <f>Итоговая!D382</f>
        <v>10</v>
      </c>
      <c r="E380" s="229" t="str">
        <f>Итоговая!E382</f>
        <v>+</v>
      </c>
      <c r="F380" s="229">
        <f>Итоговая!F382</f>
        <v>25</v>
      </c>
      <c r="G380" s="229">
        <f>Итоговая!G382</f>
        <v>0</v>
      </c>
      <c r="H380" s="229">
        <f>Итоговая!H382</f>
        <v>0</v>
      </c>
      <c r="I380" s="172">
        <f>Итоговая!Q382</f>
        <v>8.89</v>
      </c>
      <c r="J380" s="2420">
        <f>Итоговая!R382</f>
        <v>0</v>
      </c>
      <c r="K380" s="2399">
        <f>Итоговая!S382</f>
        <v>0</v>
      </c>
      <c r="L380" s="259" t="str">
        <f>Итоговая!T382</f>
        <v>открыт</v>
      </c>
      <c r="M380" s="2399">
        <f>Итоговая!U382</f>
        <v>0</v>
      </c>
      <c r="N380" s="902"/>
      <c r="O380" s="902"/>
      <c r="P380" s="902"/>
    </row>
    <row r="381" spans="1:16" s="232" customFormat="1" ht="15" hidden="1" customHeight="1" x14ac:dyDescent="0.25">
      <c r="A381" s="2419">
        <f>Итоговая!A383</f>
        <v>0</v>
      </c>
      <c r="B381" s="2441"/>
      <c r="C381" s="7" t="str">
        <f>Итоговая!C383</f>
        <v>Ном. мощность НН, МВА</v>
      </c>
      <c r="D381" s="230">
        <f>Итоговая!D383</f>
        <v>10</v>
      </c>
      <c r="E381" s="229" t="str">
        <f>Итоговая!E383</f>
        <v>+</v>
      </c>
      <c r="F381" s="229">
        <f>Итоговая!F383</f>
        <v>25</v>
      </c>
      <c r="G381" s="229">
        <f>Итоговая!G383</f>
        <v>0</v>
      </c>
      <c r="H381" s="229">
        <f>Итоговая!H383</f>
        <v>0</v>
      </c>
      <c r="I381" s="172">
        <f>Итоговая!Q383</f>
        <v>7.4399999999999995</v>
      </c>
      <c r="J381" s="2420">
        <f>Итоговая!R383</f>
        <v>0</v>
      </c>
      <c r="K381" s="2399">
        <f>Итоговая!S383</f>
        <v>0</v>
      </c>
      <c r="L381" s="259" t="str">
        <f>Итоговая!T383</f>
        <v>открыт</v>
      </c>
      <c r="M381" s="2399">
        <f>Итоговая!U383</f>
        <v>0</v>
      </c>
      <c r="N381" s="902"/>
      <c r="O381" s="902"/>
      <c r="P381" s="902"/>
    </row>
    <row r="382" spans="1:16" s="232" customFormat="1" ht="15" hidden="1" customHeight="1" x14ac:dyDescent="0.25">
      <c r="A382" s="2419">
        <f>Итоговая!A384</f>
        <v>280</v>
      </c>
      <c r="B382" s="2423">
        <f>COUNTIFS($C$8:C382,"*ПС*",$L$8:L382,"*закрыт*")</f>
        <v>53</v>
      </c>
      <c r="C382" s="212" t="str">
        <f>Итоговая!C384</f>
        <v xml:space="preserve">ПС 110/35/10 кВ Тучево </v>
      </c>
      <c r="D382" s="230">
        <f>Итоговая!D384</f>
        <v>25</v>
      </c>
      <c r="E382" s="229" t="str">
        <f>Итоговая!E384</f>
        <v>+</v>
      </c>
      <c r="F382" s="229">
        <f>Итоговая!F384</f>
        <v>25</v>
      </c>
      <c r="G382" s="229">
        <f>Итоговая!G384</f>
        <v>0</v>
      </c>
      <c r="H382" s="229">
        <f>Итоговая!H384</f>
        <v>0</v>
      </c>
      <c r="I382" s="172">
        <f>Итоговая!Q384</f>
        <v>24.690999999999999</v>
      </c>
      <c r="J382" s="2420">
        <f>Итоговая!R384</f>
        <v>14.451000000000002</v>
      </c>
      <c r="K382" s="2398" t="str">
        <f>Итоговая!S384</f>
        <v>открыт</v>
      </c>
      <c r="L382" s="259" t="str">
        <f>Итоговая!T384</f>
        <v>открыт</v>
      </c>
      <c r="M382" s="2398">
        <f>Итоговая!U384</f>
        <v>5.9390476190476189</v>
      </c>
      <c r="N382" s="902"/>
      <c r="O382" s="902"/>
      <c r="P382" s="902"/>
    </row>
    <row r="383" spans="1:16" s="232" customFormat="1" ht="15" hidden="1" customHeight="1" x14ac:dyDescent="0.25">
      <c r="A383" s="2419">
        <f>Итоговая!A385</f>
        <v>0</v>
      </c>
      <c r="B383" s="2440"/>
      <c r="C383" s="7" t="str">
        <f>Итоговая!C385</f>
        <v xml:space="preserve">Ном. Мощность СН, МВА </v>
      </c>
      <c r="D383" s="230">
        <f>Итоговая!D385</f>
        <v>25</v>
      </c>
      <c r="E383" s="229" t="str">
        <f>Итоговая!E385</f>
        <v>+</v>
      </c>
      <c r="F383" s="229">
        <f>Итоговая!F385</f>
        <v>25</v>
      </c>
      <c r="G383" s="229">
        <f>Итоговая!G385</f>
        <v>0</v>
      </c>
      <c r="H383" s="229">
        <f>Итоговая!H385</f>
        <v>0</v>
      </c>
      <c r="I383" s="172">
        <f>Итоговая!Q385</f>
        <v>24.71</v>
      </c>
      <c r="J383" s="2420">
        <f>Итоговая!R385</f>
        <v>0</v>
      </c>
      <c r="K383" s="2399">
        <f>Итоговая!S385</f>
        <v>0</v>
      </c>
      <c r="L383" s="259" t="str">
        <f>Итоговая!T385</f>
        <v>открыт</v>
      </c>
      <c r="M383" s="2399">
        <f>Итоговая!U385</f>
        <v>0</v>
      </c>
      <c r="N383" s="902"/>
      <c r="O383" s="902"/>
      <c r="P383" s="902"/>
    </row>
    <row r="384" spans="1:16" ht="20.100000000000001" hidden="1" customHeight="1" x14ac:dyDescent="0.25">
      <c r="A384" s="2419">
        <f>Итоговая!A386</f>
        <v>0</v>
      </c>
      <c r="B384" s="2441"/>
      <c r="C384" s="7" t="str">
        <f>Итоговая!C386</f>
        <v>Ном. мощность НН, МВА</v>
      </c>
      <c r="D384" s="230">
        <f>Итоговая!D386</f>
        <v>25</v>
      </c>
      <c r="E384" s="229" t="str">
        <f>Итоговая!E386</f>
        <v>+</v>
      </c>
      <c r="F384" s="229">
        <f>Итоговая!F386</f>
        <v>25</v>
      </c>
      <c r="G384" s="229">
        <f>Итоговая!G386</f>
        <v>0</v>
      </c>
      <c r="H384" s="229">
        <f>Итоговая!H386</f>
        <v>0</v>
      </c>
      <c r="I384" s="172">
        <f>Итоговая!Q386</f>
        <v>14.451000000000002</v>
      </c>
      <c r="J384" s="2420">
        <f>Итоговая!R386</f>
        <v>0</v>
      </c>
      <c r="K384" s="2399">
        <f>Итоговая!S386</f>
        <v>0</v>
      </c>
      <c r="L384" s="259" t="str">
        <f>Итоговая!T386</f>
        <v>открыт</v>
      </c>
      <c r="M384" s="2399">
        <f>Итоговая!U386</f>
        <v>0</v>
      </c>
      <c r="N384" s="902"/>
      <c r="O384" s="902"/>
      <c r="P384" s="902"/>
    </row>
    <row r="385" spans="1:48" s="232" customFormat="1" ht="15" hidden="1" customHeight="1" x14ac:dyDescent="0.25">
      <c r="A385" s="212">
        <f>Итоговая!A387</f>
        <v>281</v>
      </c>
      <c r="B385" s="212">
        <f>COUNTIFS($C$8:C385,"*ПС*",$L$8:L385,"*закрыт*")</f>
        <v>53</v>
      </c>
      <c r="C385" s="245" t="str">
        <f>Итоговая!C387</f>
        <v>ПС  35/10 кВ Страшевичи</v>
      </c>
      <c r="D385" s="246">
        <f>Итоговая!D387</f>
        <v>2.5</v>
      </c>
      <c r="E385" s="247">
        <f>Итоговая!E387</f>
        <v>0</v>
      </c>
      <c r="F385" s="247">
        <f>Итоговая!F387</f>
        <v>0</v>
      </c>
      <c r="G385" s="247">
        <f>Итоговая!G387</f>
        <v>0</v>
      </c>
      <c r="H385" s="247">
        <f>Итоговая!H387</f>
        <v>0</v>
      </c>
      <c r="I385" s="250">
        <f>Итоговая!Q387</f>
        <v>0</v>
      </c>
      <c r="J385" s="250">
        <f>Итоговая!R387</f>
        <v>0</v>
      </c>
      <c r="K385" s="757" t="str">
        <f>Итоговая!S387</f>
        <v>открыт</v>
      </c>
      <c r="L385" s="259" t="str">
        <f>Итоговая!T387</f>
        <v>открыт</v>
      </c>
      <c r="M385" s="757">
        <f>Итоговая!U387</f>
        <v>39.238095238095241</v>
      </c>
      <c r="N385" s="907"/>
      <c r="O385" s="907"/>
      <c r="P385" s="907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3"/>
      <c r="AU385" s="233"/>
      <c r="AV385" s="233"/>
    </row>
    <row r="386" spans="1:48" ht="20.100000000000001" hidden="1" customHeight="1" x14ac:dyDescent="0.25">
      <c r="A386" s="212">
        <f>Итоговая!A388</f>
        <v>282</v>
      </c>
      <c r="B386" s="212">
        <f>COUNTIFS($C$8:C386,"*ПС*",$L$8:L386,"*закрыт*")</f>
        <v>53</v>
      </c>
      <c r="C386" s="245" t="str">
        <f>Итоговая!C388</f>
        <v xml:space="preserve">ПС 35/10 кВ Сукромля </v>
      </c>
      <c r="D386" s="246">
        <f>Итоговая!D388</f>
        <v>2.5</v>
      </c>
      <c r="E386" s="247">
        <f>Итоговая!E388</f>
        <v>0</v>
      </c>
      <c r="F386" s="247">
        <f>Итоговая!F388</f>
        <v>0</v>
      </c>
      <c r="G386" s="247">
        <f>Итоговая!G388</f>
        <v>0</v>
      </c>
      <c r="H386" s="247">
        <f>Итоговая!H388</f>
        <v>0</v>
      </c>
      <c r="I386" s="250">
        <f>Итоговая!Q388</f>
        <v>0</v>
      </c>
      <c r="J386" s="250">
        <f>Итоговая!R388</f>
        <v>0</v>
      </c>
      <c r="K386" s="757" t="str">
        <f>Итоговая!S388</f>
        <v>открыт</v>
      </c>
      <c r="L386" s="259" t="str">
        <f>Итоговая!T388</f>
        <v>открыт</v>
      </c>
      <c r="M386" s="757">
        <f>Итоговая!U388</f>
        <v>15.238095238095237</v>
      </c>
      <c r="N386" s="902"/>
      <c r="O386" s="902"/>
      <c r="P386" s="902"/>
    </row>
    <row r="387" spans="1:48" s="232" customFormat="1" ht="15" customHeight="1" x14ac:dyDescent="0.25">
      <c r="A387" s="212">
        <f>Итоговая!A389</f>
        <v>283</v>
      </c>
      <c r="B387" s="212">
        <f>COUNTIFS($C$8:C387,"*ПС*",$L$8:L387,"*закрыт*")</f>
        <v>54</v>
      </c>
      <c r="C387" s="245" t="str">
        <f>Итоговая!C389</f>
        <v xml:space="preserve">ПС 35/10 кВ Кр. Городок </v>
      </c>
      <c r="D387" s="246">
        <f>Итоговая!D389</f>
        <v>0.56000000000000005</v>
      </c>
      <c r="E387" s="247">
        <f>Итоговая!E389</f>
        <v>0</v>
      </c>
      <c r="F387" s="247">
        <f>Итоговая!F389</f>
        <v>0</v>
      </c>
      <c r="G387" s="247">
        <f>Итоговая!G389</f>
        <v>0</v>
      </c>
      <c r="H387" s="247">
        <f>Итоговая!H389</f>
        <v>0</v>
      </c>
      <c r="I387" s="250">
        <f>Итоговая!Q389</f>
        <v>-0.02</v>
      </c>
      <c r="J387" s="250">
        <f>Итоговая!R389</f>
        <v>-0.02</v>
      </c>
      <c r="K387" s="245" t="str">
        <f>Итоговая!S389</f>
        <v>закрыт</v>
      </c>
      <c r="L387" s="259" t="str">
        <f>Итоговая!T389</f>
        <v>закрыт</v>
      </c>
      <c r="M387" s="757">
        <f>Итоговая!U389</f>
        <v>3.4013605442176864</v>
      </c>
      <c r="N387" s="907"/>
      <c r="O387" s="907"/>
      <c r="P387" s="907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3"/>
      <c r="AU387" s="233"/>
      <c r="AV387" s="233"/>
    </row>
    <row r="388" spans="1:48" s="232" customFormat="1" ht="15" customHeight="1" x14ac:dyDescent="0.25">
      <c r="A388" s="212">
        <f>Итоговая!A390</f>
        <v>284</v>
      </c>
      <c r="B388" s="212">
        <f>COUNTIFS($C$8:C388,"*ПС*",$L$8:L388,"*закрыт*")</f>
        <v>55</v>
      </c>
      <c r="C388" s="245" t="str">
        <f>Итоговая!C390</f>
        <v xml:space="preserve">ПС 35/10 кВ Прямухино </v>
      </c>
      <c r="D388" s="246">
        <f>Итоговая!D390</f>
        <v>2.5</v>
      </c>
      <c r="E388" s="247">
        <f>Итоговая!E390</f>
        <v>0</v>
      </c>
      <c r="F388" s="247">
        <f>Итоговая!F390</f>
        <v>0</v>
      </c>
      <c r="G388" s="247">
        <f>Итоговая!G390</f>
        <v>0</v>
      </c>
      <c r="H388" s="247">
        <f>Итоговая!H390</f>
        <v>0</v>
      </c>
      <c r="I388" s="250">
        <f>Итоговая!Q390</f>
        <v>-0.31999999999999995</v>
      </c>
      <c r="J388" s="250">
        <f>Итоговая!R390</f>
        <v>-0.31999999999999995</v>
      </c>
      <c r="K388" s="245" t="str">
        <f>Итоговая!S390</f>
        <v>закрыт</v>
      </c>
      <c r="L388" s="259" t="str">
        <f>Итоговая!T390</f>
        <v>закрыт</v>
      </c>
      <c r="M388" s="757">
        <f>Итоговая!U390</f>
        <v>21.714285714285712</v>
      </c>
      <c r="N388" s="907"/>
      <c r="O388" s="907"/>
      <c r="P388" s="907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  <c r="AT388" s="233"/>
      <c r="AU388" s="233"/>
      <c r="AV388" s="233"/>
    </row>
    <row r="389" spans="1:48" s="232" customFormat="1" ht="15" customHeight="1" x14ac:dyDescent="0.25">
      <c r="A389" s="212">
        <f>Итоговая!A391</f>
        <v>285</v>
      </c>
      <c r="B389" s="212">
        <f>COUNTIFS($C$8:C389,"*ПС*",$L$8:L389,"*закрыт*")</f>
        <v>56</v>
      </c>
      <c r="C389" s="245" t="str">
        <f>Итоговая!C391</f>
        <v xml:space="preserve">ПС 35/10 кВ Пень  </v>
      </c>
      <c r="D389" s="246">
        <f>Итоговая!D391</f>
        <v>1.6</v>
      </c>
      <c r="E389" s="247">
        <f>Итоговая!E391</f>
        <v>0</v>
      </c>
      <c r="F389" s="247">
        <f>Итоговая!F391</f>
        <v>0</v>
      </c>
      <c r="G389" s="247">
        <f>Итоговая!G391</f>
        <v>0</v>
      </c>
      <c r="H389" s="247">
        <f>Итоговая!H391</f>
        <v>0</v>
      </c>
      <c r="I389" s="250">
        <f>Итоговая!Q391</f>
        <v>-0.09</v>
      </c>
      <c r="J389" s="250">
        <f>Итоговая!R391</f>
        <v>-0.09</v>
      </c>
      <c r="K389" s="245" t="str">
        <f>Итоговая!S391</f>
        <v>закрыт</v>
      </c>
      <c r="L389" s="259" t="str">
        <f>Итоговая!T391</f>
        <v>закрыт</v>
      </c>
      <c r="M389" s="757">
        <f>Итоговая!U391</f>
        <v>5.3571428571428568</v>
      </c>
      <c r="N389" s="907"/>
      <c r="O389" s="907"/>
      <c r="P389" s="907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  <c r="AC389" s="233"/>
      <c r="AD389" s="233"/>
      <c r="AE389" s="233"/>
      <c r="AF389" s="233"/>
      <c r="AG389" s="233"/>
      <c r="AH389" s="233"/>
      <c r="AI389" s="233"/>
      <c r="AJ389" s="233"/>
      <c r="AK389" s="233"/>
      <c r="AL389" s="233"/>
      <c r="AM389" s="233"/>
      <c r="AN389" s="233"/>
      <c r="AO389" s="233"/>
      <c r="AP389" s="233"/>
      <c r="AQ389" s="233"/>
      <c r="AR389" s="233"/>
      <c r="AS389" s="233"/>
      <c r="AT389" s="233"/>
      <c r="AU389" s="233"/>
      <c r="AV389" s="233"/>
    </row>
    <row r="390" spans="1:48" s="232" customFormat="1" ht="15" customHeight="1" x14ac:dyDescent="0.25">
      <c r="A390" s="212">
        <f>Итоговая!A392</f>
        <v>286</v>
      </c>
      <c r="B390" s="212">
        <f>COUNTIFS($C$8:C390,"*ПС*",$L$8:L390,"*закрыт*")</f>
        <v>57</v>
      </c>
      <c r="C390" s="245" t="str">
        <f>Итоговая!C392</f>
        <v xml:space="preserve">ПС 35/10 кВ Печниково </v>
      </c>
      <c r="D390" s="246">
        <f>Итоговая!D392</f>
        <v>2.5</v>
      </c>
      <c r="E390" s="247">
        <f>Итоговая!E392</f>
        <v>0</v>
      </c>
      <c r="F390" s="247">
        <f>Итоговая!F392</f>
        <v>0</v>
      </c>
      <c r="G390" s="247">
        <f>Итоговая!G392</f>
        <v>0</v>
      </c>
      <c r="H390" s="247">
        <f>Итоговая!H392</f>
        <v>0</v>
      </c>
      <c r="I390" s="250">
        <f>Итоговая!Q392</f>
        <v>-3.0000000000000002E-2</v>
      </c>
      <c r="J390" s="250">
        <f>Итоговая!R392</f>
        <v>-3.0000000000000002E-2</v>
      </c>
      <c r="K390" s="245" t="str">
        <f>Итоговая!S392</f>
        <v>закрыт</v>
      </c>
      <c r="L390" s="259" t="str">
        <f>Итоговая!T392</f>
        <v>закрыт</v>
      </c>
      <c r="M390" s="757">
        <f>Итоговая!U392</f>
        <v>1.9047619047619047</v>
      </c>
      <c r="N390" s="902"/>
      <c r="O390" s="902"/>
      <c r="P390" s="902"/>
    </row>
    <row r="391" spans="1:48" ht="20.100000000000001" customHeight="1" x14ac:dyDescent="0.25">
      <c r="A391" s="212">
        <f>Итоговая!A393</f>
        <v>287</v>
      </c>
      <c r="B391" s="212">
        <f>COUNTIFS($C$8:C391,"*ПС*",$L$8:L391,"*закрыт*")</f>
        <v>58</v>
      </c>
      <c r="C391" s="245" t="str">
        <f>Итоговая!C393</f>
        <v xml:space="preserve">ПС 35/10 кВ Максимково </v>
      </c>
      <c r="D391" s="246">
        <f>Итоговая!D393</f>
        <v>2.5</v>
      </c>
      <c r="E391" s="247">
        <f>Итоговая!E393</f>
        <v>0</v>
      </c>
      <c r="F391" s="247">
        <f>Итоговая!F393</f>
        <v>0</v>
      </c>
      <c r="G391" s="247">
        <f>Итоговая!G393</f>
        <v>0</v>
      </c>
      <c r="H391" s="247">
        <f>Итоговая!H393</f>
        <v>0</v>
      </c>
      <c r="I391" s="250">
        <f>Итоговая!Q393</f>
        <v>-0.37</v>
      </c>
      <c r="J391" s="250">
        <f>Итоговая!R393</f>
        <v>-0.37</v>
      </c>
      <c r="K391" s="245" t="str">
        <f>Итоговая!S393</f>
        <v>закрыт</v>
      </c>
      <c r="L391" s="259" t="str">
        <f>Итоговая!T393</f>
        <v>закрыт</v>
      </c>
      <c r="M391" s="757">
        <f>Итоговая!U393</f>
        <v>24.38095238095238</v>
      </c>
      <c r="N391" s="902"/>
      <c r="O391" s="902"/>
      <c r="P391" s="902"/>
    </row>
    <row r="392" spans="1:48" ht="20.100000000000001" customHeight="1" x14ac:dyDescent="0.25">
      <c r="A392" s="212">
        <f>Итоговая!A394</f>
        <v>288</v>
      </c>
      <c r="B392" s="212">
        <f>COUNTIFS($C$8:C392,"*ПС*",$L$8:L392,"*закрыт*")</f>
        <v>59</v>
      </c>
      <c r="C392" s="245" t="str">
        <f>Итоговая!C394</f>
        <v xml:space="preserve">ПС 35/10 кВ Филистово </v>
      </c>
      <c r="D392" s="246">
        <f>Итоговая!D394</f>
        <v>1.6</v>
      </c>
      <c r="E392" s="247">
        <f>Итоговая!E394</f>
        <v>0</v>
      </c>
      <c r="F392" s="247">
        <f>Итоговая!F394</f>
        <v>0</v>
      </c>
      <c r="G392" s="247">
        <f>Итоговая!G394</f>
        <v>0</v>
      </c>
      <c r="H392" s="247">
        <f>Итоговая!H394</f>
        <v>0</v>
      </c>
      <c r="I392" s="250">
        <f>Итоговая!Q394</f>
        <v>-0.06</v>
      </c>
      <c r="J392" s="250">
        <f>Итоговая!R394</f>
        <v>-0.06</v>
      </c>
      <c r="K392" s="245" t="str">
        <f>Итоговая!S394</f>
        <v>закрыт</v>
      </c>
      <c r="L392" s="259" t="str">
        <f>Итоговая!T394</f>
        <v>закрыт</v>
      </c>
      <c r="M392" s="757">
        <f>Итоговая!U394</f>
        <v>7.7380952380952372</v>
      </c>
      <c r="N392" s="902"/>
      <c r="O392" s="902"/>
      <c r="P392" s="902"/>
    </row>
    <row r="393" spans="1:48" ht="20.100000000000001" customHeight="1" x14ac:dyDescent="0.25">
      <c r="A393" s="212">
        <f>Итоговая!A395</f>
        <v>289</v>
      </c>
      <c r="B393" s="212">
        <f>COUNTIFS($C$8:C393,"*ПС*",$L$8:L393,"*закрыт*")</f>
        <v>60</v>
      </c>
      <c r="C393" s="245" t="str">
        <f>Итоговая!C395</f>
        <v xml:space="preserve">ПС 35/10 кВ Оковцы  </v>
      </c>
      <c r="D393" s="246">
        <f>Итоговая!D395</f>
        <v>1</v>
      </c>
      <c r="E393" s="247">
        <f>Итоговая!E395</f>
        <v>0</v>
      </c>
      <c r="F393" s="247">
        <f>Итоговая!F395</f>
        <v>0</v>
      </c>
      <c r="G393" s="247">
        <f>Итоговая!G395</f>
        <v>0</v>
      </c>
      <c r="H393" s="247">
        <f>Итоговая!H395</f>
        <v>0</v>
      </c>
      <c r="I393" s="250">
        <f>Итоговая!Q395</f>
        <v>-0.18999999999999997</v>
      </c>
      <c r="J393" s="250">
        <f>Итоговая!R395</f>
        <v>-0.18999999999999997</v>
      </c>
      <c r="K393" s="245" t="str">
        <f>Итоговая!S395</f>
        <v>закрыт</v>
      </c>
      <c r="L393" s="259" t="str">
        <f>Итоговая!T395</f>
        <v>закрыт</v>
      </c>
      <c r="M393" s="757">
        <f>Итоговая!U395</f>
        <v>27.619047619047613</v>
      </c>
      <c r="N393" s="902"/>
      <c r="O393" s="902"/>
      <c r="P393" s="902"/>
    </row>
    <row r="394" spans="1:48" ht="20.100000000000001" customHeight="1" x14ac:dyDescent="0.25">
      <c r="A394" s="212">
        <f>Итоговая!A396</f>
        <v>290</v>
      </c>
      <c r="B394" s="212">
        <f>COUNTIFS($C$8:C394,"*ПС*",$L$8:L394,"*закрыт*")</f>
        <v>61</v>
      </c>
      <c r="C394" s="245" t="str">
        <f>Итоговая!C396</f>
        <v xml:space="preserve">ПС 35/10 кВ Селигер  </v>
      </c>
      <c r="D394" s="246">
        <f>Итоговая!D396</f>
        <v>6.3</v>
      </c>
      <c r="E394" s="247">
        <f>Итоговая!E396</f>
        <v>0</v>
      </c>
      <c r="F394" s="247">
        <f>Итоговая!F396</f>
        <v>0</v>
      </c>
      <c r="G394" s="247">
        <f>Итоговая!G396</f>
        <v>0</v>
      </c>
      <c r="H394" s="247">
        <f>Итоговая!H396</f>
        <v>0</v>
      </c>
      <c r="I394" s="250">
        <f>Итоговая!Q396</f>
        <v>-3.66</v>
      </c>
      <c r="J394" s="250">
        <f>Итоговая!R396</f>
        <v>-3.66</v>
      </c>
      <c r="K394" s="245" t="str">
        <f>Итоговая!S396</f>
        <v>закрыт</v>
      </c>
      <c r="L394" s="259" t="str">
        <f>Итоговая!T396</f>
        <v>закрыт</v>
      </c>
      <c r="M394" s="757">
        <f>Итоговая!U396</f>
        <v>55.328798185941039</v>
      </c>
      <c r="N394" s="907"/>
      <c r="O394" s="907"/>
      <c r="P394" s="907"/>
    </row>
    <row r="395" spans="1:48" s="232" customFormat="1" ht="15" customHeight="1" x14ac:dyDescent="0.25">
      <c r="A395" s="212">
        <f>Итоговая!A397</f>
        <v>291</v>
      </c>
      <c r="B395" s="212">
        <f>COUNTIFS($C$8:C395,"*ПС*",$L$8:L395,"*закрыт*")</f>
        <v>62</v>
      </c>
      <c r="C395" s="245" t="str">
        <f>Итоговая!C397</f>
        <v xml:space="preserve">ПС 35/10 кВ Мошары  </v>
      </c>
      <c r="D395" s="246">
        <f>Итоговая!D397</f>
        <v>1.6</v>
      </c>
      <c r="E395" s="247">
        <f>Итоговая!E397</f>
        <v>0</v>
      </c>
      <c r="F395" s="247">
        <f>Итоговая!F397</f>
        <v>0</v>
      </c>
      <c r="G395" s="247">
        <f>Итоговая!G397</f>
        <v>0</v>
      </c>
      <c r="H395" s="247">
        <f>Итоговая!H397</f>
        <v>0</v>
      </c>
      <c r="I395" s="250">
        <f>Итоговая!Q397</f>
        <v>-0.12</v>
      </c>
      <c r="J395" s="250">
        <f>Итоговая!R397</f>
        <v>-0.12</v>
      </c>
      <c r="K395" s="245" t="str">
        <f>Итоговая!S397</f>
        <v>закрыт</v>
      </c>
      <c r="L395" s="259" t="str">
        <f>Итоговая!T397</f>
        <v>закрыт</v>
      </c>
      <c r="M395" s="757">
        <f>Итоговая!U397</f>
        <v>7.1428571428571423</v>
      </c>
      <c r="N395" s="907"/>
      <c r="O395" s="907"/>
      <c r="P395" s="907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/>
      <c r="AA395" s="233"/>
      <c r="AB395" s="233"/>
      <c r="AC395" s="233"/>
      <c r="AD395" s="233"/>
      <c r="AE395" s="233"/>
      <c r="AF395" s="233"/>
      <c r="AG395" s="233"/>
      <c r="AH395" s="233"/>
      <c r="AI395" s="233"/>
      <c r="AJ395" s="233"/>
      <c r="AK395" s="233"/>
      <c r="AL395" s="233"/>
      <c r="AM395" s="233"/>
      <c r="AN395" s="233"/>
      <c r="AO395" s="233"/>
      <c r="AP395" s="233"/>
      <c r="AQ395" s="233"/>
      <c r="AR395" s="233"/>
      <c r="AS395" s="233"/>
      <c r="AT395" s="233"/>
      <c r="AU395" s="233"/>
      <c r="AV395" s="233"/>
    </row>
    <row r="396" spans="1:48" s="232" customFormat="1" ht="15" customHeight="1" x14ac:dyDescent="0.25">
      <c r="A396" s="212">
        <f>Итоговая!A398</f>
        <v>292</v>
      </c>
      <c r="B396" s="212">
        <f>COUNTIFS($C$8:C396,"*ПС*",$L$8:L396,"*закрыт*")</f>
        <v>63</v>
      </c>
      <c r="C396" s="245" t="str">
        <f>Итоговая!C398</f>
        <v xml:space="preserve">ПС  35/10 кВ Ворошилово </v>
      </c>
      <c r="D396" s="246">
        <f>Итоговая!D398</f>
        <v>2.5</v>
      </c>
      <c r="E396" s="247">
        <f>Итоговая!E398</f>
        <v>0</v>
      </c>
      <c r="F396" s="247">
        <f>Итоговая!F398</f>
        <v>0</v>
      </c>
      <c r="G396" s="247">
        <f>Итоговая!G398</f>
        <v>0</v>
      </c>
      <c r="H396" s="247">
        <f>Итоговая!H398</f>
        <v>0</v>
      </c>
      <c r="I396" s="250">
        <f>Итоговая!Q398</f>
        <v>-0.26</v>
      </c>
      <c r="J396" s="250">
        <f>Итоговая!R398</f>
        <v>-0.26</v>
      </c>
      <c r="K396" s="245" t="str">
        <f>Итоговая!S398</f>
        <v>закрыт</v>
      </c>
      <c r="L396" s="259" t="str">
        <f>Итоговая!T398</f>
        <v>закрыт</v>
      </c>
      <c r="M396" s="757">
        <f>Итоговая!U398</f>
        <v>9.9047619047619051</v>
      </c>
      <c r="N396" s="907"/>
      <c r="O396" s="907"/>
      <c r="P396" s="907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  <c r="AA396" s="233"/>
      <c r="AB396" s="233"/>
      <c r="AC396" s="233"/>
      <c r="AD396" s="233"/>
      <c r="AE396" s="233"/>
      <c r="AF396" s="233"/>
      <c r="AG396" s="233"/>
      <c r="AH396" s="233"/>
      <c r="AI396" s="233"/>
      <c r="AJ396" s="233"/>
      <c r="AK396" s="233"/>
      <c r="AL396" s="233"/>
      <c r="AM396" s="233"/>
      <c r="AN396" s="233"/>
      <c r="AO396" s="233"/>
      <c r="AP396" s="233"/>
      <c r="AQ396" s="233"/>
      <c r="AR396" s="233"/>
      <c r="AS396" s="233"/>
      <c r="AT396" s="233"/>
      <c r="AU396" s="233"/>
      <c r="AV396" s="233"/>
    </row>
    <row r="397" spans="1:48" s="232" customFormat="1" ht="15" customHeight="1" x14ac:dyDescent="0.25">
      <c r="A397" s="212">
        <f>Итоговая!A399</f>
        <v>293</v>
      </c>
      <c r="B397" s="212">
        <f>COUNTIFS($C$8:C397,"*ПС*",$L$8:L397,"*закрыт*")</f>
        <v>64</v>
      </c>
      <c r="C397" s="245" t="str">
        <f>Итоговая!C399</f>
        <v xml:space="preserve">ПС 35/10 кВ Слаутино   </v>
      </c>
      <c r="D397" s="246">
        <f>Итоговая!D399</f>
        <v>1.6</v>
      </c>
      <c r="E397" s="247">
        <f>Итоговая!E399</f>
        <v>0</v>
      </c>
      <c r="F397" s="247">
        <f>Итоговая!F399</f>
        <v>0</v>
      </c>
      <c r="G397" s="247">
        <f>Итоговая!G399</f>
        <v>0</v>
      </c>
      <c r="H397" s="247">
        <f>Итоговая!H399</f>
        <v>0</v>
      </c>
      <c r="I397" s="250">
        <f>Итоговая!Q399</f>
        <v>-0.61</v>
      </c>
      <c r="J397" s="250">
        <f>Итоговая!R399</f>
        <v>-0.61</v>
      </c>
      <c r="K397" s="245" t="str">
        <f>Итоговая!S399</f>
        <v>закрыт</v>
      </c>
      <c r="L397" s="259" t="str">
        <f>Итоговая!T399</f>
        <v>закрыт</v>
      </c>
      <c r="M397" s="757">
        <f>Итоговая!U399</f>
        <v>36.309523809523803</v>
      </c>
      <c r="N397" s="907"/>
      <c r="O397" s="907"/>
      <c r="P397" s="907"/>
      <c r="Q397" s="233"/>
      <c r="R397" s="233"/>
      <c r="S397" s="233"/>
      <c r="T397" s="233"/>
      <c r="U397" s="233"/>
      <c r="V397" s="233"/>
      <c r="W397" s="233"/>
      <c r="X397" s="233"/>
      <c r="Y397" s="233"/>
      <c r="Z397" s="233"/>
      <c r="AA397" s="233"/>
      <c r="AB397" s="233"/>
      <c r="AC397" s="233"/>
      <c r="AD397" s="233"/>
      <c r="AE397" s="233"/>
      <c r="AF397" s="233"/>
      <c r="AG397" s="233"/>
      <c r="AH397" s="233"/>
      <c r="AI397" s="233"/>
      <c r="AJ397" s="233"/>
      <c r="AK397" s="233"/>
      <c r="AL397" s="233"/>
      <c r="AM397" s="233"/>
      <c r="AN397" s="233"/>
      <c r="AO397" s="233"/>
      <c r="AP397" s="233"/>
      <c r="AQ397" s="233"/>
      <c r="AR397" s="233"/>
      <c r="AS397" s="233"/>
      <c r="AT397" s="233"/>
      <c r="AU397" s="233"/>
      <c r="AV397" s="233"/>
    </row>
    <row r="398" spans="1:48" s="232" customFormat="1" ht="15" hidden="1" customHeight="1" x14ac:dyDescent="0.25">
      <c r="A398" s="212">
        <f>Итоговая!A400</f>
        <v>294</v>
      </c>
      <c r="B398" s="212">
        <f>COUNTIFS($C$8:C398,"*ПС*",$L$8:L398,"*закрыт*")</f>
        <v>64</v>
      </c>
      <c r="C398" s="245" t="str">
        <f>Итоговая!C400</f>
        <v xml:space="preserve">ПС 35/10 кВ Мошки </v>
      </c>
      <c r="D398" s="246">
        <f>Итоговая!D400</f>
        <v>2.5</v>
      </c>
      <c r="E398" s="247" t="str">
        <f>Итоговая!E400</f>
        <v>+</v>
      </c>
      <c r="F398" s="247">
        <f>Итоговая!F400</f>
        <v>1.6</v>
      </c>
      <c r="G398" s="247">
        <f>Итоговая!G400</f>
        <v>0</v>
      </c>
      <c r="H398" s="247">
        <f>Итоговая!H400</f>
        <v>0</v>
      </c>
      <c r="I398" s="250">
        <f>Итоговая!Q400</f>
        <v>0.45000000000000018</v>
      </c>
      <c r="J398" s="250">
        <f>Итоговая!R400</f>
        <v>0.45000000000000018</v>
      </c>
      <c r="K398" s="245" t="str">
        <f>Итоговая!S400</f>
        <v>открыт</v>
      </c>
      <c r="L398" s="259" t="str">
        <f>Итоговая!T400</f>
        <v>открыт</v>
      </c>
      <c r="M398" s="757">
        <f>Итоговая!U400</f>
        <v>73.214285714285708</v>
      </c>
      <c r="N398" s="907"/>
      <c r="O398" s="907"/>
      <c r="P398" s="907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  <c r="AA398" s="233"/>
      <c r="AB398" s="233"/>
      <c r="AC398" s="233"/>
      <c r="AD398" s="233"/>
      <c r="AE398" s="233"/>
      <c r="AF398" s="233"/>
      <c r="AG398" s="233"/>
      <c r="AH398" s="233"/>
      <c r="AI398" s="233"/>
      <c r="AJ398" s="233"/>
      <c r="AK398" s="233"/>
      <c r="AL398" s="233"/>
      <c r="AM398" s="233"/>
      <c r="AN398" s="233"/>
      <c r="AO398" s="233"/>
      <c r="AP398" s="233"/>
      <c r="AQ398" s="233"/>
      <c r="AR398" s="233"/>
    </row>
    <row r="399" spans="1:48" s="232" customFormat="1" ht="15" hidden="1" customHeight="1" x14ac:dyDescent="0.25">
      <c r="A399" s="212">
        <f>Итоговая!A401</f>
        <v>295</v>
      </c>
      <c r="B399" s="212">
        <f>COUNTIFS($C$8:C399,"*ПС*",$L$8:L399,"*закрыт*")</f>
        <v>64</v>
      </c>
      <c r="C399" s="245" t="str">
        <f>Итоговая!C401</f>
        <v xml:space="preserve">ПС 35/10 кВ Высокое  </v>
      </c>
      <c r="D399" s="246">
        <f>Итоговая!D401</f>
        <v>4</v>
      </c>
      <c r="E399" s="247" t="str">
        <f>Итоговая!E401</f>
        <v>+</v>
      </c>
      <c r="F399" s="247">
        <f>Итоговая!F401</f>
        <v>2.5</v>
      </c>
      <c r="G399" s="247">
        <f>Итоговая!G401</f>
        <v>0</v>
      </c>
      <c r="H399" s="247">
        <f>Итоговая!H401</f>
        <v>0</v>
      </c>
      <c r="I399" s="250">
        <f>Итоговая!Q401</f>
        <v>1.5649999999999999</v>
      </c>
      <c r="J399" s="250">
        <f>Итоговая!R401</f>
        <v>1.5649999999999999</v>
      </c>
      <c r="K399" s="245" t="str">
        <f>Итоговая!S401</f>
        <v>открыт</v>
      </c>
      <c r="L399" s="259" t="str">
        <f>Итоговая!T401</f>
        <v>открыт</v>
      </c>
      <c r="M399" s="757">
        <f>Итоговая!U401</f>
        <v>40.38095238095238</v>
      </c>
      <c r="N399" s="902"/>
      <c r="O399" s="902"/>
      <c r="P399" s="902"/>
    </row>
    <row r="400" spans="1:48" s="232" customFormat="1" ht="15" hidden="1" customHeight="1" x14ac:dyDescent="0.25">
      <c r="A400" s="212">
        <f>Итоговая!A402</f>
        <v>296</v>
      </c>
      <c r="B400" s="212">
        <f>COUNTIFS($C$8:C400,"*ПС*",$L$8:L400,"*закрыт*")</f>
        <v>64</v>
      </c>
      <c r="C400" s="245" t="str">
        <f>Итоговая!C402</f>
        <v xml:space="preserve">ПС 35/10 кВ Бубеньево  </v>
      </c>
      <c r="D400" s="246">
        <f>Итоговая!D402</f>
        <v>4</v>
      </c>
      <c r="E400" s="247" t="str">
        <f>Итоговая!E402</f>
        <v>+</v>
      </c>
      <c r="F400" s="247">
        <f>Итоговая!F402</f>
        <v>4</v>
      </c>
      <c r="G400" s="247">
        <f>Итоговая!G402</f>
        <v>0</v>
      </c>
      <c r="H400" s="247">
        <f>Итоговая!H402</f>
        <v>0</v>
      </c>
      <c r="I400" s="250">
        <f>Итоговая!Q402</f>
        <v>1.3200000000000003</v>
      </c>
      <c r="J400" s="250">
        <f>Итоговая!R402</f>
        <v>1.3200000000000003</v>
      </c>
      <c r="K400" s="245" t="str">
        <f>Итоговая!S402</f>
        <v>открыт</v>
      </c>
      <c r="L400" s="259" t="str">
        <f>Итоговая!T402</f>
        <v>открыт</v>
      </c>
      <c r="M400" s="757">
        <f>Итоговая!U402</f>
        <v>68.571428571428569</v>
      </c>
      <c r="N400" s="902"/>
      <c r="O400" s="902"/>
      <c r="P400" s="902"/>
    </row>
    <row r="401" spans="1:16" ht="15" hidden="1" customHeight="1" x14ac:dyDescent="0.25">
      <c r="A401" s="212">
        <f>Итоговая!A403</f>
        <v>297</v>
      </c>
      <c r="B401" s="212">
        <f>COUNTIFS($C$8:C401,"*ПС*",$L$8:L401,"*закрыт*")</f>
        <v>64</v>
      </c>
      <c r="C401" s="245" t="str">
        <f>Итоговая!C403</f>
        <v xml:space="preserve">ПС 35/10 кВ Б.Вишенье </v>
      </c>
      <c r="D401" s="246">
        <f>Итоговая!D403</f>
        <v>2.5</v>
      </c>
      <c r="E401" s="247" t="str">
        <f>Итоговая!E403</f>
        <v>+</v>
      </c>
      <c r="F401" s="247">
        <f>Итоговая!F403</f>
        <v>2.5</v>
      </c>
      <c r="G401" s="247">
        <f>Итоговая!G403</f>
        <v>0</v>
      </c>
      <c r="H401" s="247">
        <f>Итоговая!H403</f>
        <v>0</v>
      </c>
      <c r="I401" s="250">
        <f>Итоговая!Q403</f>
        <v>1.6850000000000001</v>
      </c>
      <c r="J401" s="250">
        <f>Итоговая!R403</f>
        <v>1.6850000000000001</v>
      </c>
      <c r="K401" s="245" t="str">
        <f>Итоговая!S403</f>
        <v>открыт</v>
      </c>
      <c r="L401" s="259" t="str">
        <f>Итоговая!T403</f>
        <v>открыт</v>
      </c>
      <c r="M401" s="757">
        <f>Итоговая!U403</f>
        <v>35.80952380952381</v>
      </c>
      <c r="N401" s="902"/>
      <c r="O401" s="902"/>
      <c r="P401" s="902"/>
    </row>
    <row r="402" spans="1:16" ht="15" hidden="1" customHeight="1" x14ac:dyDescent="0.25">
      <c r="A402" s="212">
        <f>Итоговая!A404</f>
        <v>298</v>
      </c>
      <c r="B402" s="212">
        <f>COUNTIFS($C$8:C402,"*ПС*",$L$8:L402,"*закрыт*")</f>
        <v>64</v>
      </c>
      <c r="C402" s="245" t="str">
        <f>Итоговая!C404</f>
        <v xml:space="preserve">ПС 35/10 кВ Будово </v>
      </c>
      <c r="D402" s="246">
        <f>Итоговая!D404</f>
        <v>2.5</v>
      </c>
      <c r="E402" s="247" t="str">
        <f>Итоговая!E404</f>
        <v>+</v>
      </c>
      <c r="F402" s="247">
        <f>Итоговая!F404</f>
        <v>2.5</v>
      </c>
      <c r="G402" s="247">
        <f>Итоговая!G404</f>
        <v>0</v>
      </c>
      <c r="H402" s="247">
        <f>Итоговая!H404</f>
        <v>0</v>
      </c>
      <c r="I402" s="250">
        <f>Итоговая!Q404</f>
        <v>0.5950000000000002</v>
      </c>
      <c r="J402" s="250">
        <f>Итоговая!R404</f>
        <v>0.5950000000000002</v>
      </c>
      <c r="K402" s="245" t="str">
        <f>Итоговая!S404</f>
        <v>открыт</v>
      </c>
      <c r="L402" s="259" t="str">
        <f>Итоговая!T404</f>
        <v>открыт</v>
      </c>
      <c r="M402" s="757">
        <f>Итоговая!U404</f>
        <v>77.333333333333329</v>
      </c>
      <c r="N402" s="907"/>
      <c r="O402" s="907"/>
      <c r="P402" s="907"/>
    </row>
    <row r="403" spans="1:16" ht="15" hidden="1" customHeight="1" x14ac:dyDescent="0.25">
      <c r="A403" s="212">
        <f>Итоговая!A405</f>
        <v>299</v>
      </c>
      <c r="B403" s="212">
        <f>COUNTIFS($C$8:C403,"*ПС*",$L$8:L403,"*закрыт*")</f>
        <v>64</v>
      </c>
      <c r="C403" s="245" t="str">
        <f>Итоговая!C405</f>
        <v xml:space="preserve">ПС 35/10 кВ Ельцы  </v>
      </c>
      <c r="D403" s="246">
        <f>Итоговая!D405</f>
        <v>4</v>
      </c>
      <c r="E403" s="247" t="str">
        <f>Итоговая!E405</f>
        <v>+</v>
      </c>
      <c r="F403" s="247">
        <f>Итоговая!F405</f>
        <v>4</v>
      </c>
      <c r="G403" s="247">
        <f>Итоговая!G405</f>
        <v>0</v>
      </c>
      <c r="H403" s="247">
        <f>Итоговая!H405</f>
        <v>0</v>
      </c>
      <c r="I403" s="250">
        <f>Итоговая!Q405</f>
        <v>3.91</v>
      </c>
      <c r="J403" s="250">
        <f>Итоговая!R405</f>
        <v>3.91</v>
      </c>
      <c r="K403" s="245" t="str">
        <f>Итоговая!S405</f>
        <v>открыт</v>
      </c>
      <c r="L403" s="259" t="str">
        <f>Итоговая!T405</f>
        <v>открыт</v>
      </c>
      <c r="M403" s="757">
        <f>Итоговая!U405</f>
        <v>6.9047619047619033</v>
      </c>
      <c r="N403" s="902"/>
      <c r="O403" s="902"/>
      <c r="P403" s="902"/>
    </row>
    <row r="404" spans="1:16" ht="15" hidden="1" customHeight="1" x14ac:dyDescent="0.25">
      <c r="A404" s="212">
        <f>Итоговая!A406</f>
        <v>300</v>
      </c>
      <c r="B404" s="212">
        <f>COUNTIFS($C$8:C404,"*ПС*",$L$8:L404,"*закрыт*")</f>
        <v>64</v>
      </c>
      <c r="C404" s="245" t="str">
        <f>Итоговая!C406</f>
        <v xml:space="preserve">ПС 35/10 кВ Селище </v>
      </c>
      <c r="D404" s="246">
        <f>Итоговая!D406</f>
        <v>4</v>
      </c>
      <c r="E404" s="247" t="str">
        <f>Итоговая!E406</f>
        <v>+</v>
      </c>
      <c r="F404" s="247">
        <f>Итоговая!F406</f>
        <v>4</v>
      </c>
      <c r="G404" s="247">
        <f>Итоговая!G406</f>
        <v>0</v>
      </c>
      <c r="H404" s="247">
        <f>Итоговая!H406</f>
        <v>0</v>
      </c>
      <c r="I404" s="250">
        <f>Итоговая!Q406</f>
        <v>2.88</v>
      </c>
      <c r="J404" s="250">
        <f>Итоговая!R406</f>
        <v>2.88</v>
      </c>
      <c r="K404" s="245" t="str">
        <f>Итоговая!S406</f>
        <v>открыт</v>
      </c>
      <c r="L404" s="259" t="str">
        <f>Итоговая!T406</f>
        <v>открыт</v>
      </c>
      <c r="M404" s="757">
        <f>Итоговая!U406</f>
        <v>31.428571428571427</v>
      </c>
      <c r="N404" s="902"/>
      <c r="O404" s="902"/>
      <c r="P404" s="902"/>
    </row>
    <row r="405" spans="1:16" ht="15" hidden="1" customHeight="1" x14ac:dyDescent="0.25">
      <c r="A405" s="212">
        <f>Итоговая!A407</f>
        <v>301</v>
      </c>
      <c r="B405" s="212">
        <f>COUNTIFS($C$8:C405,"*ПС*",$L$8:L405,"*закрыт*")</f>
        <v>64</v>
      </c>
      <c r="C405" s="245" t="str">
        <f>Итоговая!C407</f>
        <v xml:space="preserve">ПС 35/10 кВ Святое </v>
      </c>
      <c r="D405" s="246">
        <f>Итоговая!D407</f>
        <v>2.5</v>
      </c>
      <c r="E405" s="247" t="str">
        <f>Итоговая!E407</f>
        <v>+</v>
      </c>
      <c r="F405" s="247">
        <f>Итоговая!F407</f>
        <v>1.6</v>
      </c>
      <c r="G405" s="247">
        <f>Итоговая!G407</f>
        <v>0</v>
      </c>
      <c r="H405" s="247">
        <f>Итоговая!H407</f>
        <v>0</v>
      </c>
      <c r="I405" s="250">
        <f>Итоговая!Q407</f>
        <v>1.0100000000000002</v>
      </c>
      <c r="J405" s="250">
        <f>Итоговая!R407</f>
        <v>1.0100000000000002</v>
      </c>
      <c r="K405" s="245" t="str">
        <f>Итоговая!S407</f>
        <v>открыт</v>
      </c>
      <c r="L405" s="259" t="str">
        <f>Итоговая!T407</f>
        <v>открыт</v>
      </c>
      <c r="M405" s="757">
        <f>Итоговая!U407</f>
        <v>39.88095238095238</v>
      </c>
      <c r="N405" s="902"/>
      <c r="O405" s="902"/>
      <c r="P405" s="902"/>
    </row>
    <row r="406" spans="1:16" ht="15" hidden="1" customHeight="1" x14ac:dyDescent="0.25">
      <c r="A406" s="212">
        <f>Итоговая!A408</f>
        <v>302</v>
      </c>
      <c r="B406" s="212">
        <f>COUNTIFS($C$8:C406,"*ПС*",$L$8:L406,"*закрыт*")</f>
        <v>64</v>
      </c>
      <c r="C406" s="245" t="str">
        <f>Итоговая!C408</f>
        <v xml:space="preserve">ПС 35/10 кВ Крапивня  </v>
      </c>
      <c r="D406" s="246">
        <f>Итоговая!D408</f>
        <v>2.5</v>
      </c>
      <c r="E406" s="247" t="str">
        <f>Итоговая!E408</f>
        <v>+</v>
      </c>
      <c r="F406" s="247">
        <f>Итоговая!F408</f>
        <v>2.5</v>
      </c>
      <c r="G406" s="247">
        <f>Итоговая!G408</f>
        <v>0</v>
      </c>
      <c r="H406" s="247">
        <f>Итоговая!H408</f>
        <v>0</v>
      </c>
      <c r="I406" s="250">
        <f>Итоговая!Q408</f>
        <v>2.2349999999999999</v>
      </c>
      <c r="J406" s="250">
        <f>Итоговая!R408</f>
        <v>2.2349999999999999</v>
      </c>
      <c r="K406" s="245" t="str">
        <f>Итоговая!S408</f>
        <v>открыт</v>
      </c>
      <c r="L406" s="259" t="str">
        <f>Итоговая!T408</f>
        <v>открыт</v>
      </c>
      <c r="M406" s="757">
        <f>Итоговая!U408</f>
        <v>14.857142857142858</v>
      </c>
      <c r="N406" s="902"/>
      <c r="O406" s="902"/>
      <c r="P406" s="902"/>
    </row>
    <row r="407" spans="1:16" ht="15" hidden="1" customHeight="1" x14ac:dyDescent="0.25">
      <c r="A407" s="212">
        <f>Итоговая!A409</f>
        <v>303</v>
      </c>
      <c r="B407" s="212">
        <f>COUNTIFS($C$8:C407,"*ПС*",$L$8:L407,"*закрыт*")</f>
        <v>64</v>
      </c>
      <c r="C407" s="245" t="str">
        <f>Итоговая!C409</f>
        <v xml:space="preserve">ПС 35/10 кВ Светлица  </v>
      </c>
      <c r="D407" s="246">
        <f>Итоговая!D409</f>
        <v>2.5</v>
      </c>
      <c r="E407" s="247" t="str">
        <f>Итоговая!E409</f>
        <v>+</v>
      </c>
      <c r="F407" s="247">
        <f>Итоговая!F409</f>
        <v>2.5</v>
      </c>
      <c r="G407" s="247">
        <f>Итоговая!G409</f>
        <v>0</v>
      </c>
      <c r="H407" s="247">
        <f>Итоговая!H409</f>
        <v>0</v>
      </c>
      <c r="I407" s="250">
        <f>Итоговая!Q409</f>
        <v>1.4850000000000001</v>
      </c>
      <c r="J407" s="250">
        <f>Итоговая!R409</f>
        <v>1.4850000000000001</v>
      </c>
      <c r="K407" s="245" t="str">
        <f>Итоговая!S409</f>
        <v>открыт</v>
      </c>
      <c r="L407" s="259" t="str">
        <f>Итоговая!T409</f>
        <v>открыт</v>
      </c>
      <c r="M407" s="757">
        <f>Итоговая!U409</f>
        <v>43.428571428571423</v>
      </c>
      <c r="N407" s="902"/>
      <c r="O407" s="902"/>
      <c r="P407" s="902"/>
    </row>
    <row r="408" spans="1:16" ht="15" hidden="1" customHeight="1" x14ac:dyDescent="0.25">
      <c r="A408" s="212">
        <f>Итоговая!A410</f>
        <v>304</v>
      </c>
      <c r="B408" s="212">
        <f>COUNTIFS($C$8:C408,"*ПС*",$L$8:L408,"*закрыт*")</f>
        <v>64</v>
      </c>
      <c r="C408" s="245" t="str">
        <f>Итоговая!C410</f>
        <v xml:space="preserve">ПС  110/6 кВ КС-20  </v>
      </c>
      <c r="D408" s="246">
        <f>Итоговая!D410</f>
        <v>63</v>
      </c>
      <c r="E408" s="247" t="str">
        <f>Итоговая!E410</f>
        <v>+</v>
      </c>
      <c r="F408" s="247">
        <f>Итоговая!F410</f>
        <v>63</v>
      </c>
      <c r="G408" s="247">
        <f>Итоговая!G410</f>
        <v>0</v>
      </c>
      <c r="H408" s="247">
        <f>Итоговая!H410</f>
        <v>0</v>
      </c>
      <c r="I408" s="250">
        <f>Итоговая!Q410</f>
        <v>50.250000000000007</v>
      </c>
      <c r="J408" s="250">
        <f>Итоговая!R410</f>
        <v>50.250000000000007</v>
      </c>
      <c r="K408" s="245" t="str">
        <f>Итоговая!S410</f>
        <v>открыт</v>
      </c>
      <c r="L408" s="259" t="str">
        <f>Итоговая!T410</f>
        <v>открыт</v>
      </c>
      <c r="M408" s="757">
        <f>Итоговая!U410</f>
        <v>24.036281179138321</v>
      </c>
      <c r="N408" s="902"/>
      <c r="O408" s="902"/>
      <c r="P408" s="902"/>
    </row>
    <row r="409" spans="1:16" ht="15" hidden="1" customHeight="1" x14ac:dyDescent="0.25">
      <c r="A409" s="212">
        <f>Итоговая!A411</f>
        <v>305</v>
      </c>
      <c r="B409" s="212">
        <f>COUNTIFS($C$8:C409,"*ПС*",$L$8:L409,"*закрыт*")</f>
        <v>64</v>
      </c>
      <c r="C409" s="251" t="str">
        <f>Итоговая!C411</f>
        <v xml:space="preserve">ПС 110/10 кВ  Полиграфкраски </v>
      </c>
      <c r="D409" s="246">
        <f>Итоговая!D411</f>
        <v>10</v>
      </c>
      <c r="E409" s="247" t="str">
        <f>Итоговая!E411</f>
        <v>+</v>
      </c>
      <c r="F409" s="247">
        <f>Итоговая!F411</f>
        <v>10</v>
      </c>
      <c r="G409" s="247">
        <f>Итоговая!G411</f>
        <v>0</v>
      </c>
      <c r="H409" s="247">
        <f>Итоговая!H411</f>
        <v>0</v>
      </c>
      <c r="I409" s="250">
        <f>Итоговая!Q411</f>
        <v>4.3</v>
      </c>
      <c r="J409" s="250">
        <f>Итоговая!R411</f>
        <v>4.3</v>
      </c>
      <c r="K409" s="245" t="str">
        <f>Итоговая!S411</f>
        <v>открыт</v>
      </c>
      <c r="L409" s="259" t="str">
        <f>Итоговая!T411</f>
        <v>открыт</v>
      </c>
      <c r="M409" s="757">
        <f>Итоговая!U411</f>
        <v>59.047619047619051</v>
      </c>
      <c r="N409" s="902"/>
      <c r="O409" s="902"/>
      <c r="P409" s="902"/>
    </row>
    <row r="410" spans="1:16" ht="15" hidden="1" customHeight="1" x14ac:dyDescent="0.25">
      <c r="A410" s="212">
        <f>Итоговая!A412</f>
        <v>306</v>
      </c>
      <c r="B410" s="212">
        <f>COUNTIFS($C$8:C410,"*ПС*",$L$8:L410,"*закрыт*")</f>
        <v>64</v>
      </c>
      <c r="C410" s="245" t="str">
        <f>Итоговая!C412</f>
        <v xml:space="preserve">ПС 110/10 кВ НПС Торжок </v>
      </c>
      <c r="D410" s="246">
        <f>Итоговая!D412</f>
        <v>25</v>
      </c>
      <c r="E410" s="247" t="str">
        <f>Итоговая!E412</f>
        <v>+</v>
      </c>
      <c r="F410" s="247">
        <f>Итоговая!F412</f>
        <v>25</v>
      </c>
      <c r="G410" s="247">
        <f>Итоговая!G412</f>
        <v>0</v>
      </c>
      <c r="H410" s="247">
        <f>Итоговая!H412</f>
        <v>0</v>
      </c>
      <c r="I410" s="250">
        <f>Итоговая!Q412</f>
        <v>25.85</v>
      </c>
      <c r="J410" s="250">
        <f>Итоговая!R412</f>
        <v>25.85</v>
      </c>
      <c r="K410" s="245" t="str">
        <f>Итоговая!S412</f>
        <v>открыт</v>
      </c>
      <c r="L410" s="259" t="str">
        <f>Итоговая!T412</f>
        <v>открыт</v>
      </c>
      <c r="M410" s="757">
        <f>Итоговая!U412</f>
        <v>1.5238095238095237</v>
      </c>
      <c r="N410" s="902"/>
      <c r="O410" s="902"/>
      <c r="P410" s="902"/>
    </row>
    <row r="411" spans="1:16" ht="15" hidden="1" customHeight="1" x14ac:dyDescent="0.25">
      <c r="A411" s="212">
        <f>Итоговая!A413</f>
        <v>307</v>
      </c>
      <c r="B411" s="212">
        <f>COUNTIFS($C$8:C411,"*ПС*",$L$8:L411,"*закрыт*")</f>
        <v>64</v>
      </c>
      <c r="C411" s="245" t="str">
        <f>Итоговая!C413</f>
        <v xml:space="preserve">ПС 110/10 кВ Селихово </v>
      </c>
      <c r="D411" s="246">
        <f>Итоговая!D413</f>
        <v>2.5</v>
      </c>
      <c r="E411" s="247" t="str">
        <f>Итоговая!E413</f>
        <v>+</v>
      </c>
      <c r="F411" s="247">
        <f>Итоговая!F413</f>
        <v>2.5</v>
      </c>
      <c r="G411" s="247">
        <f>Итоговая!G413</f>
        <v>0</v>
      </c>
      <c r="H411" s="247">
        <f>Итоговая!H413</f>
        <v>0</v>
      </c>
      <c r="I411" s="250">
        <f>Итоговая!Q413</f>
        <v>2.0550000000000002</v>
      </c>
      <c r="J411" s="250">
        <f>Итоговая!R413</f>
        <v>2.0550000000000002</v>
      </c>
      <c r="K411" s="245" t="str">
        <f>Итоговая!S413</f>
        <v>открыт</v>
      </c>
      <c r="L411" s="259" t="str">
        <f>Итоговая!T413</f>
        <v>открыт</v>
      </c>
      <c r="M411" s="757">
        <f>Итоговая!U413</f>
        <v>21.714285714285712</v>
      </c>
      <c r="N411" s="902"/>
      <c r="O411" s="902"/>
      <c r="P411" s="902"/>
    </row>
    <row r="412" spans="1:16" ht="15" hidden="1" customHeight="1" x14ac:dyDescent="0.25">
      <c r="A412" s="212">
        <f>Итоговая!A414</f>
        <v>308</v>
      </c>
      <c r="B412" s="212">
        <f>COUNTIFS($C$8:C412,"*ПС*",$L$8:L412,"*закрыт*")</f>
        <v>64</v>
      </c>
      <c r="C412" s="245" t="str">
        <f>Итоговая!C414</f>
        <v xml:space="preserve">ПС 110/10 кВ Пено </v>
      </c>
      <c r="D412" s="246">
        <f>Итоговая!D414</f>
        <v>6.3</v>
      </c>
      <c r="E412" s="247" t="str">
        <f>Итоговая!E414</f>
        <v>+</v>
      </c>
      <c r="F412" s="247">
        <f>Итоговая!F414</f>
        <v>6.3</v>
      </c>
      <c r="G412" s="247">
        <f>Итоговая!G414</f>
        <v>0</v>
      </c>
      <c r="H412" s="247">
        <f>Итоговая!H414</f>
        <v>0</v>
      </c>
      <c r="I412" s="250">
        <f>Итоговая!Q414</f>
        <v>3.7550000000000003</v>
      </c>
      <c r="J412" s="250">
        <f>Итоговая!R414</f>
        <v>3.7550000000000003</v>
      </c>
      <c r="K412" s="245" t="str">
        <f>Итоговая!S414</f>
        <v>открыт</v>
      </c>
      <c r="L412" s="259" t="str">
        <f>Итоговая!T414</f>
        <v>открыт</v>
      </c>
      <c r="M412" s="757">
        <f>Итоговая!U414</f>
        <v>43.235071806500379</v>
      </c>
      <c r="N412" s="902"/>
      <c r="O412" s="902"/>
      <c r="P412" s="902"/>
    </row>
    <row r="413" spans="1:16" ht="15" hidden="1" customHeight="1" x14ac:dyDescent="0.25">
      <c r="A413" s="2419">
        <f>Итоговая!A415</f>
        <v>309</v>
      </c>
      <c r="B413" s="2423">
        <f>COUNTIFS($C$8:C413,"*ПС*",$L$8:L413,"*закрыт*")</f>
        <v>64</v>
      </c>
      <c r="C413" s="245" t="str">
        <f>Итоговая!C415</f>
        <v xml:space="preserve">ПС 110/35/10 кВ Торжок  </v>
      </c>
      <c r="D413" s="246">
        <f>Итоговая!D415</f>
        <v>40</v>
      </c>
      <c r="E413" s="247" t="str">
        <f>Итоговая!E415</f>
        <v>+</v>
      </c>
      <c r="F413" s="247">
        <f>Итоговая!F415</f>
        <v>40</v>
      </c>
      <c r="G413" s="247">
        <f>Итоговая!G415</f>
        <v>0</v>
      </c>
      <c r="H413" s="247">
        <f>Итоговая!H415</f>
        <v>0</v>
      </c>
      <c r="I413" s="250">
        <f>Итоговая!Q415</f>
        <v>27.67</v>
      </c>
      <c r="J413" s="2448">
        <f>Итоговая!R415</f>
        <v>27.67</v>
      </c>
      <c r="K413" s="2398" t="str">
        <f>Итоговая!S415</f>
        <v>открыт</v>
      </c>
      <c r="L413" s="259" t="str">
        <f>Итоговая!T415</f>
        <v>открыт</v>
      </c>
      <c r="M413" s="2398">
        <f>Итоговая!U415</f>
        <v>46.214285714285715</v>
      </c>
      <c r="N413" s="902"/>
      <c r="O413" s="902"/>
      <c r="P413" s="902"/>
    </row>
    <row r="414" spans="1:16" ht="15" hidden="1" customHeight="1" x14ac:dyDescent="0.25">
      <c r="A414" s="2419">
        <f>Итоговая!A416</f>
        <v>0</v>
      </c>
      <c r="B414" s="2440"/>
      <c r="C414" s="245" t="str">
        <f>Итоговая!C416</f>
        <v xml:space="preserve">Ном. Мощность СН, МВА </v>
      </c>
      <c r="D414" s="246">
        <f>Итоговая!D416</f>
        <v>40</v>
      </c>
      <c r="E414" s="247" t="str">
        <f>Итоговая!E416</f>
        <v>+</v>
      </c>
      <c r="F414" s="247">
        <f>Итоговая!F416</f>
        <v>40</v>
      </c>
      <c r="G414" s="247">
        <f>Итоговая!G416</f>
        <v>0</v>
      </c>
      <c r="H414" s="247">
        <f>Итоговая!H416</f>
        <v>0</v>
      </c>
      <c r="I414" s="250">
        <f>Итоговая!Q416</f>
        <v>40.5</v>
      </c>
      <c r="J414" s="2448">
        <f>Итоговая!R416</f>
        <v>0</v>
      </c>
      <c r="K414" s="2399">
        <f>Итоговая!S416</f>
        <v>0</v>
      </c>
      <c r="L414" s="259" t="str">
        <f>Итоговая!T416</f>
        <v>открыт</v>
      </c>
      <c r="M414" s="2399">
        <f>Итоговая!U416</f>
        <v>0</v>
      </c>
      <c r="N414" s="902"/>
      <c r="O414" s="902"/>
      <c r="P414" s="902"/>
    </row>
    <row r="415" spans="1:16" ht="15" hidden="1" customHeight="1" x14ac:dyDescent="0.25">
      <c r="A415" s="2419">
        <f>Итоговая!A417</f>
        <v>0</v>
      </c>
      <c r="B415" s="2441"/>
      <c r="C415" s="245" t="str">
        <f>Итоговая!C417</f>
        <v>Ном. мощность НН, МВА</v>
      </c>
      <c r="D415" s="246">
        <f>Итоговая!D417</f>
        <v>40</v>
      </c>
      <c r="E415" s="247" t="str">
        <f>Итоговая!E417</f>
        <v>+</v>
      </c>
      <c r="F415" s="247">
        <f>Итоговая!F417</f>
        <v>40</v>
      </c>
      <c r="G415" s="247">
        <f>Итоговая!G417</f>
        <v>0</v>
      </c>
      <c r="H415" s="247">
        <f>Итоговая!H417</f>
        <v>0</v>
      </c>
      <c r="I415" s="250">
        <f>Итоговая!Q417</f>
        <v>29.17</v>
      </c>
      <c r="J415" s="2448">
        <f>Итоговая!R417</f>
        <v>0</v>
      </c>
      <c r="K415" s="2399">
        <f>Итоговая!S417</f>
        <v>0</v>
      </c>
      <c r="L415" s="259" t="str">
        <f>Итоговая!T417</f>
        <v>открыт</v>
      </c>
      <c r="M415" s="2399">
        <f>Итоговая!U417</f>
        <v>0</v>
      </c>
      <c r="N415" s="902"/>
      <c r="O415" s="902"/>
      <c r="P415" s="902"/>
    </row>
    <row r="416" spans="1:16" ht="15" hidden="1" customHeight="1" x14ac:dyDescent="0.25">
      <c r="A416" s="2419">
        <f>Итоговая!A418</f>
        <v>310</v>
      </c>
      <c r="B416" s="2423">
        <f>COUNTIFS($C$8:C416,"*ПС*",$L$8:L416,"*закрыт*")</f>
        <v>64</v>
      </c>
      <c r="C416" s="245" t="str">
        <f>Итоговая!C418</f>
        <v xml:space="preserve">ПС 110/35/10 кВ Стройиндустрия </v>
      </c>
      <c r="D416" s="246">
        <f>Итоговая!D418</f>
        <v>25</v>
      </c>
      <c r="E416" s="247" t="str">
        <f>Итоговая!E418</f>
        <v>+</v>
      </c>
      <c r="F416" s="247">
        <f>Итоговая!F418</f>
        <v>25</v>
      </c>
      <c r="G416" s="247">
        <f>Итоговая!G418</f>
        <v>0</v>
      </c>
      <c r="H416" s="247">
        <f>Итоговая!H418</f>
        <v>0</v>
      </c>
      <c r="I416" s="250">
        <f>Итоговая!Q418</f>
        <v>17.350000000000001</v>
      </c>
      <c r="J416" s="2431">
        <f>Итоговая!R418</f>
        <v>17.350000000000001</v>
      </c>
      <c r="K416" s="2398" t="str">
        <f>Итоговая!S418</f>
        <v>открыт</v>
      </c>
      <c r="L416" s="259" t="str">
        <f>Итоговая!T418</f>
        <v>открыт</v>
      </c>
      <c r="M416" s="2398">
        <f>Итоговая!U418</f>
        <v>35.314285714285717</v>
      </c>
      <c r="N416" s="902"/>
      <c r="O416" s="902"/>
      <c r="P416" s="902"/>
    </row>
    <row r="417" spans="1:16" s="232" customFormat="1" ht="15" hidden="1" customHeight="1" x14ac:dyDescent="0.25">
      <c r="A417" s="2419">
        <f>Итоговая!A419</f>
        <v>0</v>
      </c>
      <c r="B417" s="2440"/>
      <c r="C417" s="245" t="str">
        <f>Итоговая!C419</f>
        <v xml:space="preserve">Ном. Мощность СН, МВА </v>
      </c>
      <c r="D417" s="246">
        <f>Итоговая!D419</f>
        <v>25</v>
      </c>
      <c r="E417" s="247" t="str">
        <f>Итоговая!E419</f>
        <v>+</v>
      </c>
      <c r="F417" s="247">
        <f>Итоговая!F419</f>
        <v>25</v>
      </c>
      <c r="G417" s="247">
        <f>Итоговая!G419</f>
        <v>0</v>
      </c>
      <c r="H417" s="247">
        <f>Итоговая!H419</f>
        <v>0</v>
      </c>
      <c r="I417" s="250">
        <f>Итоговая!Q419</f>
        <v>26.25</v>
      </c>
      <c r="J417" s="2432">
        <f>Итоговая!R419</f>
        <v>0</v>
      </c>
      <c r="K417" s="2399" t="str">
        <f>Итоговая!S419</f>
        <v>открыт</v>
      </c>
      <c r="L417" s="259" t="str">
        <f>Итоговая!T419</f>
        <v>открыт</v>
      </c>
      <c r="M417" s="2399">
        <f>Итоговая!U419</f>
        <v>0</v>
      </c>
      <c r="N417" s="902"/>
      <c r="O417" s="902"/>
      <c r="P417" s="902"/>
    </row>
    <row r="418" spans="1:16" s="232" customFormat="1" ht="15" hidden="1" customHeight="1" x14ac:dyDescent="0.25">
      <c r="A418" s="2419">
        <f>Итоговая!A420</f>
        <v>0</v>
      </c>
      <c r="B418" s="2441"/>
      <c r="C418" s="245" t="str">
        <f>Итоговая!C420</f>
        <v>Ном. мощность НН, МВА</v>
      </c>
      <c r="D418" s="246">
        <f>Итоговая!D420</f>
        <v>25</v>
      </c>
      <c r="E418" s="247" t="str">
        <f>Итоговая!E420</f>
        <v>+</v>
      </c>
      <c r="F418" s="247">
        <f>Итоговая!F420</f>
        <v>25</v>
      </c>
      <c r="G418" s="247">
        <f>Итоговая!G420</f>
        <v>0</v>
      </c>
      <c r="H418" s="247">
        <f>Итоговая!H420</f>
        <v>0</v>
      </c>
      <c r="I418" s="250">
        <f>Итоговая!Q420</f>
        <v>17.350000000000001</v>
      </c>
      <c r="J418" s="2433">
        <f>Итоговая!R420</f>
        <v>0</v>
      </c>
      <c r="K418" s="2399" t="str">
        <f>Итоговая!S420</f>
        <v>открыт</v>
      </c>
      <c r="L418" s="259" t="str">
        <f>Итоговая!T420</f>
        <v>открыт</v>
      </c>
      <c r="M418" s="2399">
        <f>Итоговая!U420</f>
        <v>0</v>
      </c>
      <c r="N418" s="902"/>
      <c r="O418" s="902"/>
      <c r="P418" s="902"/>
    </row>
    <row r="419" spans="1:16" s="232" customFormat="1" ht="15" hidden="1" customHeight="1" x14ac:dyDescent="0.25">
      <c r="A419" s="2419">
        <f>Итоговая!A421</f>
        <v>311</v>
      </c>
      <c r="B419" s="2423">
        <f>COUNTIFS($C$8:C419,"*ПС*",$L$8:L419,"*закрыт*")</f>
        <v>64</v>
      </c>
      <c r="C419" s="245" t="str">
        <f>Итоговая!C421</f>
        <v xml:space="preserve">ПС 110/35/10 кВ Кувшиново  </v>
      </c>
      <c r="D419" s="246">
        <f>Итоговая!D421</f>
        <v>40</v>
      </c>
      <c r="E419" s="247" t="str">
        <f>Итоговая!E421</f>
        <v>+</v>
      </c>
      <c r="F419" s="247">
        <f>Итоговая!F421</f>
        <v>25</v>
      </c>
      <c r="G419" s="247">
        <f>Итоговая!G421</f>
        <v>0</v>
      </c>
      <c r="H419" s="247">
        <f>Итоговая!H421</f>
        <v>0</v>
      </c>
      <c r="I419" s="250">
        <f>Итоговая!Q421</f>
        <v>2.6900000000000048</v>
      </c>
      <c r="J419" s="2431">
        <f>Итоговая!R421</f>
        <v>2.6900000000000048</v>
      </c>
      <c r="K419" s="2398" t="str">
        <f>Итоговая!S421</f>
        <v>открыт</v>
      </c>
      <c r="L419" s="259" t="str">
        <f>Итоговая!T421</f>
        <v>открыт</v>
      </c>
      <c r="M419" s="2398">
        <f>Итоговая!U421</f>
        <v>96.799999999999983</v>
      </c>
      <c r="N419" s="902"/>
      <c r="O419" s="902"/>
      <c r="P419" s="902"/>
    </row>
    <row r="420" spans="1:16" s="232" customFormat="1" ht="15" hidden="1" customHeight="1" x14ac:dyDescent="0.25">
      <c r="A420" s="2419">
        <f>Итоговая!A422</f>
        <v>0</v>
      </c>
      <c r="B420" s="2440"/>
      <c r="C420" s="245" t="str">
        <f>Итоговая!C422</f>
        <v xml:space="preserve">Ном. Мощность СН, МВА </v>
      </c>
      <c r="D420" s="246">
        <f>Итоговая!D422</f>
        <v>40</v>
      </c>
      <c r="E420" s="247" t="str">
        <f>Итоговая!E422</f>
        <v>+</v>
      </c>
      <c r="F420" s="247">
        <f>Итоговая!F422</f>
        <v>25</v>
      </c>
      <c r="G420" s="247">
        <f>Итоговая!G422</f>
        <v>0</v>
      </c>
      <c r="H420" s="247">
        <f>Итоговая!H422</f>
        <v>0</v>
      </c>
      <c r="I420" s="250">
        <f>Итоговая!Q422</f>
        <v>25.34</v>
      </c>
      <c r="J420" s="2432">
        <f>Итоговая!R422</f>
        <v>0</v>
      </c>
      <c r="K420" s="2399" t="str">
        <f>Итоговая!S422</f>
        <v>открыт</v>
      </c>
      <c r="L420" s="259" t="str">
        <f>Итоговая!T422</f>
        <v>открыт</v>
      </c>
      <c r="M420" s="2399">
        <f>Итоговая!U422</f>
        <v>0</v>
      </c>
      <c r="N420" s="902"/>
      <c r="O420" s="902"/>
      <c r="P420" s="902"/>
    </row>
    <row r="421" spans="1:16" s="232" customFormat="1" ht="15" hidden="1" customHeight="1" x14ac:dyDescent="0.25">
      <c r="A421" s="2419">
        <f>Итоговая!A423</f>
        <v>0</v>
      </c>
      <c r="B421" s="2441"/>
      <c r="C421" s="245" t="str">
        <f>Итоговая!C423</f>
        <v>Ном. мощность НН, МВА</v>
      </c>
      <c r="D421" s="246">
        <f>Итоговая!D423</f>
        <v>40</v>
      </c>
      <c r="E421" s="247" t="str">
        <f>Итоговая!E423</f>
        <v>+</v>
      </c>
      <c r="F421" s="247">
        <f>Итоговая!F423</f>
        <v>25</v>
      </c>
      <c r="G421" s="247">
        <f>Итоговая!G423</f>
        <v>0</v>
      </c>
      <c r="H421" s="247">
        <f>Итоговая!H423</f>
        <v>0</v>
      </c>
      <c r="I421" s="250">
        <f>Итоговая!Q423</f>
        <v>3.6000000000000014</v>
      </c>
      <c r="J421" s="2433">
        <f>Итоговая!R423</f>
        <v>0</v>
      </c>
      <c r="K421" s="2399" t="str">
        <f>Итоговая!S423</f>
        <v>открыт</v>
      </c>
      <c r="L421" s="259" t="str">
        <f>Итоговая!T423</f>
        <v>открыт</v>
      </c>
      <c r="M421" s="2399">
        <f>Итоговая!U423</f>
        <v>0</v>
      </c>
      <c r="N421" s="902"/>
      <c r="O421" s="902"/>
      <c r="P421" s="902"/>
    </row>
    <row r="422" spans="1:16" s="232" customFormat="1" ht="15" hidden="1" customHeight="1" x14ac:dyDescent="0.25">
      <c r="A422" s="2419">
        <f>Итоговая!A424</f>
        <v>312</v>
      </c>
      <c r="B422" s="2423">
        <f>COUNTIFS($C$8:C422,"*ПС*",$L$8:L422,"*закрыт*")</f>
        <v>64</v>
      </c>
      <c r="C422" s="245" t="str">
        <f>Итоговая!C424</f>
        <v xml:space="preserve">ПС 110/35/10 кВ Селижарово  </v>
      </c>
      <c r="D422" s="246">
        <f>Итоговая!D424</f>
        <v>16</v>
      </c>
      <c r="E422" s="247" t="str">
        <f>Итоговая!E424</f>
        <v>+</v>
      </c>
      <c r="F422" s="247">
        <f>Итоговая!F424</f>
        <v>10</v>
      </c>
      <c r="G422" s="247">
        <f>Итоговая!G424</f>
        <v>0</v>
      </c>
      <c r="H422" s="247">
        <f>Итоговая!H424</f>
        <v>0</v>
      </c>
      <c r="I422" s="250">
        <f>Итоговая!Q424</f>
        <v>3.96</v>
      </c>
      <c r="J422" s="2431">
        <f>Итоговая!R424</f>
        <v>3.96</v>
      </c>
      <c r="K422" s="2398" t="str">
        <f>Итоговая!S424</f>
        <v>открыт</v>
      </c>
      <c r="L422" s="259" t="str">
        <f>Итоговая!T424</f>
        <v>открыт</v>
      </c>
      <c r="M422" s="2398">
        <f>Итоговая!U424</f>
        <v>62.285714285714285</v>
      </c>
      <c r="N422" s="902"/>
      <c r="O422" s="902"/>
      <c r="P422" s="902"/>
    </row>
    <row r="423" spans="1:16" s="232" customFormat="1" ht="15" hidden="1" customHeight="1" x14ac:dyDescent="0.25">
      <c r="A423" s="2419">
        <f>Итоговая!A425</f>
        <v>0</v>
      </c>
      <c r="B423" s="2440"/>
      <c r="C423" s="245" t="str">
        <f>Итоговая!C425</f>
        <v xml:space="preserve">Ном. Мощность СН, МВА </v>
      </c>
      <c r="D423" s="246">
        <f>Итоговая!D425</f>
        <v>16</v>
      </c>
      <c r="E423" s="247" t="str">
        <f>Итоговая!E425</f>
        <v>+</v>
      </c>
      <c r="F423" s="247">
        <f>Итоговая!F425</f>
        <v>10</v>
      </c>
      <c r="G423" s="247">
        <f>Итоговая!G425</f>
        <v>0</v>
      </c>
      <c r="H423" s="247">
        <f>Итоговая!H425</f>
        <v>0</v>
      </c>
      <c r="I423" s="250">
        <f>Итоговая!Q425</f>
        <v>8.5</v>
      </c>
      <c r="J423" s="2432">
        <f>Итоговая!R425</f>
        <v>0</v>
      </c>
      <c r="K423" s="2399" t="str">
        <f>Итоговая!S425</f>
        <v>открыт</v>
      </c>
      <c r="L423" s="259" t="str">
        <f>Итоговая!T425</f>
        <v>открыт</v>
      </c>
      <c r="M423" s="2399">
        <f>Итоговая!U425</f>
        <v>0</v>
      </c>
      <c r="N423" s="902"/>
      <c r="O423" s="902"/>
      <c r="P423" s="902"/>
    </row>
    <row r="424" spans="1:16" s="232" customFormat="1" ht="15" hidden="1" customHeight="1" x14ac:dyDescent="0.25">
      <c r="A424" s="2419">
        <f>Итоговая!A426</f>
        <v>0</v>
      </c>
      <c r="B424" s="2441"/>
      <c r="C424" s="245" t="str">
        <f>Итоговая!C426</f>
        <v>Ном. мощность НН, МВА</v>
      </c>
      <c r="D424" s="246">
        <f>Итоговая!D426</f>
        <v>16</v>
      </c>
      <c r="E424" s="247" t="str">
        <f>Итоговая!E426</f>
        <v>+</v>
      </c>
      <c r="F424" s="247">
        <f>Итоговая!F426</f>
        <v>10</v>
      </c>
      <c r="G424" s="247">
        <f>Итоговая!G426</f>
        <v>0</v>
      </c>
      <c r="H424" s="247">
        <f>Итоговая!H426</f>
        <v>0</v>
      </c>
      <c r="I424" s="250">
        <f>Итоговая!Q426</f>
        <v>5.96</v>
      </c>
      <c r="J424" s="2433">
        <f>Итоговая!R426</f>
        <v>0</v>
      </c>
      <c r="K424" s="2399" t="str">
        <f>Итоговая!S426</f>
        <v>открыт</v>
      </c>
      <c r="L424" s="259" t="str">
        <f>Итоговая!T426</f>
        <v>открыт</v>
      </c>
      <c r="M424" s="2399">
        <f>Итоговая!U426</f>
        <v>0</v>
      </c>
      <c r="N424" s="902"/>
      <c r="O424" s="902"/>
      <c r="P424" s="902"/>
    </row>
    <row r="425" spans="1:16" s="232" customFormat="1" ht="15" hidden="1" customHeight="1" x14ac:dyDescent="0.25">
      <c r="A425" s="2419">
        <f>Итоговая!A427</f>
        <v>313</v>
      </c>
      <c r="B425" s="2423">
        <f>COUNTIFS($C$8:C425,"*ПС*",$L$8:L425,"*закрыт*")</f>
        <v>64</v>
      </c>
      <c r="C425" s="245" t="str">
        <f>Итоговая!C427</f>
        <v xml:space="preserve">ПС 110/35/10 кВ НПС Борисово </v>
      </c>
      <c r="D425" s="246">
        <f>Итоговая!D427</f>
        <v>25</v>
      </c>
      <c r="E425" s="247" t="str">
        <f>Итоговая!E427</f>
        <v>+</v>
      </c>
      <c r="F425" s="247">
        <f>Итоговая!F427</f>
        <v>25</v>
      </c>
      <c r="G425" s="247">
        <f>Итоговая!G427</f>
        <v>0</v>
      </c>
      <c r="H425" s="247">
        <f>Итоговая!H427</f>
        <v>0</v>
      </c>
      <c r="I425" s="250">
        <f>Итоговая!Q427</f>
        <v>25.65</v>
      </c>
      <c r="J425" s="2431">
        <f>Итоговая!R427</f>
        <v>25.65</v>
      </c>
      <c r="K425" s="2398" t="str">
        <f>Итоговая!S427</f>
        <v>открыт</v>
      </c>
      <c r="L425" s="259" t="str">
        <f>Итоговая!T427</f>
        <v>открыт</v>
      </c>
      <c r="M425" s="2398">
        <f>Итоговая!U427</f>
        <v>3.7714285714285714</v>
      </c>
      <c r="N425" s="902"/>
      <c r="O425" s="902"/>
      <c r="P425" s="902"/>
    </row>
    <row r="426" spans="1:16" s="232" customFormat="1" ht="15" hidden="1" customHeight="1" x14ac:dyDescent="0.25">
      <c r="A426" s="2419">
        <f>Итоговая!A428</f>
        <v>0</v>
      </c>
      <c r="B426" s="2440"/>
      <c r="C426" s="245" t="str">
        <f>Итоговая!C428</f>
        <v xml:space="preserve">Ном. Мощность СН, МВА </v>
      </c>
      <c r="D426" s="246">
        <f>Итоговая!D428</f>
        <v>25</v>
      </c>
      <c r="E426" s="247" t="str">
        <f>Итоговая!E428</f>
        <v>+</v>
      </c>
      <c r="F426" s="247">
        <f>Итоговая!F428</f>
        <v>25</v>
      </c>
      <c r="G426" s="247">
        <f>Итоговая!G428</f>
        <v>0</v>
      </c>
      <c r="H426" s="247">
        <f>Итоговая!H428</f>
        <v>0</v>
      </c>
      <c r="I426" s="250">
        <f>Итоговая!Q428</f>
        <v>26</v>
      </c>
      <c r="J426" s="2432">
        <f>Итоговая!R428</f>
        <v>0</v>
      </c>
      <c r="K426" s="2399" t="str">
        <f>Итоговая!S428</f>
        <v>открыт</v>
      </c>
      <c r="L426" s="259" t="str">
        <f>Итоговая!T428</f>
        <v>открыт</v>
      </c>
      <c r="M426" s="2399">
        <f>Итоговая!U428</f>
        <v>0</v>
      </c>
      <c r="N426" s="902"/>
      <c r="O426" s="902"/>
      <c r="P426" s="902"/>
    </row>
    <row r="427" spans="1:16" s="232" customFormat="1" ht="15" hidden="1" customHeight="1" x14ac:dyDescent="0.25">
      <c r="A427" s="2419">
        <f>Итоговая!A429</f>
        <v>0</v>
      </c>
      <c r="B427" s="2441"/>
      <c r="C427" s="245" t="str">
        <f>Итоговая!C429</f>
        <v>Ном. мощность НН, МВА</v>
      </c>
      <c r="D427" s="246">
        <f>Итоговая!D429</f>
        <v>25</v>
      </c>
      <c r="E427" s="247" t="str">
        <f>Итоговая!E429</f>
        <v>+</v>
      </c>
      <c r="F427" s="247">
        <f>Итоговая!F429</f>
        <v>25</v>
      </c>
      <c r="G427" s="247">
        <f>Итоговая!G429</f>
        <v>0</v>
      </c>
      <c r="H427" s="247">
        <f>Итоговая!H429</f>
        <v>0</v>
      </c>
      <c r="I427" s="250">
        <f>Итоговая!Q429</f>
        <v>25.9</v>
      </c>
      <c r="J427" s="2433">
        <f>Итоговая!R429</f>
        <v>0</v>
      </c>
      <c r="K427" s="2399" t="str">
        <f>Итоговая!S429</f>
        <v>открыт</v>
      </c>
      <c r="L427" s="259" t="str">
        <f>Итоговая!T429</f>
        <v>открыт</v>
      </c>
      <c r="M427" s="2399">
        <f>Итоговая!U429</f>
        <v>0</v>
      </c>
      <c r="N427" s="902"/>
      <c r="O427" s="902"/>
      <c r="P427" s="902"/>
    </row>
    <row r="428" spans="1:16" ht="20.100000000000001" hidden="1" customHeight="1" x14ac:dyDescent="0.25">
      <c r="A428" s="2419">
        <f>Итоговая!A430</f>
        <v>314</v>
      </c>
      <c r="B428" s="2423">
        <f>COUNTIFS($C$8:C428,"*ПС*",$L$8:L428,"*закрыт*")</f>
        <v>64</v>
      </c>
      <c r="C428" s="245" t="str">
        <f>Итоговая!C430</f>
        <v xml:space="preserve">ПС 110/35/10 кВ Осташков  </v>
      </c>
      <c r="D428" s="246">
        <f>Итоговая!D430</f>
        <v>25</v>
      </c>
      <c r="E428" s="247" t="str">
        <f>Итоговая!E430</f>
        <v>+</v>
      </c>
      <c r="F428" s="247">
        <f>Итоговая!F430</f>
        <v>25</v>
      </c>
      <c r="G428" s="247">
        <f>Итоговая!G430</f>
        <v>0</v>
      </c>
      <c r="H428" s="247">
        <f>Итоговая!H430</f>
        <v>0</v>
      </c>
      <c r="I428" s="250">
        <f>Итоговая!Q430</f>
        <v>11.84</v>
      </c>
      <c r="J428" s="2448">
        <f>Итоговая!R430</f>
        <v>11.84</v>
      </c>
      <c r="K428" s="2398" t="str">
        <f>Итоговая!S430</f>
        <v>открыт</v>
      </c>
      <c r="L428" s="259" t="str">
        <f>Итоговая!T430</f>
        <v>открыт</v>
      </c>
      <c r="M428" s="2398">
        <f>Итоговая!U430</f>
        <v>54.895238095238092</v>
      </c>
      <c r="N428" s="902"/>
      <c r="O428" s="902"/>
      <c r="P428" s="902"/>
    </row>
    <row r="429" spans="1:16" ht="20.100000000000001" hidden="1" customHeight="1" x14ac:dyDescent="0.25">
      <c r="A429" s="2419">
        <f>Итоговая!A431</f>
        <v>0</v>
      </c>
      <c r="B429" s="2440"/>
      <c r="C429" s="245" t="str">
        <f>Итоговая!C431</f>
        <v xml:space="preserve">Ном. Мощность СН, МВА </v>
      </c>
      <c r="D429" s="246">
        <f>Итоговая!D431</f>
        <v>25</v>
      </c>
      <c r="E429" s="247" t="str">
        <f>Итоговая!E431</f>
        <v>+</v>
      </c>
      <c r="F429" s="247">
        <f>Итоговая!F431</f>
        <v>25</v>
      </c>
      <c r="G429" s="247">
        <f>Итоговая!G431</f>
        <v>0</v>
      </c>
      <c r="H429" s="247">
        <f>Итоговая!H431</f>
        <v>0</v>
      </c>
      <c r="I429" s="250">
        <f>Итоговая!Q431</f>
        <v>24.76</v>
      </c>
      <c r="J429" s="2448">
        <f>Итоговая!R431</f>
        <v>0</v>
      </c>
      <c r="K429" s="2399">
        <f>Итоговая!S431</f>
        <v>0</v>
      </c>
      <c r="L429" s="259" t="str">
        <f>Итоговая!T431</f>
        <v>открыт</v>
      </c>
      <c r="M429" s="2399">
        <f>Итоговая!U431</f>
        <v>0</v>
      </c>
      <c r="N429" s="902"/>
      <c r="O429" s="902"/>
      <c r="P429" s="902"/>
    </row>
    <row r="430" spans="1:16" ht="20.100000000000001" hidden="1" customHeight="1" x14ac:dyDescent="0.25">
      <c r="A430" s="2419">
        <f>Итоговая!A432</f>
        <v>0</v>
      </c>
      <c r="B430" s="2441"/>
      <c r="C430" s="245" t="str">
        <f>Итоговая!C432</f>
        <v>Ном. мощность НН, МВА</v>
      </c>
      <c r="D430" s="246">
        <f>Итоговая!D432</f>
        <v>25</v>
      </c>
      <c r="E430" s="247" t="str">
        <f>Итоговая!E432</f>
        <v>+</v>
      </c>
      <c r="F430" s="247">
        <f>Итоговая!F432</f>
        <v>25</v>
      </c>
      <c r="G430" s="247">
        <f>Итоговая!G432</f>
        <v>0</v>
      </c>
      <c r="H430" s="247">
        <f>Итоговая!H432</f>
        <v>0</v>
      </c>
      <c r="I430" s="250">
        <f>Итоговая!Q432</f>
        <v>13.33</v>
      </c>
      <c r="J430" s="2448">
        <f>Итоговая!R432</f>
        <v>0</v>
      </c>
      <c r="K430" s="2399">
        <f>Итоговая!S432</f>
        <v>0</v>
      </c>
      <c r="L430" s="259" t="str">
        <f>Итоговая!T432</f>
        <v>открыт</v>
      </c>
      <c r="M430" s="2399">
        <f>Итоговая!U432</f>
        <v>0</v>
      </c>
      <c r="N430" s="902"/>
      <c r="O430" s="902"/>
      <c r="P430" s="902"/>
    </row>
    <row r="431" spans="1:16" s="232" customFormat="1" hidden="1" x14ac:dyDescent="0.25">
      <c r="A431" s="2419">
        <f>Итоговая!A433</f>
        <v>315</v>
      </c>
      <c r="B431" s="2423">
        <f>COUNTIFS($C$8:C431,"*ПС*",$L$8:L431,"*закрыт*")</f>
        <v>64</v>
      </c>
      <c r="C431" s="245" t="str">
        <f>Итоговая!C433</f>
        <v xml:space="preserve">ПС  110/35/10 кВ Н. Рожок </v>
      </c>
      <c r="D431" s="891">
        <f>Итоговая!D433</f>
        <v>10</v>
      </c>
      <c r="E431" s="245" t="str">
        <f>Итоговая!E433</f>
        <v>+</v>
      </c>
      <c r="F431" s="245">
        <f>Итоговая!F433</f>
        <v>10</v>
      </c>
      <c r="G431" s="245">
        <f>Итоговая!G433</f>
        <v>0</v>
      </c>
      <c r="H431" s="245">
        <f>Итоговая!H433</f>
        <v>0</v>
      </c>
      <c r="I431" s="250">
        <f>Итоговая!Q433</f>
        <v>4</v>
      </c>
      <c r="J431" s="2448">
        <f>Итоговая!R433</f>
        <v>4</v>
      </c>
      <c r="K431" s="2398" t="str">
        <f>Итоговая!S433</f>
        <v>открыт</v>
      </c>
      <c r="L431" s="259" t="str">
        <f>Итоговая!T433</f>
        <v>открыт</v>
      </c>
      <c r="M431" s="2398">
        <f>Итоговая!U433</f>
        <v>61.904761904761905</v>
      </c>
      <c r="N431" s="902"/>
      <c r="O431" s="902"/>
      <c r="P431" s="902"/>
    </row>
    <row r="432" spans="1:16" s="232" customFormat="1" ht="15" hidden="1" customHeight="1" x14ac:dyDescent="0.25">
      <c r="A432" s="2419">
        <f>Итоговая!A434</f>
        <v>0</v>
      </c>
      <c r="B432" s="2440"/>
      <c r="C432" s="245" t="str">
        <f>Итоговая!C434</f>
        <v xml:space="preserve">Ном. Мощность СН, МВА </v>
      </c>
      <c r="D432" s="891">
        <f>Итоговая!D434</f>
        <v>10</v>
      </c>
      <c r="E432" s="245" t="str">
        <f>Итоговая!E434</f>
        <v>+</v>
      </c>
      <c r="F432" s="245">
        <f>Итоговая!F434</f>
        <v>10</v>
      </c>
      <c r="G432" s="245">
        <f>Итоговая!G434</f>
        <v>0</v>
      </c>
      <c r="H432" s="245">
        <f>Итоговая!H434</f>
        <v>0</v>
      </c>
      <c r="I432" s="250">
        <f>Итоговая!Q434</f>
        <v>6.9</v>
      </c>
      <c r="J432" s="2448">
        <f>Итоговая!R434</f>
        <v>0</v>
      </c>
      <c r="K432" s="2398">
        <f>Итоговая!S434</f>
        <v>0</v>
      </c>
      <c r="L432" s="259" t="str">
        <f>Итоговая!T434</f>
        <v>открыт</v>
      </c>
      <c r="M432" s="2398">
        <f>Итоговая!U434</f>
        <v>0</v>
      </c>
      <c r="N432" s="902"/>
      <c r="O432" s="902"/>
      <c r="P432" s="902"/>
    </row>
    <row r="433" spans="1:16" ht="15.75" hidden="1" customHeight="1" x14ac:dyDescent="0.25">
      <c r="A433" s="2419">
        <f>Итоговая!A435</f>
        <v>0</v>
      </c>
      <c r="B433" s="2441"/>
      <c r="C433" s="245" t="str">
        <f>Итоговая!C435</f>
        <v>Ном. мощность НН, МВА</v>
      </c>
      <c r="D433" s="891">
        <f>Итоговая!D435</f>
        <v>10</v>
      </c>
      <c r="E433" s="245" t="str">
        <f>Итоговая!E435</f>
        <v>+</v>
      </c>
      <c r="F433" s="245">
        <f>Итоговая!F435</f>
        <v>10</v>
      </c>
      <c r="G433" s="245">
        <f>Итоговая!G435</f>
        <v>0</v>
      </c>
      <c r="H433" s="245">
        <f>Итоговая!H435</f>
        <v>0</v>
      </c>
      <c r="I433" s="250">
        <f>Итоговая!Q435</f>
        <v>7.6</v>
      </c>
      <c r="J433" s="2448">
        <f>Итоговая!R435</f>
        <v>0</v>
      </c>
      <c r="K433" s="2398">
        <f>Итоговая!S435</f>
        <v>0</v>
      </c>
      <c r="L433" s="259" t="str">
        <f>Итоговая!T435</f>
        <v>открыт</v>
      </c>
      <c r="M433" s="2398">
        <f>Итоговая!U435</f>
        <v>0</v>
      </c>
      <c r="N433" s="902"/>
      <c r="O433" s="902"/>
      <c r="P433" s="902"/>
    </row>
    <row r="434" spans="1:16" ht="15.75" x14ac:dyDescent="0.25">
      <c r="B434" s="903"/>
      <c r="C434" s="2492" t="s">
        <v>772</v>
      </c>
      <c r="D434" s="2493"/>
      <c r="E434" s="2493"/>
      <c r="F434" s="2493"/>
      <c r="G434" s="2493"/>
      <c r="H434" s="2493"/>
      <c r="I434" s="2494"/>
      <c r="J434" s="904">
        <f>SUMIFS(J8:J433,C8:C433,"*ПС*",L8:L433,"*закрыт*")</f>
        <v>-36.63555819999776</v>
      </c>
      <c r="K434" s="233"/>
      <c r="L434" s="1224" t="s">
        <v>3333</v>
      </c>
      <c r="M434" s="233"/>
      <c r="N434" s="903"/>
    </row>
    <row r="435" spans="1:16" x14ac:dyDescent="0.25">
      <c r="A435" s="261"/>
      <c r="K435" s="903"/>
      <c r="L435" s="903"/>
      <c r="M435" s="903"/>
      <c r="N435" s="903"/>
    </row>
    <row r="436" spans="1:16" x14ac:dyDescent="0.25">
      <c r="K436" s="233"/>
      <c r="L436" s="233"/>
      <c r="M436" s="233"/>
    </row>
    <row r="437" spans="1:16" x14ac:dyDescent="0.25">
      <c r="K437" s="233"/>
      <c r="L437" s="233"/>
      <c r="M437" s="233"/>
    </row>
    <row r="438" spans="1:16" x14ac:dyDescent="0.25">
      <c r="K438" s="233"/>
      <c r="L438" s="233"/>
      <c r="M438" s="233"/>
    </row>
    <row r="439" spans="1:16" x14ac:dyDescent="0.25">
      <c r="K439" s="233"/>
      <c r="L439" s="233"/>
      <c r="M439" s="233"/>
    </row>
    <row r="440" spans="1:16" x14ac:dyDescent="0.25">
      <c r="K440" s="233"/>
      <c r="L440" s="233"/>
      <c r="M440" s="233"/>
    </row>
    <row r="441" spans="1:16" x14ac:dyDescent="0.25">
      <c r="K441" s="233"/>
      <c r="L441" s="233"/>
      <c r="M441" s="233"/>
    </row>
    <row r="442" spans="1:16" x14ac:dyDescent="0.25">
      <c r="K442" s="233"/>
      <c r="L442" s="233"/>
      <c r="M442" s="233"/>
    </row>
    <row r="443" spans="1:16" x14ac:dyDescent="0.25">
      <c r="K443" s="233"/>
      <c r="L443" s="233"/>
      <c r="M443" s="233"/>
    </row>
    <row r="444" spans="1:16" x14ac:dyDescent="0.25">
      <c r="K444" s="233"/>
      <c r="L444" s="233"/>
      <c r="M444" s="233"/>
    </row>
    <row r="445" spans="1:16" x14ac:dyDescent="0.25">
      <c r="K445" s="233"/>
      <c r="L445" s="233"/>
      <c r="M445" s="233"/>
    </row>
    <row r="446" spans="1:16" x14ac:dyDescent="0.25">
      <c r="K446" s="233"/>
      <c r="L446" s="233"/>
      <c r="M446" s="233"/>
    </row>
    <row r="447" spans="1:16" x14ac:dyDescent="0.25">
      <c r="K447" s="233"/>
      <c r="L447" s="233"/>
      <c r="M447" s="233"/>
    </row>
    <row r="448" spans="1:16" x14ac:dyDescent="0.25">
      <c r="K448" s="233"/>
      <c r="L448" s="233"/>
      <c r="M448" s="233"/>
    </row>
    <row r="449" spans="7:13" x14ac:dyDescent="0.25">
      <c r="K449" s="233"/>
      <c r="L449" s="233"/>
      <c r="M449" s="233"/>
    </row>
    <row r="450" spans="7:13" x14ac:dyDescent="0.25">
      <c r="K450" s="233"/>
      <c r="L450" s="233"/>
      <c r="M450" s="233"/>
    </row>
    <row r="451" spans="7:13" x14ac:dyDescent="0.25">
      <c r="K451" s="233"/>
      <c r="L451" s="233"/>
      <c r="M451" s="233"/>
    </row>
    <row r="452" spans="7:13" x14ac:dyDescent="0.25">
      <c r="G452" s="233" t="s">
        <v>3454</v>
      </c>
      <c r="K452" s="233"/>
      <c r="L452" s="233"/>
      <c r="M452" s="233"/>
    </row>
    <row r="453" spans="7:13" x14ac:dyDescent="0.25">
      <c r="K453" s="233"/>
      <c r="L453" s="233"/>
      <c r="M453" s="233"/>
    </row>
    <row r="454" spans="7:13" x14ac:dyDescent="0.25">
      <c r="K454" s="233"/>
      <c r="L454" s="233"/>
      <c r="M454" s="233"/>
    </row>
    <row r="455" spans="7:13" x14ac:dyDescent="0.25">
      <c r="K455" s="233"/>
      <c r="L455" s="233"/>
      <c r="M455" s="233"/>
    </row>
    <row r="456" spans="7:13" x14ac:dyDescent="0.25">
      <c r="K456" s="233"/>
      <c r="L456" s="233"/>
      <c r="M456" s="233"/>
    </row>
    <row r="457" spans="7:13" x14ac:dyDescent="0.25">
      <c r="K457" s="233"/>
      <c r="L457" s="233"/>
      <c r="M457" s="233"/>
    </row>
    <row r="458" spans="7:13" x14ac:dyDescent="0.25">
      <c r="K458" s="233"/>
      <c r="L458" s="233"/>
      <c r="M458" s="233"/>
    </row>
    <row r="459" spans="7:13" x14ac:dyDescent="0.25">
      <c r="K459" s="233"/>
      <c r="L459" s="233"/>
      <c r="M459" s="233"/>
    </row>
    <row r="460" spans="7:13" x14ac:dyDescent="0.25">
      <c r="K460" s="233"/>
      <c r="L460" s="233"/>
      <c r="M460" s="233"/>
    </row>
    <row r="461" spans="7:13" x14ac:dyDescent="0.25">
      <c r="K461" s="233"/>
      <c r="L461" s="233"/>
      <c r="M461" s="233"/>
    </row>
  </sheetData>
  <autoFilter ref="A7:M434">
    <filterColumn colId="3" showButton="0"/>
    <filterColumn colId="4" showButton="0"/>
    <filterColumn colId="5" showButton="0"/>
    <filterColumn colId="6" showButton="0"/>
    <filterColumn colId="11">
      <filters>
        <filter val="закрыт"/>
      </filters>
    </filterColumn>
  </autoFilter>
  <mergeCells count="285">
    <mergeCell ref="D7:H7"/>
    <mergeCell ref="A422:A424"/>
    <mergeCell ref="A69:A71"/>
    <mergeCell ref="A75:A77"/>
    <mergeCell ref="A132:A134"/>
    <mergeCell ref="J39:J41"/>
    <mergeCell ref="J60:J62"/>
    <mergeCell ref="J69:J71"/>
    <mergeCell ref="J75:J77"/>
    <mergeCell ref="J132:J134"/>
    <mergeCell ref="B416:B418"/>
    <mergeCell ref="B42:B44"/>
    <mergeCell ref="A138:A140"/>
    <mergeCell ref="A144:A146"/>
    <mergeCell ref="A150:A152"/>
    <mergeCell ref="A182:A184"/>
    <mergeCell ref="A188:A190"/>
    <mergeCell ref="A66:A68"/>
    <mergeCell ref="J66:J68"/>
    <mergeCell ref="A135:A137"/>
    <mergeCell ref="J135:J137"/>
    <mergeCell ref="A141:A143"/>
    <mergeCell ref="J141:J143"/>
    <mergeCell ref="A153:A155"/>
    <mergeCell ref="B4:B6"/>
    <mergeCell ref="K4:K6"/>
    <mergeCell ref="A4:A6"/>
    <mergeCell ref="C4:C6"/>
    <mergeCell ref="M4:M6"/>
    <mergeCell ref="D5:H6"/>
    <mergeCell ref="D4:J4"/>
    <mergeCell ref="L4:L6"/>
    <mergeCell ref="I5:J6"/>
    <mergeCell ref="K66:K68"/>
    <mergeCell ref="M66:M68"/>
    <mergeCell ref="B66:B68"/>
    <mergeCell ref="K60:K62"/>
    <mergeCell ref="K45:K47"/>
    <mergeCell ref="K39:K41"/>
    <mergeCell ref="M60:M62"/>
    <mergeCell ref="A63:A65"/>
    <mergeCell ref="J63:J65"/>
    <mergeCell ref="K63:K65"/>
    <mergeCell ref="M63:M65"/>
    <mergeCell ref="B63:B65"/>
    <mergeCell ref="B45:B47"/>
    <mergeCell ref="M39:M41"/>
    <mergeCell ref="A42:A44"/>
    <mergeCell ref="J42:J44"/>
    <mergeCell ref="K42:K44"/>
    <mergeCell ref="M42:M44"/>
    <mergeCell ref="A60:A62"/>
    <mergeCell ref="A39:A41"/>
    <mergeCell ref="B39:B41"/>
    <mergeCell ref="B48:B50"/>
    <mergeCell ref="K75:K77"/>
    <mergeCell ref="M75:M77"/>
    <mergeCell ref="B75:B77"/>
    <mergeCell ref="A72:A74"/>
    <mergeCell ref="J72:J74"/>
    <mergeCell ref="K72:K74"/>
    <mergeCell ref="M72:M74"/>
    <mergeCell ref="B72:B74"/>
    <mergeCell ref="K69:K71"/>
    <mergeCell ref="M69:M71"/>
    <mergeCell ref="B69:B71"/>
    <mergeCell ref="K135:K137"/>
    <mergeCell ref="M135:M137"/>
    <mergeCell ref="B135:B137"/>
    <mergeCell ref="K132:K134"/>
    <mergeCell ref="M132:M134"/>
    <mergeCell ref="B132:B134"/>
    <mergeCell ref="A129:A131"/>
    <mergeCell ref="J129:J131"/>
    <mergeCell ref="K129:K131"/>
    <mergeCell ref="M129:M131"/>
    <mergeCell ref="B129:B131"/>
    <mergeCell ref="K141:K143"/>
    <mergeCell ref="M141:M143"/>
    <mergeCell ref="B141:B143"/>
    <mergeCell ref="J138:J140"/>
    <mergeCell ref="K138:K140"/>
    <mergeCell ref="M138:M140"/>
    <mergeCell ref="B138:B140"/>
    <mergeCell ref="A147:A149"/>
    <mergeCell ref="J147:J149"/>
    <mergeCell ref="K147:K149"/>
    <mergeCell ref="M147:M149"/>
    <mergeCell ref="B147:B149"/>
    <mergeCell ref="J144:J146"/>
    <mergeCell ref="K144:K146"/>
    <mergeCell ref="M144:M146"/>
    <mergeCell ref="B144:B146"/>
    <mergeCell ref="J153:J155"/>
    <mergeCell ref="K153:K155"/>
    <mergeCell ref="M153:M155"/>
    <mergeCell ref="B153:B155"/>
    <mergeCell ref="J150:J152"/>
    <mergeCell ref="K150:K152"/>
    <mergeCell ref="M150:M152"/>
    <mergeCell ref="B150:B152"/>
    <mergeCell ref="A185:A187"/>
    <mergeCell ref="J185:J187"/>
    <mergeCell ref="K185:K187"/>
    <mergeCell ref="M185:M187"/>
    <mergeCell ref="B185:B187"/>
    <mergeCell ref="J182:J184"/>
    <mergeCell ref="K182:K184"/>
    <mergeCell ref="M182:M184"/>
    <mergeCell ref="B182:B184"/>
    <mergeCell ref="A191:A193"/>
    <mergeCell ref="J191:J193"/>
    <mergeCell ref="K191:K193"/>
    <mergeCell ref="M191:M193"/>
    <mergeCell ref="B191:B193"/>
    <mergeCell ref="J188:J190"/>
    <mergeCell ref="K188:K190"/>
    <mergeCell ref="M188:M190"/>
    <mergeCell ref="B188:B190"/>
    <mergeCell ref="A197:A199"/>
    <mergeCell ref="J197:J199"/>
    <mergeCell ref="K197:K199"/>
    <mergeCell ref="M197:M199"/>
    <mergeCell ref="B197:B199"/>
    <mergeCell ref="A194:A196"/>
    <mergeCell ref="J194:J196"/>
    <mergeCell ref="K194:K196"/>
    <mergeCell ref="M194:M196"/>
    <mergeCell ref="B194:B196"/>
    <mergeCell ref="K267:K269"/>
    <mergeCell ref="M267:M269"/>
    <mergeCell ref="B267:B269"/>
    <mergeCell ref="A203:A205"/>
    <mergeCell ref="J203:J205"/>
    <mergeCell ref="K203:K205"/>
    <mergeCell ref="M203:M205"/>
    <mergeCell ref="B203:B205"/>
    <mergeCell ref="A200:A202"/>
    <mergeCell ref="J200:J202"/>
    <mergeCell ref="K200:K202"/>
    <mergeCell ref="M200:M202"/>
    <mergeCell ref="B200:B202"/>
    <mergeCell ref="M231:M233"/>
    <mergeCell ref="M234:M236"/>
    <mergeCell ref="M237:M239"/>
    <mergeCell ref="M240:M242"/>
    <mergeCell ref="K273:K275"/>
    <mergeCell ref="M273:M275"/>
    <mergeCell ref="B273:B275"/>
    <mergeCell ref="A349:A351"/>
    <mergeCell ref="J349:J351"/>
    <mergeCell ref="K349:K351"/>
    <mergeCell ref="M349:M351"/>
    <mergeCell ref="B349:B351"/>
    <mergeCell ref="A270:A272"/>
    <mergeCell ref="J270:J272"/>
    <mergeCell ref="K270:K272"/>
    <mergeCell ref="M270:M272"/>
    <mergeCell ref="B270:B272"/>
    <mergeCell ref="M355:M357"/>
    <mergeCell ref="B355:B357"/>
    <mergeCell ref="A352:A354"/>
    <mergeCell ref="J352:J354"/>
    <mergeCell ref="K352:K354"/>
    <mergeCell ref="M352:M354"/>
    <mergeCell ref="B352:B354"/>
    <mergeCell ref="A276:A278"/>
    <mergeCell ref="J276:J278"/>
    <mergeCell ref="K276:K278"/>
    <mergeCell ref="M276:M278"/>
    <mergeCell ref="B276:B278"/>
    <mergeCell ref="A361:A363"/>
    <mergeCell ref="J361:J363"/>
    <mergeCell ref="K361:K363"/>
    <mergeCell ref="M361:M363"/>
    <mergeCell ref="B358:B360"/>
    <mergeCell ref="B361:B363"/>
    <mergeCell ref="A358:A360"/>
    <mergeCell ref="J358:J360"/>
    <mergeCell ref="K358:K360"/>
    <mergeCell ref="A367:A369"/>
    <mergeCell ref="J367:J369"/>
    <mergeCell ref="K367:K369"/>
    <mergeCell ref="M367:M369"/>
    <mergeCell ref="B364:B366"/>
    <mergeCell ref="B367:B369"/>
    <mergeCell ref="A364:A366"/>
    <mergeCell ref="J364:J366"/>
    <mergeCell ref="K364:K366"/>
    <mergeCell ref="C434:I434"/>
    <mergeCell ref="A231:A233"/>
    <mergeCell ref="A1:L3"/>
    <mergeCell ref="A370:A372"/>
    <mergeCell ref="J379:J381"/>
    <mergeCell ref="B370:B372"/>
    <mergeCell ref="A416:A418"/>
    <mergeCell ref="A419:A421"/>
    <mergeCell ref="M425:M427"/>
    <mergeCell ref="K425:K427"/>
    <mergeCell ref="A234:A236"/>
    <mergeCell ref="A237:A239"/>
    <mergeCell ref="A240:A242"/>
    <mergeCell ref="A258:A260"/>
    <mergeCell ref="A279:A281"/>
    <mergeCell ref="B425:B427"/>
    <mergeCell ref="J413:J415"/>
    <mergeCell ref="B279:B281"/>
    <mergeCell ref="B413:B415"/>
    <mergeCell ref="B419:B421"/>
    <mergeCell ref="B376:B378"/>
    <mergeCell ref="B379:B381"/>
    <mergeCell ref="B422:B424"/>
    <mergeCell ref="B382:B384"/>
    <mergeCell ref="A413:A415"/>
    <mergeCell ref="J416:J418"/>
    <mergeCell ref="B60:B62"/>
    <mergeCell ref="K413:K415"/>
    <mergeCell ref="K419:K421"/>
    <mergeCell ref="M419:M421"/>
    <mergeCell ref="K416:K418"/>
    <mergeCell ref="M413:M415"/>
    <mergeCell ref="M416:M418"/>
    <mergeCell ref="M373:M375"/>
    <mergeCell ref="K376:K378"/>
    <mergeCell ref="M376:M378"/>
    <mergeCell ref="K379:K381"/>
    <mergeCell ref="M379:M381"/>
    <mergeCell ref="A373:A375"/>
    <mergeCell ref="J373:J375"/>
    <mergeCell ref="A376:A378"/>
    <mergeCell ref="A379:A381"/>
    <mergeCell ref="M258:M260"/>
    <mergeCell ref="M279:M281"/>
    <mergeCell ref="M382:M384"/>
    <mergeCell ref="K373:K375"/>
    <mergeCell ref="A382:A384"/>
    <mergeCell ref="M364:M366"/>
    <mergeCell ref="A431:A433"/>
    <mergeCell ref="J231:J233"/>
    <mergeCell ref="J234:J236"/>
    <mergeCell ref="J237:J239"/>
    <mergeCell ref="J240:J242"/>
    <mergeCell ref="J258:J260"/>
    <mergeCell ref="J279:J281"/>
    <mergeCell ref="J382:J384"/>
    <mergeCell ref="J425:J427"/>
    <mergeCell ref="J428:J430"/>
    <mergeCell ref="J422:J424"/>
    <mergeCell ref="B373:B375"/>
    <mergeCell ref="J376:J378"/>
    <mergeCell ref="A355:A357"/>
    <mergeCell ref="J355:J357"/>
    <mergeCell ref="A273:A275"/>
    <mergeCell ref="J273:J275"/>
    <mergeCell ref="A267:A269"/>
    <mergeCell ref="J267:J269"/>
    <mergeCell ref="A425:A427"/>
    <mergeCell ref="A428:A430"/>
    <mergeCell ref="B428:B430"/>
    <mergeCell ref="B431:B433"/>
    <mergeCell ref="J419:J421"/>
    <mergeCell ref="M431:M433"/>
    <mergeCell ref="B231:B233"/>
    <mergeCell ref="B234:B236"/>
    <mergeCell ref="B237:B239"/>
    <mergeCell ref="B240:B242"/>
    <mergeCell ref="B258:B260"/>
    <mergeCell ref="J431:J433"/>
    <mergeCell ref="K231:K233"/>
    <mergeCell ref="K234:K236"/>
    <mergeCell ref="K237:K239"/>
    <mergeCell ref="K240:K242"/>
    <mergeCell ref="K258:K260"/>
    <mergeCell ref="K279:K281"/>
    <mergeCell ref="K382:K384"/>
    <mergeCell ref="K428:K430"/>
    <mergeCell ref="K431:K433"/>
    <mergeCell ref="M428:M430"/>
    <mergeCell ref="K422:K424"/>
    <mergeCell ref="M422:M424"/>
    <mergeCell ref="K370:K372"/>
    <mergeCell ref="M370:M372"/>
    <mergeCell ref="J370:J372"/>
    <mergeCell ref="M358:M360"/>
    <mergeCell ref="K355:K357"/>
  </mergeCells>
  <phoneticPr fontId="4" type="noConversion"/>
  <conditionalFormatting sqref="A8:A433">
    <cfRule type="expression" dxfId="47" priority="13" stopIfTrue="1">
      <formula>$S8="ЦП Закрыт"</formula>
    </cfRule>
  </conditionalFormatting>
  <conditionalFormatting sqref="C8:C433">
    <cfRule type="expression" dxfId="46" priority="12" stopIfTrue="1">
      <formula>$S8="ЦП Закрыт"</formula>
    </cfRule>
  </conditionalFormatting>
  <conditionalFormatting sqref="I8:I433 J8:J258 J261:J433">
    <cfRule type="expression" dxfId="45" priority="5" stopIfTrue="1">
      <formula>$S8="ЦП Закрыт"</formula>
    </cfRule>
  </conditionalFormatting>
  <conditionalFormatting sqref="K8:L433">
    <cfRule type="expression" dxfId="44" priority="4" stopIfTrue="1">
      <formula>$S8="ЦП Закрыт"</formula>
    </cfRule>
  </conditionalFormatting>
  <conditionalFormatting sqref="M8:M433">
    <cfRule type="expression" dxfId="43" priority="3" stopIfTrue="1">
      <formula>$S8="ЦП Закрыт"</formula>
    </cfRule>
  </conditionalFormatting>
  <conditionalFormatting sqref="D8:H433">
    <cfRule type="expression" dxfId="42" priority="2" stopIfTrue="1">
      <formula>D8=0</formula>
    </cfRule>
  </conditionalFormatting>
  <conditionalFormatting sqref="B42:B60 B63:B129 B132:B182 B185 B188 B191 B194 B197 B200 B203 B206:B231 B234 B237 B240 B243:B258 B261:B267 B270 B273 B276 B279 B282:B349 B352 B355 B358 B361 B364 B367 B370 B373 B376 B379 B382 B385:B413 B416 B419 B422 B425 B428 B431 B8:B39">
    <cfRule type="expression" dxfId="41" priority="1" stopIfTrue="1">
      <formula>$S8="ЦП Закрыт"</formula>
    </cfRule>
  </conditionalFormatting>
  <pageMargins left="0.7" right="0.7" top="0.75" bottom="0.75" header="0.3" footer="0.3"/>
  <pageSetup paperSize="9" orientation="portrait" r:id="rId1"/>
  <ignoredErrors>
    <ignoredError sqref="C387:J397 K387:K397 C398:J402 K398:K40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 filterMode="1"/>
  <dimension ref="A1:T450"/>
  <sheetViews>
    <sheetView topLeftCell="B249" zoomScale="55" zoomScaleNormal="55" workbookViewId="0">
      <selection activeCell="I394" sqref="I394"/>
    </sheetView>
  </sheetViews>
  <sheetFormatPr defaultColWidth="11.42578125" defaultRowHeight="15" x14ac:dyDescent="0.25"/>
  <cols>
    <col min="1" max="1" width="8.140625" style="232" hidden="1" customWidth="1"/>
    <col min="2" max="2" width="8.140625" style="1521" bestFit="1" customWidth="1"/>
    <col min="3" max="3" width="36" style="232" customWidth="1"/>
    <col min="4" max="4" width="5.5703125" style="232" bestFit="1" customWidth="1"/>
    <col min="5" max="5" width="3.140625" style="232" bestFit="1" customWidth="1"/>
    <col min="6" max="6" width="5.5703125" style="232" bestFit="1" customWidth="1"/>
    <col min="7" max="7" width="3.140625" style="232" bestFit="1" customWidth="1"/>
    <col min="8" max="8" width="3.85546875" style="232" bestFit="1" customWidth="1"/>
    <col min="9" max="9" width="37.5703125" style="232" bestFit="1" customWidth="1"/>
    <col min="10" max="10" width="13.42578125" style="232" hidden="1" customWidth="1"/>
    <col min="11" max="11" width="13.42578125" style="262" hidden="1" customWidth="1"/>
    <col min="12" max="12" width="48.7109375" style="232" hidden="1" customWidth="1"/>
    <col min="13" max="20" width="11.42578125" style="232" customWidth="1"/>
  </cols>
  <sheetData>
    <row r="1" spans="1:14" x14ac:dyDescent="0.25">
      <c r="A1" s="2519" t="s">
        <v>775</v>
      </c>
      <c r="B1" s="2520"/>
      <c r="C1" s="2519"/>
      <c r="D1" s="2519"/>
      <c r="E1" s="2519"/>
      <c r="F1" s="2519"/>
      <c r="G1" s="2519"/>
      <c r="H1" s="2519"/>
      <c r="I1" s="2519"/>
      <c r="J1" s="2519"/>
      <c r="K1" s="2521"/>
      <c r="L1" s="2521"/>
    </row>
    <row r="2" spans="1:14" x14ac:dyDescent="0.25">
      <c r="A2" s="2519"/>
      <c r="B2" s="2520"/>
      <c r="C2" s="2519"/>
      <c r="D2" s="2519"/>
      <c r="E2" s="2519"/>
      <c r="F2" s="2519"/>
      <c r="G2" s="2519"/>
      <c r="H2" s="2519"/>
      <c r="I2" s="2519"/>
      <c r="J2" s="2519"/>
      <c r="K2" s="2521"/>
      <c r="L2" s="2521"/>
    </row>
    <row r="3" spans="1:14" x14ac:dyDescent="0.25">
      <c r="A3" s="2522"/>
      <c r="B3" s="2523"/>
      <c r="C3" s="2522"/>
      <c r="D3" s="2522"/>
      <c r="E3" s="2522"/>
      <c r="F3" s="2522"/>
      <c r="G3" s="2522"/>
      <c r="H3" s="2522"/>
      <c r="I3" s="2522"/>
      <c r="J3" s="2522"/>
      <c r="K3" s="2524"/>
      <c r="L3" s="2524"/>
    </row>
    <row r="4" spans="1:14" ht="15" customHeight="1" x14ac:dyDescent="0.25">
      <c r="A4" s="2530" t="str">
        <f>Итоговая!Z5</f>
        <v>№п/п</v>
      </c>
      <c r="B4" s="2543" t="s">
        <v>774</v>
      </c>
      <c r="C4" s="2530" t="str">
        <f>Итоговая!AA5</f>
        <v>Наименование объекта центра питания, класс напряжения</v>
      </c>
      <c r="D4" s="2539" t="str">
        <f>Итоговая!AB5</f>
        <v>Ожидаемый дефицит /профицит</v>
      </c>
      <c r="E4" s="2539"/>
      <c r="F4" s="2539"/>
      <c r="G4" s="2539"/>
      <c r="H4" s="2539"/>
      <c r="I4" s="2539"/>
      <c r="J4" s="2530" t="str">
        <f>Итоговая!AQ5</f>
        <v>Примечание</v>
      </c>
      <c r="K4" s="2540" t="str">
        <f>Итоговая!AR5</f>
        <v>Примечание</v>
      </c>
      <c r="L4" s="2530" t="str">
        <f>Итоговая!AS5</f>
        <v>Процент загрузки к номинальной мощности, %</v>
      </c>
    </row>
    <row r="5" spans="1:14" x14ac:dyDescent="0.25">
      <c r="A5" s="2531"/>
      <c r="B5" s="2544"/>
      <c r="C5" s="2531"/>
      <c r="D5" s="2533" t="str">
        <f>Итоговая!AB6</f>
        <v>Установленная мощность трансформаторов Sуст. с указанием их количества, шт/ МВА</v>
      </c>
      <c r="E5" s="2534"/>
      <c r="F5" s="2534"/>
      <c r="G5" s="2534"/>
      <c r="H5" s="2535"/>
      <c r="I5" s="2531" t="s">
        <v>1777</v>
      </c>
      <c r="J5" s="2531"/>
      <c r="K5" s="2541"/>
      <c r="L5" s="2531"/>
    </row>
    <row r="6" spans="1:14" x14ac:dyDescent="0.25">
      <c r="A6" s="2532"/>
      <c r="B6" s="2545"/>
      <c r="C6" s="2532"/>
      <c r="D6" s="2536"/>
      <c r="E6" s="2537"/>
      <c r="F6" s="2537"/>
      <c r="G6" s="2537"/>
      <c r="H6" s="2538"/>
      <c r="I6" s="2532"/>
      <c r="J6" s="2532"/>
      <c r="K6" s="2542"/>
      <c r="L6" s="2532"/>
    </row>
    <row r="7" spans="1:14" hidden="1" x14ac:dyDescent="0.25">
      <c r="A7" s="234">
        <f>Итоговая!Z8</f>
        <v>1</v>
      </c>
      <c r="B7" s="2034" t="s">
        <v>3074</v>
      </c>
      <c r="C7" s="901">
        <f>Итоговая!AA8</f>
        <v>2</v>
      </c>
      <c r="D7" s="2527">
        <f>Итоговая!AB8</f>
        <v>3</v>
      </c>
      <c r="E7" s="2528"/>
      <c r="F7" s="2528"/>
      <c r="G7" s="2528"/>
      <c r="H7" s="2529"/>
      <c r="I7" s="871"/>
      <c r="J7" s="901">
        <f>Итоговая!AQ8</f>
        <v>13</v>
      </c>
      <c r="K7" s="905">
        <f>Итоговая!AR8</f>
        <v>13</v>
      </c>
      <c r="L7" s="906">
        <f>Итоговая!AS8</f>
        <v>14</v>
      </c>
    </row>
    <row r="8" spans="1:14" hidden="1" x14ac:dyDescent="0.25">
      <c r="A8" s="212">
        <f>Итоговая!Y9</f>
        <v>1</v>
      </c>
      <c r="B8" s="212">
        <f>COUNTIFS($C$8:C8,"*ПС*",$J$8:J8,"*закрыт*")</f>
        <v>0</v>
      </c>
      <c r="C8" s="213" t="str">
        <f>Итоговая!AA9</f>
        <v>ПС  35/10 кВ Алексейково</v>
      </c>
      <c r="D8" s="230">
        <f>Итоговая!AB9</f>
        <v>1.6</v>
      </c>
      <c r="E8" s="229">
        <f>Итоговая!AC9</f>
        <v>0</v>
      </c>
      <c r="F8" s="229">
        <f>Итоговая!AD9</f>
        <v>0</v>
      </c>
      <c r="G8" s="229">
        <f>Итоговая!AE9</f>
        <v>0</v>
      </c>
      <c r="H8" s="229">
        <f>Итоговая!AF9</f>
        <v>0</v>
      </c>
      <c r="I8" s="172">
        <f>Итоговая!AP9</f>
        <v>0.52999999999999992</v>
      </c>
      <c r="J8" s="172" t="str">
        <f>Итоговая!AQ9</f>
        <v>открыт</v>
      </c>
      <c r="K8" s="907" t="str">
        <f>Итоговая!AR9</f>
        <v>открыт</v>
      </c>
      <c r="L8" s="907">
        <f>Итоговая!AS9</f>
        <v>39.285714285714285</v>
      </c>
      <c r="M8" s="907"/>
      <c r="N8" s="907"/>
    </row>
    <row r="9" spans="1:14" hidden="1" x14ac:dyDescent="0.25">
      <c r="A9" s="212">
        <f>Итоговая!Y10</f>
        <v>2</v>
      </c>
      <c r="B9" s="212">
        <f>COUNTIFS($C$8:C9,"*ПС*",$J$8:J9,"*закрыт*")</f>
        <v>0</v>
      </c>
      <c r="C9" s="212" t="str">
        <f>Итоговая!AA10</f>
        <v xml:space="preserve">ПС 35/10 кВ Беляницы </v>
      </c>
      <c r="D9" s="230">
        <f>Итоговая!AB10</f>
        <v>1.6</v>
      </c>
      <c r="E9" s="229">
        <f>Итоговая!AC10</f>
        <v>0</v>
      </c>
      <c r="F9" s="229">
        <f>Итоговая!AD10</f>
        <v>0</v>
      </c>
      <c r="G9" s="229">
        <f>Итоговая!AE10</f>
        <v>0</v>
      </c>
      <c r="H9" s="229">
        <f>Итоговая!AF10</f>
        <v>0</v>
      </c>
      <c r="I9" s="172">
        <f>Итоговая!AP10</f>
        <v>0.90999999999999992</v>
      </c>
      <c r="J9" s="172" t="str">
        <f>Итоговая!AQ10</f>
        <v>открыт</v>
      </c>
      <c r="K9" s="907" t="str">
        <f>Итоговая!AR10</f>
        <v>открыт</v>
      </c>
      <c r="L9" s="907">
        <f>Итоговая!AS10</f>
        <v>32.142857142857139</v>
      </c>
      <c r="M9" s="907"/>
      <c r="N9" s="907"/>
    </row>
    <row r="10" spans="1:14" x14ac:dyDescent="0.25">
      <c r="A10" s="212">
        <f>Итоговая!Y11</f>
        <v>3</v>
      </c>
      <c r="B10" s="2259">
        <f>COUNTIFS($C$8:C10,"*ПС*",$J$8:J10,"*закрыт*")</f>
        <v>1</v>
      </c>
      <c r="C10" s="212" t="str">
        <f>Итоговая!AA11</f>
        <v xml:space="preserve">ПС 35/10 кВ Борисовское </v>
      </c>
      <c r="D10" s="230">
        <f>Итоговая!AB11</f>
        <v>1</v>
      </c>
      <c r="E10" s="229">
        <f>Итоговая!AC11</f>
        <v>0</v>
      </c>
      <c r="F10" s="229">
        <f>Итоговая!AD11</f>
        <v>0</v>
      </c>
      <c r="G10" s="229">
        <f>Итоговая!AE11</f>
        <v>0</v>
      </c>
      <c r="H10" s="229">
        <f>Итоговая!AF11</f>
        <v>0</v>
      </c>
      <c r="I10" s="2134">
        <f>Итоговая!AP11</f>
        <v>-0.11</v>
      </c>
      <c r="J10" s="172" t="str">
        <f>Итоговая!AQ11</f>
        <v>закрыт</v>
      </c>
      <c r="K10" s="907" t="str">
        <f>Итоговая!AR11</f>
        <v>закрыт</v>
      </c>
      <c r="L10" s="907">
        <f>Итоговая!AS11</f>
        <v>10.476190476190476</v>
      </c>
      <c r="M10" s="907"/>
      <c r="N10" s="907"/>
    </row>
    <row r="11" spans="1:14" hidden="1" x14ac:dyDescent="0.25">
      <c r="A11" s="212">
        <f>Итоговая!Y12</f>
        <v>4</v>
      </c>
      <c r="B11" s="212">
        <f>COUNTIFS($C$8:C11,"*ПС*",$J$8:J11,"*закрыт*")</f>
        <v>1</v>
      </c>
      <c r="C11" s="212" t="str">
        <f>Итоговая!AA12</f>
        <v xml:space="preserve">ПС 35/10 кВ Высокуша  </v>
      </c>
      <c r="D11" s="230">
        <f>Итоговая!AB12</f>
        <v>1.6</v>
      </c>
      <c r="E11" s="229">
        <f>Итоговая!AC12</f>
        <v>0</v>
      </c>
      <c r="F11" s="229">
        <f>Итоговая!AD12</f>
        <v>0</v>
      </c>
      <c r="G11" s="229">
        <f>Итоговая!AE12</f>
        <v>0</v>
      </c>
      <c r="H11" s="229">
        <f>Итоговая!AF12</f>
        <v>0</v>
      </c>
      <c r="I11" s="172">
        <f>Итоговая!AP12</f>
        <v>0.7</v>
      </c>
      <c r="J11" s="172" t="str">
        <f>Итоговая!AQ12</f>
        <v>открыт</v>
      </c>
      <c r="K11" s="907" t="str">
        <f>Итоговая!AR12</f>
        <v>открыт</v>
      </c>
      <c r="L11" s="907">
        <f>Итоговая!AS12</f>
        <v>10.119047619047619</v>
      </c>
      <c r="M11" s="907"/>
      <c r="N11" s="907"/>
    </row>
    <row r="12" spans="1:14" x14ac:dyDescent="0.25">
      <c r="A12" s="212">
        <f>Итоговая!Y13</f>
        <v>5</v>
      </c>
      <c r="B12" s="2259">
        <f>COUNTIFS($C$8:C12,"*ПС*",$J$8:J12,"*закрыт*")</f>
        <v>2</v>
      </c>
      <c r="C12" s="212" t="str">
        <f>Итоговая!AA13</f>
        <v xml:space="preserve">ПС 35/10 кВ Гостиница </v>
      </c>
      <c r="D12" s="230">
        <f>Итоговая!AB13</f>
        <v>1.6</v>
      </c>
      <c r="E12" s="229">
        <f>Итоговая!AC13</f>
        <v>0</v>
      </c>
      <c r="F12" s="229">
        <f>Итоговая!AD13</f>
        <v>0</v>
      </c>
      <c r="G12" s="229">
        <f>Итоговая!AE13</f>
        <v>0</v>
      </c>
      <c r="H12" s="229">
        <f>Итоговая!AF13</f>
        <v>0</v>
      </c>
      <c r="I12" s="2134">
        <f>Итоговая!AP13</f>
        <v>-0.18</v>
      </c>
      <c r="J12" s="172" t="str">
        <f>Итоговая!AQ13</f>
        <v>закрыт</v>
      </c>
      <c r="K12" s="907" t="str">
        <f>Итоговая!AR13</f>
        <v>закрыт</v>
      </c>
      <c r="L12" s="907">
        <f>Итоговая!AS13</f>
        <v>10.714285714285714</v>
      </c>
      <c r="M12" s="907"/>
      <c r="N12" s="907"/>
    </row>
    <row r="13" spans="1:14" hidden="1" x14ac:dyDescent="0.25">
      <c r="A13" s="212">
        <f>Итоговая!Y14</f>
        <v>6</v>
      </c>
      <c r="B13" s="1487">
        <f>COUNTIFS($C$8:C13,"*ПС*",$J$8:J13,"*закрыт*")</f>
        <v>2</v>
      </c>
      <c r="C13" s="212" t="str">
        <f>Итоговая!AA14</f>
        <v xml:space="preserve">ПС  35/10 кВ Григорово </v>
      </c>
      <c r="D13" s="230">
        <f>Итоговая!AB14</f>
        <v>2.5</v>
      </c>
      <c r="E13" s="229">
        <f>Итоговая!AC14</f>
        <v>0</v>
      </c>
      <c r="F13" s="229">
        <f>Итоговая!AD14</f>
        <v>0</v>
      </c>
      <c r="G13" s="229">
        <f>Итоговая!AE14</f>
        <v>0</v>
      </c>
      <c r="H13" s="229">
        <f>Итоговая!AF14</f>
        <v>0</v>
      </c>
      <c r="I13" s="172">
        <f>Итоговая!AP14</f>
        <v>0.58000000000000007</v>
      </c>
      <c r="J13" s="172" t="str">
        <f>Итоговая!AQ14</f>
        <v>открыт</v>
      </c>
      <c r="K13" s="907" t="str">
        <f>Итоговая!AR14</f>
        <v>открыт</v>
      </c>
      <c r="L13" s="907">
        <f>Итоговая!AS14</f>
        <v>8.7619047619047628</v>
      </c>
      <c r="M13" s="907"/>
      <c r="N13" s="907"/>
    </row>
    <row r="14" spans="1:14" hidden="1" x14ac:dyDescent="0.25">
      <c r="A14" s="212">
        <f>Итоговая!Y15</f>
        <v>7</v>
      </c>
      <c r="B14" s="212">
        <f>COUNTIFS($C$8:C14,"*ПС*",$J$8:J14,"*закрыт*")</f>
        <v>2</v>
      </c>
      <c r="C14" s="212" t="str">
        <f>Итоговая!AA15</f>
        <v xml:space="preserve">ПС 35/10 кВ Деледино </v>
      </c>
      <c r="D14" s="230">
        <f>Итоговая!AB15</f>
        <v>4</v>
      </c>
      <c r="E14" s="229">
        <f>Итоговая!AC15</f>
        <v>0</v>
      </c>
      <c r="F14" s="229">
        <f>Итоговая!AD15</f>
        <v>0</v>
      </c>
      <c r="G14" s="229">
        <f>Итоговая!AE15</f>
        <v>0</v>
      </c>
      <c r="H14" s="229">
        <f>Итоговая!AF15</f>
        <v>0</v>
      </c>
      <c r="I14" s="172">
        <f>Итоговая!AP15</f>
        <v>0.51</v>
      </c>
      <c r="J14" s="172" t="str">
        <f>Итоговая!AQ15</f>
        <v>открыт</v>
      </c>
      <c r="K14" s="907" t="str">
        <f>Итоговая!AR15</f>
        <v>открыт</v>
      </c>
      <c r="L14" s="907">
        <f>Итоговая!AS15</f>
        <v>4.2857142857142856</v>
      </c>
      <c r="M14" s="907"/>
      <c r="N14" s="907"/>
    </row>
    <row r="15" spans="1:14" hidden="1" x14ac:dyDescent="0.25">
      <c r="A15" s="212">
        <f>Итоговая!Y16</f>
        <v>8</v>
      </c>
      <c r="B15" s="212">
        <f>COUNTIFS($C$8:C15,"*ПС*",$J$8:J15,"*закрыт*")</f>
        <v>2</v>
      </c>
      <c r="C15" s="212" t="str">
        <f>Итоговая!AA16</f>
        <v xml:space="preserve">ПС 35/10 кВ Зараменье </v>
      </c>
      <c r="D15" s="230">
        <f>Итоговая!AB16</f>
        <v>1.6</v>
      </c>
      <c r="E15" s="229">
        <f>Итоговая!AC16</f>
        <v>0</v>
      </c>
      <c r="F15" s="229">
        <f>Итоговая!AD16</f>
        <v>0</v>
      </c>
      <c r="G15" s="229">
        <f>Итоговая!AE16</f>
        <v>0</v>
      </c>
      <c r="H15" s="229">
        <f>Итоговая!AF16</f>
        <v>0</v>
      </c>
      <c r="I15" s="172">
        <f>Итоговая!AP16</f>
        <v>0.75</v>
      </c>
      <c r="J15" s="172" t="str">
        <f>Итоговая!AQ16</f>
        <v>открыт</v>
      </c>
      <c r="K15" s="907" t="str">
        <f>Итоговая!AR16</f>
        <v>открыт</v>
      </c>
      <c r="L15" s="907">
        <f>Итоговая!AS16</f>
        <v>16.666666666666668</v>
      </c>
      <c r="M15" s="907"/>
      <c r="N15" s="907"/>
    </row>
    <row r="16" spans="1:14" hidden="1" x14ac:dyDescent="0.25">
      <c r="A16" s="212">
        <f>Итоговая!Y17</f>
        <v>9</v>
      </c>
      <c r="B16" s="212">
        <f>COUNTIFS($C$8:C16,"*ПС*",$J$8:J16,"*закрыт*")</f>
        <v>2</v>
      </c>
      <c r="C16" s="212" t="str">
        <f>Итоговая!AA17</f>
        <v xml:space="preserve">ПС 35/10 кВ Зобы </v>
      </c>
      <c r="D16" s="230">
        <f>Итоговая!AB17</f>
        <v>2.5</v>
      </c>
      <c r="E16" s="229">
        <f>Итоговая!AC17</f>
        <v>0</v>
      </c>
      <c r="F16" s="229">
        <f>Итоговая!AD17</f>
        <v>0</v>
      </c>
      <c r="G16" s="229">
        <f>Итоговая!AE17</f>
        <v>0</v>
      </c>
      <c r="H16" s="229">
        <f>Итоговая!AF17</f>
        <v>0</v>
      </c>
      <c r="I16" s="172">
        <f>Итоговая!AP17</f>
        <v>2.5535869565217393</v>
      </c>
      <c r="J16" s="172" t="str">
        <f>Итоговая!AQ17</f>
        <v>открыт</v>
      </c>
      <c r="K16" s="907" t="str">
        <f>Итоговая!AR17</f>
        <v>открыт</v>
      </c>
      <c r="L16" s="907">
        <f>Итоговая!AS17</f>
        <v>14.720496894409937</v>
      </c>
      <c r="M16" s="907"/>
      <c r="N16" s="907"/>
    </row>
    <row r="17" spans="1:14" hidden="1" x14ac:dyDescent="0.25">
      <c r="A17" s="212">
        <f>Итоговая!Y18</f>
        <v>10</v>
      </c>
      <c r="B17" s="212">
        <f>COUNTIFS($C$8:C17,"*ПС*",$J$8:J17,"*закрыт*")</f>
        <v>2</v>
      </c>
      <c r="C17" s="212" t="str">
        <f>Итоговая!AA18</f>
        <v xml:space="preserve">ПС 35/10 кВ Кой  </v>
      </c>
      <c r="D17" s="230">
        <f>Итоговая!AB18</f>
        <v>1.8</v>
      </c>
      <c r="E17" s="229">
        <f>Итоговая!AC18</f>
        <v>0</v>
      </c>
      <c r="F17" s="229">
        <f>Итоговая!AD18</f>
        <v>0</v>
      </c>
      <c r="G17" s="229">
        <f>Итоговая!AE18</f>
        <v>0</v>
      </c>
      <c r="H17" s="229">
        <f>Итоговая!AF18</f>
        <v>0</v>
      </c>
      <c r="I17" s="172">
        <f>Итоговая!AP18</f>
        <v>0.47</v>
      </c>
      <c r="J17" s="172" t="str">
        <f>Итоговая!AQ18</f>
        <v>открыт</v>
      </c>
      <c r="K17" s="907" t="str">
        <f>Итоговая!AR18</f>
        <v>открыт</v>
      </c>
      <c r="L17" s="907">
        <f>Итоговая!AS18</f>
        <v>13.756613756613756</v>
      </c>
      <c r="M17" s="907"/>
      <c r="N17" s="907"/>
    </row>
    <row r="18" spans="1:14" hidden="1" x14ac:dyDescent="0.25">
      <c r="A18" s="212">
        <f>Итоговая!Y19</f>
        <v>11</v>
      </c>
      <c r="B18" s="212">
        <f>COUNTIFS($C$8:C18,"*ПС*",$J$8:J18,"*закрыт*")</f>
        <v>2</v>
      </c>
      <c r="C18" s="212" t="str">
        <f>Итоговая!AA19</f>
        <v xml:space="preserve">ПС 35/10 кВ Ладожское  </v>
      </c>
      <c r="D18" s="230">
        <f>Итоговая!AB19</f>
        <v>1.6</v>
      </c>
      <c r="E18" s="229">
        <f>Итоговая!AC19</f>
        <v>0</v>
      </c>
      <c r="F18" s="229">
        <f>Итоговая!AD19</f>
        <v>0</v>
      </c>
      <c r="G18" s="229">
        <f>Итоговая!AE19</f>
        <v>0</v>
      </c>
      <c r="H18" s="229">
        <f>Итоговая!AF19</f>
        <v>0</v>
      </c>
      <c r="I18" s="172">
        <f>Итоговая!AP19</f>
        <v>1.24</v>
      </c>
      <c r="J18" s="172" t="str">
        <f>Итоговая!AQ19</f>
        <v>открыт</v>
      </c>
      <c r="K18" s="907" t="str">
        <f>Итоговая!AR19</f>
        <v>открыт</v>
      </c>
      <c r="L18" s="907">
        <f>Итоговая!AS19</f>
        <v>6.5476190476190466</v>
      </c>
      <c r="M18" s="907"/>
      <c r="N18" s="907"/>
    </row>
    <row r="19" spans="1:14" hidden="1" x14ac:dyDescent="0.25">
      <c r="A19" s="212">
        <f>Итоговая!Y20</f>
        <v>12</v>
      </c>
      <c r="B19" s="212">
        <f>COUNTIFS($C$8:C19,"*ПС*",$J$8:J19,"*закрыт*")</f>
        <v>2</v>
      </c>
      <c r="C19" s="212" t="str">
        <f>Итоговая!AA20</f>
        <v xml:space="preserve">ПС 35/10 кВ Литвиново </v>
      </c>
      <c r="D19" s="230">
        <f>Итоговая!AB20</f>
        <v>4</v>
      </c>
      <c r="E19" s="229">
        <f>Итоговая!AC20</f>
        <v>0</v>
      </c>
      <c r="F19" s="229">
        <f>Итоговая!AD20</f>
        <v>0</v>
      </c>
      <c r="G19" s="229">
        <f>Итоговая!AE20</f>
        <v>0</v>
      </c>
      <c r="H19" s="229">
        <f>Итоговая!AF20</f>
        <v>0</v>
      </c>
      <c r="I19" s="172">
        <f>Итоговая!AP20</f>
        <v>0.83</v>
      </c>
      <c r="J19" s="172" t="str">
        <f>Итоговая!AQ20</f>
        <v>открыт</v>
      </c>
      <c r="K19" s="907" t="str">
        <f>Итоговая!AR20</f>
        <v>открыт</v>
      </c>
      <c r="L19" s="907">
        <f>Итоговая!AS20</f>
        <v>4.0476190476190474</v>
      </c>
      <c r="M19" s="907"/>
      <c r="N19" s="907"/>
    </row>
    <row r="20" spans="1:14" hidden="1" x14ac:dyDescent="0.25">
      <c r="A20" s="212">
        <f>Итоговая!Y21</f>
        <v>13</v>
      </c>
      <c r="B20" s="212">
        <f>COUNTIFS($C$8:C20,"*ПС*",$J$8:J20,"*закрыт*")</f>
        <v>2</v>
      </c>
      <c r="C20" s="212" t="str">
        <f>Итоговая!AA21</f>
        <v xml:space="preserve">ПС 35/10 кВ Лощемля  </v>
      </c>
      <c r="D20" s="230">
        <f>Итоговая!AB21</f>
        <v>2.5</v>
      </c>
      <c r="E20" s="229">
        <f>Итоговая!AC21</f>
        <v>0</v>
      </c>
      <c r="F20" s="229">
        <f>Итоговая!AD21</f>
        <v>0</v>
      </c>
      <c r="G20" s="229">
        <f>Итоговая!AE21</f>
        <v>0</v>
      </c>
      <c r="H20" s="229">
        <f>Итоговая!AF21</f>
        <v>0</v>
      </c>
      <c r="I20" s="172">
        <f>Итоговая!AP21</f>
        <v>0.46</v>
      </c>
      <c r="J20" s="172" t="str">
        <f>Итоговая!AQ21</f>
        <v>открыт</v>
      </c>
      <c r="K20" s="907" t="str">
        <f>Итоговая!AR21</f>
        <v>открыт</v>
      </c>
      <c r="L20" s="907">
        <f>Итоговая!AS21</f>
        <v>11.80952380952381</v>
      </c>
      <c r="M20" s="907"/>
      <c r="N20" s="907"/>
    </row>
    <row r="21" spans="1:14" hidden="1" x14ac:dyDescent="0.25">
      <c r="A21" s="212">
        <f>Итоговая!Y22</f>
        <v>14</v>
      </c>
      <c r="B21" s="212">
        <f>COUNTIFS($C$8:C21,"*ПС*",$J$8:J21,"*закрыт*")</f>
        <v>2</v>
      </c>
      <c r="C21" s="212" t="str">
        <f>Итоговая!AA22</f>
        <v xml:space="preserve">ПС 35/10 кВ Любегощи </v>
      </c>
      <c r="D21" s="230">
        <f>Итоговая!AB22</f>
        <v>1.8</v>
      </c>
      <c r="E21" s="229">
        <f>Итоговая!AC22</f>
        <v>0</v>
      </c>
      <c r="F21" s="229">
        <f>Итоговая!AD22</f>
        <v>0</v>
      </c>
      <c r="G21" s="229">
        <f>Итоговая!AE22</f>
        <v>0</v>
      </c>
      <c r="H21" s="229">
        <f>Итоговая!AF22</f>
        <v>0</v>
      </c>
      <c r="I21" s="172">
        <f>Итоговая!AP22</f>
        <v>0.9900000000000001</v>
      </c>
      <c r="J21" s="172" t="str">
        <f>Итоговая!AQ22</f>
        <v>открыт</v>
      </c>
      <c r="K21" s="907" t="str">
        <f>Итоговая!AR22</f>
        <v>открыт</v>
      </c>
      <c r="L21" s="907">
        <f>Итоговая!AS22</f>
        <v>19.047619047619047</v>
      </c>
      <c r="M21" s="907"/>
      <c r="N21" s="907"/>
    </row>
    <row r="22" spans="1:14" hidden="1" x14ac:dyDescent="0.25">
      <c r="A22" s="212">
        <f>Итоговая!Y23</f>
        <v>15</v>
      </c>
      <c r="B22" s="212">
        <f>COUNTIFS($C$8:C22,"*ПС*",$J$8:J22,"*закрыт*")</f>
        <v>2</v>
      </c>
      <c r="C22" s="212" t="str">
        <f>Итоговая!AA23</f>
        <v xml:space="preserve">ПС 35/10 кВ Мартыново </v>
      </c>
      <c r="D22" s="230">
        <f>Итоговая!AB23</f>
        <v>1.6</v>
      </c>
      <c r="E22" s="229">
        <f>Итоговая!AC23</f>
        <v>0</v>
      </c>
      <c r="F22" s="229">
        <f>Итоговая!AD23</f>
        <v>0</v>
      </c>
      <c r="G22" s="229">
        <f>Итоговая!AE23</f>
        <v>0</v>
      </c>
      <c r="H22" s="229">
        <f>Итоговая!AF23</f>
        <v>0</v>
      </c>
      <c r="I22" s="172">
        <f>Итоговая!AP23</f>
        <v>0.6</v>
      </c>
      <c r="J22" s="172" t="str">
        <f>Итоговая!AQ23</f>
        <v>открыт</v>
      </c>
      <c r="K22" s="907" t="str">
        <f>Итоговая!AR23</f>
        <v>открыт</v>
      </c>
      <c r="L22" s="907">
        <f>Итоговая!AS23</f>
        <v>5.9523809523809517</v>
      </c>
      <c r="M22" s="907"/>
      <c r="N22" s="907"/>
    </row>
    <row r="23" spans="1:14" hidden="1" x14ac:dyDescent="0.25">
      <c r="A23" s="212">
        <f>Итоговая!Y24</f>
        <v>16</v>
      </c>
      <c r="B23" s="212">
        <f>COUNTIFS($C$8:C23,"*ПС*",$J$8:J23,"*закрыт*")</f>
        <v>2</v>
      </c>
      <c r="C23" s="212" t="str">
        <f>Итоговая!AA24</f>
        <v xml:space="preserve">ПС 35/10 кВ Михайловское  </v>
      </c>
      <c r="D23" s="230">
        <f>Итоговая!AB24</f>
        <v>2.5</v>
      </c>
      <c r="E23" s="229">
        <f>Итоговая!AC24</f>
        <v>0</v>
      </c>
      <c r="F23" s="229">
        <f>Итоговая!AD24</f>
        <v>0</v>
      </c>
      <c r="G23" s="229">
        <f>Итоговая!AE24</f>
        <v>0</v>
      </c>
      <c r="H23" s="229">
        <f>Итоговая!AF24</f>
        <v>0</v>
      </c>
      <c r="I23" s="172">
        <f>Итоговая!AP24</f>
        <v>1.19</v>
      </c>
      <c r="J23" s="172" t="str">
        <f>Итоговая!AQ24</f>
        <v>открыт</v>
      </c>
      <c r="K23" s="907" t="str">
        <f>Итоговая!AR24</f>
        <v>открыт</v>
      </c>
      <c r="L23" s="907">
        <f>Итоговая!AS24</f>
        <v>4.9523809523809526</v>
      </c>
      <c r="M23" s="907"/>
      <c r="N23" s="907"/>
    </row>
    <row r="24" spans="1:14" hidden="1" x14ac:dyDescent="0.25">
      <c r="A24" s="212">
        <f>Итоговая!Y25</f>
        <v>17</v>
      </c>
      <c r="B24" s="212">
        <f>COUNTIFS($C$8:C24,"*ПС*",$J$8:J24,"*закрыт*")</f>
        <v>2</v>
      </c>
      <c r="C24" s="212" t="str">
        <f>Итоговая!AA25</f>
        <v xml:space="preserve">ПС 35/10 кВ Морозово  </v>
      </c>
      <c r="D24" s="230">
        <f>Итоговая!AB25</f>
        <v>2.5</v>
      </c>
      <c r="E24" s="229">
        <f>Итоговая!AC25</f>
        <v>0</v>
      </c>
      <c r="F24" s="229">
        <f>Итоговая!AD25</f>
        <v>0</v>
      </c>
      <c r="G24" s="229">
        <f>Итоговая!AE25</f>
        <v>0</v>
      </c>
      <c r="H24" s="229">
        <f>Итоговая!AF25</f>
        <v>0</v>
      </c>
      <c r="I24" s="172">
        <f>Итоговая!AP25</f>
        <v>0.75</v>
      </c>
      <c r="J24" s="172" t="str">
        <f>Итоговая!AQ25</f>
        <v>открыт</v>
      </c>
      <c r="K24" s="907" t="str">
        <f>Итоговая!AR25</f>
        <v>открыт</v>
      </c>
      <c r="L24" s="907">
        <f>Итоговая!AS25</f>
        <v>6.0952380952380949</v>
      </c>
      <c r="M24" s="907"/>
      <c r="N24" s="907"/>
    </row>
    <row r="25" spans="1:14" hidden="1" x14ac:dyDescent="0.25">
      <c r="A25" s="212">
        <f>Итоговая!Y26</f>
        <v>18</v>
      </c>
      <c r="B25" s="212">
        <f>COUNTIFS($C$8:C25,"*ПС*",$J$8:J25,"*закрыт*")</f>
        <v>2</v>
      </c>
      <c r="C25" s="212" t="str">
        <f>Итоговая!AA26</f>
        <v xml:space="preserve">ПС 35/10 кВ Поповка </v>
      </c>
      <c r="D25" s="230">
        <f>Итоговая!AB26</f>
        <v>1.6</v>
      </c>
      <c r="E25" s="229">
        <f>Итоговая!AC26</f>
        <v>0</v>
      </c>
      <c r="F25" s="229">
        <f>Итоговая!AD26</f>
        <v>0</v>
      </c>
      <c r="G25" s="229">
        <f>Итоговая!AE26</f>
        <v>0</v>
      </c>
      <c r="H25" s="229">
        <f>Итоговая!AF26</f>
        <v>0</v>
      </c>
      <c r="I25" s="172">
        <f>Итоговая!AP26</f>
        <v>0.6399999999999999</v>
      </c>
      <c r="J25" s="172" t="str">
        <f>Итоговая!AQ26</f>
        <v>открыт</v>
      </c>
      <c r="K25" s="907" t="str">
        <f>Итоговая!AR26</f>
        <v>открыт</v>
      </c>
      <c r="L25" s="907">
        <f>Итоговая!AS26</f>
        <v>4.166666666666667</v>
      </c>
      <c r="M25" s="907"/>
      <c r="N25" s="907"/>
    </row>
    <row r="26" spans="1:14" hidden="1" x14ac:dyDescent="0.25">
      <c r="A26" s="212">
        <f>Итоговая!Y27</f>
        <v>19</v>
      </c>
      <c r="B26" s="212">
        <f>COUNTIFS($C$8:C26,"*ПС*",$J$8:J26,"*закрыт*")</f>
        <v>2</v>
      </c>
      <c r="C26" s="212" t="str">
        <f>Итоговая!AA27</f>
        <v xml:space="preserve">ПС 35/10 кВ Романцево </v>
      </c>
      <c r="D26" s="230">
        <f>Итоговая!AB27</f>
        <v>1.6</v>
      </c>
      <c r="E26" s="229">
        <f>Итоговая!AC27</f>
        <v>0</v>
      </c>
      <c r="F26" s="229">
        <f>Итоговая!AD27</f>
        <v>0</v>
      </c>
      <c r="G26" s="229">
        <f>Итоговая!AE27</f>
        <v>0</v>
      </c>
      <c r="H26" s="229">
        <f>Итоговая!AF27</f>
        <v>0</v>
      </c>
      <c r="I26" s="172">
        <f>Итоговая!AP27</f>
        <v>0.57999999999999996</v>
      </c>
      <c r="J26" s="172" t="str">
        <f>Итоговая!AQ27</f>
        <v>открыт</v>
      </c>
      <c r="K26" s="907" t="str">
        <f>Итоговая!AR27</f>
        <v>открыт</v>
      </c>
      <c r="L26" s="907">
        <f>Итоговая!AS27</f>
        <v>8.928571428571427</v>
      </c>
      <c r="M26" s="907"/>
      <c r="N26" s="907"/>
    </row>
    <row r="27" spans="1:14" hidden="1" x14ac:dyDescent="0.25">
      <c r="A27" s="212">
        <f>Итоговая!Y28</f>
        <v>20</v>
      </c>
      <c r="B27" s="1861">
        <f>COUNTIFS($C$8:C27,"*ПС*",$J$8:J27,"*закрыт*")</f>
        <v>2</v>
      </c>
      <c r="C27" s="212" t="str">
        <f>Итоговая!AA28</f>
        <v xml:space="preserve">ПС 35/10 кВ Старое Сандово </v>
      </c>
      <c r="D27" s="230">
        <f>Итоговая!AB28</f>
        <v>2.5</v>
      </c>
      <c r="E27" s="229">
        <f>Итоговая!AC28</f>
        <v>0</v>
      </c>
      <c r="F27" s="229">
        <f>Итоговая!AD28</f>
        <v>0</v>
      </c>
      <c r="G27" s="229">
        <f>Итоговая!AE28</f>
        <v>0</v>
      </c>
      <c r="H27" s="229">
        <f>Итоговая!AF28</f>
        <v>0</v>
      </c>
      <c r="I27" s="172">
        <f>Итоговая!AP28</f>
        <v>0.38739130434782615</v>
      </c>
      <c r="J27" s="172" t="str">
        <f>Итоговая!AQ28</f>
        <v>открыт</v>
      </c>
      <c r="K27" s="907" t="str">
        <f>Итоговая!AR28</f>
        <v>открыт</v>
      </c>
      <c r="L27" s="907">
        <f>Итоговая!AS28</f>
        <v>11.146997929606625</v>
      </c>
      <c r="M27" s="907"/>
      <c r="N27" s="907"/>
    </row>
    <row r="28" spans="1:14" hidden="1" x14ac:dyDescent="0.25">
      <c r="A28" s="212">
        <f>Итоговая!Y29</f>
        <v>21</v>
      </c>
      <c r="B28" s="1861">
        <f>COUNTIFS($C$8:C28,"*ПС*",$J$8:J28,"*закрыт*")</f>
        <v>2</v>
      </c>
      <c r="C28" s="212" t="str">
        <f>Итоговая!AA29</f>
        <v xml:space="preserve">ПС 35/10 кВ Сукромны </v>
      </c>
      <c r="D28" s="230">
        <f>Итоговая!AB29</f>
        <v>1.6</v>
      </c>
      <c r="E28" s="229">
        <f>Итоговая!AC29</f>
        <v>0</v>
      </c>
      <c r="F28" s="229">
        <f>Итоговая!AD29</f>
        <v>0</v>
      </c>
      <c r="G28" s="229">
        <f>Итоговая!AE29</f>
        <v>0</v>
      </c>
      <c r="H28" s="229">
        <f>Итоговая!AF29</f>
        <v>0</v>
      </c>
      <c r="I28" s="172">
        <f>Итоговая!AP29</f>
        <v>0.15000000000000002</v>
      </c>
      <c r="J28" s="172" t="str">
        <f>Итоговая!AQ29</f>
        <v>открыт</v>
      </c>
      <c r="K28" s="907" t="str">
        <f>Итоговая!AR29</f>
        <v>открыт</v>
      </c>
      <c r="L28" s="907">
        <f>Итоговая!AS29</f>
        <v>31.547619047619044</v>
      </c>
      <c r="M28" s="907"/>
      <c r="N28" s="907"/>
    </row>
    <row r="29" spans="1:14" hidden="1" x14ac:dyDescent="0.25">
      <c r="A29" s="212">
        <f>Итоговая!Y30</f>
        <v>22</v>
      </c>
      <c r="B29" s="212">
        <f>COUNTIFS($C$8:C29,"*ПС*",$J$8:J29,"*закрыт*")</f>
        <v>2</v>
      </c>
      <c r="C29" s="212" t="str">
        <f>Итоговая!AA30</f>
        <v xml:space="preserve">ПС 35/10 кВ Теблеши </v>
      </c>
      <c r="D29" s="230">
        <f>Итоговая!AB30</f>
        <v>2.5</v>
      </c>
      <c r="E29" s="229">
        <f>Итоговая!AC30</f>
        <v>0</v>
      </c>
      <c r="F29" s="229">
        <f>Итоговая!AD30</f>
        <v>0</v>
      </c>
      <c r="G29" s="229">
        <f>Итоговая!AE30</f>
        <v>0</v>
      </c>
      <c r="H29" s="229">
        <f>Итоговая!AF30</f>
        <v>0</v>
      </c>
      <c r="I29" s="172">
        <f>Итоговая!AP30</f>
        <v>1.1599999999999999</v>
      </c>
      <c r="J29" s="172" t="str">
        <f>Итоговая!AQ30</f>
        <v>открыт</v>
      </c>
      <c r="K29" s="907" t="str">
        <f>Итоговая!AR30</f>
        <v>открыт</v>
      </c>
      <c r="L29" s="907">
        <f>Итоговая!AS30</f>
        <v>4.1904761904761907</v>
      </c>
      <c r="M29" s="907"/>
      <c r="N29" s="907"/>
    </row>
    <row r="30" spans="1:14" hidden="1" x14ac:dyDescent="0.25">
      <c r="A30" s="212">
        <f>Итоговая!Y31</f>
        <v>23</v>
      </c>
      <c r="B30" s="212">
        <f>COUNTIFS($C$8:C30,"*ПС*",$J$8:J30,"*закрыт*")</f>
        <v>2</v>
      </c>
      <c r="C30" s="212" t="str">
        <f>Итоговая!AA31</f>
        <v xml:space="preserve">ПС 35/10 кВ Трестна </v>
      </c>
      <c r="D30" s="230">
        <f>Итоговая!AB31</f>
        <v>2.5</v>
      </c>
      <c r="E30" s="229">
        <f>Итоговая!AC31</f>
        <v>0</v>
      </c>
      <c r="F30" s="229">
        <f>Итоговая!AD31</f>
        <v>0</v>
      </c>
      <c r="G30" s="229">
        <f>Итоговая!AE31</f>
        <v>0</v>
      </c>
      <c r="H30" s="229">
        <f>Итоговая!AF31</f>
        <v>0</v>
      </c>
      <c r="I30" s="172">
        <f>Итоговая!AP31</f>
        <v>1.1700000000000002</v>
      </c>
      <c r="J30" s="172" t="str">
        <f>Итоговая!AQ31</f>
        <v>открыт</v>
      </c>
      <c r="K30" s="907" t="str">
        <f>Итоговая!AR31</f>
        <v>открыт</v>
      </c>
      <c r="L30" s="907">
        <f>Итоговая!AS31</f>
        <v>7.6190476190476186</v>
      </c>
      <c r="M30" s="907"/>
      <c r="N30" s="907"/>
    </row>
    <row r="31" spans="1:14" hidden="1" x14ac:dyDescent="0.25">
      <c r="A31" s="212">
        <f>Итоговая!Y32</f>
        <v>24</v>
      </c>
      <c r="B31" s="212">
        <f>COUNTIFS($C$8:C31,"*ПС*",$J$8:J31,"*закрыт*")</f>
        <v>2</v>
      </c>
      <c r="C31" s="212" t="str">
        <f>Итоговая!AA32</f>
        <v xml:space="preserve">ПС  35/10 кВ Фралёво </v>
      </c>
      <c r="D31" s="230">
        <f>Итоговая!AB32</f>
        <v>4</v>
      </c>
      <c r="E31" s="229">
        <f>Итоговая!AC32</f>
        <v>0</v>
      </c>
      <c r="F31" s="229">
        <f>Итоговая!AD32</f>
        <v>0</v>
      </c>
      <c r="G31" s="229">
        <f>Итоговая!AE32</f>
        <v>0</v>
      </c>
      <c r="H31" s="229">
        <f>Итоговая!AF32</f>
        <v>0</v>
      </c>
      <c r="I31" s="172">
        <f>Итоговая!AP32</f>
        <v>0.92521739130434777</v>
      </c>
      <c r="J31" s="172" t="str">
        <f>Итоговая!AQ32</f>
        <v>открыт</v>
      </c>
      <c r="K31" s="907" t="str">
        <f>Итоговая!AR32</f>
        <v>открыт</v>
      </c>
      <c r="L31" s="907">
        <f>Итоговая!AS32</f>
        <v>19.875776397515526</v>
      </c>
      <c r="M31" s="907"/>
      <c r="N31" s="907"/>
    </row>
    <row r="32" spans="1:14" x14ac:dyDescent="0.25">
      <c r="A32" s="212">
        <f>Итоговая!Y33</f>
        <v>25</v>
      </c>
      <c r="B32" s="2259">
        <f>COUNTIFS($C$8:C32,"*ПС*",$J$8:J32,"*закрыт*")</f>
        <v>3</v>
      </c>
      <c r="C32" s="212" t="str">
        <f>Итоговая!AA33</f>
        <v xml:space="preserve">ПС 35/10 кВ Чамерово </v>
      </c>
      <c r="D32" s="230">
        <f>Итоговая!AB33</f>
        <v>1.8</v>
      </c>
      <c r="E32" s="229">
        <f>Итоговая!AC33</f>
        <v>0</v>
      </c>
      <c r="F32" s="229">
        <f>Итоговая!AD33</f>
        <v>0</v>
      </c>
      <c r="G32" s="229">
        <f>Итоговая!AE33</f>
        <v>0</v>
      </c>
      <c r="H32" s="229">
        <f>Итоговая!AF33</f>
        <v>0</v>
      </c>
      <c r="I32" s="2134">
        <f>Итоговая!AP33</f>
        <v>-9.114130434782608E-2</v>
      </c>
      <c r="J32" s="172" t="str">
        <f>Итоговая!AQ33</f>
        <v>закрыт</v>
      </c>
      <c r="K32" s="907" t="str">
        <f>Итоговая!AR33</f>
        <v>закрыт</v>
      </c>
      <c r="L32" s="907">
        <f>Итоговая!AS33</f>
        <v>43.446629859673337</v>
      </c>
      <c r="M32" s="907"/>
      <c r="N32" s="907"/>
    </row>
    <row r="33" spans="1:14" hidden="1" x14ac:dyDescent="0.25">
      <c r="A33" s="212">
        <f>Итоговая!Y34</f>
        <v>26</v>
      </c>
      <c r="B33" s="212">
        <f>COUNTIFS($C$8:C33,"*ПС*",$J$8:J33,"*закрыт*")</f>
        <v>3</v>
      </c>
      <c r="C33" s="212" t="str">
        <f>Итоговая!AA34</f>
        <v xml:space="preserve">ПС 110/10 кВ Ахматово </v>
      </c>
      <c r="D33" s="230">
        <f>Итоговая!AB34</f>
        <v>2.5</v>
      </c>
      <c r="E33" s="229">
        <f>Итоговая!AC34</f>
        <v>0</v>
      </c>
      <c r="F33" s="229">
        <f>Итоговая!AD34</f>
        <v>0</v>
      </c>
      <c r="G33" s="229">
        <f>Итоговая!AE34</f>
        <v>0</v>
      </c>
      <c r="H33" s="229">
        <f>Итоговая!AF34</f>
        <v>0</v>
      </c>
      <c r="I33" s="172">
        <f>Итоговая!AP34</f>
        <v>0.5</v>
      </c>
      <c r="J33" s="172" t="str">
        <f>Итоговая!AQ34</f>
        <v>открыт</v>
      </c>
      <c r="K33" s="907" t="str">
        <f>Итоговая!AR34</f>
        <v>открыт</v>
      </c>
      <c r="L33" s="907">
        <f>Итоговая!AS34</f>
        <v>9.5238095238095237</v>
      </c>
      <c r="M33" s="907"/>
      <c r="N33" s="907"/>
    </row>
    <row r="34" spans="1:14" hidden="1" x14ac:dyDescent="0.25">
      <c r="A34" s="212">
        <f>Итоговая!Y35</f>
        <v>27</v>
      </c>
      <c r="B34" s="212">
        <f>COUNTIFS($C$8:C34,"*ПС*",$J$8:J34,"*закрыт*")</f>
        <v>3</v>
      </c>
      <c r="C34" s="212" t="str">
        <f>Итоговая!AA35</f>
        <v xml:space="preserve">ПС 110/10 кВ Кладово </v>
      </c>
      <c r="D34" s="230">
        <f>Итоговая!AB35</f>
        <v>6.3</v>
      </c>
      <c r="E34" s="229">
        <f>Итоговая!AC35</f>
        <v>0</v>
      </c>
      <c r="F34" s="229">
        <f>Итоговая!AD35</f>
        <v>0</v>
      </c>
      <c r="G34" s="229">
        <f>Итоговая!AE35</f>
        <v>0</v>
      </c>
      <c r="H34" s="229">
        <f>Итоговая!AF35</f>
        <v>0</v>
      </c>
      <c r="I34" s="172">
        <f>Итоговая!AP35</f>
        <v>0.8600000000000001</v>
      </c>
      <c r="J34" s="172" t="str">
        <f>Итоговая!AQ35</f>
        <v>открыт</v>
      </c>
      <c r="K34" s="907" t="str">
        <f>Итоговая!AR35</f>
        <v>открыт</v>
      </c>
      <c r="L34" s="907">
        <f>Итоговая!AS35</f>
        <v>10.733182161753589</v>
      </c>
      <c r="M34" s="907"/>
      <c r="N34" s="907"/>
    </row>
    <row r="35" spans="1:14" hidden="1" x14ac:dyDescent="0.25">
      <c r="A35" s="212">
        <f>Итоговая!Y36</f>
        <v>28</v>
      </c>
      <c r="B35" s="212">
        <f>COUNTIFS($C$8:C35,"*ПС*",$J$8:J35,"*закрыт*")</f>
        <v>3</v>
      </c>
      <c r="C35" s="212" t="str">
        <f>Итоговая!AA36</f>
        <v xml:space="preserve">ПС 110/10 кВ Лаптиха </v>
      </c>
      <c r="D35" s="230">
        <f>Итоговая!AB36</f>
        <v>2.5</v>
      </c>
      <c r="E35" s="229">
        <f>Итоговая!AC36</f>
        <v>0</v>
      </c>
      <c r="F35" s="229">
        <f>Итоговая!AD36</f>
        <v>0</v>
      </c>
      <c r="G35" s="229">
        <f>Итоговая!AE36</f>
        <v>0</v>
      </c>
      <c r="H35" s="229">
        <f>Итоговая!AF36</f>
        <v>0</v>
      </c>
      <c r="I35" s="172">
        <f>Итоговая!AP36</f>
        <v>0.83</v>
      </c>
      <c r="J35" s="172" t="str">
        <f>Итоговая!AQ36</f>
        <v>открыт</v>
      </c>
      <c r="K35" s="907" t="str">
        <f>Итоговая!AR36</f>
        <v>открыт</v>
      </c>
      <c r="L35" s="907">
        <f>Итоговая!AS36</f>
        <v>4.9523809523809526</v>
      </c>
      <c r="M35" s="907"/>
      <c r="N35" s="907"/>
    </row>
    <row r="36" spans="1:14" hidden="1" x14ac:dyDescent="0.25">
      <c r="A36" s="212">
        <f>Итоговая!Y37</f>
        <v>29</v>
      </c>
      <c r="B36" s="212">
        <f>COUNTIFS($C$8:C36,"*ПС*",$J$8:J36,"*закрыт*")</f>
        <v>3</v>
      </c>
      <c r="C36" s="212" t="str">
        <f>Итоговая!AA37</f>
        <v xml:space="preserve">ПС 110/10 кВ Малышево </v>
      </c>
      <c r="D36" s="230">
        <f>Итоговая!AB37</f>
        <v>2.5</v>
      </c>
      <c r="E36" s="229">
        <f>Итоговая!AC37</f>
        <v>0</v>
      </c>
      <c r="F36" s="229">
        <f>Итоговая!AD37</f>
        <v>0</v>
      </c>
      <c r="G36" s="229">
        <f>Итоговая!AE37</f>
        <v>0</v>
      </c>
      <c r="H36" s="229">
        <f>Итоговая!AF37</f>
        <v>0</v>
      </c>
      <c r="I36" s="172">
        <f>Итоговая!AP37</f>
        <v>0.36</v>
      </c>
      <c r="J36" s="172" t="str">
        <f>Итоговая!AQ37</f>
        <v>открыт</v>
      </c>
      <c r="K36" s="907" t="str">
        <f>Итоговая!AR37</f>
        <v>открыт</v>
      </c>
      <c r="L36" s="907">
        <f>Итоговая!AS37</f>
        <v>19.80952380952381</v>
      </c>
      <c r="M36" s="907"/>
      <c r="N36" s="907"/>
    </row>
    <row r="37" spans="1:14" hidden="1" x14ac:dyDescent="0.25">
      <c r="A37" s="212">
        <f>Итоговая!Y38</f>
        <v>30</v>
      </c>
      <c r="B37" s="212">
        <f>COUNTIFS($C$8:C37,"*ПС*",$J$8:J37,"*закрыт*")</f>
        <v>3</v>
      </c>
      <c r="C37" s="212" t="str">
        <f>Итоговая!AA38</f>
        <v xml:space="preserve">ПС 110/10 кВ Старт </v>
      </c>
      <c r="D37" s="230">
        <f>Итоговая!AB38</f>
        <v>16</v>
      </c>
      <c r="E37" s="229">
        <f>Итоговая!AC38</f>
        <v>0</v>
      </c>
      <c r="F37" s="229">
        <f>Итоговая!AD38</f>
        <v>0</v>
      </c>
      <c r="G37" s="229">
        <f>Итоговая!AE38</f>
        <v>0</v>
      </c>
      <c r="H37" s="229">
        <f>Итоговая!AF38</f>
        <v>0</v>
      </c>
      <c r="I37" s="172">
        <f>Итоговая!AP38</f>
        <v>2.1307065217391301</v>
      </c>
      <c r="J37" s="172" t="str">
        <f>Итоговая!AQ38</f>
        <v>открыт</v>
      </c>
      <c r="K37" s="907" t="str">
        <f>Итоговая!AR38</f>
        <v>открыт</v>
      </c>
      <c r="L37" s="907">
        <f>Итоговая!AS38</f>
        <v>4.6981754658385091</v>
      </c>
      <c r="M37" s="907"/>
      <c r="N37" s="907"/>
    </row>
    <row r="38" spans="1:14" hidden="1" x14ac:dyDescent="0.25">
      <c r="A38" s="212">
        <f>Итоговая!Y39</f>
        <v>31</v>
      </c>
      <c r="B38" s="1861">
        <f>COUNTIFS($C$8:C38,"*ПС*",$J$8:J38,"*закрыт*")</f>
        <v>3</v>
      </c>
      <c r="C38" s="212" t="str">
        <f>Итоговая!AA39</f>
        <v xml:space="preserve">ПС 110/35 кВ Рассвет </v>
      </c>
      <c r="D38" s="230">
        <f>Итоговая!AB39</f>
        <v>10</v>
      </c>
      <c r="E38" s="229">
        <f>Итоговая!AC39</f>
        <v>0</v>
      </c>
      <c r="F38" s="229">
        <f>Итоговая!AD39</f>
        <v>0</v>
      </c>
      <c r="G38" s="229">
        <f>Итоговая!AE39</f>
        <v>0</v>
      </c>
      <c r="H38" s="229">
        <f>Итоговая!AF39</f>
        <v>0</v>
      </c>
      <c r="I38" s="172">
        <f>Итоговая!AP39</f>
        <v>8.0000000000000071E-2</v>
      </c>
      <c r="J38" s="172" t="str">
        <f>Итоговая!AQ39</f>
        <v>открыт</v>
      </c>
      <c r="K38" s="907" t="str">
        <f>Итоговая!AR39</f>
        <v>открыт</v>
      </c>
      <c r="L38" s="907">
        <f>Итоговая!AS39</f>
        <v>46.857142857142854</v>
      </c>
      <c r="M38" s="907"/>
      <c r="N38" s="907"/>
    </row>
    <row r="39" spans="1:14" x14ac:dyDescent="0.25">
      <c r="A39" s="2419">
        <f>Итоговая!Y40</f>
        <v>32</v>
      </c>
      <c r="B39" s="2423">
        <f>COUNTIFS($C$8:C39,"*ПС*",$J$8:J39,"*закрыт*")</f>
        <v>4</v>
      </c>
      <c r="C39" s="212" t="str">
        <f>Итоговая!AA40</f>
        <v xml:space="preserve">ПС 110/35/10 кВ Иваново </v>
      </c>
      <c r="D39" s="230">
        <f>Итоговая!AB40</f>
        <v>6.3</v>
      </c>
      <c r="E39" s="229">
        <f>Итоговая!AC40</f>
        <v>0</v>
      </c>
      <c r="F39" s="229">
        <f>Итоговая!AD40</f>
        <v>0</v>
      </c>
      <c r="G39" s="229">
        <f>Итоговая!AE40</f>
        <v>0</v>
      </c>
      <c r="H39" s="229">
        <f>Итоговая!AF40</f>
        <v>0</v>
      </c>
      <c r="I39" s="2405">
        <f>Итоговая!AP40</f>
        <v>-0.62114130434782611</v>
      </c>
      <c r="J39" s="2405" t="str">
        <f>Итоговая!AQ40</f>
        <v>закрыт</v>
      </c>
      <c r="K39" s="907" t="str">
        <f>Итоговая!AR40</f>
        <v>закрыт</v>
      </c>
      <c r="L39" s="907">
        <f>Итоговая!AS40</f>
        <v>13.7738670347366</v>
      </c>
      <c r="M39" s="907"/>
      <c r="N39" s="907"/>
    </row>
    <row r="40" spans="1:14" hidden="1" x14ac:dyDescent="0.25">
      <c r="A40" s="2419">
        <f>Итоговая!Y41</f>
        <v>0</v>
      </c>
      <c r="B40" s="2440"/>
      <c r="C40" s="212" t="str">
        <f>Итоговая!AA41</f>
        <v xml:space="preserve">Ном. Мощность СН, МВА </v>
      </c>
      <c r="D40" s="230">
        <f>Итоговая!AB41</f>
        <v>6.3</v>
      </c>
      <c r="E40" s="229">
        <f>Итоговая!AC41</f>
        <v>0</v>
      </c>
      <c r="F40" s="229">
        <f>Итоговая!AD41</f>
        <v>0</v>
      </c>
      <c r="G40" s="229">
        <f>Итоговая!AE41</f>
        <v>0</v>
      </c>
      <c r="H40" s="229">
        <f>Итоговая!AF41</f>
        <v>0</v>
      </c>
      <c r="I40" s="2406">
        <f>Итоговая!AP41</f>
        <v>0</v>
      </c>
      <c r="J40" s="2406">
        <f>Итоговая!AQ41</f>
        <v>0</v>
      </c>
      <c r="K40" s="907" t="str">
        <f>Итоговая!AR41</f>
        <v>открыт</v>
      </c>
      <c r="L40" s="907">
        <f>Итоговая!AS41</f>
        <v>0</v>
      </c>
      <c r="M40" s="907"/>
      <c r="N40" s="907"/>
    </row>
    <row r="41" spans="1:14" hidden="1" x14ac:dyDescent="0.25">
      <c r="A41" s="2419">
        <f>Итоговая!Y42</f>
        <v>0</v>
      </c>
      <c r="B41" s="2441"/>
      <c r="C41" s="212" t="str">
        <f>Итоговая!AA42</f>
        <v>Ном. мощность НН, МВА</v>
      </c>
      <c r="D41" s="230">
        <f>Итоговая!AB42</f>
        <v>6.3</v>
      </c>
      <c r="E41" s="229">
        <f>Итоговая!AC42</f>
        <v>0</v>
      </c>
      <c r="F41" s="229">
        <f>Итоговая!AD42</f>
        <v>0</v>
      </c>
      <c r="G41" s="229">
        <f>Итоговая!AE42</f>
        <v>0</v>
      </c>
      <c r="H41" s="229">
        <f>Итоговая!AF42</f>
        <v>0</v>
      </c>
      <c r="I41" s="2407">
        <f>Итоговая!AP42</f>
        <v>0</v>
      </c>
      <c r="J41" s="2407">
        <f>Итоговая!AQ42</f>
        <v>0</v>
      </c>
      <c r="K41" s="907" t="str">
        <f>Итоговая!AR42</f>
        <v>открыт</v>
      </c>
      <c r="L41" s="907">
        <f>Итоговая!AS42</f>
        <v>0</v>
      </c>
      <c r="M41" s="907"/>
      <c r="N41" s="907"/>
    </row>
    <row r="42" spans="1:14" x14ac:dyDescent="0.25">
      <c r="A42" s="2419">
        <f>Итоговая!Y43</f>
        <v>33</v>
      </c>
      <c r="B42" s="2423">
        <f>COUNTIFS($C$8:C42,"*ПС*",$J$8:J42,"*закрыт*")</f>
        <v>5</v>
      </c>
      <c r="C42" s="212" t="str">
        <f>Итоговая!AA43</f>
        <v xml:space="preserve">ПС 110/35/10 кВ Кесьма </v>
      </c>
      <c r="D42" s="230">
        <f>Итоговая!AB43</f>
        <v>6.3</v>
      </c>
      <c r="E42" s="229">
        <f>Итоговая!AC43</f>
        <v>0</v>
      </c>
      <c r="F42" s="229">
        <f>Итоговая!AD43</f>
        <v>0</v>
      </c>
      <c r="G42" s="229">
        <f>Итоговая!AE43</f>
        <v>0</v>
      </c>
      <c r="H42" s="229">
        <f>Итоговая!AF43</f>
        <v>0</v>
      </c>
      <c r="I42" s="2405">
        <f>Итоговая!AP43</f>
        <v>-0.12</v>
      </c>
      <c r="J42" s="2405" t="str">
        <f>Итоговая!AQ43</f>
        <v>закрыт</v>
      </c>
      <c r="K42" s="907" t="str">
        <f>Итоговая!AR43</f>
        <v>закрыт</v>
      </c>
      <c r="L42" s="907">
        <f>Итоговая!AS43</f>
        <v>10.733182161753589</v>
      </c>
      <c r="M42" s="907"/>
      <c r="N42" s="907"/>
    </row>
    <row r="43" spans="1:14" hidden="1" x14ac:dyDescent="0.25">
      <c r="A43" s="2419">
        <f>Итоговая!Y44</f>
        <v>0</v>
      </c>
      <c r="B43" s="2440"/>
      <c r="C43" s="212" t="str">
        <f>Итоговая!AA44</f>
        <v xml:space="preserve">Ном. Мощность СН, МВА </v>
      </c>
      <c r="D43" s="230">
        <f>Итоговая!AB44</f>
        <v>6.3</v>
      </c>
      <c r="E43" s="229">
        <f>Итоговая!AC44</f>
        <v>0</v>
      </c>
      <c r="F43" s="229">
        <f>Итоговая!AD44</f>
        <v>0</v>
      </c>
      <c r="G43" s="229">
        <f>Итоговая!AE44</f>
        <v>0</v>
      </c>
      <c r="H43" s="229">
        <f>Итоговая!AF44</f>
        <v>0</v>
      </c>
      <c r="I43" s="2406">
        <f>Итоговая!AP44</f>
        <v>0</v>
      </c>
      <c r="J43" s="2406">
        <f>Итоговая!AQ44</f>
        <v>0</v>
      </c>
      <c r="K43" s="907" t="str">
        <f>Итоговая!AR44</f>
        <v>открыт</v>
      </c>
      <c r="L43" s="907">
        <f>Итоговая!AS44</f>
        <v>0</v>
      </c>
      <c r="M43" s="907"/>
      <c r="N43" s="907"/>
    </row>
    <row r="44" spans="1:14" hidden="1" x14ac:dyDescent="0.25">
      <c r="A44" s="2419">
        <f>Итоговая!Y45</f>
        <v>0</v>
      </c>
      <c r="B44" s="2441"/>
      <c r="C44" s="212" t="str">
        <f>Итоговая!AA45</f>
        <v>Ном. мощность НН, МВА</v>
      </c>
      <c r="D44" s="230">
        <f>Итоговая!AB45</f>
        <v>6.3</v>
      </c>
      <c r="E44" s="229">
        <f>Итоговая!AC45</f>
        <v>0</v>
      </c>
      <c r="F44" s="229">
        <f>Итоговая!AD45</f>
        <v>0</v>
      </c>
      <c r="G44" s="229">
        <f>Итоговая!AE45</f>
        <v>0</v>
      </c>
      <c r="H44" s="229">
        <f>Итоговая!AF45</f>
        <v>0</v>
      </c>
      <c r="I44" s="2407">
        <f>Итоговая!AP45</f>
        <v>0</v>
      </c>
      <c r="J44" s="2407">
        <f>Итоговая!AQ45</f>
        <v>0</v>
      </c>
      <c r="K44" s="907" t="str">
        <f>Итоговая!AR45</f>
        <v>открыт</v>
      </c>
      <c r="L44" s="907">
        <f>Итоговая!AS45</f>
        <v>0</v>
      </c>
      <c r="M44" s="907"/>
      <c r="N44" s="907"/>
    </row>
    <row r="45" spans="1:14" x14ac:dyDescent="0.25">
      <c r="A45" s="212">
        <f>Итоговая!Y46</f>
        <v>34</v>
      </c>
      <c r="B45" s="2423">
        <f>COUNTIFS($C$8:C45,"*ПС*",$J$8:J45,"*закрыт*")</f>
        <v>6</v>
      </c>
      <c r="C45" s="212" t="str">
        <f>Итоговая!AA46</f>
        <v xml:space="preserve">ПС 110/35/10 кВ Моркины Горы </v>
      </c>
      <c r="D45" s="230">
        <f>Итоговая!AB46</f>
        <v>5.6</v>
      </c>
      <c r="E45" s="229">
        <f>Итоговая!AC46</f>
        <v>0</v>
      </c>
      <c r="F45" s="229">
        <f>Итоговая!AD46</f>
        <v>0</v>
      </c>
      <c r="G45" s="229">
        <f>Итоговая!AE46</f>
        <v>0</v>
      </c>
      <c r="H45" s="229">
        <f>Итоговая!AF46</f>
        <v>0</v>
      </c>
      <c r="I45" s="2405">
        <f>Итоговая!AP46</f>
        <v>-0.13</v>
      </c>
      <c r="J45" s="2405" t="str">
        <f>Итоговая!AQ46</f>
        <v>закрыт</v>
      </c>
      <c r="K45" s="907" t="str">
        <f>Итоговая!AR46</f>
        <v>закрыт</v>
      </c>
      <c r="L45" s="907">
        <f>Итоговая!AS46</f>
        <v>9.183673469387756</v>
      </c>
      <c r="M45" s="907"/>
      <c r="N45" s="907"/>
    </row>
    <row r="46" spans="1:14" hidden="1" x14ac:dyDescent="0.25">
      <c r="A46" s="212">
        <f>Итоговая!Y47</f>
        <v>0</v>
      </c>
      <c r="B46" s="2440"/>
      <c r="C46" s="212" t="str">
        <f>Итоговая!AA47</f>
        <v xml:space="preserve">Ном. Мощность СН, МВА </v>
      </c>
      <c r="D46" s="230">
        <f>Итоговая!AB47</f>
        <v>5.6</v>
      </c>
      <c r="E46" s="229">
        <f>Итоговая!AC47</f>
        <v>0</v>
      </c>
      <c r="F46" s="229">
        <f>Итоговая!AD47</f>
        <v>0</v>
      </c>
      <c r="G46" s="229">
        <f>Итоговая!AE47</f>
        <v>0</v>
      </c>
      <c r="H46" s="229">
        <f>Итоговая!AF47</f>
        <v>0</v>
      </c>
      <c r="I46" s="2406">
        <f>Итоговая!AP47</f>
        <v>0</v>
      </c>
      <c r="J46" s="2406">
        <f>Итоговая!AQ47</f>
        <v>0</v>
      </c>
      <c r="K46" s="907" t="str">
        <f>Итоговая!AR47</f>
        <v>открыт</v>
      </c>
      <c r="L46" s="907">
        <f>Итоговая!AS47</f>
        <v>0</v>
      </c>
      <c r="M46" s="907"/>
      <c r="N46" s="907"/>
    </row>
    <row r="47" spans="1:14" hidden="1" x14ac:dyDescent="0.25">
      <c r="A47" s="212">
        <f>Итоговая!Y48</f>
        <v>0</v>
      </c>
      <c r="B47" s="2441"/>
      <c r="C47" s="212" t="str">
        <f>Итоговая!AA48</f>
        <v>Ном. мощность НН, МВА</v>
      </c>
      <c r="D47" s="230">
        <f>Итоговая!AB48</f>
        <v>5.6</v>
      </c>
      <c r="E47" s="229">
        <f>Итоговая!AC48</f>
        <v>0</v>
      </c>
      <c r="F47" s="229">
        <f>Итоговая!AD48</f>
        <v>0</v>
      </c>
      <c r="G47" s="229">
        <f>Итоговая!AE48</f>
        <v>0</v>
      </c>
      <c r="H47" s="229">
        <f>Итоговая!AF48</f>
        <v>0</v>
      </c>
      <c r="I47" s="2407">
        <f>Итоговая!AP48</f>
        <v>0</v>
      </c>
      <c r="J47" s="2407">
        <f>Итоговая!AQ48</f>
        <v>0</v>
      </c>
      <c r="K47" s="907" t="str">
        <f>Итоговая!AR48</f>
        <v>открыт</v>
      </c>
      <c r="L47" s="907">
        <f>Итоговая!AS48</f>
        <v>0</v>
      </c>
      <c r="M47" s="907"/>
      <c r="N47" s="907"/>
    </row>
    <row r="48" spans="1:14" hidden="1" x14ac:dyDescent="0.25">
      <c r="A48" s="212">
        <f>Итоговая!Y49</f>
        <v>35</v>
      </c>
      <c r="B48" s="2423">
        <f>COUNTIFS($C$8:C48,"*ПС*",$J$8:J48,"*закрыт*")</f>
        <v>6</v>
      </c>
      <c r="C48" s="212" t="str">
        <f>Итоговая!AA49</f>
        <v xml:space="preserve">ПС 110/35/10 кВ Топалки  </v>
      </c>
      <c r="D48" s="230">
        <f>Итоговая!AB49</f>
        <v>6.3</v>
      </c>
      <c r="E48" s="229">
        <f>Итоговая!AC49</f>
        <v>0</v>
      </c>
      <c r="F48" s="229">
        <f>Итоговая!AD49</f>
        <v>0</v>
      </c>
      <c r="G48" s="229">
        <f>Итоговая!AE49</f>
        <v>0</v>
      </c>
      <c r="H48" s="229">
        <f>Итоговая!AF49</f>
        <v>0</v>
      </c>
      <c r="I48" s="172">
        <f>Итоговая!AP49</f>
        <v>0.74</v>
      </c>
      <c r="J48" s="172" t="str">
        <f>Итоговая!AQ49</f>
        <v>открыт</v>
      </c>
      <c r="K48" s="907" t="str">
        <f>Итоговая!AR49</f>
        <v>открыт</v>
      </c>
      <c r="L48" s="907">
        <f>Итоговая!AS49</f>
        <v>35.222978080120939</v>
      </c>
      <c r="M48" s="907"/>
      <c r="N48" s="907"/>
    </row>
    <row r="49" spans="1:14" hidden="1" x14ac:dyDescent="0.25">
      <c r="A49" s="212">
        <f>Итоговая!Y50</f>
        <v>0</v>
      </c>
      <c r="B49" s="2440"/>
      <c r="C49" s="212" t="str">
        <f>Итоговая!AA50</f>
        <v xml:space="preserve">Ном. Мощность СН, МВА </v>
      </c>
      <c r="D49" s="230">
        <f>Итоговая!AB50</f>
        <v>6.3</v>
      </c>
      <c r="E49" s="229">
        <f>Итоговая!AC50</f>
        <v>0</v>
      </c>
      <c r="F49" s="229">
        <f>Итоговая!AD50</f>
        <v>0</v>
      </c>
      <c r="G49" s="229">
        <f>Итоговая!AE50</f>
        <v>0</v>
      </c>
      <c r="H49" s="229">
        <f>Итоговая!AF50</f>
        <v>0</v>
      </c>
      <c r="I49" s="172">
        <f>Итоговая!AP50</f>
        <v>0</v>
      </c>
      <c r="J49" s="172" t="str">
        <f>Итоговая!AQ50</f>
        <v>открыт</v>
      </c>
      <c r="K49" s="907" t="str">
        <f>Итоговая!AR50</f>
        <v>открыт</v>
      </c>
      <c r="L49" s="907">
        <f>Итоговая!AS50</f>
        <v>0</v>
      </c>
      <c r="M49" s="907"/>
      <c r="N49" s="907"/>
    </row>
    <row r="50" spans="1:14" hidden="1" x14ac:dyDescent="0.25">
      <c r="A50" s="212">
        <f>Итоговая!Y51</f>
        <v>0</v>
      </c>
      <c r="B50" s="2441"/>
      <c r="C50" s="212" t="str">
        <f>Итоговая!AA51</f>
        <v>Ном. мощность НН, МВА</v>
      </c>
      <c r="D50" s="230">
        <f>Итоговая!AB51</f>
        <v>6.3</v>
      </c>
      <c r="E50" s="229">
        <f>Итоговая!AC51</f>
        <v>0</v>
      </c>
      <c r="F50" s="229">
        <f>Итоговая!AD51</f>
        <v>0</v>
      </c>
      <c r="G50" s="229">
        <f>Итоговая!AE51</f>
        <v>0</v>
      </c>
      <c r="H50" s="229">
        <f>Итоговая!AF51</f>
        <v>0</v>
      </c>
      <c r="I50" s="172">
        <f>Итоговая!AP51</f>
        <v>0</v>
      </c>
      <c r="J50" s="172" t="str">
        <f>Итоговая!AQ51</f>
        <v>открыт</v>
      </c>
      <c r="K50" s="907" t="str">
        <f>Итоговая!AR51</f>
        <v>открыт</v>
      </c>
      <c r="L50" s="907">
        <f>Итоговая!AS51</f>
        <v>0</v>
      </c>
      <c r="M50" s="907"/>
      <c r="N50" s="907"/>
    </row>
    <row r="51" spans="1:14" hidden="1" x14ac:dyDescent="0.25">
      <c r="A51" s="212">
        <f>Итоговая!Y52</f>
        <v>36</v>
      </c>
      <c r="B51" s="1133">
        <f>COUNTIFS($C$8:C51,"*ПС*",$J$8:J51,"*закрыт*")</f>
        <v>6</v>
      </c>
      <c r="C51" s="212" t="str">
        <f>Итоговая!AA52</f>
        <v xml:space="preserve">ПС 35/10 кВ Березьё  </v>
      </c>
      <c r="D51" s="230">
        <f>Итоговая!AB52</f>
        <v>1</v>
      </c>
      <c r="E51" s="229" t="str">
        <f>Итоговая!AC52</f>
        <v>+</v>
      </c>
      <c r="F51" s="229">
        <f>Итоговая!AD52</f>
        <v>1</v>
      </c>
      <c r="G51" s="229">
        <f>Итоговая!AE52</f>
        <v>0</v>
      </c>
      <c r="H51" s="229">
        <f>Итоговая!AF52</f>
        <v>0</v>
      </c>
      <c r="I51" s="172">
        <f>Итоговая!AP52</f>
        <v>1.69</v>
      </c>
      <c r="J51" s="172" t="str">
        <f>Итоговая!AQ52</f>
        <v>открыт</v>
      </c>
      <c r="K51" s="907" t="str">
        <f>Итоговая!AR52</f>
        <v>открыт</v>
      </c>
      <c r="L51" s="907">
        <f>Итоговая!AS52</f>
        <v>4.7619047619047619</v>
      </c>
      <c r="M51" s="907"/>
      <c r="N51" s="907"/>
    </row>
    <row r="52" spans="1:14" hidden="1" x14ac:dyDescent="0.25">
      <c r="A52" s="212">
        <f>Итоговая!Y53</f>
        <v>37</v>
      </c>
      <c r="B52" s="1133">
        <f>COUNTIFS($C$8:C52,"*ПС*",$J$8:J52,"*закрыт*")</f>
        <v>6</v>
      </c>
      <c r="C52" s="212" t="str">
        <f>Итоговая!AA53</f>
        <v xml:space="preserve">ПС 35/10 кВ Лесное </v>
      </c>
      <c r="D52" s="230">
        <f>Итоговая!AB53</f>
        <v>2.5</v>
      </c>
      <c r="E52" s="229" t="str">
        <f>Итоговая!AC53</f>
        <v>+</v>
      </c>
      <c r="F52" s="229">
        <f>Итоговая!AD53</f>
        <v>4</v>
      </c>
      <c r="G52" s="229">
        <f>Итоговая!AE53</f>
        <v>0</v>
      </c>
      <c r="H52" s="229">
        <f>Итоговая!AF53</f>
        <v>0</v>
      </c>
      <c r="I52" s="172">
        <f>Итоговая!AP53</f>
        <v>2.2249999999999996</v>
      </c>
      <c r="J52" s="172" t="str">
        <f>Итоговая!AQ53</f>
        <v>открыт</v>
      </c>
      <c r="K52" s="907" t="str">
        <f>Итоговая!AR53</f>
        <v>открыт</v>
      </c>
      <c r="L52" s="907">
        <f>Итоговая!AS53</f>
        <v>71.238095238095241</v>
      </c>
      <c r="M52" s="907"/>
      <c r="N52" s="907"/>
    </row>
    <row r="53" spans="1:14" hidden="1" x14ac:dyDescent="0.25">
      <c r="A53" s="212">
        <f>Итоговая!Y54</f>
        <v>38</v>
      </c>
      <c r="B53" s="1860">
        <f>COUNTIFS($C$8:C53,"*ПС*",$J$8:J53,"*закрыт*")</f>
        <v>6</v>
      </c>
      <c r="C53" s="212" t="str">
        <f>Итоговая!AA54</f>
        <v xml:space="preserve">ПС 35/10 кВ Максатиха   </v>
      </c>
      <c r="D53" s="230">
        <f>Итоговая!AB54</f>
        <v>6.3</v>
      </c>
      <c r="E53" s="229" t="str">
        <f>Итоговая!AC54</f>
        <v>+</v>
      </c>
      <c r="F53" s="229">
        <f>Итоговая!AD54</f>
        <v>4</v>
      </c>
      <c r="G53" s="229">
        <f>Итоговая!AE54</f>
        <v>0</v>
      </c>
      <c r="H53" s="229">
        <f>Итоговая!AF54</f>
        <v>0</v>
      </c>
      <c r="I53" s="172">
        <f>Итоговая!AP54</f>
        <v>1.0942934782608691</v>
      </c>
      <c r="J53" s="172" t="str">
        <f>Итоговая!AQ54</f>
        <v>открыт</v>
      </c>
      <c r="K53" s="907" t="str">
        <f>Итоговая!AR54</f>
        <v>открыт</v>
      </c>
      <c r="L53" s="907">
        <f>Итоговая!AS54</f>
        <v>115.1358695652174</v>
      </c>
      <c r="M53" s="907"/>
      <c r="N53" s="907"/>
    </row>
    <row r="54" spans="1:14" hidden="1" x14ac:dyDescent="0.25">
      <c r="A54" s="212">
        <f>Итоговая!Y55</f>
        <v>39</v>
      </c>
      <c r="B54" s="1133">
        <f>COUNTIFS($C$8:C54,"*ПС*",$J$8:J54,"*закрыт*")</f>
        <v>6</v>
      </c>
      <c r="C54" s="212" t="str">
        <f>Итоговая!AA55</f>
        <v xml:space="preserve">ПС 35/10 кВ Молоково </v>
      </c>
      <c r="D54" s="230">
        <f>Итоговая!AB55</f>
        <v>4</v>
      </c>
      <c r="E54" s="229" t="str">
        <f>Итоговая!AC55</f>
        <v>+</v>
      </c>
      <c r="F54" s="229">
        <f>Итоговая!AD55</f>
        <v>2.5</v>
      </c>
      <c r="G54" s="229">
        <f>Итоговая!AE55</f>
        <v>0</v>
      </c>
      <c r="H54" s="229">
        <f>Итоговая!AF55</f>
        <v>0</v>
      </c>
      <c r="I54" s="172">
        <f>Итоговая!AP55</f>
        <v>1.8239130434782609</v>
      </c>
      <c r="J54" s="172" t="str">
        <f>Итоговая!AQ55</f>
        <v>открыт</v>
      </c>
      <c r="K54" s="907" t="str">
        <f>Итоговая!AR55</f>
        <v>открыт</v>
      </c>
      <c r="L54" s="907">
        <f>Итоговая!AS55</f>
        <v>73.184265010351979</v>
      </c>
      <c r="M54" s="907"/>
      <c r="N54" s="907"/>
    </row>
    <row r="55" spans="1:14" hidden="1" x14ac:dyDescent="0.25">
      <c r="A55" s="212">
        <f>Итоговая!Y56</f>
        <v>40</v>
      </c>
      <c r="B55" s="1133">
        <f>COUNTIFS($C$8:C55,"*ПС*",$J$8:J55,"*закрыт*")</f>
        <v>6</v>
      </c>
      <c r="C55" s="212" t="str">
        <f>Итоговая!AA56</f>
        <v>ПС 35/10 кВ Новокотово</v>
      </c>
      <c r="D55" s="230">
        <f>Итоговая!AB56</f>
        <v>2.5</v>
      </c>
      <c r="E55" s="229" t="str">
        <f>Итоговая!AC56</f>
        <v>+</v>
      </c>
      <c r="F55" s="229">
        <f>Итоговая!AD56</f>
        <v>2.5</v>
      </c>
      <c r="G55" s="229">
        <f>Итоговая!AE56</f>
        <v>0</v>
      </c>
      <c r="H55" s="229">
        <f>Итоговая!AF56</f>
        <v>0</v>
      </c>
      <c r="I55" s="172">
        <f>Итоговая!AP56</f>
        <v>2.4449999999999998</v>
      </c>
      <c r="J55" s="172" t="str">
        <f>Итоговая!AQ56</f>
        <v>открыт</v>
      </c>
      <c r="K55" s="907" t="str">
        <f>Итоговая!AR56</f>
        <v>открыт</v>
      </c>
      <c r="L55" s="907">
        <f>Итоговая!AS56</f>
        <v>6.8571428571428568</v>
      </c>
      <c r="M55" s="907"/>
      <c r="N55" s="907"/>
    </row>
    <row r="56" spans="1:14" hidden="1" x14ac:dyDescent="0.25">
      <c r="A56" s="212">
        <f>Итоговая!Y57</f>
        <v>41</v>
      </c>
      <c r="B56" s="1133">
        <f>COUNTIFS($C$8:C56,"*ПС*",$J$8:J56,"*закрыт*")</f>
        <v>6</v>
      </c>
      <c r="C56" s="212" t="str">
        <f>Итоговая!AA57</f>
        <v xml:space="preserve">ПС 35/10 кВ Ривзавод  </v>
      </c>
      <c r="D56" s="230">
        <f>Итоговая!AB57</f>
        <v>1.6</v>
      </c>
      <c r="E56" s="229" t="str">
        <f>Итоговая!AC57</f>
        <v>+</v>
      </c>
      <c r="F56" s="229">
        <f>Итоговая!AD57</f>
        <v>2.5</v>
      </c>
      <c r="G56" s="229">
        <f>Итоговая!AE57</f>
        <v>0</v>
      </c>
      <c r="H56" s="229">
        <f>Итоговая!AF57</f>
        <v>0</v>
      </c>
      <c r="I56" s="172">
        <f>Итоговая!AP57</f>
        <v>1.99</v>
      </c>
      <c r="J56" s="172" t="str">
        <f>Итоговая!AQ57</f>
        <v>открыт</v>
      </c>
      <c r="K56" s="907" t="str">
        <f>Итоговая!AR57</f>
        <v>открыт</v>
      </c>
      <c r="L56" s="907">
        <f>Итоговая!AS57</f>
        <v>66.666666666666671</v>
      </c>
      <c r="M56" s="907"/>
      <c r="N56" s="907"/>
    </row>
    <row r="57" spans="1:14" hidden="1" x14ac:dyDescent="0.25">
      <c r="A57" s="212">
        <f>Итоговая!Y58</f>
        <v>42</v>
      </c>
      <c r="B57" s="1133">
        <f>COUNTIFS($C$8:C57,"*ПС*",$J$8:J57,"*закрыт*")</f>
        <v>6</v>
      </c>
      <c r="C57" s="212" t="str">
        <f>Итоговая!AA58</f>
        <v xml:space="preserve">ПС 35/10 кВ Сонково </v>
      </c>
      <c r="D57" s="230">
        <f>Итоговая!AB58</f>
        <v>4</v>
      </c>
      <c r="E57" s="229" t="str">
        <f>Итоговая!AC58</f>
        <v>+</v>
      </c>
      <c r="F57" s="229">
        <f>Итоговая!AD58</f>
        <v>3.2</v>
      </c>
      <c r="G57" s="229">
        <f>Итоговая!AE58</f>
        <v>0</v>
      </c>
      <c r="H57" s="229">
        <f>Итоговая!AF58</f>
        <v>0</v>
      </c>
      <c r="I57" s="172">
        <f>Итоговая!AP58</f>
        <v>1.7700000000000005</v>
      </c>
      <c r="J57" s="172" t="str">
        <f>Итоговая!AQ58</f>
        <v>открыт</v>
      </c>
      <c r="K57" s="907" t="str">
        <f>Итоговая!AR58</f>
        <v>открыт</v>
      </c>
      <c r="L57" s="907">
        <f>Итоговая!AS58</f>
        <v>113.09523809523809</v>
      </c>
      <c r="M57" s="907"/>
      <c r="N57" s="907"/>
    </row>
    <row r="58" spans="1:14" hidden="1" x14ac:dyDescent="0.25">
      <c r="A58" s="212">
        <f>Итоговая!Y59</f>
        <v>43</v>
      </c>
      <c r="B58" s="1133">
        <f>COUNTIFS($C$8:C58,"*ПС*",$J$8:J58,"*закрыт*")</f>
        <v>6</v>
      </c>
      <c r="C58" s="212" t="str">
        <f>Итоговая!AA59</f>
        <v xml:space="preserve">ПС 35/10 кВ Сулежский Борок </v>
      </c>
      <c r="D58" s="230">
        <f>Итоговая!AB59</f>
        <v>1.6</v>
      </c>
      <c r="E58" s="229" t="str">
        <f>Итоговая!AC59</f>
        <v>+</v>
      </c>
      <c r="F58" s="229">
        <f>Итоговая!AD59</f>
        <v>2.5</v>
      </c>
      <c r="G58" s="229">
        <f>Итоговая!AE59</f>
        <v>0</v>
      </c>
      <c r="H58" s="229">
        <f>Итоговая!AF59</f>
        <v>0</v>
      </c>
      <c r="I58" s="172">
        <f>Итоговая!AP59</f>
        <v>1.9800000000000002</v>
      </c>
      <c r="J58" s="172" t="str">
        <f>Итоговая!AQ59</f>
        <v>открыт</v>
      </c>
      <c r="K58" s="907" t="str">
        <f>Итоговая!AR59</f>
        <v>открыт</v>
      </c>
      <c r="L58" s="907">
        <f>Итоговая!AS59</f>
        <v>25.595238095238091</v>
      </c>
      <c r="M58" s="907"/>
      <c r="N58" s="907"/>
    </row>
    <row r="59" spans="1:14" hidden="1" x14ac:dyDescent="0.25">
      <c r="A59" s="212">
        <f>Итоговая!Y60</f>
        <v>44</v>
      </c>
      <c r="B59" s="1133">
        <f>COUNTIFS($C$8:C59,"*ПС*",$J$8:J59,"*закрыт*")</f>
        <v>6</v>
      </c>
      <c r="C59" s="212" t="str">
        <f>Итоговая!AA60</f>
        <v xml:space="preserve">ПС 110/10 кВ Шишково Дуброво </v>
      </c>
      <c r="D59" s="230">
        <f>Итоговая!AB60</f>
        <v>6.3</v>
      </c>
      <c r="E59" s="229" t="str">
        <f>Итоговая!AC60</f>
        <v>+</v>
      </c>
      <c r="F59" s="229">
        <f>Итоговая!AD60</f>
        <v>6.3</v>
      </c>
      <c r="G59" s="229">
        <f>Итоговая!AE60</f>
        <v>0</v>
      </c>
      <c r="H59" s="229">
        <f>Итоговая!AF60</f>
        <v>0</v>
      </c>
      <c r="I59" s="172">
        <f>Итоговая!AP60</f>
        <v>4.9528804347826085</v>
      </c>
      <c r="J59" s="172" t="str">
        <f>Итоговая!AQ60</f>
        <v>открыт</v>
      </c>
      <c r="K59" s="907" t="str">
        <f>Итоговая!AR60</f>
        <v>открыт</v>
      </c>
      <c r="L59" s="907">
        <f>Итоговая!AS60</f>
        <v>39.941338854382337</v>
      </c>
      <c r="M59" s="907"/>
      <c r="N59" s="907"/>
    </row>
    <row r="60" spans="1:14" hidden="1" x14ac:dyDescent="0.25">
      <c r="A60" s="2419">
        <f>Итоговая!Y61</f>
        <v>45</v>
      </c>
      <c r="B60" s="2423">
        <f>COUNTIFS($C$8:C60,"*ПС*",$J$8:J60,"*закрыт*")</f>
        <v>6</v>
      </c>
      <c r="C60" s="212" t="str">
        <f>Итоговая!AA61</f>
        <v xml:space="preserve">ПС 110/35/10 кВ Весьегонск </v>
      </c>
      <c r="D60" s="230">
        <f>Итоговая!AB61</f>
        <v>6.3</v>
      </c>
      <c r="E60" s="229" t="str">
        <f>Итоговая!AC61</f>
        <v>+</v>
      </c>
      <c r="F60" s="229">
        <f>Итоговая!AD61</f>
        <v>6.3</v>
      </c>
      <c r="G60" s="229">
        <f>Итоговая!AE61</f>
        <v>0</v>
      </c>
      <c r="H60" s="229">
        <f>Итоговая!AF61</f>
        <v>0</v>
      </c>
      <c r="I60" s="2405">
        <f>Итоговая!AP61</f>
        <v>2.5550000000000006</v>
      </c>
      <c r="J60" s="2405" t="str">
        <f>Итоговая!AQ61</f>
        <v>открыт</v>
      </c>
      <c r="K60" s="907" t="str">
        <f>Итоговая!AR61</f>
        <v>открыт</v>
      </c>
      <c r="L60" s="907">
        <f>Итоговая!AS61</f>
        <v>61.375661375661366</v>
      </c>
      <c r="M60" s="907"/>
      <c r="N60" s="907"/>
    </row>
    <row r="61" spans="1:14" hidden="1" x14ac:dyDescent="0.25">
      <c r="A61" s="2419">
        <f>Итоговая!Y62</f>
        <v>0</v>
      </c>
      <c r="B61" s="2440"/>
      <c r="C61" s="212" t="str">
        <f>Итоговая!AA62</f>
        <v xml:space="preserve">Ном. Мощность СН, МВА </v>
      </c>
      <c r="D61" s="230">
        <f>Итоговая!AB62</f>
        <v>6.3</v>
      </c>
      <c r="E61" s="229" t="str">
        <f>Итоговая!AC62</f>
        <v>+</v>
      </c>
      <c r="F61" s="229">
        <f>Итоговая!AD62</f>
        <v>6.3</v>
      </c>
      <c r="G61" s="229">
        <f>Итоговая!AE62</f>
        <v>0</v>
      </c>
      <c r="H61" s="229">
        <f>Итоговая!AF62</f>
        <v>0</v>
      </c>
      <c r="I61" s="2406">
        <f>Итоговая!AP62</f>
        <v>0</v>
      </c>
      <c r="J61" s="2406" t="str">
        <f>Итоговая!AQ62</f>
        <v>открыт</v>
      </c>
      <c r="K61" s="907" t="str">
        <f>Итоговая!AR62</f>
        <v>открыт</v>
      </c>
      <c r="L61" s="907">
        <f>Итоговая!AS62</f>
        <v>0</v>
      </c>
      <c r="M61" s="907"/>
      <c r="N61" s="907"/>
    </row>
    <row r="62" spans="1:14" hidden="1" x14ac:dyDescent="0.25">
      <c r="A62" s="2419">
        <f>Итоговая!Y63</f>
        <v>0</v>
      </c>
      <c r="B62" s="2441"/>
      <c r="C62" s="212" t="str">
        <f>Итоговая!AA63</f>
        <v>Ном. мощность НН, МВА</v>
      </c>
      <c r="D62" s="230">
        <f>Итоговая!AB63</f>
        <v>6.3</v>
      </c>
      <c r="E62" s="229" t="str">
        <f>Итоговая!AC63</f>
        <v>+</v>
      </c>
      <c r="F62" s="229">
        <f>Итоговая!AD63</f>
        <v>6.3</v>
      </c>
      <c r="G62" s="229">
        <f>Итоговая!AE63</f>
        <v>0</v>
      </c>
      <c r="H62" s="229">
        <f>Итоговая!AF63</f>
        <v>0</v>
      </c>
      <c r="I62" s="2407">
        <f>Итоговая!AP63</f>
        <v>0</v>
      </c>
      <c r="J62" s="2407" t="str">
        <f>Итоговая!AQ63</f>
        <v>открыт</v>
      </c>
      <c r="K62" s="907" t="str">
        <f>Итоговая!AR63</f>
        <v>открыт</v>
      </c>
      <c r="L62" s="907">
        <f>Итоговая!AS63</f>
        <v>0</v>
      </c>
      <c r="M62" s="907"/>
      <c r="N62" s="907"/>
    </row>
    <row r="63" spans="1:14" hidden="1" x14ac:dyDescent="0.25">
      <c r="A63" s="2419">
        <f>Итоговая!Y64</f>
        <v>46</v>
      </c>
      <c r="B63" s="2423">
        <f>COUNTIFS($C$8:C63,"*ПС*",$J$8:J63,"*закрыт*")</f>
        <v>6</v>
      </c>
      <c r="C63" s="212" t="str">
        <f>Итоговая!AA64</f>
        <v xml:space="preserve">ПС 110/35/10 кВ ДВП  </v>
      </c>
      <c r="D63" s="230">
        <f>Итоговая!AB64</f>
        <v>25</v>
      </c>
      <c r="E63" s="229" t="str">
        <f>Итоговая!AC64</f>
        <v>+</v>
      </c>
      <c r="F63" s="229">
        <f>Итоговая!AD64</f>
        <v>25</v>
      </c>
      <c r="G63" s="229">
        <f>Итоговая!AE64</f>
        <v>0</v>
      </c>
      <c r="H63" s="229">
        <f>Итоговая!AF64</f>
        <v>0</v>
      </c>
      <c r="I63" s="2405">
        <f>Итоговая!AP64</f>
        <v>17.649999999999999</v>
      </c>
      <c r="J63" s="2405" t="str">
        <f>Итоговая!AQ64</f>
        <v>открыт</v>
      </c>
      <c r="K63" s="907" t="str">
        <f>Итоговая!AR64</f>
        <v>открыт</v>
      </c>
      <c r="L63" s="907">
        <f>Итоговая!AS64</f>
        <v>42.285714285714285</v>
      </c>
      <c r="M63" s="907"/>
      <c r="N63" s="907"/>
    </row>
    <row r="64" spans="1:14" hidden="1" x14ac:dyDescent="0.25">
      <c r="A64" s="2419">
        <f>Итоговая!Y65</f>
        <v>0</v>
      </c>
      <c r="B64" s="2440"/>
      <c r="C64" s="212" t="str">
        <f>Итоговая!AA65</f>
        <v xml:space="preserve">Ном. Мощность СН, МВА </v>
      </c>
      <c r="D64" s="230">
        <f>Итоговая!AB65</f>
        <v>25</v>
      </c>
      <c r="E64" s="229" t="str">
        <f>Итоговая!AC65</f>
        <v>+</v>
      </c>
      <c r="F64" s="229">
        <f>Итоговая!AD65</f>
        <v>25</v>
      </c>
      <c r="G64" s="229">
        <f>Итоговая!AE65</f>
        <v>0</v>
      </c>
      <c r="H64" s="229">
        <f>Итоговая!AF65</f>
        <v>0</v>
      </c>
      <c r="I64" s="2406">
        <f>Итоговая!AP65</f>
        <v>0</v>
      </c>
      <c r="J64" s="2406" t="str">
        <f>Итоговая!AQ65</f>
        <v>открыт</v>
      </c>
      <c r="K64" s="907" t="str">
        <f>Итоговая!AR65</f>
        <v>открыт</v>
      </c>
      <c r="L64" s="907">
        <f>Итоговая!AS65</f>
        <v>0</v>
      </c>
      <c r="M64" s="907"/>
      <c r="N64" s="907"/>
    </row>
    <row r="65" spans="1:14" hidden="1" x14ac:dyDescent="0.25">
      <c r="A65" s="2419">
        <f>Итоговая!Y66</f>
        <v>0</v>
      </c>
      <c r="B65" s="2441"/>
      <c r="C65" s="212" t="str">
        <f>Итоговая!AA66</f>
        <v>Ном. мощность НН, МВА</v>
      </c>
      <c r="D65" s="246">
        <f>Итоговая!AB66</f>
        <v>25</v>
      </c>
      <c r="E65" s="247" t="str">
        <f>Итоговая!AC66</f>
        <v>+</v>
      </c>
      <c r="F65" s="247">
        <f>Итоговая!AD66</f>
        <v>25</v>
      </c>
      <c r="G65" s="247">
        <f>Итоговая!AE66</f>
        <v>0</v>
      </c>
      <c r="H65" s="247">
        <f>Итоговая!AF66</f>
        <v>0</v>
      </c>
      <c r="I65" s="2407">
        <f>Итоговая!AP66</f>
        <v>0</v>
      </c>
      <c r="J65" s="2407" t="str">
        <f>Итоговая!AQ66</f>
        <v>открыт</v>
      </c>
      <c r="K65" s="907" t="str">
        <f>Итоговая!AR66</f>
        <v>открыт</v>
      </c>
      <c r="L65" s="907">
        <f>Итоговая!AS66</f>
        <v>0</v>
      </c>
      <c r="M65" s="907"/>
      <c r="N65" s="907"/>
    </row>
    <row r="66" spans="1:14" hidden="1" x14ac:dyDescent="0.25">
      <c r="A66" s="2419">
        <f>Итоговая!Y67</f>
        <v>47</v>
      </c>
      <c r="B66" s="2423">
        <f>COUNTIFS($C$8:C66,"*ПС*",$J$8:J66,"*закрыт*")</f>
        <v>6</v>
      </c>
      <c r="C66" s="212" t="str">
        <f>Итоговая!AA67</f>
        <v xml:space="preserve">ПС 110/35/10 кВ Красный Холм </v>
      </c>
      <c r="D66" s="246">
        <f>Итоговая!AB67</f>
        <v>10</v>
      </c>
      <c r="E66" s="247" t="str">
        <f>Итоговая!AC67</f>
        <v>+</v>
      </c>
      <c r="F66" s="247">
        <f>Итоговая!AD67</f>
        <v>10</v>
      </c>
      <c r="G66" s="247">
        <f>Итоговая!AE67</f>
        <v>0</v>
      </c>
      <c r="H66" s="247">
        <f>Итоговая!AF67</f>
        <v>0</v>
      </c>
      <c r="I66" s="2405">
        <f>Итоговая!AP67</f>
        <v>5.1296195652173919</v>
      </c>
      <c r="J66" s="2405" t="str">
        <f>Итоговая!AQ67</f>
        <v>открыт</v>
      </c>
      <c r="K66" s="907" t="str">
        <f>Итоговая!AR67</f>
        <v>открыт</v>
      </c>
      <c r="L66" s="907">
        <f>Итоговая!AS67</f>
        <v>53.622670807453403</v>
      </c>
      <c r="M66" s="907"/>
      <c r="N66" s="907"/>
    </row>
    <row r="67" spans="1:14" hidden="1" x14ac:dyDescent="0.25">
      <c r="A67" s="2419">
        <f>Итоговая!Y68</f>
        <v>0</v>
      </c>
      <c r="B67" s="2440"/>
      <c r="C67" s="212" t="str">
        <f>Итоговая!AA68</f>
        <v xml:space="preserve">Ном. Мощность СН, МВА </v>
      </c>
      <c r="D67" s="246">
        <f>Итоговая!AB68</f>
        <v>10</v>
      </c>
      <c r="E67" s="247" t="str">
        <f>Итоговая!AC68</f>
        <v>+</v>
      </c>
      <c r="F67" s="247">
        <f>Итоговая!AD68</f>
        <v>10</v>
      </c>
      <c r="G67" s="247">
        <f>Итоговая!AE68</f>
        <v>0</v>
      </c>
      <c r="H67" s="247">
        <f>Итоговая!AF68</f>
        <v>0</v>
      </c>
      <c r="I67" s="2406">
        <f>Итоговая!AP68</f>
        <v>0</v>
      </c>
      <c r="J67" s="2406" t="str">
        <f>Итоговая!AQ68</f>
        <v>открыт</v>
      </c>
      <c r="K67" s="907" t="str">
        <f>Итоговая!AR68</f>
        <v>открыт</v>
      </c>
      <c r="L67" s="907">
        <f>Итоговая!AS68</f>
        <v>0</v>
      </c>
      <c r="M67" s="907"/>
      <c r="N67" s="907"/>
    </row>
    <row r="68" spans="1:14" hidden="1" x14ac:dyDescent="0.25">
      <c r="A68" s="2419">
        <f>Итоговая!Y69</f>
        <v>0</v>
      </c>
      <c r="B68" s="2441"/>
      <c r="C68" s="212" t="str">
        <f>Итоговая!AA69</f>
        <v>Ном. мощность НН, МВА</v>
      </c>
      <c r="D68" s="246">
        <f>Итоговая!AB69</f>
        <v>10</v>
      </c>
      <c r="E68" s="247" t="str">
        <f>Итоговая!AC69</f>
        <v>+</v>
      </c>
      <c r="F68" s="247">
        <f>Итоговая!AD69</f>
        <v>10</v>
      </c>
      <c r="G68" s="247">
        <f>Итоговая!AE69</f>
        <v>0</v>
      </c>
      <c r="H68" s="247">
        <f>Итоговая!AF69</f>
        <v>0</v>
      </c>
      <c r="I68" s="2407">
        <f>Итоговая!AP69</f>
        <v>0</v>
      </c>
      <c r="J68" s="2407" t="str">
        <f>Итоговая!AQ69</f>
        <v>открыт</v>
      </c>
      <c r="K68" s="907" t="str">
        <f>Итоговая!AR69</f>
        <v>открыт</v>
      </c>
      <c r="L68" s="907">
        <f>Итоговая!AS69</f>
        <v>0</v>
      </c>
      <c r="M68" s="907"/>
      <c r="N68" s="907"/>
    </row>
    <row r="69" spans="1:14" hidden="1" x14ac:dyDescent="0.25">
      <c r="A69" s="2419">
        <f>Итоговая!Y70</f>
        <v>48</v>
      </c>
      <c r="B69" s="2423">
        <f>COUNTIFS($C$8:C69,"*ПС*",$J$8:J69,"*закрыт*")</f>
        <v>6</v>
      </c>
      <c r="C69" s="212" t="str">
        <f>Итоговая!AA70</f>
        <v xml:space="preserve">ПС 110/35/10 кВ Поречье </v>
      </c>
      <c r="D69" s="246">
        <f>Итоговая!AB70</f>
        <v>6.3</v>
      </c>
      <c r="E69" s="247" t="str">
        <f>Итоговая!AC70</f>
        <v>+</v>
      </c>
      <c r="F69" s="247">
        <f>Итоговая!AD70</f>
        <v>6.3</v>
      </c>
      <c r="G69" s="247">
        <f>Итоговая!AE70</f>
        <v>0</v>
      </c>
      <c r="H69" s="247">
        <f>Итоговая!AF70</f>
        <v>0</v>
      </c>
      <c r="I69" s="2405">
        <f>Итоговая!AP70</f>
        <v>6.3450000000000006</v>
      </c>
      <c r="J69" s="2405" t="str">
        <f>Итоговая!AQ70</f>
        <v>открыт</v>
      </c>
      <c r="K69" s="907" t="str">
        <f>Итоговая!AR70</f>
        <v>открыт</v>
      </c>
      <c r="L69" s="907">
        <f>Итоговая!AS70</f>
        <v>42.344474021492651</v>
      </c>
      <c r="M69" s="907"/>
      <c r="N69" s="907"/>
    </row>
    <row r="70" spans="1:14" hidden="1" x14ac:dyDescent="0.25">
      <c r="A70" s="2419">
        <f>Итоговая!Y71</f>
        <v>0</v>
      </c>
      <c r="B70" s="2440"/>
      <c r="C70" s="212" t="str">
        <f>Итоговая!AA71</f>
        <v xml:space="preserve">Ном. Мощность СН, МВА </v>
      </c>
      <c r="D70" s="246">
        <f>Итоговая!AB71</f>
        <v>6.3</v>
      </c>
      <c r="E70" s="247" t="str">
        <f>Итоговая!AC71</f>
        <v>+</v>
      </c>
      <c r="F70" s="247">
        <f>Итоговая!AD71</f>
        <v>6.3</v>
      </c>
      <c r="G70" s="247">
        <f>Итоговая!AE71</f>
        <v>0</v>
      </c>
      <c r="H70" s="247">
        <f>Итоговая!AF71</f>
        <v>0</v>
      </c>
      <c r="I70" s="2406">
        <f>Итоговая!AP71</f>
        <v>0</v>
      </c>
      <c r="J70" s="2406" t="str">
        <f>Итоговая!AQ71</f>
        <v>открыт</v>
      </c>
      <c r="K70" s="907" t="str">
        <f>Итоговая!AR71</f>
        <v>открыт</v>
      </c>
      <c r="L70" s="907">
        <f>Итоговая!AS71</f>
        <v>0</v>
      </c>
      <c r="M70" s="907"/>
      <c r="N70" s="907"/>
    </row>
    <row r="71" spans="1:14" hidden="1" x14ac:dyDescent="0.25">
      <c r="A71" s="2419">
        <f>Итоговая!Y72</f>
        <v>0</v>
      </c>
      <c r="B71" s="2441"/>
      <c r="C71" s="212" t="str">
        <f>Итоговая!AA72</f>
        <v>Ном. мощность НН, МВА</v>
      </c>
      <c r="D71" s="230">
        <f>Итоговая!AB72</f>
        <v>6.3</v>
      </c>
      <c r="E71" s="229" t="str">
        <f>Итоговая!AC72</f>
        <v>+</v>
      </c>
      <c r="F71" s="229">
        <f>Итоговая!AD72</f>
        <v>6.3</v>
      </c>
      <c r="G71" s="229">
        <f>Итоговая!AE72</f>
        <v>0</v>
      </c>
      <c r="H71" s="229">
        <f>Итоговая!AF72</f>
        <v>0</v>
      </c>
      <c r="I71" s="2407">
        <f>Итоговая!AP72</f>
        <v>0</v>
      </c>
      <c r="J71" s="2407" t="str">
        <f>Итоговая!AQ72</f>
        <v>открыт</v>
      </c>
      <c r="K71" s="907" t="str">
        <f>Итоговая!AR72</f>
        <v>открыт</v>
      </c>
      <c r="L71" s="907">
        <f>Итоговая!AS72</f>
        <v>0</v>
      </c>
      <c r="M71" s="907"/>
      <c r="N71" s="907"/>
    </row>
    <row r="72" spans="1:14" hidden="1" x14ac:dyDescent="0.25">
      <c r="A72" s="2419">
        <f>Итоговая!Y73</f>
        <v>49</v>
      </c>
      <c r="B72" s="2423">
        <f>COUNTIFS($C$8:C72,"*ПС*",$J$8:J72,"*закрыт*")</f>
        <v>6</v>
      </c>
      <c r="C72" s="212" t="str">
        <f>Итоговая!AA73</f>
        <v xml:space="preserve">ПС 110/35/10 кВ Сандово </v>
      </c>
      <c r="D72" s="230">
        <f>Итоговая!AB73</f>
        <v>10</v>
      </c>
      <c r="E72" s="229" t="str">
        <f>Итоговая!AC73</f>
        <v>+</v>
      </c>
      <c r="F72" s="229">
        <f>Итоговая!AD73</f>
        <v>10</v>
      </c>
      <c r="G72" s="229">
        <f>Итоговая!AE73</f>
        <v>0</v>
      </c>
      <c r="H72" s="229">
        <f>Итоговая!AF73</f>
        <v>0</v>
      </c>
      <c r="I72" s="2405">
        <f>Итоговая!AP73</f>
        <v>9.4</v>
      </c>
      <c r="J72" s="2405" t="str">
        <f>Итоговая!AQ73</f>
        <v>открыт</v>
      </c>
      <c r="K72" s="907" t="str">
        <f>Итоговая!AR73</f>
        <v>открыт</v>
      </c>
      <c r="L72" s="907">
        <f>Итоговая!AS73</f>
        <v>49.739130434782609</v>
      </c>
      <c r="M72" s="907"/>
      <c r="N72" s="907"/>
    </row>
    <row r="73" spans="1:14" hidden="1" x14ac:dyDescent="0.25">
      <c r="A73" s="2419">
        <f>Итоговая!Y74</f>
        <v>0</v>
      </c>
      <c r="B73" s="2440"/>
      <c r="C73" s="212" t="str">
        <f>Итоговая!AA74</f>
        <v xml:space="preserve">Ном. Мощность СН, МВА </v>
      </c>
      <c r="D73" s="230">
        <f>Итоговая!AB74</f>
        <v>10</v>
      </c>
      <c r="E73" s="229" t="str">
        <f>Итоговая!AC74</f>
        <v>+</v>
      </c>
      <c r="F73" s="229">
        <f>Итоговая!AD74</f>
        <v>10</v>
      </c>
      <c r="G73" s="229">
        <f>Итоговая!AE74</f>
        <v>0</v>
      </c>
      <c r="H73" s="229">
        <f>Итоговая!AF74</f>
        <v>0</v>
      </c>
      <c r="I73" s="2406">
        <f>Итоговая!AP74</f>
        <v>0</v>
      </c>
      <c r="J73" s="2406" t="str">
        <f>Итоговая!AQ74</f>
        <v>открыт</v>
      </c>
      <c r="K73" s="907" t="str">
        <f>Итоговая!AR74</f>
        <v>открыт</v>
      </c>
      <c r="L73" s="907">
        <f>Итоговая!AS74</f>
        <v>0</v>
      </c>
      <c r="M73" s="907"/>
      <c r="N73" s="907"/>
    </row>
    <row r="74" spans="1:14" hidden="1" x14ac:dyDescent="0.25">
      <c r="A74" s="2419">
        <f>Итоговая!Y75</f>
        <v>0</v>
      </c>
      <c r="B74" s="2441"/>
      <c r="C74" s="212" t="str">
        <f>Итоговая!AA75</f>
        <v>Ном. мощность НН, МВА</v>
      </c>
      <c r="D74" s="230">
        <f>Итоговая!AB75</f>
        <v>10</v>
      </c>
      <c r="E74" s="229" t="str">
        <f>Итоговая!AC75</f>
        <v>+</v>
      </c>
      <c r="F74" s="229">
        <f>Итоговая!AD75</f>
        <v>10</v>
      </c>
      <c r="G74" s="229">
        <f>Итоговая!AE75</f>
        <v>0</v>
      </c>
      <c r="H74" s="229">
        <f>Итоговая!AF75</f>
        <v>0</v>
      </c>
      <c r="I74" s="2407">
        <f>Итоговая!AP75</f>
        <v>0</v>
      </c>
      <c r="J74" s="2407" t="str">
        <f>Итоговая!AQ75</f>
        <v>открыт</v>
      </c>
      <c r="K74" s="907" t="str">
        <f>Итоговая!AR75</f>
        <v>открыт</v>
      </c>
      <c r="L74" s="907">
        <f>Итоговая!AS75</f>
        <v>0</v>
      </c>
      <c r="M74" s="907"/>
      <c r="N74" s="907"/>
    </row>
    <row r="75" spans="1:14" hidden="1" x14ac:dyDescent="0.25">
      <c r="A75" s="2419">
        <f>Итоговая!Y76</f>
        <v>50</v>
      </c>
      <c r="B75" s="2423">
        <f>COUNTIFS($C$8:C75,"*ПС*",$J$8:J75,"*закрыт*")</f>
        <v>6</v>
      </c>
      <c r="C75" s="212" t="str">
        <f>Итоговая!AA76</f>
        <v xml:space="preserve">ПС 110/35/10 кВ Шолмино </v>
      </c>
      <c r="D75" s="230">
        <f>Итоговая!AB76</f>
        <v>25</v>
      </c>
      <c r="E75" s="229" t="str">
        <f>Итоговая!AC76</f>
        <v>+</v>
      </c>
      <c r="F75" s="229">
        <f>Итоговая!AD76</f>
        <v>25</v>
      </c>
      <c r="G75" s="229">
        <f>Итоговая!AE76</f>
        <v>0</v>
      </c>
      <c r="H75" s="229">
        <f>Итоговая!AF76</f>
        <v>0</v>
      </c>
      <c r="I75" s="2405">
        <f>Итоговая!AP76</f>
        <v>16.918804347826086</v>
      </c>
      <c r="J75" s="2405" t="str">
        <f>Итоговая!AQ76</f>
        <v>открыт</v>
      </c>
      <c r="K75" s="907" t="str">
        <f>Итоговая!AR76</f>
        <v>открыт</v>
      </c>
      <c r="L75" s="907">
        <f>Итоговая!AS76</f>
        <v>53.452173913043474</v>
      </c>
      <c r="M75" s="907"/>
      <c r="N75" s="907"/>
    </row>
    <row r="76" spans="1:14" hidden="1" x14ac:dyDescent="0.25">
      <c r="A76" s="2419">
        <f>Итоговая!Y77</f>
        <v>0</v>
      </c>
      <c r="B76" s="2440"/>
      <c r="C76" s="212" t="str">
        <f>Итоговая!AA77</f>
        <v xml:space="preserve">Ном. Мощность СН, МВА </v>
      </c>
      <c r="D76" s="230">
        <f>Итоговая!AB77</f>
        <v>25</v>
      </c>
      <c r="E76" s="229" t="str">
        <f>Итоговая!AC77</f>
        <v>+</v>
      </c>
      <c r="F76" s="229">
        <f>Итоговая!AD77</f>
        <v>25</v>
      </c>
      <c r="G76" s="229">
        <f>Итоговая!AE77</f>
        <v>0</v>
      </c>
      <c r="H76" s="229">
        <f>Итоговая!AF77</f>
        <v>0</v>
      </c>
      <c r="I76" s="2406">
        <f>Итоговая!AP77</f>
        <v>0</v>
      </c>
      <c r="J76" s="2406" t="str">
        <f>Итоговая!AQ77</f>
        <v>открыт</v>
      </c>
      <c r="K76" s="907" t="str">
        <f>Итоговая!AR77</f>
        <v>открыт</v>
      </c>
      <c r="L76" s="907">
        <f>Итоговая!AS77</f>
        <v>0</v>
      </c>
      <c r="M76" s="907"/>
      <c r="N76" s="907"/>
    </row>
    <row r="77" spans="1:14" hidden="1" x14ac:dyDescent="0.25">
      <c r="A77" s="2419">
        <f>Итоговая!Y78</f>
        <v>0</v>
      </c>
      <c r="B77" s="2441"/>
      <c r="C77" s="212" t="str">
        <f>Итоговая!AA78</f>
        <v>Ном. мощность НН, МВА</v>
      </c>
      <c r="D77" s="230">
        <f>Итоговая!AB78</f>
        <v>25</v>
      </c>
      <c r="E77" s="229" t="str">
        <f>Итоговая!AC78</f>
        <v>+</v>
      </c>
      <c r="F77" s="229">
        <f>Итоговая!AD78</f>
        <v>25</v>
      </c>
      <c r="G77" s="229">
        <f>Итоговая!AE78</f>
        <v>0</v>
      </c>
      <c r="H77" s="229">
        <f>Итоговая!AF78</f>
        <v>0</v>
      </c>
      <c r="I77" s="2407">
        <f>Итоговая!AP78</f>
        <v>0</v>
      </c>
      <c r="J77" s="2407" t="str">
        <f>Итоговая!AQ78</f>
        <v>открыт</v>
      </c>
      <c r="K77" s="907" t="str">
        <f>Итоговая!AR78</f>
        <v>открыт</v>
      </c>
      <c r="L77" s="907">
        <f>Итоговая!AS78</f>
        <v>0</v>
      </c>
      <c r="M77" s="907"/>
      <c r="N77" s="907"/>
    </row>
    <row r="78" spans="1:14" x14ac:dyDescent="0.25">
      <c r="A78" s="212">
        <f>Итоговая!Y79</f>
        <v>51</v>
      </c>
      <c r="B78" s="2260">
        <f>COUNTIFS($C$8:C78,"*ПС*",$J$8:J78,"*закрыт*")</f>
        <v>7</v>
      </c>
      <c r="C78" s="212" t="str">
        <f>Итоговая!AA79</f>
        <v xml:space="preserve">ПС 35/6 кВ Бельский Карьер </v>
      </c>
      <c r="D78" s="230">
        <f>Итоговая!AB79</f>
        <v>4</v>
      </c>
      <c r="E78" s="229">
        <f>Итоговая!AC79</f>
        <v>0</v>
      </c>
      <c r="F78" s="229">
        <f>Итоговая!AD79</f>
        <v>0</v>
      </c>
      <c r="G78" s="229">
        <f>Итоговая!AE79</f>
        <v>0</v>
      </c>
      <c r="H78" s="229">
        <f>Итоговая!AF79</f>
        <v>0</v>
      </c>
      <c r="I78" s="2134">
        <f>Итоговая!AP79</f>
        <v>-0.18</v>
      </c>
      <c r="J78" s="172" t="str">
        <f>Итоговая!AQ79</f>
        <v>закрыт</v>
      </c>
      <c r="K78" s="907" t="str">
        <f>Итоговая!AR79</f>
        <v>закрыт</v>
      </c>
      <c r="L78" s="907">
        <f>Итоговая!AS79</f>
        <v>4.5238095238095237</v>
      </c>
      <c r="M78" s="907"/>
      <c r="N78" s="907"/>
    </row>
    <row r="79" spans="1:14" hidden="1" x14ac:dyDescent="0.25">
      <c r="A79" s="212">
        <f>Итоговая!Y80</f>
        <v>52</v>
      </c>
      <c r="B79" s="1133">
        <f>COUNTIFS($C$8:C79,"*ПС*",$J$8:J79,"*закрыт*")</f>
        <v>7</v>
      </c>
      <c r="C79" s="212" t="str">
        <f>Итоговая!AA80</f>
        <v xml:space="preserve">ПС 35/10 кВ Дубровка </v>
      </c>
      <c r="D79" s="230">
        <f>Итоговая!AB80</f>
        <v>1.6</v>
      </c>
      <c r="E79" s="229">
        <f>Итоговая!AC80</f>
        <v>0</v>
      </c>
      <c r="F79" s="229">
        <f>Итоговая!AD80</f>
        <v>0</v>
      </c>
      <c r="G79" s="229">
        <f>Итоговая!AE80</f>
        <v>0</v>
      </c>
      <c r="H79" s="229">
        <f>Итоговая!AF80</f>
        <v>0</v>
      </c>
      <c r="I79" s="172">
        <f>Итоговая!AP80</f>
        <v>1.999999999999999E-2</v>
      </c>
      <c r="J79" s="172" t="str">
        <f>Итоговая!AQ80</f>
        <v>открыт</v>
      </c>
      <c r="K79" s="907" t="str">
        <f>Итоговая!AR80</f>
        <v>открыт</v>
      </c>
      <c r="L79" s="907">
        <f>Итоговая!AS80</f>
        <v>13.69047619047619</v>
      </c>
      <c r="M79" s="907"/>
      <c r="N79" s="907"/>
    </row>
    <row r="80" spans="1:14" x14ac:dyDescent="0.25">
      <c r="A80" s="212">
        <f>Итоговая!Y81</f>
        <v>53</v>
      </c>
      <c r="B80" s="2260">
        <f>COUNTIFS($C$8:C80,"*ПС*",$J$8:J80,"*закрыт*")</f>
        <v>8</v>
      </c>
      <c r="C80" s="212" t="str">
        <f>Итоговая!AA81</f>
        <v xml:space="preserve">ПС 35/10 кВ Жилотково </v>
      </c>
      <c r="D80" s="230">
        <f>Итоговая!AB81</f>
        <v>1.8</v>
      </c>
      <c r="E80" s="229">
        <f>Итоговая!AC81</f>
        <v>0</v>
      </c>
      <c r="F80" s="229">
        <f>Итоговая!AD81</f>
        <v>0</v>
      </c>
      <c r="G80" s="229">
        <f>Итоговая!AE81</f>
        <v>0</v>
      </c>
      <c r="H80" s="229">
        <f>Итоговая!AF81</f>
        <v>0</v>
      </c>
      <c r="I80" s="2134">
        <f>Итоговая!AP81</f>
        <v>-0.5945652173913043</v>
      </c>
      <c r="J80" s="172" t="str">
        <f>Итоговая!AQ81</f>
        <v>закрыт</v>
      </c>
      <c r="K80" s="907" t="str">
        <f>Итоговая!AR81</f>
        <v>закрыт</v>
      </c>
      <c r="L80" s="907">
        <f>Итоговая!AS81</f>
        <v>31.458477110651017</v>
      </c>
      <c r="M80" s="907"/>
      <c r="N80" s="907"/>
    </row>
    <row r="81" spans="1:14" x14ac:dyDescent="0.25">
      <c r="A81" s="212">
        <f>Итоговая!Y82</f>
        <v>54</v>
      </c>
      <c r="B81" s="2260">
        <f>COUNTIFS($C$8:C81,"*ПС*",$J$8:J81,"*закрыт*")</f>
        <v>9</v>
      </c>
      <c r="C81" s="212" t="str">
        <f>Итоговая!AA82</f>
        <v xml:space="preserve">ПС 35/10 кВ Копачево </v>
      </c>
      <c r="D81" s="230">
        <f>Итоговая!AB82</f>
        <v>1.6</v>
      </c>
      <c r="E81" s="229">
        <f>Итоговая!AC82</f>
        <v>0</v>
      </c>
      <c r="F81" s="229">
        <f>Итоговая!AD82</f>
        <v>0</v>
      </c>
      <c r="G81" s="229">
        <f>Итоговая!AE82</f>
        <v>0</v>
      </c>
      <c r="H81" s="229">
        <f>Итоговая!AF82</f>
        <v>0</v>
      </c>
      <c r="I81" s="2134">
        <f>Итоговая!AP82</f>
        <v>-9.3152173913043451E-2</v>
      </c>
      <c r="J81" s="172" t="str">
        <f>Итоговая!AQ82</f>
        <v>закрыт</v>
      </c>
      <c r="K81" s="907" t="str">
        <f>Итоговая!AR82</f>
        <v>закрыт</v>
      </c>
      <c r="L81" s="907">
        <f>Итоговая!AS82</f>
        <v>19.235248447204963</v>
      </c>
      <c r="M81" s="907"/>
      <c r="N81" s="907"/>
    </row>
    <row r="82" spans="1:14" x14ac:dyDescent="0.25">
      <c r="A82" s="212">
        <f>Итоговая!Y83</f>
        <v>55</v>
      </c>
      <c r="B82" s="2260">
        <f>COUNTIFS($C$8:C82,"*ПС*",$J$8:J82,"*закрыт*")</f>
        <v>10</v>
      </c>
      <c r="C82" s="212" t="str">
        <f>Итоговая!AA83</f>
        <v xml:space="preserve">ПС 35/10 кВ Кузнецово </v>
      </c>
      <c r="D82" s="230">
        <f>Итоговая!AB83</f>
        <v>1.6</v>
      </c>
      <c r="E82" s="229">
        <f>Итоговая!AC83</f>
        <v>0</v>
      </c>
      <c r="F82" s="229">
        <f>Итоговая!AD83</f>
        <v>0</v>
      </c>
      <c r="G82" s="229">
        <f>Итоговая!AE83</f>
        <v>0</v>
      </c>
      <c r="H82" s="229">
        <f>Итоговая!AF83</f>
        <v>0</v>
      </c>
      <c r="I82" s="2134">
        <f>Итоговая!AP83</f>
        <v>-0.2630434782608696</v>
      </c>
      <c r="J82" s="172" t="str">
        <f>Итоговая!AQ83</f>
        <v>закрыт</v>
      </c>
      <c r="K82" s="907" t="str">
        <f>Итоговая!AR83</f>
        <v>закрыт</v>
      </c>
      <c r="L82" s="907">
        <f>Итоговая!AS83</f>
        <v>31.133540372670808</v>
      </c>
      <c r="M82" s="907"/>
      <c r="N82" s="907"/>
    </row>
    <row r="83" spans="1:14" hidden="1" x14ac:dyDescent="0.25">
      <c r="A83" s="212">
        <f>Итоговая!Y84</f>
        <v>56</v>
      </c>
      <c r="B83" s="1860">
        <f>COUNTIFS($C$8:C83,"*ПС*",$J$8:J83,"*закрыт*")</f>
        <v>10</v>
      </c>
      <c r="C83" s="212" t="str">
        <f>Итоговая!AA84</f>
        <v xml:space="preserve">ПС 35/10 кВ Лужниково </v>
      </c>
      <c r="D83" s="230">
        <f>Итоговая!AB84</f>
        <v>2.5</v>
      </c>
      <c r="E83" s="229">
        <f>Итоговая!AC84</f>
        <v>0</v>
      </c>
      <c r="F83" s="229">
        <f>Итоговая!AD84</f>
        <v>0</v>
      </c>
      <c r="G83" s="229">
        <f>Итоговая!AE84</f>
        <v>0</v>
      </c>
      <c r="H83" s="229">
        <f>Итоговая!AF84</f>
        <v>0</v>
      </c>
      <c r="I83" s="172">
        <f>Итоговая!AP84</f>
        <v>0</v>
      </c>
      <c r="J83" s="172" t="str">
        <f>Итоговая!AQ84</f>
        <v>открыт</v>
      </c>
      <c r="K83" s="907" t="str">
        <f>Итоговая!AR84</f>
        <v>открыт</v>
      </c>
      <c r="L83" s="907">
        <f>Итоговая!AS84</f>
        <v>4.5714285714285712</v>
      </c>
      <c r="M83" s="907"/>
      <c r="N83" s="907"/>
    </row>
    <row r="84" spans="1:14" x14ac:dyDescent="0.25">
      <c r="A84" s="212">
        <f>Итоговая!Y85</f>
        <v>57</v>
      </c>
      <c r="B84" s="2260">
        <f>COUNTIFS($C$8:C84,"*ПС*",$J$8:J84,"*закрыт*")</f>
        <v>11</v>
      </c>
      <c r="C84" s="212" t="str">
        <f>Итоговая!AA85</f>
        <v xml:space="preserve">ПС 35/10 кВ Насакино  </v>
      </c>
      <c r="D84" s="230">
        <f>Итоговая!AB85</f>
        <v>2.5</v>
      </c>
      <c r="E84" s="229">
        <f>Итоговая!AC85</f>
        <v>0</v>
      </c>
      <c r="F84" s="229">
        <f>Итоговая!AD85</f>
        <v>0</v>
      </c>
      <c r="G84" s="229">
        <f>Итоговая!AE85</f>
        <v>0</v>
      </c>
      <c r="H84" s="229">
        <f>Итоговая!AF85</f>
        <v>0</v>
      </c>
      <c r="I84" s="2134">
        <f>Итоговая!AP85</f>
        <v>-0.03</v>
      </c>
      <c r="J84" s="172" t="str">
        <f>Итоговая!AQ85</f>
        <v>закрыт</v>
      </c>
      <c r="K84" s="907" t="str">
        <f>Итоговая!AR85</f>
        <v>закрыт</v>
      </c>
      <c r="L84" s="907">
        <f>Итоговая!AS85</f>
        <v>3.0476190476190474</v>
      </c>
      <c r="M84" s="907"/>
      <c r="N84" s="907"/>
    </row>
    <row r="85" spans="1:14" hidden="1" x14ac:dyDescent="0.25">
      <c r="A85" s="212">
        <f>Итоговая!Y86</f>
        <v>58</v>
      </c>
      <c r="B85" s="752">
        <f>COUNTIFS($C$8:C85,"*ПС*",$J$8:J85,"*закрыт*")</f>
        <v>11</v>
      </c>
      <c r="C85" s="212" t="str">
        <f>Итоговая!AA86</f>
        <v xml:space="preserve">ПС 110/35 кВ Октябрьский Карьер </v>
      </c>
      <c r="D85" s="230">
        <f>Итоговая!AB86</f>
        <v>25</v>
      </c>
      <c r="E85" s="229">
        <f>Итоговая!AC86</f>
        <v>0</v>
      </c>
      <c r="F85" s="229">
        <f>Итоговая!AD86</f>
        <v>0</v>
      </c>
      <c r="G85" s="229">
        <f>Итоговая!AE86</f>
        <v>0</v>
      </c>
      <c r="H85" s="229">
        <f>Итоговая!AF86</f>
        <v>0</v>
      </c>
      <c r="I85" s="172">
        <f>Итоговая!AP86</f>
        <v>0</v>
      </c>
      <c r="J85" s="172" t="str">
        <f>Итоговая!AQ86</f>
        <v>открыт</v>
      </c>
      <c r="K85" s="907" t="str">
        <f>Итоговая!AR86</f>
        <v>открыт</v>
      </c>
      <c r="L85" s="907">
        <f>Итоговая!AS86</f>
        <v>3.6952380952380954</v>
      </c>
      <c r="M85" s="907"/>
      <c r="N85" s="907"/>
    </row>
    <row r="86" spans="1:14" x14ac:dyDescent="0.25">
      <c r="A86" s="212">
        <f>Итоговая!Y87</f>
        <v>59</v>
      </c>
      <c r="B86" s="2260">
        <f>COUNTIFS($C$8:C86,"*ПС*",$J$8:J86,"*закрыт*")</f>
        <v>12</v>
      </c>
      <c r="C86" s="212" t="str">
        <f>Итоговая!AA87</f>
        <v xml:space="preserve">ПС 35/10 кВ Порожки </v>
      </c>
      <c r="D86" s="230">
        <f>Итоговая!AB87</f>
        <v>1</v>
      </c>
      <c r="E86" s="229">
        <f>Итоговая!AC87</f>
        <v>0</v>
      </c>
      <c r="F86" s="229">
        <f>Итоговая!AD87</f>
        <v>0</v>
      </c>
      <c r="G86" s="229">
        <f>Итоговая!AE87</f>
        <v>0</v>
      </c>
      <c r="H86" s="229">
        <f>Итоговая!AF87</f>
        <v>0</v>
      </c>
      <c r="I86" s="172">
        <f>Итоговая!AP87</f>
        <v>-1.0000000000000009E-2</v>
      </c>
      <c r="J86" s="172" t="str">
        <f>Итоговая!AQ87</f>
        <v>закрыт</v>
      </c>
      <c r="K86" s="907" t="str">
        <f>Итоговая!AR87</f>
        <v>закрыт</v>
      </c>
      <c r="L86" s="907">
        <f>Итоговая!AS87</f>
        <v>23.80952380952381</v>
      </c>
      <c r="M86" s="907"/>
      <c r="N86" s="907"/>
    </row>
    <row r="87" spans="1:14" x14ac:dyDescent="0.25">
      <c r="A87" s="212">
        <f>Итоговая!Y88</f>
        <v>60</v>
      </c>
      <c r="B87" s="2260">
        <f>COUNTIFS($C$8:C87,"*ПС*",$J$8:J87,"*закрыт*")</f>
        <v>13</v>
      </c>
      <c r="C87" s="212" t="str">
        <f>Итоговая!AA88</f>
        <v>ПС 35/6 кВ ХБК</v>
      </c>
      <c r="D87" s="230">
        <f>Итоговая!AB88</f>
        <v>4</v>
      </c>
      <c r="E87" s="229">
        <f>Итоговая!AC88</f>
        <v>0</v>
      </c>
      <c r="F87" s="229">
        <f>Итоговая!AD88</f>
        <v>0</v>
      </c>
      <c r="G87" s="229">
        <f>Итоговая!AE88</f>
        <v>0</v>
      </c>
      <c r="H87" s="229">
        <f>Итоговая!AF88</f>
        <v>0</v>
      </c>
      <c r="I87" s="2134">
        <f>Итоговая!AP88</f>
        <v>-1.5500000000000003</v>
      </c>
      <c r="J87" s="172" t="str">
        <f>Итоговая!AQ88</f>
        <v>закрыт</v>
      </c>
      <c r="K87" s="907" t="str">
        <f>Итоговая!AR88</f>
        <v>закрыт</v>
      </c>
      <c r="L87" s="907">
        <f>Итоговая!AS88</f>
        <v>58.333333333333336</v>
      </c>
      <c r="M87" s="907"/>
      <c r="N87" s="907"/>
    </row>
    <row r="88" spans="1:14" hidden="1" x14ac:dyDescent="0.25">
      <c r="A88" s="212">
        <f>Итоговая!Y89</f>
        <v>61</v>
      </c>
      <c r="B88" s="1133">
        <f>COUNTIFS($C$8:C88,"*ПС*",$J$8:J88,"*закрыт*")</f>
        <v>13</v>
      </c>
      <c r="C88" s="212" t="str">
        <f>Итоговая!AA89</f>
        <v xml:space="preserve">ПС 35/6 кВ №5 </v>
      </c>
      <c r="D88" s="230">
        <f>Итоговая!AB89</f>
        <v>1</v>
      </c>
      <c r="E88" s="229" t="str">
        <f>Итоговая!AC89</f>
        <v>+</v>
      </c>
      <c r="F88" s="229">
        <f>Итоговая!AD89</f>
        <v>1.6</v>
      </c>
      <c r="G88" s="229">
        <f>Итоговая!AE89</f>
        <v>0</v>
      </c>
      <c r="H88" s="229">
        <f>Итоговая!AF89</f>
        <v>0</v>
      </c>
      <c r="I88" s="172">
        <f>Итоговая!AP89</f>
        <v>0.41000000000000003</v>
      </c>
      <c r="J88" s="172" t="str">
        <f>Итоговая!AQ89</f>
        <v>открыт</v>
      </c>
      <c r="K88" s="907" t="str">
        <f>Итоговая!AR89</f>
        <v>открыт</v>
      </c>
      <c r="L88" s="907">
        <f>Итоговая!AS89</f>
        <v>60.952380952380949</v>
      </c>
      <c r="M88" s="907"/>
      <c r="N88" s="907"/>
    </row>
    <row r="89" spans="1:14" hidden="1" x14ac:dyDescent="0.25">
      <c r="A89" s="212">
        <f>Итоговая!Y90</f>
        <v>62</v>
      </c>
      <c r="B89" s="1133">
        <f>COUNTIFS($C$8:C89,"*ПС*",$J$8:J89,"*закрыт*")</f>
        <v>13</v>
      </c>
      <c r="C89" s="212" t="str">
        <f>Итоговая!AA90</f>
        <v xml:space="preserve">ПС 35/10 кВ 9-е Января  </v>
      </c>
      <c r="D89" s="230">
        <f>Итоговая!AB90</f>
        <v>6.3</v>
      </c>
      <c r="E89" s="229" t="str">
        <f>Итоговая!AC90</f>
        <v>+</v>
      </c>
      <c r="F89" s="229">
        <f>Итоговая!AD90</f>
        <v>10</v>
      </c>
      <c r="G89" s="229">
        <f>Итоговая!AE90</f>
        <v>0</v>
      </c>
      <c r="H89" s="229">
        <f>Итоговая!AF90</f>
        <v>0</v>
      </c>
      <c r="I89" s="172">
        <f>Итоговая!AP90</f>
        <v>2.4649999999999999</v>
      </c>
      <c r="J89" s="172" t="str">
        <f>Итоговая!AQ90</f>
        <v>открыт</v>
      </c>
      <c r="K89" s="907" t="str">
        <f>Итоговая!AR90</f>
        <v>открыт</v>
      </c>
      <c r="L89" s="907">
        <f>Итоговая!AS90</f>
        <v>62.736205593348458</v>
      </c>
      <c r="M89" s="907"/>
      <c r="N89" s="907"/>
    </row>
    <row r="90" spans="1:14" hidden="1" x14ac:dyDescent="0.25">
      <c r="A90" s="212">
        <f>Итоговая!Y91</f>
        <v>63</v>
      </c>
      <c r="B90" s="752">
        <f>COUNTIFS($C$8:C90,"*ПС*",$J$8:J90,"*закрыт*")</f>
        <v>13</v>
      </c>
      <c r="C90" s="212" t="str">
        <f>Итоговая!AA91</f>
        <v xml:space="preserve">ПС 35/6 кВ АКУ </v>
      </c>
      <c r="D90" s="230">
        <f>Итоговая!AB91</f>
        <v>3.2</v>
      </c>
      <c r="E90" s="229" t="str">
        <f>Итоговая!AC91</f>
        <v>+</v>
      </c>
      <c r="F90" s="229">
        <f>Итоговая!AD91</f>
        <v>4</v>
      </c>
      <c r="G90" s="229">
        <f>Итоговая!AE91</f>
        <v>0</v>
      </c>
      <c r="H90" s="229">
        <f>Итоговая!AF91</f>
        <v>0</v>
      </c>
      <c r="I90" s="172">
        <f>Итоговая!AP91</f>
        <v>2.4000000000000004</v>
      </c>
      <c r="J90" s="172" t="str">
        <f>Итоговая!AQ91</f>
        <v>открыт</v>
      </c>
      <c r="K90" s="907" t="str">
        <f>Итоговая!AR91</f>
        <v>открыт</v>
      </c>
      <c r="L90" s="907">
        <f>Итоговая!AS91</f>
        <v>28.571428571428569</v>
      </c>
      <c r="M90" s="907"/>
      <c r="N90" s="907"/>
    </row>
    <row r="91" spans="1:14" hidden="1" x14ac:dyDescent="0.25">
      <c r="A91" s="212">
        <f>Итоговая!Y92</f>
        <v>64</v>
      </c>
      <c r="B91" s="1133">
        <f>COUNTIFS($C$8:C91,"*ПС*",$J$8:J91,"*закрыт*")</f>
        <v>13</v>
      </c>
      <c r="C91" s="212" t="str">
        <f>Итоговая!AA92</f>
        <v xml:space="preserve">ПС 35/6 кВ Афанасово </v>
      </c>
      <c r="D91" s="230">
        <f>Итоговая!AB92</f>
        <v>1</v>
      </c>
      <c r="E91" s="229" t="str">
        <f>Итоговая!AC92</f>
        <v>+</v>
      </c>
      <c r="F91" s="229">
        <f>Итоговая!AD92</f>
        <v>1.8</v>
      </c>
      <c r="G91" s="229">
        <f>Итоговая!AE92</f>
        <v>0</v>
      </c>
      <c r="H91" s="229">
        <f>Итоговая!AF92</f>
        <v>0</v>
      </c>
      <c r="I91" s="172">
        <f>Итоговая!AP92</f>
        <v>1.03</v>
      </c>
      <c r="J91" s="172" t="str">
        <f>Итоговая!AQ92</f>
        <v>открыт</v>
      </c>
      <c r="K91" s="907" t="str">
        <f>Итоговая!AR92</f>
        <v>открыт</v>
      </c>
      <c r="L91" s="907">
        <f>Итоговая!AS92</f>
        <v>1.9047619047619047</v>
      </c>
      <c r="M91" s="907"/>
      <c r="N91" s="907"/>
    </row>
    <row r="92" spans="1:14" hidden="1" x14ac:dyDescent="0.25">
      <c r="A92" s="212">
        <f>Итоговая!Y93</f>
        <v>65</v>
      </c>
      <c r="B92" s="1133">
        <f>COUNTIFS($C$8:C92,"*ПС*",$J$8:J92,"*закрыт*")</f>
        <v>13</v>
      </c>
      <c r="C92" s="212" t="str">
        <f>Итоговая!AA93</f>
        <v xml:space="preserve">ПС 110/6 кВ Б-4 </v>
      </c>
      <c r="D92" s="230">
        <f>Итоговая!AB93</f>
        <v>10</v>
      </c>
      <c r="E92" s="229" t="str">
        <f>Итоговая!AC93</f>
        <v>+</v>
      </c>
      <c r="F92" s="229">
        <f>Итоговая!AD93</f>
        <v>10</v>
      </c>
      <c r="G92" s="229">
        <f>Итоговая!AE93</f>
        <v>0</v>
      </c>
      <c r="H92" s="229">
        <f>Итоговая!AF93</f>
        <v>0</v>
      </c>
      <c r="I92" s="172">
        <f>Итоговая!AP93</f>
        <v>4.4474021739130434</v>
      </c>
      <c r="J92" s="172" t="str">
        <f>Итоговая!AQ93</f>
        <v>открыт</v>
      </c>
      <c r="K92" s="907" t="str">
        <f>Итоговая!AR93</f>
        <v>открыт</v>
      </c>
      <c r="L92" s="907">
        <f>Итоговая!AS93</f>
        <v>57.64378881987578</v>
      </c>
      <c r="M92" s="907"/>
      <c r="N92" s="907"/>
    </row>
    <row r="93" spans="1:14" hidden="1" x14ac:dyDescent="0.25">
      <c r="A93" s="212">
        <f>Итоговая!Y94</f>
        <v>66</v>
      </c>
      <c r="B93" s="2033">
        <f>COUNTIFS($C$8:C93,"*ПС*",$J$8:J93,"*закрыт*")</f>
        <v>13</v>
      </c>
      <c r="C93" s="212" t="str">
        <f>Итоговая!AA94</f>
        <v xml:space="preserve">ПС 35/6 кВ Борисово </v>
      </c>
      <c r="D93" s="230">
        <f>Итоговая!AB94</f>
        <v>3.2</v>
      </c>
      <c r="E93" s="229" t="str">
        <f>Итоговая!AC94</f>
        <v>+</v>
      </c>
      <c r="F93" s="229">
        <f>Итоговая!AD94</f>
        <v>3.2</v>
      </c>
      <c r="G93" s="229">
        <f>Итоговая!AE94</f>
        <v>0</v>
      </c>
      <c r="H93" s="229">
        <f>Итоговая!AF94</f>
        <v>0</v>
      </c>
      <c r="I93" s="172">
        <f>Итоговая!AP94</f>
        <v>0.51000000000000023</v>
      </c>
      <c r="J93" s="172" t="str">
        <f>Итоговая!AQ94</f>
        <v>открыт</v>
      </c>
      <c r="K93" s="907" t="str">
        <f>Итоговая!AR94</f>
        <v>открыт</v>
      </c>
      <c r="L93" s="907">
        <f>Итоговая!AS94</f>
        <v>84.821428571428569</v>
      </c>
      <c r="M93" s="907"/>
      <c r="N93" s="907"/>
    </row>
    <row r="94" spans="1:14" hidden="1" x14ac:dyDescent="0.25">
      <c r="A94" s="212">
        <f>Итоговая!Y95</f>
        <v>67</v>
      </c>
      <c r="B94" s="1133">
        <f>COUNTIFS($C$8:C94,"*ПС*",$J$8:J94,"*закрыт*")</f>
        <v>13</v>
      </c>
      <c r="C94" s="212" t="str">
        <f>Итоговая!AA95</f>
        <v xml:space="preserve">ПС 35/10 кВ Боровно </v>
      </c>
      <c r="D94" s="230">
        <f>Итоговая!AB95</f>
        <v>2.5</v>
      </c>
      <c r="E94" s="229" t="str">
        <f>Итоговая!AC95</f>
        <v>+</v>
      </c>
      <c r="F94" s="229">
        <f>Итоговая!AD95</f>
        <v>2.5</v>
      </c>
      <c r="G94" s="229">
        <f>Итоговая!AE95</f>
        <v>0</v>
      </c>
      <c r="H94" s="229">
        <f>Итоговая!AF95</f>
        <v>0</v>
      </c>
      <c r="I94" s="172">
        <f>Итоговая!AP95</f>
        <v>2.3165217391304349</v>
      </c>
      <c r="J94" s="172" t="str">
        <f>Итоговая!AQ95</f>
        <v>открыт</v>
      </c>
      <c r="K94" s="907" t="str">
        <f>Итоговая!AR95</f>
        <v>открыт</v>
      </c>
      <c r="L94" s="907">
        <f>Итоговая!AS95</f>
        <v>19.370600414078677</v>
      </c>
      <c r="M94" s="907"/>
      <c r="N94" s="907"/>
    </row>
    <row r="95" spans="1:14" hidden="1" x14ac:dyDescent="0.25">
      <c r="A95" s="212">
        <f>Итоговая!Y96</f>
        <v>68</v>
      </c>
      <c r="B95" s="1133">
        <f>COUNTIFS($C$8:C95,"*ПС*",$J$8:J95,"*закрыт*")</f>
        <v>13</v>
      </c>
      <c r="C95" s="212" t="str">
        <f>Итоговая!AA96</f>
        <v xml:space="preserve">ПС 110/10 кВ Бушевец </v>
      </c>
      <c r="D95" s="230">
        <f>Итоговая!AB96</f>
        <v>6.3</v>
      </c>
      <c r="E95" s="229" t="str">
        <f>Итоговая!AC96</f>
        <v>+</v>
      </c>
      <c r="F95" s="229">
        <f>Итоговая!AD96</f>
        <v>6.3</v>
      </c>
      <c r="G95" s="229">
        <f>Итоговая!AE96</f>
        <v>0</v>
      </c>
      <c r="H95" s="229">
        <f>Итоговая!AF96</f>
        <v>0</v>
      </c>
      <c r="I95" s="172">
        <f>Итоговая!AP96</f>
        <v>6.2149999999999999</v>
      </c>
      <c r="J95" s="172" t="str">
        <f>Итоговая!AQ96</f>
        <v>открыт</v>
      </c>
      <c r="K95" s="907" t="str">
        <f>Итоговая!AR96</f>
        <v>открыт</v>
      </c>
      <c r="L95" s="907">
        <f>Итоговая!AS96</f>
        <v>6.046863189720332</v>
      </c>
      <c r="M95" s="907"/>
      <c r="N95" s="907"/>
    </row>
    <row r="96" spans="1:14" ht="30" hidden="1" customHeight="1" x14ac:dyDescent="0.25">
      <c r="A96" s="212">
        <f>Итоговая!Y97</f>
        <v>69</v>
      </c>
      <c r="B96" s="1133">
        <f>COUNTIFS($C$8:C96,"*ПС*",$J$8:J96,"*закрыт*")</f>
        <v>13</v>
      </c>
      <c r="C96" s="212" t="str">
        <f>Итоговая!AA97</f>
        <v xml:space="preserve">ПС 35/6 кВ Великий Октябрь </v>
      </c>
      <c r="D96" s="230">
        <f>Итоговая!AB97</f>
        <v>6.3</v>
      </c>
      <c r="E96" s="229" t="str">
        <f>Итоговая!AC97</f>
        <v>+</v>
      </c>
      <c r="F96" s="229">
        <f>Итоговая!AD97</f>
        <v>4</v>
      </c>
      <c r="G96" s="229">
        <f>Итоговая!AE97</f>
        <v>0</v>
      </c>
      <c r="H96" s="229">
        <f>Итоговая!AF97</f>
        <v>0</v>
      </c>
      <c r="I96" s="172">
        <f>Итоговая!AP97</f>
        <v>2.6586956521739133</v>
      </c>
      <c r="J96" s="172" t="str">
        <f>Итоговая!AQ97</f>
        <v>открыт</v>
      </c>
      <c r="K96" s="907" t="str">
        <f>Итоговая!AR97</f>
        <v>открыт</v>
      </c>
      <c r="L96" s="907">
        <f>Итоговая!AS97</f>
        <v>36.697722567287784</v>
      </c>
      <c r="M96" s="907"/>
      <c r="N96" s="907"/>
    </row>
    <row r="97" spans="1:14" hidden="1" x14ac:dyDescent="0.25">
      <c r="A97" s="212">
        <f>Итоговая!Y98</f>
        <v>70</v>
      </c>
      <c r="B97" s="1133">
        <f>COUNTIFS($C$8:C97,"*ПС*",$J$8:J97,"*закрыт*")</f>
        <v>13</v>
      </c>
      <c r="C97" s="212" t="str">
        <f>Итоговая!AA98</f>
        <v xml:space="preserve">ПС 35/10 кВ Выдропужск </v>
      </c>
      <c r="D97" s="230">
        <f>Итоговая!AB98</f>
        <v>2.5</v>
      </c>
      <c r="E97" s="229" t="str">
        <f>Итоговая!AC98</f>
        <v>+</v>
      </c>
      <c r="F97" s="229">
        <f>Итоговая!AD98</f>
        <v>1.6</v>
      </c>
      <c r="G97" s="229">
        <f>Итоговая!AE98</f>
        <v>0</v>
      </c>
      <c r="H97" s="229">
        <f>Итоговая!AF98</f>
        <v>0</v>
      </c>
      <c r="I97" s="172">
        <f>Итоговая!AP98</f>
        <v>0.9700000000000002</v>
      </c>
      <c r="J97" s="172" t="str">
        <f>Итоговая!AQ98</f>
        <v>открыт</v>
      </c>
      <c r="K97" s="907" t="str">
        <f>Итоговая!AR98</f>
        <v>открыт</v>
      </c>
      <c r="L97" s="907">
        <f>Итоговая!AS98</f>
        <v>42.261904761904759</v>
      </c>
      <c r="M97" s="907"/>
      <c r="N97" s="907"/>
    </row>
    <row r="98" spans="1:14" hidden="1" x14ac:dyDescent="0.25">
      <c r="A98" s="212">
        <f>Итоговая!Y99</f>
        <v>71</v>
      </c>
      <c r="B98" s="1133">
        <f>COUNTIFS($C$8:C98,"*ПС*",$J$8:J98,"*закрыт*")</f>
        <v>13</v>
      </c>
      <c r="C98" s="212" t="str">
        <f>Итоговая!AA99</f>
        <v xml:space="preserve">ПС 35/10 кВ Голубые Озера  </v>
      </c>
      <c r="D98" s="230">
        <f>Итоговая!AB99</f>
        <v>2.5</v>
      </c>
      <c r="E98" s="229" t="str">
        <f>Итоговая!AC99</f>
        <v>+</v>
      </c>
      <c r="F98" s="229">
        <f>Итоговая!AD99</f>
        <v>1.6</v>
      </c>
      <c r="G98" s="229">
        <f>Итоговая!AE99</f>
        <v>0</v>
      </c>
      <c r="H98" s="229">
        <f>Итоговая!AF99</f>
        <v>0</v>
      </c>
      <c r="I98" s="172">
        <f>Итоговая!AP99</f>
        <v>1.6900000000000002</v>
      </c>
      <c r="J98" s="172" t="str">
        <f>Итоговая!AQ99</f>
        <v>открыт</v>
      </c>
      <c r="K98" s="907" t="str">
        <f>Итоговая!AR99</f>
        <v>открыт</v>
      </c>
      <c r="L98" s="907">
        <f>Итоговая!AS99</f>
        <v>23.214285714285712</v>
      </c>
      <c r="M98" s="907"/>
      <c r="N98" s="907"/>
    </row>
    <row r="99" spans="1:14" hidden="1" x14ac:dyDescent="0.25">
      <c r="A99" s="212">
        <f>Итоговая!Y100</f>
        <v>72</v>
      </c>
      <c r="B99" s="1133">
        <f>COUNTIFS($C$8:C99,"*ПС*",$J$8:J99,"*закрыт*")</f>
        <v>13</v>
      </c>
      <c r="C99" s="212" t="str">
        <f>Итоговая!AA100</f>
        <v xml:space="preserve">ПС 35/6 кВ Городок </v>
      </c>
      <c r="D99" s="230">
        <f>Итоговая!AB100</f>
        <v>1.6</v>
      </c>
      <c r="E99" s="229" t="str">
        <f>Итоговая!AC100</f>
        <v>+</v>
      </c>
      <c r="F99" s="229">
        <f>Итоговая!AD100</f>
        <v>1.6</v>
      </c>
      <c r="G99" s="229">
        <f>Итоговая!AE100</f>
        <v>0</v>
      </c>
      <c r="H99" s="229">
        <f>Итоговая!AF100</f>
        <v>0</v>
      </c>
      <c r="I99" s="172">
        <f>Итоговая!AP100</f>
        <v>1.4000000000000001</v>
      </c>
      <c r="J99" s="172" t="str">
        <f>Итоговая!AQ100</f>
        <v>открыт</v>
      </c>
      <c r="K99" s="907" t="str">
        <f>Итоговая!AR100</f>
        <v>открыт</v>
      </c>
      <c r="L99" s="907">
        <f>Итоговая!AS100</f>
        <v>16.666666666666668</v>
      </c>
      <c r="M99" s="907"/>
      <c r="N99" s="907"/>
    </row>
    <row r="100" spans="1:14" hidden="1" x14ac:dyDescent="0.25">
      <c r="A100" s="212">
        <f>Итоговая!Y101</f>
        <v>73</v>
      </c>
      <c r="B100" s="1860">
        <f>COUNTIFS($C$8:C100,"*ПС*",$J$8:J100,"*закрыт*")</f>
        <v>13</v>
      </c>
      <c r="C100" s="212" t="str">
        <f>Итоговая!AA101</f>
        <v xml:space="preserve">ПС 35/10 кВ ДОЗ </v>
      </c>
      <c r="D100" s="230">
        <f>Итоговая!AB101</f>
        <v>4</v>
      </c>
      <c r="E100" s="229" t="str">
        <f>Итоговая!AC101</f>
        <v>+</v>
      </c>
      <c r="F100" s="229">
        <f>Итоговая!AD101</f>
        <v>4</v>
      </c>
      <c r="G100" s="229">
        <f>Итоговая!AE101</f>
        <v>0</v>
      </c>
      <c r="H100" s="229">
        <f>Итоговая!AF101</f>
        <v>0</v>
      </c>
      <c r="I100" s="172">
        <f>Итоговая!AP101</f>
        <v>1.5300000000000002</v>
      </c>
      <c r="J100" s="172" t="str">
        <f>Итоговая!AQ101</f>
        <v>открыт</v>
      </c>
      <c r="K100" s="907" t="str">
        <f>Итоговая!AR101</f>
        <v>открыт</v>
      </c>
      <c r="L100" s="907">
        <f>Итоговая!AS101</f>
        <v>63.571428571428569</v>
      </c>
      <c r="M100" s="907"/>
      <c r="N100" s="907"/>
    </row>
    <row r="101" spans="1:14" hidden="1" x14ac:dyDescent="0.25">
      <c r="A101" s="212">
        <f>Итоговая!Y102</f>
        <v>74</v>
      </c>
      <c r="B101" s="1133">
        <f>COUNTIFS($C$8:C101,"*ПС*",$J$8:J101,"*закрыт*")</f>
        <v>13</v>
      </c>
      <c r="C101" s="212" t="str">
        <f>Итоговая!AA102</f>
        <v xml:space="preserve">ПС 35/10 кВ Дятлово </v>
      </c>
      <c r="D101" s="230">
        <f>Итоговая!AB102</f>
        <v>1.6</v>
      </c>
      <c r="E101" s="229" t="str">
        <f>Итоговая!AC102</f>
        <v>+</v>
      </c>
      <c r="F101" s="229">
        <f>Итоговая!AD102</f>
        <v>1.6</v>
      </c>
      <c r="G101" s="229">
        <f>Итоговая!AE102</f>
        <v>0</v>
      </c>
      <c r="H101" s="229">
        <f>Итоговая!AF102</f>
        <v>0</v>
      </c>
      <c r="I101" s="172">
        <f>Итоговая!AP102</f>
        <v>1.2200000000000002</v>
      </c>
      <c r="J101" s="172" t="str">
        <f>Итоговая!AQ102</f>
        <v>открыт</v>
      </c>
      <c r="K101" s="907" t="str">
        <f>Итоговая!AR102</f>
        <v>открыт</v>
      </c>
      <c r="L101" s="907">
        <f>Итоговая!AS102</f>
        <v>27.38095238095238</v>
      </c>
      <c r="M101" s="907"/>
      <c r="N101" s="907"/>
    </row>
    <row r="102" spans="1:14" hidden="1" x14ac:dyDescent="0.25">
      <c r="A102" s="212">
        <f>Итоговая!Y103</f>
        <v>75</v>
      </c>
      <c r="B102" s="1133">
        <f>COUNTIFS($C$8:C102,"*ПС*",$J$8:J102,"*закрыт*")</f>
        <v>13</v>
      </c>
      <c r="C102" s="212" t="str">
        <f>Итоговая!AA103</f>
        <v xml:space="preserve">ПС 35/10 кВ Есеновичи </v>
      </c>
      <c r="D102" s="230">
        <f>Итоговая!AB103</f>
        <v>1.8</v>
      </c>
      <c r="E102" s="229" t="str">
        <f>Итоговая!AC103</f>
        <v>+</v>
      </c>
      <c r="F102" s="229">
        <f>Итоговая!AD103</f>
        <v>2.5</v>
      </c>
      <c r="G102" s="229">
        <f>Итоговая!AE103</f>
        <v>0</v>
      </c>
      <c r="H102" s="229">
        <f>Итоговая!AF103</f>
        <v>0</v>
      </c>
      <c r="I102" s="172">
        <f>Итоговая!AP103</f>
        <v>0.84000000000000008</v>
      </c>
      <c r="J102" s="172" t="str">
        <f>Итоговая!AQ103</f>
        <v>открыт</v>
      </c>
      <c r="K102" s="907" t="str">
        <f>Итоговая!AR103</f>
        <v>открыт</v>
      </c>
      <c r="L102" s="907">
        <f>Итоговая!AS103</f>
        <v>55.55555555555555</v>
      </c>
      <c r="M102" s="907"/>
      <c r="N102" s="907"/>
    </row>
    <row r="103" spans="1:14" hidden="1" x14ac:dyDescent="0.25">
      <c r="A103" s="212">
        <f>Итоговая!Y104</f>
        <v>76</v>
      </c>
      <c r="B103" s="1133">
        <f>COUNTIFS($C$8:C103,"*ПС*",$J$8:J103,"*закрыт*")</f>
        <v>13</v>
      </c>
      <c r="C103" s="212" t="str">
        <f>Итоговая!AA104</f>
        <v xml:space="preserve">ПС 35/10 кВ ЖБИ  </v>
      </c>
      <c r="D103" s="230">
        <f>Итоговая!AB104</f>
        <v>2.5</v>
      </c>
      <c r="E103" s="229" t="str">
        <f>Итоговая!AC104</f>
        <v>+</v>
      </c>
      <c r="F103" s="229">
        <f>Итоговая!AD104</f>
        <v>2.5</v>
      </c>
      <c r="G103" s="229">
        <f>Итоговая!AE104</f>
        <v>0</v>
      </c>
      <c r="H103" s="229">
        <f>Итоговая!AF104</f>
        <v>0</v>
      </c>
      <c r="I103" s="172">
        <f>Итоговая!AP104</f>
        <v>2.0193478260869564</v>
      </c>
      <c r="J103" s="172" t="str">
        <f>Итоговая!AQ104</f>
        <v>открыт</v>
      </c>
      <c r="K103" s="907" t="str">
        <f>Итоговая!AR104</f>
        <v>открыт</v>
      </c>
      <c r="L103" s="907">
        <f>Итоговая!AS104</f>
        <v>23.072463768115945</v>
      </c>
      <c r="M103" s="907"/>
      <c r="N103" s="907"/>
    </row>
    <row r="104" spans="1:14" hidden="1" x14ac:dyDescent="0.25">
      <c r="A104" s="212">
        <f>Итоговая!Y105</f>
        <v>77</v>
      </c>
      <c r="B104" s="1133">
        <f>COUNTIFS($C$8:C104,"*ПС*",$J$8:J104,"*закрыт*")</f>
        <v>13</v>
      </c>
      <c r="C104" s="212" t="str">
        <f>Итоговая!AA105</f>
        <v>ПС  35/10 кВ Заозерная</v>
      </c>
      <c r="D104" s="230">
        <f>Итоговая!AB105</f>
        <v>6.3</v>
      </c>
      <c r="E104" s="229" t="str">
        <f>Итоговая!AC105</f>
        <v>+</v>
      </c>
      <c r="F104" s="229">
        <f>Итоговая!AD105</f>
        <v>6.3</v>
      </c>
      <c r="G104" s="229">
        <f>Итоговая!AE105</f>
        <v>0</v>
      </c>
      <c r="H104" s="229">
        <f>Итоговая!AF105</f>
        <v>0</v>
      </c>
      <c r="I104" s="172">
        <f>Итоговая!AP105</f>
        <v>5.335</v>
      </c>
      <c r="J104" s="172" t="str">
        <f>Итоговая!AQ105</f>
        <v>открыт</v>
      </c>
      <c r="K104" s="907" t="str">
        <f>Итоговая!AR105</f>
        <v>открыт</v>
      </c>
      <c r="L104" s="907">
        <f>Итоговая!AS105</f>
        <v>22.373393801965229</v>
      </c>
      <c r="M104" s="907"/>
      <c r="N104" s="907"/>
    </row>
    <row r="105" spans="1:14" hidden="1" x14ac:dyDescent="0.25">
      <c r="A105" s="212">
        <f>Итоговая!Y106</f>
        <v>78</v>
      </c>
      <c r="B105" s="1133">
        <f>COUNTIFS($C$8:C105,"*ПС*",$J$8:J105,"*закрыт*")</f>
        <v>13</v>
      </c>
      <c r="C105" s="212" t="str">
        <f>Итоговая!AA106</f>
        <v xml:space="preserve">ПС 35/10 кВ Княщины  </v>
      </c>
      <c r="D105" s="230">
        <f>Итоговая!AB106</f>
        <v>2.5</v>
      </c>
      <c r="E105" s="229" t="str">
        <f>Итоговая!AC106</f>
        <v>+</v>
      </c>
      <c r="F105" s="229">
        <f>Итоговая!AD106</f>
        <v>2.5</v>
      </c>
      <c r="G105" s="229">
        <f>Итоговая!AE106</f>
        <v>0</v>
      </c>
      <c r="H105" s="229">
        <f>Итоговая!AF106</f>
        <v>0</v>
      </c>
      <c r="I105" s="172">
        <f>Итоговая!AP106</f>
        <v>2.375</v>
      </c>
      <c r="J105" s="172" t="str">
        <f>Итоговая!AQ106</f>
        <v>открыт</v>
      </c>
      <c r="K105" s="907" t="str">
        <f>Итоговая!AR106</f>
        <v>открыт</v>
      </c>
      <c r="L105" s="907">
        <f>Итоговая!AS106</f>
        <v>19.80952380952381</v>
      </c>
      <c r="M105" s="907"/>
      <c r="N105" s="907"/>
    </row>
    <row r="106" spans="1:14" hidden="1" x14ac:dyDescent="0.25">
      <c r="A106" s="212">
        <f>Итоговая!Y107</f>
        <v>79</v>
      </c>
      <c r="B106" s="1133">
        <f>COUNTIFS($C$8:C106,"*ПС*",$J$8:J106,"*закрыт*")</f>
        <v>13</v>
      </c>
      <c r="C106" s="212" t="str">
        <f>Итоговая!AA107</f>
        <v xml:space="preserve">ПС 35/10 кВ Козлово </v>
      </c>
      <c r="D106" s="230">
        <f>Итоговая!AB107</f>
        <v>1.8</v>
      </c>
      <c r="E106" s="229" t="str">
        <f>Итоговая!AC107</f>
        <v>+</v>
      </c>
      <c r="F106" s="229">
        <f>Итоговая!AD107</f>
        <v>4</v>
      </c>
      <c r="G106" s="229">
        <f>Итоговая!AE107</f>
        <v>0</v>
      </c>
      <c r="H106" s="229">
        <f>Итоговая!AF107</f>
        <v>0</v>
      </c>
      <c r="I106" s="172">
        <f>Итоговая!AP107</f>
        <v>1.1277173913043479</v>
      </c>
      <c r="J106" s="172" t="str">
        <f>Итоговая!AQ107</f>
        <v>открыт</v>
      </c>
      <c r="K106" s="907" t="str">
        <f>Итоговая!AR107</f>
        <v>открыт</v>
      </c>
      <c r="L106" s="907">
        <f>Итоговая!AS107</f>
        <v>40.33241315850011</v>
      </c>
      <c r="M106" s="907"/>
      <c r="N106" s="907"/>
    </row>
    <row r="107" spans="1:14" hidden="1" x14ac:dyDescent="0.25">
      <c r="A107" s="212">
        <f>Итоговая!Y108</f>
        <v>80</v>
      </c>
      <c r="B107" s="1133">
        <f>COUNTIFS($C$8:C107,"*ПС*",$J$8:J107,"*закрыт*")</f>
        <v>13</v>
      </c>
      <c r="C107" s="212" t="str">
        <f>Итоговая!AA108</f>
        <v xml:space="preserve">ПС 35/10 кВ Красное Знамя </v>
      </c>
      <c r="D107" s="230">
        <f>Итоговая!AB108</f>
        <v>1.6</v>
      </c>
      <c r="E107" s="229" t="str">
        <f>Итоговая!AC108</f>
        <v>+</v>
      </c>
      <c r="F107" s="229">
        <f>Итоговая!AD108</f>
        <v>1.8</v>
      </c>
      <c r="G107" s="229">
        <f>Итоговая!AE108</f>
        <v>0</v>
      </c>
      <c r="H107" s="229">
        <f>Итоговая!AF108</f>
        <v>0</v>
      </c>
      <c r="I107" s="172">
        <f>Итоговая!AP108</f>
        <v>1.2600000000000002</v>
      </c>
      <c r="J107" s="172" t="str">
        <f>Итоговая!AQ108</f>
        <v>открыт</v>
      </c>
      <c r="K107" s="907" t="str">
        <f>Итоговая!AR108</f>
        <v>открыт</v>
      </c>
      <c r="L107" s="907">
        <f>Итоговая!AS108</f>
        <v>24.999999999999996</v>
      </c>
      <c r="M107" s="907"/>
      <c r="N107" s="907"/>
    </row>
    <row r="108" spans="1:14" hidden="1" x14ac:dyDescent="0.25">
      <c r="A108" s="212">
        <f>Итоговая!Y109</f>
        <v>81</v>
      </c>
      <c r="B108" s="1133">
        <f>COUNTIFS($C$8:C108,"*ПС*",$J$8:J108,"*закрыт*")</f>
        <v>13</v>
      </c>
      <c r="C108" s="212" t="str">
        <f>Итоговая!AA109</f>
        <v xml:space="preserve">ПС 35/6 кВ Красный Май </v>
      </c>
      <c r="D108" s="230">
        <f>Итоговая!AB109</f>
        <v>10</v>
      </c>
      <c r="E108" s="229" t="str">
        <f>Итоговая!AC109</f>
        <v>+</v>
      </c>
      <c r="F108" s="229">
        <f>Итоговая!AD109</f>
        <v>10</v>
      </c>
      <c r="G108" s="229">
        <f>Итоговая!AE109</f>
        <v>0</v>
      </c>
      <c r="H108" s="229">
        <f>Итоговая!AF109</f>
        <v>0</v>
      </c>
      <c r="I108" s="172">
        <f>Итоговая!AP109</f>
        <v>8.27</v>
      </c>
      <c r="J108" s="172" t="str">
        <f>Итоговая!AQ109</f>
        <v>открыт</v>
      </c>
      <c r="K108" s="907" t="str">
        <f>Итоговая!AR109</f>
        <v>открыт</v>
      </c>
      <c r="L108" s="907">
        <f>Итоговая!AS109</f>
        <v>21.238095238095237</v>
      </c>
      <c r="M108" s="907"/>
      <c r="N108" s="907"/>
    </row>
    <row r="109" spans="1:14" hidden="1" x14ac:dyDescent="0.25">
      <c r="A109" s="212">
        <f>Итоговая!Y110</f>
        <v>82</v>
      </c>
      <c r="B109" s="1133">
        <f>COUNTIFS($C$8:C109,"*ПС*",$J$8:J109,"*закрыт*")</f>
        <v>14</v>
      </c>
      <c r="C109" s="212" t="str">
        <f>Итоговая!AA110</f>
        <v xml:space="preserve">ПС 35/10 кВ Куженкино </v>
      </c>
      <c r="D109" s="230">
        <f>Итоговая!AB110</f>
        <v>2.5</v>
      </c>
      <c r="E109" s="229" t="str">
        <f>Итоговая!AC110</f>
        <v>+</v>
      </c>
      <c r="F109" s="229">
        <f>Итоговая!AD110</f>
        <v>3.2</v>
      </c>
      <c r="G109" s="229">
        <f>Итоговая!AE110</f>
        <v>0</v>
      </c>
      <c r="H109" s="229">
        <f>Итоговая!AF110</f>
        <v>0</v>
      </c>
      <c r="I109" s="172">
        <f>Итоговая!AP110</f>
        <v>-1.4239130434782421E-2</v>
      </c>
      <c r="J109" s="172" t="str">
        <f>Итоговая!AQ110</f>
        <v>закрыт</v>
      </c>
      <c r="K109" s="907" t="str">
        <f>Итоговая!AR110</f>
        <v>закрыт</v>
      </c>
      <c r="L109" s="907">
        <f>Итоговая!AS110</f>
        <v>108.16149068322981</v>
      </c>
      <c r="M109" s="907"/>
      <c r="N109" s="907"/>
    </row>
    <row r="110" spans="1:14" hidden="1" x14ac:dyDescent="0.25">
      <c r="A110" s="212">
        <f>Итоговая!Y111</f>
        <v>83</v>
      </c>
      <c r="B110" s="1133">
        <f>COUNTIFS($C$8:C110,"*ПС*",$J$8:J110,"*закрыт*")</f>
        <v>14</v>
      </c>
      <c r="C110" s="212" t="str">
        <f>Итоговая!AA111</f>
        <v xml:space="preserve">ПС 35/10 кВ Лукино  </v>
      </c>
      <c r="D110" s="230">
        <f>Итоговая!AB111</f>
        <v>2.5</v>
      </c>
      <c r="E110" s="229" t="str">
        <f>Итоговая!AC111</f>
        <v>+</v>
      </c>
      <c r="F110" s="229">
        <f>Итоговая!AD111</f>
        <v>1.6</v>
      </c>
      <c r="G110" s="229">
        <f>Итоговая!AE111</f>
        <v>0</v>
      </c>
      <c r="H110" s="229">
        <f>Итоговая!AF111</f>
        <v>0</v>
      </c>
      <c r="I110" s="172">
        <f>Итоговая!AP111</f>
        <v>1.4400000000000002</v>
      </c>
      <c r="J110" s="172" t="str">
        <f>Итоговая!AQ111</f>
        <v>открыт</v>
      </c>
      <c r="K110" s="907" t="str">
        <f>Итоговая!AR111</f>
        <v>открыт</v>
      </c>
      <c r="L110" s="907">
        <f>Итоговая!AS111</f>
        <v>14.285714285714285</v>
      </c>
      <c r="M110" s="907"/>
      <c r="N110" s="907"/>
    </row>
    <row r="111" spans="1:14" hidden="1" x14ac:dyDescent="0.25">
      <c r="A111" s="212">
        <f>Итоговая!Y112</f>
        <v>84</v>
      </c>
      <c r="B111" s="1133">
        <f>COUNTIFS($C$8:C111,"*ПС*",$J$8:J111,"*закрыт*")</f>
        <v>14</v>
      </c>
      <c r="C111" s="212" t="str">
        <f>Итоговая!AA112</f>
        <v xml:space="preserve">ПС 35/6 кВ Макарово  </v>
      </c>
      <c r="D111" s="230">
        <f>Итоговая!AB112</f>
        <v>4</v>
      </c>
      <c r="E111" s="229" t="str">
        <f>Итоговая!AC112</f>
        <v>+</v>
      </c>
      <c r="F111" s="229">
        <f>Итоговая!AD112</f>
        <v>4</v>
      </c>
      <c r="G111" s="229">
        <f>Итоговая!AE112</f>
        <v>0</v>
      </c>
      <c r="H111" s="229">
        <f>Итоговая!AF112</f>
        <v>0</v>
      </c>
      <c r="I111" s="172">
        <f>Итоговая!AP112</f>
        <v>3.2404347826086957</v>
      </c>
      <c r="J111" s="172" t="str">
        <f>Итоговая!AQ112</f>
        <v>открыт</v>
      </c>
      <c r="K111" s="907" t="str">
        <f>Итоговая!AR112</f>
        <v>открыт</v>
      </c>
      <c r="L111" s="907">
        <f>Итоговая!AS112</f>
        <v>25.227743271221531</v>
      </c>
      <c r="M111" s="907"/>
      <c r="N111" s="907"/>
    </row>
    <row r="112" spans="1:14" hidden="1" x14ac:dyDescent="0.25">
      <c r="A112" s="212">
        <f>Итоговая!Y113</f>
        <v>85</v>
      </c>
      <c r="B112" s="1133">
        <f>COUNTIFS($C$8:C112,"*ПС*",$J$8:J112,"*закрыт*")</f>
        <v>14</v>
      </c>
      <c r="C112" s="212" t="str">
        <f>Итоговая!AA113</f>
        <v xml:space="preserve">ПС 110/10 кВ Манхино </v>
      </c>
      <c r="D112" s="230">
        <f>Итоговая!AB113</f>
        <v>2.5</v>
      </c>
      <c r="E112" s="229" t="str">
        <f>Итоговая!AC113</f>
        <v>+</v>
      </c>
      <c r="F112" s="229">
        <f>Итоговая!AD113</f>
        <v>2.5</v>
      </c>
      <c r="G112" s="229">
        <f>Итоговая!AE113</f>
        <v>0</v>
      </c>
      <c r="H112" s="229">
        <f>Итоговая!AF113</f>
        <v>0</v>
      </c>
      <c r="I112" s="172">
        <f>Итоговая!AP113</f>
        <v>2.2549999999999999</v>
      </c>
      <c r="J112" s="172" t="str">
        <f>Итоговая!AQ113</f>
        <v>открыт</v>
      </c>
      <c r="K112" s="907" t="str">
        <f>Итоговая!AR113</f>
        <v>открыт</v>
      </c>
      <c r="L112" s="907">
        <f>Итоговая!AS113</f>
        <v>14.095238095238095</v>
      </c>
      <c r="M112" s="907"/>
      <c r="N112" s="907"/>
    </row>
    <row r="113" spans="1:14" hidden="1" x14ac:dyDescent="0.25">
      <c r="A113" s="212">
        <f>Итоговая!Y114</f>
        <v>86</v>
      </c>
      <c r="B113" s="1133">
        <f>COUNTIFS($C$8:C113,"*ПС*",$J$8:J113,"*закрыт*")</f>
        <v>14</v>
      </c>
      <c r="C113" s="212" t="str">
        <f>Итоговая!AA114</f>
        <v xml:space="preserve">ПС 35/10 кВ Молдино </v>
      </c>
      <c r="D113" s="230">
        <f>Итоговая!AB114</f>
        <v>1</v>
      </c>
      <c r="E113" s="229" t="str">
        <f>Итоговая!AC114</f>
        <v>+</v>
      </c>
      <c r="F113" s="229">
        <f>Итоговая!AD114</f>
        <v>1</v>
      </c>
      <c r="G113" s="229">
        <f>Итоговая!AE114</f>
        <v>0</v>
      </c>
      <c r="H113" s="229">
        <f>Итоговая!AF114</f>
        <v>0</v>
      </c>
      <c r="I113" s="172">
        <f>Итоговая!AP114</f>
        <v>0.94983695652173905</v>
      </c>
      <c r="J113" s="172" t="str">
        <f>Итоговая!AQ114</f>
        <v>открыт</v>
      </c>
      <c r="K113" s="907" t="str">
        <f>Итоговая!AR114</f>
        <v>открыт</v>
      </c>
      <c r="L113" s="907">
        <f>Итоговая!AS114</f>
        <v>54.301242236024848</v>
      </c>
      <c r="M113" s="907"/>
      <c r="N113" s="907"/>
    </row>
    <row r="114" spans="1:14" ht="30" hidden="1" customHeight="1" x14ac:dyDescent="0.25">
      <c r="A114" s="212">
        <f>Итоговая!Y115</f>
        <v>87</v>
      </c>
      <c r="B114" s="1133">
        <f>COUNTIFS($C$8:C114,"*ПС*",$J$8:J114,"*закрыт*")</f>
        <v>14</v>
      </c>
      <c r="C114" s="212" t="str">
        <f>Итоговая!AA115</f>
        <v xml:space="preserve">ПС 35/10 кВ Ново-Кузьминская </v>
      </c>
      <c r="D114" s="230">
        <f>Итоговая!AB115</f>
        <v>1</v>
      </c>
      <c r="E114" s="229" t="str">
        <f>Итоговая!AC115</f>
        <v>+</v>
      </c>
      <c r="F114" s="229">
        <f>Итоговая!AD115</f>
        <v>1</v>
      </c>
      <c r="G114" s="229">
        <f>Итоговая!AE115</f>
        <v>0</v>
      </c>
      <c r="H114" s="229">
        <f>Итоговая!AF115</f>
        <v>0</v>
      </c>
      <c r="I114" s="172">
        <f>Итоговая!AP115</f>
        <v>0.99</v>
      </c>
      <c r="J114" s="172" t="str">
        <f>Итоговая!AQ115</f>
        <v>открыт</v>
      </c>
      <c r="K114" s="907" t="str">
        <f>Итоговая!AR115</f>
        <v>открыт</v>
      </c>
      <c r="L114" s="907">
        <f>Итоговая!AS115</f>
        <v>40.952380952380949</v>
      </c>
      <c r="M114" s="907"/>
      <c r="N114" s="907"/>
    </row>
    <row r="115" spans="1:14" hidden="1" x14ac:dyDescent="0.25">
      <c r="A115" s="212">
        <f>Итоговая!Y116</f>
        <v>88</v>
      </c>
      <c r="B115" s="1133">
        <f>COUNTIFS($C$8:C115,"*ПС*",$J$8:J115,"*закрыт*")</f>
        <v>14</v>
      </c>
      <c r="C115" s="212" t="str">
        <f>Итоговая!AA116</f>
        <v xml:space="preserve">ПС 35/10 кВ Овсище </v>
      </c>
      <c r="D115" s="230">
        <f>Итоговая!AB116</f>
        <v>2.5</v>
      </c>
      <c r="E115" s="229" t="str">
        <f>Итоговая!AC116</f>
        <v>+</v>
      </c>
      <c r="F115" s="229">
        <f>Итоговая!AD116</f>
        <v>1.6</v>
      </c>
      <c r="G115" s="229">
        <f>Итоговая!AE116</f>
        <v>0</v>
      </c>
      <c r="H115" s="229">
        <f>Итоговая!AF116</f>
        <v>0</v>
      </c>
      <c r="I115" s="172">
        <f>Итоговая!AP116</f>
        <v>1.3800000000000001</v>
      </c>
      <c r="J115" s="172" t="str">
        <f>Итоговая!AQ116</f>
        <v>открыт</v>
      </c>
      <c r="K115" s="907" t="str">
        <f>Итоговая!AR116</f>
        <v>открыт</v>
      </c>
      <c r="L115" s="907">
        <f>Итоговая!AS116</f>
        <v>17.857142857142854</v>
      </c>
      <c r="M115" s="907"/>
      <c r="N115" s="907"/>
    </row>
    <row r="116" spans="1:14" hidden="1" x14ac:dyDescent="0.25">
      <c r="A116" s="212">
        <f>Итоговая!Y117</f>
        <v>89</v>
      </c>
      <c r="B116" s="1133">
        <f>COUNTIFS($C$8:C116,"*ПС*",$J$8:J116,"*закрыт*")</f>
        <v>14</v>
      </c>
      <c r="C116" s="212" t="str">
        <f>Итоговая!AA117</f>
        <v xml:space="preserve">ПС 35/6 кВ ОЭЗ  </v>
      </c>
      <c r="D116" s="230">
        <f>Итоговая!AB117</f>
        <v>2.5</v>
      </c>
      <c r="E116" s="229" t="str">
        <f>Итоговая!AC117</f>
        <v>+</v>
      </c>
      <c r="F116" s="229">
        <f>Итоговая!AD117</f>
        <v>2.5</v>
      </c>
      <c r="G116" s="229">
        <f>Итоговая!AE117</f>
        <v>0</v>
      </c>
      <c r="H116" s="229">
        <f>Итоговая!AF117</f>
        <v>0</v>
      </c>
      <c r="I116" s="172">
        <f>Итоговая!AP117</f>
        <v>1.7980434782608694</v>
      </c>
      <c r="J116" s="172" t="str">
        <f>Итоговая!AQ117</f>
        <v>открыт</v>
      </c>
      <c r="K116" s="907" t="str">
        <f>Итоговая!AR117</f>
        <v>открыт</v>
      </c>
      <c r="L116" s="907">
        <f>Итоговая!AS117</f>
        <v>84.836438923395448</v>
      </c>
      <c r="M116" s="907"/>
      <c r="N116" s="907"/>
    </row>
    <row r="117" spans="1:14" hidden="1" x14ac:dyDescent="0.25">
      <c r="A117" s="212">
        <f>Итоговая!Y118</f>
        <v>90</v>
      </c>
      <c r="B117" s="1133">
        <f>COUNTIFS($C$8:C117,"*ПС*",$J$8:J117,"*закрыт*")</f>
        <v>14</v>
      </c>
      <c r="C117" s="212" t="str">
        <f>Итоговая!AA118</f>
        <v xml:space="preserve">ПС 35/10 кВ Плотично  </v>
      </c>
      <c r="D117" s="230">
        <f>Итоговая!AB118</f>
        <v>1.8</v>
      </c>
      <c r="E117" s="229" t="str">
        <f>Итоговая!AC118</f>
        <v>+</v>
      </c>
      <c r="F117" s="229">
        <f>Итоговая!AD118</f>
        <v>1.6</v>
      </c>
      <c r="G117" s="229">
        <f>Итоговая!AE118</f>
        <v>0</v>
      </c>
      <c r="H117" s="229">
        <f>Итоговая!AF118</f>
        <v>0</v>
      </c>
      <c r="I117" s="172">
        <f>Итоговая!AP118</f>
        <v>1.4200000000000002</v>
      </c>
      <c r="J117" s="172" t="str">
        <f>Итоговая!AQ118</f>
        <v>открыт</v>
      </c>
      <c r="K117" s="907" t="str">
        <f>Итоговая!AR118</f>
        <v>открыт</v>
      </c>
      <c r="L117" s="907">
        <f>Итоговая!AS118</f>
        <v>15.476190476190474</v>
      </c>
      <c r="M117" s="907"/>
      <c r="N117" s="907"/>
    </row>
    <row r="118" spans="1:14" hidden="1" x14ac:dyDescent="0.25">
      <c r="A118" s="212">
        <f>Итоговая!Y119</f>
        <v>91</v>
      </c>
      <c r="B118" s="1133">
        <f>COUNTIFS($C$8:C118,"*ПС*",$J$8:J118,"*закрыт*")</f>
        <v>14</v>
      </c>
      <c r="C118" s="212" t="str">
        <f>Итоговая!AA119</f>
        <v xml:space="preserve">ПС 35/10 кВ Попово  </v>
      </c>
      <c r="D118" s="230">
        <f>Итоговая!AB119</f>
        <v>1</v>
      </c>
      <c r="E118" s="229" t="str">
        <f>Итоговая!AC119</f>
        <v>+</v>
      </c>
      <c r="F118" s="229">
        <f>Итоговая!AD119</f>
        <v>1</v>
      </c>
      <c r="G118" s="229">
        <f>Итоговая!AE119</f>
        <v>0</v>
      </c>
      <c r="H118" s="229">
        <f>Итоговая!AF119</f>
        <v>0</v>
      </c>
      <c r="I118" s="172">
        <f>Итоговая!AP119</f>
        <v>0.84000000000000008</v>
      </c>
      <c r="J118" s="172" t="str">
        <f>Итоговая!AQ119</f>
        <v>открыт</v>
      </c>
      <c r="K118" s="907" t="str">
        <f>Итоговая!AR119</f>
        <v>открыт</v>
      </c>
      <c r="L118" s="907">
        <f>Итоговая!AS119</f>
        <v>20</v>
      </c>
      <c r="M118" s="907"/>
      <c r="N118" s="907"/>
    </row>
    <row r="119" spans="1:14" hidden="1" x14ac:dyDescent="0.25">
      <c r="A119" s="212">
        <f>Итоговая!Y120</f>
        <v>92</v>
      </c>
      <c r="B119" s="1133">
        <f>COUNTIFS($C$8:C119,"*ПС*",$J$8:J119,"*закрыт*")</f>
        <v>14</v>
      </c>
      <c r="C119" s="212" t="str">
        <f>Итоговая!AA120</f>
        <v>ПС 35/10 кВ Пролетарий</v>
      </c>
      <c r="D119" s="230">
        <f>Итоговая!AB120</f>
        <v>2.5</v>
      </c>
      <c r="E119" s="229" t="str">
        <f>Итоговая!AC120</f>
        <v>+</v>
      </c>
      <c r="F119" s="229">
        <f>Итоговая!AD120</f>
        <v>2.5</v>
      </c>
      <c r="G119" s="229">
        <f>Итоговая!AE120</f>
        <v>0</v>
      </c>
      <c r="H119" s="229">
        <f>Итоговая!AF120</f>
        <v>0</v>
      </c>
      <c r="I119" s="172">
        <f>Итоговая!AP120</f>
        <v>1.3913695652173914</v>
      </c>
      <c r="J119" s="172" t="str">
        <f>Итоговая!AQ120</f>
        <v>открыт</v>
      </c>
      <c r="K119" s="907" t="str">
        <f>Итоговая!AR120</f>
        <v>открыт</v>
      </c>
      <c r="L119" s="907">
        <f>Итоговая!AS120</f>
        <v>73.662111801242233</v>
      </c>
      <c r="M119" s="907"/>
      <c r="N119" s="907"/>
    </row>
    <row r="120" spans="1:14" hidden="1" x14ac:dyDescent="0.25">
      <c r="A120" s="212">
        <f>Итоговая!Y121</f>
        <v>93</v>
      </c>
      <c r="B120" s="1133">
        <f>COUNTIFS($C$8:C120,"*ПС*",$J$8:J120,"*закрыт*")</f>
        <v>14</v>
      </c>
      <c r="C120" s="212" t="str">
        <f>Итоговая!AA121</f>
        <v xml:space="preserve">ПС 35/10 кВ Рождество </v>
      </c>
      <c r="D120" s="230">
        <f>Итоговая!AB121</f>
        <v>2.5</v>
      </c>
      <c r="E120" s="229" t="str">
        <f>Итоговая!AC121</f>
        <v>+</v>
      </c>
      <c r="F120" s="229">
        <f>Итоговая!AD121</f>
        <v>2.5</v>
      </c>
      <c r="G120" s="229">
        <f>Итоговая!AE121</f>
        <v>0</v>
      </c>
      <c r="H120" s="229">
        <f>Итоговая!AF121</f>
        <v>0</v>
      </c>
      <c r="I120" s="172">
        <f>Итоговая!AP121</f>
        <v>2.1349999999999998</v>
      </c>
      <c r="J120" s="172" t="str">
        <f>Итоговая!AQ121</f>
        <v>открыт</v>
      </c>
      <c r="K120" s="907" t="str">
        <f>Итоговая!AR121</f>
        <v>открыт</v>
      </c>
      <c r="L120" s="907">
        <f>Итоговая!AS121</f>
        <v>18.666666666666668</v>
      </c>
      <c r="M120" s="907"/>
      <c r="N120" s="907"/>
    </row>
    <row r="121" spans="1:14" hidden="1" x14ac:dyDescent="0.25">
      <c r="A121" s="212">
        <f>Итоговая!Y122</f>
        <v>94</v>
      </c>
      <c r="B121" s="1133">
        <f>COUNTIFS($C$8:C121,"*ПС*",$J$8:J121,"*закрыт*")</f>
        <v>14</v>
      </c>
      <c r="C121" s="212" t="str">
        <f>Итоговая!AA122</f>
        <v xml:space="preserve">ПС 35/10 кВ Ряд </v>
      </c>
      <c r="D121" s="230">
        <f>Итоговая!AB122</f>
        <v>2.5</v>
      </c>
      <c r="E121" s="229" t="str">
        <f>Итоговая!AC122</f>
        <v>+</v>
      </c>
      <c r="F121" s="229">
        <f>Итоговая!AD122</f>
        <v>2.5</v>
      </c>
      <c r="G121" s="229">
        <f>Итоговая!AE122</f>
        <v>0</v>
      </c>
      <c r="H121" s="229">
        <f>Итоговая!AF122</f>
        <v>0</v>
      </c>
      <c r="I121" s="172">
        <f>Итоговая!AP122</f>
        <v>2.625</v>
      </c>
      <c r="J121" s="172" t="str">
        <f>Итоговая!AQ122</f>
        <v>открыт</v>
      </c>
      <c r="K121" s="907" t="str">
        <f>Итоговая!AR122</f>
        <v>открыт</v>
      </c>
      <c r="L121" s="907">
        <f>Итоговая!AS122</f>
        <v>11.428571428571429</v>
      </c>
      <c r="M121" s="907"/>
      <c r="N121" s="907"/>
    </row>
    <row r="122" spans="1:14" hidden="1" x14ac:dyDescent="0.25">
      <c r="A122" s="212">
        <f>Итоговая!Y123</f>
        <v>95</v>
      </c>
      <c r="B122" s="1133">
        <f>COUNTIFS($C$8:C122,"*ПС*",$J$8:J122,"*закрыт*")</f>
        <v>14</v>
      </c>
      <c r="C122" s="212" t="str">
        <f>Итоговая!AA123</f>
        <v xml:space="preserve">ПС 35/10 кВ Сеглино  </v>
      </c>
      <c r="D122" s="230">
        <f>Итоговая!AB123</f>
        <v>1.6</v>
      </c>
      <c r="E122" s="229" t="str">
        <f>Итоговая!AC123</f>
        <v>+</v>
      </c>
      <c r="F122" s="229">
        <f>Итоговая!AD123</f>
        <v>1.6</v>
      </c>
      <c r="G122" s="229">
        <f>Итоговая!AE123</f>
        <v>0</v>
      </c>
      <c r="H122" s="229">
        <f>Итоговая!AF123</f>
        <v>0</v>
      </c>
      <c r="I122" s="172">
        <f>Итоговая!AP123</f>
        <v>1.1900000000000002</v>
      </c>
      <c r="J122" s="172" t="str">
        <f>Итоговая!AQ123</f>
        <v>открыт</v>
      </c>
      <c r="K122" s="907" t="str">
        <f>Итоговая!AR123</f>
        <v>открыт</v>
      </c>
      <c r="L122" s="907">
        <f>Итоговая!AS123</f>
        <v>29.166666666666664</v>
      </c>
      <c r="M122" s="907"/>
      <c r="N122" s="907"/>
    </row>
    <row r="123" spans="1:14" hidden="1" x14ac:dyDescent="0.25">
      <c r="A123" s="212">
        <f>Итоговая!Y124</f>
        <v>96</v>
      </c>
      <c r="B123" s="1133">
        <f>COUNTIFS($C$8:C123,"*ПС*",$J$8:J123,"*закрыт*")</f>
        <v>14</v>
      </c>
      <c r="C123" s="212" t="str">
        <f>Итоговая!AA124</f>
        <v xml:space="preserve">ПС 35/10 кВ Сороки </v>
      </c>
      <c r="D123" s="230">
        <f>Итоговая!AB124</f>
        <v>2.5</v>
      </c>
      <c r="E123" s="229" t="str">
        <f>Итоговая!AC124</f>
        <v>+</v>
      </c>
      <c r="F123" s="229">
        <f>Итоговая!AD124</f>
        <v>2.5</v>
      </c>
      <c r="G123" s="229">
        <f>Итоговая!AE124</f>
        <v>0</v>
      </c>
      <c r="H123" s="229">
        <f>Итоговая!AF124</f>
        <v>0</v>
      </c>
      <c r="I123" s="172">
        <f>Итоговая!AP124</f>
        <v>1.9360869565217391</v>
      </c>
      <c r="J123" s="172" t="str">
        <f>Итоговая!AQ124</f>
        <v>открыт</v>
      </c>
      <c r="K123" s="907" t="str">
        <f>Итоговая!AR124</f>
        <v>открыт</v>
      </c>
      <c r="L123" s="907">
        <f>Итоговая!AS124</f>
        <v>26.244306418219463</v>
      </c>
      <c r="M123" s="907"/>
      <c r="N123" s="907"/>
    </row>
    <row r="124" spans="1:14" hidden="1" x14ac:dyDescent="0.25">
      <c r="A124" s="212">
        <f>Итоговая!Y125</f>
        <v>97</v>
      </c>
      <c r="B124" s="1133">
        <f>COUNTIFS($C$8:C124,"*ПС*",$J$8:J124,"*закрыт*")</f>
        <v>14</v>
      </c>
      <c r="C124" s="212" t="str">
        <f>Итоговая!AA125</f>
        <v xml:space="preserve">ПС 35/10 кВ Терелесово </v>
      </c>
      <c r="D124" s="230">
        <f>Итоговая!AB125</f>
        <v>1.6</v>
      </c>
      <c r="E124" s="229" t="str">
        <f>Итоговая!AC125</f>
        <v>+</v>
      </c>
      <c r="F124" s="229">
        <f>Итоговая!AD125</f>
        <v>1.6</v>
      </c>
      <c r="G124" s="229">
        <f>Итоговая!AE125</f>
        <v>0</v>
      </c>
      <c r="H124" s="229">
        <f>Итоговая!AF125</f>
        <v>0</v>
      </c>
      <c r="I124" s="172">
        <f>Итоговая!AP125</f>
        <v>1.54</v>
      </c>
      <c r="J124" s="172" t="str">
        <f>Итоговая!AQ125</f>
        <v>открыт</v>
      </c>
      <c r="K124" s="907" t="str">
        <f>Итоговая!AR125</f>
        <v>открыт</v>
      </c>
      <c r="L124" s="907">
        <f>Итоговая!AS125</f>
        <v>36.309523809523803</v>
      </c>
      <c r="M124" s="907"/>
      <c r="N124" s="907"/>
    </row>
    <row r="125" spans="1:14" hidden="1" x14ac:dyDescent="0.25">
      <c r="A125" s="212">
        <f>Итоговая!Y126</f>
        <v>98</v>
      </c>
      <c r="B125" s="1133">
        <f>COUNTIFS($C$8:C125,"*ПС*",$J$8:J125,"*закрыт*")</f>
        <v>14</v>
      </c>
      <c r="C125" s="212" t="str">
        <f>Итоговая!AA126</f>
        <v xml:space="preserve">ПС 35/10 кВ Тимково </v>
      </c>
      <c r="D125" s="230">
        <f>Итоговая!AB126</f>
        <v>1.6</v>
      </c>
      <c r="E125" s="229" t="str">
        <f>Итоговая!AC126</f>
        <v>+</v>
      </c>
      <c r="F125" s="229">
        <f>Итоговая!AD126</f>
        <v>1.6</v>
      </c>
      <c r="G125" s="229">
        <f>Итоговая!AE126</f>
        <v>0</v>
      </c>
      <c r="H125" s="229">
        <f>Итоговая!AF126</f>
        <v>0</v>
      </c>
      <c r="I125" s="172">
        <f>Итоговая!AP126</f>
        <v>0.87282608695652186</v>
      </c>
      <c r="J125" s="172" t="str">
        <f>Итоговая!AQ126</f>
        <v>открыт</v>
      </c>
      <c r="K125" s="907" t="str">
        <f>Итоговая!AR126</f>
        <v>открыт</v>
      </c>
      <c r="L125" s="907">
        <f>Итоговая!AS126</f>
        <v>48.046066252587991</v>
      </c>
      <c r="M125" s="907"/>
      <c r="N125" s="907"/>
    </row>
    <row r="126" spans="1:14" hidden="1" x14ac:dyDescent="0.25">
      <c r="A126" s="212">
        <f>Итоговая!Y127</f>
        <v>99</v>
      </c>
      <c r="B126" s="1133">
        <f>COUNTIFS($C$8:C126,"*ПС*",$J$8:J126,"*закрыт*")</f>
        <v>14</v>
      </c>
      <c r="C126" s="212" t="str">
        <f>Итоговая!AA127</f>
        <v xml:space="preserve">ПС 35/10 кВ Фирово </v>
      </c>
      <c r="D126" s="230">
        <f>Итоговая!AB127</f>
        <v>2.5</v>
      </c>
      <c r="E126" s="229" t="str">
        <f>Итоговая!AC127</f>
        <v>+</v>
      </c>
      <c r="F126" s="229">
        <f>Итоговая!AD127</f>
        <v>2.5</v>
      </c>
      <c r="G126" s="229">
        <f>Итоговая!AE127</f>
        <v>0</v>
      </c>
      <c r="H126" s="229">
        <f>Итоговая!AF127</f>
        <v>0</v>
      </c>
      <c r="I126" s="172">
        <f>Итоговая!AP127</f>
        <v>2.1550000000000002</v>
      </c>
      <c r="J126" s="172" t="str">
        <f>Итоговая!AQ127</f>
        <v>открыт</v>
      </c>
      <c r="K126" s="907" t="str">
        <f>Итоговая!AR127</f>
        <v>открыт</v>
      </c>
      <c r="L126" s="907">
        <f>Итоговая!AS127</f>
        <v>71.61904761904762</v>
      </c>
      <c r="M126" s="907"/>
      <c r="N126" s="907"/>
    </row>
    <row r="127" spans="1:14" hidden="1" x14ac:dyDescent="0.25">
      <c r="A127" s="212">
        <f>Итоговая!Y128</f>
        <v>100</v>
      </c>
      <c r="B127" s="1133">
        <f>COUNTIFS($C$8:C127,"*ПС*",$J$8:J127,"*закрыт*")</f>
        <v>14</v>
      </c>
      <c r="C127" s="212" t="str">
        <f>Итоговая!AA128</f>
        <v xml:space="preserve">ПС 35/6 кВ Юбилейная </v>
      </c>
      <c r="D127" s="230">
        <f>Итоговая!AB128</f>
        <v>7.5</v>
      </c>
      <c r="E127" s="229" t="str">
        <f>Итоговая!AC128</f>
        <v>+</v>
      </c>
      <c r="F127" s="229">
        <f>Итоговая!AD128</f>
        <v>10</v>
      </c>
      <c r="G127" s="229">
        <f>Итоговая!AE128</f>
        <v>0</v>
      </c>
      <c r="H127" s="229">
        <f>Итоговая!AF128</f>
        <v>0</v>
      </c>
      <c r="I127" s="172">
        <f>Итоговая!AP128</f>
        <v>1.6550000000000002</v>
      </c>
      <c r="J127" s="172" t="str">
        <f>Итоговая!AQ128</f>
        <v>открыт</v>
      </c>
      <c r="K127" s="907" t="str">
        <f>Итоговая!AR128</f>
        <v>открыт</v>
      </c>
      <c r="L127" s="907">
        <f>Итоговая!AS128</f>
        <v>90.412698412698418</v>
      </c>
      <c r="M127" s="907"/>
      <c r="N127" s="907"/>
    </row>
    <row r="128" spans="1:14" hidden="1" x14ac:dyDescent="0.25">
      <c r="A128" s="212">
        <f>Итоговая!Y129</f>
        <v>101</v>
      </c>
      <c r="B128" s="1133">
        <f>COUNTIFS($C$8:C128,"*ПС*",$J$8:J128,"*закрыт*")</f>
        <v>14</v>
      </c>
      <c r="C128" s="212" t="str">
        <f>Итоговая!AA129</f>
        <v xml:space="preserve">ПС 35/10 кВ Яконово </v>
      </c>
      <c r="D128" s="246">
        <f>Итоговая!AB129</f>
        <v>2.5</v>
      </c>
      <c r="E128" s="247" t="str">
        <f>Итоговая!AC129</f>
        <v>+</v>
      </c>
      <c r="F128" s="247">
        <f>Итоговая!AD129</f>
        <v>2.5</v>
      </c>
      <c r="G128" s="247">
        <f>Итоговая!AE129</f>
        <v>0</v>
      </c>
      <c r="H128" s="247">
        <f>Итоговая!AF129</f>
        <v>0</v>
      </c>
      <c r="I128" s="172">
        <f>Итоговая!AP129</f>
        <v>2.5249999999999999</v>
      </c>
      <c r="J128" s="172" t="str">
        <f>Итоговая!AQ129</f>
        <v>открыт</v>
      </c>
      <c r="K128" s="907" t="str">
        <f>Итоговая!AR129</f>
        <v>открыт</v>
      </c>
      <c r="L128" s="907">
        <f>Итоговая!AS129</f>
        <v>10.285714285714286</v>
      </c>
      <c r="M128" s="907"/>
      <c r="N128" s="907"/>
    </row>
    <row r="129" spans="1:14" hidden="1" x14ac:dyDescent="0.25">
      <c r="A129" s="2419">
        <f>Итоговая!Y130</f>
        <v>102</v>
      </c>
      <c r="B129" s="2423">
        <f>COUNTIFS($C$8:C129,"*ПС*",$J$8:J129,"*закрыт*")</f>
        <v>14</v>
      </c>
      <c r="C129" s="212" t="str">
        <f>Итоговая!AA130</f>
        <v xml:space="preserve">ПС 110/35/10 кВ Брусово  </v>
      </c>
      <c r="D129" s="246">
        <f>Итоговая!AB130</f>
        <v>10</v>
      </c>
      <c r="E129" s="247" t="str">
        <f>Итоговая!AC130</f>
        <v>+</v>
      </c>
      <c r="F129" s="247">
        <f>Итоговая!AD130</f>
        <v>10</v>
      </c>
      <c r="G129" s="247">
        <f>Итоговая!AE130</f>
        <v>0</v>
      </c>
      <c r="H129" s="247">
        <f>Итоговая!AF130</f>
        <v>0</v>
      </c>
      <c r="I129" s="2405">
        <f>Итоговая!AP130</f>
        <v>9.5898369565217401</v>
      </c>
      <c r="J129" s="2405" t="str">
        <f>Итоговая!AQ130</f>
        <v>открыт</v>
      </c>
      <c r="K129" s="907" t="str">
        <f>Итоговая!AR130</f>
        <v>открыт</v>
      </c>
      <c r="L129" s="907">
        <f>Итоговая!AS130</f>
        <v>21.715838509316772</v>
      </c>
      <c r="M129" s="907"/>
      <c r="N129" s="907"/>
    </row>
    <row r="130" spans="1:14" hidden="1" x14ac:dyDescent="0.25">
      <c r="A130" s="2419">
        <f>Итоговая!Y131</f>
        <v>0</v>
      </c>
      <c r="B130" s="2440"/>
      <c r="C130" s="212" t="str">
        <f>Итоговая!AA131</f>
        <v xml:space="preserve">Ном. Мощность СН, МВА </v>
      </c>
      <c r="D130" s="246">
        <f>Итоговая!AB131</f>
        <v>10</v>
      </c>
      <c r="E130" s="247" t="str">
        <f>Итоговая!AC131</f>
        <v>+</v>
      </c>
      <c r="F130" s="247">
        <f>Итоговая!AD131</f>
        <v>10</v>
      </c>
      <c r="G130" s="247">
        <f>Итоговая!AE131</f>
        <v>0</v>
      </c>
      <c r="H130" s="247">
        <f>Итоговая!AF131</f>
        <v>0</v>
      </c>
      <c r="I130" s="2406">
        <f>Итоговая!AP131</f>
        <v>0</v>
      </c>
      <c r="J130" s="2406" t="str">
        <f>Итоговая!AQ131</f>
        <v>открыт</v>
      </c>
      <c r="K130" s="907" t="str">
        <f>Итоговая!AR131</f>
        <v>открыт</v>
      </c>
      <c r="L130" s="907">
        <f>Итоговая!AS131</f>
        <v>0</v>
      </c>
      <c r="M130" s="907"/>
      <c r="N130" s="907"/>
    </row>
    <row r="131" spans="1:14" hidden="1" x14ac:dyDescent="0.25">
      <c r="A131" s="2419">
        <f>Итоговая!Y132</f>
        <v>0</v>
      </c>
      <c r="B131" s="2441"/>
      <c r="C131" s="212" t="str">
        <f>Итоговая!AA132</f>
        <v>Ном. мощность НН, МВА</v>
      </c>
      <c r="D131" s="246">
        <f>Итоговая!AB132</f>
        <v>10</v>
      </c>
      <c r="E131" s="247" t="str">
        <f>Итоговая!AC132</f>
        <v>+</v>
      </c>
      <c r="F131" s="247">
        <f>Итоговая!AD132</f>
        <v>10</v>
      </c>
      <c r="G131" s="247">
        <f>Итоговая!AE132</f>
        <v>0</v>
      </c>
      <c r="H131" s="247">
        <f>Итоговая!AF132</f>
        <v>0</v>
      </c>
      <c r="I131" s="2407">
        <f>Итоговая!AP132</f>
        <v>0</v>
      </c>
      <c r="J131" s="2407" t="str">
        <f>Итоговая!AQ132</f>
        <v>открыт</v>
      </c>
      <c r="K131" s="907" t="str">
        <f>Итоговая!AR132</f>
        <v>открыт</v>
      </c>
      <c r="L131" s="907">
        <f>Итоговая!AS132</f>
        <v>0</v>
      </c>
      <c r="M131" s="907"/>
      <c r="N131" s="907"/>
    </row>
    <row r="132" spans="1:14" hidden="1" x14ac:dyDescent="0.25">
      <c r="A132" s="2419">
        <f>Итоговая!Y133</f>
        <v>103</v>
      </c>
      <c r="B132" s="2423">
        <f>COUNTIFS($C$8:C132,"*ПС*",$J$8:J132,"*закрыт*")</f>
        <v>14</v>
      </c>
      <c r="C132" s="212" t="str">
        <f>Итоговая!AA133</f>
        <v xml:space="preserve">ПС 110/35/6 кВ Выползово </v>
      </c>
      <c r="D132" s="246">
        <f>Итоговая!AB133</f>
        <v>10</v>
      </c>
      <c r="E132" s="247" t="str">
        <f>Итоговая!AC133</f>
        <v>+</v>
      </c>
      <c r="F132" s="247">
        <f>Итоговая!AD133</f>
        <v>10</v>
      </c>
      <c r="G132" s="247">
        <f>Итоговая!AE133</f>
        <v>0</v>
      </c>
      <c r="H132" s="247">
        <f>Итоговая!AF133</f>
        <v>0</v>
      </c>
      <c r="I132" s="2405">
        <f>Итоговая!AP133</f>
        <v>7.6251086956521741</v>
      </c>
      <c r="J132" s="2405" t="str">
        <f>Итоговая!AQ133</f>
        <v>открыт</v>
      </c>
      <c r="K132" s="907" t="str">
        <f>Итоговая!AR133</f>
        <v>открыт</v>
      </c>
      <c r="L132" s="907">
        <f>Итоговая!AS133</f>
        <v>37.665631469979296</v>
      </c>
      <c r="M132" s="907"/>
      <c r="N132" s="907"/>
    </row>
    <row r="133" spans="1:14" hidden="1" x14ac:dyDescent="0.25">
      <c r="A133" s="2419">
        <f>Итоговая!Y134</f>
        <v>0</v>
      </c>
      <c r="B133" s="2440"/>
      <c r="C133" s="212" t="str">
        <f>Итоговая!AA134</f>
        <v xml:space="preserve">Ном. Мощность СН, МВА </v>
      </c>
      <c r="D133" s="246">
        <f>Итоговая!AB134</f>
        <v>10</v>
      </c>
      <c r="E133" s="247" t="str">
        <f>Итоговая!AC134</f>
        <v>+</v>
      </c>
      <c r="F133" s="247">
        <f>Итоговая!AD134</f>
        <v>10</v>
      </c>
      <c r="G133" s="247">
        <f>Итоговая!AE134</f>
        <v>0</v>
      </c>
      <c r="H133" s="247">
        <f>Итоговая!AF134</f>
        <v>0</v>
      </c>
      <c r="I133" s="2406">
        <f>Итоговая!AP134</f>
        <v>0</v>
      </c>
      <c r="J133" s="2406" t="str">
        <f>Итоговая!AQ134</f>
        <v>открыт</v>
      </c>
      <c r="K133" s="907" t="str">
        <f>Итоговая!AR134</f>
        <v>открыт</v>
      </c>
      <c r="L133" s="907">
        <f>Итоговая!AS134</f>
        <v>0</v>
      </c>
      <c r="M133" s="907"/>
      <c r="N133" s="907"/>
    </row>
    <row r="134" spans="1:14" hidden="1" x14ac:dyDescent="0.25">
      <c r="A134" s="2419">
        <f>Итоговая!Y135</f>
        <v>0</v>
      </c>
      <c r="B134" s="2441"/>
      <c r="C134" s="212" t="str">
        <f>Итоговая!AA135</f>
        <v>Ном. мощность НН, МВА</v>
      </c>
      <c r="D134" s="230">
        <f>Итоговая!AB135</f>
        <v>10</v>
      </c>
      <c r="E134" s="229" t="str">
        <f>Итоговая!AC135</f>
        <v>+</v>
      </c>
      <c r="F134" s="229">
        <f>Итоговая!AD135</f>
        <v>10</v>
      </c>
      <c r="G134" s="229">
        <f>Итоговая!AE135</f>
        <v>0</v>
      </c>
      <c r="H134" s="229">
        <f>Итоговая!AF135</f>
        <v>0</v>
      </c>
      <c r="I134" s="2407">
        <f>Итоговая!AP135</f>
        <v>0</v>
      </c>
      <c r="J134" s="2407" t="str">
        <f>Итоговая!AQ135</f>
        <v>открыт</v>
      </c>
      <c r="K134" s="907" t="str">
        <f>Итоговая!AR135</f>
        <v>открыт</v>
      </c>
      <c r="L134" s="907">
        <f>Итоговая!AS135</f>
        <v>0</v>
      </c>
      <c r="M134" s="907"/>
      <c r="N134" s="907"/>
    </row>
    <row r="135" spans="1:14" hidden="1" x14ac:dyDescent="0.25">
      <c r="A135" s="2419">
        <f>Итоговая!Y136</f>
        <v>104</v>
      </c>
      <c r="B135" s="2423">
        <f>COUNTIFS($C$8:C135,"*ПС*",$J$8:J135,"*закрыт*")</f>
        <v>14</v>
      </c>
      <c r="C135" s="212" t="str">
        <f>Итоговая!AA136</f>
        <v xml:space="preserve">ПС 110/35/6 кВ Вышний Волочек </v>
      </c>
      <c r="D135" s="230">
        <f>Итоговая!AB136</f>
        <v>40</v>
      </c>
      <c r="E135" s="229" t="str">
        <f>Итоговая!AC136</f>
        <v>+</v>
      </c>
      <c r="F135" s="229">
        <f>Итоговая!AD136</f>
        <v>40</v>
      </c>
      <c r="G135" s="229">
        <f>Итоговая!AE136</f>
        <v>0</v>
      </c>
      <c r="H135" s="229">
        <f>Итоговая!AF136</f>
        <v>0</v>
      </c>
      <c r="I135" s="2405">
        <f>Итоговая!AP136</f>
        <v>18.174250000000001</v>
      </c>
      <c r="J135" s="2405" t="str">
        <f>Итоговая!AQ136</f>
        <v>открыт</v>
      </c>
      <c r="K135" s="907" t="str">
        <f>Итоговая!AR136</f>
        <v>открыт</v>
      </c>
      <c r="L135" s="907">
        <f>Итоговая!AS136</f>
        <v>56.727976190476184</v>
      </c>
      <c r="M135" s="907"/>
      <c r="N135" s="907"/>
    </row>
    <row r="136" spans="1:14" hidden="1" x14ac:dyDescent="0.25">
      <c r="A136" s="2419">
        <f>Итоговая!Y137</f>
        <v>0</v>
      </c>
      <c r="B136" s="2440"/>
      <c r="C136" s="212" t="str">
        <f>Итоговая!AA137</f>
        <v xml:space="preserve">Ном. Мощность СН, МВА </v>
      </c>
      <c r="D136" s="230">
        <f>Итоговая!AB137</f>
        <v>40</v>
      </c>
      <c r="E136" s="229" t="str">
        <f>Итоговая!AC137</f>
        <v>+</v>
      </c>
      <c r="F136" s="229">
        <f>Итоговая!AD137</f>
        <v>40</v>
      </c>
      <c r="G136" s="229">
        <f>Итоговая!AE137</f>
        <v>0</v>
      </c>
      <c r="H136" s="229">
        <f>Итоговая!AF137</f>
        <v>0</v>
      </c>
      <c r="I136" s="2406">
        <f>Итоговая!AP137</f>
        <v>0</v>
      </c>
      <c r="J136" s="2406" t="str">
        <f>Итоговая!AQ137</f>
        <v>открыт</v>
      </c>
      <c r="K136" s="907" t="str">
        <f>Итоговая!AR137</f>
        <v>открыт</v>
      </c>
      <c r="L136" s="907">
        <f>Итоговая!AS137</f>
        <v>0</v>
      </c>
      <c r="M136" s="907"/>
      <c r="N136" s="907"/>
    </row>
    <row r="137" spans="1:14" hidden="1" x14ac:dyDescent="0.25">
      <c r="A137" s="2419">
        <f>Итоговая!Y138</f>
        <v>0</v>
      </c>
      <c r="B137" s="2441"/>
      <c r="C137" s="212" t="str">
        <f>Итоговая!AA138</f>
        <v>Ном. мощность НН, МВА</v>
      </c>
      <c r="D137" s="230">
        <f>Итоговая!AB138</f>
        <v>40</v>
      </c>
      <c r="E137" s="229" t="str">
        <f>Итоговая!AC138</f>
        <v>+</v>
      </c>
      <c r="F137" s="229">
        <f>Итоговая!AD138</f>
        <v>40</v>
      </c>
      <c r="G137" s="229">
        <f>Итоговая!AE138</f>
        <v>0</v>
      </c>
      <c r="H137" s="229">
        <f>Итоговая!AF138</f>
        <v>0</v>
      </c>
      <c r="I137" s="2407">
        <f>Итоговая!AP138</f>
        <v>0</v>
      </c>
      <c r="J137" s="2407" t="str">
        <f>Итоговая!AQ138</f>
        <v>открыт</v>
      </c>
      <c r="K137" s="907" t="str">
        <f>Итоговая!AR138</f>
        <v>открыт</v>
      </c>
      <c r="L137" s="907">
        <f>Итоговая!AS138</f>
        <v>0</v>
      </c>
      <c r="M137" s="907"/>
      <c r="N137" s="907"/>
    </row>
    <row r="138" spans="1:14" hidden="1" x14ac:dyDescent="0.25">
      <c r="A138" s="2423">
        <f>Итоговая!Y139</f>
        <v>105</v>
      </c>
      <c r="B138" s="2423">
        <f>COUNTIFS($C$8:C138,"*ПС*",$J$8:J138,"*закрыт*")</f>
        <v>14</v>
      </c>
      <c r="C138" s="212" t="str">
        <f>Итоговая!AA139</f>
        <v xml:space="preserve">ПС 110/35/10-6 кВ Кашарово </v>
      </c>
      <c r="D138" s="230">
        <f>Итоговая!AB139</f>
        <v>25</v>
      </c>
      <c r="E138" s="229" t="str">
        <f>Итоговая!AC139</f>
        <v>+</v>
      </c>
      <c r="F138" s="229">
        <f>Итоговая!AD139</f>
        <v>20</v>
      </c>
      <c r="G138" s="229">
        <f>Итоговая!AE139</f>
        <v>0</v>
      </c>
      <c r="H138" s="229">
        <f>Итоговая!AF139</f>
        <v>0</v>
      </c>
      <c r="I138" s="2405">
        <f>Итоговая!AP139</f>
        <v>11.787391304347826</v>
      </c>
      <c r="J138" s="2405" t="str">
        <f>Итоговая!AQ139</f>
        <v>открыт</v>
      </c>
      <c r="K138" s="907" t="str">
        <f>Итоговая!AR139</f>
        <v>открыт</v>
      </c>
      <c r="L138" s="907">
        <f>Итоговая!AS139</f>
        <v>59.774327122153203</v>
      </c>
      <c r="M138" s="907"/>
      <c r="N138" s="907"/>
    </row>
    <row r="139" spans="1:14" hidden="1" x14ac:dyDescent="0.25">
      <c r="A139" s="2440">
        <f>Итоговая!Y140</f>
        <v>0</v>
      </c>
      <c r="B139" s="2440"/>
      <c r="C139" s="212" t="str">
        <f>Итоговая!AA140</f>
        <v xml:space="preserve">Ном. Мощность СН, МВА </v>
      </c>
      <c r="D139" s="230">
        <f>Итоговая!AB140</f>
        <v>25</v>
      </c>
      <c r="E139" s="229" t="str">
        <f>Итоговая!AC140</f>
        <v>+</v>
      </c>
      <c r="F139" s="229">
        <f>Итоговая!AD140</f>
        <v>20</v>
      </c>
      <c r="G139" s="229">
        <f>Итоговая!AE140</f>
        <v>0</v>
      </c>
      <c r="H139" s="229">
        <f>Итоговая!AF140</f>
        <v>0</v>
      </c>
      <c r="I139" s="2406">
        <f>Итоговая!AP140</f>
        <v>0</v>
      </c>
      <c r="J139" s="2406" t="str">
        <f>Итоговая!AQ140</f>
        <v>открыт</v>
      </c>
      <c r="K139" s="907" t="str">
        <f>Итоговая!AR140</f>
        <v>открыт</v>
      </c>
      <c r="L139" s="907">
        <f>Итоговая!AS140</f>
        <v>0</v>
      </c>
      <c r="M139" s="907"/>
      <c r="N139" s="907"/>
    </row>
    <row r="140" spans="1:14" hidden="1" x14ac:dyDescent="0.25">
      <c r="A140" s="2441">
        <f>Итоговая!Y141</f>
        <v>0</v>
      </c>
      <c r="B140" s="2441"/>
      <c r="C140" s="212" t="str">
        <f>Итоговая!AA141</f>
        <v>Ном. мощность НН, МВА</v>
      </c>
      <c r="D140" s="230">
        <f>Итоговая!AB141</f>
        <v>25</v>
      </c>
      <c r="E140" s="229" t="str">
        <f>Итоговая!AC141</f>
        <v>+</v>
      </c>
      <c r="F140" s="229">
        <f>Итоговая!AD141</f>
        <v>20</v>
      </c>
      <c r="G140" s="229">
        <f>Итоговая!AE141</f>
        <v>0</v>
      </c>
      <c r="H140" s="229">
        <f>Итоговая!AF141</f>
        <v>0</v>
      </c>
      <c r="I140" s="2407">
        <f>Итоговая!AP141</f>
        <v>0</v>
      </c>
      <c r="J140" s="2407" t="str">
        <f>Итоговая!AQ141</f>
        <v>открыт</v>
      </c>
      <c r="K140" s="907" t="str">
        <f>Итоговая!AR141</f>
        <v>открыт</v>
      </c>
      <c r="L140" s="907">
        <f>Итоговая!AS141</f>
        <v>0</v>
      </c>
      <c r="M140" s="907"/>
      <c r="N140" s="907"/>
    </row>
    <row r="141" spans="1:14" hidden="1" x14ac:dyDescent="0.25">
      <c r="A141" s="2419">
        <f>Итоговая!Y142</f>
        <v>106</v>
      </c>
      <c r="B141" s="2423">
        <f>COUNTIFS($C$8:C141,"*ПС*",$J$8:J141,"*закрыт*")</f>
        <v>14</v>
      </c>
      <c r="C141" s="212" t="str">
        <f>Итоговая!AA142</f>
        <v xml:space="preserve">ПС 110/35/10 кВ Спирово </v>
      </c>
      <c r="D141" s="230">
        <f>Итоговая!AB142</f>
        <v>16</v>
      </c>
      <c r="E141" s="229" t="str">
        <f>Итоговая!AC142</f>
        <v>+</v>
      </c>
      <c r="F141" s="229">
        <f>Итоговая!AD142</f>
        <v>16</v>
      </c>
      <c r="G141" s="229">
        <f>Итоговая!AE142</f>
        <v>0</v>
      </c>
      <c r="H141" s="229">
        <f>Итоговая!AF142</f>
        <v>0</v>
      </c>
      <c r="I141" s="2405">
        <f>Итоговая!AP142</f>
        <v>14.237717391304349</v>
      </c>
      <c r="J141" s="2405" t="str">
        <f>Итоговая!AQ142</f>
        <v>открыт</v>
      </c>
      <c r="K141" s="907" t="str">
        <f>Итоговая!AR142</f>
        <v>открыт</v>
      </c>
      <c r="L141" s="907">
        <f>Итоговая!AS142</f>
        <v>15.251682194616979</v>
      </c>
      <c r="M141" s="907"/>
      <c r="N141" s="907"/>
    </row>
    <row r="142" spans="1:14" hidden="1" x14ac:dyDescent="0.25">
      <c r="A142" s="2419">
        <f>Итоговая!Y143</f>
        <v>0</v>
      </c>
      <c r="B142" s="2440"/>
      <c r="C142" s="212" t="str">
        <f>Итоговая!AA143</f>
        <v xml:space="preserve">Ном. Мощность СН, МВА </v>
      </c>
      <c r="D142" s="230">
        <f>Итоговая!AB143</f>
        <v>16</v>
      </c>
      <c r="E142" s="229" t="str">
        <f>Итоговая!AC143</f>
        <v>+</v>
      </c>
      <c r="F142" s="229">
        <f>Итоговая!AD143</f>
        <v>16</v>
      </c>
      <c r="G142" s="229">
        <f>Итоговая!AE143</f>
        <v>0</v>
      </c>
      <c r="H142" s="229">
        <f>Итоговая!AF143</f>
        <v>0</v>
      </c>
      <c r="I142" s="2406">
        <f>Итоговая!AP143</f>
        <v>0</v>
      </c>
      <c r="J142" s="2406" t="str">
        <f>Итоговая!AQ143</f>
        <v>открыт</v>
      </c>
      <c r="K142" s="907" t="str">
        <f>Итоговая!AR143</f>
        <v>открыт</v>
      </c>
      <c r="L142" s="907">
        <f>Итоговая!AS143</f>
        <v>0</v>
      </c>
      <c r="M142" s="907"/>
      <c r="N142" s="907"/>
    </row>
    <row r="143" spans="1:14" hidden="1" x14ac:dyDescent="0.25">
      <c r="A143" s="2419">
        <f>Итоговая!Y144</f>
        <v>0</v>
      </c>
      <c r="B143" s="2441"/>
      <c r="C143" s="212" t="str">
        <f>Итоговая!AA144</f>
        <v>Ном. мощность НН, МВА</v>
      </c>
      <c r="D143" s="230">
        <f>Итоговая!AB144</f>
        <v>16</v>
      </c>
      <c r="E143" s="229" t="str">
        <f>Итоговая!AC144</f>
        <v>+</v>
      </c>
      <c r="F143" s="229">
        <f>Итоговая!AD144</f>
        <v>16</v>
      </c>
      <c r="G143" s="229">
        <f>Итоговая!AE144</f>
        <v>0</v>
      </c>
      <c r="H143" s="229">
        <f>Итоговая!AF144</f>
        <v>0</v>
      </c>
      <c r="I143" s="2407">
        <f>Итоговая!AP144</f>
        <v>0</v>
      </c>
      <c r="J143" s="2407" t="str">
        <f>Итоговая!AQ144</f>
        <v>открыт</v>
      </c>
      <c r="K143" s="907" t="str">
        <f>Итоговая!AR144</f>
        <v>открыт</v>
      </c>
      <c r="L143" s="907">
        <f>Итоговая!AS144</f>
        <v>0</v>
      </c>
      <c r="M143" s="907"/>
      <c r="N143" s="907"/>
    </row>
    <row r="144" spans="1:14" hidden="1" x14ac:dyDescent="0.25">
      <c r="A144" s="2419">
        <f>Итоговая!Y145</f>
        <v>107</v>
      </c>
      <c r="B144" s="2423">
        <f>COUNTIFS($C$8:C144,"*ПС*",$J$8:J144,"*закрыт*")</f>
        <v>14</v>
      </c>
      <c r="C144" s="212" t="str">
        <f>Итоговая!AA145</f>
        <v>ПС 110/35/10 кВ Труд</v>
      </c>
      <c r="D144" s="230">
        <f>Итоговая!AB145</f>
        <v>16</v>
      </c>
      <c r="E144" s="229" t="str">
        <f>Итоговая!AC145</f>
        <v>+</v>
      </c>
      <c r="F144" s="229">
        <f>Итоговая!AD145</f>
        <v>16</v>
      </c>
      <c r="G144" s="229">
        <f>Итоговая!AE145</f>
        <v>0</v>
      </c>
      <c r="H144" s="229">
        <f>Итоговая!AF145</f>
        <v>0</v>
      </c>
      <c r="I144" s="2405">
        <f>Итоговая!AP145</f>
        <v>15.648695652173913</v>
      </c>
      <c r="J144" s="2405" t="str">
        <f>Итоговая!AQ145</f>
        <v>открыт</v>
      </c>
      <c r="K144" s="907" t="str">
        <f>Итоговая!AR145</f>
        <v>открыт</v>
      </c>
      <c r="L144" s="907">
        <f>Итоговая!AS145</f>
        <v>23.162525879917183</v>
      </c>
      <c r="M144" s="907"/>
      <c r="N144" s="907"/>
    </row>
    <row r="145" spans="1:14" hidden="1" x14ac:dyDescent="0.25">
      <c r="A145" s="2419">
        <f>Итоговая!Y146</f>
        <v>0</v>
      </c>
      <c r="B145" s="2440"/>
      <c r="C145" s="212" t="str">
        <f>Итоговая!AA146</f>
        <v xml:space="preserve">Ном. Мощность СН, МВА </v>
      </c>
      <c r="D145" s="230">
        <f>Итоговая!AB146</f>
        <v>16</v>
      </c>
      <c r="E145" s="229" t="str">
        <f>Итоговая!AC146</f>
        <v>+</v>
      </c>
      <c r="F145" s="229">
        <f>Итоговая!AD146</f>
        <v>16</v>
      </c>
      <c r="G145" s="229">
        <f>Итоговая!AE146</f>
        <v>0</v>
      </c>
      <c r="H145" s="229">
        <f>Итоговая!AF146</f>
        <v>0</v>
      </c>
      <c r="I145" s="2406">
        <f>Итоговая!AP146</f>
        <v>0</v>
      </c>
      <c r="J145" s="2406" t="str">
        <f>Итоговая!AQ146</f>
        <v>открыт</v>
      </c>
      <c r="K145" s="907" t="str">
        <f>Итоговая!AR146</f>
        <v>открыт</v>
      </c>
      <c r="L145" s="907">
        <f>Итоговая!AS146</f>
        <v>0</v>
      </c>
      <c r="M145" s="907"/>
      <c r="N145" s="907"/>
    </row>
    <row r="146" spans="1:14" hidden="1" x14ac:dyDescent="0.25">
      <c r="A146" s="2419">
        <f>Итоговая!Y147</f>
        <v>0</v>
      </c>
      <c r="B146" s="2441"/>
      <c r="C146" s="212" t="str">
        <f>Итоговая!AA147</f>
        <v>Ном. мощность НН, МВА</v>
      </c>
      <c r="D146" s="230">
        <f>Итоговая!AB147</f>
        <v>16</v>
      </c>
      <c r="E146" s="229" t="str">
        <f>Итоговая!AC147</f>
        <v>+</v>
      </c>
      <c r="F146" s="229">
        <f>Итоговая!AD147</f>
        <v>16</v>
      </c>
      <c r="G146" s="229">
        <f>Итоговая!AE147</f>
        <v>0</v>
      </c>
      <c r="H146" s="229">
        <f>Итоговая!AF147</f>
        <v>0</v>
      </c>
      <c r="I146" s="2407">
        <f>Итоговая!AP147</f>
        <v>0</v>
      </c>
      <c r="J146" s="2407" t="str">
        <f>Итоговая!AQ147</f>
        <v>открыт</v>
      </c>
      <c r="K146" s="907" t="str">
        <f>Итоговая!AR147</f>
        <v>открыт</v>
      </c>
      <c r="L146" s="907">
        <f>Итоговая!AS147</f>
        <v>0</v>
      </c>
      <c r="M146" s="907"/>
      <c r="N146" s="907"/>
    </row>
    <row r="147" spans="1:14" hidden="1" x14ac:dyDescent="0.25">
      <c r="A147" s="2419">
        <f>Итоговая!Y148</f>
        <v>108</v>
      </c>
      <c r="B147" s="2423">
        <f>COUNTIFS($C$8:C147,"*ПС*",$J$8:J147,"*закрыт*")</f>
        <v>14</v>
      </c>
      <c r="C147" s="212" t="str">
        <f>Итоговая!AA148</f>
        <v xml:space="preserve">ПС 110/35/10 кВ Удомля  </v>
      </c>
      <c r="D147" s="230">
        <f>Итоговая!AB148</f>
        <v>25</v>
      </c>
      <c r="E147" s="229" t="str">
        <f>Итоговая!AC148</f>
        <v>+</v>
      </c>
      <c r="F147" s="229">
        <f>Итоговая!AD148</f>
        <v>25</v>
      </c>
      <c r="G147" s="229">
        <f>Итоговая!AE148</f>
        <v>0</v>
      </c>
      <c r="H147" s="229">
        <f>Итоговая!AF148</f>
        <v>0</v>
      </c>
      <c r="I147" s="2405">
        <f>Итоговая!AP148</f>
        <v>16.059673913043479</v>
      </c>
      <c r="J147" s="2405" t="str">
        <f>Итоговая!AQ148</f>
        <v>открыт</v>
      </c>
      <c r="K147" s="907" t="str">
        <f>Итоговая!AR148</f>
        <v>открыт</v>
      </c>
      <c r="L147" s="907">
        <f>Итоговая!AS148</f>
        <v>65.410766045548655</v>
      </c>
      <c r="M147" s="907"/>
      <c r="N147" s="907"/>
    </row>
    <row r="148" spans="1:14" hidden="1" x14ac:dyDescent="0.25">
      <c r="A148" s="2419">
        <f>Итоговая!Y149</f>
        <v>0</v>
      </c>
      <c r="B148" s="2440"/>
      <c r="C148" s="212" t="str">
        <f>Итоговая!AA149</f>
        <v xml:space="preserve">Ном. Мощность СН, МВА </v>
      </c>
      <c r="D148" s="230">
        <f>Итоговая!AB149</f>
        <v>25</v>
      </c>
      <c r="E148" s="229" t="str">
        <f>Итоговая!AC149</f>
        <v>+</v>
      </c>
      <c r="F148" s="229">
        <f>Итоговая!AD149</f>
        <v>25</v>
      </c>
      <c r="G148" s="229">
        <f>Итоговая!AE149</f>
        <v>0</v>
      </c>
      <c r="H148" s="229">
        <f>Итоговая!AF149</f>
        <v>0</v>
      </c>
      <c r="I148" s="2406">
        <f>Итоговая!AP149</f>
        <v>0</v>
      </c>
      <c r="J148" s="2406" t="str">
        <f>Итоговая!AQ149</f>
        <v>открыт</v>
      </c>
      <c r="K148" s="907" t="str">
        <f>Итоговая!AR149</f>
        <v>открыт</v>
      </c>
      <c r="L148" s="907">
        <f>Итоговая!AS149</f>
        <v>0</v>
      </c>
      <c r="M148" s="907"/>
      <c r="N148" s="907"/>
    </row>
    <row r="149" spans="1:14" hidden="1" x14ac:dyDescent="0.25">
      <c r="A149" s="2419">
        <f>Итоговая!Y150</f>
        <v>0</v>
      </c>
      <c r="B149" s="2441"/>
      <c r="C149" s="212" t="str">
        <f>Итоговая!AA150</f>
        <v>Ном. мощность НН, МВА</v>
      </c>
      <c r="D149" s="230">
        <f>Итоговая!AB150</f>
        <v>25</v>
      </c>
      <c r="E149" s="229" t="str">
        <f>Итоговая!AC150</f>
        <v>+</v>
      </c>
      <c r="F149" s="229">
        <f>Итоговая!AD150</f>
        <v>25</v>
      </c>
      <c r="G149" s="229">
        <f>Итоговая!AE150</f>
        <v>0</v>
      </c>
      <c r="H149" s="229">
        <f>Итоговая!AF150</f>
        <v>0</v>
      </c>
      <c r="I149" s="2407">
        <f>Итоговая!AP150</f>
        <v>0</v>
      </c>
      <c r="J149" s="2407" t="str">
        <f>Итоговая!AQ150</f>
        <v>открыт</v>
      </c>
      <c r="K149" s="907" t="str">
        <f>Итоговая!AR150</f>
        <v>открыт</v>
      </c>
      <c r="L149" s="907">
        <f>Итоговая!AS150</f>
        <v>0</v>
      </c>
      <c r="M149" s="907"/>
      <c r="N149" s="907"/>
    </row>
    <row r="150" spans="1:14" hidden="1" x14ac:dyDescent="0.25">
      <c r="A150" s="2419">
        <f>Итоговая!Y151</f>
        <v>109</v>
      </c>
      <c r="B150" s="2423">
        <f>COUNTIFS($C$8:C150,"*ПС*",$J$8:J150,"*закрыт*")</f>
        <v>14</v>
      </c>
      <c r="C150" s="212" t="str">
        <f>Итоговая!AA151</f>
        <v xml:space="preserve">ПС 110/35/10 кВ Холохоленка </v>
      </c>
      <c r="D150" s="230">
        <f>Итоговая!AB151</f>
        <v>6.3</v>
      </c>
      <c r="E150" s="229" t="str">
        <f>Итоговая!AC151</f>
        <v>+</v>
      </c>
      <c r="F150" s="229">
        <f>Итоговая!AD151</f>
        <v>6.3</v>
      </c>
      <c r="G150" s="229">
        <f>Итоговая!AE151</f>
        <v>0</v>
      </c>
      <c r="H150" s="229">
        <f>Итоговая!AF151</f>
        <v>0</v>
      </c>
      <c r="I150" s="2405">
        <f>Итоговая!AP151</f>
        <v>4.2649999999999997</v>
      </c>
      <c r="J150" s="2405" t="str">
        <f>Итоговая!AQ151</f>
        <v>открыт</v>
      </c>
      <c r="K150" s="907" t="str">
        <f>Итоговая!AR151</f>
        <v>открыт</v>
      </c>
      <c r="L150" s="907">
        <f>Итоговая!AS151</f>
        <v>53.061224489795919</v>
      </c>
      <c r="M150" s="907"/>
      <c r="N150" s="907"/>
    </row>
    <row r="151" spans="1:14" hidden="1" x14ac:dyDescent="0.25">
      <c r="A151" s="2419">
        <f>Итоговая!Y152</f>
        <v>0</v>
      </c>
      <c r="B151" s="2440"/>
      <c r="C151" s="212" t="str">
        <f>Итоговая!AA152</f>
        <v xml:space="preserve">Ном. Мощность СН, МВА </v>
      </c>
      <c r="D151" s="230">
        <f>Итоговая!AB152</f>
        <v>6.3</v>
      </c>
      <c r="E151" s="229" t="str">
        <f>Итоговая!AC152</f>
        <v>+</v>
      </c>
      <c r="F151" s="229">
        <f>Итоговая!AD152</f>
        <v>6.3</v>
      </c>
      <c r="G151" s="229">
        <f>Итоговая!AE152</f>
        <v>0</v>
      </c>
      <c r="H151" s="229">
        <f>Итоговая!AF152</f>
        <v>0</v>
      </c>
      <c r="I151" s="2406">
        <f>Итоговая!AP152</f>
        <v>0</v>
      </c>
      <c r="J151" s="2406" t="str">
        <f>Итоговая!AQ152</f>
        <v>открыт</v>
      </c>
      <c r="K151" s="907" t="str">
        <f>Итоговая!AR152</f>
        <v>открыт</v>
      </c>
      <c r="L151" s="907">
        <f>Итоговая!AS152</f>
        <v>0</v>
      </c>
      <c r="M151" s="907"/>
      <c r="N151" s="907"/>
    </row>
    <row r="152" spans="1:14" hidden="1" x14ac:dyDescent="0.25">
      <c r="A152" s="2419">
        <f>Итоговая!Y153</f>
        <v>0</v>
      </c>
      <c r="B152" s="2441"/>
      <c r="C152" s="212" t="str">
        <f>Итоговая!AA153</f>
        <v>Ном. мощность НН, МВА</v>
      </c>
      <c r="D152" s="230">
        <f>Итоговая!AB153</f>
        <v>6.3</v>
      </c>
      <c r="E152" s="229" t="str">
        <f>Итоговая!AC153</f>
        <v>+</v>
      </c>
      <c r="F152" s="229">
        <f>Итоговая!AD153</f>
        <v>6.3</v>
      </c>
      <c r="G152" s="229">
        <f>Итоговая!AE153</f>
        <v>0</v>
      </c>
      <c r="H152" s="229">
        <f>Итоговая!AF153</f>
        <v>0</v>
      </c>
      <c r="I152" s="2407">
        <f>Итоговая!AP153</f>
        <v>0</v>
      </c>
      <c r="J152" s="2407" t="str">
        <f>Итоговая!AQ153</f>
        <v>открыт</v>
      </c>
      <c r="K152" s="907" t="str">
        <f>Итоговая!AR153</f>
        <v>открыт</v>
      </c>
      <c r="L152" s="907">
        <f>Итоговая!AS153</f>
        <v>0</v>
      </c>
      <c r="M152" s="907"/>
      <c r="N152" s="907"/>
    </row>
    <row r="153" spans="1:14" hidden="1" x14ac:dyDescent="0.25">
      <c r="A153" s="2423">
        <f>Итоговая!Y154</f>
        <v>110</v>
      </c>
      <c r="B153" s="2423">
        <f>COUNTIFS($C$8:C153,"*ПС*",$J$8:J153,"*закрыт*")</f>
        <v>14</v>
      </c>
      <c r="C153" s="228" t="str">
        <f>Итоговая!AA154</f>
        <v xml:space="preserve">ПС 110/35/10 кВ Леонтьево </v>
      </c>
      <c r="D153" s="230">
        <f>Итоговая!AB154</f>
        <v>25</v>
      </c>
      <c r="E153" s="229" t="str">
        <f>Итоговая!AC154</f>
        <v>+</v>
      </c>
      <c r="F153" s="229">
        <f>Итоговая!AD154</f>
        <v>25</v>
      </c>
      <c r="G153" s="229">
        <f>Итоговая!AE154</f>
        <v>0</v>
      </c>
      <c r="H153" s="229">
        <f>Итоговая!AF154</f>
        <v>0</v>
      </c>
      <c r="I153" s="2405">
        <f>Итоговая!AP154</f>
        <v>22.33</v>
      </c>
      <c r="J153" s="2405" t="str">
        <f>Итоговая!AQ154</f>
        <v>открыт</v>
      </c>
      <c r="K153" s="907" t="str">
        <f>Итоговая!AR154</f>
        <v>открыт</v>
      </c>
      <c r="L153" s="907">
        <f>Итоговая!AS154</f>
        <v>17.295238095238094</v>
      </c>
      <c r="M153" s="907"/>
      <c r="N153" s="907"/>
    </row>
    <row r="154" spans="1:14" hidden="1" x14ac:dyDescent="0.25">
      <c r="A154" s="2424">
        <f>Итоговая!Y155</f>
        <v>0</v>
      </c>
      <c r="B154" s="2440"/>
      <c r="C154" s="228" t="str">
        <f>Итоговая!AA155</f>
        <v xml:space="preserve">Ном. Мощность СН, МВА </v>
      </c>
      <c r="D154" s="230">
        <f>Итоговая!AB155</f>
        <v>25</v>
      </c>
      <c r="E154" s="229" t="str">
        <f>Итоговая!AC155</f>
        <v>+</v>
      </c>
      <c r="F154" s="229">
        <f>Итоговая!AD155</f>
        <v>25</v>
      </c>
      <c r="G154" s="229">
        <f>Итоговая!AE155</f>
        <v>0</v>
      </c>
      <c r="H154" s="229">
        <f>Итоговая!AF155</f>
        <v>0</v>
      </c>
      <c r="I154" s="2406">
        <f>Итоговая!AP155</f>
        <v>0</v>
      </c>
      <c r="J154" s="2406" t="str">
        <f>Итоговая!AQ155</f>
        <v>открыт</v>
      </c>
      <c r="K154" s="907" t="str">
        <f>Итоговая!AR155</f>
        <v>открыт</v>
      </c>
      <c r="L154" s="907">
        <f>Итоговая!AS155</f>
        <v>0</v>
      </c>
      <c r="M154" s="907"/>
      <c r="N154" s="907"/>
    </row>
    <row r="155" spans="1:14" hidden="1" x14ac:dyDescent="0.25">
      <c r="A155" s="2425">
        <f>Итоговая!Y156</f>
        <v>0</v>
      </c>
      <c r="B155" s="2441"/>
      <c r="C155" s="228" t="str">
        <f>Итоговая!AA156</f>
        <v>Ном. мощность НН, МВА</v>
      </c>
      <c r="D155" s="230">
        <f>Итоговая!AB156</f>
        <v>25</v>
      </c>
      <c r="E155" s="229" t="str">
        <f>Итоговая!AC156</f>
        <v>+</v>
      </c>
      <c r="F155" s="229">
        <f>Итоговая!AD156</f>
        <v>25</v>
      </c>
      <c r="G155" s="229">
        <f>Итоговая!AE156</f>
        <v>0</v>
      </c>
      <c r="H155" s="229">
        <f>Итоговая!AF156</f>
        <v>0</v>
      </c>
      <c r="I155" s="2407">
        <f>Итоговая!AP156</f>
        <v>0</v>
      </c>
      <c r="J155" s="2407" t="str">
        <f>Итоговая!AQ156</f>
        <v>открыт</v>
      </c>
      <c r="K155" s="907" t="str">
        <f>Итоговая!AR156</f>
        <v>открыт</v>
      </c>
      <c r="L155" s="907">
        <f>Итоговая!AS156</f>
        <v>0</v>
      </c>
      <c r="M155" s="907"/>
      <c r="N155" s="907"/>
    </row>
    <row r="156" spans="1:14" x14ac:dyDescent="0.25">
      <c r="A156" s="84">
        <f>Итоговая!Y157</f>
        <v>111</v>
      </c>
      <c r="B156" s="2260">
        <f>COUNTIFS($C$8:C156,"*ПС*",$J$8:J156,"*закрыт*")</f>
        <v>15</v>
      </c>
      <c r="C156" s="84" t="str">
        <f>Итоговая!AA157</f>
        <v xml:space="preserve">ПС  35/6 кВ Микрорайонная </v>
      </c>
      <c r="D156" s="230">
        <f>Итоговая!AB157</f>
        <v>6.3</v>
      </c>
      <c r="E156" s="229">
        <f>Итоговая!AC157</f>
        <v>0</v>
      </c>
      <c r="F156" s="229">
        <f>Итоговая!AD157</f>
        <v>0</v>
      </c>
      <c r="G156" s="229">
        <f>Итоговая!AE157</f>
        <v>0</v>
      </c>
      <c r="H156" s="229">
        <f>Итоговая!AF157</f>
        <v>0</v>
      </c>
      <c r="I156" s="2133">
        <f>Итоговая!AP157</f>
        <v>-1.7683695652173916</v>
      </c>
      <c r="J156" s="23" t="str">
        <f>Итоговая!AQ157</f>
        <v>закрыт</v>
      </c>
      <c r="K156" s="907" t="str">
        <f>Итоговая!AR157</f>
        <v>закрыт</v>
      </c>
      <c r="L156" s="907">
        <f>Итоговая!AS157</f>
        <v>44.873311643497985</v>
      </c>
      <c r="M156" s="907"/>
      <c r="N156" s="907"/>
    </row>
    <row r="157" spans="1:14" hidden="1" x14ac:dyDescent="0.25">
      <c r="A157" s="84">
        <f>Итоговая!Y158</f>
        <v>112</v>
      </c>
      <c r="B157" s="1860">
        <f>COUNTIFS($C$8:C157,"*ПС*",$J$8:J157,"*закрыт*")</f>
        <v>15</v>
      </c>
      <c r="C157" s="84" t="str">
        <f>Итоговая!AA158</f>
        <v xml:space="preserve">ПС  35/10 кВ Барыково </v>
      </c>
      <c r="D157" s="230">
        <f>Итоговая!AB158</f>
        <v>2.5</v>
      </c>
      <c r="E157" s="229" t="str">
        <f>Итоговая!AC158</f>
        <v>+</v>
      </c>
      <c r="F157" s="229">
        <f>Итоговая!AD158</f>
        <v>2.5</v>
      </c>
      <c r="G157" s="229">
        <f>Итоговая!AE158</f>
        <v>0</v>
      </c>
      <c r="H157" s="229">
        <f>Итоговая!AF158</f>
        <v>0</v>
      </c>
      <c r="I157" s="23">
        <f>Итоговая!AP158</f>
        <v>1.2086956521739132</v>
      </c>
      <c r="J157" s="23" t="str">
        <f>Итоговая!AQ158</f>
        <v>открыт</v>
      </c>
      <c r="K157" s="907" t="str">
        <f>Итоговая!AR158</f>
        <v>открыт</v>
      </c>
      <c r="L157" s="907">
        <f>Итоговая!AS158</f>
        <v>53.954451345755693</v>
      </c>
      <c r="M157" s="907"/>
      <c r="N157" s="907"/>
    </row>
    <row r="158" spans="1:14" hidden="1" x14ac:dyDescent="0.25">
      <c r="A158" s="84">
        <f>Итоговая!Y159</f>
        <v>113</v>
      </c>
      <c r="B158" s="1860">
        <f>COUNTIFS($C$8:C158,"*ПС*",$J$8:J158,"*закрыт*")</f>
        <v>15</v>
      </c>
      <c r="C158" s="84" t="str">
        <f>Итоговая!AA159</f>
        <v xml:space="preserve">ПС  35/6 кВ Б.Городок </v>
      </c>
      <c r="D158" s="230">
        <f>Итоговая!AB159</f>
        <v>5.6</v>
      </c>
      <c r="E158" s="229" t="str">
        <f>Итоговая!AC159</f>
        <v>+</v>
      </c>
      <c r="F158" s="229">
        <f>Итоговая!AD159</f>
        <v>6.3</v>
      </c>
      <c r="G158" s="229">
        <f>Итоговая!AE159</f>
        <v>0</v>
      </c>
      <c r="H158" s="229">
        <f>Итоговая!AF159</f>
        <v>0</v>
      </c>
      <c r="I158" s="23">
        <f>Итоговая!AP159</f>
        <v>1.9011290322580643</v>
      </c>
      <c r="J158" s="23" t="str">
        <f>Итоговая!AQ159</f>
        <v>открыт</v>
      </c>
      <c r="K158" s="907" t="str">
        <f>Итоговая!AR159</f>
        <v>открыт</v>
      </c>
      <c r="L158" s="907">
        <f>Итоговая!AS159</f>
        <v>67.66787360105333</v>
      </c>
      <c r="M158" s="907"/>
      <c r="N158" s="907"/>
    </row>
    <row r="159" spans="1:14" hidden="1" x14ac:dyDescent="0.25">
      <c r="A159" s="84">
        <f>Итоговая!Y160</f>
        <v>114</v>
      </c>
      <c r="B159" s="752">
        <f>COUNTIFS($C$8:C159,"*ПС*",$J$8:J159,"*закрыт*")</f>
        <v>15</v>
      </c>
      <c r="C159" s="84" t="str">
        <f>Итоговая!AA160</f>
        <v xml:space="preserve">ПС 35/10 кВ Вега </v>
      </c>
      <c r="D159" s="230">
        <f>Итоговая!AB160</f>
        <v>2.5</v>
      </c>
      <c r="E159" s="229" t="str">
        <f>Итоговая!AC160</f>
        <v>+</v>
      </c>
      <c r="F159" s="229">
        <f>Итоговая!AD160</f>
        <v>2.5</v>
      </c>
      <c r="G159" s="229">
        <f>Итоговая!AE160</f>
        <v>0</v>
      </c>
      <c r="H159" s="229">
        <f>Итоговая!AF160</f>
        <v>0</v>
      </c>
      <c r="I159" s="23">
        <f>Итоговая!AP160</f>
        <v>0.66923913043478245</v>
      </c>
      <c r="J159" s="23" t="str">
        <f>Итоговая!AQ160</f>
        <v>открыт</v>
      </c>
      <c r="K159" s="907" t="str">
        <f>Итоговая!AR160</f>
        <v>открыт</v>
      </c>
      <c r="L159" s="907">
        <f>Итоговая!AS160</f>
        <v>74.505175983436857</v>
      </c>
      <c r="M159" s="907"/>
      <c r="N159" s="907"/>
    </row>
    <row r="160" spans="1:14" hidden="1" x14ac:dyDescent="0.25">
      <c r="A160" s="84">
        <f>Итоговая!Y161</f>
        <v>115</v>
      </c>
      <c r="B160" s="1133">
        <f>COUNTIFS($C$8:C160,"*ПС*",$J$8:J160,"*закрыт*")</f>
        <v>15</v>
      </c>
      <c r="C160" s="84" t="str">
        <f>Итоговая!AA161</f>
        <v xml:space="preserve"> ПС 35/10 кВ Волга </v>
      </c>
      <c r="D160" s="230">
        <f>Итоговая!AB161</f>
        <v>6.3</v>
      </c>
      <c r="E160" s="229" t="str">
        <f>Итоговая!AC161</f>
        <v>+</v>
      </c>
      <c r="F160" s="229">
        <f>Итоговая!AD161</f>
        <v>6.3</v>
      </c>
      <c r="G160" s="229">
        <f>Итоговая!AE161</f>
        <v>0</v>
      </c>
      <c r="H160" s="229">
        <f>Итоговая!AF161</f>
        <v>0</v>
      </c>
      <c r="I160" s="23">
        <f>Итоговая!AP161</f>
        <v>2.1150000000000002</v>
      </c>
      <c r="J160" s="23" t="str">
        <f>Итоговая!AQ161</f>
        <v>открыт</v>
      </c>
      <c r="K160" s="907" t="str">
        <f>Итоговая!AR161</f>
        <v>открыт</v>
      </c>
      <c r="L160" s="907">
        <f>Итоговая!AS161</f>
        <v>68.027210884353735</v>
      </c>
      <c r="M160" s="907"/>
      <c r="N160" s="907"/>
    </row>
    <row r="161" spans="1:14" hidden="1" x14ac:dyDescent="0.25">
      <c r="A161" s="84">
        <f>Итоговая!Y162</f>
        <v>116</v>
      </c>
      <c r="B161" s="1133">
        <f>COUNTIFS($C$8:C161,"*ПС*",$J$8:J161,"*закрыт*")</f>
        <v>15</v>
      </c>
      <c r="C161" s="84" t="str">
        <f>Итоговая!AA162</f>
        <v xml:space="preserve">ПС 35/10 кВ Ильинское </v>
      </c>
      <c r="D161" s="230">
        <f>Итоговая!AB162</f>
        <v>4</v>
      </c>
      <c r="E161" s="229" t="str">
        <f>Итоговая!AC162</f>
        <v>+</v>
      </c>
      <c r="F161" s="229">
        <f>Итоговая!AD162</f>
        <v>2.5</v>
      </c>
      <c r="G161" s="229">
        <f>Итоговая!AE162</f>
        <v>0</v>
      </c>
      <c r="H161" s="229">
        <f>Итоговая!AF162</f>
        <v>0</v>
      </c>
      <c r="I161" s="23">
        <f>Итоговая!AP162</f>
        <v>0.99239130434782608</v>
      </c>
      <c r="J161" s="23" t="str">
        <f>Итоговая!AQ162</f>
        <v>открыт</v>
      </c>
      <c r="K161" s="907" t="str">
        <f>Итоговая!AR162</f>
        <v>открыт</v>
      </c>
      <c r="L161" s="907">
        <f>Итоговая!AS162</f>
        <v>62.194616977225678</v>
      </c>
      <c r="M161" s="907"/>
      <c r="N161" s="907"/>
    </row>
    <row r="162" spans="1:14" ht="20.100000000000001" hidden="1" customHeight="1" x14ac:dyDescent="0.25">
      <c r="A162" s="84">
        <f>Итоговая!Y163</f>
        <v>117</v>
      </c>
      <c r="B162" s="752">
        <f>COUNTIFS($C$8:C162,"*ПС*",$J$8:J162,"*закрыт*")</f>
        <v>15</v>
      </c>
      <c r="C162" s="84" t="str">
        <f>Итоговая!AA163</f>
        <v xml:space="preserve">ПС  35/10 кВ Калязин </v>
      </c>
      <c r="D162" s="230">
        <f>Итоговая!AB163</f>
        <v>6.3</v>
      </c>
      <c r="E162" s="229" t="str">
        <f>Итоговая!AC163</f>
        <v>+</v>
      </c>
      <c r="F162" s="229">
        <f>Итоговая!AD163</f>
        <v>6.3</v>
      </c>
      <c r="G162" s="229">
        <f>Итоговая!AE163</f>
        <v>0</v>
      </c>
      <c r="H162" s="229">
        <f>Итоговая!AF163</f>
        <v>0</v>
      </c>
      <c r="I162" s="23">
        <f>Итоговая!AP163</f>
        <v>1.337173913043479</v>
      </c>
      <c r="J162" s="23" t="str">
        <f>Итоговая!AQ163</f>
        <v>открыт</v>
      </c>
      <c r="K162" s="907" t="str">
        <f>Итоговая!AR163</f>
        <v>открыт</v>
      </c>
      <c r="L162" s="907">
        <f>Итоговая!AS163</f>
        <v>79.785730717407731</v>
      </c>
      <c r="M162" s="907"/>
      <c r="N162" s="907"/>
    </row>
    <row r="163" spans="1:14" hidden="1" x14ac:dyDescent="0.25">
      <c r="A163" s="84">
        <f>Итоговая!Y164</f>
        <v>118</v>
      </c>
      <c r="B163" s="1133">
        <f>COUNTIFS($C$8:C163,"*ПС*",$J$8:J163,"*закрыт*")</f>
        <v>15</v>
      </c>
      <c r="C163" s="84" t="str">
        <f>Итоговая!AA164</f>
        <v xml:space="preserve">ПС 35/10 кВ Кимры </v>
      </c>
      <c r="D163" s="230">
        <f>Итоговая!AB164</f>
        <v>16</v>
      </c>
      <c r="E163" s="229" t="str">
        <f>Итоговая!AC164</f>
        <v>+</v>
      </c>
      <c r="F163" s="229">
        <f>Итоговая!AD164</f>
        <v>16</v>
      </c>
      <c r="G163" s="229">
        <f>Итоговая!AE164</f>
        <v>0</v>
      </c>
      <c r="H163" s="229">
        <f>Итоговая!AF164</f>
        <v>0</v>
      </c>
      <c r="I163" s="23">
        <f>Итоговая!AP164</f>
        <v>9.59</v>
      </c>
      <c r="J163" s="23" t="str">
        <f>Итоговая!AQ164</f>
        <v>открыт</v>
      </c>
      <c r="K163" s="907" t="str">
        <f>Итоговая!AR164</f>
        <v>открыт</v>
      </c>
      <c r="L163" s="907">
        <f>Итоговая!AS164</f>
        <v>42.916666666666664</v>
      </c>
      <c r="M163" s="907"/>
      <c r="N163" s="907"/>
    </row>
    <row r="164" spans="1:14" ht="30" hidden="1" customHeight="1" x14ac:dyDescent="0.25">
      <c r="A164" s="84">
        <f>Итоговая!Y165</f>
        <v>119</v>
      </c>
      <c r="B164" s="1133">
        <f>COUNTIFS($C$8:C164,"*ПС*",$J$8:J164,"*закрыт*")</f>
        <v>15</v>
      </c>
      <c r="C164" s="84" t="str">
        <f>Итоговая!AA165</f>
        <v xml:space="preserve"> ПС 35/10 кВ Козьмодемьяновская </v>
      </c>
      <c r="D164" s="230">
        <f>Итоговая!AB165</f>
        <v>2.5</v>
      </c>
      <c r="E164" s="229" t="str">
        <f>Итоговая!AC165</f>
        <v>+</v>
      </c>
      <c r="F164" s="229">
        <f>Итоговая!AD165</f>
        <v>2.5</v>
      </c>
      <c r="G164" s="229">
        <f>Итоговая!AE165</f>
        <v>0</v>
      </c>
      <c r="H164" s="229">
        <f>Итоговая!AF165</f>
        <v>0</v>
      </c>
      <c r="I164" s="23">
        <f>Итоговая!AP165</f>
        <v>2.0649999999999999</v>
      </c>
      <c r="J164" s="23" t="str">
        <f>Итоговая!AQ165</f>
        <v>открыт</v>
      </c>
      <c r="K164" s="907" t="str">
        <f>Итоговая!AR165</f>
        <v>открыт</v>
      </c>
      <c r="L164" s="907">
        <f>Итоговая!AS165</f>
        <v>21.333333333333336</v>
      </c>
      <c r="M164" s="907"/>
      <c r="N164" s="907"/>
    </row>
    <row r="165" spans="1:14" hidden="1" x14ac:dyDescent="0.25">
      <c r="A165" s="84">
        <f>Итоговая!Y166</f>
        <v>120</v>
      </c>
      <c r="B165" s="1133">
        <f>COUNTIFS($C$8:C165,"*ПС*",$J$8:J165,"*закрыт*")</f>
        <v>15</v>
      </c>
      <c r="C165" s="84" t="str">
        <f>Итоговая!AA166</f>
        <v xml:space="preserve">ПС  35/10 кВ Курортная </v>
      </c>
      <c r="D165" s="230">
        <f>Итоговая!AB166</f>
        <v>4</v>
      </c>
      <c r="E165" s="229" t="str">
        <f>Итоговая!AC166</f>
        <v>+</v>
      </c>
      <c r="F165" s="229">
        <f>Итоговая!AD166</f>
        <v>4</v>
      </c>
      <c r="G165" s="229">
        <f>Итоговая!AE166</f>
        <v>0</v>
      </c>
      <c r="H165" s="229">
        <f>Итоговая!AF166</f>
        <v>0</v>
      </c>
      <c r="I165" s="23">
        <f>Итоговая!AP166</f>
        <v>1.7200000000000002</v>
      </c>
      <c r="J165" s="23" t="str">
        <f>Итоговая!AQ166</f>
        <v>открыт</v>
      </c>
      <c r="K165" s="907" t="str">
        <f>Итоговая!AR166</f>
        <v>открыт</v>
      </c>
      <c r="L165" s="907">
        <f>Итоговая!AS166</f>
        <v>59.047619047619044</v>
      </c>
      <c r="M165" s="907"/>
      <c r="N165" s="907"/>
    </row>
    <row r="166" spans="1:14" hidden="1" x14ac:dyDescent="0.25">
      <c r="A166" s="84">
        <f>Итоговая!Y167</f>
        <v>121</v>
      </c>
      <c r="B166" s="1133">
        <f>COUNTIFS($C$8:C166,"*ПС*",$J$8:J166,"*закрыт*")</f>
        <v>15</v>
      </c>
      <c r="C166" s="84" t="str">
        <f>Итоговая!AA167</f>
        <v xml:space="preserve"> ПС 35/10 кВ Маяк </v>
      </c>
      <c r="D166" s="230">
        <f>Итоговая!AB167</f>
        <v>6.3</v>
      </c>
      <c r="E166" s="229" t="str">
        <f>Итоговая!AC167</f>
        <v>+</v>
      </c>
      <c r="F166" s="229">
        <f>Итоговая!AD167</f>
        <v>6.3</v>
      </c>
      <c r="G166" s="229">
        <f>Итоговая!AE167</f>
        <v>0</v>
      </c>
      <c r="H166" s="229">
        <f>Итоговая!AF167</f>
        <v>0</v>
      </c>
      <c r="I166" s="23">
        <f>Итоговая!AP167</f>
        <v>1.3550000000000004</v>
      </c>
      <c r="J166" s="23" t="str">
        <f>Итоговая!AQ167</f>
        <v>открыт</v>
      </c>
      <c r="K166" s="907" t="str">
        <f>Итоговая!AR167</f>
        <v>открыт</v>
      </c>
      <c r="L166" s="907">
        <f>Итоговая!AS167</f>
        <v>79.516250944822374</v>
      </c>
      <c r="M166" s="907"/>
      <c r="N166" s="907"/>
    </row>
    <row r="167" spans="1:14" ht="30" hidden="1" customHeight="1" x14ac:dyDescent="0.25">
      <c r="A167" s="84">
        <f>Итоговая!Y168</f>
        <v>122</v>
      </c>
      <c r="B167" s="1133">
        <f>COUNTIFS($C$8:C167,"*ПС*",$J$8:J167,"*закрыт*")</f>
        <v>15</v>
      </c>
      <c r="C167" s="84" t="str">
        <f>Итоговая!AA168</f>
        <v xml:space="preserve"> ПС 35/10 кВ Микрорайонная </v>
      </c>
      <c r="D167" s="230">
        <f>Итоговая!AB168</f>
        <v>4</v>
      </c>
      <c r="E167" s="229" t="str">
        <f>Итоговая!AC168</f>
        <v>+</v>
      </c>
      <c r="F167" s="229">
        <f>Итоговая!AD168</f>
        <v>4</v>
      </c>
      <c r="G167" s="229">
        <f>Итоговая!AE168</f>
        <v>0</v>
      </c>
      <c r="H167" s="229">
        <f>Итоговая!AF168</f>
        <v>0</v>
      </c>
      <c r="I167" s="23">
        <f>Итоговая!AP168</f>
        <v>1.0573369565217394</v>
      </c>
      <c r="J167" s="23" t="str">
        <f>Итоговая!AQ168</f>
        <v>открыт</v>
      </c>
      <c r="K167" s="907" t="str">
        <f>Итоговая!AR168</f>
        <v>открыт</v>
      </c>
      <c r="L167" s="907">
        <f>Итоговая!AS168</f>
        <v>74.825310559006198</v>
      </c>
      <c r="M167" s="907"/>
      <c r="N167" s="907"/>
    </row>
    <row r="168" spans="1:14" hidden="1" x14ac:dyDescent="0.25">
      <c r="A168" s="84">
        <f>Итоговая!Y169</f>
        <v>123</v>
      </c>
      <c r="B168" s="1133">
        <f>COUNTIFS($C$8:C168,"*ПС*",$J$8:J168,"*закрыт*")</f>
        <v>15</v>
      </c>
      <c r="C168" s="84" t="str">
        <f>Итоговая!AA169</f>
        <v>ПС 35/10 кВ Нагорское</v>
      </c>
      <c r="D168" s="230">
        <f>Итоговая!AB169</f>
        <v>2.5</v>
      </c>
      <c r="E168" s="229" t="str">
        <f>Итоговая!AC169</f>
        <v>+</v>
      </c>
      <c r="F168" s="229">
        <f>Итоговая!AD169</f>
        <v>1.8</v>
      </c>
      <c r="G168" s="229">
        <f>Итоговая!AE169</f>
        <v>0</v>
      </c>
      <c r="H168" s="229">
        <f>Итоговая!AF169</f>
        <v>0</v>
      </c>
      <c r="I168" s="23">
        <f>Итоговая!AP169</f>
        <v>1.1771739130434784</v>
      </c>
      <c r="J168" s="23" t="str">
        <f>Итоговая!AQ169</f>
        <v>открыт</v>
      </c>
      <c r="K168" s="907" t="str">
        <f>Итоговая!AR169</f>
        <v>открыт</v>
      </c>
      <c r="L168" s="907">
        <f>Итоговая!AS169</f>
        <v>37.71566597653554</v>
      </c>
      <c r="M168" s="907"/>
      <c r="N168" s="907"/>
    </row>
    <row r="169" spans="1:14" ht="20.100000000000001" hidden="1" customHeight="1" x14ac:dyDescent="0.25">
      <c r="A169" s="84">
        <f>Итоговая!Y170</f>
        <v>124</v>
      </c>
      <c r="B169" s="1860">
        <f>COUNTIFS($C$8:C169,"*ПС*",$J$8:J169,"*закрыт*")</f>
        <v>15</v>
      </c>
      <c r="C169" s="84" t="str">
        <f>Итоговая!AA170</f>
        <v>ПС 35/10 кВ Неклюдово</v>
      </c>
      <c r="D169" s="230">
        <f>Итоговая!AB170</f>
        <v>1.6</v>
      </c>
      <c r="E169" s="229" t="str">
        <f>Итоговая!AC170</f>
        <v>+</v>
      </c>
      <c r="F169" s="229">
        <f>Итоговая!AD170</f>
        <v>1.6</v>
      </c>
      <c r="G169" s="229">
        <f>Итоговая!AE170</f>
        <v>0</v>
      </c>
      <c r="H169" s="229">
        <f>Итоговая!AF170</f>
        <v>0</v>
      </c>
      <c r="I169" s="23">
        <f>Итоговая!AP170</f>
        <v>1.7391304347826875E-3</v>
      </c>
      <c r="J169" s="23" t="str">
        <f>Итоговая!AQ170</f>
        <v>открыт</v>
      </c>
      <c r="K169" s="907" t="str">
        <f>Итоговая!AR170</f>
        <v>открыт</v>
      </c>
      <c r="L169" s="907">
        <f>Итоговая!AS170</f>
        <v>99.896480331262936</v>
      </c>
      <c r="M169" s="907"/>
      <c r="N169" s="907"/>
    </row>
    <row r="170" spans="1:14" hidden="1" x14ac:dyDescent="0.25">
      <c r="A170" s="84">
        <f>Итоговая!Y171</f>
        <v>125</v>
      </c>
      <c r="B170" s="1860">
        <f>COUNTIFS($C$8:C170,"*ПС*",$J$8:J170,"*закрыт*")</f>
        <v>15</v>
      </c>
      <c r="C170" s="84" t="str">
        <f>Итоговая!AA171</f>
        <v>ПС 35/10 кВ Нерль</v>
      </c>
      <c r="D170" s="230">
        <f>Итоговая!AB171</f>
        <v>4</v>
      </c>
      <c r="E170" s="229" t="str">
        <f>Итоговая!AC171</f>
        <v>+</v>
      </c>
      <c r="F170" s="229">
        <f>Итоговая!AD171</f>
        <v>2.5</v>
      </c>
      <c r="G170" s="229">
        <f>Итоговая!AE171</f>
        <v>0</v>
      </c>
      <c r="H170" s="229">
        <f>Итоговая!AF171</f>
        <v>0</v>
      </c>
      <c r="I170" s="23">
        <f>Итоговая!AP171</f>
        <v>0.35168478260869573</v>
      </c>
      <c r="J170" s="23" t="str">
        <f>Итоговая!AQ171</f>
        <v>открыт</v>
      </c>
      <c r="K170" s="907" t="str">
        <f>Итоговая!AR171</f>
        <v>открыт</v>
      </c>
      <c r="L170" s="907">
        <f>Итоговая!AS171</f>
        <v>86.602484472049696</v>
      </c>
      <c r="M170" s="907"/>
      <c r="N170" s="907"/>
    </row>
    <row r="171" spans="1:14" hidden="1" x14ac:dyDescent="0.25">
      <c r="A171" s="84">
        <f>Итоговая!Y172</f>
        <v>126</v>
      </c>
      <c r="B171" s="1860">
        <f>COUNTIFS($C$8:C171,"*ПС*",$J$8:J171,"*закрыт*")</f>
        <v>15</v>
      </c>
      <c r="C171" s="84" t="str">
        <f>Итоговая!AA172</f>
        <v xml:space="preserve">ПС 35/10 кВ Плутково  </v>
      </c>
      <c r="D171" s="230">
        <f>Итоговая!AB172</f>
        <v>2.5</v>
      </c>
      <c r="E171" s="229" t="str">
        <f>Итоговая!AC172</f>
        <v>+</v>
      </c>
      <c r="F171" s="229">
        <f>Итоговая!AD172</f>
        <v>2.5</v>
      </c>
      <c r="G171" s="229">
        <f>Итоговая!AE172</f>
        <v>0</v>
      </c>
      <c r="H171" s="229">
        <f>Итоговая!AF172</f>
        <v>0</v>
      </c>
      <c r="I171" s="23">
        <f>Итоговая!AP172</f>
        <v>0.26728260869565235</v>
      </c>
      <c r="J171" s="23" t="str">
        <f>Итоговая!AQ172</f>
        <v>открыт</v>
      </c>
      <c r="K171" s="907" t="str">
        <f>Итоговая!AR172</f>
        <v>открыт</v>
      </c>
      <c r="L171" s="907">
        <f>Итоговая!AS172</f>
        <v>89.817805383022758</v>
      </c>
      <c r="M171" s="907"/>
      <c r="N171" s="907"/>
    </row>
    <row r="172" spans="1:14" hidden="1" x14ac:dyDescent="0.25">
      <c r="A172" s="84">
        <f>Итоговая!Y173</f>
        <v>127</v>
      </c>
      <c r="B172" s="1133">
        <f>COUNTIFS($C$8:C172,"*ПС*",$J$8:J172,"*закрыт*")</f>
        <v>15</v>
      </c>
      <c r="C172" s="84" t="str">
        <f>Итоговая!AA173</f>
        <v xml:space="preserve">ПС 35/10 кВ Савцино </v>
      </c>
      <c r="D172" s="230">
        <f>Итоговая!AB173</f>
        <v>2.5</v>
      </c>
      <c r="E172" s="229" t="str">
        <f>Итоговая!AC173</f>
        <v>+</v>
      </c>
      <c r="F172" s="229">
        <f>Итоговая!AD173</f>
        <v>2.5</v>
      </c>
      <c r="G172" s="229">
        <f>Итоговая!AE173</f>
        <v>0</v>
      </c>
      <c r="H172" s="229">
        <f>Итоговая!AF173</f>
        <v>0</v>
      </c>
      <c r="I172" s="23">
        <f>Итоговая!AP173</f>
        <v>2.406304347826087</v>
      </c>
      <c r="J172" s="23" t="str">
        <f>Итоговая!AQ173</f>
        <v>открыт</v>
      </c>
      <c r="K172" s="907" t="str">
        <f>Итоговая!AR173</f>
        <v>открыт</v>
      </c>
      <c r="L172" s="907">
        <f>Итоговая!AS173</f>
        <v>8.3312629399585916</v>
      </c>
      <c r="M172" s="907"/>
      <c r="N172" s="907"/>
    </row>
    <row r="173" spans="1:14" hidden="1" x14ac:dyDescent="0.25">
      <c r="A173" s="84">
        <f>Итоговая!Y174</f>
        <v>128</v>
      </c>
      <c r="B173" s="1133">
        <f>COUNTIFS($C$8:C173,"*ПС*",$J$8:J173,"*закрыт*")</f>
        <v>15</v>
      </c>
      <c r="C173" s="84" t="str">
        <f>Итоговая!AA174</f>
        <v xml:space="preserve">ПС 35/10 кВ Сотское </v>
      </c>
      <c r="D173" s="230">
        <f>Итоговая!AB174</f>
        <v>1.6</v>
      </c>
      <c r="E173" s="229" t="str">
        <f>Итоговая!AC174</f>
        <v>+</v>
      </c>
      <c r="F173" s="229">
        <f>Итоговая!AD174</f>
        <v>2.5</v>
      </c>
      <c r="G173" s="229">
        <f>Итоговая!AE174</f>
        <v>0</v>
      </c>
      <c r="H173" s="229">
        <f>Итоговая!AF174</f>
        <v>0</v>
      </c>
      <c r="I173" s="23">
        <f>Итоговая!AP174</f>
        <v>1.2300000000000002</v>
      </c>
      <c r="J173" s="23" t="str">
        <f>Итоговая!AQ174</f>
        <v>открыт</v>
      </c>
      <c r="K173" s="907" t="str">
        <f>Итоговая!AR174</f>
        <v>открыт</v>
      </c>
      <c r="L173" s="907">
        <f>Итоговая!AS174</f>
        <v>26.785714285714285</v>
      </c>
      <c r="M173" s="907"/>
      <c r="N173" s="907"/>
    </row>
    <row r="174" spans="1:14" hidden="1" x14ac:dyDescent="0.25">
      <c r="A174" s="84">
        <f>Итоговая!Y175</f>
        <v>129</v>
      </c>
      <c r="B174" s="1133">
        <f>COUNTIFS($C$8:C174,"*ПС*",$J$8:J174,"*закрыт*")</f>
        <v>15</v>
      </c>
      <c r="C174" s="84" t="str">
        <f>Итоговая!AA175</f>
        <v xml:space="preserve">ПС 35/10 кВ Стоянцы </v>
      </c>
      <c r="D174" s="230">
        <f>Итоговая!AB175</f>
        <v>2.5</v>
      </c>
      <c r="E174" s="229" t="str">
        <f>Итоговая!AC175</f>
        <v>+</v>
      </c>
      <c r="F174" s="229">
        <f>Итоговая!AD175</f>
        <v>2.5</v>
      </c>
      <c r="G174" s="229">
        <f>Итоговая!AE175</f>
        <v>0</v>
      </c>
      <c r="H174" s="229">
        <f>Итоговая!AF175</f>
        <v>0</v>
      </c>
      <c r="I174" s="23">
        <f>Итоговая!AP175</f>
        <v>2.3050000000000002</v>
      </c>
      <c r="J174" s="23" t="str">
        <f>Итоговая!AQ175</f>
        <v>открыт</v>
      </c>
      <c r="K174" s="907" t="str">
        <f>Итоговая!AR175</f>
        <v>открыт</v>
      </c>
      <c r="L174" s="907">
        <f>Итоговая!AS175</f>
        <v>12.19047619047619</v>
      </c>
      <c r="M174" s="907"/>
      <c r="N174" s="907"/>
    </row>
    <row r="175" spans="1:14" ht="20.100000000000001" customHeight="1" x14ac:dyDescent="0.25">
      <c r="A175" s="84">
        <f>Итоговая!Y176</f>
        <v>130</v>
      </c>
      <c r="B175" s="2260">
        <f>COUNTIFS($C$8:C175,"*ПС*",$J$8:J175,"*закрыт*")</f>
        <v>16</v>
      </c>
      <c r="C175" s="84" t="str">
        <f>Итоговая!AA176</f>
        <v xml:space="preserve">ПС 35/10 кВ Уланово </v>
      </c>
      <c r="D175" s="230">
        <f>Итоговая!AB176</f>
        <v>1.6</v>
      </c>
      <c r="E175" s="229" t="str">
        <f>Итоговая!AC176</f>
        <v>+</v>
      </c>
      <c r="F175" s="229">
        <f>Итоговая!AD176</f>
        <v>1.6</v>
      </c>
      <c r="G175" s="229">
        <f>Итоговая!AE176</f>
        <v>0</v>
      </c>
      <c r="H175" s="229">
        <f>Итоговая!AF176</f>
        <v>0</v>
      </c>
      <c r="I175" s="2133">
        <f>Итоговая!AP176</f>
        <v>-0.23103260869565201</v>
      </c>
      <c r="J175" s="23" t="str">
        <f>Итоговая!AQ176</f>
        <v>закрыт</v>
      </c>
      <c r="K175" s="907" t="str">
        <f>Итоговая!AR176</f>
        <v>закрыт</v>
      </c>
      <c r="L175" s="907">
        <f>Итоговая!AS176</f>
        <v>113.75194099378881</v>
      </c>
      <c r="M175" s="907"/>
      <c r="N175" s="907"/>
    </row>
    <row r="176" spans="1:14" hidden="1" x14ac:dyDescent="0.25">
      <c r="A176" s="84">
        <f>Итоговая!Y177</f>
        <v>131</v>
      </c>
      <c r="B176" s="1133">
        <f>COUNTIFS($C$8:C176,"*ПС*",$J$8:J176,"*закрыт*")</f>
        <v>16</v>
      </c>
      <c r="C176" s="84" t="str">
        <f>Итоговая!AA177</f>
        <v xml:space="preserve">ПС 35/10 кВ Уницы </v>
      </c>
      <c r="D176" s="230">
        <f>Итоговая!AB177</f>
        <v>4</v>
      </c>
      <c r="E176" s="229" t="str">
        <f>Итоговая!AC177</f>
        <v>+</v>
      </c>
      <c r="F176" s="229">
        <f>Итоговая!AD177</f>
        <v>4</v>
      </c>
      <c r="G176" s="229">
        <f>Итоговая!AE177</f>
        <v>0</v>
      </c>
      <c r="H176" s="229">
        <f>Итоговая!AF177</f>
        <v>0</v>
      </c>
      <c r="I176" s="23">
        <f>Итоговая!AP177</f>
        <v>3.98</v>
      </c>
      <c r="J176" s="23" t="str">
        <f>Итоговая!AQ177</f>
        <v>открыт</v>
      </c>
      <c r="K176" s="907" t="str">
        <f>Итоговая!AR177</f>
        <v>открыт</v>
      </c>
      <c r="L176" s="907">
        <f>Итоговая!AS177</f>
        <v>5.2380952380952381</v>
      </c>
      <c r="M176" s="907"/>
      <c r="N176" s="907"/>
    </row>
    <row r="177" spans="1:14" hidden="1" x14ac:dyDescent="0.25">
      <c r="A177" s="84">
        <f>Итоговая!Y178</f>
        <v>132</v>
      </c>
      <c r="B177" s="1133">
        <f>COUNTIFS($C$8:C177,"*ПС*",$J$8:J177,"*закрыт*")</f>
        <v>16</v>
      </c>
      <c r="C177" s="84" t="str">
        <f>Итоговая!AA178</f>
        <v xml:space="preserve">ПС 35/10 кВ Фенево </v>
      </c>
      <c r="D177" s="230">
        <f>Итоговая!AB178</f>
        <v>2.5</v>
      </c>
      <c r="E177" s="229" t="str">
        <f>Итоговая!AC178</f>
        <v>+</v>
      </c>
      <c r="F177" s="229">
        <f>Итоговая!AD178</f>
        <v>2.5</v>
      </c>
      <c r="G177" s="229">
        <f>Итоговая!AE178</f>
        <v>0</v>
      </c>
      <c r="H177" s="229">
        <f>Итоговая!AF178</f>
        <v>0</v>
      </c>
      <c r="I177" s="23">
        <f>Итоговая!AP178</f>
        <v>2.0649999999999999</v>
      </c>
      <c r="J177" s="23" t="str">
        <f>Итоговая!AQ178</f>
        <v>открыт</v>
      </c>
      <c r="K177" s="907" t="str">
        <f>Итоговая!AR178</f>
        <v>открыт</v>
      </c>
      <c r="L177" s="907">
        <f>Итоговая!AS178</f>
        <v>21.333333333333336</v>
      </c>
      <c r="M177" s="907"/>
      <c r="N177" s="907"/>
    </row>
    <row r="178" spans="1:14" hidden="1" x14ac:dyDescent="0.25">
      <c r="A178" s="84">
        <f>Итоговая!Y179</f>
        <v>133</v>
      </c>
      <c r="B178" s="1133">
        <f>COUNTIFS($C$8:C178,"*ПС*",$J$8:J178,"*закрыт*")</f>
        <v>16</v>
      </c>
      <c r="C178" s="84" t="str">
        <f>Итоговая!AA179</f>
        <v xml:space="preserve">ПС 35/10 кВ Фролово </v>
      </c>
      <c r="D178" s="230">
        <f>Итоговая!AB179</f>
        <v>2.5</v>
      </c>
      <c r="E178" s="229" t="str">
        <f>Итоговая!AC179</f>
        <v>+</v>
      </c>
      <c r="F178" s="229">
        <f>Итоговая!AD179</f>
        <v>2.5</v>
      </c>
      <c r="G178" s="229">
        <f>Итоговая!AE179</f>
        <v>0</v>
      </c>
      <c r="H178" s="229">
        <f>Итоговая!AF179</f>
        <v>0</v>
      </c>
      <c r="I178" s="23">
        <f>Итоговая!AP179</f>
        <v>1.8141315217391305</v>
      </c>
      <c r="J178" s="23" t="str">
        <f>Итоговая!AQ179</f>
        <v>открыт</v>
      </c>
      <c r="K178" s="907" t="str">
        <f>Итоговая!AR179</f>
        <v>открыт</v>
      </c>
      <c r="L178" s="907">
        <f>Итоговая!AS179</f>
        <v>30.890227743271218</v>
      </c>
      <c r="M178" s="907"/>
      <c r="N178" s="907"/>
    </row>
    <row r="179" spans="1:14" hidden="1" x14ac:dyDescent="0.25">
      <c r="A179" s="84">
        <f>Итоговая!Y180</f>
        <v>134</v>
      </c>
      <c r="B179" s="1133">
        <f>COUNTIFS($C$8:C179,"*ПС*",$J$8:J179,"*закрыт*")</f>
        <v>16</v>
      </c>
      <c r="C179" s="84" t="str">
        <f>Итоговая!AA180</f>
        <v xml:space="preserve"> ПС 110/10 кВ Зарница </v>
      </c>
      <c r="D179" s="230">
        <f>Итоговая!AB180</f>
        <v>10</v>
      </c>
      <c r="E179" s="229" t="str">
        <f>Итоговая!AC180</f>
        <v>+</v>
      </c>
      <c r="F179" s="229">
        <f>Итоговая!AD180</f>
        <v>10</v>
      </c>
      <c r="G179" s="229">
        <f>Итоговая!AE180</f>
        <v>0</v>
      </c>
      <c r="H179" s="229">
        <f>Итоговая!AF180</f>
        <v>0</v>
      </c>
      <c r="I179" s="23">
        <f>Итоговая!AP180</f>
        <v>10.145434782608696</v>
      </c>
      <c r="J179" s="23" t="str">
        <f>Итоговая!AQ180</f>
        <v>открыт</v>
      </c>
      <c r="K179" s="907" t="str">
        <f>Итоговая!AR180</f>
        <v>открыт</v>
      </c>
      <c r="L179" s="907">
        <f>Итоговая!AS180</f>
        <v>3.376811594202898</v>
      </c>
      <c r="M179" s="907"/>
      <c r="N179" s="907"/>
    </row>
    <row r="180" spans="1:14" hidden="1" x14ac:dyDescent="0.25">
      <c r="A180" s="84">
        <f>Итоговая!Y181</f>
        <v>135</v>
      </c>
      <c r="B180" s="1133">
        <f>COUNTIFS($C$8:C180,"*ПС*",$J$8:J180,"*закрыт*")</f>
        <v>16</v>
      </c>
      <c r="C180" s="84" t="str">
        <f>Итоговая!AA181</f>
        <v xml:space="preserve">ПС 110/10 кВ Зобнино </v>
      </c>
      <c r="D180" s="230">
        <f>Итоговая!AB181</f>
        <v>2.5</v>
      </c>
      <c r="E180" s="229" t="str">
        <f>Итоговая!AC181</f>
        <v>+</v>
      </c>
      <c r="F180" s="229">
        <f>Итоговая!AD181</f>
        <v>2.5</v>
      </c>
      <c r="G180" s="229">
        <f>Итоговая!AE181</f>
        <v>0</v>
      </c>
      <c r="H180" s="229">
        <f>Итоговая!AF181</f>
        <v>0</v>
      </c>
      <c r="I180" s="23">
        <f>Итоговая!AP181</f>
        <v>2.1903260869565218</v>
      </c>
      <c r="J180" s="23" t="str">
        <f>Итоговая!AQ181</f>
        <v>открыт</v>
      </c>
      <c r="K180" s="907" t="str">
        <f>Итоговая!AR181</f>
        <v>открыт</v>
      </c>
      <c r="L180" s="907">
        <f>Итоговая!AS181</f>
        <v>16.559006211180126</v>
      </c>
      <c r="M180" s="907"/>
      <c r="N180" s="907"/>
    </row>
    <row r="181" spans="1:14" hidden="1" x14ac:dyDescent="0.25">
      <c r="A181" s="84">
        <f>Итоговая!Y182</f>
        <v>136</v>
      </c>
      <c r="B181" s="1133">
        <f>COUNTIFS($C$8:C181,"*ПС*",$J$8:J181,"*закрыт*")</f>
        <v>16</v>
      </c>
      <c r="C181" s="84" t="str">
        <f>Итоговая!AA182</f>
        <v xml:space="preserve">ПС 110/10 кВ Инякино </v>
      </c>
      <c r="D181" s="230">
        <f>Итоговая!AB182</f>
        <v>25</v>
      </c>
      <c r="E181" s="229" t="str">
        <f>Итоговая!AC182</f>
        <v>+</v>
      </c>
      <c r="F181" s="229">
        <f>Итоговая!AD182</f>
        <v>25</v>
      </c>
      <c r="G181" s="229">
        <f>Итоговая!AE182</f>
        <v>0</v>
      </c>
      <c r="H181" s="229">
        <f>Итоговая!AF182</f>
        <v>0</v>
      </c>
      <c r="I181" s="23">
        <f>Итоговая!AP182</f>
        <v>26.03</v>
      </c>
      <c r="J181" s="23" t="str">
        <f>Итоговая!AQ182</f>
        <v>открыт</v>
      </c>
      <c r="K181" s="907" t="str">
        <f>Итоговая!AR182</f>
        <v>открыт</v>
      </c>
      <c r="L181" s="907">
        <f>Итоговая!AS182</f>
        <v>0.83809523809523812</v>
      </c>
      <c r="M181" s="907"/>
      <c r="N181" s="907"/>
    </row>
    <row r="182" spans="1:14" hidden="1" x14ac:dyDescent="0.25">
      <c r="A182" s="2412">
        <f>Итоговая!Y183</f>
        <v>137</v>
      </c>
      <c r="B182" s="2423">
        <f>COUNTIFS($C$8:C182,"*ПС*",$J$8:J182,"*закрыт*")</f>
        <v>16</v>
      </c>
      <c r="C182" s="84" t="str">
        <f>Итоговая!AA183</f>
        <v xml:space="preserve"> ПС 110/35/10 кВ Василево </v>
      </c>
      <c r="D182" s="230">
        <f>Итоговая!AB183</f>
        <v>6.3</v>
      </c>
      <c r="E182" s="229" t="str">
        <f>Итоговая!AC183</f>
        <v>+</v>
      </c>
      <c r="F182" s="229">
        <f>Итоговая!AD183</f>
        <v>6.3</v>
      </c>
      <c r="G182" s="229">
        <f>Итоговая!AE183</f>
        <v>0</v>
      </c>
      <c r="H182" s="229">
        <f>Итоговая!AF183</f>
        <v>0</v>
      </c>
      <c r="I182" s="2415">
        <f>Итоговая!AP183</f>
        <v>6.4750000000000005</v>
      </c>
      <c r="J182" s="2415" t="str">
        <f>Итоговая!AQ183</f>
        <v>открыт</v>
      </c>
      <c r="K182" s="907" t="str">
        <f>Итоговая!AR183</f>
        <v>открыт</v>
      </c>
      <c r="L182" s="907">
        <f>Итоговая!AS183</f>
        <v>2.1164021164021167</v>
      </c>
      <c r="M182" s="907"/>
      <c r="N182" s="907"/>
    </row>
    <row r="183" spans="1:14" hidden="1" x14ac:dyDescent="0.25">
      <c r="A183" s="2412">
        <f>Итоговая!Y184</f>
        <v>0</v>
      </c>
      <c r="B183" s="2440"/>
      <c r="C183" s="84" t="str">
        <f>Итоговая!AA184</f>
        <v xml:space="preserve">Ном. Мощность СН, МВА </v>
      </c>
      <c r="D183" s="230">
        <f>Итоговая!AB184</f>
        <v>6.3</v>
      </c>
      <c r="E183" s="229" t="str">
        <f>Итоговая!AC184</f>
        <v>+</v>
      </c>
      <c r="F183" s="229">
        <f>Итоговая!AD184</f>
        <v>6.3</v>
      </c>
      <c r="G183" s="229">
        <f>Итоговая!AE184</f>
        <v>0</v>
      </c>
      <c r="H183" s="229">
        <f>Итоговая!AF184</f>
        <v>0</v>
      </c>
      <c r="I183" s="2416">
        <f>Итоговая!AP184</f>
        <v>0</v>
      </c>
      <c r="J183" s="2416" t="str">
        <f>Итоговая!AQ184</f>
        <v>открыт</v>
      </c>
      <c r="K183" s="907" t="str">
        <f>Итоговая!AR184</f>
        <v>открыт</v>
      </c>
      <c r="L183" s="907">
        <f>Итоговая!AS184</f>
        <v>0</v>
      </c>
      <c r="M183" s="907"/>
      <c r="N183" s="907"/>
    </row>
    <row r="184" spans="1:14" hidden="1" x14ac:dyDescent="0.25">
      <c r="A184" s="2412">
        <f>Итоговая!Y185</f>
        <v>0</v>
      </c>
      <c r="B184" s="2441"/>
      <c r="C184" s="84" t="str">
        <f>Итоговая!AA185</f>
        <v>Ном. мощность НН, МВА</v>
      </c>
      <c r="D184" s="230">
        <f>Итоговая!AB185</f>
        <v>6.3</v>
      </c>
      <c r="E184" s="229" t="str">
        <f>Итоговая!AC185</f>
        <v>+</v>
      </c>
      <c r="F184" s="229">
        <f>Итоговая!AD185</f>
        <v>6.3</v>
      </c>
      <c r="G184" s="229">
        <f>Итоговая!AE185</f>
        <v>0</v>
      </c>
      <c r="H184" s="229">
        <f>Итоговая!AF185</f>
        <v>0</v>
      </c>
      <c r="I184" s="2417">
        <f>Итоговая!AP185</f>
        <v>0</v>
      </c>
      <c r="J184" s="2417" t="str">
        <f>Итоговая!AQ185</f>
        <v>открыт</v>
      </c>
      <c r="K184" s="907" t="str">
        <f>Итоговая!AR185</f>
        <v>открыт</v>
      </c>
      <c r="L184" s="907">
        <f>Итоговая!AS185</f>
        <v>0</v>
      </c>
      <c r="M184" s="907"/>
      <c r="N184" s="907"/>
    </row>
    <row r="185" spans="1:14" hidden="1" x14ac:dyDescent="0.25">
      <c r="A185" s="2412">
        <f>Итоговая!Y186</f>
        <v>138</v>
      </c>
      <c r="B185" s="2423">
        <f>COUNTIFS($C$8:C185,"*ПС*",$J$8:J185,"*закрыт*")</f>
        <v>16</v>
      </c>
      <c r="C185" s="84" t="str">
        <f>Итоговая!AA186</f>
        <v xml:space="preserve">ПС 110/35/10 кВ Борки  </v>
      </c>
      <c r="D185" s="230">
        <f>Итоговая!AB186</f>
        <v>40</v>
      </c>
      <c r="E185" s="229" t="str">
        <f>Итоговая!AC186</f>
        <v>+</v>
      </c>
      <c r="F185" s="229">
        <f>Итоговая!AD186</f>
        <v>25</v>
      </c>
      <c r="G185" s="229">
        <f>Итоговая!AE186</f>
        <v>0</v>
      </c>
      <c r="H185" s="229">
        <f>Итоговая!AF186</f>
        <v>0</v>
      </c>
      <c r="I185" s="2415">
        <f>Итоговая!AP186</f>
        <v>5.1625000000000014</v>
      </c>
      <c r="J185" s="2415" t="str">
        <f>Итоговая!AQ186</f>
        <v>открыт</v>
      </c>
      <c r="K185" s="907" t="str">
        <f>Итоговая!AR186</f>
        <v>открыт</v>
      </c>
      <c r="L185" s="907">
        <f>Итоговая!AS186</f>
        <v>80.333333333333329</v>
      </c>
      <c r="M185" s="907"/>
      <c r="N185" s="907"/>
    </row>
    <row r="186" spans="1:14" hidden="1" x14ac:dyDescent="0.25">
      <c r="A186" s="2412">
        <f>Итоговая!Y187</f>
        <v>0</v>
      </c>
      <c r="B186" s="2440"/>
      <c r="C186" s="84" t="str">
        <f>Итоговая!AA187</f>
        <v xml:space="preserve">Ном. Мощность СН, МВА </v>
      </c>
      <c r="D186" s="230">
        <f>Итоговая!AB187</f>
        <v>40</v>
      </c>
      <c r="E186" s="229" t="str">
        <f>Итоговая!AC187</f>
        <v>+</v>
      </c>
      <c r="F186" s="229">
        <f>Итоговая!AD187</f>
        <v>25</v>
      </c>
      <c r="G186" s="229">
        <f>Итоговая!AE187</f>
        <v>0</v>
      </c>
      <c r="H186" s="229">
        <f>Итоговая!AF187</f>
        <v>0</v>
      </c>
      <c r="I186" s="2416">
        <f>Итоговая!AP187</f>
        <v>0</v>
      </c>
      <c r="J186" s="2416">
        <f>Итоговая!AQ187</f>
        <v>0</v>
      </c>
      <c r="K186" s="907" t="str">
        <f>Итоговая!AR187</f>
        <v>открыт</v>
      </c>
      <c r="L186" s="907">
        <f>Итоговая!AS187</f>
        <v>0</v>
      </c>
      <c r="M186" s="907"/>
      <c r="N186" s="907"/>
    </row>
    <row r="187" spans="1:14" hidden="1" x14ac:dyDescent="0.25">
      <c r="A187" s="2412">
        <f>Итоговая!Y188</f>
        <v>0</v>
      </c>
      <c r="B187" s="2441"/>
      <c r="C187" s="84" t="str">
        <f>Итоговая!AA188</f>
        <v>Ном. мощность НН, МВА</v>
      </c>
      <c r="D187" s="230">
        <f>Итоговая!AB188</f>
        <v>40</v>
      </c>
      <c r="E187" s="229" t="str">
        <f>Итоговая!AC188</f>
        <v>+</v>
      </c>
      <c r="F187" s="229">
        <f>Итоговая!AD188</f>
        <v>25</v>
      </c>
      <c r="G187" s="229">
        <f>Итоговая!AE188</f>
        <v>0</v>
      </c>
      <c r="H187" s="229">
        <f>Итоговая!AF188</f>
        <v>0</v>
      </c>
      <c r="I187" s="2417">
        <f>Итоговая!AP188</f>
        <v>0</v>
      </c>
      <c r="J187" s="2417">
        <f>Итоговая!AQ188</f>
        <v>0</v>
      </c>
      <c r="K187" s="907" t="str">
        <f>Итоговая!AR188</f>
        <v>открыт</v>
      </c>
      <c r="L187" s="907">
        <f>Итоговая!AS188</f>
        <v>0</v>
      </c>
      <c r="M187" s="907"/>
      <c r="N187" s="907"/>
    </row>
    <row r="188" spans="1:14" hidden="1" x14ac:dyDescent="0.25">
      <c r="A188" s="2412">
        <f>Итоговая!Y189</f>
        <v>139</v>
      </c>
      <c r="B188" s="2423">
        <f>COUNTIFS($C$8:C188,"*ПС*",$J$8:J188,"*закрыт*")</f>
        <v>16</v>
      </c>
      <c r="C188" s="84" t="str">
        <f>Итоговая!AA189</f>
        <v xml:space="preserve">ПС 110/35/10 кВ  Верхняя Троица </v>
      </c>
      <c r="D188" s="230">
        <f>Итоговая!AB189</f>
        <v>6.3</v>
      </c>
      <c r="E188" s="229" t="str">
        <f>Итоговая!AC189</f>
        <v>+</v>
      </c>
      <c r="F188" s="229">
        <f>Итоговая!AD189</f>
        <v>6.3</v>
      </c>
      <c r="G188" s="229">
        <f>Итоговая!AE189</f>
        <v>0</v>
      </c>
      <c r="H188" s="229">
        <f>Итоговая!AF189</f>
        <v>0</v>
      </c>
      <c r="I188" s="2415">
        <f>Итоговая!AP189</f>
        <v>4.2532326086956527</v>
      </c>
      <c r="J188" s="2415" t="str">
        <f>Итоговая!AQ189</f>
        <v>открыт</v>
      </c>
      <c r="K188" s="907" t="str">
        <f>Итоговая!AR189</f>
        <v>открыт</v>
      </c>
      <c r="L188" s="907">
        <f>Итоговая!AS189</f>
        <v>63.065266686384696</v>
      </c>
      <c r="M188" s="907"/>
      <c r="N188" s="907"/>
    </row>
    <row r="189" spans="1:14" hidden="1" x14ac:dyDescent="0.25">
      <c r="A189" s="2412">
        <f>Итоговая!Y190</f>
        <v>0</v>
      </c>
      <c r="B189" s="2440"/>
      <c r="C189" s="84" t="str">
        <f>Итоговая!AA190</f>
        <v xml:space="preserve">Ном. Мощность СН, МВА </v>
      </c>
      <c r="D189" s="230">
        <f>Итоговая!AB190</f>
        <v>6.3</v>
      </c>
      <c r="E189" s="229" t="str">
        <f>Итоговая!AC190</f>
        <v>+</v>
      </c>
      <c r="F189" s="229">
        <f>Итоговая!AD190</f>
        <v>6.3</v>
      </c>
      <c r="G189" s="229">
        <f>Итоговая!AE190</f>
        <v>0</v>
      </c>
      <c r="H189" s="229">
        <f>Итоговая!AF190</f>
        <v>0</v>
      </c>
      <c r="I189" s="2416">
        <f>Итоговая!AP190</f>
        <v>0</v>
      </c>
      <c r="J189" s="2416" t="str">
        <f>Итоговая!AQ190</f>
        <v>открыт</v>
      </c>
      <c r="K189" s="907" t="str">
        <f>Итоговая!AR190</f>
        <v>открыт</v>
      </c>
      <c r="L189" s="907">
        <f>Итоговая!AS190</f>
        <v>0</v>
      </c>
      <c r="M189" s="907"/>
      <c r="N189" s="907"/>
    </row>
    <row r="190" spans="1:14" hidden="1" x14ac:dyDescent="0.25">
      <c r="A190" s="2412">
        <f>Итоговая!Y191</f>
        <v>0</v>
      </c>
      <c r="B190" s="2441"/>
      <c r="C190" s="84" t="str">
        <f>Итоговая!AA191</f>
        <v>Ном. мощность НН, МВА</v>
      </c>
      <c r="D190" s="230">
        <f>Итоговая!AB191</f>
        <v>6.3</v>
      </c>
      <c r="E190" s="229" t="str">
        <f>Итоговая!AC191</f>
        <v>+</v>
      </c>
      <c r="F190" s="229">
        <f>Итоговая!AD191</f>
        <v>6.3</v>
      </c>
      <c r="G190" s="229">
        <f>Итоговая!AE191</f>
        <v>0</v>
      </c>
      <c r="H190" s="229">
        <f>Итоговая!AF191</f>
        <v>0</v>
      </c>
      <c r="I190" s="2417">
        <f>Итоговая!AP191</f>
        <v>0</v>
      </c>
      <c r="J190" s="2417" t="str">
        <f>Итоговая!AQ191</f>
        <v>открыт</v>
      </c>
      <c r="K190" s="907" t="str">
        <f>Итоговая!AR191</f>
        <v>открыт</v>
      </c>
      <c r="L190" s="907">
        <f>Итоговая!AS191</f>
        <v>0</v>
      </c>
      <c r="M190" s="907"/>
      <c r="N190" s="907"/>
    </row>
    <row r="191" spans="1:14" hidden="1" x14ac:dyDescent="0.25">
      <c r="A191" s="2412">
        <f>Итоговая!Y192</f>
        <v>140</v>
      </c>
      <c r="B191" s="2423">
        <f>COUNTIFS($C$8:C191,"*ПС*",$J$8:J191,"*закрыт*")</f>
        <v>16</v>
      </c>
      <c r="C191" s="84" t="str">
        <f>Итоговая!AA192</f>
        <v xml:space="preserve">ПС 110/35/10 кВ Горицы </v>
      </c>
      <c r="D191" s="246">
        <f>Итоговая!AB192</f>
        <v>6.3</v>
      </c>
      <c r="E191" s="247" t="str">
        <f>Итоговая!AC192</f>
        <v>+</v>
      </c>
      <c r="F191" s="247">
        <f>Итоговая!AD192</f>
        <v>6.3</v>
      </c>
      <c r="G191" s="247">
        <f>Итоговая!AE192</f>
        <v>0</v>
      </c>
      <c r="H191" s="247">
        <f>Итоговая!AF192</f>
        <v>0</v>
      </c>
      <c r="I191" s="2415">
        <f>Итоговая!AP192</f>
        <v>4.9757608695652173</v>
      </c>
      <c r="J191" s="2415" t="str">
        <f>Итоговая!AQ192</f>
        <v>открыт</v>
      </c>
      <c r="K191" s="907" t="str">
        <f>Итоговая!AR192</f>
        <v>открыт</v>
      </c>
      <c r="L191" s="907">
        <f>Итоговая!AS192</f>
        <v>26.745867429097242</v>
      </c>
      <c r="M191" s="907"/>
      <c r="N191" s="907"/>
    </row>
    <row r="192" spans="1:14" hidden="1" x14ac:dyDescent="0.25">
      <c r="A192" s="2412">
        <f>Итоговая!Y193</f>
        <v>0</v>
      </c>
      <c r="B192" s="2440"/>
      <c r="C192" s="84" t="str">
        <f>Итоговая!AA193</f>
        <v xml:space="preserve">Ном. Мощность СН, МВА </v>
      </c>
      <c r="D192" s="246">
        <f>Итоговая!AB193</f>
        <v>6.3</v>
      </c>
      <c r="E192" s="247" t="str">
        <f>Итоговая!AC193</f>
        <v>+</v>
      </c>
      <c r="F192" s="247">
        <f>Итоговая!AD193</f>
        <v>6.3</v>
      </c>
      <c r="G192" s="247">
        <f>Итоговая!AE193</f>
        <v>0</v>
      </c>
      <c r="H192" s="247">
        <f>Итоговая!AF193</f>
        <v>0</v>
      </c>
      <c r="I192" s="2416">
        <f>Итоговая!AP193</f>
        <v>0</v>
      </c>
      <c r="J192" s="2416" t="str">
        <f>Итоговая!AQ193</f>
        <v>открыт</v>
      </c>
      <c r="K192" s="907" t="str">
        <f>Итоговая!AR193</f>
        <v>открыт</v>
      </c>
      <c r="L192" s="907">
        <f>Итоговая!AS193</f>
        <v>0</v>
      </c>
      <c r="M192" s="907"/>
      <c r="N192" s="907"/>
    </row>
    <row r="193" spans="1:14" hidden="1" x14ac:dyDescent="0.25">
      <c r="A193" s="2412">
        <f>Итоговая!Y194</f>
        <v>0</v>
      </c>
      <c r="B193" s="2441"/>
      <c r="C193" s="84" t="str">
        <f>Итоговая!AA194</f>
        <v>Ном. мощность НН, МВА</v>
      </c>
      <c r="D193" s="246">
        <f>Итоговая!AB194</f>
        <v>6.3</v>
      </c>
      <c r="E193" s="247" t="str">
        <f>Итоговая!AC194</f>
        <v>+</v>
      </c>
      <c r="F193" s="247">
        <f>Итоговая!AD194</f>
        <v>6.3</v>
      </c>
      <c r="G193" s="247">
        <f>Итоговая!AE194</f>
        <v>0</v>
      </c>
      <c r="H193" s="247">
        <f>Итоговая!AF194</f>
        <v>0</v>
      </c>
      <c r="I193" s="2417">
        <f>Итоговая!AP194</f>
        <v>0</v>
      </c>
      <c r="J193" s="2417" t="str">
        <f>Итоговая!AQ194</f>
        <v>открыт</v>
      </c>
      <c r="K193" s="907" t="str">
        <f>Итоговая!AR194</f>
        <v>открыт</v>
      </c>
      <c r="L193" s="907">
        <f>Итоговая!AS194</f>
        <v>0</v>
      </c>
      <c r="M193" s="907"/>
      <c r="N193" s="907"/>
    </row>
    <row r="194" spans="1:14" ht="20.100000000000001" customHeight="1" x14ac:dyDescent="0.25">
      <c r="A194" s="2412">
        <f>Итоговая!Y195</f>
        <v>141</v>
      </c>
      <c r="B194" s="2423">
        <f>COUNTIFS($C$8:C194,"*ПС*",$J$8:J194,"*закрыт*")</f>
        <v>17</v>
      </c>
      <c r="C194" s="84" t="str">
        <f>Итоговая!AA195</f>
        <v xml:space="preserve">ПС 110/35/10 кВ Луч </v>
      </c>
      <c r="D194" s="246">
        <f>Итоговая!AB195</f>
        <v>16</v>
      </c>
      <c r="E194" s="247" t="str">
        <f>Итоговая!AC195</f>
        <v>+</v>
      </c>
      <c r="F194" s="247">
        <f>Итоговая!AD195</f>
        <v>16</v>
      </c>
      <c r="G194" s="247">
        <f>Итоговая!AE195</f>
        <v>0</v>
      </c>
      <c r="H194" s="247">
        <f>Итоговая!AF195</f>
        <v>0</v>
      </c>
      <c r="I194" s="2415">
        <f>Итоговая!AP195</f>
        <v>-2.9632065217391315</v>
      </c>
      <c r="J194" s="2415" t="str">
        <f>Итоговая!AQ195</f>
        <v>закрыт</v>
      </c>
      <c r="K194" s="907" t="str">
        <f>Итоговая!AR195</f>
        <v>закрыт</v>
      </c>
      <c r="L194" s="907">
        <f>Итоговая!AS195</f>
        <v>117.63813405797102</v>
      </c>
      <c r="M194" s="907"/>
      <c r="N194" s="907"/>
    </row>
    <row r="195" spans="1:14" ht="20.100000000000001" hidden="1" customHeight="1" x14ac:dyDescent="0.25">
      <c r="A195" s="2412">
        <f>Итоговая!Y196</f>
        <v>0</v>
      </c>
      <c r="B195" s="2440"/>
      <c r="C195" s="84" t="str">
        <f>Итоговая!AA196</f>
        <v xml:space="preserve">Ном. Мощность СН, МВА </v>
      </c>
      <c r="D195" s="246">
        <f>Итоговая!AB196</f>
        <v>16</v>
      </c>
      <c r="E195" s="247" t="str">
        <f>Итоговая!AC196</f>
        <v>+</v>
      </c>
      <c r="F195" s="247">
        <f>Итоговая!AD196</f>
        <v>16</v>
      </c>
      <c r="G195" s="247">
        <f>Итоговая!AE196</f>
        <v>0</v>
      </c>
      <c r="H195" s="247">
        <f>Итоговая!AF196</f>
        <v>0</v>
      </c>
      <c r="I195" s="2416">
        <f>Итоговая!AP196</f>
        <v>0</v>
      </c>
      <c r="J195" s="2416">
        <f>Итоговая!AQ196</f>
        <v>0</v>
      </c>
      <c r="K195" s="907" t="str">
        <f>Итоговая!AR196</f>
        <v>открыт</v>
      </c>
      <c r="L195" s="907">
        <f>Итоговая!AS196</f>
        <v>0</v>
      </c>
      <c r="M195" s="907"/>
      <c r="N195" s="907"/>
    </row>
    <row r="196" spans="1:14" ht="20.100000000000001" hidden="1" customHeight="1" x14ac:dyDescent="0.25">
      <c r="A196" s="2412">
        <f>Итоговая!Y197</f>
        <v>0</v>
      </c>
      <c r="B196" s="2441"/>
      <c r="C196" s="84" t="str">
        <f>Итоговая!AA197</f>
        <v>Ном. мощность НН, МВА</v>
      </c>
      <c r="D196" s="246">
        <f>Итоговая!AB197</f>
        <v>16</v>
      </c>
      <c r="E196" s="247" t="str">
        <f>Итоговая!AC197</f>
        <v>+</v>
      </c>
      <c r="F196" s="247">
        <f>Итоговая!AD197</f>
        <v>16</v>
      </c>
      <c r="G196" s="247">
        <f>Итоговая!AE197</f>
        <v>0</v>
      </c>
      <c r="H196" s="247">
        <f>Итоговая!AF197</f>
        <v>0</v>
      </c>
      <c r="I196" s="2417">
        <f>Итоговая!AP197</f>
        <v>0</v>
      </c>
      <c r="J196" s="2417">
        <f>Итоговая!AQ197</f>
        <v>0</v>
      </c>
      <c r="K196" s="907" t="str">
        <f>Итоговая!AR197</f>
        <v>открыт</v>
      </c>
      <c r="L196" s="907">
        <f>Итоговая!AS197</f>
        <v>0</v>
      </c>
      <c r="M196" s="907"/>
      <c r="N196" s="907"/>
    </row>
    <row r="197" spans="1:14" hidden="1" x14ac:dyDescent="0.25">
      <c r="A197" s="2412">
        <f>Итоговая!Y198</f>
        <v>142</v>
      </c>
      <c r="B197" s="2423">
        <f>COUNTIFS($C$8:C197,"*ПС*",$J$8:J197,"*закрыт*")</f>
        <v>17</v>
      </c>
      <c r="C197" s="84" t="str">
        <f>Итоговая!AA198</f>
        <v xml:space="preserve">ПС 110/35/10 кВ Простор </v>
      </c>
      <c r="D197" s="230">
        <f>Итоговая!AB198</f>
        <v>25</v>
      </c>
      <c r="E197" s="229" t="str">
        <f>Итоговая!AC198</f>
        <v>+</v>
      </c>
      <c r="F197" s="229">
        <f>Итоговая!AD198</f>
        <v>25</v>
      </c>
      <c r="G197" s="229">
        <f>Итоговая!AE198</f>
        <v>0</v>
      </c>
      <c r="H197" s="229">
        <f>Итоговая!AF198</f>
        <v>0</v>
      </c>
      <c r="I197" s="2415">
        <f>Итоговая!AP198</f>
        <v>10.204348913043479</v>
      </c>
      <c r="J197" s="2415" t="str">
        <f>Итоговая!AQ198</f>
        <v>открыт</v>
      </c>
      <c r="K197" s="907" t="str">
        <f>Итоговая!AR198</f>
        <v>открыт</v>
      </c>
      <c r="L197" s="907">
        <f>Итоговая!AS198</f>
        <v>62.383432712215317</v>
      </c>
      <c r="M197" s="907"/>
      <c r="N197" s="907"/>
    </row>
    <row r="198" spans="1:14" hidden="1" x14ac:dyDescent="0.25">
      <c r="A198" s="2412">
        <f>Итоговая!Y199</f>
        <v>0</v>
      </c>
      <c r="B198" s="2440"/>
      <c r="C198" s="84" t="str">
        <f>Итоговая!AA199</f>
        <v xml:space="preserve">Ном. Мощность СН, МВА </v>
      </c>
      <c r="D198" s="230">
        <f>Итоговая!AB199</f>
        <v>25</v>
      </c>
      <c r="E198" s="229" t="str">
        <f>Итоговая!AC199</f>
        <v>+</v>
      </c>
      <c r="F198" s="229">
        <f>Итоговая!AD199</f>
        <v>25</v>
      </c>
      <c r="G198" s="229">
        <f>Итоговая!AE199</f>
        <v>0</v>
      </c>
      <c r="H198" s="229">
        <f>Итоговая!AF199</f>
        <v>0</v>
      </c>
      <c r="I198" s="2416">
        <f>Итоговая!AP199</f>
        <v>0</v>
      </c>
      <c r="J198" s="2416" t="str">
        <f>Итоговая!AQ199</f>
        <v>открыт</v>
      </c>
      <c r="K198" s="907" t="str">
        <f>Итоговая!AR199</f>
        <v>открыт</v>
      </c>
      <c r="L198" s="907">
        <f>Итоговая!AS199</f>
        <v>0</v>
      </c>
      <c r="M198" s="907"/>
      <c r="N198" s="907"/>
    </row>
    <row r="199" spans="1:14" hidden="1" x14ac:dyDescent="0.25">
      <c r="A199" s="2412">
        <f>Итоговая!Y200</f>
        <v>0</v>
      </c>
      <c r="B199" s="2441"/>
      <c r="C199" s="84" t="str">
        <f>Итоговая!AA200</f>
        <v>Ном. мощность НН, МВА</v>
      </c>
      <c r="D199" s="230">
        <f>Итоговая!AB200</f>
        <v>25</v>
      </c>
      <c r="E199" s="229" t="str">
        <f>Итоговая!AC200</f>
        <v>+</v>
      </c>
      <c r="F199" s="229">
        <f>Итоговая!AD200</f>
        <v>25</v>
      </c>
      <c r="G199" s="229">
        <f>Итоговая!AE200</f>
        <v>0</v>
      </c>
      <c r="H199" s="229">
        <f>Итоговая!AF200</f>
        <v>0</v>
      </c>
      <c r="I199" s="2417">
        <f>Итоговая!AP200</f>
        <v>0</v>
      </c>
      <c r="J199" s="2417" t="str">
        <f>Итоговая!AQ200</f>
        <v>открыт</v>
      </c>
      <c r="K199" s="907" t="str">
        <f>Итоговая!AR200</f>
        <v>открыт</v>
      </c>
      <c r="L199" s="907">
        <f>Итоговая!AS200</f>
        <v>0</v>
      </c>
      <c r="M199" s="907"/>
      <c r="N199" s="907"/>
    </row>
    <row r="200" spans="1:14" ht="20.100000000000001" customHeight="1" x14ac:dyDescent="0.25">
      <c r="A200" s="2412">
        <f>Итоговая!Y201</f>
        <v>143</v>
      </c>
      <c r="B200" s="2423">
        <f>COUNTIFS($C$8:C200,"*ПС*",$J$8:J200,"*закрыт*")</f>
        <v>18</v>
      </c>
      <c r="C200" s="84" t="str">
        <f>Итоговая!AA201</f>
        <v xml:space="preserve">ПС 110/35/10 кВ  Радуга </v>
      </c>
      <c r="D200" s="230">
        <f>Итоговая!AB201</f>
        <v>40</v>
      </c>
      <c r="E200" s="229" t="str">
        <f>Итоговая!AC201</f>
        <v>+</v>
      </c>
      <c r="F200" s="229">
        <f>Итоговая!AD201</f>
        <v>25</v>
      </c>
      <c r="G200" s="229">
        <f>Итоговая!AE201</f>
        <v>0</v>
      </c>
      <c r="H200" s="229">
        <f>Итоговая!AF201</f>
        <v>0</v>
      </c>
      <c r="I200" s="2415">
        <f>Итоговая!AP201</f>
        <v>-3.9039130434782621</v>
      </c>
      <c r="J200" s="2415" t="str">
        <f>Итоговая!AQ201</f>
        <v>закрыт</v>
      </c>
      <c r="K200" s="907" t="str">
        <f>Итоговая!AR201</f>
        <v>закрыт</v>
      </c>
      <c r="L200" s="907">
        <f>Итоговая!AS201</f>
        <v>115.21490683229814</v>
      </c>
      <c r="M200" s="907"/>
      <c r="N200" s="907"/>
    </row>
    <row r="201" spans="1:14" ht="20.100000000000001" hidden="1" customHeight="1" x14ac:dyDescent="0.25">
      <c r="A201" s="2412">
        <f>Итоговая!Y202</f>
        <v>0</v>
      </c>
      <c r="B201" s="2440"/>
      <c r="C201" s="84" t="str">
        <f>Итоговая!AA202</f>
        <v xml:space="preserve">Ном. Мощность СН, МВА </v>
      </c>
      <c r="D201" s="230">
        <f>Итоговая!AB202</f>
        <v>40</v>
      </c>
      <c r="E201" s="229" t="str">
        <f>Итоговая!AC202</f>
        <v>+</v>
      </c>
      <c r="F201" s="229">
        <f>Итоговая!AD202</f>
        <v>25</v>
      </c>
      <c r="G201" s="229">
        <f>Итоговая!AE202</f>
        <v>0</v>
      </c>
      <c r="H201" s="229">
        <f>Итоговая!AF202</f>
        <v>0</v>
      </c>
      <c r="I201" s="2416">
        <f>Итоговая!AP202</f>
        <v>0</v>
      </c>
      <c r="J201" s="2416">
        <f>Итоговая!AQ202</f>
        <v>0</v>
      </c>
      <c r="K201" s="907" t="str">
        <f>Итоговая!AR202</f>
        <v>открыт</v>
      </c>
      <c r="L201" s="907">
        <f>Итоговая!AS202</f>
        <v>0</v>
      </c>
      <c r="M201" s="907"/>
      <c r="N201" s="907"/>
    </row>
    <row r="202" spans="1:14" ht="20.100000000000001" hidden="1" customHeight="1" x14ac:dyDescent="0.25">
      <c r="A202" s="2412">
        <f>Итоговая!Y203</f>
        <v>0</v>
      </c>
      <c r="B202" s="2441"/>
      <c r="C202" s="84" t="str">
        <f>Итоговая!AA203</f>
        <v>Ном. мощность НН, МВА</v>
      </c>
      <c r="D202" s="230">
        <f>Итоговая!AB203</f>
        <v>40</v>
      </c>
      <c r="E202" s="229" t="str">
        <f>Итоговая!AC203</f>
        <v>+</v>
      </c>
      <c r="F202" s="229">
        <f>Итоговая!AD203</f>
        <v>25</v>
      </c>
      <c r="G202" s="229">
        <f>Итоговая!AE203</f>
        <v>0</v>
      </c>
      <c r="H202" s="229">
        <f>Итоговая!AF203</f>
        <v>0</v>
      </c>
      <c r="I202" s="2417">
        <f>Итоговая!AP203</f>
        <v>0</v>
      </c>
      <c r="J202" s="2417">
        <f>Итоговая!AQ203</f>
        <v>0</v>
      </c>
      <c r="K202" s="907" t="str">
        <f>Итоговая!AR203</f>
        <v>открыт</v>
      </c>
      <c r="L202" s="907">
        <f>Итоговая!AS203</f>
        <v>0</v>
      </c>
      <c r="M202" s="907"/>
      <c r="N202" s="907"/>
    </row>
    <row r="203" spans="1:14" hidden="1" x14ac:dyDescent="0.25">
      <c r="A203" s="2412">
        <f>Итоговая!Y204</f>
        <v>144</v>
      </c>
      <c r="B203" s="2423">
        <f>COUNTIFS($C$8:C203,"*ПС*",$J$8:J203,"*закрыт*")</f>
        <v>18</v>
      </c>
      <c r="C203" s="84" t="str">
        <f>Итоговая!AA204</f>
        <v xml:space="preserve">ПС 110/35/10 кВ Роща </v>
      </c>
      <c r="D203" s="230">
        <f>Итоговая!AB204</f>
        <v>10</v>
      </c>
      <c r="E203" s="229" t="str">
        <f>Итоговая!AC204</f>
        <v>+</v>
      </c>
      <c r="F203" s="229">
        <f>Итоговая!AD204</f>
        <v>10</v>
      </c>
      <c r="G203" s="229">
        <f>Итоговая!AE204</f>
        <v>0</v>
      </c>
      <c r="H203" s="229">
        <f>Итоговая!AF204</f>
        <v>0</v>
      </c>
      <c r="I203" s="2415">
        <f>Итоговая!AP204</f>
        <v>6.3392391304347822</v>
      </c>
      <c r="J203" s="2415" t="str">
        <f>Итоговая!AQ204</f>
        <v>открыт</v>
      </c>
      <c r="K203" s="907" t="str">
        <f>Итоговая!AR204</f>
        <v>открыт</v>
      </c>
      <c r="L203" s="907">
        <f>Итоговая!AS204</f>
        <v>39.626293995859221</v>
      </c>
      <c r="M203" s="907"/>
      <c r="N203" s="907"/>
    </row>
    <row r="204" spans="1:14" hidden="1" x14ac:dyDescent="0.25">
      <c r="A204" s="2412">
        <f>Итоговая!Y205</f>
        <v>0</v>
      </c>
      <c r="B204" s="2440"/>
      <c r="C204" s="84" t="str">
        <f>Итоговая!AA205</f>
        <v xml:space="preserve">Ном. Мощность СН, МВА </v>
      </c>
      <c r="D204" s="230">
        <f>Итоговая!AB205</f>
        <v>10</v>
      </c>
      <c r="E204" s="229" t="str">
        <f>Итоговая!AC205</f>
        <v>+</v>
      </c>
      <c r="F204" s="229">
        <f>Итоговая!AD205</f>
        <v>10</v>
      </c>
      <c r="G204" s="229">
        <f>Итоговая!AE205</f>
        <v>0</v>
      </c>
      <c r="H204" s="229">
        <f>Итоговая!AF205</f>
        <v>0</v>
      </c>
      <c r="I204" s="2416">
        <f>Итоговая!AP205</f>
        <v>0</v>
      </c>
      <c r="J204" s="2416" t="str">
        <f>Итоговая!AQ205</f>
        <v>открыт</v>
      </c>
      <c r="K204" s="907" t="str">
        <f>Итоговая!AR205</f>
        <v>открыт</v>
      </c>
      <c r="L204" s="907">
        <f>Итоговая!AS205</f>
        <v>0</v>
      </c>
      <c r="M204" s="907"/>
      <c r="N204" s="907"/>
    </row>
    <row r="205" spans="1:14" hidden="1" x14ac:dyDescent="0.25">
      <c r="A205" s="2412">
        <f>Итоговая!Y206</f>
        <v>0</v>
      </c>
      <c r="B205" s="2441"/>
      <c r="C205" s="84" t="str">
        <f>Итоговая!AA206</f>
        <v>Ном. мощность НН, МВА</v>
      </c>
      <c r="D205" s="230">
        <f>Итоговая!AB206</f>
        <v>10</v>
      </c>
      <c r="E205" s="229" t="str">
        <f>Итоговая!AC206</f>
        <v>+</v>
      </c>
      <c r="F205" s="229">
        <f>Итоговая!AD206</f>
        <v>10</v>
      </c>
      <c r="G205" s="229">
        <f>Итоговая!AE206</f>
        <v>0</v>
      </c>
      <c r="H205" s="229">
        <f>Итоговая!AF206</f>
        <v>0</v>
      </c>
      <c r="I205" s="2417">
        <f>Итоговая!AP206</f>
        <v>0</v>
      </c>
      <c r="J205" s="2417" t="str">
        <f>Итоговая!AQ206</f>
        <v>открыт</v>
      </c>
      <c r="K205" s="907" t="str">
        <f>Итоговая!AR206</f>
        <v>открыт</v>
      </c>
      <c r="L205" s="907">
        <f>Итоговая!AS206</f>
        <v>0</v>
      </c>
      <c r="M205" s="907"/>
      <c r="N205" s="907"/>
    </row>
    <row r="206" spans="1:14" hidden="1" x14ac:dyDescent="0.25">
      <c r="A206" s="212">
        <f>Итоговая!Y207</f>
        <v>145</v>
      </c>
      <c r="B206" s="1133">
        <f>COUNTIFS($C$8:C206,"*ПС*",$J$8:J206,"*закрыт*")</f>
        <v>18</v>
      </c>
      <c r="C206" s="212" t="str">
        <f>Итоговая!AA207</f>
        <v>ПС 110/10 кВ Бибирево</v>
      </c>
      <c r="D206" s="230">
        <f>Итоговая!AB207</f>
        <v>2.5</v>
      </c>
      <c r="E206" s="229">
        <f>Итоговая!AC207</f>
        <v>0</v>
      </c>
      <c r="F206" s="229">
        <f>Итоговая!AD207</f>
        <v>0</v>
      </c>
      <c r="G206" s="229">
        <f>Итоговая!AE207</f>
        <v>0</v>
      </c>
      <c r="H206" s="229">
        <f>Итоговая!AF207</f>
        <v>0</v>
      </c>
      <c r="I206" s="172">
        <f>Итоговая!AP207</f>
        <v>1.08</v>
      </c>
      <c r="J206" s="172" t="str">
        <f>Итоговая!AQ207</f>
        <v>открыт</v>
      </c>
      <c r="K206" s="907" t="str">
        <f>Итоговая!AR207</f>
        <v>открыт</v>
      </c>
      <c r="L206" s="907">
        <f>Итоговая!AS207</f>
        <v>6.8571428571428568</v>
      </c>
      <c r="M206" s="907"/>
      <c r="N206" s="907"/>
    </row>
    <row r="207" spans="1:14" hidden="1" x14ac:dyDescent="0.25">
      <c r="A207" s="212">
        <f>Итоговая!Y208</f>
        <v>146</v>
      </c>
      <c r="B207" s="1133">
        <f>COUNTIFS($C$8:C207,"*ПС*",$J$8:J207,"*закрыт*")</f>
        <v>18</v>
      </c>
      <c r="C207" s="212" t="str">
        <f>Итоговая!AA208</f>
        <v>ПС 35/10 кВ Бор</v>
      </c>
      <c r="D207" s="230">
        <f>Итоговая!AB208</f>
        <v>1.6</v>
      </c>
      <c r="E207" s="229">
        <f>Итоговая!AC208</f>
        <v>0</v>
      </c>
      <c r="F207" s="229">
        <f>Итоговая!AD208</f>
        <v>0</v>
      </c>
      <c r="G207" s="229">
        <f>Итоговая!AE208</f>
        <v>0</v>
      </c>
      <c r="H207" s="229">
        <f>Итоговая!AF208</f>
        <v>0</v>
      </c>
      <c r="I207" s="172">
        <f>Итоговая!AP208</f>
        <v>1.03</v>
      </c>
      <c r="J207" s="172" t="str">
        <f>Итоговая!AQ208</f>
        <v>открыт</v>
      </c>
      <c r="K207" s="907" t="str">
        <f>Итоговая!AR208</f>
        <v>открыт</v>
      </c>
      <c r="L207" s="907">
        <f>Итоговая!AS208</f>
        <v>18.452380952380949</v>
      </c>
      <c r="M207" s="907"/>
      <c r="N207" s="907"/>
    </row>
    <row r="208" spans="1:14" hidden="1" x14ac:dyDescent="0.25">
      <c r="A208" s="212">
        <f>Итоговая!Y209</f>
        <v>147</v>
      </c>
      <c r="B208" s="1133">
        <f>COUNTIFS($C$8:C208,"*ПС*",$J$8:J208,"*закрыт*")</f>
        <v>18</v>
      </c>
      <c r="C208" s="212" t="str">
        <f>Итоговая!AA209</f>
        <v>ПС 110/10 кВ Воробьи</v>
      </c>
      <c r="D208" s="230">
        <f>Итоговая!AB209</f>
        <v>2.5</v>
      </c>
      <c r="E208" s="229">
        <f>Итоговая!AC209</f>
        <v>0</v>
      </c>
      <c r="F208" s="229">
        <f>Итоговая!AD209</f>
        <v>0</v>
      </c>
      <c r="G208" s="229">
        <f>Итоговая!AE209</f>
        <v>0</v>
      </c>
      <c r="H208" s="229">
        <f>Итоговая!AF209</f>
        <v>0</v>
      </c>
      <c r="I208" s="172">
        <f>Итоговая!AP209</f>
        <v>1</v>
      </c>
      <c r="J208" s="172" t="str">
        <f>Итоговая!AQ209</f>
        <v>открыт</v>
      </c>
      <c r="K208" s="907" t="str">
        <f>Итоговая!AR209</f>
        <v>открыт</v>
      </c>
      <c r="L208" s="907">
        <f>Итоговая!AS209</f>
        <v>10.666666666666668</v>
      </c>
      <c r="M208" s="907"/>
      <c r="N208" s="907"/>
    </row>
    <row r="209" spans="1:14" ht="20.100000000000001" customHeight="1" x14ac:dyDescent="0.25">
      <c r="A209" s="212">
        <f>Итоговая!Y210</f>
        <v>148</v>
      </c>
      <c r="B209" s="2260">
        <f>COUNTIFS($C$8:C209,"*ПС*",$J$8:J209,"*закрыт*")</f>
        <v>19</v>
      </c>
      <c r="C209" s="212" t="str">
        <f>Итоговая!AA210</f>
        <v>ПС 35/10 кВ Глазомичи</v>
      </c>
      <c r="D209" s="230">
        <f>Итоговая!AB210</f>
        <v>2.5</v>
      </c>
      <c r="E209" s="229">
        <f>Итоговая!AC210</f>
        <v>0</v>
      </c>
      <c r="F209" s="229">
        <f>Итоговая!AD210</f>
        <v>0</v>
      </c>
      <c r="G209" s="229">
        <f>Итоговая!AE210</f>
        <v>0</v>
      </c>
      <c r="H209" s="229">
        <f>Итоговая!AF210</f>
        <v>0</v>
      </c>
      <c r="I209" s="2134">
        <f>Итоговая!AP210</f>
        <v>-0.05</v>
      </c>
      <c r="J209" s="172" t="str">
        <f>Итоговая!AQ210</f>
        <v>закрыт</v>
      </c>
      <c r="K209" s="907" t="str">
        <f>Итоговая!AR210</f>
        <v>закрыт</v>
      </c>
      <c r="L209" s="907">
        <f>Итоговая!AS210</f>
        <v>1.9047619047619047</v>
      </c>
      <c r="M209" s="907"/>
      <c r="N209" s="907"/>
    </row>
    <row r="210" spans="1:14" ht="20.100000000000001" customHeight="1" x14ac:dyDescent="0.25">
      <c r="A210" s="212">
        <f>Итоговая!Y211</f>
        <v>149</v>
      </c>
      <c r="B210" s="2260">
        <f>COUNTIFS($C$8:C210,"*ПС*",$J$8:J210,"*закрыт*")</f>
        <v>20</v>
      </c>
      <c r="C210" s="212" t="str">
        <f>Итоговая!AA211</f>
        <v>ПС 35/10 кВ Жарки</v>
      </c>
      <c r="D210" s="230">
        <f>Итоговая!AB211</f>
        <v>2.5</v>
      </c>
      <c r="E210" s="229">
        <f>Итоговая!AC211</f>
        <v>0</v>
      </c>
      <c r="F210" s="229">
        <f>Итоговая!AD211</f>
        <v>0</v>
      </c>
      <c r="G210" s="229">
        <f>Итоговая!AE211</f>
        <v>0</v>
      </c>
      <c r="H210" s="229">
        <f>Итоговая!AF211</f>
        <v>0</v>
      </c>
      <c r="I210" s="2134">
        <f>Итоговая!AP211</f>
        <v>-1.9708695652173913</v>
      </c>
      <c r="J210" s="172" t="str">
        <f>Итоговая!AQ211</f>
        <v>закрыт</v>
      </c>
      <c r="K210" s="907" t="str">
        <f>Итоговая!AR211</f>
        <v>закрыт</v>
      </c>
      <c r="L210" s="907">
        <f>Итоговая!AS211</f>
        <v>75.0807453416149</v>
      </c>
      <c r="M210" s="907"/>
      <c r="N210" s="907"/>
    </row>
    <row r="211" spans="1:14" ht="20.100000000000001" hidden="1" customHeight="1" x14ac:dyDescent="0.25">
      <c r="A211" s="212">
        <f>Итоговая!Y212</f>
        <v>150</v>
      </c>
      <c r="B211" s="1133">
        <f>COUNTIFS($C$8:C211,"*ПС*",$J$8:J211,"*закрыт*")</f>
        <v>20</v>
      </c>
      <c r="C211" s="212" t="str">
        <f>Итоговая!AA212</f>
        <v>ПС 35/10 кВ Земцы</v>
      </c>
      <c r="D211" s="230">
        <f>Итоговая!AB212</f>
        <v>2.5</v>
      </c>
      <c r="E211" s="229">
        <f>Итоговая!AC212</f>
        <v>0</v>
      </c>
      <c r="F211" s="229">
        <f>Итоговая!AD212</f>
        <v>0</v>
      </c>
      <c r="G211" s="229">
        <f>Итоговая!AE212</f>
        <v>0</v>
      </c>
      <c r="H211" s="229">
        <f>Итоговая!AF212</f>
        <v>0</v>
      </c>
      <c r="I211" s="172">
        <f>Итоговая!AP212</f>
        <v>2.35</v>
      </c>
      <c r="J211" s="172" t="str">
        <f>Итоговая!AQ212</f>
        <v>открыт</v>
      </c>
      <c r="K211" s="907" t="str">
        <f>Итоговая!AR212</f>
        <v>открыт</v>
      </c>
      <c r="L211" s="907">
        <f>Итоговая!AS212</f>
        <v>14.476190476190476</v>
      </c>
      <c r="M211" s="907"/>
      <c r="N211" s="907"/>
    </row>
    <row r="212" spans="1:14" hidden="1" x14ac:dyDescent="0.25">
      <c r="A212" s="212">
        <f>Итоговая!Y213</f>
        <v>151</v>
      </c>
      <c r="B212" s="1133">
        <f>COUNTIFS($C$8:C212,"*ПС*",$J$8:J212,"*закрыт*")</f>
        <v>20</v>
      </c>
      <c r="C212" s="212" t="str">
        <f>Итоговая!AA213</f>
        <v>ПС 35/10 кВ Ковалево</v>
      </c>
      <c r="D212" s="230">
        <f>Итоговая!AB213</f>
        <v>2.5</v>
      </c>
      <c r="E212" s="229">
        <f>Итоговая!AC213</f>
        <v>0</v>
      </c>
      <c r="F212" s="229">
        <f>Итоговая!AD213</f>
        <v>0</v>
      </c>
      <c r="G212" s="229">
        <f>Итоговая!AE213</f>
        <v>0</v>
      </c>
      <c r="H212" s="229">
        <f>Итоговая!AF213</f>
        <v>0</v>
      </c>
      <c r="I212" s="172">
        <f>Итоговая!AP213</f>
        <v>0.70000000000000007</v>
      </c>
      <c r="J212" s="172" t="str">
        <f>Итоговая!AQ213</f>
        <v>открыт</v>
      </c>
      <c r="K212" s="907" t="str">
        <f>Итоговая!AR213</f>
        <v>открыт</v>
      </c>
      <c r="L212" s="907">
        <f>Итоговая!AS213</f>
        <v>8</v>
      </c>
      <c r="M212" s="907"/>
      <c r="N212" s="907"/>
    </row>
    <row r="213" spans="1:14" hidden="1" x14ac:dyDescent="0.25">
      <c r="A213" s="212">
        <f>Итоговая!Y214</f>
        <v>152</v>
      </c>
      <c r="B213" s="1133">
        <f>COUNTIFS($C$8:C213,"*ПС*",$J$8:J213,"*закрыт*")</f>
        <v>20</v>
      </c>
      <c r="C213" s="212" t="str">
        <f>Итоговая!AA214</f>
        <v>ПС 35/10 кВ Коротыши</v>
      </c>
      <c r="D213" s="230">
        <f>Итоговая!AB214</f>
        <v>1.6</v>
      </c>
      <c r="E213" s="229">
        <f>Итоговая!AC214</f>
        <v>0</v>
      </c>
      <c r="F213" s="229">
        <f>Итоговая!AD214</f>
        <v>0</v>
      </c>
      <c r="G213" s="229">
        <f>Итоговая!AE214</f>
        <v>0</v>
      </c>
      <c r="H213" s="229">
        <f>Итоговая!AF214</f>
        <v>0</v>
      </c>
      <c r="I213" s="172">
        <f>Итоговая!AP214</f>
        <v>0.67</v>
      </c>
      <c r="J213" s="172" t="str">
        <f>Итоговая!AQ214</f>
        <v>открыт</v>
      </c>
      <c r="K213" s="907" t="str">
        <f>Итоговая!AR214</f>
        <v>открыт</v>
      </c>
      <c r="L213" s="907">
        <f>Итоговая!AS214</f>
        <v>14.88095238095238</v>
      </c>
      <c r="M213" s="907"/>
      <c r="N213" s="907"/>
    </row>
    <row r="214" spans="1:14" ht="20.100000000000001" hidden="1" customHeight="1" x14ac:dyDescent="0.25">
      <c r="A214" s="212">
        <f>Итоговая!Y215</f>
        <v>153</v>
      </c>
      <c r="B214" s="1133">
        <f>COUNTIFS($C$8:C214,"*ПС*",$J$8:J214,"*закрыт*")</f>
        <v>20</v>
      </c>
      <c r="C214" s="212" t="str">
        <f>Итоговая!AA215</f>
        <v>ПС 110/10 кВ Монино</v>
      </c>
      <c r="D214" s="230">
        <f>Итоговая!AB215</f>
        <v>6.3</v>
      </c>
      <c r="E214" s="229">
        <f>Итоговая!AC215</f>
        <v>0</v>
      </c>
      <c r="F214" s="229">
        <f>Итоговая!AD215</f>
        <v>0</v>
      </c>
      <c r="G214" s="229">
        <f>Итоговая!AE215</f>
        <v>0</v>
      </c>
      <c r="H214" s="229">
        <f>Итоговая!AF215</f>
        <v>0</v>
      </c>
      <c r="I214" s="172">
        <f>Итоговая!AP215</f>
        <v>0.90999999999999992</v>
      </c>
      <c r="J214" s="172" t="str">
        <f>Итоговая!AQ215</f>
        <v>открыт</v>
      </c>
      <c r="K214" s="907" t="str">
        <f>Итоговая!AR215</f>
        <v>открыт</v>
      </c>
      <c r="L214" s="907">
        <f>Итоговая!AS215</f>
        <v>14.663643235071806</v>
      </c>
      <c r="M214" s="907"/>
      <c r="N214" s="907"/>
    </row>
    <row r="215" spans="1:14" ht="20.100000000000001" hidden="1" customHeight="1" x14ac:dyDescent="0.25">
      <c r="A215" s="212">
        <f>Итоговая!Y216</f>
        <v>154</v>
      </c>
      <c r="B215" s="752">
        <f>COUNTIFS($C$8:C215,"*ПС*",$J$8:J215,"*закрыт*")</f>
        <v>20</v>
      </c>
      <c r="C215" s="212" t="str">
        <f>Итоговая!AA216</f>
        <v>ПС 35/10 кВ Озерец</v>
      </c>
      <c r="D215" s="230">
        <f>Итоговая!AB216</f>
        <v>1</v>
      </c>
      <c r="E215" s="229">
        <f>Итоговая!AC216</f>
        <v>0</v>
      </c>
      <c r="F215" s="229">
        <f>Итоговая!AD216</f>
        <v>0</v>
      </c>
      <c r="G215" s="229">
        <f>Итоговая!AE216</f>
        <v>0</v>
      </c>
      <c r="H215" s="229">
        <f>Итоговая!AF216</f>
        <v>0</v>
      </c>
      <c r="I215" s="172">
        <f>Итоговая!AP216</f>
        <v>0.69</v>
      </c>
      <c r="J215" s="172" t="str">
        <f>Итоговая!AQ216</f>
        <v>открыт</v>
      </c>
      <c r="K215" s="907" t="str">
        <f>Итоговая!AR216</f>
        <v>открыт</v>
      </c>
      <c r="L215" s="907">
        <f>Итоговая!AS216</f>
        <v>17.142857142857142</v>
      </c>
      <c r="M215" s="907"/>
      <c r="N215" s="907"/>
    </row>
    <row r="216" spans="1:14" hidden="1" x14ac:dyDescent="0.25">
      <c r="A216" s="212">
        <f>Итоговая!Y217</f>
        <v>155</v>
      </c>
      <c r="B216" s="1133">
        <f>COUNTIFS($C$8:C216,"*ПС*",$J$8:J216,"*закрыт*")</f>
        <v>20</v>
      </c>
      <c r="C216" s="212" t="str">
        <f>Итоговая!AA217</f>
        <v>ПС 35/10 кВ Пожня</v>
      </c>
      <c r="D216" s="230">
        <f>Итоговая!AB217</f>
        <v>1.6</v>
      </c>
      <c r="E216" s="229">
        <f>Итоговая!AC217</f>
        <v>0</v>
      </c>
      <c r="F216" s="229">
        <f>Итоговая!AD217</f>
        <v>0</v>
      </c>
      <c r="G216" s="229">
        <f>Итоговая!AE217</f>
        <v>0</v>
      </c>
      <c r="H216" s="229">
        <f>Итоговая!AF217</f>
        <v>0</v>
      </c>
      <c r="I216" s="172">
        <f>Итоговая!AP217</f>
        <v>0.67</v>
      </c>
      <c r="J216" s="172" t="str">
        <f>Итоговая!AQ217</f>
        <v>открыт</v>
      </c>
      <c r="K216" s="907" t="str">
        <f>Итоговая!AR217</f>
        <v>открыт</v>
      </c>
      <c r="L216" s="907">
        <f>Итоговая!AS217</f>
        <v>13.69047619047619</v>
      </c>
      <c r="M216" s="907"/>
      <c r="N216" s="907"/>
    </row>
    <row r="217" spans="1:14" hidden="1" x14ac:dyDescent="0.25">
      <c r="A217" s="212">
        <f>Итоговая!Y218</f>
        <v>156</v>
      </c>
      <c r="B217" s="1133">
        <f>COUNTIFS($C$8:C217,"*ПС*",$J$8:J217,"*закрыт*")</f>
        <v>20</v>
      </c>
      <c r="C217" s="212" t="str">
        <f>Итоговая!AA218</f>
        <v>ПС 35/10 кВ Половцово</v>
      </c>
      <c r="D217" s="230">
        <f>Итоговая!AB218</f>
        <v>1.6</v>
      </c>
      <c r="E217" s="229">
        <f>Итоговая!AC218</f>
        <v>0</v>
      </c>
      <c r="F217" s="229">
        <f>Итоговая!AD218</f>
        <v>0</v>
      </c>
      <c r="G217" s="229">
        <f>Итоговая!AE218</f>
        <v>0</v>
      </c>
      <c r="H217" s="229">
        <f>Итоговая!AF218</f>
        <v>0</v>
      </c>
      <c r="I217" s="172">
        <f>Итоговая!AP218</f>
        <v>0.7</v>
      </c>
      <c r="J217" s="172" t="str">
        <f>Итоговая!AQ218</f>
        <v>открыт</v>
      </c>
      <c r="K217" s="907" t="str">
        <f>Итоговая!AR218</f>
        <v>открыт</v>
      </c>
      <c r="L217" s="907">
        <f>Итоговая!AS218</f>
        <v>32.142857142857139</v>
      </c>
      <c r="M217" s="907"/>
      <c r="N217" s="907"/>
    </row>
    <row r="218" spans="1:14" ht="20.100000000000001" hidden="1" customHeight="1" x14ac:dyDescent="0.25">
      <c r="A218" s="212">
        <f>Итоговая!Y219</f>
        <v>157</v>
      </c>
      <c r="B218" s="1133">
        <f>COUNTIFS($C$8:C218,"*ПС*",$J$8:J218,"*закрыт*")</f>
        <v>20</v>
      </c>
      <c r="C218" s="212" t="str">
        <f>Итоговая!AA219</f>
        <v>ПС 110/10 кВ Понизовье</v>
      </c>
      <c r="D218" s="230">
        <f>Итоговая!AB219</f>
        <v>2.5</v>
      </c>
      <c r="E218" s="229">
        <f>Итоговая!AC219</f>
        <v>0</v>
      </c>
      <c r="F218" s="229">
        <f>Итоговая!AD219</f>
        <v>0</v>
      </c>
      <c r="G218" s="229">
        <f>Итоговая!AE219</f>
        <v>0</v>
      </c>
      <c r="H218" s="229">
        <f>Итоговая!AF219</f>
        <v>0</v>
      </c>
      <c r="I218" s="172">
        <f>Итоговая!AP219</f>
        <v>2.0700000000000003</v>
      </c>
      <c r="J218" s="172" t="str">
        <f>Итоговая!AQ219</f>
        <v>открыт</v>
      </c>
      <c r="K218" s="907" t="str">
        <f>Итоговая!AR219</f>
        <v>открыт</v>
      </c>
      <c r="L218" s="907">
        <f>Итоговая!AS219</f>
        <v>14.476190476190476</v>
      </c>
      <c r="M218" s="907"/>
      <c r="N218" s="907"/>
    </row>
    <row r="219" spans="1:14" hidden="1" x14ac:dyDescent="0.25">
      <c r="A219" s="212">
        <f>Итоговая!Y220</f>
        <v>158</v>
      </c>
      <c r="B219" s="1860">
        <f>COUNTIFS($C$8:C219,"*ПС*",$J$8:J219,"*закрыт*")</f>
        <v>20</v>
      </c>
      <c r="C219" s="212" t="str">
        <f>Итоговая!AA220</f>
        <v>ПС 35/10 кВ Синьково</v>
      </c>
      <c r="D219" s="230">
        <f>Итоговая!AB220</f>
        <v>1</v>
      </c>
      <c r="E219" s="229">
        <f>Итоговая!AC220</f>
        <v>0</v>
      </c>
      <c r="F219" s="229">
        <f>Итоговая!AD220</f>
        <v>0</v>
      </c>
      <c r="G219" s="229">
        <f>Итоговая!AE220</f>
        <v>0</v>
      </c>
      <c r="H219" s="229">
        <f>Итоговая!AF220</f>
        <v>0</v>
      </c>
      <c r="I219" s="172">
        <f>Итоговая!AP220</f>
        <v>4.1304347826086996E-2</v>
      </c>
      <c r="J219" s="172" t="str">
        <f>Итоговая!AQ220</f>
        <v>открыт</v>
      </c>
      <c r="K219" s="907" t="str">
        <f>Итоговая!AR220</f>
        <v>открыт</v>
      </c>
      <c r="L219" s="907">
        <f>Итоговая!AS220</f>
        <v>38.923395445134574</v>
      </c>
      <c r="M219" s="907"/>
      <c r="N219" s="907"/>
    </row>
    <row r="220" spans="1:14" ht="20.100000000000001" customHeight="1" x14ac:dyDescent="0.25">
      <c r="A220" s="212">
        <f>Итоговая!Y221</f>
        <v>159</v>
      </c>
      <c r="B220" s="2260">
        <f>COUNTIFS($C$8:C220,"*ПС*",$J$8:J220,"*закрыт*")</f>
        <v>21</v>
      </c>
      <c r="C220" s="212" t="str">
        <f>Итоговая!AA221</f>
        <v>ПС 35/10 кВ Улин</v>
      </c>
      <c r="D220" s="230">
        <f>Итоговая!AB221</f>
        <v>1.6</v>
      </c>
      <c r="E220" s="229">
        <f>Итоговая!AC221</f>
        <v>0</v>
      </c>
      <c r="F220" s="229">
        <f>Итоговая!AD221</f>
        <v>0</v>
      </c>
      <c r="G220" s="229">
        <f>Итоговая!AE221</f>
        <v>0</v>
      </c>
      <c r="H220" s="229">
        <f>Итоговая!AF221</f>
        <v>0</v>
      </c>
      <c r="I220" s="2134">
        <f>Итоговая!AP221</f>
        <v>-0.34</v>
      </c>
      <c r="J220" s="172" t="str">
        <f>Итоговая!AQ221</f>
        <v>закрыт</v>
      </c>
      <c r="K220" s="907" t="str">
        <f>Итоговая!AR221</f>
        <v>закрыт</v>
      </c>
      <c r="L220" s="907">
        <f>Итоговая!AS221</f>
        <v>20.238095238095237</v>
      </c>
      <c r="M220" s="907"/>
      <c r="N220" s="907"/>
    </row>
    <row r="221" spans="1:14" hidden="1" x14ac:dyDescent="0.25">
      <c r="A221" s="212">
        <f>Итоговая!Y222</f>
        <v>160</v>
      </c>
      <c r="B221" s="1133">
        <f>COUNTIFS($C$8:C221,"*ПС*",$J$8:J221,"*закрыт*")</f>
        <v>21</v>
      </c>
      <c r="C221" s="212" t="str">
        <f>Итоговая!AA222</f>
        <v>ПС 35/10 кВ Кавельщино</v>
      </c>
      <c r="D221" s="230">
        <f>Итоговая!AB222</f>
        <v>2.5</v>
      </c>
      <c r="E221" s="229">
        <f>Итоговая!AC222</f>
        <v>0</v>
      </c>
      <c r="F221" s="229">
        <f>Итоговая!AD222</f>
        <v>0</v>
      </c>
      <c r="G221" s="229">
        <f>Итоговая!AE222</f>
        <v>0</v>
      </c>
      <c r="H221" s="229">
        <f>Итоговая!AF222</f>
        <v>0</v>
      </c>
      <c r="I221" s="172">
        <f>Итоговая!AP222</f>
        <v>1.69</v>
      </c>
      <c r="J221" s="172" t="str">
        <f>Итоговая!AQ222</f>
        <v>открыт</v>
      </c>
      <c r="K221" s="907" t="str">
        <f>Итоговая!AR222</f>
        <v>открыт</v>
      </c>
      <c r="L221" s="907">
        <f>Итоговая!AS222</f>
        <v>4.9523809523809526</v>
      </c>
      <c r="M221" s="907"/>
      <c r="N221" s="907"/>
    </row>
    <row r="222" spans="1:14" hidden="1" x14ac:dyDescent="0.25">
      <c r="A222" s="212">
        <f>Итоговая!Y223</f>
        <v>161</v>
      </c>
      <c r="B222" s="1133">
        <f>COUNTIFS($C$8:C222,"*ПС*",$J$8:J222,"*закрыт*")</f>
        <v>21</v>
      </c>
      <c r="C222" s="212" t="str">
        <f>Итоговая!AA223</f>
        <v>ПС 35/10 кВ Бологово</v>
      </c>
      <c r="D222" s="230">
        <f>Итоговая!AB223</f>
        <v>1.6</v>
      </c>
      <c r="E222" s="229" t="str">
        <f>Итоговая!AC223</f>
        <v>+</v>
      </c>
      <c r="F222" s="229">
        <f>Итоговая!AD223</f>
        <v>2.5</v>
      </c>
      <c r="G222" s="229">
        <f>Итоговая!AE223</f>
        <v>0</v>
      </c>
      <c r="H222" s="229">
        <f>Итоговая!AF223</f>
        <v>0</v>
      </c>
      <c r="I222" s="172">
        <f>Итоговая!AP223</f>
        <v>1.3900000000000001</v>
      </c>
      <c r="J222" s="172" t="str">
        <f>Итоговая!AQ223</f>
        <v>открыт</v>
      </c>
      <c r="K222" s="907" t="str">
        <f>Итоговая!AR223</f>
        <v>открыт</v>
      </c>
      <c r="L222" s="907">
        <f>Итоговая!AS223</f>
        <v>33.928571428571423</v>
      </c>
      <c r="M222" s="907"/>
      <c r="N222" s="907"/>
    </row>
    <row r="223" spans="1:14" hidden="1" x14ac:dyDescent="0.25">
      <c r="A223" s="212">
        <f>Итоговая!Y224</f>
        <v>162</v>
      </c>
      <c r="B223" s="1133">
        <f>COUNTIFS($C$8:C223,"*ПС*",$J$8:J223,"*закрыт*")</f>
        <v>21</v>
      </c>
      <c r="C223" s="212" t="str">
        <f>Итоговая!AA224</f>
        <v>ПС 35/10 кВ Верховье</v>
      </c>
      <c r="D223" s="230">
        <f>Итоговая!AB224</f>
        <v>1</v>
      </c>
      <c r="E223" s="229" t="str">
        <f>Итоговая!AC224</f>
        <v>+</v>
      </c>
      <c r="F223" s="229">
        <f>Итоговая!AD224</f>
        <v>2.5</v>
      </c>
      <c r="G223" s="229">
        <f>Итоговая!AE224</f>
        <v>0</v>
      </c>
      <c r="H223" s="229">
        <f>Итоговая!AF224</f>
        <v>0</v>
      </c>
      <c r="I223" s="172">
        <f>Итоговая!AP224</f>
        <v>0.82000000000000006</v>
      </c>
      <c r="J223" s="172" t="str">
        <f>Итоговая!AQ224</f>
        <v>открыт</v>
      </c>
      <c r="K223" s="907" t="str">
        <f>Итоговая!AR224</f>
        <v>открыт</v>
      </c>
      <c r="L223" s="907">
        <f>Итоговая!AS224</f>
        <v>32.38095238095238</v>
      </c>
      <c r="M223" s="907"/>
      <c r="N223" s="907"/>
    </row>
    <row r="224" spans="1:14" hidden="1" x14ac:dyDescent="0.25">
      <c r="A224" s="212">
        <f>Итоговая!Y225</f>
        <v>163</v>
      </c>
      <c r="B224" s="1133">
        <f>COUNTIFS($C$8:C224,"*ПС*",$J$8:J224,"*закрыт*")</f>
        <v>21</v>
      </c>
      <c r="C224" s="212" t="str">
        <f>Итоговая!AA225</f>
        <v>ПС 35/10 кВ Воскресенское</v>
      </c>
      <c r="D224" s="230">
        <f>Итоговая!AB225</f>
        <v>1.6</v>
      </c>
      <c r="E224" s="229" t="str">
        <f>Итоговая!AC225</f>
        <v>+</v>
      </c>
      <c r="F224" s="229">
        <f>Итоговая!AD225</f>
        <v>1.6</v>
      </c>
      <c r="G224" s="229">
        <f>Итоговая!AE225</f>
        <v>0</v>
      </c>
      <c r="H224" s="229">
        <f>Итоговая!AF225</f>
        <v>0</v>
      </c>
      <c r="I224" s="172">
        <f>Итоговая!AP225</f>
        <v>1.4400000000000002</v>
      </c>
      <c r="J224" s="172" t="str">
        <f>Итоговая!AQ225</f>
        <v>открыт</v>
      </c>
      <c r="K224" s="907" t="str">
        <f>Итоговая!AR225</f>
        <v>открыт</v>
      </c>
      <c r="L224" s="907">
        <f>Итоговая!AS225</f>
        <v>27.38095238095238</v>
      </c>
      <c r="M224" s="907"/>
      <c r="N224" s="907"/>
    </row>
    <row r="225" spans="1:14" hidden="1" x14ac:dyDescent="0.25">
      <c r="A225" s="212">
        <f>Итоговая!Y226</f>
        <v>164</v>
      </c>
      <c r="B225" s="1133">
        <f>COUNTIFS($C$8:C225,"*ПС*",$J$8:J225,"*закрыт*")</f>
        <v>21</v>
      </c>
      <c r="C225" s="212" t="str">
        <f>Итоговая!AA226</f>
        <v>ПС 35/10 кВ Дашково</v>
      </c>
      <c r="D225" s="230">
        <f>Итоговая!AB226</f>
        <v>4</v>
      </c>
      <c r="E225" s="229" t="str">
        <f>Итоговая!AC226</f>
        <v>+</v>
      </c>
      <c r="F225" s="229">
        <f>Итоговая!AD226</f>
        <v>4</v>
      </c>
      <c r="G225" s="229">
        <f>Итоговая!AE226</f>
        <v>0</v>
      </c>
      <c r="H225" s="229">
        <f>Итоговая!AF226</f>
        <v>0</v>
      </c>
      <c r="I225" s="172">
        <f>Итоговая!AP226</f>
        <v>3.52</v>
      </c>
      <c r="J225" s="172" t="str">
        <f>Итоговая!AQ226</f>
        <v>открыт</v>
      </c>
      <c r="K225" s="907" t="str">
        <f>Итоговая!AR226</f>
        <v>открыт</v>
      </c>
      <c r="L225" s="907">
        <f>Итоговая!AS226</f>
        <v>36.666666666666664</v>
      </c>
      <c r="M225" s="907"/>
      <c r="N225" s="907"/>
    </row>
    <row r="226" spans="1:14" hidden="1" x14ac:dyDescent="0.25">
      <c r="A226" s="212">
        <f>Итоговая!Y227</f>
        <v>165</v>
      </c>
      <c r="B226" s="1133">
        <f>COUNTIFS($C$8:C226,"*ПС*",$J$8:J226,"*закрыт*")</f>
        <v>21</v>
      </c>
      <c r="C226" s="212" t="str">
        <f>Итоговая!AA227</f>
        <v>ПС 110/10 кВ Ерохино</v>
      </c>
      <c r="D226" s="230">
        <f>Итоговая!AB227</f>
        <v>25</v>
      </c>
      <c r="E226" s="229" t="str">
        <f>Итоговая!AC227</f>
        <v>+</v>
      </c>
      <c r="F226" s="229">
        <f>Итоговая!AD227</f>
        <v>25</v>
      </c>
      <c r="G226" s="229">
        <f>Итоговая!AE227</f>
        <v>0</v>
      </c>
      <c r="H226" s="229">
        <f>Итоговая!AF227</f>
        <v>0</v>
      </c>
      <c r="I226" s="784">
        <f>Итоговая!AP227</f>
        <v>26.25</v>
      </c>
      <c r="J226" s="784" t="str">
        <f>Итоговая!AQ227</f>
        <v>открыт</v>
      </c>
      <c r="K226" s="907" t="str">
        <f>Итоговая!AR227</f>
        <v>открыт</v>
      </c>
      <c r="L226" s="907">
        <f>Итоговая!AS227</f>
        <v>0</v>
      </c>
      <c r="M226" s="907"/>
      <c r="N226" s="907"/>
    </row>
    <row r="227" spans="1:14" hidden="1" x14ac:dyDescent="0.25">
      <c r="A227" s="212">
        <f>Итоговая!Y228</f>
        <v>166</v>
      </c>
      <c r="B227" s="1133">
        <f>COUNTIFS($C$8:C227,"*ПС*",$J$8:J227,"*закрыт*")</f>
        <v>21</v>
      </c>
      <c r="C227" s="212" t="str">
        <f>Итоговая!AA228</f>
        <v>ПС 35/10 кВ Ильино</v>
      </c>
      <c r="D227" s="230">
        <f>Итоговая!AB228</f>
        <v>1.6</v>
      </c>
      <c r="E227" s="229" t="str">
        <f>Итоговая!AC228</f>
        <v>+</v>
      </c>
      <c r="F227" s="229">
        <f>Итоговая!AD228</f>
        <v>2.5</v>
      </c>
      <c r="G227" s="229">
        <f>Итоговая!AE228</f>
        <v>0</v>
      </c>
      <c r="H227" s="229">
        <f>Итоговая!AF228</f>
        <v>0</v>
      </c>
      <c r="I227" s="172">
        <f>Итоговая!AP228</f>
        <v>1.3600000000000003</v>
      </c>
      <c r="J227" s="172" t="str">
        <f>Итоговая!AQ228</f>
        <v>открыт</v>
      </c>
      <c r="K227" s="907" t="str">
        <f>Итоговая!AR228</f>
        <v>открыт</v>
      </c>
      <c r="L227" s="907">
        <f>Итоговая!AS228</f>
        <v>41.666666666666664</v>
      </c>
      <c r="M227" s="907"/>
      <c r="N227" s="907"/>
    </row>
    <row r="228" spans="1:14" hidden="1" x14ac:dyDescent="0.25">
      <c r="A228" s="212">
        <f>Итоговая!Y229</f>
        <v>167</v>
      </c>
      <c r="B228" s="1133">
        <f>COUNTIFS($C$8:C228,"*ПС*",$J$8:J228,"*закрыт*")</f>
        <v>21</v>
      </c>
      <c r="C228" s="212" t="str">
        <f>Итоговая!AA229</f>
        <v>ПС 35/10 кВ Плоскошь</v>
      </c>
      <c r="D228" s="230">
        <f>Итоговая!AB229</f>
        <v>3.2</v>
      </c>
      <c r="E228" s="229" t="str">
        <f>Итоговая!AC229</f>
        <v>+</v>
      </c>
      <c r="F228" s="229">
        <f>Итоговая!AD229</f>
        <v>4</v>
      </c>
      <c r="G228" s="229">
        <f>Итоговая!AE229</f>
        <v>0</v>
      </c>
      <c r="H228" s="229">
        <f>Итоговая!AF229</f>
        <v>0</v>
      </c>
      <c r="I228" s="172">
        <f>Итоговая!AP229</f>
        <v>3.12</v>
      </c>
      <c r="J228" s="172" t="str">
        <f>Итоговая!AQ229</f>
        <v>открыт</v>
      </c>
      <c r="K228" s="907" t="str">
        <f>Итоговая!AR229</f>
        <v>открыт</v>
      </c>
      <c r="L228" s="907">
        <f>Итоговая!AS229</f>
        <v>23.809523809523807</v>
      </c>
      <c r="M228" s="907"/>
      <c r="N228" s="907"/>
    </row>
    <row r="229" spans="1:14" hidden="1" x14ac:dyDescent="0.25">
      <c r="A229" s="212">
        <f>Итоговая!Y230</f>
        <v>168</v>
      </c>
      <c r="B229" s="1133">
        <f>COUNTIFS($C$8:C229,"*ПС*",$J$8:J229,"*закрыт*")</f>
        <v>21</v>
      </c>
      <c r="C229" s="212" t="str">
        <f>Итоговая!AA230</f>
        <v>ПС 35/6 кВ Половцово</v>
      </c>
      <c r="D229" s="230">
        <f>Итоговая!AB230</f>
        <v>5.6</v>
      </c>
      <c r="E229" s="229" t="str">
        <f>Итоговая!AC230</f>
        <v>+</v>
      </c>
      <c r="F229" s="229">
        <f>Итоговая!AD230</f>
        <v>5.6</v>
      </c>
      <c r="G229" s="229">
        <f>Итоговая!AE230</f>
        <v>0</v>
      </c>
      <c r="H229" s="229">
        <f>Итоговая!AF230</f>
        <v>0</v>
      </c>
      <c r="I229" s="172">
        <f>Итоговая!AP230</f>
        <v>1.6669021739130434</v>
      </c>
      <c r="J229" s="172" t="str">
        <f>Итоговая!AQ230</f>
        <v>открыт</v>
      </c>
      <c r="K229" s="907" t="str">
        <f>Итоговая!AR230</f>
        <v>открыт</v>
      </c>
      <c r="L229" s="907">
        <f>Итоговая!AS230</f>
        <v>71.651323572907415</v>
      </c>
      <c r="M229" s="907"/>
      <c r="N229" s="907"/>
    </row>
    <row r="230" spans="1:14" ht="20.100000000000001" hidden="1" customHeight="1" x14ac:dyDescent="0.25">
      <c r="A230" s="212">
        <f>Итоговая!Y231</f>
        <v>169</v>
      </c>
      <c r="B230" s="1133">
        <f>COUNTIFS($C$8:C230,"*ПС*",$J$8:J230,"*закрыт*")</f>
        <v>21</v>
      </c>
      <c r="C230" s="212" t="str">
        <f>Итоговая!AA231</f>
        <v>ПС 35/10 кВ Ст. Торопа</v>
      </c>
      <c r="D230" s="230">
        <f>Итоговая!AB231</f>
        <v>4</v>
      </c>
      <c r="E230" s="229" t="str">
        <f>Итоговая!AC231</f>
        <v>+</v>
      </c>
      <c r="F230" s="229">
        <f>Итоговая!AD231</f>
        <v>4</v>
      </c>
      <c r="G230" s="229">
        <f>Итоговая!AE231</f>
        <v>0</v>
      </c>
      <c r="H230" s="229">
        <f>Итоговая!AF231</f>
        <v>0</v>
      </c>
      <c r="I230" s="172">
        <f>Итоговая!AP231</f>
        <v>1.5246739130434785</v>
      </c>
      <c r="J230" s="172" t="str">
        <f>Итоговая!AQ231</f>
        <v>открыт</v>
      </c>
      <c r="K230" s="907" t="str">
        <f>Итоговая!AR231</f>
        <v>открыт</v>
      </c>
      <c r="L230" s="907">
        <f>Итоговая!AS231</f>
        <v>63.698240165631468</v>
      </c>
      <c r="M230" s="907"/>
      <c r="N230" s="907"/>
    </row>
    <row r="231" spans="1:14" ht="20.100000000000001" hidden="1" customHeight="1" x14ac:dyDescent="0.25">
      <c r="A231" s="2419">
        <f>Итоговая!Y232</f>
        <v>170</v>
      </c>
      <c r="B231" s="2423">
        <f>COUNTIFS($C$8:C231,"*ПС*",$J$8:J231,"*закрыт*")</f>
        <v>21</v>
      </c>
      <c r="C231" s="212" t="str">
        <f>Итоговая!AA232</f>
        <v>ПС 110/35/10 кВ Андреаполь</v>
      </c>
      <c r="D231" s="230">
        <f>Итоговая!AB232</f>
        <v>10</v>
      </c>
      <c r="E231" s="229" t="str">
        <f>Итоговая!AC232</f>
        <v>+</v>
      </c>
      <c r="F231" s="229">
        <f>Итоговая!AD232</f>
        <v>10</v>
      </c>
      <c r="G231" s="229">
        <f>Итоговая!AE232</f>
        <v>0</v>
      </c>
      <c r="H231" s="229">
        <f>Итоговая!AF232</f>
        <v>0</v>
      </c>
      <c r="I231" s="2405">
        <f>Итоговая!AP232</f>
        <v>3.1066304347826099</v>
      </c>
      <c r="J231" s="2405" t="str">
        <f>Итоговая!AQ232</f>
        <v>открыт</v>
      </c>
      <c r="K231" s="907" t="str">
        <f>Итоговая!AR232</f>
        <v>открыт</v>
      </c>
      <c r="L231" s="907">
        <f>Итоговая!AS232</f>
        <v>76.508281573498948</v>
      </c>
      <c r="M231" s="907"/>
      <c r="N231" s="907"/>
    </row>
    <row r="232" spans="1:14" ht="20.100000000000001" hidden="1" customHeight="1" x14ac:dyDescent="0.25">
      <c r="A232" s="2419">
        <f>Итоговая!Y233</f>
        <v>0</v>
      </c>
      <c r="B232" s="2440"/>
      <c r="C232" s="7" t="str">
        <f>Итоговая!AA233</f>
        <v xml:space="preserve">Ном. Мощность СН, МВА </v>
      </c>
      <c r="D232" s="230">
        <f>Итоговая!AB233</f>
        <v>10</v>
      </c>
      <c r="E232" s="229" t="str">
        <f>Итоговая!AC233</f>
        <v>+</v>
      </c>
      <c r="F232" s="229">
        <f>Итоговая!AD233</f>
        <v>10</v>
      </c>
      <c r="G232" s="229">
        <f>Итоговая!AE233</f>
        <v>0</v>
      </c>
      <c r="H232" s="229">
        <f>Итоговая!AF233</f>
        <v>0</v>
      </c>
      <c r="I232" s="2406">
        <f>Итоговая!AP233</f>
        <v>0</v>
      </c>
      <c r="J232" s="2406">
        <f>Итоговая!AQ233</f>
        <v>0</v>
      </c>
      <c r="K232" s="907" t="str">
        <f>Итоговая!AR233</f>
        <v>открыт</v>
      </c>
      <c r="L232" s="907">
        <f>Итоговая!AS233</f>
        <v>0</v>
      </c>
      <c r="M232" s="907"/>
      <c r="N232" s="907"/>
    </row>
    <row r="233" spans="1:14" hidden="1" x14ac:dyDescent="0.25">
      <c r="A233" s="2419">
        <f>Итоговая!Y234</f>
        <v>0</v>
      </c>
      <c r="B233" s="2441"/>
      <c r="C233" s="7" t="str">
        <f>Итоговая!AA234</f>
        <v>Ном. мощность НН, МВА</v>
      </c>
      <c r="D233" s="230">
        <f>Итоговая!AB234</f>
        <v>10</v>
      </c>
      <c r="E233" s="229" t="str">
        <f>Итоговая!AC234</f>
        <v>+</v>
      </c>
      <c r="F233" s="229">
        <f>Итоговая!AD234</f>
        <v>10</v>
      </c>
      <c r="G233" s="229">
        <f>Итоговая!AE234</f>
        <v>0</v>
      </c>
      <c r="H233" s="229">
        <f>Итоговая!AF234</f>
        <v>0</v>
      </c>
      <c r="I233" s="2407">
        <f>Итоговая!AP234</f>
        <v>0</v>
      </c>
      <c r="J233" s="2407">
        <f>Итоговая!AQ234</f>
        <v>0</v>
      </c>
      <c r="K233" s="907" t="str">
        <f>Итоговая!AR234</f>
        <v>открыт</v>
      </c>
      <c r="L233" s="907">
        <f>Итоговая!AS234</f>
        <v>0</v>
      </c>
      <c r="M233" s="907"/>
      <c r="N233" s="907"/>
    </row>
    <row r="234" spans="1:14" hidden="1" x14ac:dyDescent="0.25">
      <c r="A234" s="2419">
        <f>Итоговая!Y235</f>
        <v>171</v>
      </c>
      <c r="B234" s="2423">
        <f>COUNTIFS($C$8:C234,"*ПС*",$J$8:J234,"*закрыт*")</f>
        <v>21</v>
      </c>
      <c r="C234" s="212" t="str">
        <f>Итоговая!AA235</f>
        <v>ПС 110/35/10 кВ Белый</v>
      </c>
      <c r="D234" s="230">
        <f>Итоговая!AB235</f>
        <v>16</v>
      </c>
      <c r="E234" s="229" t="str">
        <f>Итоговая!AC235</f>
        <v>+</v>
      </c>
      <c r="F234" s="229">
        <f>Итоговая!AD235</f>
        <v>10</v>
      </c>
      <c r="G234" s="229">
        <f>Итоговая!AE235</f>
        <v>0</v>
      </c>
      <c r="H234" s="229">
        <f>Итоговая!AF235</f>
        <v>0</v>
      </c>
      <c r="I234" s="2405">
        <f>Итоговая!AP235</f>
        <v>6.0333043478260873</v>
      </c>
      <c r="J234" s="2405" t="str">
        <f>Итоговая!AQ235</f>
        <v>открыт</v>
      </c>
      <c r="K234" s="907" t="str">
        <f>Итоговая!AR235</f>
        <v>открыт</v>
      </c>
      <c r="L234" s="907">
        <f>Итоговая!AS235</f>
        <v>55.873291925465843</v>
      </c>
      <c r="M234" s="907"/>
      <c r="N234" s="907"/>
    </row>
    <row r="235" spans="1:14" hidden="1" x14ac:dyDescent="0.25">
      <c r="A235" s="2419">
        <f>Итоговая!Y236</f>
        <v>0</v>
      </c>
      <c r="B235" s="2440"/>
      <c r="C235" s="7" t="str">
        <f>Итоговая!AA236</f>
        <v xml:space="preserve">Ном. Мощность СН, МВА </v>
      </c>
      <c r="D235" s="230">
        <f>Итоговая!AB236</f>
        <v>16</v>
      </c>
      <c r="E235" s="229" t="str">
        <f>Итоговая!AC236</f>
        <v>+</v>
      </c>
      <c r="F235" s="229">
        <f>Итоговая!AD236</f>
        <v>10</v>
      </c>
      <c r="G235" s="229">
        <f>Итоговая!AE236</f>
        <v>0</v>
      </c>
      <c r="H235" s="229">
        <f>Итоговая!AF236</f>
        <v>0</v>
      </c>
      <c r="I235" s="2406">
        <f>Итоговая!AP236</f>
        <v>0</v>
      </c>
      <c r="J235" s="2406" t="str">
        <f>Итоговая!AQ236</f>
        <v>открыт</v>
      </c>
      <c r="K235" s="907" t="str">
        <f>Итоговая!AR236</f>
        <v>открыт</v>
      </c>
      <c r="L235" s="907">
        <f>Итоговая!AS236</f>
        <v>0</v>
      </c>
      <c r="M235" s="907"/>
      <c r="N235" s="907"/>
    </row>
    <row r="236" spans="1:14" hidden="1" x14ac:dyDescent="0.25">
      <c r="A236" s="2419">
        <f>Итоговая!Y237</f>
        <v>0</v>
      </c>
      <c r="B236" s="2441"/>
      <c r="C236" s="7" t="str">
        <f>Итоговая!AA237</f>
        <v>Ном. мощность НН, МВА</v>
      </c>
      <c r="D236" s="230">
        <f>Итоговая!AB237</f>
        <v>16</v>
      </c>
      <c r="E236" s="229" t="str">
        <f>Итоговая!AC237</f>
        <v>+</v>
      </c>
      <c r="F236" s="229">
        <f>Итоговая!AD237</f>
        <v>10</v>
      </c>
      <c r="G236" s="229">
        <f>Итоговая!AE237</f>
        <v>0</v>
      </c>
      <c r="H236" s="229">
        <f>Итоговая!AF237</f>
        <v>0</v>
      </c>
      <c r="I236" s="2407">
        <f>Итоговая!AP237</f>
        <v>0</v>
      </c>
      <c r="J236" s="2407" t="str">
        <f>Итоговая!AQ237</f>
        <v>открыт</v>
      </c>
      <c r="K236" s="907" t="str">
        <f>Итоговая!AR237</f>
        <v>открыт</v>
      </c>
      <c r="L236" s="907">
        <f>Итоговая!AS237</f>
        <v>0</v>
      </c>
      <c r="M236" s="907"/>
      <c r="N236" s="907"/>
    </row>
    <row r="237" spans="1:14" hidden="1" x14ac:dyDescent="0.25">
      <c r="A237" s="2419">
        <f>Итоговая!Y238</f>
        <v>172</v>
      </c>
      <c r="B237" s="2423">
        <f>COUNTIFS($C$8:C237,"*ПС*",$J$8:J237,"*закрыт*")</f>
        <v>21</v>
      </c>
      <c r="C237" s="212" t="str">
        <f>Итоговая!AA238</f>
        <v>ПС 110/35/10 кВ Западная Двина</v>
      </c>
      <c r="D237" s="230">
        <f>Итоговая!AB238</f>
        <v>10</v>
      </c>
      <c r="E237" s="229" t="str">
        <f>Итоговая!AC238</f>
        <v>+</v>
      </c>
      <c r="F237" s="229">
        <f>Итоговая!AD238</f>
        <v>10</v>
      </c>
      <c r="G237" s="229">
        <f>Итоговая!AE238</f>
        <v>0</v>
      </c>
      <c r="H237" s="229">
        <f>Итоговая!AF238</f>
        <v>0</v>
      </c>
      <c r="I237" s="2405">
        <f>Итоговая!AP238</f>
        <v>2.3146739130434799</v>
      </c>
      <c r="J237" s="2405" t="str">
        <f>Итоговая!AQ238</f>
        <v>открыт</v>
      </c>
      <c r="K237" s="907" t="str">
        <f>Итоговая!AR238</f>
        <v>открыт</v>
      </c>
      <c r="L237" s="907">
        <f>Итоговая!AS238</f>
        <v>89.669772256728763</v>
      </c>
      <c r="M237" s="907"/>
      <c r="N237" s="907"/>
    </row>
    <row r="238" spans="1:14" hidden="1" x14ac:dyDescent="0.25">
      <c r="A238" s="2419">
        <f>Итоговая!Y239</f>
        <v>0</v>
      </c>
      <c r="B238" s="2440"/>
      <c r="C238" s="7" t="str">
        <f>Итоговая!AA239</f>
        <v xml:space="preserve">Ном. Мощность СН, МВА </v>
      </c>
      <c r="D238" s="230">
        <f>Итоговая!AB239</f>
        <v>10</v>
      </c>
      <c r="E238" s="229" t="str">
        <f>Итоговая!AC239</f>
        <v>+</v>
      </c>
      <c r="F238" s="229">
        <f>Итоговая!AD239</f>
        <v>10</v>
      </c>
      <c r="G238" s="229">
        <f>Итоговая!AE239</f>
        <v>0</v>
      </c>
      <c r="H238" s="229">
        <f>Итоговая!AF239</f>
        <v>0</v>
      </c>
      <c r="I238" s="2406">
        <f>Итоговая!AP239</f>
        <v>0</v>
      </c>
      <c r="J238" s="2406" t="str">
        <f>Итоговая!AQ239</f>
        <v>открыт</v>
      </c>
      <c r="K238" s="907" t="str">
        <f>Итоговая!AR239</f>
        <v>открыт</v>
      </c>
      <c r="L238" s="907">
        <f>Итоговая!AS239</f>
        <v>0</v>
      </c>
      <c r="M238" s="907"/>
      <c r="N238" s="907"/>
    </row>
    <row r="239" spans="1:14" ht="20.100000000000001" hidden="1" customHeight="1" x14ac:dyDescent="0.25">
      <c r="A239" s="2419">
        <f>Итоговая!Y240</f>
        <v>0</v>
      </c>
      <c r="B239" s="2441"/>
      <c r="C239" s="7" t="str">
        <f>Итоговая!AA240</f>
        <v>Ном. мощность НН, МВА</v>
      </c>
      <c r="D239" s="230">
        <f>Итоговая!AB240</f>
        <v>10</v>
      </c>
      <c r="E239" s="229" t="str">
        <f>Итоговая!AC240</f>
        <v>+</v>
      </c>
      <c r="F239" s="229">
        <f>Итоговая!AD240</f>
        <v>10</v>
      </c>
      <c r="G239" s="229">
        <f>Итоговая!AE240</f>
        <v>0</v>
      </c>
      <c r="H239" s="229">
        <f>Итоговая!AF240</f>
        <v>0</v>
      </c>
      <c r="I239" s="2407">
        <f>Итоговая!AP240</f>
        <v>0</v>
      </c>
      <c r="J239" s="2407" t="str">
        <f>Итоговая!AQ240</f>
        <v>открыт</v>
      </c>
      <c r="K239" s="907" t="str">
        <f>Итоговая!AR240</f>
        <v>открыт</v>
      </c>
      <c r="L239" s="907">
        <f>Итоговая!AS240</f>
        <v>0</v>
      </c>
      <c r="M239" s="907"/>
      <c r="N239" s="907"/>
    </row>
    <row r="240" spans="1:14" ht="20.100000000000001" hidden="1" customHeight="1" x14ac:dyDescent="0.25">
      <c r="A240" s="2419">
        <f>Итоговая!Y241</f>
        <v>173</v>
      </c>
      <c r="B240" s="2423">
        <f>COUNTIFS($C$8:C240,"*ПС*",$J$8:J240,"*закрыт*")</f>
        <v>21</v>
      </c>
      <c r="C240" s="212" t="str">
        <f>Итоговая!AA241</f>
        <v>ПС 110/35/10 кВ Торопец</v>
      </c>
      <c r="D240" s="230">
        <f>Итоговая!AB241</f>
        <v>25</v>
      </c>
      <c r="E240" s="229" t="str">
        <f>Итоговая!AC241</f>
        <v>+</v>
      </c>
      <c r="F240" s="229">
        <f>Итоговая!AD241</f>
        <v>25</v>
      </c>
      <c r="G240" s="229">
        <f>Итоговая!AE241</f>
        <v>0</v>
      </c>
      <c r="H240" s="229">
        <f>Итоговая!AF241</f>
        <v>0</v>
      </c>
      <c r="I240" s="2405">
        <f>Итоговая!AP241</f>
        <v>10.420217391304348</v>
      </c>
      <c r="J240" s="2405" t="str">
        <f>Итоговая!AQ241</f>
        <v>открыт</v>
      </c>
      <c r="K240" s="907" t="str">
        <f>Итоговая!AR241</f>
        <v>открыт</v>
      </c>
      <c r="L240" s="907">
        <f>Итоговая!AS241</f>
        <v>65.408695652173918</v>
      </c>
      <c r="M240" s="907"/>
      <c r="N240" s="907"/>
    </row>
    <row r="241" spans="1:14" ht="20.100000000000001" hidden="1" customHeight="1" x14ac:dyDescent="0.25">
      <c r="A241" s="2419">
        <f>Итоговая!Y242</f>
        <v>0</v>
      </c>
      <c r="B241" s="2440"/>
      <c r="C241" s="7" t="str">
        <f>Итоговая!AA242</f>
        <v xml:space="preserve">Ном. Мощность СН, МВА </v>
      </c>
      <c r="D241" s="230">
        <f>Итоговая!AB242</f>
        <v>25</v>
      </c>
      <c r="E241" s="229" t="str">
        <f>Итоговая!AC242</f>
        <v>+</v>
      </c>
      <c r="F241" s="229">
        <f>Итоговая!AD242</f>
        <v>25</v>
      </c>
      <c r="G241" s="229">
        <f>Итоговая!AE242</f>
        <v>0</v>
      </c>
      <c r="H241" s="229">
        <f>Итоговая!AF242</f>
        <v>0</v>
      </c>
      <c r="I241" s="2406">
        <f>Итоговая!AP242</f>
        <v>0</v>
      </c>
      <c r="J241" s="2406">
        <f>Итоговая!AQ242</f>
        <v>0</v>
      </c>
      <c r="K241" s="907" t="str">
        <f>Итоговая!AR242</f>
        <v>открыт</v>
      </c>
      <c r="L241" s="907">
        <f>Итоговая!AS242</f>
        <v>0</v>
      </c>
      <c r="M241" s="907"/>
      <c r="N241" s="907"/>
    </row>
    <row r="242" spans="1:14" ht="15.75" hidden="1" customHeight="1" x14ac:dyDescent="0.25">
      <c r="A242" s="2419">
        <f>Итоговая!Y243</f>
        <v>0</v>
      </c>
      <c r="B242" s="2441"/>
      <c r="C242" s="7" t="str">
        <f>Итоговая!AA243</f>
        <v>Ном. мощность НН, МВА</v>
      </c>
      <c r="D242" s="230">
        <f>Итоговая!AB243</f>
        <v>25</v>
      </c>
      <c r="E242" s="229" t="str">
        <f>Итоговая!AC243</f>
        <v>+</v>
      </c>
      <c r="F242" s="229">
        <f>Итоговая!AD243</f>
        <v>25</v>
      </c>
      <c r="G242" s="229">
        <f>Итоговая!AE243</f>
        <v>0</v>
      </c>
      <c r="H242" s="229">
        <f>Итоговая!AF243</f>
        <v>0</v>
      </c>
      <c r="I242" s="2407">
        <f>Итоговая!AP243</f>
        <v>0</v>
      </c>
      <c r="J242" s="2407">
        <f>Итоговая!AQ243</f>
        <v>0</v>
      </c>
      <c r="K242" s="907" t="str">
        <f>Итоговая!AR243</f>
        <v>открыт</v>
      </c>
      <c r="L242" s="907">
        <f>Итоговая!AS243</f>
        <v>0</v>
      </c>
      <c r="M242" s="907"/>
      <c r="N242" s="907"/>
    </row>
    <row r="243" spans="1:14" ht="15.75" customHeight="1" x14ac:dyDescent="0.25">
      <c r="A243" s="212">
        <f>Итоговая!Y244</f>
        <v>174</v>
      </c>
      <c r="B243" s="2260">
        <f>COUNTIFS($C$8:C243,"*ПС*",$J$8:J243,"*закрыт*")</f>
        <v>22</v>
      </c>
      <c r="C243" s="212" t="str">
        <f>Итоговая!AA244</f>
        <v xml:space="preserve">ПС 35/10 кВ Бахмутово </v>
      </c>
      <c r="D243" s="230">
        <f>Итоговая!AB244</f>
        <v>2.5</v>
      </c>
      <c r="E243" s="229">
        <f>Итоговая!AC244</f>
        <v>0</v>
      </c>
      <c r="F243" s="229">
        <f>Итоговая!AD244</f>
        <v>0</v>
      </c>
      <c r="G243" s="229">
        <f>Итоговая!AE244</f>
        <v>0</v>
      </c>
      <c r="H243" s="229">
        <f>Итоговая!AF244</f>
        <v>0</v>
      </c>
      <c r="I243" s="172">
        <f>Итоговая!AP244</f>
        <v>-7.1157999999998223E-2</v>
      </c>
      <c r="J243" s="172" t="str">
        <f>Итоговая!AQ244</f>
        <v>закрыт</v>
      </c>
      <c r="K243" s="907" t="str">
        <f>Итоговая!AR244</f>
        <v>закрыт</v>
      </c>
      <c r="L243" s="907">
        <f>Итоговая!AS244</f>
        <v>12.952380952380953</v>
      </c>
      <c r="M243" s="907"/>
      <c r="N243" s="907"/>
    </row>
    <row r="244" spans="1:14" ht="20.100000000000001" customHeight="1" x14ac:dyDescent="0.25">
      <c r="A244" s="212">
        <f>Итоговая!Y245</f>
        <v>175</v>
      </c>
      <c r="B244" s="2260">
        <f>COUNTIFS($C$8:C244,"*ПС*",$J$8:J244,"*закрыт*")</f>
        <v>23</v>
      </c>
      <c r="C244" s="212" t="str">
        <f>Итоговая!AA245</f>
        <v xml:space="preserve">ПС 35/10 кВ Пятницкое </v>
      </c>
      <c r="D244" s="230">
        <f>Итоговая!AB245</f>
        <v>2.5</v>
      </c>
      <c r="E244" s="229">
        <f>Итоговая!AC245</f>
        <v>0</v>
      </c>
      <c r="F244" s="229">
        <f>Итоговая!AD245</f>
        <v>0</v>
      </c>
      <c r="G244" s="229">
        <f>Итоговая!AE245</f>
        <v>0</v>
      </c>
      <c r="H244" s="229">
        <f>Итоговая!AF245</f>
        <v>0</v>
      </c>
      <c r="I244" s="172">
        <f>Итоговая!AP245</f>
        <v>-5.8247999999526595E-2</v>
      </c>
      <c r="J244" s="172" t="str">
        <f>Итоговая!AQ245</f>
        <v>закрыт</v>
      </c>
      <c r="K244" s="907" t="str">
        <f>Итоговая!AR245</f>
        <v>закрыт</v>
      </c>
      <c r="L244" s="907">
        <f>Итоговая!AS245</f>
        <v>10.285714285714286</v>
      </c>
      <c r="M244" s="907"/>
      <c r="N244" s="907"/>
    </row>
    <row r="245" spans="1:14" ht="20.100000000000001" customHeight="1" x14ac:dyDescent="0.25">
      <c r="A245" s="212">
        <f>Итоговая!Y246</f>
        <v>176</v>
      </c>
      <c r="B245" s="2260">
        <f>COUNTIFS($C$8:C245,"*ПС*",$J$8:J245,"*закрыт*")</f>
        <v>24</v>
      </c>
      <c r="C245" s="212" t="str">
        <f>Итоговая!AA246</f>
        <v xml:space="preserve">ПС 35/10 кВ Карамзино </v>
      </c>
      <c r="D245" s="230">
        <f>Итоговая!AB246</f>
        <v>1.6</v>
      </c>
      <c r="E245" s="229">
        <f>Итоговая!AC246</f>
        <v>0</v>
      </c>
      <c r="F245" s="229">
        <f>Итоговая!AD246</f>
        <v>0</v>
      </c>
      <c r="G245" s="229">
        <f>Итоговая!AE246</f>
        <v>0</v>
      </c>
      <c r="H245" s="229">
        <f>Итоговая!AF246</f>
        <v>0</v>
      </c>
      <c r="I245" s="2134">
        <f>Итоговая!AP246</f>
        <v>-0.51</v>
      </c>
      <c r="J245" s="172" t="str">
        <f>Итоговая!AQ246</f>
        <v>закрыт</v>
      </c>
      <c r="K245" s="907" t="str">
        <f>Итоговая!AR246</f>
        <v>закрыт</v>
      </c>
      <c r="L245" s="907">
        <f>Итоговая!AS246</f>
        <v>30.357142857142854</v>
      </c>
      <c r="M245" s="907"/>
      <c r="N245" s="907"/>
    </row>
    <row r="246" spans="1:14" ht="20.100000000000001" customHeight="1" x14ac:dyDescent="0.25">
      <c r="A246" s="212">
        <f>Итоговая!Y247</f>
        <v>177</v>
      </c>
      <c r="B246" s="2260">
        <f>COUNTIFS($C$8:C246,"*ПС*",$J$8:J246,"*закрыт*")</f>
        <v>25</v>
      </c>
      <c r="C246" s="212" t="str">
        <f>Итоговая!AA247</f>
        <v xml:space="preserve">ПС 35/10 кВ Кн.Горы  </v>
      </c>
      <c r="D246" s="230">
        <f>Итоговая!AB247</f>
        <v>2.5</v>
      </c>
      <c r="E246" s="229">
        <f>Итоговая!AC247</f>
        <v>0</v>
      </c>
      <c r="F246" s="229">
        <f>Итоговая!AD247</f>
        <v>0</v>
      </c>
      <c r="G246" s="229">
        <f>Итоговая!AE247</f>
        <v>0</v>
      </c>
      <c r="H246" s="229">
        <f>Итоговая!AF247</f>
        <v>0</v>
      </c>
      <c r="I246" s="2134">
        <f>Итоговая!AP247</f>
        <v>-2.4218913043478261</v>
      </c>
      <c r="J246" s="172" t="str">
        <f>Итоговая!AQ247</f>
        <v>закрыт</v>
      </c>
      <c r="K246" s="907" t="str">
        <f>Итоговая!AR247</f>
        <v>закрыт</v>
      </c>
      <c r="L246" s="907">
        <f>Итоговая!AS247</f>
        <v>92.262525879917192</v>
      </c>
      <c r="M246" s="907"/>
      <c r="N246" s="907"/>
    </row>
    <row r="247" spans="1:14" ht="15.75" customHeight="1" x14ac:dyDescent="0.25">
      <c r="A247" s="212">
        <f>Итоговая!Y248</f>
        <v>178</v>
      </c>
      <c r="B247" s="2260">
        <f>COUNTIFS($C$8:C247,"*ПС*",$J$8:J247,"*закрыт*")</f>
        <v>26</v>
      </c>
      <c r="C247" s="212" t="str">
        <f>Итоговая!AA248</f>
        <v xml:space="preserve">ПС 35/10 кВ Салино </v>
      </c>
      <c r="D247" s="230">
        <f>Итоговая!AB248</f>
        <v>2.5</v>
      </c>
      <c r="E247" s="229">
        <f>Итоговая!AC248</f>
        <v>0</v>
      </c>
      <c r="F247" s="229">
        <f>Итоговая!AD248</f>
        <v>0</v>
      </c>
      <c r="G247" s="229">
        <f>Итоговая!AE248</f>
        <v>0</v>
      </c>
      <c r="H247" s="229">
        <f>Итоговая!AF248</f>
        <v>0</v>
      </c>
      <c r="I247" s="2134">
        <f>Итоговая!AP248</f>
        <v>-0.8733695652173914</v>
      </c>
      <c r="J247" s="172" t="str">
        <f>Итоговая!AQ248</f>
        <v>закрыт</v>
      </c>
      <c r="K247" s="907" t="str">
        <f>Итоговая!AR248</f>
        <v>закрыт</v>
      </c>
      <c r="L247" s="907">
        <f>Итоговая!AS248</f>
        <v>33.271221532091104</v>
      </c>
      <c r="M247" s="907"/>
      <c r="N247" s="907"/>
    </row>
    <row r="248" spans="1:14" ht="15.75" customHeight="1" x14ac:dyDescent="0.25">
      <c r="A248" s="212">
        <f>Итоговая!Y249</f>
        <v>179</v>
      </c>
      <c r="B248" s="2260">
        <f>COUNTIFS($C$8:C248,"*ПС*",$J$8:J248,"*закрыт*")</f>
        <v>27</v>
      </c>
      <c r="C248" s="212" t="str">
        <f>Итоговая!AA249</f>
        <v xml:space="preserve">ПС 35/10 кВ Гусево </v>
      </c>
      <c r="D248" s="230">
        <f>Итоговая!AB249</f>
        <v>2.5</v>
      </c>
      <c r="E248" s="229">
        <f>Итоговая!AC249</f>
        <v>0</v>
      </c>
      <c r="F248" s="229">
        <f>Итоговая!AD249</f>
        <v>0</v>
      </c>
      <c r="G248" s="229">
        <f>Итоговая!AE249</f>
        <v>0</v>
      </c>
      <c r="H248" s="229">
        <f>Итоговая!AF249</f>
        <v>0</v>
      </c>
      <c r="I248" s="172">
        <f>Итоговая!AP249</f>
        <v>-2.4383499999152791E-2</v>
      </c>
      <c r="J248" s="172" t="str">
        <f>Итоговая!AQ249</f>
        <v>закрыт</v>
      </c>
      <c r="K248" s="907" t="str">
        <f>Итоговая!AR249</f>
        <v>закрыт</v>
      </c>
      <c r="L248" s="907">
        <f>Итоговая!AS249</f>
        <v>4.9523809523809526</v>
      </c>
      <c r="M248" s="907"/>
      <c r="N248" s="907"/>
    </row>
    <row r="249" spans="1:14" ht="15.75" customHeight="1" x14ac:dyDescent="0.25">
      <c r="A249" s="212">
        <f>Итоговая!Y250</f>
        <v>180</v>
      </c>
      <c r="B249" s="2260">
        <f>COUNTIFS($C$8:C249,"*ПС*",$J$8:J249,"*закрыт*")</f>
        <v>28</v>
      </c>
      <c r="C249" s="212" t="str">
        <f>Итоговая!AA250</f>
        <v xml:space="preserve">ПС 35/10 кВ Мол.Туд </v>
      </c>
      <c r="D249" s="230">
        <f>Итоговая!AB250</f>
        <v>2.5</v>
      </c>
      <c r="E249" s="229">
        <f>Итоговая!AC250</f>
        <v>0</v>
      </c>
      <c r="F249" s="229">
        <f>Итоговая!AD250</f>
        <v>0</v>
      </c>
      <c r="G249" s="229">
        <f>Итоговая!AE250</f>
        <v>0</v>
      </c>
      <c r="H249" s="229">
        <f>Итоговая!AF250</f>
        <v>0</v>
      </c>
      <c r="I249" s="172">
        <f>Итоговая!AP250</f>
        <v>-0.16798200000032198</v>
      </c>
      <c r="J249" s="172" t="str">
        <f>Итоговая!AQ250</f>
        <v>закрыт</v>
      </c>
      <c r="K249" s="907" t="str">
        <f>Итоговая!AR250</f>
        <v>закрыт</v>
      </c>
      <c r="L249" s="907">
        <f>Итоговая!AS250</f>
        <v>21.333333333333336</v>
      </c>
      <c r="M249" s="907"/>
      <c r="N249" s="907"/>
    </row>
    <row r="250" spans="1:14" ht="15.75" customHeight="1" x14ac:dyDescent="0.25">
      <c r="A250" s="212">
        <f>Итоговая!Y251</f>
        <v>181</v>
      </c>
      <c r="B250" s="2260">
        <f>COUNTIFS($C$8:C250,"*ПС*",$J$8:J250,"*закрыт*")</f>
        <v>29</v>
      </c>
      <c r="C250" s="212" t="str">
        <f>Итоговая!AA251</f>
        <v xml:space="preserve">ПС 35/10 кВ Ильенки </v>
      </c>
      <c r="D250" s="230">
        <f>Итоговая!AB251</f>
        <v>2.5</v>
      </c>
      <c r="E250" s="229">
        <f>Итоговая!AC251</f>
        <v>0</v>
      </c>
      <c r="F250" s="229">
        <f>Итоговая!AD251</f>
        <v>0</v>
      </c>
      <c r="G250" s="229">
        <f>Итоговая!AE251</f>
        <v>0</v>
      </c>
      <c r="H250" s="229">
        <f>Итоговая!AF251</f>
        <v>0</v>
      </c>
      <c r="I250" s="172">
        <f>Итоговая!AP251</f>
        <v>-1.5408999999890899E-2</v>
      </c>
      <c r="J250" s="172" t="str">
        <f>Итоговая!AQ251</f>
        <v>закрыт</v>
      </c>
      <c r="K250" s="907" t="str">
        <f>Итоговая!AR251</f>
        <v>закрыт</v>
      </c>
      <c r="L250" s="907">
        <f>Итоговая!AS251</f>
        <v>7.6190476190476186</v>
      </c>
      <c r="M250" s="907"/>
      <c r="N250" s="907"/>
    </row>
    <row r="251" spans="1:14" ht="20.100000000000001" customHeight="1" x14ac:dyDescent="0.25">
      <c r="A251" s="212">
        <f>Итоговая!Y252</f>
        <v>182</v>
      </c>
      <c r="B251" s="2260">
        <f>COUNTIFS($C$8:C251,"*ПС*",$J$8:J251,"*закрыт*")</f>
        <v>30</v>
      </c>
      <c r="C251" s="212" t="str">
        <f>Итоговая!AA252</f>
        <v xml:space="preserve">ПС 35/10 кВ Каденка </v>
      </c>
      <c r="D251" s="230">
        <f>Итоговая!AB252</f>
        <v>1</v>
      </c>
      <c r="E251" s="229">
        <f>Итоговая!AC252</f>
        <v>0</v>
      </c>
      <c r="F251" s="229">
        <f>Итоговая!AD252</f>
        <v>0</v>
      </c>
      <c r="G251" s="229">
        <f>Итоговая!AE252</f>
        <v>0</v>
      </c>
      <c r="H251" s="229">
        <f>Итоговая!AF252</f>
        <v>0</v>
      </c>
      <c r="I251" s="172">
        <f>Итоговая!AP252</f>
        <v>-0.14372549999978204</v>
      </c>
      <c r="J251" s="172" t="str">
        <f>Итоговая!AQ252</f>
        <v>закрыт</v>
      </c>
      <c r="K251" s="907" t="str">
        <f>Итоговая!AR252</f>
        <v>закрыт</v>
      </c>
      <c r="L251" s="907">
        <f>Итоговая!AS252</f>
        <v>22.857142857142858</v>
      </c>
      <c r="M251" s="907"/>
      <c r="N251" s="907"/>
    </row>
    <row r="252" spans="1:14" ht="20.100000000000001" customHeight="1" x14ac:dyDescent="0.25">
      <c r="A252" s="212">
        <f>Итоговая!Y253</f>
        <v>183</v>
      </c>
      <c r="B252" s="2260">
        <f>COUNTIFS($C$8:C252,"*ПС*",$J$8:J252,"*закрыт*")</f>
        <v>31</v>
      </c>
      <c r="C252" s="212" t="str">
        <f>Итоговая!AA253</f>
        <v xml:space="preserve">ПС 35/10 кВ Родня </v>
      </c>
      <c r="D252" s="230">
        <f>Итоговая!AB253</f>
        <v>2.5</v>
      </c>
      <c r="E252" s="229">
        <f>Итоговая!AC253</f>
        <v>0</v>
      </c>
      <c r="F252" s="229">
        <f>Итоговая!AD253</f>
        <v>0</v>
      </c>
      <c r="G252" s="229">
        <f>Итоговая!AE253</f>
        <v>0</v>
      </c>
      <c r="H252" s="229">
        <f>Итоговая!AF253</f>
        <v>0</v>
      </c>
      <c r="I252" s="2134">
        <f>Итоговая!AP253</f>
        <v>-0.35319199999952133</v>
      </c>
      <c r="J252" s="172" t="str">
        <f>Итоговая!AQ253</f>
        <v>закрыт</v>
      </c>
      <c r="K252" s="907" t="str">
        <f>Итоговая!AR253</f>
        <v>закрыт</v>
      </c>
      <c r="L252" s="907">
        <f>Итоговая!AS253</f>
        <v>29.904761904761905</v>
      </c>
      <c r="M252" s="907"/>
      <c r="N252" s="907"/>
    </row>
    <row r="253" spans="1:14" ht="15.75" customHeight="1" x14ac:dyDescent="0.25">
      <c r="A253" s="212">
        <f>Итоговая!Y254</f>
        <v>184</v>
      </c>
      <c r="B253" s="2260">
        <f>COUNTIFS($C$8:C253,"*ПС*",$J$8:J253,"*закрыт*")</f>
        <v>32</v>
      </c>
      <c r="C253" s="212" t="str">
        <f>Итоговая!AA254</f>
        <v xml:space="preserve">ПС 35/10 кВ Берново </v>
      </c>
      <c r="D253" s="230">
        <f>Итоговая!AB254</f>
        <v>1.6</v>
      </c>
      <c r="E253" s="229">
        <f>Итоговая!AC254</f>
        <v>0</v>
      </c>
      <c r="F253" s="229">
        <f>Итоговая!AD254</f>
        <v>0</v>
      </c>
      <c r="G253" s="229">
        <f>Итоговая!AE254</f>
        <v>0</v>
      </c>
      <c r="H253" s="229">
        <f>Итоговая!AF254</f>
        <v>0</v>
      </c>
      <c r="I253" s="2134">
        <f>Итоговая!AP254</f>
        <v>-0.10646019999957579</v>
      </c>
      <c r="J253" s="172" t="str">
        <f>Итоговая!AQ254</f>
        <v>закрыт</v>
      </c>
      <c r="K253" s="907" t="str">
        <f>Итоговая!AR254</f>
        <v>закрыт</v>
      </c>
      <c r="L253" s="907">
        <f>Итоговая!AS254</f>
        <v>30.357142857142854</v>
      </c>
      <c r="M253" s="907"/>
      <c r="N253" s="907"/>
    </row>
    <row r="254" spans="1:14" ht="15.75" hidden="1" customHeight="1" x14ac:dyDescent="0.25">
      <c r="A254" s="212">
        <f>Итоговая!Y255</f>
        <v>185</v>
      </c>
      <c r="B254" s="1860">
        <f>COUNTIFS($C$8:C254,"*ПС*",$J$8:J254,"*закрыт*")</f>
        <v>32</v>
      </c>
      <c r="C254" s="212" t="str">
        <f>Итоговая!AA255</f>
        <v xml:space="preserve">ПС 35/10 кВ РМК </v>
      </c>
      <c r="D254" s="246">
        <f>Итоговая!AB255</f>
        <v>10</v>
      </c>
      <c r="E254" s="247" t="str">
        <f>Итоговая!AC255</f>
        <v>+</v>
      </c>
      <c r="F254" s="247">
        <f>Итоговая!AD255</f>
        <v>10</v>
      </c>
      <c r="G254" s="247">
        <f>Итоговая!AE255</f>
        <v>0</v>
      </c>
      <c r="H254" s="247">
        <f>Итоговая!AF255</f>
        <v>0</v>
      </c>
      <c r="I254" s="172">
        <f>Итоговая!AP255</f>
        <v>1.6240159252187834</v>
      </c>
      <c r="J254" s="172" t="str">
        <f>Итоговая!AQ255</f>
        <v>открыт</v>
      </c>
      <c r="K254" s="907" t="str">
        <f>Итоговая!AR255</f>
        <v>открыт</v>
      </c>
      <c r="L254" s="907">
        <f>Итоговая!AS255</f>
        <v>101.944099378882</v>
      </c>
      <c r="M254" s="907"/>
      <c r="N254" s="907"/>
    </row>
    <row r="255" spans="1:14" ht="20.100000000000001" hidden="1" customHeight="1" x14ac:dyDescent="0.25">
      <c r="A255" s="212">
        <f>Итоговая!Y256</f>
        <v>186</v>
      </c>
      <c r="B255" s="1133">
        <f>COUNTIFS($C$8:C255,"*ПС*",$J$8:J255,"*закрыт*")</f>
        <v>32</v>
      </c>
      <c r="C255" s="212" t="str">
        <f>Итоговая!AA256</f>
        <v xml:space="preserve">ПС 35/10 кВ Осуга </v>
      </c>
      <c r="D255" s="246">
        <f>Итоговая!AB256</f>
        <v>2.5</v>
      </c>
      <c r="E255" s="247" t="str">
        <f>Итоговая!AC256</f>
        <v>+</v>
      </c>
      <c r="F255" s="247">
        <f>Итоговая!AD256</f>
        <v>2.5</v>
      </c>
      <c r="G255" s="247">
        <f>Итоговая!AE256</f>
        <v>0</v>
      </c>
      <c r="H255" s="247">
        <f>Итоговая!AF256</f>
        <v>0</v>
      </c>
      <c r="I255" s="172">
        <f>Итоговая!AP256</f>
        <v>2.2650000000000001</v>
      </c>
      <c r="J255" s="172" t="str">
        <f>Итоговая!AQ256</f>
        <v>открыт</v>
      </c>
      <c r="K255" s="907" t="str">
        <f>Итоговая!AR256</f>
        <v>открыт</v>
      </c>
      <c r="L255" s="907">
        <f>Итоговая!AS256</f>
        <v>13.714285714285714</v>
      </c>
      <c r="M255" s="907"/>
      <c r="N255" s="907"/>
    </row>
    <row r="256" spans="1:14" ht="15.75" hidden="1" customHeight="1" x14ac:dyDescent="0.25">
      <c r="A256" s="212">
        <f>Итоговая!Y257</f>
        <v>187</v>
      </c>
      <c r="B256" s="1133">
        <f>COUNTIFS($C$8:C256,"*ПС*",$J$8:J256,"*закрыт*")</f>
        <v>32</v>
      </c>
      <c r="C256" s="212" t="str">
        <f>Итоговая!AA257</f>
        <v xml:space="preserve">ПС 35/10 кВ Мин.Дворы </v>
      </c>
      <c r="D256" s="246">
        <f>Итоговая!AB257</f>
        <v>2.5</v>
      </c>
      <c r="E256" s="247" t="str">
        <f>Итоговая!AC257</f>
        <v>+</v>
      </c>
      <c r="F256" s="247">
        <f>Итоговая!AD257</f>
        <v>3.2</v>
      </c>
      <c r="G256" s="247">
        <f>Итоговая!AE257</f>
        <v>0</v>
      </c>
      <c r="H256" s="247">
        <f>Итоговая!AF257</f>
        <v>0</v>
      </c>
      <c r="I256" s="172">
        <f>Итоговая!AP257</f>
        <v>0.61141304347826075</v>
      </c>
      <c r="J256" s="172" t="str">
        <f>Итоговая!AQ257</f>
        <v>открыт</v>
      </c>
      <c r="K256" s="907" t="str">
        <f>Итоговая!AR257</f>
        <v>открыт</v>
      </c>
      <c r="L256" s="907">
        <f>Итоговая!AS257</f>
        <v>76.708074534161497</v>
      </c>
      <c r="M256" s="907"/>
      <c r="N256" s="907"/>
    </row>
    <row r="257" spans="1:14" ht="20.100000000000001" hidden="1" customHeight="1" x14ac:dyDescent="0.25">
      <c r="A257" s="212">
        <f>Итоговая!Y258</f>
        <v>188</v>
      </c>
      <c r="B257" s="1133">
        <f>COUNTIFS($C$8:C257,"*ПС*",$J$8:J257,"*закрыт*")</f>
        <v>32</v>
      </c>
      <c r="C257" s="212" t="str">
        <f>Итоговая!AA258</f>
        <v xml:space="preserve">ПС 35/10 кВ Клешнево </v>
      </c>
      <c r="D257" s="246">
        <f>Итоговая!AB258</f>
        <v>4</v>
      </c>
      <c r="E257" s="247" t="str">
        <f>Итоговая!AC258</f>
        <v>+</v>
      </c>
      <c r="F257" s="247">
        <f>Итоговая!AD258</f>
        <v>4</v>
      </c>
      <c r="G257" s="247">
        <f>Итоговая!AE258</f>
        <v>0</v>
      </c>
      <c r="H257" s="247">
        <f>Итоговая!AF258</f>
        <v>0</v>
      </c>
      <c r="I257" s="172">
        <f>Итоговая!AP258</f>
        <v>4.18</v>
      </c>
      <c r="J257" s="172" t="str">
        <f>Итоговая!AQ258</f>
        <v>открыт</v>
      </c>
      <c r="K257" s="907" t="str">
        <f>Итоговая!AR258</f>
        <v>открыт</v>
      </c>
      <c r="L257" s="907">
        <f>Итоговая!AS258</f>
        <v>27.619047619047613</v>
      </c>
      <c r="M257" s="907"/>
      <c r="N257" s="907"/>
    </row>
    <row r="258" spans="1:14" ht="15.75" hidden="1" customHeight="1" x14ac:dyDescent="0.25">
      <c r="A258" s="2419">
        <f>Итоговая!Y259</f>
        <v>189</v>
      </c>
      <c r="B258" s="2423">
        <f>COUNTIFS($C$8:C258,"*ПС*",$J$8:J258,"*закрыт*")</f>
        <v>32</v>
      </c>
      <c r="C258" s="212" t="str">
        <f>Итоговая!AA259</f>
        <v xml:space="preserve">ПС 110/35/10 кВ Зубцов </v>
      </c>
      <c r="D258" s="246">
        <f>Итоговая!AB259</f>
        <v>25</v>
      </c>
      <c r="E258" s="247" t="str">
        <f>Итоговая!AC259</f>
        <v>+</v>
      </c>
      <c r="F258" s="247">
        <f>Итоговая!AD259</f>
        <v>25</v>
      </c>
      <c r="G258" s="247">
        <f>Итоговая!AE259</f>
        <v>0</v>
      </c>
      <c r="H258" s="247">
        <f>Итоговая!AF259</f>
        <v>0</v>
      </c>
      <c r="I258" s="2405">
        <f>Итоговая!AP259</f>
        <v>13.012430306451632</v>
      </c>
      <c r="J258" s="2405" t="str">
        <f>Итоговая!AQ259</f>
        <v>открыт</v>
      </c>
      <c r="K258" s="907" t="str">
        <f>Итоговая!AR259</f>
        <v>открыт</v>
      </c>
      <c r="L258" s="907">
        <f>Итоговая!AS259</f>
        <v>62.882949308755762</v>
      </c>
      <c r="M258" s="907"/>
      <c r="N258" s="907"/>
    </row>
    <row r="259" spans="1:14" ht="15.75" hidden="1" customHeight="1" x14ac:dyDescent="0.25">
      <c r="A259" s="2419">
        <f>Итоговая!Y260</f>
        <v>0</v>
      </c>
      <c r="B259" s="2440"/>
      <c r="C259" s="7" t="str">
        <f>Итоговая!AA260</f>
        <v xml:space="preserve">Ном. мощность СН, МВА </v>
      </c>
      <c r="D259" s="246">
        <f>Итоговая!AB260</f>
        <v>25</v>
      </c>
      <c r="E259" s="247" t="str">
        <f>Итоговая!AC260</f>
        <v>+</v>
      </c>
      <c r="F259" s="247">
        <f>Итоговая!AD260</f>
        <v>25</v>
      </c>
      <c r="G259" s="247">
        <f>Итоговая!AE260</f>
        <v>0</v>
      </c>
      <c r="H259" s="247">
        <f>Итоговая!AF260</f>
        <v>0</v>
      </c>
      <c r="I259" s="2406">
        <f>Итоговая!AP260</f>
        <v>0</v>
      </c>
      <c r="J259" s="2406">
        <f>Итоговая!AQ260</f>
        <v>0</v>
      </c>
      <c r="K259" s="907" t="str">
        <f>Итоговая!AR260</f>
        <v>открыт</v>
      </c>
      <c r="L259" s="907">
        <f>Итоговая!AS260</f>
        <v>0</v>
      </c>
      <c r="M259" s="907"/>
      <c r="N259" s="907"/>
    </row>
    <row r="260" spans="1:14" ht="15.75" hidden="1" customHeight="1" x14ac:dyDescent="0.25">
      <c r="A260" s="2419">
        <f>Итоговая!Y261</f>
        <v>0</v>
      </c>
      <c r="B260" s="2441"/>
      <c r="C260" s="7" t="str">
        <f>Итоговая!AA261</f>
        <v>Ном. мощность НН, МВА</v>
      </c>
      <c r="D260" s="230">
        <f>Итоговая!AB261</f>
        <v>25</v>
      </c>
      <c r="E260" s="229" t="str">
        <f>Итоговая!AC261</f>
        <v>+</v>
      </c>
      <c r="F260" s="229">
        <f>Итоговая!AD261</f>
        <v>25</v>
      </c>
      <c r="G260" s="229">
        <f>Итоговая!AE261</f>
        <v>0</v>
      </c>
      <c r="H260" s="229">
        <f>Итоговая!AF261</f>
        <v>0</v>
      </c>
      <c r="I260" s="2407">
        <f>Итоговая!AP261</f>
        <v>0</v>
      </c>
      <c r="J260" s="2407">
        <f>Итоговая!AQ261</f>
        <v>0</v>
      </c>
      <c r="K260" s="907" t="str">
        <f>Итоговая!AR261</f>
        <v>открыт</v>
      </c>
      <c r="L260" s="907">
        <f>Итоговая!AS261</f>
        <v>0</v>
      </c>
      <c r="M260" s="907"/>
      <c r="N260" s="907"/>
    </row>
    <row r="261" spans="1:14" ht="15.75" hidden="1" customHeight="1" x14ac:dyDescent="0.25">
      <c r="A261" s="212">
        <f>Итоговая!Y262</f>
        <v>190</v>
      </c>
      <c r="B261" s="1860">
        <f>COUNTIFS($C$8:C261,"*ПС*",$J$8:J261,"*закрыт*")</f>
        <v>32</v>
      </c>
      <c r="C261" s="212" t="str">
        <f>Итоговая!AA262</f>
        <v xml:space="preserve">ПС 35/10 кВ П.Городище </v>
      </c>
      <c r="D261" s="230">
        <f>Итоговая!AB262</f>
        <v>5.6</v>
      </c>
      <c r="E261" s="229" t="str">
        <f>Итоговая!AC262</f>
        <v>+</v>
      </c>
      <c r="F261" s="229">
        <f>Итоговая!AD262</f>
        <v>5.6</v>
      </c>
      <c r="G261" s="229">
        <f>Итоговая!AE262</f>
        <v>0</v>
      </c>
      <c r="H261" s="229">
        <f>Итоговая!AF262</f>
        <v>0</v>
      </c>
      <c r="I261" s="172">
        <f>Итоговая!AP262</f>
        <v>2.0364319652168712</v>
      </c>
      <c r="J261" s="172" t="str">
        <f>Итоговая!AQ262</f>
        <v>открыт</v>
      </c>
      <c r="K261" s="907" t="str">
        <f>Итоговая!AR262</f>
        <v>открыт</v>
      </c>
      <c r="L261" s="907">
        <f>Итоговая!AS262</f>
        <v>72.689293108547773</v>
      </c>
      <c r="M261" s="907"/>
      <c r="N261" s="907"/>
    </row>
    <row r="262" spans="1:14" ht="15.75" hidden="1" customHeight="1" x14ac:dyDescent="0.25">
      <c r="A262" s="212">
        <f>Итоговая!Y263</f>
        <v>191</v>
      </c>
      <c r="B262" s="1133">
        <f>COUNTIFS($C$8:C262,"*ПС*",$J$8:J262,"*закрыт*")</f>
        <v>32</v>
      </c>
      <c r="C262" s="212" t="str">
        <f>Итоговая!AA263</f>
        <v xml:space="preserve">ПС 35/10 кВ Степурино </v>
      </c>
      <c r="D262" s="230">
        <f>Итоговая!AB263</f>
        <v>4</v>
      </c>
      <c r="E262" s="229" t="str">
        <f>Итоговая!AC263</f>
        <v>+</v>
      </c>
      <c r="F262" s="229">
        <f>Итоговая!AD263</f>
        <v>4</v>
      </c>
      <c r="G262" s="229">
        <f>Итоговая!AE263</f>
        <v>0</v>
      </c>
      <c r="H262" s="229">
        <f>Итоговая!AF263</f>
        <v>0</v>
      </c>
      <c r="I262" s="172">
        <f>Итоговая!AP263</f>
        <v>2.9685326086956523</v>
      </c>
      <c r="J262" s="172" t="str">
        <f>Итоговая!AQ263</f>
        <v>открыт</v>
      </c>
      <c r="K262" s="907" t="str">
        <f>Итоговая!AR263</f>
        <v>открыт</v>
      </c>
      <c r="L262" s="907">
        <f>Итоговая!AS263</f>
        <v>29.320652173913047</v>
      </c>
      <c r="M262" s="907"/>
      <c r="N262" s="907"/>
    </row>
    <row r="263" spans="1:14" ht="15.75" hidden="1" customHeight="1" x14ac:dyDescent="0.25">
      <c r="A263" s="212">
        <f>Итоговая!Y264</f>
        <v>192</v>
      </c>
      <c r="B263" s="1133">
        <f>COUNTIFS($C$8:C263,"*ПС*",$J$8:J263,"*закрыт*")</f>
        <v>32</v>
      </c>
      <c r="C263" s="212" t="str">
        <f>Итоговая!AA264</f>
        <v xml:space="preserve">ПС 35/10 кВ Максимово </v>
      </c>
      <c r="D263" s="230">
        <f>Итоговая!AB264</f>
        <v>2.5</v>
      </c>
      <c r="E263" s="229" t="str">
        <f>Итоговая!AC264</f>
        <v>+</v>
      </c>
      <c r="F263" s="229">
        <f>Итоговая!AD264</f>
        <v>2.5</v>
      </c>
      <c r="G263" s="229">
        <f>Итоговая!AE264</f>
        <v>0</v>
      </c>
      <c r="H263" s="229">
        <f>Итоговая!AF264</f>
        <v>0</v>
      </c>
      <c r="I263" s="172">
        <f>Итоговая!AP264</f>
        <v>2.6150000000000002</v>
      </c>
      <c r="J263" s="172" t="str">
        <f>Итоговая!AQ264</f>
        <v>открыт</v>
      </c>
      <c r="K263" s="907" t="str">
        <f>Итоговая!AR264</f>
        <v>открыт</v>
      </c>
      <c r="L263" s="907">
        <f>Итоговая!AS264</f>
        <v>11.80952380952381</v>
      </c>
      <c r="M263" s="907"/>
      <c r="N263" s="907"/>
    </row>
    <row r="264" spans="1:14" ht="20.100000000000001" hidden="1" customHeight="1" x14ac:dyDescent="0.25">
      <c r="A264" s="212">
        <f>Итоговая!Y265</f>
        <v>193</v>
      </c>
      <c r="B264" s="1133">
        <f>COUNTIFS($C$8:C264,"*ПС*",$J$8:J264,"*закрыт*")</f>
        <v>32</v>
      </c>
      <c r="C264" s="212" t="str">
        <f>Итоговая!AA265</f>
        <v xml:space="preserve">ПС 35/10 кВ Луковниково </v>
      </c>
      <c r="D264" s="230">
        <f>Итоговая!AB265</f>
        <v>4</v>
      </c>
      <c r="E264" s="229" t="str">
        <f>Итоговая!AC265</f>
        <v>+</v>
      </c>
      <c r="F264" s="229">
        <f>Итоговая!AD265</f>
        <v>2.5</v>
      </c>
      <c r="G264" s="229">
        <f>Итоговая!AE265</f>
        <v>0</v>
      </c>
      <c r="H264" s="229">
        <f>Итоговая!AF265</f>
        <v>0</v>
      </c>
      <c r="I264" s="172">
        <f>Итоговая!AP265</f>
        <v>1.4011956521739131</v>
      </c>
      <c r="J264" s="172" t="str">
        <f>Итоговая!AQ265</f>
        <v>открыт</v>
      </c>
      <c r="K264" s="907" t="str">
        <f>Итоговая!AR265</f>
        <v>открыт</v>
      </c>
      <c r="L264" s="907">
        <f>Итоговая!AS265</f>
        <v>46.621118012422357</v>
      </c>
      <c r="M264" s="907"/>
      <c r="N264" s="907"/>
    </row>
    <row r="265" spans="1:14" ht="20.100000000000001" hidden="1" customHeight="1" x14ac:dyDescent="0.25">
      <c r="A265" s="212">
        <f>Итоговая!Y266</f>
        <v>194</v>
      </c>
      <c r="B265" s="1133">
        <f>COUNTIFS($C$8:C265,"*ПС*",$J$8:J265,"*закрыт*")</f>
        <v>32</v>
      </c>
      <c r="C265" s="212" t="str">
        <f>Итоговая!AA266</f>
        <v xml:space="preserve">ПС 110/10 кВ НТПФ </v>
      </c>
      <c r="D265" s="230">
        <f>Итоговая!AB266</f>
        <v>6.3</v>
      </c>
      <c r="E265" s="229" t="str">
        <f>Итоговая!AC266</f>
        <v>+</v>
      </c>
      <c r="F265" s="229">
        <f>Итоговая!AD266</f>
        <v>6.3</v>
      </c>
      <c r="G265" s="229">
        <f>Итоговая!AE266</f>
        <v>0</v>
      </c>
      <c r="H265" s="229">
        <f>Итоговая!AF266</f>
        <v>0</v>
      </c>
      <c r="I265" s="172">
        <f>Итоговая!AP266</f>
        <v>5.3815720000000002</v>
      </c>
      <c r="J265" s="172" t="str">
        <f>Итоговая!AQ266</f>
        <v>открыт</v>
      </c>
      <c r="K265" s="907" t="str">
        <f>Итоговая!AR266</f>
        <v>открыт</v>
      </c>
      <c r="L265" s="907">
        <f>Итоговая!AS266</f>
        <v>27.966742252456537</v>
      </c>
      <c r="M265" s="907"/>
      <c r="N265" s="907"/>
    </row>
    <row r="266" spans="1:14" ht="20.100000000000001" hidden="1" customHeight="1" x14ac:dyDescent="0.25">
      <c r="A266" s="212">
        <f>Итоговая!Y267</f>
        <v>195</v>
      </c>
      <c r="B266" s="1133">
        <f>COUNTIFS($C$8:C266,"*ПС*",$J$8:J266,"*закрыт*")</f>
        <v>32</v>
      </c>
      <c r="C266" s="212" t="str">
        <f>Итоговая!AA267</f>
        <v xml:space="preserve">ПС 110/10 кВ Мостовая </v>
      </c>
      <c r="D266" s="230">
        <f>Итоговая!AB267</f>
        <v>6.3</v>
      </c>
      <c r="E266" s="229" t="str">
        <f>Итоговая!AC267</f>
        <v>+</v>
      </c>
      <c r="F266" s="229">
        <f>Итоговая!AD267</f>
        <v>6.3</v>
      </c>
      <c r="G266" s="229">
        <f>Итоговая!AE267</f>
        <v>0</v>
      </c>
      <c r="H266" s="229">
        <f>Итоговая!AF267</f>
        <v>0</v>
      </c>
      <c r="I266" s="172">
        <f>Итоговая!AP267</f>
        <v>5.7316591999998678</v>
      </c>
      <c r="J266" s="172" t="str">
        <f>Итоговая!AQ267</f>
        <v>открыт</v>
      </c>
      <c r="K266" s="907" t="str">
        <f>Итоговая!AR267</f>
        <v>открыт</v>
      </c>
      <c r="L266" s="907">
        <f>Итоговая!AS267</f>
        <v>18.140589569160998</v>
      </c>
      <c r="M266" s="907"/>
      <c r="N266" s="907"/>
    </row>
    <row r="267" spans="1:14" hidden="1" x14ac:dyDescent="0.25">
      <c r="A267" s="2419">
        <f>Итоговая!Y268</f>
        <v>196</v>
      </c>
      <c r="B267" s="2423">
        <f>COUNTIFS($C$8:C267,"*ПС*",$J$8:J267,"*закрыт*")</f>
        <v>32</v>
      </c>
      <c r="C267" s="212" t="str">
        <f>Итоговая!AA268</f>
        <v xml:space="preserve">ПС 110/35/10кВ Ржев </v>
      </c>
      <c r="D267" s="230">
        <f>Итоговая!AB268</f>
        <v>40.5</v>
      </c>
      <c r="E267" s="229" t="str">
        <f>Итоговая!AC268</f>
        <v>+</v>
      </c>
      <c r="F267" s="229">
        <f>Итоговая!AD268</f>
        <v>40</v>
      </c>
      <c r="G267" s="229">
        <f>Итоговая!AE268</f>
        <v>0</v>
      </c>
      <c r="H267" s="229">
        <f>Итоговая!AF268</f>
        <v>0</v>
      </c>
      <c r="I267" s="2405">
        <f>Итоговая!AP268</f>
        <v>11.424708602086778</v>
      </c>
      <c r="J267" s="2405" t="str">
        <f>Итоговая!AQ268</f>
        <v>открыт</v>
      </c>
      <c r="K267" s="907" t="str">
        <f>Итоговая!AR268</f>
        <v>открыт</v>
      </c>
      <c r="L267" s="907">
        <f>Итоговая!AS268</f>
        <v>80.988457556935813</v>
      </c>
      <c r="M267" s="907"/>
      <c r="N267" s="907"/>
    </row>
    <row r="268" spans="1:14" hidden="1" x14ac:dyDescent="0.25">
      <c r="A268" s="2419">
        <f>Итоговая!Y269</f>
        <v>0</v>
      </c>
      <c r="B268" s="2440"/>
      <c r="C268" s="7" t="str">
        <f>Итоговая!AA269</f>
        <v xml:space="preserve">Ном. мощность СН, МВА </v>
      </c>
      <c r="D268" s="230">
        <f>Итоговая!AB269</f>
        <v>40.5</v>
      </c>
      <c r="E268" s="229" t="str">
        <f>Итоговая!AC269</f>
        <v>+</v>
      </c>
      <c r="F268" s="229">
        <f>Итоговая!AD269</f>
        <v>40</v>
      </c>
      <c r="G268" s="229">
        <f>Итоговая!AE269</f>
        <v>0</v>
      </c>
      <c r="H268" s="229">
        <f>Итоговая!AF269</f>
        <v>0</v>
      </c>
      <c r="I268" s="2406">
        <f>Итоговая!AP269</f>
        <v>0</v>
      </c>
      <c r="J268" s="2406">
        <f>Итоговая!AQ269</f>
        <v>0</v>
      </c>
      <c r="K268" s="907" t="str">
        <f>Итоговая!AR269</f>
        <v>открыт</v>
      </c>
      <c r="L268" s="907">
        <f>Итоговая!AS269</f>
        <v>0</v>
      </c>
      <c r="M268" s="907"/>
      <c r="N268" s="907"/>
    </row>
    <row r="269" spans="1:14" hidden="1" x14ac:dyDescent="0.25">
      <c r="A269" s="2419">
        <f>Итоговая!Y270</f>
        <v>0</v>
      </c>
      <c r="B269" s="2441"/>
      <c r="C269" s="7" t="str">
        <f>Итоговая!AA270</f>
        <v>Ном. мощность НН, МВА</v>
      </c>
      <c r="D269" s="230">
        <f>Итоговая!AB270</f>
        <v>40.5</v>
      </c>
      <c r="E269" s="229" t="str">
        <f>Итоговая!AC270</f>
        <v>+</v>
      </c>
      <c r="F269" s="229">
        <f>Итоговая!AD270</f>
        <v>40</v>
      </c>
      <c r="G269" s="229">
        <f>Итоговая!AE270</f>
        <v>0</v>
      </c>
      <c r="H269" s="229">
        <f>Итоговая!AF270</f>
        <v>0</v>
      </c>
      <c r="I269" s="2407">
        <f>Итоговая!AP270</f>
        <v>0</v>
      </c>
      <c r="J269" s="2407">
        <f>Итоговая!AQ270</f>
        <v>0</v>
      </c>
      <c r="K269" s="907" t="str">
        <f>Итоговая!AR270</f>
        <v>открыт</v>
      </c>
      <c r="L269" s="907">
        <f>Итоговая!AS270</f>
        <v>0</v>
      </c>
      <c r="M269" s="907"/>
      <c r="N269" s="907"/>
    </row>
    <row r="270" spans="1:14" hidden="1" x14ac:dyDescent="0.25">
      <c r="A270" s="2419">
        <f>Итоговая!Y271</f>
        <v>197</v>
      </c>
      <c r="B270" s="2423">
        <f>COUNTIFS($C$8:C270,"*ПС*",$J$8:J270,"*закрыт*")</f>
        <v>32</v>
      </c>
      <c r="C270" s="212" t="str">
        <f>Итоговая!AA271</f>
        <v>ПС  110/35/10 кВ Чертолино</v>
      </c>
      <c r="D270" s="230">
        <f>Итоговая!AB271</f>
        <v>5.6</v>
      </c>
      <c r="E270" s="229" t="str">
        <f>Итоговая!AC271</f>
        <v>+</v>
      </c>
      <c r="F270" s="229">
        <f>Итоговая!AD271</f>
        <v>6.3</v>
      </c>
      <c r="G270" s="229">
        <f>Итоговая!AE271</f>
        <v>0</v>
      </c>
      <c r="H270" s="229">
        <f>Итоговая!AF271</f>
        <v>0</v>
      </c>
      <c r="I270" s="2405">
        <f>Итоговая!AP271</f>
        <v>4.8665584000017779</v>
      </c>
      <c r="J270" s="2405" t="str">
        <f>Итоговая!AQ271</f>
        <v>открыт</v>
      </c>
      <c r="K270" s="907" t="str">
        <f>Итоговая!AR271</f>
        <v>открыт</v>
      </c>
      <c r="L270" s="907">
        <f>Итоговая!AS271</f>
        <v>27.380952380952383</v>
      </c>
      <c r="M270" s="907"/>
      <c r="N270" s="907"/>
    </row>
    <row r="271" spans="1:14" hidden="1" x14ac:dyDescent="0.25">
      <c r="A271" s="2419">
        <f>Итоговая!Y272</f>
        <v>0</v>
      </c>
      <c r="B271" s="2440"/>
      <c r="C271" s="7" t="str">
        <f>Итоговая!AA272</f>
        <v xml:space="preserve">Ном. мощность СН, МВА </v>
      </c>
      <c r="D271" s="230">
        <f>Итоговая!AB272</f>
        <v>5.6</v>
      </c>
      <c r="E271" s="229" t="str">
        <f>Итоговая!AC272</f>
        <v>+</v>
      </c>
      <c r="F271" s="229">
        <f>Итоговая!AD272</f>
        <v>6.3</v>
      </c>
      <c r="G271" s="229">
        <f>Итоговая!AE272</f>
        <v>0</v>
      </c>
      <c r="H271" s="229">
        <f>Итоговая!AF272</f>
        <v>0</v>
      </c>
      <c r="I271" s="2406">
        <f>Итоговая!AP272</f>
        <v>0</v>
      </c>
      <c r="J271" s="2406" t="str">
        <f>Итоговая!AQ272</f>
        <v>открыт</v>
      </c>
      <c r="K271" s="907" t="str">
        <f>Итоговая!AR272</f>
        <v>открыт</v>
      </c>
      <c r="L271" s="907">
        <f>Итоговая!AS272</f>
        <v>0</v>
      </c>
      <c r="M271" s="907"/>
      <c r="N271" s="907"/>
    </row>
    <row r="272" spans="1:14" hidden="1" x14ac:dyDescent="0.25">
      <c r="A272" s="2419">
        <f>Итоговая!Y273</f>
        <v>0</v>
      </c>
      <c r="B272" s="2441"/>
      <c r="C272" s="7" t="str">
        <f>Итоговая!AA273</f>
        <v>Ном. мощность НН, МВА</v>
      </c>
      <c r="D272" s="230">
        <f>Итоговая!AB273</f>
        <v>5.6</v>
      </c>
      <c r="E272" s="229" t="str">
        <f>Итоговая!AC273</f>
        <v>+</v>
      </c>
      <c r="F272" s="229">
        <f>Итоговая!AD273</f>
        <v>6.3</v>
      </c>
      <c r="G272" s="229">
        <f>Итоговая!AE273</f>
        <v>0</v>
      </c>
      <c r="H272" s="229">
        <f>Итоговая!AF273</f>
        <v>0</v>
      </c>
      <c r="I272" s="2407">
        <f>Итоговая!AP273</f>
        <v>0</v>
      </c>
      <c r="J272" s="2407" t="str">
        <f>Итоговая!AQ273</f>
        <v>открыт</v>
      </c>
      <c r="K272" s="907" t="str">
        <f>Итоговая!AR273</f>
        <v>открыт</v>
      </c>
      <c r="L272" s="907">
        <f>Итоговая!AS273</f>
        <v>0</v>
      </c>
      <c r="M272" s="907"/>
      <c r="N272" s="907"/>
    </row>
    <row r="273" spans="1:14" hidden="1" x14ac:dyDescent="0.25">
      <c r="A273" s="2419">
        <f>Итоговая!Y274</f>
        <v>198</v>
      </c>
      <c r="B273" s="2423">
        <f>COUNTIFS($C$8:C273,"*ПС*",$J$8:J273,"*закрыт*")</f>
        <v>32</v>
      </c>
      <c r="C273" s="212" t="str">
        <f>Итоговая!AA274</f>
        <v xml:space="preserve">ПС 110/35/10 кВ Оленино </v>
      </c>
      <c r="D273" s="230">
        <f>Итоговая!AB274</f>
        <v>16</v>
      </c>
      <c r="E273" s="229" t="str">
        <f>Итоговая!AC274</f>
        <v>+</v>
      </c>
      <c r="F273" s="229">
        <f>Итоговая!AD274</f>
        <v>10</v>
      </c>
      <c r="G273" s="229">
        <f>Итоговая!AE274</f>
        <v>0</v>
      </c>
      <c r="H273" s="229">
        <f>Итоговая!AF274</f>
        <v>0</v>
      </c>
      <c r="I273" s="2405">
        <f>Итоговая!AP274</f>
        <v>5.0954307173916318</v>
      </c>
      <c r="J273" s="2405" t="str">
        <f>Итоговая!AQ274</f>
        <v>открыт</v>
      </c>
      <c r="K273" s="907" t="str">
        <f>Итоговая!AR274</f>
        <v>открыт</v>
      </c>
      <c r="L273" s="907">
        <f>Итоговая!AS274</f>
        <v>54.14699792960662</v>
      </c>
      <c r="M273" s="907"/>
      <c r="N273" s="907"/>
    </row>
    <row r="274" spans="1:14" hidden="1" x14ac:dyDescent="0.25">
      <c r="A274" s="2419">
        <f>Итоговая!Y275</f>
        <v>0</v>
      </c>
      <c r="B274" s="2440"/>
      <c r="C274" s="7" t="str">
        <f>Итоговая!AA275</f>
        <v xml:space="preserve">Ном. мощность СН, МВА </v>
      </c>
      <c r="D274" s="230">
        <f>Итоговая!AB275</f>
        <v>16</v>
      </c>
      <c r="E274" s="229" t="str">
        <f>Итоговая!AC275</f>
        <v>+</v>
      </c>
      <c r="F274" s="229">
        <f>Итоговая!AD275</f>
        <v>10</v>
      </c>
      <c r="G274" s="229">
        <f>Итоговая!AE275</f>
        <v>0</v>
      </c>
      <c r="H274" s="229">
        <f>Итоговая!AF275</f>
        <v>0</v>
      </c>
      <c r="I274" s="2406">
        <f>Итоговая!AP275</f>
        <v>0</v>
      </c>
      <c r="J274" s="2406" t="str">
        <f>Итоговая!AQ275</f>
        <v>открыт</v>
      </c>
      <c r="K274" s="907" t="str">
        <f>Итоговая!AR275</f>
        <v>открыт</v>
      </c>
      <c r="L274" s="907">
        <f>Итоговая!AS275</f>
        <v>0</v>
      </c>
      <c r="M274" s="907"/>
      <c r="N274" s="907"/>
    </row>
    <row r="275" spans="1:14" hidden="1" x14ac:dyDescent="0.25">
      <c r="A275" s="2419">
        <f>Итоговая!Y276</f>
        <v>0</v>
      </c>
      <c r="B275" s="2441"/>
      <c r="C275" s="7" t="str">
        <f>Итоговая!AA276</f>
        <v>Ном. мощность НН, МВА</v>
      </c>
      <c r="D275" s="230">
        <f>Итоговая!AB276</f>
        <v>16</v>
      </c>
      <c r="E275" s="229" t="str">
        <f>Итоговая!AC276</f>
        <v>+</v>
      </c>
      <c r="F275" s="229">
        <f>Итоговая!AD276</f>
        <v>10</v>
      </c>
      <c r="G275" s="229">
        <f>Итоговая!AE276</f>
        <v>0</v>
      </c>
      <c r="H275" s="229">
        <f>Итоговая!AF276</f>
        <v>0</v>
      </c>
      <c r="I275" s="2407">
        <f>Итоговая!AP276</f>
        <v>0</v>
      </c>
      <c r="J275" s="2407" t="str">
        <f>Итоговая!AQ276</f>
        <v>открыт</v>
      </c>
      <c r="K275" s="907" t="str">
        <f>Итоговая!AR276</f>
        <v>открыт</v>
      </c>
      <c r="L275" s="907">
        <f>Итоговая!AS276</f>
        <v>0</v>
      </c>
      <c r="M275" s="907"/>
      <c r="N275" s="907"/>
    </row>
    <row r="276" spans="1:14" hidden="1" x14ac:dyDescent="0.25">
      <c r="A276" s="2419">
        <f>Итоговая!Y277</f>
        <v>199</v>
      </c>
      <c r="B276" s="2423">
        <f>COUNTIFS($C$8:C276,"*ПС*",$J$8:J276,"*закрыт*")</f>
        <v>32</v>
      </c>
      <c r="C276" s="212" t="str">
        <f>Итоговая!AA277</f>
        <v xml:space="preserve">ПС 110/35/10 кВ Старица </v>
      </c>
      <c r="D276" s="230">
        <f>Итоговая!AB277</f>
        <v>16</v>
      </c>
      <c r="E276" s="229" t="str">
        <f>Итоговая!AC277</f>
        <v>+</v>
      </c>
      <c r="F276" s="229">
        <f>Итоговая!AD277</f>
        <v>16</v>
      </c>
      <c r="G276" s="229">
        <f>Итоговая!AE277</f>
        <v>0</v>
      </c>
      <c r="H276" s="229">
        <f>Итоговая!AF277</f>
        <v>0</v>
      </c>
      <c r="I276" s="2405">
        <f>Итоговая!AP277</f>
        <v>6.5692294791281522</v>
      </c>
      <c r="J276" s="2405" t="str">
        <f>Итоговая!AQ277</f>
        <v>открыт</v>
      </c>
      <c r="K276" s="907" t="str">
        <f>Итоговая!AR277</f>
        <v>открыт</v>
      </c>
      <c r="L276" s="907">
        <f>Итоговая!AS277</f>
        <v>78.56237060041407</v>
      </c>
      <c r="M276" s="907"/>
      <c r="N276" s="907"/>
    </row>
    <row r="277" spans="1:14" hidden="1" x14ac:dyDescent="0.25">
      <c r="A277" s="2419">
        <f>Итоговая!Y278</f>
        <v>0</v>
      </c>
      <c r="B277" s="2440"/>
      <c r="C277" s="7" t="str">
        <f>Итоговая!AA278</f>
        <v xml:space="preserve">Ном. мощность СН, МВА </v>
      </c>
      <c r="D277" s="230">
        <f>Итоговая!AB278</f>
        <v>16</v>
      </c>
      <c r="E277" s="229" t="str">
        <f>Итоговая!AC278</f>
        <v>+</v>
      </c>
      <c r="F277" s="229">
        <f>Итоговая!AD278</f>
        <v>16</v>
      </c>
      <c r="G277" s="229">
        <f>Итоговая!AE278</f>
        <v>0</v>
      </c>
      <c r="H277" s="229">
        <f>Итоговая!AF278</f>
        <v>0</v>
      </c>
      <c r="I277" s="2406">
        <f>Итоговая!AP278</f>
        <v>0</v>
      </c>
      <c r="J277" s="2406">
        <f>Итоговая!AQ278</f>
        <v>0</v>
      </c>
      <c r="K277" s="907" t="str">
        <f>Итоговая!AR278</f>
        <v>открыт</v>
      </c>
      <c r="L277" s="907">
        <f>Итоговая!AS278</f>
        <v>0</v>
      </c>
      <c r="M277" s="907"/>
      <c r="N277" s="907"/>
    </row>
    <row r="278" spans="1:14" hidden="1" x14ac:dyDescent="0.25">
      <c r="A278" s="2419">
        <f>Итоговая!Y279</f>
        <v>0</v>
      </c>
      <c r="B278" s="2441"/>
      <c r="C278" s="7" t="str">
        <f>Итоговая!AA279</f>
        <v>Ном. мощность НН, МВА</v>
      </c>
      <c r="D278" s="230">
        <f>Итоговая!AB279</f>
        <v>16</v>
      </c>
      <c r="E278" s="229" t="str">
        <f>Итоговая!AC279</f>
        <v>+</v>
      </c>
      <c r="F278" s="229">
        <f>Итоговая!AD279</f>
        <v>16</v>
      </c>
      <c r="G278" s="229">
        <f>Итоговая!AE279</f>
        <v>0</v>
      </c>
      <c r="H278" s="229">
        <f>Итоговая!AF279</f>
        <v>0</v>
      </c>
      <c r="I278" s="2407">
        <f>Итоговая!AP279</f>
        <v>0</v>
      </c>
      <c r="J278" s="2407">
        <f>Итоговая!AQ279</f>
        <v>0</v>
      </c>
      <c r="K278" s="907" t="str">
        <f>Итоговая!AR279</f>
        <v>открыт</v>
      </c>
      <c r="L278" s="907">
        <f>Итоговая!AS279</f>
        <v>0</v>
      </c>
      <c r="M278" s="907"/>
      <c r="N278" s="907"/>
    </row>
    <row r="279" spans="1:14" ht="20.100000000000001" hidden="1" customHeight="1" x14ac:dyDescent="0.25">
      <c r="A279" s="2419">
        <f>Итоговая!Y280</f>
        <v>200</v>
      </c>
      <c r="B279" s="2423">
        <f>COUNTIFS($C$8:C279,"*ПС*",$J$8:J279,"*закрыт*")</f>
        <v>32</v>
      </c>
      <c r="C279" s="212" t="str">
        <f>Итоговая!AA280</f>
        <v xml:space="preserve">ПС 110/35/10 кВ З.Поле </v>
      </c>
      <c r="D279" s="230">
        <f>Итоговая!AB280</f>
        <v>6.3</v>
      </c>
      <c r="E279" s="229" t="str">
        <f>Итоговая!AC280</f>
        <v>+</v>
      </c>
      <c r="F279" s="229">
        <f>Итоговая!AD280</f>
        <v>6.3</v>
      </c>
      <c r="G279" s="229">
        <f>Итоговая!AE280</f>
        <v>0</v>
      </c>
      <c r="H279" s="229">
        <f>Итоговая!AF280</f>
        <v>0</v>
      </c>
      <c r="I279" s="2405">
        <f>Итоговая!AP280</f>
        <v>2.2619565217391306</v>
      </c>
      <c r="J279" s="2405" t="str">
        <f>Итоговая!AQ280</f>
        <v>открыт</v>
      </c>
      <c r="K279" s="907" t="str">
        <f>Итоговая!AR280</f>
        <v>открыт</v>
      </c>
      <c r="L279" s="907">
        <f>Итоговая!AS280</f>
        <v>67.468533307042634</v>
      </c>
      <c r="M279" s="907"/>
      <c r="N279" s="907"/>
    </row>
    <row r="280" spans="1:14" ht="20.100000000000001" hidden="1" customHeight="1" x14ac:dyDescent="0.25">
      <c r="A280" s="2419">
        <f>Итоговая!Y281</f>
        <v>0</v>
      </c>
      <c r="B280" s="2440"/>
      <c r="C280" s="7" t="str">
        <f>Итоговая!AA281</f>
        <v xml:space="preserve">Ном. мощность СН, МВА </v>
      </c>
      <c r="D280" s="230">
        <f>Итоговая!AB281</f>
        <v>6.3</v>
      </c>
      <c r="E280" s="229" t="str">
        <f>Итоговая!AC281</f>
        <v>+</v>
      </c>
      <c r="F280" s="229">
        <f>Итоговая!AD281</f>
        <v>6.3</v>
      </c>
      <c r="G280" s="229">
        <f>Итоговая!AE281</f>
        <v>0</v>
      </c>
      <c r="H280" s="229">
        <f>Итоговая!AF281</f>
        <v>0</v>
      </c>
      <c r="I280" s="2406">
        <f>Итоговая!AP281</f>
        <v>0</v>
      </c>
      <c r="J280" s="2406" t="str">
        <f>Итоговая!AQ281</f>
        <v>открыт</v>
      </c>
      <c r="K280" s="907" t="str">
        <f>Итоговая!AR281</f>
        <v>открыт</v>
      </c>
      <c r="L280" s="907">
        <f>Итоговая!AS281</f>
        <v>0</v>
      </c>
      <c r="M280" s="907"/>
      <c r="N280" s="907"/>
    </row>
    <row r="281" spans="1:14" ht="20.100000000000001" hidden="1" customHeight="1" x14ac:dyDescent="0.25">
      <c r="A281" s="2419">
        <f>Итоговая!Y282</f>
        <v>0</v>
      </c>
      <c r="B281" s="2441"/>
      <c r="C281" s="7" t="str">
        <f>Итоговая!AA282</f>
        <v>Ном. мощность НН, МВА</v>
      </c>
      <c r="D281" s="230">
        <f>Итоговая!AB282</f>
        <v>6.3</v>
      </c>
      <c r="E281" s="229" t="str">
        <f>Итоговая!AC282</f>
        <v>+</v>
      </c>
      <c r="F281" s="229">
        <f>Итоговая!AD282</f>
        <v>6.3</v>
      </c>
      <c r="G281" s="229">
        <f>Итоговая!AE282</f>
        <v>0</v>
      </c>
      <c r="H281" s="229">
        <f>Итоговая!AF282</f>
        <v>0</v>
      </c>
      <c r="I281" s="2407">
        <f>Итоговая!AP282</f>
        <v>0</v>
      </c>
      <c r="J281" s="2407" t="str">
        <f>Итоговая!AQ282</f>
        <v>открыт</v>
      </c>
      <c r="K281" s="907" t="str">
        <f>Итоговая!AR282</f>
        <v>открыт</v>
      </c>
      <c r="L281" s="907">
        <f>Итоговая!AS282</f>
        <v>0</v>
      </c>
      <c r="M281" s="907"/>
      <c r="N281" s="907"/>
    </row>
    <row r="282" spans="1:14" ht="20.100000000000001" customHeight="1" x14ac:dyDescent="0.25">
      <c r="A282" s="212">
        <f>Итоговая!Y283</f>
        <v>201</v>
      </c>
      <c r="B282" s="2260">
        <f>COUNTIFS($C$8:C282,"*ПС*",$J$8:J282,"*закрыт*")</f>
        <v>33</v>
      </c>
      <c r="C282" s="212" t="str">
        <f>Итоговая!AA283</f>
        <v xml:space="preserve">ПС 110/10 кВ Золоотвал </v>
      </c>
      <c r="D282" s="230">
        <f>Итоговая!AB283</f>
        <v>2.5</v>
      </c>
      <c r="E282" s="229">
        <f>Итоговая!AC283</f>
        <v>0</v>
      </c>
      <c r="F282" s="229">
        <f>Итоговая!AD283</f>
        <v>0</v>
      </c>
      <c r="G282" s="229">
        <f>Итоговая!AE283</f>
        <v>0</v>
      </c>
      <c r="H282" s="229">
        <f>Итоговая!AF283</f>
        <v>0</v>
      </c>
      <c r="I282" s="2134">
        <f>Итоговая!AP283</f>
        <v>-0.1399999999999999</v>
      </c>
      <c r="J282" s="172" t="str">
        <f>Итоговая!AQ283</f>
        <v>закрыт</v>
      </c>
      <c r="K282" s="907" t="str">
        <f>Итоговая!AR283</f>
        <v>закрыт</v>
      </c>
      <c r="L282" s="907">
        <f>Итоговая!AS283</f>
        <v>47.238095238095241</v>
      </c>
      <c r="M282" s="907"/>
      <c r="N282" s="907"/>
    </row>
    <row r="283" spans="1:14" ht="20.100000000000001" customHeight="1" x14ac:dyDescent="0.25">
      <c r="A283" s="212">
        <f>Итоговая!Y284</f>
        <v>202</v>
      </c>
      <c r="B283" s="2260">
        <f>COUNTIFS($C$8:C283,"*ПС*",$J$8:J283,"*закрыт*")</f>
        <v>34</v>
      </c>
      <c r="C283" s="212" t="str">
        <f>Итоговая!AA284</f>
        <v xml:space="preserve">ПС 35/10 кВ Красногорская </v>
      </c>
      <c r="D283" s="230">
        <f>Итоговая!AB284</f>
        <v>1.6</v>
      </c>
      <c r="E283" s="229">
        <f>Итоговая!AC284</f>
        <v>0</v>
      </c>
      <c r="F283" s="229">
        <f>Итоговая!AD284</f>
        <v>0</v>
      </c>
      <c r="G283" s="229">
        <f>Итоговая!AE284</f>
        <v>0</v>
      </c>
      <c r="H283" s="229">
        <f>Итоговая!AF284</f>
        <v>0</v>
      </c>
      <c r="I283" s="2134">
        <f>Итоговая!AP284</f>
        <v>-2.6181521739130433</v>
      </c>
      <c r="J283" s="172" t="str">
        <f>Итоговая!AQ284</f>
        <v>закрыт</v>
      </c>
      <c r="K283" s="907" t="str">
        <f>Итоговая!AR284</f>
        <v>закрыт</v>
      </c>
      <c r="L283" s="907">
        <f>Итоговая!AS284</f>
        <v>155.84239130434779</v>
      </c>
      <c r="M283" s="907"/>
      <c r="N283" s="907"/>
    </row>
    <row r="284" spans="1:14" ht="20.100000000000001" customHeight="1" x14ac:dyDescent="0.25">
      <c r="A284" s="212">
        <f>Итоговая!Y285</f>
        <v>203</v>
      </c>
      <c r="B284" s="2260">
        <f>COUNTIFS($C$8:C284,"*ПС*",$J$8:J284,"*закрыт*")</f>
        <v>35</v>
      </c>
      <c r="C284" s="212" t="str">
        <f>Итоговая!AA285</f>
        <v xml:space="preserve">ПС 35/10 кВ Лисицкий Бор </v>
      </c>
      <c r="D284" s="230">
        <f>Итоговая!AB285</f>
        <v>2.5</v>
      </c>
      <c r="E284" s="229">
        <f>Итоговая!AC285</f>
        <v>0</v>
      </c>
      <c r="F284" s="229">
        <f>Итоговая!AD285</f>
        <v>0</v>
      </c>
      <c r="G284" s="229">
        <f>Итоговая!AE285</f>
        <v>0</v>
      </c>
      <c r="H284" s="229">
        <f>Итоговая!AF285</f>
        <v>0</v>
      </c>
      <c r="I284" s="2134">
        <f>Итоговая!AP285</f>
        <v>-1.119891304347826</v>
      </c>
      <c r="J284" s="172" t="str">
        <f>Итоговая!AQ285</f>
        <v>закрыт</v>
      </c>
      <c r="K284" s="907" t="str">
        <f>Итоговая!AR285</f>
        <v>закрыт</v>
      </c>
      <c r="L284" s="907">
        <f>Итоговая!AS285</f>
        <v>42.662525879917176</v>
      </c>
      <c r="M284" s="907"/>
      <c r="N284" s="907"/>
    </row>
    <row r="285" spans="1:14" ht="20.100000000000001" customHeight="1" x14ac:dyDescent="0.25">
      <c r="A285" s="212">
        <f>Итоговая!Y286</f>
        <v>204</v>
      </c>
      <c r="B285" s="2260">
        <f>COUNTIFS($C$8:C285,"*ПС*",$J$8:J285,"*закрыт*")</f>
        <v>36</v>
      </c>
      <c r="C285" s="212" t="str">
        <f>Итоговая!AA286</f>
        <v xml:space="preserve">ПС  35/3 кВ №6 </v>
      </c>
      <c r="D285" s="230">
        <f>Итоговая!AB286</f>
        <v>1</v>
      </c>
      <c r="E285" s="229">
        <f>Итоговая!AC286</f>
        <v>0</v>
      </c>
      <c r="F285" s="229">
        <f>Итоговая!AD286</f>
        <v>0</v>
      </c>
      <c r="G285" s="229">
        <f>Итоговая!AE286</f>
        <v>0</v>
      </c>
      <c r="H285" s="229">
        <f>Итоговая!AF286</f>
        <v>0</v>
      </c>
      <c r="I285" s="2134">
        <f>Итоговая!AP286</f>
        <v>-0.15</v>
      </c>
      <c r="J285" s="172" t="str">
        <f>Итоговая!AQ286</f>
        <v>закрыт</v>
      </c>
      <c r="K285" s="907" t="str">
        <f>Итоговая!AR286</f>
        <v>закрыт</v>
      </c>
      <c r="L285" s="907">
        <f>Итоговая!AS286</f>
        <v>14.285714285714285</v>
      </c>
      <c r="M285" s="907"/>
      <c r="N285" s="907"/>
    </row>
    <row r="286" spans="1:14" ht="20.100000000000001" customHeight="1" x14ac:dyDescent="0.25">
      <c r="A286" s="212">
        <f>Итоговая!Y287</f>
        <v>205</v>
      </c>
      <c r="B286" s="2260">
        <f>COUNTIFS($C$8:C286,"*ПС*",$J$8:J286,"*закрыт*")</f>
        <v>37</v>
      </c>
      <c r="C286" s="212" t="str">
        <f>Итоговая!AA287</f>
        <v xml:space="preserve">ПС 35/6 кВ №1 </v>
      </c>
      <c r="D286" s="230">
        <f>Итоговая!AB287</f>
        <v>1</v>
      </c>
      <c r="E286" s="229">
        <f>Итоговая!AC287</f>
        <v>0</v>
      </c>
      <c r="F286" s="229">
        <f>Итоговая!AD287</f>
        <v>0</v>
      </c>
      <c r="G286" s="229">
        <f>Итоговая!AE287</f>
        <v>0</v>
      </c>
      <c r="H286" s="229">
        <f>Итоговая!AF287</f>
        <v>0</v>
      </c>
      <c r="I286" s="2134">
        <f>Итоговая!AP287</f>
        <v>-1.0893478260869565</v>
      </c>
      <c r="J286" s="172" t="str">
        <f>Итоговая!AQ287</f>
        <v>закрыт</v>
      </c>
      <c r="K286" s="907" t="str">
        <f>Итоговая!AR287</f>
        <v>закрыт</v>
      </c>
      <c r="L286" s="907">
        <f>Итоговая!AS287</f>
        <v>103.74741200828156</v>
      </c>
      <c r="M286" s="907"/>
      <c r="N286" s="907"/>
    </row>
    <row r="287" spans="1:14" x14ac:dyDescent="0.25">
      <c r="A287" s="212">
        <f>Итоговая!Y288</f>
        <v>206</v>
      </c>
      <c r="B287" s="2260">
        <f>COUNTIFS($C$8:C287,"*ПС*",$J$8:J287,"*закрыт*")</f>
        <v>38</v>
      </c>
      <c r="C287" s="212" t="str">
        <f>Итоговая!AA288</f>
        <v xml:space="preserve">  ПС  35/10 кВ №1 </v>
      </c>
      <c r="D287" s="230">
        <f>Итоговая!AB288</f>
        <v>4</v>
      </c>
      <c r="E287" s="229">
        <f>Итоговая!AC288</f>
        <v>0</v>
      </c>
      <c r="F287" s="229">
        <f>Итоговая!AD288</f>
        <v>0</v>
      </c>
      <c r="G287" s="229">
        <f>Итоговая!AE288</f>
        <v>0</v>
      </c>
      <c r="H287" s="229">
        <f>Итоговая!AF288</f>
        <v>0</v>
      </c>
      <c r="I287" s="2134">
        <f>Итоговая!AP288</f>
        <v>-4.2731521739130436</v>
      </c>
      <c r="J287" s="172" t="str">
        <f>Итоговая!AQ288</f>
        <v>закрыт</v>
      </c>
      <c r="K287" s="907" t="str">
        <f>Итоговая!AR288</f>
        <v>закрыт</v>
      </c>
      <c r="L287" s="907">
        <f>Итоговая!AS288</f>
        <v>101.74171842650104</v>
      </c>
      <c r="M287" s="907"/>
      <c r="N287" s="907"/>
    </row>
    <row r="288" spans="1:14" x14ac:dyDescent="0.25">
      <c r="A288" s="212">
        <f>Итоговая!Y289</f>
        <v>207</v>
      </c>
      <c r="B288" s="2260">
        <f>COUNTIFS($C$8:C288,"*ПС*",$J$8:J288,"*закрыт*")</f>
        <v>39</v>
      </c>
      <c r="C288" s="212" t="str">
        <f>Итоговая!AA289</f>
        <v>ПС  35/6 кВ №16</v>
      </c>
      <c r="D288" s="230">
        <f>Итоговая!AB289</f>
        <v>1</v>
      </c>
      <c r="E288" s="229">
        <f>Итоговая!AC289</f>
        <v>0</v>
      </c>
      <c r="F288" s="229">
        <f>Итоговая!AD289</f>
        <v>0</v>
      </c>
      <c r="G288" s="229">
        <f>Итоговая!AE289</f>
        <v>0</v>
      </c>
      <c r="H288" s="229">
        <f>Итоговая!AF289</f>
        <v>0</v>
      </c>
      <c r="I288" s="2134">
        <f>Итоговая!AP289</f>
        <v>-0.33717391304347827</v>
      </c>
      <c r="J288" s="172" t="str">
        <f>Итоговая!AQ289</f>
        <v>закрыт</v>
      </c>
      <c r="K288" s="907" t="str">
        <f>Итоговая!AR289</f>
        <v>закрыт</v>
      </c>
      <c r="L288" s="907">
        <f>Итоговая!AS289</f>
        <v>32.111801242236027</v>
      </c>
      <c r="M288" s="907"/>
      <c r="N288" s="907"/>
    </row>
    <row r="289" spans="1:14" x14ac:dyDescent="0.25">
      <c r="A289" s="212">
        <f>Итоговая!Y290</f>
        <v>208</v>
      </c>
      <c r="B289" s="2260">
        <f>COUNTIFS($C$8:C289,"*ПС*",$J$8:J289,"*закрыт*")</f>
        <v>40</v>
      </c>
      <c r="C289" s="212" t="str">
        <f>Итоговая!AA290</f>
        <v>ПС  35/10 кВ №16</v>
      </c>
      <c r="D289" s="230">
        <f>Итоговая!AB290</f>
        <v>2.5</v>
      </c>
      <c r="E289" s="229">
        <f>Итоговая!AC290</f>
        <v>0</v>
      </c>
      <c r="F289" s="229">
        <f>Итоговая!AD290</f>
        <v>0</v>
      </c>
      <c r="G289" s="229">
        <f>Итоговая!AE290</f>
        <v>0</v>
      </c>
      <c r="H289" s="229">
        <f>Итоговая!AF290</f>
        <v>0</v>
      </c>
      <c r="I289" s="2134">
        <f>Итоговая!AP290</f>
        <v>-1.4543478260869565</v>
      </c>
      <c r="J289" s="172" t="str">
        <f>Итоговая!AQ290</f>
        <v>закрыт</v>
      </c>
      <c r="K289" s="907" t="str">
        <f>Итоговая!AR290</f>
        <v>закрыт</v>
      </c>
      <c r="L289" s="907">
        <f>Итоговая!AS290</f>
        <v>55.403726708074537</v>
      </c>
      <c r="M289" s="907"/>
      <c r="N289" s="907"/>
    </row>
    <row r="290" spans="1:14" ht="20.100000000000001" customHeight="1" x14ac:dyDescent="0.25">
      <c r="A290" s="212">
        <f>Итоговая!Y291</f>
        <v>209</v>
      </c>
      <c r="B290" s="2260">
        <f>COUNTIFS($C$8:C290,"*ПС*",$J$8:J290,"*закрыт*")</f>
        <v>41</v>
      </c>
      <c r="C290" s="212" t="str">
        <f>Итоговая!AA291</f>
        <v xml:space="preserve">ПС 35/10 кВ Золотиха </v>
      </c>
      <c r="D290" s="230">
        <f>Итоговая!AB291</f>
        <v>2.5</v>
      </c>
      <c r="E290" s="229">
        <f>Итоговая!AC291</f>
        <v>0</v>
      </c>
      <c r="F290" s="229">
        <f>Итоговая!AD291</f>
        <v>0</v>
      </c>
      <c r="G290" s="229">
        <f>Итоговая!AE291</f>
        <v>0</v>
      </c>
      <c r="H290" s="229">
        <f>Итоговая!AF291</f>
        <v>0</v>
      </c>
      <c r="I290" s="2134">
        <f>Итоговая!AP291</f>
        <v>-0.33847826086956523</v>
      </c>
      <c r="J290" s="172" t="str">
        <f>Итоговая!AQ291</f>
        <v>закрыт</v>
      </c>
      <c r="K290" s="907" t="str">
        <f>Итоговая!AR291</f>
        <v>закрыт</v>
      </c>
      <c r="L290" s="907">
        <f>Итоговая!AS291</f>
        <v>35.751552795031053</v>
      </c>
      <c r="M290" s="907"/>
      <c r="N290" s="907"/>
    </row>
    <row r="291" spans="1:14" ht="20.100000000000001" customHeight="1" x14ac:dyDescent="0.25">
      <c r="A291" s="212">
        <f>Итоговая!Y292</f>
        <v>210</v>
      </c>
      <c r="B291" s="2260">
        <f>COUNTIFS($C$8:C291,"*ПС*",$J$8:J291,"*закрыт*")</f>
        <v>42</v>
      </c>
      <c r="C291" s="212" t="str">
        <f>Итоговая!AA292</f>
        <v>ПС  35/10 кВ Новый Стан</v>
      </c>
      <c r="D291" s="230">
        <f>Итоговая!AB292</f>
        <v>2.5</v>
      </c>
      <c r="E291" s="229">
        <f>Итоговая!AC292</f>
        <v>0</v>
      </c>
      <c r="F291" s="229">
        <f>Итоговая!AD292</f>
        <v>0</v>
      </c>
      <c r="G291" s="229">
        <f>Итоговая!AE292</f>
        <v>0</v>
      </c>
      <c r="H291" s="229">
        <f>Итоговая!AF292</f>
        <v>0</v>
      </c>
      <c r="I291" s="2134">
        <f>Итоговая!AP292</f>
        <v>-0.16</v>
      </c>
      <c r="J291" s="172" t="str">
        <f>Итоговая!AQ292</f>
        <v>закрыт</v>
      </c>
      <c r="K291" s="907" t="str">
        <f>Итоговая!AR292</f>
        <v>закрыт</v>
      </c>
      <c r="L291" s="907">
        <f>Итоговая!AS292</f>
        <v>12.571428571428571</v>
      </c>
      <c r="M291" s="907"/>
      <c r="N291" s="907"/>
    </row>
    <row r="292" spans="1:14" ht="20.100000000000001" customHeight="1" x14ac:dyDescent="0.25">
      <c r="A292" s="212">
        <f>Итоговая!Y293</f>
        <v>211</v>
      </c>
      <c r="B292" s="2260">
        <f>COUNTIFS($C$8:C292,"*ПС*",$J$8:J292,"*закрыт*")</f>
        <v>43</v>
      </c>
      <c r="C292" s="212" t="str">
        <f>Итоговая!AA293</f>
        <v>ПС  35/10 кВ Романово</v>
      </c>
      <c r="D292" s="230">
        <f>Итоговая!AB293</f>
        <v>2.5</v>
      </c>
      <c r="E292" s="229">
        <f>Итоговая!AC293</f>
        <v>0</v>
      </c>
      <c r="F292" s="229">
        <f>Итоговая!AD293</f>
        <v>0</v>
      </c>
      <c r="G292" s="229">
        <f>Итоговая!AE293</f>
        <v>0</v>
      </c>
      <c r="H292" s="229">
        <f>Итоговая!AF293</f>
        <v>0</v>
      </c>
      <c r="I292" s="2134">
        <f>Итоговая!AP293</f>
        <v>-0.35</v>
      </c>
      <c r="J292" s="172" t="str">
        <f>Итоговая!AQ293</f>
        <v>закрыт</v>
      </c>
      <c r="K292" s="907" t="str">
        <f>Итоговая!AR293</f>
        <v>закрыт</v>
      </c>
      <c r="L292" s="907">
        <f>Итоговая!AS293</f>
        <v>27.80952380952381</v>
      </c>
      <c r="M292" s="907"/>
      <c r="N292" s="907"/>
    </row>
    <row r="293" spans="1:14" ht="20.100000000000001" customHeight="1" x14ac:dyDescent="0.25">
      <c r="A293" s="212">
        <f>Итоговая!Y294</f>
        <v>212</v>
      </c>
      <c r="B293" s="2260">
        <f>COUNTIFS($C$8:C293,"*ПС*",$J$8:J293,"*закрыт*")</f>
        <v>44</v>
      </c>
      <c r="C293" s="212" t="str">
        <f>Итоговая!AA294</f>
        <v xml:space="preserve">ПС 35/10 кВ Первитино </v>
      </c>
      <c r="D293" s="230">
        <f>Итоговая!AB294</f>
        <v>1.6</v>
      </c>
      <c r="E293" s="229">
        <f>Итоговая!AC294</f>
        <v>0</v>
      </c>
      <c r="F293" s="229">
        <f>Итоговая!AD294</f>
        <v>0</v>
      </c>
      <c r="G293" s="229">
        <f>Итоговая!AE294</f>
        <v>0</v>
      </c>
      <c r="H293" s="229">
        <f>Итоговая!AF294</f>
        <v>0</v>
      </c>
      <c r="I293" s="2134">
        <f>Итоговая!AP294</f>
        <v>-0.32</v>
      </c>
      <c r="J293" s="172" t="str">
        <f>Итоговая!AQ294</f>
        <v>закрыт</v>
      </c>
      <c r="K293" s="907" t="str">
        <f>Итоговая!AR294</f>
        <v>закрыт</v>
      </c>
      <c r="L293" s="907">
        <f>Итоговая!AS294</f>
        <v>19.047619047619047</v>
      </c>
      <c r="M293" s="907"/>
      <c r="N293" s="907"/>
    </row>
    <row r="294" spans="1:14" x14ac:dyDescent="0.25">
      <c r="A294" s="212">
        <f>Итоговая!Y295</f>
        <v>213</v>
      </c>
      <c r="B294" s="2260">
        <f>COUNTIFS($C$8:C294,"*ПС*",$J$8:J294,"*закрыт*")</f>
        <v>45</v>
      </c>
      <c r="C294" s="212" t="str">
        <f>Итоговая!AA295</f>
        <v xml:space="preserve">ПС 35/10 кВ № 8  </v>
      </c>
      <c r="D294" s="230">
        <f>Итоговая!AB295</f>
        <v>2.5</v>
      </c>
      <c r="E294" s="229">
        <f>Итоговая!AC295</f>
        <v>0</v>
      </c>
      <c r="F294" s="229">
        <f>Итоговая!AD295</f>
        <v>0</v>
      </c>
      <c r="G294" s="229">
        <f>Итоговая!AE295</f>
        <v>0</v>
      </c>
      <c r="H294" s="229">
        <f>Итоговая!AF295</f>
        <v>0</v>
      </c>
      <c r="I294" s="2134">
        <f>Итоговая!AP295</f>
        <v>-0.65</v>
      </c>
      <c r="J294" s="172" t="str">
        <f>Итоговая!AQ295</f>
        <v>закрыт</v>
      </c>
      <c r="K294" s="907" t="str">
        <f>Итоговая!AR295</f>
        <v>закрыт</v>
      </c>
      <c r="L294" s="907">
        <f>Итоговая!AS295</f>
        <v>24.761904761904763</v>
      </c>
      <c r="M294" s="907"/>
      <c r="N294" s="907"/>
    </row>
    <row r="295" spans="1:14" ht="20.100000000000001" customHeight="1" x14ac:dyDescent="0.25">
      <c r="A295" s="212">
        <f>Итоговая!Y296</f>
        <v>214</v>
      </c>
      <c r="B295" s="2260">
        <f>COUNTIFS($C$8:C295,"*ПС*",$J$8:J295,"*закрыт*")</f>
        <v>46</v>
      </c>
      <c r="C295" s="212" t="str">
        <f>Итоговая!AA296</f>
        <v xml:space="preserve">ПС 35/6 кВ Алексино </v>
      </c>
      <c r="D295" s="230">
        <f>Итоговая!AB296</f>
        <v>2.5</v>
      </c>
      <c r="E295" s="229">
        <f>Итоговая!AC296</f>
        <v>0</v>
      </c>
      <c r="F295" s="229">
        <f>Итоговая!AD296</f>
        <v>0</v>
      </c>
      <c r="G295" s="229">
        <f>Итоговая!AE296</f>
        <v>0</v>
      </c>
      <c r="H295" s="229">
        <f>Итоговая!AF296</f>
        <v>0</v>
      </c>
      <c r="I295" s="2134">
        <f>Итоговая!AP296</f>
        <v>-1.5042391304347826</v>
      </c>
      <c r="J295" s="172" t="str">
        <f>Итоговая!AQ296</f>
        <v>закрыт</v>
      </c>
      <c r="K295" s="907" t="str">
        <f>Итоговая!AR296</f>
        <v>закрыт</v>
      </c>
      <c r="L295" s="907">
        <f>Итоговая!AS296</f>
        <v>57.304347826086953</v>
      </c>
      <c r="M295" s="907"/>
      <c r="N295" s="907"/>
    </row>
    <row r="296" spans="1:14" x14ac:dyDescent="0.25">
      <c r="A296" s="212">
        <f>Итоговая!Y297</f>
        <v>215</v>
      </c>
      <c r="B296" s="2260">
        <f>COUNTIFS($C$8:C296,"*ПС*",$J$8:J296,"*закрыт*")</f>
        <v>47</v>
      </c>
      <c r="C296" s="212" t="str">
        <f>Итоговая!AA297</f>
        <v xml:space="preserve">ПС 35/10 кВ Безбородово </v>
      </c>
      <c r="D296" s="230">
        <f>Итоговая!AB297</f>
        <v>2.5</v>
      </c>
      <c r="E296" s="229">
        <f>Итоговая!AC297</f>
        <v>0</v>
      </c>
      <c r="F296" s="229">
        <f>Итоговая!AD297</f>
        <v>0</v>
      </c>
      <c r="G296" s="229">
        <f>Итоговая!AE297</f>
        <v>0</v>
      </c>
      <c r="H296" s="229">
        <f>Итоговая!AF297</f>
        <v>0</v>
      </c>
      <c r="I296" s="2134">
        <f>Итоговая!AP297</f>
        <v>-2.9176086956521736</v>
      </c>
      <c r="J296" s="172" t="str">
        <f>Итоговая!AQ297</f>
        <v>закрыт</v>
      </c>
      <c r="K296" s="907" t="str">
        <f>Итоговая!AR297</f>
        <v>закрыт</v>
      </c>
      <c r="L296" s="907">
        <f>Итоговая!AS297</f>
        <v>111.14699792960661</v>
      </c>
      <c r="M296" s="907"/>
      <c r="N296" s="907"/>
    </row>
    <row r="297" spans="1:14" x14ac:dyDescent="0.25">
      <c r="A297" s="212">
        <f>Итоговая!Y298</f>
        <v>216</v>
      </c>
      <c r="B297" s="2260">
        <f>COUNTIFS($C$8:C297,"*ПС*",$J$8:J297,"*закрыт*")</f>
        <v>48</v>
      </c>
      <c r="C297" s="212" t="str">
        <f>Итоговая!AA298</f>
        <v xml:space="preserve">ПС 110/10 кВ Медведиха </v>
      </c>
      <c r="D297" s="230">
        <f>Итоговая!AB298</f>
        <v>2.5</v>
      </c>
      <c r="E297" s="229">
        <f>Итоговая!AC298</f>
        <v>0</v>
      </c>
      <c r="F297" s="229">
        <f>Итоговая!AD298</f>
        <v>0</v>
      </c>
      <c r="G297" s="229">
        <f>Итоговая!AE298</f>
        <v>0</v>
      </c>
      <c r="H297" s="229">
        <f>Итоговая!AF298</f>
        <v>0</v>
      </c>
      <c r="I297" s="2134">
        <f>Итоговая!AP298</f>
        <v>-0.14076086956521738</v>
      </c>
      <c r="J297" s="172" t="str">
        <f>Итоговая!AQ298</f>
        <v>закрыт</v>
      </c>
      <c r="K297" s="907" t="str">
        <f>Итоговая!AR298</f>
        <v>закрыт</v>
      </c>
      <c r="L297" s="907">
        <f>Итоговая!AS298</f>
        <v>17.552795031055901</v>
      </c>
      <c r="M297" s="907"/>
      <c r="N297" s="907"/>
    </row>
    <row r="298" spans="1:14" x14ac:dyDescent="0.25">
      <c r="A298" s="212">
        <f>Итоговая!Y299</f>
        <v>217</v>
      </c>
      <c r="B298" s="2260">
        <f>COUNTIFS($C$8:C298,"*ПС*",$J$8:J298,"*закрыт*")</f>
        <v>49</v>
      </c>
      <c r="C298" s="212" t="str">
        <f>Итоговая!AA299</f>
        <v xml:space="preserve">ПС 35/10 кВ Киверичи </v>
      </c>
      <c r="D298" s="230">
        <f>Итоговая!AB299</f>
        <v>2.5</v>
      </c>
      <c r="E298" s="229">
        <f>Итоговая!AC299</f>
        <v>0</v>
      </c>
      <c r="F298" s="229">
        <f>Итоговая!AD299</f>
        <v>0</v>
      </c>
      <c r="G298" s="229">
        <f>Итоговая!AE299</f>
        <v>0</v>
      </c>
      <c r="H298" s="229">
        <f>Итоговая!AF299</f>
        <v>0</v>
      </c>
      <c r="I298" s="2134">
        <f>Итоговая!AP299</f>
        <v>-0.45</v>
      </c>
      <c r="J298" s="172" t="str">
        <f>Итоговая!AQ299</f>
        <v>закрыт</v>
      </c>
      <c r="K298" s="907" t="str">
        <f>Итоговая!AR299</f>
        <v>закрыт</v>
      </c>
      <c r="L298" s="907">
        <f>Итоговая!AS299</f>
        <v>17.142857142857142</v>
      </c>
      <c r="M298" s="907"/>
      <c r="N298" s="907"/>
    </row>
    <row r="299" spans="1:14" hidden="1" x14ac:dyDescent="0.25">
      <c r="A299" s="212">
        <f>Итоговая!Y300</f>
        <v>218</v>
      </c>
      <c r="B299" s="1860">
        <f>COUNTIFS($C$8:C299,"*ПС*",$J$8:J299,"*закрыт*")</f>
        <v>49</v>
      </c>
      <c r="C299" s="212" t="str">
        <f>Итоговая!AA300</f>
        <v xml:space="preserve">ПС 35/10 кВ Диево </v>
      </c>
      <c r="D299" s="230">
        <f>Итоговая!AB300</f>
        <v>2.5</v>
      </c>
      <c r="E299" s="229">
        <f>Итоговая!AC300</f>
        <v>0</v>
      </c>
      <c r="F299" s="229">
        <f>Итоговая!AD300</f>
        <v>0</v>
      </c>
      <c r="G299" s="229">
        <f>Итоговая!AE300</f>
        <v>0</v>
      </c>
      <c r="H299" s="229">
        <f>Итоговая!AF300</f>
        <v>0</v>
      </c>
      <c r="I299" s="2134">
        <f>Итоговая!AP300</f>
        <v>0</v>
      </c>
      <c r="J299" s="172" t="str">
        <f>Итоговая!AQ300</f>
        <v>открыт</v>
      </c>
      <c r="K299" s="907" t="str">
        <f>Итоговая!AR300</f>
        <v>открыт</v>
      </c>
      <c r="L299" s="907">
        <f>Итоговая!AS300</f>
        <v>4.1904761904761907</v>
      </c>
      <c r="M299" s="907"/>
      <c r="N299" s="907"/>
    </row>
    <row r="300" spans="1:14" hidden="1" x14ac:dyDescent="0.25">
      <c r="A300" s="212">
        <f>Итоговая!Y301</f>
        <v>219</v>
      </c>
      <c r="B300" s="1133">
        <f>COUNTIFS($C$8:C300,"*ПС*",$J$8:J300,"*закрыт*")</f>
        <v>49</v>
      </c>
      <c r="C300" s="212" t="str">
        <f>Итоговая!AA301</f>
        <v xml:space="preserve">ПС 35/10 кВ №17 </v>
      </c>
      <c r="D300" s="230">
        <f>Итоговая!AB301</f>
        <v>4</v>
      </c>
      <c r="E300" s="229" t="str">
        <f>Итоговая!AC301</f>
        <v>+</v>
      </c>
      <c r="F300" s="229">
        <f>Итоговая!AD301</f>
        <v>4</v>
      </c>
      <c r="G300" s="229">
        <f>Итоговая!AE301</f>
        <v>0</v>
      </c>
      <c r="H300" s="229">
        <f>Итоговая!AF301</f>
        <v>0</v>
      </c>
      <c r="I300" s="172">
        <f>Итоговая!AP301</f>
        <v>3.1565217391304348</v>
      </c>
      <c r="J300" s="172" t="str">
        <f>Итоговая!AQ301</f>
        <v>открыт</v>
      </c>
      <c r="K300" s="907" t="str">
        <f>Итоговая!AR301</f>
        <v>открыт</v>
      </c>
      <c r="L300" s="907">
        <f>Итоговая!AS301</f>
        <v>24.844720496894407</v>
      </c>
      <c r="M300" s="907"/>
      <c r="N300" s="907"/>
    </row>
    <row r="301" spans="1:14" x14ac:dyDescent="0.25">
      <c r="A301" s="212">
        <f>Итоговая!Y302</f>
        <v>220</v>
      </c>
      <c r="B301" s="2260">
        <f>COUNTIFS($C$8:C301,"*ПС*",$J$8:J301,"*закрыт*")</f>
        <v>50</v>
      </c>
      <c r="C301" s="212" t="str">
        <f>Итоговая!AA302</f>
        <v>ПС  35/6 кВ Даниловская</v>
      </c>
      <c r="D301" s="230">
        <f>Итоговая!AB302</f>
        <v>2.5</v>
      </c>
      <c r="E301" s="229" t="str">
        <f>Итоговая!AC302</f>
        <v>+</v>
      </c>
      <c r="F301" s="229">
        <f>Итоговая!AD302</f>
        <v>6.3</v>
      </c>
      <c r="G301" s="229">
        <f>Итоговая!AE302</f>
        <v>0</v>
      </c>
      <c r="H301" s="229">
        <f>Итоговая!AF302</f>
        <v>0</v>
      </c>
      <c r="I301" s="2134">
        <f>Итоговая!AP302</f>
        <v>-2.419434782608695</v>
      </c>
      <c r="J301" s="172" t="str">
        <f>Итоговая!AQ302</f>
        <v>закрыт</v>
      </c>
      <c r="K301" s="907" t="str">
        <f>Итоговая!AR302</f>
        <v>закрыт</v>
      </c>
      <c r="L301" s="907">
        <f>Итоговая!AS302</f>
        <v>192.16894409937885</v>
      </c>
      <c r="M301" s="907"/>
      <c r="N301" s="907"/>
    </row>
    <row r="302" spans="1:14" ht="20.100000000000001" hidden="1" customHeight="1" x14ac:dyDescent="0.25">
      <c r="A302" s="212">
        <f>Итоговая!Y303</f>
        <v>221</v>
      </c>
      <c r="B302" s="1860">
        <f>COUNTIFS($C$8:C302,"*ПС*",$J$8:J302,"*закрыт*")</f>
        <v>50</v>
      </c>
      <c r="C302" s="212" t="str">
        <f>Итоговая!AA303</f>
        <v>ПС 35/10 кВ Кушалино</v>
      </c>
      <c r="D302" s="230">
        <f>Итоговая!AB303</f>
        <v>2.5</v>
      </c>
      <c r="E302" s="229" t="str">
        <f>Итоговая!AC303</f>
        <v>+</v>
      </c>
      <c r="F302" s="229">
        <f>Итоговая!AD303</f>
        <v>2.5</v>
      </c>
      <c r="G302" s="229">
        <f>Итоговая!AE303</f>
        <v>0</v>
      </c>
      <c r="H302" s="229">
        <f>Итоговая!AF303</f>
        <v>0</v>
      </c>
      <c r="I302" s="172">
        <f>Итоговая!AP303</f>
        <v>0.22157065217391292</v>
      </c>
      <c r="J302" s="172" t="str">
        <f>Итоговая!AQ303</f>
        <v>открыт</v>
      </c>
      <c r="K302" s="907" t="str">
        <f>Итоговая!AR303</f>
        <v>открыт</v>
      </c>
      <c r="L302" s="907">
        <f>Итоговая!AS303</f>
        <v>91.559213250517615</v>
      </c>
      <c r="M302" s="907"/>
      <c r="N302" s="907"/>
    </row>
    <row r="303" spans="1:14" ht="20.100000000000001" hidden="1" customHeight="1" x14ac:dyDescent="0.25">
      <c r="A303" s="212">
        <f>Итоговая!Y304</f>
        <v>222</v>
      </c>
      <c r="B303" s="1133">
        <f>COUNTIFS($C$8:C303,"*ПС*",$J$8:J303,"*закрыт*")</f>
        <v>50</v>
      </c>
      <c r="C303" s="212" t="str">
        <f>Итоговая!AA304</f>
        <v xml:space="preserve">ПС 35/6 кВ №4 </v>
      </c>
      <c r="D303" s="230">
        <f>Итоговая!AB304</f>
        <v>5.6</v>
      </c>
      <c r="E303" s="229" t="str">
        <f>Итоговая!AC304</f>
        <v>+</v>
      </c>
      <c r="F303" s="229">
        <f>Итоговая!AD304</f>
        <v>5.6</v>
      </c>
      <c r="G303" s="229">
        <f>Итоговая!AE304</f>
        <v>0</v>
      </c>
      <c r="H303" s="229">
        <f>Итоговая!AF304</f>
        <v>0</v>
      </c>
      <c r="I303" s="172">
        <f>Итоговая!AP304</f>
        <v>3.2385869565217389</v>
      </c>
      <c r="J303" s="172" t="str">
        <f>Итоговая!AQ304</f>
        <v>открыт</v>
      </c>
      <c r="K303" s="907" t="str">
        <f>Итоговая!AR304</f>
        <v>открыт</v>
      </c>
      <c r="L303" s="907">
        <f>Итоговая!AS304</f>
        <v>44.921990535344577</v>
      </c>
      <c r="M303" s="907"/>
      <c r="N303" s="907"/>
    </row>
    <row r="304" spans="1:14" hidden="1" x14ac:dyDescent="0.25">
      <c r="A304" s="212">
        <f>Итоговая!Y305</f>
        <v>223</v>
      </c>
      <c r="B304" s="1133">
        <f>COUNTIFS($C$8:C304,"*ПС*",$J$8:J304,"*закрыт*")</f>
        <v>50</v>
      </c>
      <c r="C304" s="212" t="str">
        <f>Итоговая!AA305</f>
        <v>ПС  35/6 кВ №13</v>
      </c>
      <c r="D304" s="230">
        <f>Итоговая!AB305</f>
        <v>3.2</v>
      </c>
      <c r="E304" s="229" t="str">
        <f>Итоговая!AC305</f>
        <v>+</v>
      </c>
      <c r="F304" s="229">
        <f>Итоговая!AD305</f>
        <v>3.2</v>
      </c>
      <c r="G304" s="229">
        <f>Итоговая!AE305</f>
        <v>0</v>
      </c>
      <c r="H304" s="229">
        <f>Итоговая!AF305</f>
        <v>0</v>
      </c>
      <c r="I304" s="172">
        <f>Итоговая!AP305</f>
        <v>2.04</v>
      </c>
      <c r="J304" s="172" t="str">
        <f>Итоговая!AQ305</f>
        <v>открыт</v>
      </c>
      <c r="K304" s="907" t="str">
        <f>Итоговая!AR305</f>
        <v>открыт</v>
      </c>
      <c r="L304" s="907">
        <f>Итоговая!AS305</f>
        <v>39.285714285714285</v>
      </c>
      <c r="M304" s="907"/>
      <c r="N304" s="907"/>
    </row>
    <row r="305" spans="1:14" x14ac:dyDescent="0.25">
      <c r="A305" s="212">
        <f>Итоговая!Y306</f>
        <v>224</v>
      </c>
      <c r="B305" s="2260">
        <f>COUNTIFS($C$8:C305,"*ПС*",$J$8:J305,"*закрыт*")</f>
        <v>51</v>
      </c>
      <c r="C305" s="212" t="str">
        <f>Итоговая!AA306</f>
        <v xml:space="preserve">ПС 35/6 кВ №27 </v>
      </c>
      <c r="D305" s="230">
        <f>Итоговая!AB306</f>
        <v>10</v>
      </c>
      <c r="E305" s="229" t="str">
        <f>Итоговая!AC306</f>
        <v>+</v>
      </c>
      <c r="F305" s="229">
        <f>Итоговая!AD306</f>
        <v>10</v>
      </c>
      <c r="G305" s="229">
        <f>Итоговая!AE306</f>
        <v>0</v>
      </c>
      <c r="H305" s="229">
        <f>Итоговая!AF306</f>
        <v>0</v>
      </c>
      <c r="I305" s="2134">
        <f>Итоговая!AP306</f>
        <v>-1.6999999999999993</v>
      </c>
      <c r="J305" s="172" t="str">
        <f>Итоговая!AQ306</f>
        <v>закрыт</v>
      </c>
      <c r="K305" s="907" t="str">
        <f>Итоговая!AR306</f>
        <v>закрыт</v>
      </c>
      <c r="L305" s="907">
        <f>Итоговая!AS306</f>
        <v>116.19047619047619</v>
      </c>
      <c r="M305" s="907"/>
      <c r="N305" s="907"/>
    </row>
    <row r="306" spans="1:14" x14ac:dyDescent="0.25">
      <c r="A306" s="212">
        <f>Итоговая!Y307</f>
        <v>225</v>
      </c>
      <c r="B306" s="2260">
        <f>COUNTIFS($C$8:C306,"*ПС*",$J$8:J306,"*закрыт*")</f>
        <v>52</v>
      </c>
      <c r="C306" s="212" t="str">
        <f>Итоговая!AA307</f>
        <v xml:space="preserve">ПС 35/6 кВ Вагжановская </v>
      </c>
      <c r="D306" s="230">
        <f>Итоговая!AB307</f>
        <v>16</v>
      </c>
      <c r="E306" s="229" t="str">
        <f>Итоговая!AC307</f>
        <v>+</v>
      </c>
      <c r="F306" s="229">
        <f>Итоговая!AD307</f>
        <v>16</v>
      </c>
      <c r="G306" s="229">
        <f>Итоговая!AE307</f>
        <v>0</v>
      </c>
      <c r="H306" s="229">
        <f>Итоговая!AF307</f>
        <v>0</v>
      </c>
      <c r="I306" s="2134">
        <f>Итоговая!AP307</f>
        <v>-0.39999999999999858</v>
      </c>
      <c r="J306" s="172" t="str">
        <f>Итоговая!AQ307</f>
        <v>закрыт</v>
      </c>
      <c r="K306" s="907" t="str">
        <f>Итоговая!AR307</f>
        <v>закрыт</v>
      </c>
      <c r="L306" s="907">
        <f>Итоговая!AS307</f>
        <v>102.38095238095238</v>
      </c>
      <c r="M306" s="907"/>
      <c r="N306" s="907"/>
    </row>
    <row r="307" spans="1:14" hidden="1" x14ac:dyDescent="0.25">
      <c r="A307" s="212">
        <f>Итоговая!Y308</f>
        <v>226</v>
      </c>
      <c r="B307" s="1133">
        <f>COUNTIFS($C$8:C307,"*ПС*",$J$8:J307,"*закрыт*")</f>
        <v>52</v>
      </c>
      <c r="C307" s="212" t="str">
        <f>Итоговая!AA308</f>
        <v>ПС  35/6 кВ Завод 1 Мая</v>
      </c>
      <c r="D307" s="230">
        <f>Итоговая!AB308</f>
        <v>10</v>
      </c>
      <c r="E307" s="229" t="str">
        <f>Итоговая!AC308</f>
        <v>+</v>
      </c>
      <c r="F307" s="229">
        <f>Итоговая!AD308</f>
        <v>10</v>
      </c>
      <c r="G307" s="229">
        <f>Итоговая!AE308</f>
        <v>0</v>
      </c>
      <c r="H307" s="229">
        <f>Итоговая!AF308</f>
        <v>0</v>
      </c>
      <c r="I307" s="172">
        <f>Итоговая!AP308</f>
        <v>5.0599999999999996</v>
      </c>
      <c r="J307" s="172" t="str">
        <f>Итоговая!AQ308</f>
        <v>открыт</v>
      </c>
      <c r="K307" s="907" t="str">
        <f>Итоговая!AR308</f>
        <v>открыт</v>
      </c>
      <c r="L307" s="907">
        <f>Итоговая!AS308</f>
        <v>51.80952380952381</v>
      </c>
      <c r="M307" s="907"/>
      <c r="N307" s="907"/>
    </row>
    <row r="308" spans="1:14" hidden="1" x14ac:dyDescent="0.25">
      <c r="A308" s="212">
        <f>Итоговая!Y309</f>
        <v>227</v>
      </c>
      <c r="B308" s="1133">
        <f>COUNTIFS($C$8:C308,"*ПС*",$J$8:J308,"*закрыт*")</f>
        <v>52</v>
      </c>
      <c r="C308" s="212" t="str">
        <f>Итоговая!AA309</f>
        <v xml:space="preserve">ПС 35/6 кВ Стекловолокно </v>
      </c>
      <c r="D308" s="230">
        <f>Итоговая!AB309</f>
        <v>10</v>
      </c>
      <c r="E308" s="229" t="str">
        <f>Итоговая!AC309</f>
        <v>+</v>
      </c>
      <c r="F308" s="229">
        <f>Итоговая!AD309</f>
        <v>10</v>
      </c>
      <c r="G308" s="229">
        <f>Итоговая!AE309</f>
        <v>0</v>
      </c>
      <c r="H308" s="229">
        <f>Итоговая!AF309</f>
        <v>0</v>
      </c>
      <c r="I308" s="172">
        <f>Итоговая!AP309</f>
        <v>2.1848913043478255</v>
      </c>
      <c r="J308" s="172" t="str">
        <f>Итоговая!AQ309</f>
        <v>открыт</v>
      </c>
      <c r="K308" s="907" t="str">
        <f>Итоговая!AR309</f>
        <v>открыт</v>
      </c>
      <c r="L308" s="907">
        <f>Итоговая!AS309</f>
        <v>79.191511387163573</v>
      </c>
      <c r="M308" s="907"/>
      <c r="N308" s="907"/>
    </row>
    <row r="309" spans="1:14" ht="20.100000000000001" hidden="1" customHeight="1" x14ac:dyDescent="0.25">
      <c r="A309" s="212">
        <f>Итоговая!Y310</f>
        <v>228</v>
      </c>
      <c r="B309" s="1860">
        <f>COUNTIFS($C$8:C309,"*ПС*",$J$8:J309,"*закрыт*")</f>
        <v>52</v>
      </c>
      <c r="C309" s="212" t="str">
        <f>Итоговая!AA310</f>
        <v xml:space="preserve">ПС 35/10 кВ Соминка </v>
      </c>
      <c r="D309" s="230">
        <f>Итоговая!AB310</f>
        <v>16</v>
      </c>
      <c r="E309" s="229" t="str">
        <f>Итоговая!AC310</f>
        <v>+</v>
      </c>
      <c r="F309" s="229">
        <f>Итоговая!AD310</f>
        <v>16</v>
      </c>
      <c r="G309" s="229">
        <f>Итоговая!AE310</f>
        <v>0</v>
      </c>
      <c r="H309" s="229">
        <f>Итоговая!AF310</f>
        <v>0</v>
      </c>
      <c r="I309" s="172">
        <f>Итоговая!AP310</f>
        <v>2.66413043478261</v>
      </c>
      <c r="J309" s="172" t="str">
        <f>Итоговая!AQ310</f>
        <v>открыт</v>
      </c>
      <c r="K309" s="907" t="str">
        <f>Итоговая!AR310</f>
        <v>открыт</v>
      </c>
      <c r="L309" s="907">
        <f>Итоговая!AS310</f>
        <v>84.142080745341602</v>
      </c>
      <c r="M309" s="907"/>
      <c r="N309" s="907"/>
    </row>
    <row r="310" spans="1:14" ht="20.100000000000001" hidden="1" customHeight="1" x14ac:dyDescent="0.25">
      <c r="A310" s="212">
        <f>Итоговая!Y311</f>
        <v>229</v>
      </c>
      <c r="B310" s="1133">
        <f>COUNTIFS($C$8:C310,"*ПС*",$J$8:J310,"*закрыт*")</f>
        <v>52</v>
      </c>
      <c r="C310" s="212" t="str">
        <f>Итоговая!AA311</f>
        <v>ПС  35/6 кВ Заволжская</v>
      </c>
      <c r="D310" s="230">
        <f>Итоговая!AB311</f>
        <v>7.5</v>
      </c>
      <c r="E310" s="229" t="str">
        <f>Итоговая!AC311</f>
        <v>+</v>
      </c>
      <c r="F310" s="229">
        <f>Итоговая!AD311</f>
        <v>10</v>
      </c>
      <c r="G310" s="229">
        <f>Итоговая!AE311</f>
        <v>0</v>
      </c>
      <c r="H310" s="229">
        <f>Итоговая!AF311</f>
        <v>0</v>
      </c>
      <c r="I310" s="172">
        <f>Итоговая!AP311</f>
        <v>1.821630434782608</v>
      </c>
      <c r="J310" s="172" t="str">
        <f>Итоговая!AQ311</f>
        <v>открыт</v>
      </c>
      <c r="K310" s="907" t="str">
        <f>Итоговая!AR311</f>
        <v>открыт</v>
      </c>
      <c r="L310" s="907">
        <f>Итоговая!AS311</f>
        <v>76.868184955141487</v>
      </c>
      <c r="M310" s="907"/>
      <c r="N310" s="907"/>
    </row>
    <row r="311" spans="1:14" hidden="1" x14ac:dyDescent="0.25">
      <c r="A311" s="212">
        <f>Итоговая!Y312</f>
        <v>230</v>
      </c>
      <c r="B311" s="1860">
        <f>COUNTIFS($C$8:C311,"*ПС*",$J$8:J311,"*закрыт*")</f>
        <v>52</v>
      </c>
      <c r="C311" s="212" t="str">
        <f>Итоговая!AA312</f>
        <v xml:space="preserve">ПС 35/10 кВ Капошвар </v>
      </c>
      <c r="D311" s="230">
        <f>Итоговая!AB312</f>
        <v>10</v>
      </c>
      <c r="E311" s="229" t="str">
        <f>Итоговая!AC312</f>
        <v>+</v>
      </c>
      <c r="F311" s="229">
        <f>Итоговая!AD312</f>
        <v>10</v>
      </c>
      <c r="G311" s="229">
        <f>Итоговая!AE312</f>
        <v>0</v>
      </c>
      <c r="H311" s="229">
        <f>Итоговая!AF312</f>
        <v>0</v>
      </c>
      <c r="I311" s="172">
        <f>Итоговая!AP312</f>
        <v>0.37967391304347764</v>
      </c>
      <c r="J311" s="172" t="str">
        <f>Итоговая!AQ312</f>
        <v>открыт</v>
      </c>
      <c r="K311" s="907" t="str">
        <f>Итоговая!AR312</f>
        <v>открыт</v>
      </c>
      <c r="L311" s="907">
        <f>Итоговая!AS312</f>
        <v>96.384057971014499</v>
      </c>
      <c r="M311" s="907"/>
      <c r="N311" s="907"/>
    </row>
    <row r="312" spans="1:14" x14ac:dyDescent="0.25">
      <c r="A312" s="212">
        <f>Итоговая!Y314</f>
        <v>232</v>
      </c>
      <c r="B312" s="2260">
        <f>COUNTIFS($C$8:C312,"*ПС*",$J$8:J312,"*закрыт*")</f>
        <v>53</v>
      </c>
      <c r="C312" s="212" t="str">
        <f>Итоговая!AA314</f>
        <v>ПС  110/10 кВ Мамулино</v>
      </c>
      <c r="D312" s="230">
        <f>Итоговая!AB314</f>
        <v>6.3</v>
      </c>
      <c r="E312" s="229" t="str">
        <f>Итоговая!AC314</f>
        <v>+</v>
      </c>
      <c r="F312" s="229">
        <f>Итоговая!AD314</f>
        <v>6.3</v>
      </c>
      <c r="G312" s="229">
        <f>Итоговая!AE314</f>
        <v>0</v>
      </c>
      <c r="H312" s="229">
        <f>Итоговая!AF314</f>
        <v>0</v>
      </c>
      <c r="I312" s="2134">
        <f>Итоговая!AP314</f>
        <v>-3.44771195652174</v>
      </c>
      <c r="J312" s="172" t="str">
        <f>Итоговая!AQ314</f>
        <v>закрыт</v>
      </c>
      <c r="K312" s="907" t="str">
        <f>Итоговая!AR314</f>
        <v>закрыт</v>
      </c>
      <c r="L312" s="907">
        <f>Итоговая!AS314</f>
        <v>152.11960629662494</v>
      </c>
      <c r="M312" s="907"/>
      <c r="N312" s="907"/>
    </row>
    <row r="313" spans="1:14" ht="20.100000000000001" hidden="1" customHeight="1" x14ac:dyDescent="0.25">
      <c r="A313" s="212">
        <f>Итоговая!Y315</f>
        <v>233</v>
      </c>
      <c r="B313" s="1860">
        <f>COUNTIFS($C$8:C313,"*ПС*",$J$8:J313,"*закрыт*")</f>
        <v>53</v>
      </c>
      <c r="C313" s="212" t="str">
        <f>Итоговая!AA315</f>
        <v xml:space="preserve">ПС 110/10 кВ Глазково </v>
      </c>
      <c r="D313" s="230">
        <f>Итоговая!AB315</f>
        <v>6.3</v>
      </c>
      <c r="E313" s="229" t="str">
        <f>Итоговая!AC315</f>
        <v>+</v>
      </c>
      <c r="F313" s="229">
        <f>Итоговая!AD315</f>
        <v>6.3</v>
      </c>
      <c r="G313" s="229">
        <f>Итоговая!AE315</f>
        <v>0</v>
      </c>
      <c r="H313" s="229">
        <f>Итоговая!AF315</f>
        <v>0</v>
      </c>
      <c r="I313" s="172">
        <f>Итоговая!AP315</f>
        <v>1.646521739130435</v>
      </c>
      <c r="J313" s="172" t="str">
        <f>Итоговая!AQ315</f>
        <v>открыт</v>
      </c>
      <c r="K313" s="907" t="str">
        <f>Итоговая!AR315</f>
        <v>открыт</v>
      </c>
      <c r="L313" s="907">
        <f>Итоговая!AS315</f>
        <v>75.109270761444662</v>
      </c>
      <c r="M313" s="907"/>
      <c r="N313" s="907"/>
    </row>
    <row r="314" spans="1:14" ht="30" hidden="1" customHeight="1" x14ac:dyDescent="0.25">
      <c r="A314" s="212">
        <f>Итоговая!Y316</f>
        <v>234</v>
      </c>
      <c r="B314" s="1133">
        <f>COUNTIFS($C$8:C314,"*ПС*",$J$8:J314,"*закрыт*")</f>
        <v>53</v>
      </c>
      <c r="C314" s="212" t="str">
        <f>Итоговая!AA316</f>
        <v xml:space="preserve">ПС 110/10 кВ Пролетарская </v>
      </c>
      <c r="D314" s="230">
        <f>Итоговая!AB316</f>
        <v>16</v>
      </c>
      <c r="E314" s="229" t="str">
        <f>Итоговая!AC316</f>
        <v>+</v>
      </c>
      <c r="F314" s="229">
        <f>Итоговая!AD316</f>
        <v>16</v>
      </c>
      <c r="G314" s="229">
        <f>Итоговая!AE316</f>
        <v>0</v>
      </c>
      <c r="H314" s="229">
        <f>Итоговая!AF316</f>
        <v>0</v>
      </c>
      <c r="I314" s="172">
        <f>Итоговая!AP316</f>
        <v>3.41804347826087</v>
      </c>
      <c r="J314" s="172" t="str">
        <f>Итоговая!AQ316</f>
        <v>открыт</v>
      </c>
      <c r="K314" s="907" t="str">
        <f>Итоговая!AR316</f>
        <v>открыт</v>
      </c>
      <c r="L314" s="907">
        <f>Итоговая!AS316</f>
        <v>79.654503105590052</v>
      </c>
      <c r="M314" s="907"/>
      <c r="N314" s="907"/>
    </row>
    <row r="315" spans="1:14" hidden="1" x14ac:dyDescent="0.25">
      <c r="A315" s="212">
        <f>Итоговая!Y317</f>
        <v>235</v>
      </c>
      <c r="B315" s="1971">
        <f>COUNTIFS($C$8:C315,"*ПС*",$J$8:J315,"*закрыт*")</f>
        <v>53</v>
      </c>
      <c r="C315" s="212" t="str">
        <f>Итоговая!AA317</f>
        <v xml:space="preserve">ПС 35/10 кВ Тургиново </v>
      </c>
      <c r="D315" s="230">
        <f>Итоговая!AB317</f>
        <v>6.3</v>
      </c>
      <c r="E315" s="229" t="str">
        <f>Итоговая!AC317</f>
        <v>+</v>
      </c>
      <c r="F315" s="229">
        <f>Итоговая!AD317</f>
        <v>6.3</v>
      </c>
      <c r="G315" s="229">
        <f>Итоговая!AE317</f>
        <v>0</v>
      </c>
      <c r="H315" s="229">
        <f>Итоговая!AF317</f>
        <v>0</v>
      </c>
      <c r="I315" s="172">
        <f>Итоговая!AP317</f>
        <v>0.82119565217391344</v>
      </c>
      <c r="J315" s="172" t="str">
        <f>Итоговая!AQ317</f>
        <v>открыт</v>
      </c>
      <c r="K315" s="907" t="str">
        <f>Итоговая!AR317</f>
        <v>открыт</v>
      </c>
      <c r="L315" s="907">
        <f>Итоговая!AS317</f>
        <v>87.585855598277945</v>
      </c>
      <c r="M315" s="907"/>
      <c r="N315" s="907"/>
    </row>
    <row r="316" spans="1:14" hidden="1" x14ac:dyDescent="0.25">
      <c r="A316" s="212">
        <f>Итоговая!Y318</f>
        <v>236</v>
      </c>
      <c r="B316" s="1133">
        <f>COUNTIFS($C$8:C316,"*ПС*",$J$8:J316,"*закрыт*")</f>
        <v>53</v>
      </c>
      <c r="C316" s="212" t="str">
        <f>Итоговая!AA318</f>
        <v xml:space="preserve">ПС 35/10 кВ Сахарово </v>
      </c>
      <c r="D316" s="230">
        <f>Итоговая!AB318</f>
        <v>4</v>
      </c>
      <c r="E316" s="229" t="str">
        <f>Итоговая!AC318</f>
        <v>+</v>
      </c>
      <c r="F316" s="229">
        <f>Итоговая!AD318</f>
        <v>4</v>
      </c>
      <c r="G316" s="229">
        <f>Итоговая!AE318</f>
        <v>0</v>
      </c>
      <c r="H316" s="229">
        <f>Итоговая!AF318</f>
        <v>0</v>
      </c>
      <c r="I316" s="172">
        <f>Итоговая!AP318</f>
        <v>1.0070652173913048</v>
      </c>
      <c r="J316" s="172" t="str">
        <f>Итоговая!AQ318</f>
        <v>открыт</v>
      </c>
      <c r="K316" s="907" t="str">
        <f>Итоговая!AR318</f>
        <v>открыт</v>
      </c>
      <c r="L316" s="907">
        <f>Итоговая!AS318</f>
        <v>76.022256728778444</v>
      </c>
      <c r="M316" s="907"/>
      <c r="N316" s="907"/>
    </row>
    <row r="317" spans="1:14" hidden="1" x14ac:dyDescent="0.25">
      <c r="A317" s="212">
        <f>Итоговая!Y319</f>
        <v>237</v>
      </c>
      <c r="B317" s="1860">
        <f>COUNTIFS($C$8:C317,"*ПС*",$J$8:J317,"*закрыт*")</f>
        <v>53</v>
      </c>
      <c r="C317" s="212" t="str">
        <f>Итоговая!AA319</f>
        <v>ПС  35/10 кВ Головино</v>
      </c>
      <c r="D317" s="246">
        <f>Итоговая!AB319</f>
        <v>2.5</v>
      </c>
      <c r="E317" s="247" t="str">
        <f>Итоговая!AC319</f>
        <v>+</v>
      </c>
      <c r="F317" s="247">
        <f>Итоговая!AD319</f>
        <v>2.5</v>
      </c>
      <c r="G317" s="247">
        <f>Итоговая!AE319</f>
        <v>0</v>
      </c>
      <c r="H317" s="247">
        <f>Итоговая!AF319</f>
        <v>0</v>
      </c>
      <c r="I317" s="172">
        <f>Итоговая!AP319</f>
        <v>0.88021739130434784</v>
      </c>
      <c r="J317" s="172" t="str">
        <f>Итоговая!AQ319</f>
        <v>открыт</v>
      </c>
      <c r="K317" s="907" t="str">
        <f>Итоговая!AR319</f>
        <v>открыт</v>
      </c>
      <c r="L317" s="907">
        <f>Итоговая!AS319</f>
        <v>54.277432712215322</v>
      </c>
      <c r="M317" s="907"/>
      <c r="N317" s="907"/>
    </row>
    <row r="318" spans="1:14" x14ac:dyDescent="0.25">
      <c r="A318" s="212">
        <f>Итоговая!Y320</f>
        <v>238</v>
      </c>
      <c r="B318" s="2260">
        <f>COUNTIFS($C$8:C318,"*ПС*",$J$8:J318,"*закрыт*")</f>
        <v>54</v>
      </c>
      <c r="C318" s="212" t="str">
        <f>Итоговая!AA320</f>
        <v>ПС  35/6 кВ Каликино</v>
      </c>
      <c r="D318" s="246">
        <f>Итоговая!AB320</f>
        <v>10</v>
      </c>
      <c r="E318" s="247" t="str">
        <f>Итоговая!AC320</f>
        <v>+</v>
      </c>
      <c r="F318" s="247">
        <f>Итоговая!AD320</f>
        <v>3.2</v>
      </c>
      <c r="G318" s="247">
        <f>Итоговая!AE320</f>
        <v>0</v>
      </c>
      <c r="H318" s="247">
        <f>Итоговая!AF320</f>
        <v>0</v>
      </c>
      <c r="I318" s="2134">
        <f>Итоговая!AP320</f>
        <v>-0.14684782608695635</v>
      </c>
      <c r="J318" s="172" t="str">
        <f>Итоговая!AQ320</f>
        <v>закрыт</v>
      </c>
      <c r="K318" s="907" t="str">
        <f>Итоговая!AR320</f>
        <v>закрыт</v>
      </c>
      <c r="L318" s="907">
        <f>Итоговая!AS320</f>
        <v>104.37047101449275</v>
      </c>
      <c r="M318" s="907"/>
      <c r="N318" s="907"/>
    </row>
    <row r="319" spans="1:14" hidden="1" x14ac:dyDescent="0.25">
      <c r="A319" s="212">
        <f>Итоговая!Y321</f>
        <v>239</v>
      </c>
      <c r="B319" s="1133">
        <f>COUNTIFS($C$8:C319,"*ПС*",$J$8:J319,"*закрыт*")</f>
        <v>54</v>
      </c>
      <c r="C319" s="212" t="str">
        <f>Итоговая!AA321</f>
        <v>ПС 35/10 кВ Квакшино</v>
      </c>
      <c r="D319" s="246">
        <f>Итоговая!AB321</f>
        <v>4</v>
      </c>
      <c r="E319" s="247" t="str">
        <f>Итоговая!AC321</f>
        <v>+</v>
      </c>
      <c r="F319" s="247">
        <f>Итоговая!AD321</f>
        <v>4</v>
      </c>
      <c r="G319" s="247">
        <f>Итоговая!AE321</f>
        <v>0</v>
      </c>
      <c r="H319" s="247">
        <f>Итоговая!AF321</f>
        <v>0</v>
      </c>
      <c r="I319" s="172">
        <f>Итоговая!AP321</f>
        <v>2.8132065217391307</v>
      </c>
      <c r="J319" s="172" t="str">
        <f>Итоговая!AQ321</f>
        <v>открыт</v>
      </c>
      <c r="K319" s="907" t="str">
        <f>Итоговая!AR321</f>
        <v>открыт</v>
      </c>
      <c r="L319" s="907">
        <f>Итоговая!AS321</f>
        <v>33.018892339544507</v>
      </c>
      <c r="M319" s="907"/>
      <c r="N319" s="907"/>
    </row>
    <row r="320" spans="1:14" x14ac:dyDescent="0.25">
      <c r="A320" s="212">
        <f>Итоговая!Y322</f>
        <v>240</v>
      </c>
      <c r="B320" s="2260">
        <f>COUNTIFS($C$8:C320,"*ПС*",$J$8:J320,"*закрыт*")</f>
        <v>55</v>
      </c>
      <c r="C320" s="212" t="str">
        <f>Итоговая!AA322</f>
        <v>ПС  35/10 кВ Городня</v>
      </c>
      <c r="D320" s="246">
        <f>Итоговая!AB322</f>
        <v>6.3</v>
      </c>
      <c r="E320" s="247" t="str">
        <f>Итоговая!AC322</f>
        <v>+</v>
      </c>
      <c r="F320" s="247">
        <f>Итоговая!AD322</f>
        <v>6.3</v>
      </c>
      <c r="G320" s="247">
        <f>Итоговая!AE322</f>
        <v>0</v>
      </c>
      <c r="H320" s="247">
        <f>Итоговая!AF322</f>
        <v>0</v>
      </c>
      <c r="I320" s="2134">
        <f>Итоговая!AP322</f>
        <v>-0.55635869565217311</v>
      </c>
      <c r="J320" s="172" t="str">
        <f>Итоговая!AQ322</f>
        <v>закрыт</v>
      </c>
      <c r="K320" s="907" t="str">
        <f>Итоговая!AR322</f>
        <v>закрыт</v>
      </c>
      <c r="L320" s="907">
        <f>Итоговая!AS322</f>
        <v>65.780176805021526</v>
      </c>
      <c r="M320" s="907"/>
      <c r="N320" s="907"/>
    </row>
    <row r="321" spans="1:14" hidden="1" x14ac:dyDescent="0.25">
      <c r="A321" s="212">
        <f>Итоговая!Y323</f>
        <v>241</v>
      </c>
      <c r="B321" s="1860">
        <f>COUNTIFS($C$8:C321,"*ПС*",$J$8:J321,"*закрыт*")</f>
        <v>55</v>
      </c>
      <c r="C321" s="212" t="str">
        <f>Итоговая!AA323</f>
        <v xml:space="preserve">ПС 35/10 кВ Рязаново </v>
      </c>
      <c r="D321" s="246">
        <f>Итоговая!AB323</f>
        <v>4</v>
      </c>
      <c r="E321" s="247" t="str">
        <f>Итоговая!AC323</f>
        <v>+</v>
      </c>
      <c r="F321" s="247">
        <f>Итоговая!AD323</f>
        <v>4</v>
      </c>
      <c r="G321" s="247">
        <f>Итоговая!AE323</f>
        <v>0</v>
      </c>
      <c r="H321" s="247">
        <f>Итоговая!AF323</f>
        <v>0</v>
      </c>
      <c r="I321" s="172">
        <f>Итоговая!AP323</f>
        <v>0.23141304347826097</v>
      </c>
      <c r="J321" s="172" t="str">
        <f>Итоговая!AQ323</f>
        <v>открыт</v>
      </c>
      <c r="K321" s="907" t="str">
        <f>Итоговая!AR323</f>
        <v>открыт</v>
      </c>
      <c r="L321" s="907">
        <f>Итоговая!AS323</f>
        <v>72.347308488612839</v>
      </c>
      <c r="M321" s="907"/>
      <c r="N321" s="907"/>
    </row>
    <row r="322" spans="1:14" ht="20.100000000000001" customHeight="1" x14ac:dyDescent="0.25">
      <c r="A322" s="212">
        <f>Итоговая!Y324</f>
        <v>242</v>
      </c>
      <c r="B322" s="2260">
        <f>COUNTIFS($C$8:C322,"*ПС*",$J$8:J322,"*закрыт*")</f>
        <v>56</v>
      </c>
      <c r="C322" s="212" t="str">
        <f>Итоговая!AA324</f>
        <v xml:space="preserve">ПС 35/10 кВ Савватьево </v>
      </c>
      <c r="D322" s="246">
        <f>Итоговая!AB324</f>
        <v>1.6</v>
      </c>
      <c r="E322" s="247" t="str">
        <f>Итоговая!AC324</f>
        <v>+</v>
      </c>
      <c r="F322" s="247">
        <f>Итоговая!AD324</f>
        <v>2.5</v>
      </c>
      <c r="G322" s="247">
        <f>Итоговая!AE324</f>
        <v>0</v>
      </c>
      <c r="H322" s="247">
        <f>Итоговая!AF324</f>
        <v>0</v>
      </c>
      <c r="I322" s="2134">
        <f>Итоговая!AP324</f>
        <v>-1.1043478260869564</v>
      </c>
      <c r="J322" s="172" t="str">
        <f>Итоговая!AQ324</f>
        <v>закрыт</v>
      </c>
      <c r="K322" s="907" t="str">
        <f>Итоговая!AR324</f>
        <v>закрыт</v>
      </c>
      <c r="L322" s="907">
        <f>Итоговая!AS324</f>
        <v>165.73498964803309</v>
      </c>
      <c r="M322" s="907"/>
      <c r="N322" s="907"/>
    </row>
    <row r="323" spans="1:14" hidden="1" x14ac:dyDescent="0.25">
      <c r="A323" s="212">
        <f>Итоговая!Y325</f>
        <v>243</v>
      </c>
      <c r="B323" s="1860">
        <f>COUNTIFS($C$8:C323,"*ПС*",$J$8:J323,"*закрыт*")</f>
        <v>56</v>
      </c>
      <c r="C323" s="212" t="str">
        <f>Итоговая!AA325</f>
        <v xml:space="preserve">ПС 35/10 кВ Беле-Кушаль </v>
      </c>
      <c r="D323" s="230">
        <f>Итоговая!AB325</f>
        <v>1.6</v>
      </c>
      <c r="E323" s="229" t="str">
        <f>Итоговая!AC325</f>
        <v>+</v>
      </c>
      <c r="F323" s="229">
        <f>Итоговая!AD325</f>
        <v>2.5</v>
      </c>
      <c r="G323" s="229">
        <f>Итоговая!AE325</f>
        <v>0</v>
      </c>
      <c r="H323" s="229">
        <f>Итоговая!AF325</f>
        <v>0</v>
      </c>
      <c r="I323" s="172">
        <f>Итоговая!AP325</f>
        <v>0.54548387096774209</v>
      </c>
      <c r="J323" s="172" t="str">
        <f>Итоговая!AQ325</f>
        <v>открыт</v>
      </c>
      <c r="K323" s="907" t="str">
        <f>Итоговая!AR325</f>
        <v>открыт</v>
      </c>
      <c r="L323" s="907">
        <f>Итоговая!AS325</f>
        <v>67.530721966205832</v>
      </c>
      <c r="M323" s="907"/>
      <c r="N323" s="907"/>
    </row>
    <row r="324" spans="1:14" hidden="1" x14ac:dyDescent="0.25">
      <c r="A324" s="212">
        <f>Итоговая!Y326</f>
        <v>244</v>
      </c>
      <c r="B324" s="1133">
        <f>COUNTIFS($C$8:C324,"*ПС*",$J$8:J324,"*закрыт*")</f>
        <v>56</v>
      </c>
      <c r="C324" s="212" t="str">
        <f>Итоговая!AA326</f>
        <v xml:space="preserve">ПС 35/10 кВ Стеклозавод </v>
      </c>
      <c r="D324" s="230">
        <f>Итоговая!AB326</f>
        <v>2.5</v>
      </c>
      <c r="E324" s="229" t="str">
        <f>Итоговая!AC326</f>
        <v>+</v>
      </c>
      <c r="F324" s="229">
        <f>Итоговая!AD326</f>
        <v>2.5</v>
      </c>
      <c r="G324" s="229">
        <f>Итоговая!AE326</f>
        <v>0</v>
      </c>
      <c r="H324" s="229">
        <f>Итоговая!AF326</f>
        <v>0</v>
      </c>
      <c r="I324" s="172">
        <f>Итоговая!AP326</f>
        <v>1.9205217391304346</v>
      </c>
      <c r="J324" s="172" t="str">
        <f>Итоговая!AQ326</f>
        <v>открыт</v>
      </c>
      <c r="K324" s="907" t="str">
        <f>Итоговая!AR326</f>
        <v>открыт</v>
      </c>
      <c r="L324" s="907">
        <f>Итоговая!AS326</f>
        <v>13.656314699792958</v>
      </c>
      <c r="M324" s="907"/>
      <c r="N324" s="907"/>
    </row>
    <row r="325" spans="1:14" ht="20.100000000000001" customHeight="1" x14ac:dyDescent="0.25">
      <c r="A325" s="212">
        <f>Итоговая!Y327</f>
        <v>245</v>
      </c>
      <c r="B325" s="2260">
        <f>COUNTIFS($C$8:C325,"*ПС*",$J$8:J325,"*закрыт*")</f>
        <v>57</v>
      </c>
      <c r="C325" s="212" t="str">
        <f>Итоговая!AA327</f>
        <v>ПС  35/10 кВ Гришкино</v>
      </c>
      <c r="D325" s="230">
        <f>Итоговая!AB327</f>
        <v>6.3</v>
      </c>
      <c r="E325" s="229" t="str">
        <f>Итоговая!AC327</f>
        <v>+</v>
      </c>
      <c r="F325" s="229">
        <f>Итоговая!AD327</f>
        <v>6.3</v>
      </c>
      <c r="G325" s="229">
        <f>Итоговая!AE327</f>
        <v>0</v>
      </c>
      <c r="H325" s="229">
        <f>Итоговая!AF327</f>
        <v>0</v>
      </c>
      <c r="I325" s="2134">
        <f>Итоговая!AP327</f>
        <v>-8.3412499999999987</v>
      </c>
      <c r="J325" s="172" t="str">
        <f>Итоговая!AQ327</f>
        <v>закрыт</v>
      </c>
      <c r="K325" s="907" t="str">
        <f>Итоговая!AR327</f>
        <v>закрыт</v>
      </c>
      <c r="L325" s="907">
        <f>Итоговая!AS327</f>
        <v>226.0959939531368</v>
      </c>
      <c r="M325" s="907"/>
      <c r="N325" s="907"/>
    </row>
    <row r="326" spans="1:14" hidden="1" x14ac:dyDescent="0.25">
      <c r="A326" s="212">
        <f>Итоговая!Y328</f>
        <v>246</v>
      </c>
      <c r="B326" s="1133">
        <f>COUNTIFS($C$8:C326,"*ПС*",$J$8:J326,"*закрыт*")</f>
        <v>57</v>
      </c>
      <c r="C326" s="212" t="str">
        <f>Итоговая!AA328</f>
        <v xml:space="preserve">ПС 35/3 кВ №2 </v>
      </c>
      <c r="D326" s="230">
        <f>Итоговая!AB328</f>
        <v>1</v>
      </c>
      <c r="E326" s="229" t="str">
        <f>Итоговая!AC328</f>
        <v>+</v>
      </c>
      <c r="F326" s="229">
        <f>Итоговая!AD328</f>
        <v>1</v>
      </c>
      <c r="G326" s="229">
        <f>Итоговая!AE328</f>
        <v>0</v>
      </c>
      <c r="H326" s="229">
        <f>Итоговая!AF328</f>
        <v>0</v>
      </c>
      <c r="I326" s="172">
        <f>Итоговая!AP328</f>
        <v>0.30000000000000004</v>
      </c>
      <c r="J326" s="172" t="str">
        <f>Итоговая!AQ328</f>
        <v>открыт</v>
      </c>
      <c r="K326" s="907" t="str">
        <f>Итоговая!AR328</f>
        <v>открыт</v>
      </c>
      <c r="L326" s="907">
        <f>Итоговая!AS328</f>
        <v>71.428571428571431</v>
      </c>
      <c r="M326" s="907"/>
      <c r="N326" s="907"/>
    </row>
    <row r="327" spans="1:14" hidden="1" x14ac:dyDescent="0.25">
      <c r="A327" s="212">
        <f>Итоговая!Y329</f>
        <v>247</v>
      </c>
      <c r="B327" s="1860">
        <f>COUNTIFS($C$8:C327,"*ПС*",$J$8:J327,"*закрыт*")</f>
        <v>57</v>
      </c>
      <c r="C327" s="212" t="str">
        <f>Итоговая!AA329</f>
        <v>ПС  35/10 кВ №15</v>
      </c>
      <c r="D327" s="230">
        <f>Итоговая!AB329</f>
        <v>4</v>
      </c>
      <c r="E327" s="229" t="str">
        <f>Итоговая!AC329</f>
        <v>+</v>
      </c>
      <c r="F327" s="229">
        <f>Итоговая!AD329</f>
        <v>6.3</v>
      </c>
      <c r="G327" s="229">
        <f>Итоговая!AE329</f>
        <v>0</v>
      </c>
      <c r="H327" s="229">
        <f>Итоговая!AF329</f>
        <v>0</v>
      </c>
      <c r="I327" s="172">
        <f>Итоговая!AP329</f>
        <v>1.4945161290322586</v>
      </c>
      <c r="J327" s="172" t="str">
        <f>Итоговая!AQ329</f>
        <v>открыт</v>
      </c>
      <c r="K327" s="907" t="str">
        <f>Итоговая!AR329</f>
        <v>открыт</v>
      </c>
      <c r="L327" s="907">
        <f>Итоговая!AS329</f>
        <v>64.416282642089087</v>
      </c>
      <c r="M327" s="907"/>
      <c r="N327" s="907"/>
    </row>
    <row r="328" spans="1:14" hidden="1" x14ac:dyDescent="0.25">
      <c r="A328" s="212">
        <f>Итоговая!Y330</f>
        <v>248</v>
      </c>
      <c r="B328" s="752">
        <f>COUNTIFS($C$8:C328,"*ПС*",$J$8:J328,"*закрыт*")</f>
        <v>57</v>
      </c>
      <c r="C328" s="212" t="str">
        <f>Итоговая!AA330</f>
        <v xml:space="preserve">ПС 35/10 кВ Медное </v>
      </c>
      <c r="D328" s="230">
        <f>Итоговая!AB330</f>
        <v>6.3</v>
      </c>
      <c r="E328" s="229" t="str">
        <f>Итоговая!AC330</f>
        <v>+</v>
      </c>
      <c r="F328" s="229">
        <f>Итоговая!AD330</f>
        <v>6.3</v>
      </c>
      <c r="G328" s="229">
        <f>Итоговая!AE330</f>
        <v>0</v>
      </c>
      <c r="H328" s="229">
        <f>Итоговая!AF330</f>
        <v>0</v>
      </c>
      <c r="I328" s="172">
        <f>Итоговая!AP330</f>
        <v>0.82271739130434807</v>
      </c>
      <c r="J328" s="172" t="str">
        <f>Итоговая!AQ330</f>
        <v>открыт</v>
      </c>
      <c r="K328" s="907" t="str">
        <f>Итоговая!AR330</f>
        <v>открыт</v>
      </c>
      <c r="L328" s="907">
        <f>Итоговая!AS330</f>
        <v>73.806237470833736</v>
      </c>
      <c r="M328" s="907"/>
      <c r="N328" s="907"/>
    </row>
    <row r="329" spans="1:14" ht="20.100000000000001" hidden="1" customHeight="1" x14ac:dyDescent="0.25">
      <c r="A329" s="212">
        <f>Итоговая!Y331</f>
        <v>249</v>
      </c>
      <c r="B329" s="1133">
        <f>COUNTIFS($C$8:C329,"*ПС*",$J$8:J329,"*закрыт*")</f>
        <v>57</v>
      </c>
      <c r="C329" s="212" t="str">
        <f>Итоговая!AA331</f>
        <v xml:space="preserve">ПС 35/10 кВ Толмачи       </v>
      </c>
      <c r="D329" s="230">
        <f>Итоговая!AB331</f>
        <v>2.5</v>
      </c>
      <c r="E329" s="229" t="str">
        <f>Итоговая!AC331</f>
        <v>+</v>
      </c>
      <c r="F329" s="229">
        <f>Итоговая!AD331</f>
        <v>1.8</v>
      </c>
      <c r="G329" s="229">
        <f>Итоговая!AE331</f>
        <v>0</v>
      </c>
      <c r="H329" s="229">
        <f>Итоговая!AF331</f>
        <v>0</v>
      </c>
      <c r="I329" s="172">
        <f>Итоговая!AP331</f>
        <v>0.95000000000000018</v>
      </c>
      <c r="J329" s="172" t="str">
        <f>Итоговая!AQ331</f>
        <v>открыт</v>
      </c>
      <c r="K329" s="907" t="str">
        <f>Итоговая!AR331</f>
        <v>открыт</v>
      </c>
      <c r="L329" s="907">
        <f>Итоговая!AS331</f>
        <v>49.735449735449734</v>
      </c>
      <c r="M329" s="907"/>
      <c r="N329" s="907"/>
    </row>
    <row r="330" spans="1:14" hidden="1" x14ac:dyDescent="0.25">
      <c r="A330" s="212">
        <f>Итоговая!Y332</f>
        <v>250</v>
      </c>
      <c r="B330" s="1133">
        <f>COUNTIFS($C$8:C330,"*ПС*",$J$8:J330,"*закрыт*")</f>
        <v>57</v>
      </c>
      <c r="C330" s="212" t="str">
        <f>Итоговая!AA332</f>
        <v xml:space="preserve">ПС 35/10 кВ № 7 </v>
      </c>
      <c r="D330" s="230">
        <f>Итоговая!AB332</f>
        <v>1.6</v>
      </c>
      <c r="E330" s="229" t="str">
        <f>Итоговая!AC332</f>
        <v>+</v>
      </c>
      <c r="F330" s="229">
        <f>Итоговая!AD332</f>
        <v>2.5</v>
      </c>
      <c r="G330" s="229">
        <f>Итоговая!AE332</f>
        <v>0</v>
      </c>
      <c r="H330" s="229">
        <f>Итоговая!AF332</f>
        <v>0</v>
      </c>
      <c r="I330" s="172">
        <f>Итоговая!AP332</f>
        <v>1.1000000000000001</v>
      </c>
      <c r="J330" s="172" t="str">
        <f>Итоговая!AQ332</f>
        <v>открыт</v>
      </c>
      <c r="K330" s="907" t="str">
        <f>Итоговая!AR332</f>
        <v>открыт</v>
      </c>
      <c r="L330" s="907">
        <f>Итоговая!AS332</f>
        <v>34.523809523809518</v>
      </c>
      <c r="M330" s="907"/>
      <c r="N330" s="907"/>
    </row>
    <row r="331" spans="1:14" ht="20.100000000000001" hidden="1" customHeight="1" x14ac:dyDescent="0.25">
      <c r="A331" s="212">
        <f>Итоговая!Y333</f>
        <v>251</v>
      </c>
      <c r="B331" s="1133">
        <f>COUNTIFS($C$8:C331,"*ПС*",$J$8:J331,"*закрыт*")</f>
        <v>57</v>
      </c>
      <c r="C331" s="212" t="str">
        <f>Итоговая!AA333</f>
        <v xml:space="preserve">ПС  35/6 кВ № 5 </v>
      </c>
      <c r="D331" s="230">
        <f>Итоговая!AB333</f>
        <v>5.6</v>
      </c>
      <c r="E331" s="229" t="str">
        <f>Итоговая!AC333</f>
        <v>+</v>
      </c>
      <c r="F331" s="229">
        <f>Итоговая!AD333</f>
        <v>4</v>
      </c>
      <c r="G331" s="229">
        <f>Итоговая!AE333</f>
        <v>0</v>
      </c>
      <c r="H331" s="229">
        <f>Итоговая!AF333</f>
        <v>0</v>
      </c>
      <c r="I331" s="172">
        <f>Итоговая!AP333</f>
        <v>2.0429347826086959</v>
      </c>
      <c r="J331" s="172" t="str">
        <f>Итоговая!AQ333</f>
        <v>открыт</v>
      </c>
      <c r="K331" s="907" t="str">
        <f>Итоговая!AR333</f>
        <v>открыт</v>
      </c>
      <c r="L331" s="907">
        <f>Итоговая!AS333</f>
        <v>51.358695652173914</v>
      </c>
      <c r="M331" s="907"/>
      <c r="N331" s="907"/>
    </row>
    <row r="332" spans="1:14" hidden="1" x14ac:dyDescent="0.25">
      <c r="A332" s="212">
        <f>Итоговая!Y334</f>
        <v>252</v>
      </c>
      <c r="B332" s="1860">
        <f>COUNTIFS($C$8:C332,"*ПС*",$J$8:J332,"*закрыт*")</f>
        <v>57</v>
      </c>
      <c r="C332" s="212" t="str">
        <f>Итоговая!AA334</f>
        <v xml:space="preserve">ПС  35/6 кВ № 9 </v>
      </c>
      <c r="D332" s="230">
        <f>Итоговая!AB334</f>
        <v>5.6</v>
      </c>
      <c r="E332" s="229" t="str">
        <f>Итоговая!AC334</f>
        <v>+</v>
      </c>
      <c r="F332" s="229">
        <f>Итоговая!AD334</f>
        <v>6.3</v>
      </c>
      <c r="G332" s="229">
        <f>Итоговая!AE334</f>
        <v>0</v>
      </c>
      <c r="H332" s="229">
        <f>Итоговая!AF334</f>
        <v>0</v>
      </c>
      <c r="I332" s="172">
        <f>Итоговая!AP334</f>
        <v>0.9144565217391305</v>
      </c>
      <c r="J332" s="172" t="str">
        <f>Итоговая!AQ334</f>
        <v>открыт</v>
      </c>
      <c r="K332" s="907" t="str">
        <f>Итоговая!AR334</f>
        <v>открыт</v>
      </c>
      <c r="L332" s="907">
        <f>Итоговая!AS334</f>
        <v>84.448018337769895</v>
      </c>
      <c r="M332" s="907"/>
      <c r="N332" s="907"/>
    </row>
    <row r="333" spans="1:14" ht="20.100000000000001" hidden="1" customHeight="1" x14ac:dyDescent="0.25">
      <c r="A333" s="212">
        <f>Итоговая!Y335</f>
        <v>253</v>
      </c>
      <c r="B333" s="1133">
        <f>COUNTIFS($C$8:C333,"*ПС*",$J$8:J333,"*закрыт*")</f>
        <v>57</v>
      </c>
      <c r="C333" s="212" t="str">
        <f>Итоговая!AA335</f>
        <v xml:space="preserve">ПС 35/10 кВ № 9  </v>
      </c>
      <c r="D333" s="230">
        <f>Итоговая!AB335</f>
        <v>6.3</v>
      </c>
      <c r="E333" s="229" t="str">
        <f>Итоговая!AC335</f>
        <v>+</v>
      </c>
      <c r="F333" s="229">
        <f>Итоговая!AD335</f>
        <v>6.3</v>
      </c>
      <c r="G333" s="229">
        <f>Итоговая!AE335</f>
        <v>0</v>
      </c>
      <c r="H333" s="229">
        <f>Итоговая!AF335</f>
        <v>0</v>
      </c>
      <c r="I333" s="172">
        <f>Итоговая!AP335</f>
        <v>2.3849999999999998</v>
      </c>
      <c r="J333" s="172" t="str">
        <f>Итоговая!AQ335</f>
        <v>открыт</v>
      </c>
      <c r="K333" s="907" t="str">
        <f>Итоговая!AR335</f>
        <v>открыт</v>
      </c>
      <c r="L333" s="907">
        <f>Итоговая!AS335</f>
        <v>63.945578231292522</v>
      </c>
      <c r="M333" s="907"/>
      <c r="N333" s="907"/>
    </row>
    <row r="334" spans="1:14" x14ac:dyDescent="0.25">
      <c r="A334" s="212">
        <f>Итоговая!Y336</f>
        <v>254</v>
      </c>
      <c r="B334" s="2260">
        <f>COUNTIFS($C$8:C334,"*ПС*",$J$8:J334,"*закрыт*")</f>
        <v>58</v>
      </c>
      <c r="C334" s="212" t="str">
        <f>Итоговая!AA336</f>
        <v xml:space="preserve">ПС 35/6 кВ № 10 </v>
      </c>
      <c r="D334" s="230">
        <f>Итоговая!AB336</f>
        <v>1.8</v>
      </c>
      <c r="E334" s="229" t="str">
        <f>Итоговая!AC336</f>
        <v>+</v>
      </c>
      <c r="F334" s="229">
        <f>Итоговая!AD336</f>
        <v>1.8</v>
      </c>
      <c r="G334" s="229">
        <f>Итоговая!AE336</f>
        <v>0</v>
      </c>
      <c r="H334" s="229">
        <f>Итоговая!AF336</f>
        <v>0</v>
      </c>
      <c r="I334" s="2134">
        <f>Итоговая!AP336</f>
        <v>-0.3655434782608693</v>
      </c>
      <c r="J334" s="172" t="str">
        <f>Итоговая!AQ336</f>
        <v>закрыт</v>
      </c>
      <c r="K334" s="907" t="str">
        <f>Итоговая!AR336</f>
        <v>закрыт</v>
      </c>
      <c r="L334" s="907">
        <f>Итоговая!AS336</f>
        <v>119.34092477570736</v>
      </c>
      <c r="M334" s="907"/>
      <c r="N334" s="907"/>
    </row>
    <row r="335" spans="1:14" hidden="1" x14ac:dyDescent="0.25">
      <c r="A335" s="212">
        <f>Итоговая!Y337</f>
        <v>255</v>
      </c>
      <c r="B335" s="1133">
        <f>COUNTIFS($C$8:C335,"*ПС*",$J$8:J335,"*закрыт*")</f>
        <v>58</v>
      </c>
      <c r="C335" s="212" t="str">
        <f>Итоговая!AA337</f>
        <v xml:space="preserve">ПС 35/10 кВ № 11  </v>
      </c>
      <c r="D335" s="230">
        <f>Итоговая!AB337</f>
        <v>10</v>
      </c>
      <c r="E335" s="229" t="str">
        <f>Итоговая!AC337</f>
        <v>+</v>
      </c>
      <c r="F335" s="229">
        <f>Итоговая!AD337</f>
        <v>6.3</v>
      </c>
      <c r="G335" s="229">
        <f>Итоговая!AE337</f>
        <v>0</v>
      </c>
      <c r="H335" s="229">
        <f>Итоговая!AF337</f>
        <v>0</v>
      </c>
      <c r="I335" s="172">
        <f>Итоговая!AP337</f>
        <v>0.88467391304347842</v>
      </c>
      <c r="J335" s="172" t="str">
        <f>Итоговая!AQ337</f>
        <v>открыт</v>
      </c>
      <c r="K335" s="907" t="str">
        <f>Итоговая!AR337</f>
        <v>открыт</v>
      </c>
      <c r="L335" s="907">
        <f>Итоговая!AS337</f>
        <v>86.626244700778855</v>
      </c>
      <c r="M335" s="907"/>
      <c r="N335" s="907"/>
    </row>
    <row r="336" spans="1:14" ht="20.100000000000001" hidden="1" customHeight="1" x14ac:dyDescent="0.25">
      <c r="A336" s="212">
        <f>Итоговая!Y338</f>
        <v>256</v>
      </c>
      <c r="B336" s="1860">
        <f>COUNTIFS($C$8:C336,"*ПС*",$J$8:J336,"*закрыт*")</f>
        <v>58</v>
      </c>
      <c r="C336" s="212" t="str">
        <f>Итоговая!AA338</f>
        <v xml:space="preserve">ПС 35/10 кВ Дм.Гора  </v>
      </c>
      <c r="D336" s="230">
        <f>Итоговая!AB338</f>
        <v>10</v>
      </c>
      <c r="E336" s="229" t="str">
        <f>Итоговая!AC338</f>
        <v>+</v>
      </c>
      <c r="F336" s="229">
        <f>Итоговая!AD338</f>
        <v>10</v>
      </c>
      <c r="G336" s="229">
        <f>Итоговая!AE338</f>
        <v>0</v>
      </c>
      <c r="H336" s="229">
        <f>Итоговая!AF338</f>
        <v>0</v>
      </c>
      <c r="I336" s="172">
        <f>Итоговая!AP338</f>
        <v>3.2559782608695649</v>
      </c>
      <c r="J336" s="172" t="str">
        <f>Итоговая!AQ338</f>
        <v>открыт</v>
      </c>
      <c r="K336" s="907" t="str">
        <f>Итоговая!AR338</f>
        <v>открыт</v>
      </c>
      <c r="L336" s="907">
        <f>Итоговая!AS338</f>
        <v>68.990683229813669</v>
      </c>
      <c r="M336" s="907"/>
      <c r="N336" s="907"/>
    </row>
    <row r="337" spans="1:14" ht="20.100000000000001" hidden="1" customHeight="1" x14ac:dyDescent="0.25">
      <c r="A337" s="212">
        <f>Итоговая!Y339</f>
        <v>257</v>
      </c>
      <c r="B337" s="1133">
        <f>COUNTIFS($C$8:C337,"*ПС*",$J$8:J337,"*закрыт*")</f>
        <v>58</v>
      </c>
      <c r="C337" s="212" t="str">
        <f>Итоговая!AA339</f>
        <v xml:space="preserve">ПС 35/6 кВ ЗМИ  </v>
      </c>
      <c r="D337" s="230">
        <f>Итоговая!AB339</f>
        <v>10</v>
      </c>
      <c r="E337" s="229" t="str">
        <f>Итоговая!AC339</f>
        <v>+</v>
      </c>
      <c r="F337" s="229">
        <f>Итоговая!AD339</f>
        <v>16</v>
      </c>
      <c r="G337" s="229">
        <f>Итоговая!AE339</f>
        <v>0</v>
      </c>
      <c r="H337" s="229">
        <f>Итоговая!AF339</f>
        <v>0</v>
      </c>
      <c r="I337" s="172">
        <f>Итоговая!AP339</f>
        <v>6.1419565217391305</v>
      </c>
      <c r="J337" s="172" t="str">
        <f>Итоговая!AQ339</f>
        <v>открыт</v>
      </c>
      <c r="K337" s="907" t="str">
        <f>Итоговая!AR339</f>
        <v>открыт</v>
      </c>
      <c r="L337" s="907">
        <f>Итоговая!AS339</f>
        <v>41.50517598343685</v>
      </c>
      <c r="M337" s="907"/>
      <c r="N337" s="907"/>
    </row>
    <row r="338" spans="1:14" x14ac:dyDescent="0.25">
      <c r="A338" s="212">
        <f>Итоговая!Y340</f>
        <v>258</v>
      </c>
      <c r="B338" s="2260">
        <f>COUNTIFS($C$8:C338,"*ПС*",$J$8:J338,"*закрыт*")</f>
        <v>59</v>
      </c>
      <c r="C338" s="212" t="str">
        <f>Итоговая!AA340</f>
        <v xml:space="preserve">ПС 35/10 кВ Изоплит  </v>
      </c>
      <c r="D338" s="230">
        <f>Итоговая!AB340</f>
        <v>6.3</v>
      </c>
      <c r="E338" s="229" t="str">
        <f>Итоговая!AC340</f>
        <v>+</v>
      </c>
      <c r="F338" s="229">
        <f>Итоговая!AD340</f>
        <v>6.3</v>
      </c>
      <c r="G338" s="229">
        <f>Итоговая!AE340</f>
        <v>0</v>
      </c>
      <c r="H338" s="229">
        <f>Итоговая!AF340</f>
        <v>0</v>
      </c>
      <c r="I338" s="172">
        <f>Итоговая!AP340</f>
        <v>-0.49586956521739101</v>
      </c>
      <c r="J338" s="172" t="str">
        <f>Итоговая!AQ340</f>
        <v>закрыт</v>
      </c>
      <c r="K338" s="907" t="str">
        <f>Итоговая!AR340</f>
        <v>закрыт</v>
      </c>
      <c r="L338" s="907">
        <f>Итоговая!AS340</f>
        <v>107.49613855203917</v>
      </c>
      <c r="M338" s="907"/>
      <c r="N338" s="907"/>
    </row>
    <row r="339" spans="1:14" x14ac:dyDescent="0.25">
      <c r="A339" s="212">
        <f>Итоговая!Y341</f>
        <v>259</v>
      </c>
      <c r="B339" s="2260">
        <f>COUNTIFS($C$8:C339,"*ПС*",$J$8:J339,"*закрыт*")</f>
        <v>60</v>
      </c>
      <c r="C339" s="212" t="str">
        <f>Итоговая!AA341</f>
        <v>ПС 35/6 кВ Карачарово</v>
      </c>
      <c r="D339" s="230">
        <f>Итоговая!AB341</f>
        <v>4</v>
      </c>
      <c r="E339" s="229" t="str">
        <f>Итоговая!AC341</f>
        <v>+</v>
      </c>
      <c r="F339" s="229">
        <f>Итоговая!AD341</f>
        <v>6.3</v>
      </c>
      <c r="G339" s="229">
        <f>Итоговая!AE341</f>
        <v>0</v>
      </c>
      <c r="H339" s="229">
        <f>Итоговая!AF341</f>
        <v>0</v>
      </c>
      <c r="I339" s="2134">
        <f>Итоговая!AP341</f>
        <v>-0.7595660869565215</v>
      </c>
      <c r="J339" s="172" t="str">
        <f>Итоговая!AQ341</f>
        <v>закрыт</v>
      </c>
      <c r="K339" s="907" t="str">
        <f>Итоговая!AR341</f>
        <v>закрыт</v>
      </c>
      <c r="L339" s="907">
        <f>Итоговая!AS341</f>
        <v>80.364906832298118</v>
      </c>
      <c r="M339" s="907"/>
      <c r="N339" s="907"/>
    </row>
    <row r="340" spans="1:14" x14ac:dyDescent="0.25">
      <c r="A340" s="212">
        <f>Итоговая!Y342</f>
        <v>260</v>
      </c>
      <c r="B340" s="2260">
        <f>COUNTIFS($C$8:C340,"*ПС*",$J$8:J340,"*закрыт*")</f>
        <v>61</v>
      </c>
      <c r="C340" s="212" t="str">
        <f>Итоговая!AA342</f>
        <v xml:space="preserve">ПС 35/6 кВ Кр. Луч  </v>
      </c>
      <c r="D340" s="230">
        <f>Итоговая!AB342</f>
        <v>2.5</v>
      </c>
      <c r="E340" s="229" t="str">
        <f>Итоговая!AC342</f>
        <v>+</v>
      </c>
      <c r="F340" s="229">
        <f>Итоговая!AD342</f>
        <v>3.2</v>
      </c>
      <c r="G340" s="229">
        <f>Итоговая!AE342</f>
        <v>0</v>
      </c>
      <c r="H340" s="229">
        <f>Итоговая!AF342</f>
        <v>0</v>
      </c>
      <c r="I340" s="2134">
        <f>Итоговая!AP342</f>
        <v>-1.259445652173913</v>
      </c>
      <c r="J340" s="172" t="str">
        <f>Итоговая!AQ342</f>
        <v>закрыт</v>
      </c>
      <c r="K340" s="907" t="str">
        <f>Итоговая!AR342</f>
        <v>закрыт</v>
      </c>
      <c r="L340" s="907">
        <f>Итоговая!AS342</f>
        <v>141.2360248447205</v>
      </c>
      <c r="M340" s="907"/>
      <c r="N340" s="907"/>
    </row>
    <row r="341" spans="1:14" hidden="1" x14ac:dyDescent="0.25">
      <c r="A341" s="212">
        <f>Итоговая!Y343</f>
        <v>261</v>
      </c>
      <c r="B341" s="1860">
        <f>COUNTIFS($C$8:C341,"*ПС*",$J$8:J341,"*закрыт*")</f>
        <v>61</v>
      </c>
      <c r="C341" s="212" t="str">
        <f>Итоговая!AA343</f>
        <v xml:space="preserve">ПС 35/6 кВ Мелково  </v>
      </c>
      <c r="D341" s="230">
        <f>Итоговая!AB343</f>
        <v>1.6</v>
      </c>
      <c r="E341" s="229" t="str">
        <f>Итоговая!AC343</f>
        <v>+</v>
      </c>
      <c r="F341" s="229">
        <f>Итоговая!AD343</f>
        <v>2.5</v>
      </c>
      <c r="G341" s="229">
        <f>Итоговая!AE343</f>
        <v>0</v>
      </c>
      <c r="H341" s="229">
        <f>Итоговая!AF343</f>
        <v>0</v>
      </c>
      <c r="I341" s="172">
        <f>Итоговая!AP343</f>
        <v>0.38543478260869568</v>
      </c>
      <c r="J341" s="172" t="str">
        <f>Итоговая!AQ343</f>
        <v>открыт</v>
      </c>
      <c r="K341" s="907" t="str">
        <f>Итоговая!AR343</f>
        <v>открыт</v>
      </c>
      <c r="L341" s="907">
        <f>Итоговая!AS343</f>
        <v>77.057453416149059</v>
      </c>
      <c r="M341" s="907"/>
      <c r="N341" s="907"/>
    </row>
    <row r="342" spans="1:14" ht="20.100000000000001" hidden="1" customHeight="1" x14ac:dyDescent="0.25">
      <c r="A342" s="212">
        <f>Итоговая!Y344</f>
        <v>262</v>
      </c>
      <c r="B342" s="1133">
        <f>COUNTIFS($C$8:C342,"*ПС*",$J$8:J342,"*закрыт*")</f>
        <v>61</v>
      </c>
      <c r="C342" s="212" t="str">
        <f>Итоговая!AA344</f>
        <v xml:space="preserve">ПС 35/10 кВ Селихово </v>
      </c>
      <c r="D342" s="230">
        <f>Итоговая!AB344</f>
        <v>2.5</v>
      </c>
      <c r="E342" s="229" t="str">
        <f>Итоговая!AC344</f>
        <v>+</v>
      </c>
      <c r="F342" s="229">
        <f>Итоговая!AD344</f>
        <v>2.5</v>
      </c>
      <c r="G342" s="229">
        <f>Итоговая!AE344</f>
        <v>0</v>
      </c>
      <c r="H342" s="229">
        <f>Итоговая!AF344</f>
        <v>0</v>
      </c>
      <c r="I342" s="172">
        <f>Итоговая!AP344</f>
        <v>0.98521739130434782</v>
      </c>
      <c r="J342" s="172" t="str">
        <f>Итоговая!AQ344</f>
        <v>открыт</v>
      </c>
      <c r="K342" s="907" t="str">
        <f>Итоговая!AR344</f>
        <v>открыт</v>
      </c>
      <c r="L342" s="907">
        <f>Итоговая!AS344</f>
        <v>62.467908902691512</v>
      </c>
      <c r="M342" s="907"/>
      <c r="N342" s="907"/>
    </row>
    <row r="343" spans="1:14" x14ac:dyDescent="0.25">
      <c r="A343" s="212">
        <f>Итоговая!Y345</f>
        <v>263</v>
      </c>
      <c r="B343" s="2260">
        <f>COUNTIFS($C$8:C343,"*ПС*",$J$8:J343,"*закрыт*")</f>
        <v>62</v>
      </c>
      <c r="C343" s="212" t="str">
        <f>Итоговая!AA345</f>
        <v>ПС 35/10 кВ Мокшино</v>
      </c>
      <c r="D343" s="230">
        <f>Итоговая!AB345</f>
        <v>10</v>
      </c>
      <c r="E343" s="229" t="str">
        <f>Итоговая!AC345</f>
        <v>+</v>
      </c>
      <c r="F343" s="229">
        <f>Итоговая!AD345</f>
        <v>10</v>
      </c>
      <c r="G343" s="229">
        <f>Итоговая!AE345</f>
        <v>0</v>
      </c>
      <c r="H343" s="229">
        <f>Итоговая!AF345</f>
        <v>0</v>
      </c>
      <c r="I343" s="172">
        <f>Итоговая!AP345</f>
        <v>-0.39965217391304364</v>
      </c>
      <c r="J343" s="172" t="str">
        <f>Итоговая!AQ345</f>
        <v>закрыт</v>
      </c>
      <c r="K343" s="907" t="str">
        <f>Итоговая!AR345</f>
        <v>закрыт</v>
      </c>
      <c r="L343" s="907">
        <f>Итоговая!AS345</f>
        <v>92.663354037267084</v>
      </c>
      <c r="M343" s="907"/>
      <c r="N343" s="907"/>
    </row>
    <row r="344" spans="1:14" ht="20.100000000000001" customHeight="1" x14ac:dyDescent="0.25">
      <c r="A344" s="212">
        <f>Итоговая!Y346</f>
        <v>264</v>
      </c>
      <c r="B344" s="2260">
        <f>COUNTIFS($C$8:C344,"*ПС*",$J$8:J344,"*закрыт*")</f>
        <v>63</v>
      </c>
      <c r="C344" s="212" t="str">
        <f>Итоговая!AA346</f>
        <v xml:space="preserve">ПС 35/10 кВ Энергетик </v>
      </c>
      <c r="D344" s="230">
        <f>Итоговая!AB346</f>
        <v>4</v>
      </c>
      <c r="E344" s="229" t="str">
        <f>Итоговая!AC346</f>
        <v>+</v>
      </c>
      <c r="F344" s="229">
        <f>Итоговая!AD346</f>
        <v>2.5</v>
      </c>
      <c r="G344" s="229">
        <f>Итоговая!AE346</f>
        <v>0</v>
      </c>
      <c r="H344" s="229">
        <f>Итоговая!AF346</f>
        <v>0</v>
      </c>
      <c r="I344" s="2134">
        <f>Итоговая!AP346</f>
        <v>-0.43500000000000005</v>
      </c>
      <c r="J344" s="172" t="str">
        <f>Итоговая!AQ346</f>
        <v>закрыт</v>
      </c>
      <c r="K344" s="907" t="str">
        <f>Итоговая!AR346</f>
        <v>закрыт</v>
      </c>
      <c r="L344" s="907">
        <f>Итоговая!AS346</f>
        <v>116.57142857142857</v>
      </c>
      <c r="M344" s="907"/>
      <c r="N344" s="907"/>
    </row>
    <row r="345" spans="1:14" hidden="1" x14ac:dyDescent="0.25">
      <c r="A345" s="212">
        <f>Итоговая!Y347</f>
        <v>265</v>
      </c>
      <c r="B345" s="1133">
        <f>COUNTIFS($C$8:C345,"*ПС*",$J$8:J345,"*закрыт*")</f>
        <v>64</v>
      </c>
      <c r="C345" s="212" t="str">
        <f>Итоговая!AA347</f>
        <v xml:space="preserve">ПС 35/10 кВ Эммаус  </v>
      </c>
      <c r="D345" s="230">
        <f>Итоговая!AB347</f>
        <v>4</v>
      </c>
      <c r="E345" s="229" t="str">
        <f>Итоговая!AC347</f>
        <v>+</v>
      </c>
      <c r="F345" s="229">
        <f>Итоговая!AD347</f>
        <v>4</v>
      </c>
      <c r="G345" s="229">
        <f>Итоговая!AE347</f>
        <v>0</v>
      </c>
      <c r="H345" s="229">
        <f>Итоговая!AF347</f>
        <v>0</v>
      </c>
      <c r="I345" s="172">
        <f>Итоговая!AP347</f>
        <v>-0.51771739130434735</v>
      </c>
      <c r="J345" s="172" t="str">
        <f>Итоговая!AQ347</f>
        <v>закрыт</v>
      </c>
      <c r="K345" s="907" t="str">
        <f>Итоговая!AR347</f>
        <v>закрыт</v>
      </c>
      <c r="L345" s="907">
        <f>Итоговая!AS347</f>
        <v>112.32660455486541</v>
      </c>
      <c r="M345" s="907"/>
      <c r="N345" s="907"/>
    </row>
    <row r="346" spans="1:14" ht="20.100000000000001" hidden="1" customHeight="1" x14ac:dyDescent="0.25">
      <c r="A346" s="212">
        <f>Итоговая!Y348</f>
        <v>266</v>
      </c>
      <c r="B346" s="1860">
        <f>COUNTIFS($C$8:C346,"*ПС*",$J$8:J346,"*закрыт*")</f>
        <v>64</v>
      </c>
      <c r="C346" s="212" t="str">
        <f>Итоговая!AA348</f>
        <v>ПС  35/10 кВ Ю.-Девичье</v>
      </c>
      <c r="D346" s="230">
        <f>Итоговая!AB348</f>
        <v>6.3</v>
      </c>
      <c r="E346" s="229" t="str">
        <f>Итоговая!AC348</f>
        <v>+</v>
      </c>
      <c r="F346" s="229">
        <f>Итоговая!AD348</f>
        <v>4</v>
      </c>
      <c r="G346" s="229">
        <f>Итоговая!AE348</f>
        <v>0</v>
      </c>
      <c r="H346" s="229">
        <f>Итоговая!AF348</f>
        <v>0</v>
      </c>
      <c r="I346" s="172">
        <f>Итоговая!AP348</f>
        <v>0.51217391304347881</v>
      </c>
      <c r="J346" s="172" t="str">
        <f>Итоговая!AQ348</f>
        <v>открыт</v>
      </c>
      <c r="K346" s="907" t="str">
        <f>Итоговая!AR348</f>
        <v>открыт</v>
      </c>
      <c r="L346" s="907">
        <f>Итоговая!AS348</f>
        <v>87.805383022774308</v>
      </c>
      <c r="M346" s="907"/>
      <c r="N346" s="907"/>
    </row>
    <row r="347" spans="1:14" ht="20.100000000000001" customHeight="1" x14ac:dyDescent="0.25">
      <c r="A347" s="212">
        <f>Итоговая!Y349</f>
        <v>267</v>
      </c>
      <c r="B347" s="2260">
        <f>COUNTIFS($C$8:C347,"*ПС*",$J$8:J347,"*закрыт*")</f>
        <v>65</v>
      </c>
      <c r="C347" s="212" t="str">
        <f>Итоговая!AA349</f>
        <v xml:space="preserve">ПС 35/6 кВ №18  </v>
      </c>
      <c r="D347" s="230">
        <f>Итоговая!AB349</f>
        <v>16</v>
      </c>
      <c r="E347" s="229" t="str">
        <f>Итоговая!AC349</f>
        <v>+</v>
      </c>
      <c r="F347" s="229">
        <f>Итоговая!AD349</f>
        <v>10</v>
      </c>
      <c r="G347" s="229" t="str">
        <f>Итоговая!AE349</f>
        <v>+</v>
      </c>
      <c r="H347" s="229">
        <f>Итоговая!AF349</f>
        <v>10</v>
      </c>
      <c r="I347" s="2134">
        <f>Итоговая!AP349</f>
        <v>-4.7799999999999976</v>
      </c>
      <c r="J347" s="172" t="str">
        <f>Итоговая!AQ349</f>
        <v>закрыт</v>
      </c>
      <c r="K347" s="907" t="str">
        <f>Итоговая!AR349</f>
        <v>закрыт</v>
      </c>
      <c r="L347" s="907">
        <f>Итоговая!AS349</f>
        <v>128.45238095238093</v>
      </c>
      <c r="M347" s="907"/>
      <c r="N347" s="907"/>
    </row>
    <row r="348" spans="1:14" ht="20.100000000000001" hidden="1" customHeight="1" x14ac:dyDescent="0.25">
      <c r="A348" s="212">
        <f>Итоговая!Y350</f>
        <v>268</v>
      </c>
      <c r="B348" s="1133">
        <f>COUNTIFS($C$8:C348,"*ПС*",$J$8:J348,"*закрыт*")</f>
        <v>65</v>
      </c>
      <c r="C348" s="212" t="str">
        <f>Итоговая!AA350</f>
        <v xml:space="preserve">ПС 35/6  кВ Затверецкая </v>
      </c>
      <c r="D348" s="230">
        <f>Итоговая!AB350</f>
        <v>10</v>
      </c>
      <c r="E348" s="229" t="str">
        <f>Итоговая!AC350</f>
        <v>+</v>
      </c>
      <c r="F348" s="229">
        <f>Итоговая!AD350</f>
        <v>10</v>
      </c>
      <c r="G348" s="229" t="str">
        <f>Итоговая!AE350</f>
        <v>+</v>
      </c>
      <c r="H348" s="229">
        <f>Итоговая!AF350</f>
        <v>10</v>
      </c>
      <c r="I348" s="172">
        <f>Итоговая!AP350</f>
        <v>3.3183152173913051</v>
      </c>
      <c r="J348" s="172" t="str">
        <f>Итоговая!AQ350</f>
        <v>открыт</v>
      </c>
      <c r="K348" s="907" t="str">
        <f>Итоговая!AR350</f>
        <v>открыт</v>
      </c>
      <c r="L348" s="907">
        <f>Итоговая!AS350</f>
        <v>84.198498964803306</v>
      </c>
      <c r="M348" s="907"/>
      <c r="N348" s="907"/>
    </row>
    <row r="349" spans="1:14" x14ac:dyDescent="0.25">
      <c r="A349" s="2419">
        <f>Итоговая!Y351</f>
        <v>269</v>
      </c>
      <c r="B349" s="2423">
        <f>COUNTIFS($C$8:C349,"*ПС*",$J$8:J349,"*закрыт*")</f>
        <v>66</v>
      </c>
      <c r="C349" s="212" t="str">
        <f>Итоговая!AA351</f>
        <v xml:space="preserve">ПС 110/35/10 кВ Пушкино </v>
      </c>
      <c r="D349" s="230">
        <f>Итоговая!AB351</f>
        <v>10</v>
      </c>
      <c r="E349" s="229">
        <f>Итоговая!AC351</f>
        <v>0</v>
      </c>
      <c r="F349" s="229">
        <f>Итоговая!AD351</f>
        <v>0</v>
      </c>
      <c r="G349" s="229">
        <f>Итоговая!AE351</f>
        <v>0</v>
      </c>
      <c r="H349" s="229">
        <f>Итоговая!AF351</f>
        <v>0</v>
      </c>
      <c r="I349" s="2405">
        <f>Итоговая!AP351</f>
        <v>-1.9890804347826088</v>
      </c>
      <c r="J349" s="2405" t="str">
        <f>Итоговая!AQ351</f>
        <v>закрыт</v>
      </c>
      <c r="K349" s="907" t="str">
        <f>Итоговая!AR351</f>
        <v>закрыт</v>
      </c>
      <c r="L349" s="907">
        <f>Итоговая!AS351</f>
        <v>31.134099378881988</v>
      </c>
      <c r="M349" s="907"/>
      <c r="N349" s="907"/>
    </row>
    <row r="350" spans="1:14" hidden="1" x14ac:dyDescent="0.25">
      <c r="A350" s="2419">
        <f>Итоговая!Y352</f>
        <v>0</v>
      </c>
      <c r="B350" s="2440"/>
      <c r="C350" s="7" t="str">
        <f>Итоговая!AA352</f>
        <v xml:space="preserve">Ном. Мощность СН, МВА </v>
      </c>
      <c r="D350" s="230">
        <f>Итоговая!AB352</f>
        <v>10</v>
      </c>
      <c r="E350" s="229">
        <f>Итоговая!AC352</f>
        <v>0</v>
      </c>
      <c r="F350" s="229">
        <f>Итоговая!AD352</f>
        <v>0</v>
      </c>
      <c r="G350" s="229">
        <f>Итоговая!AE352</f>
        <v>0</v>
      </c>
      <c r="H350" s="229">
        <f>Итоговая!AF352</f>
        <v>0</v>
      </c>
      <c r="I350" s="2406">
        <f>Итоговая!AP352</f>
        <v>0</v>
      </c>
      <c r="J350" s="2406">
        <f>Итоговая!AQ352</f>
        <v>0</v>
      </c>
      <c r="K350" s="907" t="str">
        <f>Итоговая!AR352</f>
        <v>открыт</v>
      </c>
      <c r="L350" s="907">
        <f>Итоговая!AS352</f>
        <v>0</v>
      </c>
      <c r="M350" s="907"/>
      <c r="N350" s="907"/>
    </row>
    <row r="351" spans="1:14" hidden="1" x14ac:dyDescent="0.25">
      <c r="A351" s="2419">
        <f>Итоговая!Y353</f>
        <v>0</v>
      </c>
      <c r="B351" s="2441"/>
      <c r="C351" s="7" t="str">
        <f>Итоговая!AA353</f>
        <v>Ном. мощность НН, МВА</v>
      </c>
      <c r="D351" s="230">
        <f>Итоговая!AB353</f>
        <v>10</v>
      </c>
      <c r="E351" s="229">
        <f>Итоговая!AC353</f>
        <v>0</v>
      </c>
      <c r="F351" s="229">
        <f>Итоговая!AD353</f>
        <v>0</v>
      </c>
      <c r="G351" s="229">
        <f>Итоговая!AE353</f>
        <v>0</v>
      </c>
      <c r="H351" s="229">
        <f>Итоговая!AF353</f>
        <v>0</v>
      </c>
      <c r="I351" s="2407">
        <f>Итоговая!AP353</f>
        <v>0</v>
      </c>
      <c r="J351" s="2407">
        <f>Итоговая!AQ353</f>
        <v>0</v>
      </c>
      <c r="K351" s="907" t="str">
        <f>Итоговая!AR353</f>
        <v>открыт</v>
      </c>
      <c r="L351" s="907">
        <f>Итоговая!AS353</f>
        <v>0</v>
      </c>
      <c r="M351" s="907"/>
      <c r="N351" s="907"/>
    </row>
    <row r="352" spans="1:14" hidden="1" x14ac:dyDescent="0.25">
      <c r="A352" s="2419">
        <f>Итоговая!Y354</f>
        <v>270</v>
      </c>
      <c r="B352" s="2423">
        <f>COUNTIFS($C$8:C352,"*ПС*",$J$8:J352,"*закрыт*")</f>
        <v>66</v>
      </c>
      <c r="C352" s="212" t="str">
        <f>Итоговая!AA354</f>
        <v xml:space="preserve">ПС 110/10/6 кВ Механич.з-д </v>
      </c>
      <c r="D352" s="230">
        <f>Итоговая!AB354</f>
        <v>40</v>
      </c>
      <c r="E352" s="229" t="str">
        <f>Итоговая!AC354</f>
        <v>+</v>
      </c>
      <c r="F352" s="229">
        <f>Итоговая!AD354</f>
        <v>40</v>
      </c>
      <c r="G352" s="229">
        <f>Итоговая!AE354</f>
        <v>0</v>
      </c>
      <c r="H352" s="229">
        <f>Итоговая!AF354</f>
        <v>0</v>
      </c>
      <c r="I352" s="2405">
        <f>Итоговая!AP354</f>
        <v>8.5701956521739149</v>
      </c>
      <c r="J352" s="2405" t="str">
        <f>Итоговая!AQ354</f>
        <v>открыт</v>
      </c>
      <c r="K352" s="907" t="str">
        <f>Итоговая!AR354</f>
        <v>открыт</v>
      </c>
      <c r="L352" s="907">
        <f>Итоговая!AS354</f>
        <v>54.094772256728774</v>
      </c>
      <c r="M352" s="907"/>
      <c r="N352" s="907"/>
    </row>
    <row r="353" spans="1:14" hidden="1" x14ac:dyDescent="0.25">
      <c r="A353" s="2419">
        <f>Итоговая!Y355</f>
        <v>0</v>
      </c>
      <c r="B353" s="2440"/>
      <c r="C353" s="7" t="str">
        <f>Итоговая!AA355</f>
        <v xml:space="preserve">Ном. Мощность СН, МВА </v>
      </c>
      <c r="D353" s="230">
        <f>Итоговая!AB355</f>
        <v>20</v>
      </c>
      <c r="E353" s="229" t="str">
        <f>Итоговая!AC355</f>
        <v>+</v>
      </c>
      <c r="F353" s="229">
        <f>Итоговая!AD355</f>
        <v>20</v>
      </c>
      <c r="G353" s="229">
        <f>Итоговая!AE355</f>
        <v>0</v>
      </c>
      <c r="H353" s="229">
        <f>Итоговая!AF355</f>
        <v>0</v>
      </c>
      <c r="I353" s="2406">
        <f>Итоговая!AP355</f>
        <v>0</v>
      </c>
      <c r="J353" s="2406" t="str">
        <f>Итоговая!AQ355</f>
        <v>открыт</v>
      </c>
      <c r="K353" s="907" t="str">
        <f>Итоговая!AR355</f>
        <v>открыт</v>
      </c>
      <c r="L353" s="907">
        <f>Итоговая!AS355</f>
        <v>0</v>
      </c>
      <c r="M353" s="907"/>
      <c r="N353" s="907"/>
    </row>
    <row r="354" spans="1:14" hidden="1" x14ac:dyDescent="0.25">
      <c r="A354" s="2419">
        <f>Итоговая!Y356</f>
        <v>0</v>
      </c>
      <c r="B354" s="2441"/>
      <c r="C354" s="7" t="str">
        <f>Итоговая!AA356</f>
        <v>Ном. мощность НН, МВА</v>
      </c>
      <c r="D354" s="230">
        <f>Итоговая!AB356</f>
        <v>20</v>
      </c>
      <c r="E354" s="229" t="str">
        <f>Итоговая!AC356</f>
        <v>+</v>
      </c>
      <c r="F354" s="229">
        <f>Итоговая!AD356</f>
        <v>20</v>
      </c>
      <c r="G354" s="229">
        <f>Итоговая!AE356</f>
        <v>0</v>
      </c>
      <c r="H354" s="229">
        <f>Итоговая!AF356</f>
        <v>0</v>
      </c>
      <c r="I354" s="2407">
        <f>Итоговая!AP356</f>
        <v>0</v>
      </c>
      <c r="J354" s="2407" t="str">
        <f>Итоговая!AQ356</f>
        <v>открыт</v>
      </c>
      <c r="K354" s="907" t="str">
        <f>Итоговая!AR356</f>
        <v>открыт</v>
      </c>
      <c r="L354" s="907">
        <f>Итоговая!AS356</f>
        <v>0</v>
      </c>
      <c r="M354" s="907"/>
      <c r="N354" s="907"/>
    </row>
    <row r="355" spans="1:14" x14ac:dyDescent="0.25">
      <c r="A355" s="2419">
        <f>Итоговая!Y357</f>
        <v>271</v>
      </c>
      <c r="B355" s="2423">
        <f>COUNTIFS($C$8:C355,"*ПС*",$J$8:J355,"*закрыт*")</f>
        <v>67</v>
      </c>
      <c r="C355" s="212" t="str">
        <f>Итоговая!AA357</f>
        <v xml:space="preserve">ПС 110/35/10 кВ Южная </v>
      </c>
      <c r="D355" s="230">
        <f>Итоговая!AB357</f>
        <v>40</v>
      </c>
      <c r="E355" s="229" t="str">
        <f>Итоговая!AC357</f>
        <v>+</v>
      </c>
      <c r="F355" s="229">
        <f>Итоговая!AD357</f>
        <v>40</v>
      </c>
      <c r="G355" s="229">
        <f>Итоговая!AE357</f>
        <v>0</v>
      </c>
      <c r="H355" s="229">
        <f>Итоговая!AF357</f>
        <v>0</v>
      </c>
      <c r="I355" s="2405">
        <f>Итоговая!AP357</f>
        <v>-23.049652173913046</v>
      </c>
      <c r="J355" s="2405" t="str">
        <f>Итоговая!AQ357</f>
        <v>закрыт</v>
      </c>
      <c r="K355" s="907" t="str">
        <f>Итоговая!AR357</f>
        <v>закрыт</v>
      </c>
      <c r="L355" s="907">
        <f>Итоговая!AS357</f>
        <v>177.42774327122154</v>
      </c>
      <c r="M355" s="907"/>
      <c r="N355" s="907"/>
    </row>
    <row r="356" spans="1:14" hidden="1" x14ac:dyDescent="0.25">
      <c r="A356" s="2419">
        <f>Итоговая!Y358</f>
        <v>0</v>
      </c>
      <c r="B356" s="2440"/>
      <c r="C356" s="7" t="str">
        <f>Итоговая!AA358</f>
        <v xml:space="preserve">Ном. Мощность СН, МВА </v>
      </c>
      <c r="D356" s="230">
        <f>Итоговая!AB358</f>
        <v>40</v>
      </c>
      <c r="E356" s="229" t="str">
        <f>Итоговая!AC358</f>
        <v>+</v>
      </c>
      <c r="F356" s="229">
        <f>Итоговая!AD358</f>
        <v>40</v>
      </c>
      <c r="G356" s="229">
        <f>Итоговая!AE358</f>
        <v>0</v>
      </c>
      <c r="H356" s="229">
        <f>Итоговая!AF358</f>
        <v>0</v>
      </c>
      <c r="I356" s="2406">
        <f>Итоговая!AP358</f>
        <v>0</v>
      </c>
      <c r="J356" s="2406">
        <f>Итоговая!AQ358</f>
        <v>0</v>
      </c>
      <c r="K356" s="907" t="str">
        <f>Итоговая!AR358</f>
        <v>открыт</v>
      </c>
      <c r="L356" s="907">
        <f>Итоговая!AS358</f>
        <v>0</v>
      </c>
      <c r="M356" s="907"/>
      <c r="N356" s="907"/>
    </row>
    <row r="357" spans="1:14" hidden="1" x14ac:dyDescent="0.25">
      <c r="A357" s="2419">
        <f>Итоговая!Y359</f>
        <v>0</v>
      </c>
      <c r="B357" s="2441"/>
      <c r="C357" s="7" t="str">
        <f>Итоговая!AA359</f>
        <v>Ном. мощность НН, МВА</v>
      </c>
      <c r="D357" s="230">
        <f>Итоговая!AB359</f>
        <v>40</v>
      </c>
      <c r="E357" s="229" t="str">
        <f>Итоговая!AC359</f>
        <v>+</v>
      </c>
      <c r="F357" s="229">
        <f>Итоговая!AD359</f>
        <v>40</v>
      </c>
      <c r="G357" s="229">
        <f>Итоговая!AE359</f>
        <v>0</v>
      </c>
      <c r="H357" s="229">
        <f>Итоговая!AF359</f>
        <v>0</v>
      </c>
      <c r="I357" s="2407">
        <f>Итоговая!AP359</f>
        <v>0</v>
      </c>
      <c r="J357" s="2407">
        <f>Итоговая!AQ359</f>
        <v>0</v>
      </c>
      <c r="K357" s="907" t="str">
        <f>Итоговая!AR359</f>
        <v>открыт</v>
      </c>
      <c r="L357" s="907">
        <f>Итоговая!AS359</f>
        <v>0</v>
      </c>
      <c r="M357" s="907"/>
      <c r="N357" s="907"/>
    </row>
    <row r="358" spans="1:14" hidden="1" x14ac:dyDescent="0.25">
      <c r="A358" s="2419">
        <f>Итоговая!Y360</f>
        <v>272</v>
      </c>
      <c r="B358" s="2423">
        <f>COUNTIFS($C$8:C358,"*ПС*",$J$8:J358,"*закрыт*")</f>
        <v>67</v>
      </c>
      <c r="C358" s="212" t="str">
        <f>Итоговая!AA360</f>
        <v xml:space="preserve">ПС 110/35/10 кВ Северная </v>
      </c>
      <c r="D358" s="230">
        <f>Итоговая!AB360</f>
        <v>40</v>
      </c>
      <c r="E358" s="229" t="str">
        <f>Итоговая!AC360</f>
        <v>+</v>
      </c>
      <c r="F358" s="229">
        <f>Итоговая!AD360</f>
        <v>40</v>
      </c>
      <c r="G358" s="229">
        <f>Итоговая!AE360</f>
        <v>0</v>
      </c>
      <c r="H358" s="229">
        <f>Итоговая!AF360</f>
        <v>0</v>
      </c>
      <c r="I358" s="2405">
        <f>Итоговая!AP360</f>
        <v>11.781847826086958</v>
      </c>
      <c r="J358" s="2405" t="str">
        <f>Итоговая!AQ360</f>
        <v>открыт</v>
      </c>
      <c r="K358" s="907" t="str">
        <f>Итоговая!AR360</f>
        <v>открыт</v>
      </c>
      <c r="L358" s="907">
        <f>Итоговая!AS360</f>
        <v>79.803571428571431</v>
      </c>
      <c r="M358" s="907"/>
      <c r="N358" s="907"/>
    </row>
    <row r="359" spans="1:14" hidden="1" x14ac:dyDescent="0.25">
      <c r="A359" s="2419">
        <f>Итоговая!Y361</f>
        <v>0</v>
      </c>
      <c r="B359" s="2440"/>
      <c r="C359" s="7" t="str">
        <f>Итоговая!AA361</f>
        <v xml:space="preserve">Ном. Мощность СН, МВА </v>
      </c>
      <c r="D359" s="230">
        <f>Итоговая!AB361</f>
        <v>40</v>
      </c>
      <c r="E359" s="229" t="str">
        <f>Итоговая!AC361</f>
        <v>+</v>
      </c>
      <c r="F359" s="229">
        <f>Итоговая!AD361</f>
        <v>40</v>
      </c>
      <c r="G359" s="229">
        <f>Итоговая!AE361</f>
        <v>0</v>
      </c>
      <c r="H359" s="229">
        <f>Итоговая!AF361</f>
        <v>0</v>
      </c>
      <c r="I359" s="2406">
        <f>Итоговая!AP361</f>
        <v>0</v>
      </c>
      <c r="J359" s="2406" t="str">
        <f>Итоговая!AQ361</f>
        <v>открыт</v>
      </c>
      <c r="K359" s="907" t="str">
        <f>Итоговая!AR361</f>
        <v>открыт</v>
      </c>
      <c r="L359" s="907">
        <f>Итоговая!AS361</f>
        <v>0</v>
      </c>
      <c r="M359" s="907"/>
      <c r="N359" s="907"/>
    </row>
    <row r="360" spans="1:14" hidden="1" x14ac:dyDescent="0.25">
      <c r="A360" s="2419">
        <f>Итоговая!Y362</f>
        <v>0</v>
      </c>
      <c r="B360" s="2441"/>
      <c r="C360" s="7" t="str">
        <f>Итоговая!AA362</f>
        <v>Ном. мощность НН, МВА</v>
      </c>
      <c r="D360" s="230">
        <f>Итоговая!AB362</f>
        <v>40</v>
      </c>
      <c r="E360" s="229" t="str">
        <f>Итоговая!AC362</f>
        <v>+</v>
      </c>
      <c r="F360" s="229">
        <f>Итоговая!AD362</f>
        <v>40</v>
      </c>
      <c r="G360" s="229">
        <f>Итоговая!AE362</f>
        <v>0</v>
      </c>
      <c r="H360" s="229">
        <f>Итоговая!AF362</f>
        <v>0</v>
      </c>
      <c r="I360" s="2407">
        <f>Итоговая!AP362</f>
        <v>0</v>
      </c>
      <c r="J360" s="2407" t="str">
        <f>Итоговая!AQ362</f>
        <v>открыт</v>
      </c>
      <c r="K360" s="907" t="str">
        <f>Итоговая!AR362</f>
        <v>открыт</v>
      </c>
      <c r="L360" s="907">
        <f>Итоговая!AS362</f>
        <v>0</v>
      </c>
      <c r="M360" s="907"/>
      <c r="N360" s="907"/>
    </row>
    <row r="361" spans="1:14" hidden="1" x14ac:dyDescent="0.25">
      <c r="A361" s="2419">
        <f>Итоговая!Y363</f>
        <v>273</v>
      </c>
      <c r="B361" s="2423">
        <f>COUNTIFS($C$8:C361,"*ПС*",$J$8:J361,"*закрыт*")</f>
        <v>67</v>
      </c>
      <c r="C361" s="212" t="str">
        <f>Итоговая!AA363</f>
        <v xml:space="preserve">ПС 110/35/10 кВ Лазурная </v>
      </c>
      <c r="D361" s="230">
        <f>Итоговая!AB363</f>
        <v>40</v>
      </c>
      <c r="E361" s="229" t="str">
        <f>Итоговая!AC363</f>
        <v>+</v>
      </c>
      <c r="F361" s="229">
        <f>Итоговая!AD363</f>
        <v>40</v>
      </c>
      <c r="G361" s="229">
        <f>Итоговая!AE363</f>
        <v>0</v>
      </c>
      <c r="H361" s="229">
        <f>Итоговая!AF363</f>
        <v>0</v>
      </c>
      <c r="I361" s="2405">
        <f>Итоговая!AP363</f>
        <v>1.1348913043478248</v>
      </c>
      <c r="J361" s="2405" t="str">
        <f>Итоговая!AQ363</f>
        <v>открыт</v>
      </c>
      <c r="K361" s="907" t="str">
        <f>Итоговая!AR363</f>
        <v>открыт</v>
      </c>
      <c r="L361" s="907">
        <f>Итоговая!AS363</f>
        <v>128.67883022774328</v>
      </c>
      <c r="M361" s="907"/>
      <c r="N361" s="907"/>
    </row>
    <row r="362" spans="1:14" hidden="1" x14ac:dyDescent="0.25">
      <c r="A362" s="2419">
        <f>Итоговая!Y364</f>
        <v>0</v>
      </c>
      <c r="B362" s="2440"/>
      <c r="C362" s="7" t="str">
        <f>Итоговая!AA364</f>
        <v xml:space="preserve">Ном. Мощность СН, МВА </v>
      </c>
      <c r="D362" s="230">
        <f>Итоговая!AB364</f>
        <v>40</v>
      </c>
      <c r="E362" s="229" t="str">
        <f>Итоговая!AC364</f>
        <v>+</v>
      </c>
      <c r="F362" s="229">
        <f>Итоговая!AD364</f>
        <v>40</v>
      </c>
      <c r="G362" s="229">
        <f>Итоговая!AE364</f>
        <v>0</v>
      </c>
      <c r="H362" s="229">
        <f>Итоговая!AF364</f>
        <v>0</v>
      </c>
      <c r="I362" s="2406">
        <f>Итоговая!AP364</f>
        <v>0</v>
      </c>
      <c r="J362" s="2406">
        <f>Итоговая!AQ364</f>
        <v>0</v>
      </c>
      <c r="K362" s="907" t="str">
        <f>Итоговая!AR364</f>
        <v>открыт</v>
      </c>
      <c r="L362" s="907">
        <f>Итоговая!AS364</f>
        <v>0</v>
      </c>
      <c r="M362" s="907"/>
      <c r="N362" s="907"/>
    </row>
    <row r="363" spans="1:14" hidden="1" x14ac:dyDescent="0.25">
      <c r="A363" s="2419">
        <f>Итоговая!Y365</f>
        <v>0</v>
      </c>
      <c r="B363" s="2441"/>
      <c r="C363" s="7" t="str">
        <f>Итоговая!AA365</f>
        <v>Ном. мощность НН, МВА</v>
      </c>
      <c r="D363" s="230">
        <f>Итоговая!AB365</f>
        <v>40</v>
      </c>
      <c r="E363" s="229" t="str">
        <f>Итоговая!AC365</f>
        <v>+</v>
      </c>
      <c r="F363" s="229">
        <f>Итоговая!AD365</f>
        <v>40</v>
      </c>
      <c r="G363" s="229">
        <f>Итоговая!AE365</f>
        <v>0</v>
      </c>
      <c r="H363" s="229">
        <f>Итоговая!AF365</f>
        <v>0</v>
      </c>
      <c r="I363" s="2407">
        <f>Итоговая!AP365</f>
        <v>0</v>
      </c>
      <c r="J363" s="2407">
        <f>Итоговая!AQ365</f>
        <v>0</v>
      </c>
      <c r="K363" s="907" t="str">
        <f>Итоговая!AR365</f>
        <v>открыт</v>
      </c>
      <c r="L363" s="907">
        <f>Итоговая!AS365</f>
        <v>0</v>
      </c>
      <c r="M363" s="907"/>
      <c r="N363" s="907"/>
    </row>
    <row r="364" spans="1:14" hidden="1" x14ac:dyDescent="0.25">
      <c r="A364" s="2419">
        <f>Итоговая!Y366</f>
        <v>274</v>
      </c>
      <c r="B364" s="2423">
        <f>COUNTIFS($C$8:C364,"*ПС*",$J$8:J364,"*закрыт*")</f>
        <v>67</v>
      </c>
      <c r="C364" s="212" t="str">
        <f>Итоговая!AA366</f>
        <v xml:space="preserve">ПС 110/10/6 кВ Экскаваторный з-д </v>
      </c>
      <c r="D364" s="230">
        <f>Итоговая!AB366</f>
        <v>40</v>
      </c>
      <c r="E364" s="229" t="str">
        <f>Итоговая!AC366</f>
        <v>+</v>
      </c>
      <c r="F364" s="229">
        <f>Итоговая!AD366</f>
        <v>40</v>
      </c>
      <c r="G364" s="229">
        <f>Итоговая!AE366</f>
        <v>0</v>
      </c>
      <c r="H364" s="229">
        <f>Итоговая!AF366</f>
        <v>0</v>
      </c>
      <c r="I364" s="2405">
        <f>Итоговая!AP366</f>
        <v>3.8999999999999986</v>
      </c>
      <c r="J364" s="2405" t="str">
        <f>Итоговая!AQ366</f>
        <v>открыт</v>
      </c>
      <c r="K364" s="907" t="str">
        <f>Итоговая!AR366</f>
        <v>открыт</v>
      </c>
      <c r="L364" s="907">
        <f>Итоговая!AS366</f>
        <v>73.752846790890274</v>
      </c>
      <c r="M364" s="907"/>
      <c r="N364" s="907"/>
    </row>
    <row r="365" spans="1:14" hidden="1" x14ac:dyDescent="0.25">
      <c r="A365" s="2419">
        <f>Итоговая!Y367</f>
        <v>0</v>
      </c>
      <c r="B365" s="2440"/>
      <c r="C365" s="7" t="str">
        <f>Итоговая!AA367</f>
        <v xml:space="preserve">Ном. Мощность СН, МВА </v>
      </c>
      <c r="D365" s="230">
        <f>Итоговая!AB367</f>
        <v>20</v>
      </c>
      <c r="E365" s="229" t="str">
        <f>Итоговая!AC367</f>
        <v>+</v>
      </c>
      <c r="F365" s="229">
        <f>Итоговая!AD367</f>
        <v>20</v>
      </c>
      <c r="G365" s="229">
        <f>Итоговая!AE367</f>
        <v>0</v>
      </c>
      <c r="H365" s="229">
        <f>Итоговая!AF367</f>
        <v>0</v>
      </c>
      <c r="I365" s="2406">
        <f>Итоговая!AP367</f>
        <v>0</v>
      </c>
      <c r="J365" s="2406" t="str">
        <f>Итоговая!AQ367</f>
        <v>открыт</v>
      </c>
      <c r="K365" s="907" t="str">
        <f>Итоговая!AR367</f>
        <v>открыт</v>
      </c>
      <c r="L365" s="907">
        <f>Итоговая!AS367</f>
        <v>0</v>
      </c>
      <c r="M365" s="907"/>
      <c r="N365" s="907"/>
    </row>
    <row r="366" spans="1:14" hidden="1" x14ac:dyDescent="0.25">
      <c r="A366" s="2419">
        <f>Итоговая!Y368</f>
        <v>0</v>
      </c>
      <c r="B366" s="2441"/>
      <c r="C366" s="7" t="str">
        <f>Итоговая!AA368</f>
        <v>Ном. мощность НН, МВА</v>
      </c>
      <c r="D366" s="230">
        <f>Итоговая!AB368</f>
        <v>20</v>
      </c>
      <c r="E366" s="229" t="str">
        <f>Итоговая!AC368</f>
        <v>+</v>
      </c>
      <c r="F366" s="229">
        <f>Итоговая!AD368</f>
        <v>20</v>
      </c>
      <c r="G366" s="229">
        <f>Итоговая!AE368</f>
        <v>0</v>
      </c>
      <c r="H366" s="229">
        <f>Итоговая!AF368</f>
        <v>0</v>
      </c>
      <c r="I366" s="2407">
        <f>Итоговая!AP368</f>
        <v>0</v>
      </c>
      <c r="J366" s="2407" t="str">
        <f>Итоговая!AQ368</f>
        <v>открыт</v>
      </c>
      <c r="K366" s="907" t="str">
        <f>Итоговая!AR368</f>
        <v>открыт</v>
      </c>
      <c r="L366" s="907">
        <f>Итоговая!AS368</f>
        <v>0</v>
      </c>
      <c r="M366" s="907"/>
      <c r="N366" s="907"/>
    </row>
    <row r="367" spans="1:14" hidden="1" x14ac:dyDescent="0.25">
      <c r="A367" s="2419">
        <f>Итоговая!Y369</f>
        <v>275</v>
      </c>
      <c r="B367" s="2423">
        <f>COUNTIFS($C$8:C367,"*ПС*",$J$8:J367,"*закрыт*")</f>
        <v>67</v>
      </c>
      <c r="C367" s="212" t="str">
        <f>Итоговая!AA369</f>
        <v xml:space="preserve">ПС 110/35/10 кВ Медновский в-ор </v>
      </c>
      <c r="D367" s="230">
        <f>Итоговая!AB369</f>
        <v>10</v>
      </c>
      <c r="E367" s="229" t="str">
        <f>Итоговая!AC369</f>
        <v>+</v>
      </c>
      <c r="F367" s="229">
        <f>Итоговая!AD369</f>
        <v>10</v>
      </c>
      <c r="G367" s="229">
        <f>Итоговая!AE369</f>
        <v>0</v>
      </c>
      <c r="H367" s="229">
        <f>Итоговая!AF369</f>
        <v>0</v>
      </c>
      <c r="I367" s="2405">
        <f>Итоговая!AP369</f>
        <v>4.2032065217391299</v>
      </c>
      <c r="J367" s="2405" t="str">
        <f>Итоговая!AQ369</f>
        <v>открыт</v>
      </c>
      <c r="K367" s="907" t="str">
        <f>Итоговая!AR369</f>
        <v>открыт</v>
      </c>
      <c r="L367" s="907">
        <f>Итоговая!AS369</f>
        <v>100.35041407867496</v>
      </c>
      <c r="M367" s="907"/>
      <c r="N367" s="907"/>
    </row>
    <row r="368" spans="1:14" hidden="1" x14ac:dyDescent="0.25">
      <c r="A368" s="2419">
        <f>Итоговая!Y370</f>
        <v>0</v>
      </c>
      <c r="B368" s="2440"/>
      <c r="C368" s="7" t="str">
        <f>Итоговая!AA370</f>
        <v xml:space="preserve">Ном. Мощность СН, МВА </v>
      </c>
      <c r="D368" s="230">
        <f>Итоговая!AB370</f>
        <v>10</v>
      </c>
      <c r="E368" s="229" t="str">
        <f>Итоговая!AC370</f>
        <v>+</v>
      </c>
      <c r="F368" s="229">
        <f>Итоговая!AD370</f>
        <v>10</v>
      </c>
      <c r="G368" s="229">
        <f>Итоговая!AE370</f>
        <v>0</v>
      </c>
      <c r="H368" s="229">
        <f>Итоговая!AF370</f>
        <v>0</v>
      </c>
      <c r="I368" s="2406">
        <f>Итоговая!AP370</f>
        <v>0</v>
      </c>
      <c r="J368" s="2406">
        <f>Итоговая!AQ370</f>
        <v>0</v>
      </c>
      <c r="K368" s="907" t="str">
        <f>Итоговая!AR370</f>
        <v>открыт</v>
      </c>
      <c r="L368" s="907">
        <f>Итоговая!AS370</f>
        <v>0</v>
      </c>
      <c r="M368" s="907"/>
      <c r="N368" s="907"/>
    </row>
    <row r="369" spans="1:14" hidden="1" x14ac:dyDescent="0.25">
      <c r="A369" s="2419">
        <f>Итоговая!Y371</f>
        <v>0</v>
      </c>
      <c r="B369" s="2441"/>
      <c r="C369" s="7" t="str">
        <f>Итоговая!AA371</f>
        <v>Ном. мощность НН, МВА</v>
      </c>
      <c r="D369" s="230">
        <f>Итоговая!AB371</f>
        <v>10</v>
      </c>
      <c r="E369" s="229" t="str">
        <f>Итоговая!AC371</f>
        <v>+</v>
      </c>
      <c r="F369" s="229">
        <f>Итоговая!AD371</f>
        <v>10</v>
      </c>
      <c r="G369" s="229">
        <f>Итоговая!AE371</f>
        <v>0</v>
      </c>
      <c r="H369" s="229">
        <f>Итоговая!AF371</f>
        <v>0</v>
      </c>
      <c r="I369" s="2407">
        <f>Итоговая!AP371</f>
        <v>0</v>
      </c>
      <c r="J369" s="2407">
        <f>Итоговая!AQ371</f>
        <v>0</v>
      </c>
      <c r="K369" s="907" t="str">
        <f>Итоговая!AR371</f>
        <v>открыт</v>
      </c>
      <c r="L369" s="907">
        <f>Итоговая!AS371</f>
        <v>0</v>
      </c>
      <c r="M369" s="907"/>
      <c r="N369" s="907"/>
    </row>
    <row r="370" spans="1:14" hidden="1" x14ac:dyDescent="0.25">
      <c r="A370" s="2419">
        <f>Итоговая!Y372</f>
        <v>276</v>
      </c>
      <c r="B370" s="2423">
        <f>COUNTIFS($C$8:C370,"*ПС*",$J$8:J370,"*закрыт*")</f>
        <v>67</v>
      </c>
      <c r="C370" s="212" t="str">
        <f>Итоговая!AA372</f>
        <v xml:space="preserve">ПС 110/35/10 кВ Лихославль </v>
      </c>
      <c r="D370" s="230">
        <f>Итоговая!AB372</f>
        <v>25</v>
      </c>
      <c r="E370" s="229" t="str">
        <f>Итоговая!AC372</f>
        <v>+</v>
      </c>
      <c r="F370" s="229">
        <f>Итоговая!AD372</f>
        <v>25</v>
      </c>
      <c r="G370" s="229">
        <f>Итоговая!AE372</f>
        <v>0</v>
      </c>
      <c r="H370" s="229">
        <f>Итоговая!AF372</f>
        <v>0</v>
      </c>
      <c r="I370" s="2405">
        <f>Итоговая!AP372</f>
        <v>9.6671591397849461</v>
      </c>
      <c r="J370" s="2405" t="str">
        <f>Итоговая!AQ372</f>
        <v>открыт</v>
      </c>
      <c r="K370" s="907" t="str">
        <f>Итоговая!AR372</f>
        <v>открыт</v>
      </c>
      <c r="L370" s="907">
        <f>Итоговая!AS372</f>
        <v>64.00731093746522</v>
      </c>
      <c r="M370" s="907"/>
      <c r="N370" s="907"/>
    </row>
    <row r="371" spans="1:14" hidden="1" x14ac:dyDescent="0.25">
      <c r="A371" s="2419">
        <f>Итоговая!Y373</f>
        <v>0</v>
      </c>
      <c r="B371" s="2440"/>
      <c r="C371" s="7" t="str">
        <f>Итоговая!AA373</f>
        <v xml:space="preserve">Ном. Мощность СН, МВА </v>
      </c>
      <c r="D371" s="230">
        <f>Итоговая!AB373</f>
        <v>25</v>
      </c>
      <c r="E371" s="229" t="str">
        <f>Итоговая!AC373</f>
        <v>+</v>
      </c>
      <c r="F371" s="229">
        <f>Итоговая!AD373</f>
        <v>25</v>
      </c>
      <c r="G371" s="229">
        <f>Итоговая!AE373</f>
        <v>0</v>
      </c>
      <c r="H371" s="229">
        <f>Итоговая!AF373</f>
        <v>0</v>
      </c>
      <c r="I371" s="2406">
        <f>Итоговая!AP373</f>
        <v>0</v>
      </c>
      <c r="J371" s="2406" t="str">
        <f>Итоговая!AQ373</f>
        <v>открыт</v>
      </c>
      <c r="K371" s="907" t="str">
        <f>Итоговая!AR373</f>
        <v>открыт</v>
      </c>
      <c r="L371" s="907">
        <f>Итоговая!AS373</f>
        <v>0</v>
      </c>
      <c r="M371" s="907"/>
      <c r="N371" s="907"/>
    </row>
    <row r="372" spans="1:14" hidden="1" x14ac:dyDescent="0.25">
      <c r="A372" s="2419">
        <f>Итоговая!Y374</f>
        <v>0</v>
      </c>
      <c r="B372" s="2441"/>
      <c r="C372" s="7" t="str">
        <f>Итоговая!AA374</f>
        <v>Ном. мощность НН, МВА</v>
      </c>
      <c r="D372" s="230">
        <f>Итоговая!AB374</f>
        <v>25</v>
      </c>
      <c r="E372" s="229" t="str">
        <f>Итоговая!AC374</f>
        <v>+</v>
      </c>
      <c r="F372" s="229">
        <f>Итоговая!AD374</f>
        <v>25</v>
      </c>
      <c r="G372" s="229">
        <f>Итоговая!AE374</f>
        <v>0</v>
      </c>
      <c r="H372" s="229">
        <f>Итоговая!AF374</f>
        <v>0</v>
      </c>
      <c r="I372" s="2407">
        <f>Итоговая!AP374</f>
        <v>0</v>
      </c>
      <c r="J372" s="2407" t="str">
        <f>Итоговая!AQ374</f>
        <v>открыт</v>
      </c>
      <c r="K372" s="907" t="str">
        <f>Итоговая!AR374</f>
        <v>открыт</v>
      </c>
      <c r="L372" s="907">
        <f>Итоговая!AS374</f>
        <v>0</v>
      </c>
      <c r="M372" s="907"/>
      <c r="N372" s="907"/>
    </row>
    <row r="373" spans="1:14" hidden="1" x14ac:dyDescent="0.25">
      <c r="A373" s="2419">
        <f>Итоговая!Y375</f>
        <v>277</v>
      </c>
      <c r="B373" s="2423">
        <f>COUNTIFS($C$8:C373,"*ПС*",$J$8:J373,"*закрыт*")</f>
        <v>67</v>
      </c>
      <c r="C373" s="212" t="str">
        <f>Итоговая!AA375</f>
        <v xml:space="preserve">ПС 110/35/6 кВ Безбородово </v>
      </c>
      <c r="D373" s="230">
        <f>Итоговая!AB375</f>
        <v>16</v>
      </c>
      <c r="E373" s="229" t="str">
        <f>Итоговая!AC375</f>
        <v>+</v>
      </c>
      <c r="F373" s="229">
        <f>Итоговая!AD375</f>
        <v>16</v>
      </c>
      <c r="G373" s="229">
        <f>Итоговая!AE375</f>
        <v>0</v>
      </c>
      <c r="H373" s="229">
        <f>Итоговая!AF375</f>
        <v>0</v>
      </c>
      <c r="I373" s="2405">
        <f>Итоговая!AP375</f>
        <v>0.87784782608695799</v>
      </c>
      <c r="J373" s="2405" t="str">
        <f>Итоговая!AQ375</f>
        <v>открыт</v>
      </c>
      <c r="K373" s="907" t="str">
        <f>Итоговая!AR375</f>
        <v>открыт</v>
      </c>
      <c r="L373" s="907">
        <f>Итоговая!AS375</f>
        <v>118.52471532091097</v>
      </c>
      <c r="M373" s="907"/>
      <c r="N373" s="907"/>
    </row>
    <row r="374" spans="1:14" hidden="1" x14ac:dyDescent="0.25">
      <c r="A374" s="2419">
        <f>Итоговая!Y376</f>
        <v>0</v>
      </c>
      <c r="B374" s="2440"/>
      <c r="C374" s="7" t="str">
        <f>Итоговая!AA376</f>
        <v xml:space="preserve">Ном. Мощность СН, МВА </v>
      </c>
      <c r="D374" s="230">
        <f>Итоговая!AB376</f>
        <v>16</v>
      </c>
      <c r="E374" s="229" t="str">
        <f>Итоговая!AC376</f>
        <v>+</v>
      </c>
      <c r="F374" s="229">
        <f>Итоговая!AD376</f>
        <v>16</v>
      </c>
      <c r="G374" s="229">
        <f>Итоговая!AE376</f>
        <v>0</v>
      </c>
      <c r="H374" s="229">
        <f>Итоговая!AF376</f>
        <v>0</v>
      </c>
      <c r="I374" s="2406">
        <f>Итоговая!AP376</f>
        <v>0</v>
      </c>
      <c r="J374" s="2406">
        <f>Итоговая!AQ376</f>
        <v>0</v>
      </c>
      <c r="K374" s="907" t="str">
        <f>Итоговая!AR376</f>
        <v>открыт</v>
      </c>
      <c r="L374" s="907">
        <f>Итоговая!AS376</f>
        <v>0</v>
      </c>
      <c r="M374" s="907"/>
      <c r="N374" s="907"/>
    </row>
    <row r="375" spans="1:14" hidden="1" x14ac:dyDescent="0.25">
      <c r="A375" s="2419">
        <f>Итоговая!Y377</f>
        <v>0</v>
      </c>
      <c r="B375" s="2441"/>
      <c r="C375" s="7" t="str">
        <f>Итоговая!AA377</f>
        <v>Ном. мощность НН, МВА</v>
      </c>
      <c r="D375" s="230">
        <f>Итоговая!AB377</f>
        <v>16</v>
      </c>
      <c r="E375" s="229" t="str">
        <f>Итоговая!AC377</f>
        <v>+</v>
      </c>
      <c r="F375" s="229">
        <f>Итоговая!AD377</f>
        <v>16</v>
      </c>
      <c r="G375" s="229">
        <f>Итоговая!AE377</f>
        <v>0</v>
      </c>
      <c r="H375" s="229">
        <f>Итоговая!AF377</f>
        <v>0</v>
      </c>
      <c r="I375" s="2407">
        <f>Итоговая!AP377</f>
        <v>0</v>
      </c>
      <c r="J375" s="2407">
        <f>Итоговая!AQ377</f>
        <v>0</v>
      </c>
      <c r="K375" s="907" t="str">
        <f>Итоговая!AR377</f>
        <v>открыт</v>
      </c>
      <c r="L375" s="907">
        <f>Итоговая!AS377</f>
        <v>0</v>
      </c>
      <c r="M375" s="907"/>
      <c r="N375" s="907"/>
    </row>
    <row r="376" spans="1:14" hidden="1" x14ac:dyDescent="0.25">
      <c r="A376" s="2419">
        <f>Итоговая!Y378</f>
        <v>278</v>
      </c>
      <c r="B376" s="2423">
        <f>COUNTIFS($C$8:C376,"*ПС*",$J$8:J376,"*закрыт*")</f>
        <v>67</v>
      </c>
      <c r="C376" s="212" t="str">
        <f>Итоговая!AA378</f>
        <v xml:space="preserve">ПС 110/35/6 кВ Редкино  </v>
      </c>
      <c r="D376" s="230">
        <f>Итоговая!AB378</f>
        <v>40</v>
      </c>
      <c r="E376" s="229" t="str">
        <f>Итоговая!AC378</f>
        <v>+</v>
      </c>
      <c r="F376" s="229">
        <f>Итоговая!AD378</f>
        <v>40.5</v>
      </c>
      <c r="G376" s="229">
        <f>Итоговая!AE378</f>
        <v>0</v>
      </c>
      <c r="H376" s="229">
        <f>Итоговая!AF378</f>
        <v>0</v>
      </c>
      <c r="I376" s="2405">
        <f>Итоговая!AP378</f>
        <v>12.683393478260868</v>
      </c>
      <c r="J376" s="2405" t="str">
        <f>Итоговая!AQ378</f>
        <v>открыт</v>
      </c>
      <c r="K376" s="907" t="str">
        <f>Итоговая!AR378</f>
        <v>открыт</v>
      </c>
      <c r="L376" s="907">
        <f>Итоговая!AS378</f>
        <v>81.345885093167709</v>
      </c>
      <c r="M376" s="907"/>
      <c r="N376" s="907"/>
    </row>
    <row r="377" spans="1:14" hidden="1" x14ac:dyDescent="0.25">
      <c r="A377" s="2419">
        <f>Итоговая!Y379</f>
        <v>0</v>
      </c>
      <c r="B377" s="2440"/>
      <c r="C377" s="7" t="str">
        <f>Итоговая!AA379</f>
        <v xml:space="preserve">Ном. Мощность СН, МВА </v>
      </c>
      <c r="D377" s="230">
        <f>Итоговая!AB379</f>
        <v>40</v>
      </c>
      <c r="E377" s="229" t="str">
        <f>Итоговая!AC379</f>
        <v>+</v>
      </c>
      <c r="F377" s="229">
        <f>Итоговая!AD379</f>
        <v>40.5</v>
      </c>
      <c r="G377" s="229">
        <f>Итоговая!AE379</f>
        <v>0</v>
      </c>
      <c r="H377" s="229">
        <f>Итоговая!AF379</f>
        <v>0</v>
      </c>
      <c r="I377" s="2406">
        <f>Итоговая!AP379</f>
        <v>0</v>
      </c>
      <c r="J377" s="2406" t="str">
        <f>Итоговая!AQ379</f>
        <v>открыт</v>
      </c>
      <c r="K377" s="907" t="str">
        <f>Итоговая!AR379</f>
        <v>открыт</v>
      </c>
      <c r="L377" s="907">
        <f>Итоговая!AS379</f>
        <v>0</v>
      </c>
      <c r="M377" s="907"/>
      <c r="N377" s="907"/>
    </row>
    <row r="378" spans="1:14" hidden="1" x14ac:dyDescent="0.25">
      <c r="A378" s="2419">
        <f>Итоговая!Y380</f>
        <v>0</v>
      </c>
      <c r="B378" s="2441"/>
      <c r="C378" s="7" t="str">
        <f>Итоговая!AA380</f>
        <v>Ном. мощность НН, МВА</v>
      </c>
      <c r="D378" s="230">
        <f>Итоговая!AB380</f>
        <v>40</v>
      </c>
      <c r="E378" s="229" t="str">
        <f>Итоговая!AC380</f>
        <v>+</v>
      </c>
      <c r="F378" s="229">
        <f>Итоговая!AD380</f>
        <v>40.5</v>
      </c>
      <c r="G378" s="229">
        <f>Итоговая!AE380</f>
        <v>0</v>
      </c>
      <c r="H378" s="229">
        <f>Итоговая!AF380</f>
        <v>0</v>
      </c>
      <c r="I378" s="2407">
        <f>Итоговая!AP380</f>
        <v>0</v>
      </c>
      <c r="J378" s="2407" t="str">
        <f>Итоговая!AQ380</f>
        <v>открыт</v>
      </c>
      <c r="K378" s="907" t="str">
        <f>Итоговая!AR380</f>
        <v>открыт</v>
      </c>
      <c r="L378" s="907">
        <f>Итоговая!AS380</f>
        <v>0</v>
      </c>
      <c r="M378" s="907"/>
      <c r="N378" s="907"/>
    </row>
    <row r="379" spans="1:14" hidden="1" x14ac:dyDescent="0.25">
      <c r="A379" s="2419">
        <f>Итоговая!Y381</f>
        <v>279</v>
      </c>
      <c r="B379" s="2423">
        <f>COUNTIFS($C$8:C379,"*ПС*",$J$8:J379,"*закрыт*")</f>
        <v>67</v>
      </c>
      <c r="C379" s="212" t="str">
        <f>Итоговая!AA381</f>
        <v xml:space="preserve">ПС 110/35/10 кВ Рамешки </v>
      </c>
      <c r="D379" s="230">
        <f>Итоговая!AB381</f>
        <v>10</v>
      </c>
      <c r="E379" s="229" t="str">
        <f>Итоговая!AC381</f>
        <v>+</v>
      </c>
      <c r="F379" s="229">
        <f>Итоговая!AD381</f>
        <v>25</v>
      </c>
      <c r="G379" s="229">
        <f>Итоговая!AE381</f>
        <v>0</v>
      </c>
      <c r="H379" s="229">
        <f>Итоговая!AF381</f>
        <v>0</v>
      </c>
      <c r="I379" s="2405">
        <f>Итоговая!AP381</f>
        <v>5.526739130434783</v>
      </c>
      <c r="J379" s="2405" t="str">
        <f>Итоговая!AQ381</f>
        <v>открыт</v>
      </c>
      <c r="K379" s="907" t="str">
        <f>Итоговая!AR381</f>
        <v>открыт</v>
      </c>
      <c r="L379" s="907">
        <f>Итоговая!AS381</f>
        <v>60.316770186335404</v>
      </c>
      <c r="M379" s="907"/>
      <c r="N379" s="907"/>
    </row>
    <row r="380" spans="1:14" hidden="1" x14ac:dyDescent="0.25">
      <c r="A380" s="2419">
        <f>Итоговая!Y382</f>
        <v>0</v>
      </c>
      <c r="B380" s="2440"/>
      <c r="C380" s="7" t="str">
        <f>Итоговая!AA382</f>
        <v xml:space="preserve">Ном. Мощность СН, МВА </v>
      </c>
      <c r="D380" s="246">
        <f>Итоговая!AB382</f>
        <v>10</v>
      </c>
      <c r="E380" s="247" t="str">
        <f>Итоговая!AC382</f>
        <v>+</v>
      </c>
      <c r="F380" s="247">
        <f>Итоговая!AD382</f>
        <v>25</v>
      </c>
      <c r="G380" s="247">
        <f>Итоговая!AE382</f>
        <v>0</v>
      </c>
      <c r="H380" s="247">
        <f>Итоговая!AF382</f>
        <v>0</v>
      </c>
      <c r="I380" s="2406">
        <f>Итоговая!AP382</f>
        <v>0</v>
      </c>
      <c r="J380" s="2406" t="str">
        <f>Итоговая!AQ382</f>
        <v>открыт</v>
      </c>
      <c r="K380" s="907" t="str">
        <f>Итоговая!AR382</f>
        <v>открыт</v>
      </c>
      <c r="L380" s="907">
        <f>Итоговая!AS382</f>
        <v>0</v>
      </c>
      <c r="M380" s="907"/>
      <c r="N380" s="907"/>
    </row>
    <row r="381" spans="1:14" hidden="1" x14ac:dyDescent="0.25">
      <c r="A381" s="2419">
        <f>Итоговая!Y383</f>
        <v>0</v>
      </c>
      <c r="B381" s="2441"/>
      <c r="C381" s="7" t="str">
        <f>Итоговая!AA383</f>
        <v>Ном. мощность НН, МВА</v>
      </c>
      <c r="D381" s="246">
        <f>Итоговая!AB383</f>
        <v>10</v>
      </c>
      <c r="E381" s="247" t="str">
        <f>Итоговая!AC383</f>
        <v>+</v>
      </c>
      <c r="F381" s="247">
        <f>Итоговая!AD383</f>
        <v>25</v>
      </c>
      <c r="G381" s="247">
        <f>Итоговая!AE383</f>
        <v>0</v>
      </c>
      <c r="H381" s="247">
        <f>Итоговая!AF383</f>
        <v>0</v>
      </c>
      <c r="I381" s="2407">
        <f>Итоговая!AP383</f>
        <v>0</v>
      </c>
      <c r="J381" s="2407" t="str">
        <f>Итоговая!AQ383</f>
        <v>открыт</v>
      </c>
      <c r="K381" s="907" t="str">
        <f>Итоговая!AR383</f>
        <v>открыт</v>
      </c>
      <c r="L381" s="907">
        <f>Итоговая!AS383</f>
        <v>0</v>
      </c>
      <c r="M381" s="907"/>
      <c r="N381" s="907"/>
    </row>
    <row r="382" spans="1:14" hidden="1" x14ac:dyDescent="0.25">
      <c r="A382" s="2419">
        <f>Итоговая!Y384</f>
        <v>280</v>
      </c>
      <c r="B382" s="2423">
        <f>COUNTIFS($C$8:C382,"*ПС*",$J$8:J382,"*закрыт*")</f>
        <v>67</v>
      </c>
      <c r="C382" s="212" t="str">
        <f>Итоговая!AA384</f>
        <v xml:space="preserve">ПС 110/35/10 кВ Тучево </v>
      </c>
      <c r="D382" s="246">
        <f>Итоговая!AB384</f>
        <v>25</v>
      </c>
      <c r="E382" s="247" t="str">
        <f>Итоговая!AC384</f>
        <v>+</v>
      </c>
      <c r="F382" s="247">
        <f>Итоговая!AD384</f>
        <v>25</v>
      </c>
      <c r="G382" s="247">
        <f>Итоговая!AE384</f>
        <v>0</v>
      </c>
      <c r="H382" s="247">
        <f>Итоговая!AF384</f>
        <v>0</v>
      </c>
      <c r="I382" s="2405">
        <f>Итоговая!AP384</f>
        <v>14.451000000000002</v>
      </c>
      <c r="J382" s="2405" t="str">
        <f>Итоговая!AQ384</f>
        <v>открыт</v>
      </c>
      <c r="K382" s="907" t="str">
        <f>Итоговая!AR384</f>
        <v>открыт</v>
      </c>
      <c r="L382" s="907">
        <f>Итоговая!AS384</f>
        <v>5.9390476190476189</v>
      </c>
      <c r="M382" s="907"/>
      <c r="N382" s="907"/>
    </row>
    <row r="383" spans="1:14" hidden="1" x14ac:dyDescent="0.25">
      <c r="A383" s="2419">
        <f>Итоговая!Y385</f>
        <v>0</v>
      </c>
      <c r="B383" s="2440"/>
      <c r="C383" s="7" t="str">
        <f>Итоговая!AA385</f>
        <v xml:space="preserve">Ном. Мощность СН, МВА </v>
      </c>
      <c r="D383" s="246">
        <f>Итоговая!AB385</f>
        <v>25</v>
      </c>
      <c r="E383" s="247" t="str">
        <f>Итоговая!AC385</f>
        <v>+</v>
      </c>
      <c r="F383" s="247">
        <f>Итоговая!AD385</f>
        <v>25</v>
      </c>
      <c r="G383" s="247">
        <f>Итоговая!AE385</f>
        <v>0</v>
      </c>
      <c r="H383" s="247">
        <f>Итоговая!AF385</f>
        <v>0</v>
      </c>
      <c r="I383" s="2406">
        <f>Итоговая!AP385</f>
        <v>0</v>
      </c>
      <c r="J383" s="2406" t="str">
        <f>Итоговая!AQ385</f>
        <v>открыт</v>
      </c>
      <c r="K383" s="907" t="str">
        <f>Итоговая!AR385</f>
        <v>открыт</v>
      </c>
      <c r="L383" s="907">
        <f>Итоговая!AS385</f>
        <v>0</v>
      </c>
      <c r="M383" s="907"/>
      <c r="N383" s="907"/>
    </row>
    <row r="384" spans="1:14" ht="20.100000000000001" hidden="1" customHeight="1" x14ac:dyDescent="0.25">
      <c r="A384" s="2419">
        <f>Итоговая!Y386</f>
        <v>0</v>
      </c>
      <c r="B384" s="2441"/>
      <c r="C384" s="7" t="str">
        <f>Итоговая!AA386</f>
        <v>Ном. мощность НН, МВА</v>
      </c>
      <c r="D384" s="246">
        <f>Итоговая!AB386</f>
        <v>25</v>
      </c>
      <c r="E384" s="247" t="str">
        <f>Итоговая!AC386</f>
        <v>+</v>
      </c>
      <c r="F384" s="247">
        <f>Итоговая!AD386</f>
        <v>25</v>
      </c>
      <c r="G384" s="247">
        <f>Итоговая!AE386</f>
        <v>0</v>
      </c>
      <c r="H384" s="247">
        <f>Итоговая!AF386</f>
        <v>0</v>
      </c>
      <c r="I384" s="2407">
        <f>Итоговая!AP386</f>
        <v>0</v>
      </c>
      <c r="J384" s="2407" t="str">
        <f>Итоговая!AQ386</f>
        <v>открыт</v>
      </c>
      <c r="K384" s="907" t="str">
        <f>Итоговая!AR386</f>
        <v>открыт</v>
      </c>
      <c r="L384" s="907">
        <f>Итоговая!AS386</f>
        <v>0</v>
      </c>
      <c r="M384" s="907"/>
      <c r="N384" s="907"/>
    </row>
    <row r="385" spans="1:14" hidden="1" x14ac:dyDescent="0.25">
      <c r="A385" s="212">
        <f>Итоговая!Y387</f>
        <v>281</v>
      </c>
      <c r="B385" s="752">
        <f>COUNTIFS($C$8:C385,"*ПС*",$J$8:J385,"*закрыт*")</f>
        <v>67</v>
      </c>
      <c r="C385" s="245" t="str">
        <f>Итоговая!AA387</f>
        <v>ПС  35/10 кВ Страшевичи</v>
      </c>
      <c r="D385" s="246">
        <f>Итоговая!AB387</f>
        <v>2.5</v>
      </c>
      <c r="E385" s="247">
        <f>Итоговая!AC387</f>
        <v>0</v>
      </c>
      <c r="F385" s="247">
        <f>Итоговая!AD387</f>
        <v>0</v>
      </c>
      <c r="G385" s="247">
        <f>Итоговая!AE387</f>
        <v>0</v>
      </c>
      <c r="H385" s="247">
        <f>Итоговая!AF387</f>
        <v>0</v>
      </c>
      <c r="I385" s="250">
        <f>Итоговая!AP387</f>
        <v>0</v>
      </c>
      <c r="J385" s="250" t="str">
        <f>Итоговая!AQ387</f>
        <v>открыт</v>
      </c>
      <c r="K385" s="907" t="str">
        <f>Итоговая!AR387</f>
        <v>открыт</v>
      </c>
      <c r="L385" s="907">
        <f>Итоговая!AS387</f>
        <v>39.238095238095241</v>
      </c>
      <c r="M385" s="907"/>
      <c r="N385" s="907"/>
    </row>
    <row r="386" spans="1:14" ht="20.100000000000001" customHeight="1" x14ac:dyDescent="0.25">
      <c r="A386" s="212">
        <f>Итоговая!Y388</f>
        <v>282</v>
      </c>
      <c r="B386" s="2260">
        <f>COUNTIFS($C$8:C386,"*ПС*",$J$8:J386,"*закрыт*")</f>
        <v>68</v>
      </c>
      <c r="C386" s="245" t="str">
        <f>Итоговая!AA388</f>
        <v xml:space="preserve">ПС 35/10 кВ Сукромля </v>
      </c>
      <c r="D386" s="230">
        <f>Итоговая!AB388</f>
        <v>2.5</v>
      </c>
      <c r="E386" s="229">
        <f>Итоговая!AC388</f>
        <v>0</v>
      </c>
      <c r="F386" s="229">
        <f>Итоговая!AD388</f>
        <v>0</v>
      </c>
      <c r="G386" s="229">
        <f>Итоговая!AE388</f>
        <v>0</v>
      </c>
      <c r="H386" s="229">
        <f>Итоговая!AF388</f>
        <v>0</v>
      </c>
      <c r="I386" s="2135">
        <f>Итоговая!AP388</f>
        <v>-1.0271739130434785</v>
      </c>
      <c r="J386" s="250" t="str">
        <f>Итоговая!AQ388</f>
        <v>закрыт</v>
      </c>
      <c r="K386" s="907" t="str">
        <f>Итоговая!AR388</f>
        <v>закрыт</v>
      </c>
      <c r="L386" s="907">
        <f>Итоговая!AS388</f>
        <v>54.368530020703943</v>
      </c>
      <c r="M386" s="907"/>
      <c r="N386" s="907"/>
    </row>
    <row r="387" spans="1:14" x14ac:dyDescent="0.25">
      <c r="A387" s="212">
        <f>Итоговая!Y389</f>
        <v>283</v>
      </c>
      <c r="B387" s="2260">
        <f>COUNTIFS($C$8:C387,"*ПС*",$J$8:J387,"*закрыт*")</f>
        <v>69</v>
      </c>
      <c r="C387" s="245" t="str">
        <f>Итоговая!AA389</f>
        <v xml:space="preserve">ПС 35/10 кВ Кр. Городок </v>
      </c>
      <c r="D387" s="230">
        <f>Итоговая!AB389</f>
        <v>0.56000000000000005</v>
      </c>
      <c r="E387" s="229">
        <f>Итоговая!AC389</f>
        <v>0</v>
      </c>
      <c r="F387" s="229">
        <f>Итоговая!AD389</f>
        <v>0</v>
      </c>
      <c r="G387" s="229">
        <f>Итоговая!AE389</f>
        <v>0</v>
      </c>
      <c r="H387" s="229">
        <f>Итоговая!AF389</f>
        <v>0</v>
      </c>
      <c r="I387" s="2135">
        <f>Итоговая!AP389</f>
        <v>-0.02</v>
      </c>
      <c r="J387" s="250" t="str">
        <f>Итоговая!AQ389</f>
        <v>закрыт</v>
      </c>
      <c r="K387" s="907" t="str">
        <f>Итоговая!AR389</f>
        <v>закрыт</v>
      </c>
      <c r="L387" s="907">
        <f>Итоговая!AS389</f>
        <v>3.4013605442176864</v>
      </c>
      <c r="M387" s="907"/>
      <c r="N387" s="907"/>
    </row>
    <row r="388" spans="1:14" x14ac:dyDescent="0.25">
      <c r="A388" s="212">
        <f>Итоговая!Y390</f>
        <v>284</v>
      </c>
      <c r="B388" s="2260">
        <f>COUNTIFS($C$8:C388,"*ПС*",$J$8:J388,"*закрыт*")</f>
        <v>70</v>
      </c>
      <c r="C388" s="245" t="str">
        <f>Итоговая!AA390</f>
        <v xml:space="preserve">ПС 35/10 кВ Прямухино </v>
      </c>
      <c r="D388" s="230">
        <f>Итоговая!AB390</f>
        <v>2.5</v>
      </c>
      <c r="E388" s="229">
        <f>Итоговая!AC390</f>
        <v>0</v>
      </c>
      <c r="F388" s="229">
        <f>Итоговая!AD390</f>
        <v>0</v>
      </c>
      <c r="G388" s="229">
        <f>Итоговая!AE390</f>
        <v>0</v>
      </c>
      <c r="H388" s="229">
        <f>Итоговая!AF390</f>
        <v>0</v>
      </c>
      <c r="I388" s="250">
        <f>Итоговая!AP390</f>
        <v>-0.31999999999999995</v>
      </c>
      <c r="J388" s="250" t="str">
        <f>Итоговая!AQ390</f>
        <v>закрыт</v>
      </c>
      <c r="K388" s="907" t="str">
        <f>Итоговая!AR390</f>
        <v>закрыт</v>
      </c>
      <c r="L388" s="907">
        <f>Итоговая!AS390</f>
        <v>21.714285714285712</v>
      </c>
      <c r="M388" s="907"/>
      <c r="N388" s="907"/>
    </row>
    <row r="389" spans="1:14" x14ac:dyDescent="0.25">
      <c r="A389" s="212">
        <f>Итоговая!Y391</f>
        <v>285</v>
      </c>
      <c r="B389" s="2260">
        <f>COUNTIFS($C$8:C389,"*ПС*",$J$8:J389,"*закрыт*")</f>
        <v>71</v>
      </c>
      <c r="C389" s="245" t="str">
        <f>Итоговая!AA391</f>
        <v xml:space="preserve">ПС 35/10 кВ Пень  </v>
      </c>
      <c r="D389" s="230">
        <f>Итоговая!AB391</f>
        <v>1.6</v>
      </c>
      <c r="E389" s="229">
        <f>Итоговая!AC391</f>
        <v>0</v>
      </c>
      <c r="F389" s="229">
        <f>Итоговая!AD391</f>
        <v>0</v>
      </c>
      <c r="G389" s="229">
        <f>Итоговая!AE391</f>
        <v>0</v>
      </c>
      <c r="H389" s="229">
        <f>Итоговая!AF391</f>
        <v>0</v>
      </c>
      <c r="I389" s="2135">
        <f>Итоговая!AP391</f>
        <v>-0.09</v>
      </c>
      <c r="J389" s="250" t="str">
        <f>Итоговая!AQ391</f>
        <v>закрыт</v>
      </c>
      <c r="K389" s="907" t="str">
        <f>Итоговая!AR391</f>
        <v>закрыт</v>
      </c>
      <c r="L389" s="907">
        <f>Итоговая!AS391</f>
        <v>5.3571428571428568</v>
      </c>
      <c r="M389" s="907"/>
      <c r="N389" s="907"/>
    </row>
    <row r="390" spans="1:14" x14ac:dyDescent="0.25">
      <c r="A390" s="212">
        <f>Итоговая!Y392</f>
        <v>286</v>
      </c>
      <c r="B390" s="2260">
        <f>COUNTIFS($C$8:C390,"*ПС*",$J$8:J390,"*закрыт*")</f>
        <v>72</v>
      </c>
      <c r="C390" s="245" t="str">
        <f>Итоговая!AA392</f>
        <v xml:space="preserve">ПС 35/10 кВ Печниково </v>
      </c>
      <c r="D390" s="230">
        <f>Итоговая!AB392</f>
        <v>2.5</v>
      </c>
      <c r="E390" s="229">
        <f>Итоговая!AC392</f>
        <v>0</v>
      </c>
      <c r="F390" s="229">
        <f>Итоговая!AD392</f>
        <v>0</v>
      </c>
      <c r="G390" s="229">
        <f>Итоговая!AE392</f>
        <v>0</v>
      </c>
      <c r="H390" s="229">
        <f>Итоговая!AF392</f>
        <v>0</v>
      </c>
      <c r="I390" s="2135">
        <f>Итоговая!AP392</f>
        <v>-9.5217391304347823E-2</v>
      </c>
      <c r="J390" s="250" t="str">
        <f>Итоговая!AQ392</f>
        <v>закрыт</v>
      </c>
      <c r="K390" s="907" t="str">
        <f>Итоговая!AR392</f>
        <v>закрыт</v>
      </c>
      <c r="L390" s="907">
        <f>Итоговая!AS392</f>
        <v>4.3892339544513463</v>
      </c>
      <c r="M390" s="907"/>
      <c r="N390" s="907"/>
    </row>
    <row r="391" spans="1:14" ht="20.100000000000001" customHeight="1" x14ac:dyDescent="0.25">
      <c r="A391" s="212">
        <f>Итоговая!Y393</f>
        <v>287</v>
      </c>
      <c r="B391" s="2260">
        <f>COUNTIFS($C$8:C391,"*ПС*",$J$8:J391,"*закрыт*")</f>
        <v>73</v>
      </c>
      <c r="C391" s="245" t="str">
        <f>Итоговая!AA393</f>
        <v xml:space="preserve">ПС 35/10 кВ Максимково </v>
      </c>
      <c r="D391" s="230">
        <f>Итоговая!AB393</f>
        <v>2.5</v>
      </c>
      <c r="E391" s="229">
        <f>Итоговая!AC393</f>
        <v>0</v>
      </c>
      <c r="F391" s="229">
        <f>Итоговая!AD393</f>
        <v>0</v>
      </c>
      <c r="G391" s="229">
        <f>Итоговая!AE393</f>
        <v>0</v>
      </c>
      <c r="H391" s="229">
        <f>Итоговая!AF393</f>
        <v>0</v>
      </c>
      <c r="I391" s="250">
        <f>Итоговая!AP393</f>
        <v>-0.37</v>
      </c>
      <c r="J391" s="250" t="str">
        <f>Итоговая!AQ393</f>
        <v>закрыт</v>
      </c>
      <c r="K391" s="907" t="str">
        <f>Итоговая!AR393</f>
        <v>закрыт</v>
      </c>
      <c r="L391" s="907">
        <f>Итоговая!AS393</f>
        <v>24.38095238095238</v>
      </c>
      <c r="M391" s="907"/>
      <c r="N391" s="907"/>
    </row>
    <row r="392" spans="1:14" ht="20.100000000000001" customHeight="1" x14ac:dyDescent="0.25">
      <c r="A392" s="212">
        <f>Итоговая!Y394</f>
        <v>288</v>
      </c>
      <c r="B392" s="2260">
        <f>COUNTIFS($C$8:C392,"*ПС*",$J$8:J392,"*закрыт*")</f>
        <v>74</v>
      </c>
      <c r="C392" s="245" t="str">
        <f>Итоговая!AA394</f>
        <v xml:space="preserve">ПС 35/10 кВ Филистово </v>
      </c>
      <c r="D392" s="230">
        <f>Итоговая!AB394</f>
        <v>1.6</v>
      </c>
      <c r="E392" s="229">
        <f>Итоговая!AC394</f>
        <v>0</v>
      </c>
      <c r="F392" s="229">
        <f>Итоговая!AD394</f>
        <v>0</v>
      </c>
      <c r="G392" s="229">
        <f>Итоговая!AE394</f>
        <v>0</v>
      </c>
      <c r="H392" s="229">
        <f>Итоговая!AF394</f>
        <v>0</v>
      </c>
      <c r="I392" s="250">
        <f>Итоговая!AP394</f>
        <v>-0.06</v>
      </c>
      <c r="J392" s="250" t="str">
        <f>Итоговая!AQ394</f>
        <v>закрыт</v>
      </c>
      <c r="K392" s="907" t="str">
        <f>Итоговая!AR394</f>
        <v>закрыт</v>
      </c>
      <c r="L392" s="907">
        <f>Итоговая!AS394</f>
        <v>7.7380952380952372</v>
      </c>
      <c r="M392" s="907"/>
      <c r="N392" s="907"/>
    </row>
    <row r="393" spans="1:14" ht="20.100000000000001" customHeight="1" x14ac:dyDescent="0.25">
      <c r="A393" s="212">
        <f>Итоговая!Y395</f>
        <v>289</v>
      </c>
      <c r="B393" s="2260">
        <f>COUNTIFS($C$8:C393,"*ПС*",$J$8:J393,"*закрыт*")</f>
        <v>75</v>
      </c>
      <c r="C393" s="245" t="str">
        <f>Итоговая!AA395</f>
        <v xml:space="preserve">ПС 35/10 кВ Оковцы  </v>
      </c>
      <c r="D393" s="230">
        <f>Итоговая!AB395</f>
        <v>1</v>
      </c>
      <c r="E393" s="229">
        <f>Итоговая!AC395</f>
        <v>0</v>
      </c>
      <c r="F393" s="229">
        <f>Итоговая!AD395</f>
        <v>0</v>
      </c>
      <c r="G393" s="229">
        <f>Итоговая!AE395</f>
        <v>0</v>
      </c>
      <c r="H393" s="229">
        <f>Итоговая!AF395</f>
        <v>0</v>
      </c>
      <c r="I393" s="250">
        <f>Итоговая!AP395</f>
        <v>-0.18999999999999997</v>
      </c>
      <c r="J393" s="250" t="str">
        <f>Итоговая!AQ395</f>
        <v>закрыт</v>
      </c>
      <c r="K393" s="907" t="str">
        <f>Итоговая!AR395</f>
        <v>закрыт</v>
      </c>
      <c r="L393" s="907">
        <f>Итоговая!AS395</f>
        <v>27.619047619047613</v>
      </c>
      <c r="M393" s="907"/>
      <c r="N393" s="907"/>
    </row>
    <row r="394" spans="1:14" ht="20.100000000000001" customHeight="1" x14ac:dyDescent="0.25">
      <c r="A394" s="212">
        <f>Итоговая!Y396</f>
        <v>290</v>
      </c>
      <c r="B394" s="2260">
        <f>COUNTIFS($C$8:C394,"*ПС*",$J$8:J394,"*закрыт*")</f>
        <v>76</v>
      </c>
      <c r="C394" s="245" t="str">
        <f>Итоговая!AA396</f>
        <v xml:space="preserve">ПС 35/10 кВ Селигер  </v>
      </c>
      <c r="D394" s="230">
        <f>Итоговая!AB396</f>
        <v>6.3</v>
      </c>
      <c r="E394" s="229">
        <f>Итоговая!AC396</f>
        <v>0</v>
      </c>
      <c r="F394" s="229">
        <f>Итоговая!AD396</f>
        <v>0</v>
      </c>
      <c r="G394" s="229">
        <f>Итоговая!AE396</f>
        <v>0</v>
      </c>
      <c r="H394" s="229">
        <f>Итоговая!AF396</f>
        <v>0</v>
      </c>
      <c r="I394" s="2135">
        <f>Итоговая!AP396</f>
        <v>-3.9955434782608696</v>
      </c>
      <c r="J394" s="250" t="str">
        <f>Итоговая!AQ396</f>
        <v>закрыт</v>
      </c>
      <c r="K394" s="907" t="str">
        <f>Итоговая!AR396</f>
        <v>закрыт</v>
      </c>
      <c r="L394" s="907">
        <f>Итоговая!AS396</f>
        <v>60.401261954056977</v>
      </c>
      <c r="M394" s="907"/>
      <c r="N394" s="907"/>
    </row>
    <row r="395" spans="1:14" ht="20.100000000000001" customHeight="1" x14ac:dyDescent="0.25">
      <c r="A395" s="212">
        <f>Итоговая!Y397</f>
        <v>291</v>
      </c>
      <c r="B395" s="2260">
        <f>COUNTIFS($C$8:C395,"*ПС*",$J$8:J395,"*закрыт*")</f>
        <v>77</v>
      </c>
      <c r="C395" s="245" t="str">
        <f>Итоговая!AA397</f>
        <v xml:space="preserve">ПС 35/10 кВ Мошары  </v>
      </c>
      <c r="D395" s="230">
        <f>Итоговая!AB397</f>
        <v>1.6</v>
      </c>
      <c r="E395" s="229">
        <f>Итоговая!AC397</f>
        <v>0</v>
      </c>
      <c r="F395" s="229">
        <f>Итоговая!AD397</f>
        <v>0</v>
      </c>
      <c r="G395" s="229">
        <f>Итоговая!AE397</f>
        <v>0</v>
      </c>
      <c r="H395" s="229">
        <f>Итоговая!AF397</f>
        <v>0</v>
      </c>
      <c r="I395" s="2135">
        <f>Итоговая!AP397</f>
        <v>-0.12</v>
      </c>
      <c r="J395" s="250" t="str">
        <f>Итоговая!AQ397</f>
        <v>закрыт</v>
      </c>
      <c r="K395" s="907" t="str">
        <f>Итоговая!AR397</f>
        <v>закрыт</v>
      </c>
      <c r="L395" s="907">
        <f>Итоговая!AS397</f>
        <v>7.1428571428571423</v>
      </c>
      <c r="M395" s="907"/>
      <c r="N395" s="907"/>
    </row>
    <row r="396" spans="1:14" x14ac:dyDescent="0.25">
      <c r="A396" s="212">
        <f>Итоговая!Y398</f>
        <v>292</v>
      </c>
      <c r="B396" s="2260">
        <f>COUNTIFS($C$8:C396,"*ПС*",$J$8:J396,"*закрыт*")</f>
        <v>78</v>
      </c>
      <c r="C396" s="245" t="str">
        <f>Итоговая!AA398</f>
        <v xml:space="preserve">ПС  35/10 кВ Ворошилово </v>
      </c>
      <c r="D396" s="230">
        <f>Итоговая!AB398</f>
        <v>2.5</v>
      </c>
      <c r="E396" s="229">
        <f>Итоговая!AC398</f>
        <v>0</v>
      </c>
      <c r="F396" s="229">
        <f>Итоговая!AD398</f>
        <v>0</v>
      </c>
      <c r="G396" s="229">
        <f>Итоговая!AE398</f>
        <v>0</v>
      </c>
      <c r="H396" s="229">
        <f>Итоговая!AF398</f>
        <v>0</v>
      </c>
      <c r="I396" s="2135">
        <f>Итоговая!AP398</f>
        <v>-0.26</v>
      </c>
      <c r="J396" s="250" t="str">
        <f>Итоговая!AQ398</f>
        <v>закрыт</v>
      </c>
      <c r="K396" s="907" t="str">
        <f>Итоговая!AR398</f>
        <v>закрыт</v>
      </c>
      <c r="L396" s="907">
        <f>Итоговая!AS398</f>
        <v>9.9047619047619051</v>
      </c>
      <c r="M396" s="907"/>
      <c r="N396" s="907"/>
    </row>
    <row r="397" spans="1:14" x14ac:dyDescent="0.25">
      <c r="A397" s="212">
        <f>Итоговая!Y399</f>
        <v>293</v>
      </c>
      <c r="B397" s="2260">
        <f>COUNTIFS($C$8:C397,"*ПС*",$J$8:J397,"*закрыт*")</f>
        <v>79</v>
      </c>
      <c r="C397" s="245" t="str">
        <f>Итоговая!AA399</f>
        <v xml:space="preserve">ПС 35/10 кВ Слаутино   </v>
      </c>
      <c r="D397" s="230">
        <f>Итоговая!AB399</f>
        <v>1.6</v>
      </c>
      <c r="E397" s="229">
        <f>Итоговая!AC399</f>
        <v>0</v>
      </c>
      <c r="F397" s="229">
        <f>Итоговая!AD399</f>
        <v>0</v>
      </c>
      <c r="G397" s="229">
        <f>Итоговая!AE399</f>
        <v>0</v>
      </c>
      <c r="H397" s="229">
        <f>Итоговая!AF399</f>
        <v>0</v>
      </c>
      <c r="I397" s="2135">
        <f>Итоговая!AP399</f>
        <v>-0.62467391304347819</v>
      </c>
      <c r="J397" s="250" t="str">
        <f>Итоговая!AQ399</f>
        <v>закрыт</v>
      </c>
      <c r="K397" s="907" t="str">
        <f>Итоговая!AR399</f>
        <v>закрыт</v>
      </c>
      <c r="L397" s="907">
        <f>Итоговая!AS399</f>
        <v>37.18297101449275</v>
      </c>
      <c r="M397" s="907"/>
      <c r="N397" s="907"/>
    </row>
    <row r="398" spans="1:14" hidden="1" x14ac:dyDescent="0.25">
      <c r="A398" s="212">
        <f>Итоговая!Y400</f>
        <v>294</v>
      </c>
      <c r="B398" s="1860">
        <f>COUNTIFS($C$8:C398,"*ПС*",$J$8:J398,"*закрыт*")</f>
        <v>79</v>
      </c>
      <c r="C398" s="245" t="str">
        <f>Итоговая!AA400</f>
        <v xml:space="preserve">ПС 35/10 кВ Мошки </v>
      </c>
      <c r="D398" s="230">
        <f>Итоговая!AB400</f>
        <v>2.5</v>
      </c>
      <c r="E398" s="229" t="str">
        <f>Итоговая!AC400</f>
        <v>+</v>
      </c>
      <c r="F398" s="229">
        <f>Итоговая!AD400</f>
        <v>1.6</v>
      </c>
      <c r="G398" s="229">
        <f>Итоговая!AE400</f>
        <v>0</v>
      </c>
      <c r="H398" s="229">
        <f>Итоговая!AF400</f>
        <v>0</v>
      </c>
      <c r="I398" s="250">
        <f>Итоговая!AP400</f>
        <v>0.4010869565217392</v>
      </c>
      <c r="J398" s="250" t="str">
        <f>Итоговая!AQ400</f>
        <v>открыт</v>
      </c>
      <c r="K398" s="907" t="str">
        <f>Итоговая!AR400</f>
        <v>открыт</v>
      </c>
      <c r="L398" s="907">
        <f>Итоговая!AS400</f>
        <v>76.125776397515523</v>
      </c>
      <c r="M398" s="907"/>
      <c r="N398" s="907"/>
    </row>
    <row r="399" spans="1:14" hidden="1" x14ac:dyDescent="0.25">
      <c r="A399" s="212">
        <f>Итоговая!Y401</f>
        <v>295</v>
      </c>
      <c r="B399" s="1133">
        <f>COUNTIFS($C$8:C399,"*ПС*",$J$8:J399,"*закрыт*")</f>
        <v>79</v>
      </c>
      <c r="C399" s="245" t="str">
        <f>Итоговая!AA401</f>
        <v xml:space="preserve">ПС 35/10 кВ Высокое  </v>
      </c>
      <c r="D399" s="230">
        <f>Итоговая!AB401</f>
        <v>4</v>
      </c>
      <c r="E399" s="229" t="str">
        <f>Итоговая!AC401</f>
        <v>+</v>
      </c>
      <c r="F399" s="229">
        <f>Итоговая!AD401</f>
        <v>2.5</v>
      </c>
      <c r="G399" s="229">
        <f>Итоговая!AE401</f>
        <v>0</v>
      </c>
      <c r="H399" s="229">
        <f>Итоговая!AF401</f>
        <v>0</v>
      </c>
      <c r="I399" s="250">
        <f>Итоговая!AP401</f>
        <v>1.4163043478260868</v>
      </c>
      <c r="J399" s="250" t="str">
        <f>Итоговая!AQ401</f>
        <v>открыт</v>
      </c>
      <c r="K399" s="907" t="str">
        <f>Итоговая!AR401</f>
        <v>открыт</v>
      </c>
      <c r="L399" s="907">
        <f>Итоговая!AS401</f>
        <v>46.045548654244307</v>
      </c>
      <c r="M399" s="907"/>
      <c r="N399" s="907"/>
    </row>
    <row r="400" spans="1:14" hidden="1" x14ac:dyDescent="0.25">
      <c r="A400" s="212">
        <f>Итоговая!Y402</f>
        <v>296</v>
      </c>
      <c r="B400" s="1133">
        <f>COUNTIFS($C$8:C400,"*ПС*",$J$8:J400,"*закрыт*")</f>
        <v>79</v>
      </c>
      <c r="C400" s="245" t="str">
        <f>Итоговая!AA402</f>
        <v xml:space="preserve">ПС 35/10 кВ Бубеньево  </v>
      </c>
      <c r="D400" s="230">
        <f>Итоговая!AB402</f>
        <v>4</v>
      </c>
      <c r="E400" s="229" t="str">
        <f>Итоговая!AC402</f>
        <v>+</v>
      </c>
      <c r="F400" s="229">
        <f>Итоговая!AD402</f>
        <v>4</v>
      </c>
      <c r="G400" s="229">
        <f>Итоговая!AE402</f>
        <v>0</v>
      </c>
      <c r="H400" s="229">
        <f>Итоговая!AF402</f>
        <v>0</v>
      </c>
      <c r="I400" s="250">
        <f>Итоговая!AP402</f>
        <v>0.86233695652173958</v>
      </c>
      <c r="J400" s="250" t="str">
        <f>Итоговая!AQ402</f>
        <v>открыт</v>
      </c>
      <c r="K400" s="907" t="str">
        <f>Итоговая!AR402</f>
        <v>открыт</v>
      </c>
      <c r="L400" s="907">
        <f>Итоговая!AS402</f>
        <v>79.468167701863351</v>
      </c>
      <c r="M400" s="907"/>
      <c r="N400" s="907"/>
    </row>
    <row r="401" spans="1:14" hidden="1" x14ac:dyDescent="0.25">
      <c r="A401" s="212">
        <f>Итоговая!Y403</f>
        <v>297</v>
      </c>
      <c r="B401" s="1133">
        <f>COUNTIFS($C$8:C401,"*ПС*",$J$8:J401,"*закрыт*")</f>
        <v>79</v>
      </c>
      <c r="C401" s="245" t="str">
        <f>Итоговая!AA403</f>
        <v xml:space="preserve">ПС 35/10 кВ Б.Вишенье </v>
      </c>
      <c r="D401" s="230">
        <f>Итоговая!AB403</f>
        <v>2.5</v>
      </c>
      <c r="E401" s="229" t="str">
        <f>Итоговая!AC403</f>
        <v>+</v>
      </c>
      <c r="F401" s="229">
        <f>Итоговая!AD403</f>
        <v>2.5</v>
      </c>
      <c r="G401" s="229">
        <f>Итоговая!AE403</f>
        <v>0</v>
      </c>
      <c r="H401" s="229">
        <f>Итоговая!AF403</f>
        <v>0</v>
      </c>
      <c r="I401" s="250">
        <f>Итоговая!AP403</f>
        <v>1.6556521739130434</v>
      </c>
      <c r="J401" s="250" t="str">
        <f>Итоговая!AQ403</f>
        <v>открыт</v>
      </c>
      <c r="K401" s="907" t="str">
        <f>Итоговая!AR403</f>
        <v>открыт</v>
      </c>
      <c r="L401" s="907">
        <f>Итоговая!AS403</f>
        <v>36.927536231884055</v>
      </c>
      <c r="M401" s="907"/>
      <c r="N401" s="907"/>
    </row>
    <row r="402" spans="1:14" x14ac:dyDescent="0.25">
      <c r="A402" s="212">
        <f>Итоговая!Y404</f>
        <v>298</v>
      </c>
      <c r="B402" s="2260">
        <f>COUNTIFS($C$8:C402,"*ПС*",$J$8:J402,"*закрыт*")</f>
        <v>80</v>
      </c>
      <c r="C402" s="245" t="str">
        <f>Итоговая!AA404</f>
        <v xml:space="preserve">ПС 35/10 кВ Будово </v>
      </c>
      <c r="D402" s="230">
        <f>Итоговая!AB404</f>
        <v>2.5</v>
      </c>
      <c r="E402" s="229" t="str">
        <f>Итоговая!AC404</f>
        <v>+</v>
      </c>
      <c r="F402" s="229">
        <f>Итоговая!AD404</f>
        <v>2.5</v>
      </c>
      <c r="G402" s="229">
        <f>Итоговая!AE404</f>
        <v>0</v>
      </c>
      <c r="H402" s="229">
        <f>Итоговая!AF404</f>
        <v>0</v>
      </c>
      <c r="I402" s="2135">
        <f>Итоговая!AP404</f>
        <v>-0.25564516129032233</v>
      </c>
      <c r="J402" s="250" t="str">
        <f>Итоговая!AQ404</f>
        <v>закрыт</v>
      </c>
      <c r="K402" s="907" t="str">
        <f>Итоговая!AR404</f>
        <v>закрыт</v>
      </c>
      <c r="L402" s="907">
        <f>Итоговая!AS404</f>
        <v>109.73886328725038</v>
      </c>
      <c r="M402" s="907"/>
      <c r="N402" s="907"/>
    </row>
    <row r="403" spans="1:14" hidden="1" x14ac:dyDescent="0.25">
      <c r="A403" s="212">
        <f>Итоговая!Y405</f>
        <v>299</v>
      </c>
      <c r="B403" s="1133">
        <f>COUNTIFS($C$8:C403,"*ПС*",$J$8:J403,"*закрыт*")</f>
        <v>80</v>
      </c>
      <c r="C403" s="245" t="str">
        <f>Итоговая!AA405</f>
        <v xml:space="preserve">ПС 35/10 кВ Ельцы  </v>
      </c>
      <c r="D403" s="230">
        <f>Итоговая!AB405</f>
        <v>4</v>
      </c>
      <c r="E403" s="229" t="str">
        <f>Итоговая!AC405</f>
        <v>+</v>
      </c>
      <c r="F403" s="229">
        <f>Итоговая!AD405</f>
        <v>4</v>
      </c>
      <c r="G403" s="229">
        <f>Итоговая!AE405</f>
        <v>0</v>
      </c>
      <c r="H403" s="229">
        <f>Итоговая!AF405</f>
        <v>0</v>
      </c>
      <c r="I403" s="250">
        <f>Итоговая!AP405</f>
        <v>3.91</v>
      </c>
      <c r="J403" s="250" t="str">
        <f>Итоговая!AQ405</f>
        <v>открыт</v>
      </c>
      <c r="K403" s="907" t="str">
        <f>Итоговая!AR405</f>
        <v>открыт</v>
      </c>
      <c r="L403" s="907">
        <f>Итоговая!AS405</f>
        <v>6.9047619047619033</v>
      </c>
      <c r="M403" s="907"/>
      <c r="N403" s="907"/>
    </row>
    <row r="404" spans="1:14" hidden="1" x14ac:dyDescent="0.25">
      <c r="A404" s="212">
        <f>Итоговая!Y406</f>
        <v>300</v>
      </c>
      <c r="B404" s="1133">
        <f>COUNTIFS($C$8:C404,"*ПС*",$J$8:J404,"*закрыт*")</f>
        <v>80</v>
      </c>
      <c r="C404" s="245" t="str">
        <f>Итоговая!AA406</f>
        <v xml:space="preserve">ПС 35/10 кВ Селище </v>
      </c>
      <c r="D404" s="230">
        <f>Итоговая!AB406</f>
        <v>4</v>
      </c>
      <c r="E404" s="229" t="str">
        <f>Итоговая!AC406</f>
        <v>+</v>
      </c>
      <c r="F404" s="229">
        <f>Итоговая!AD406</f>
        <v>4</v>
      </c>
      <c r="G404" s="229">
        <f>Итоговая!AE406</f>
        <v>0</v>
      </c>
      <c r="H404" s="229">
        <f>Итоговая!AF406</f>
        <v>0</v>
      </c>
      <c r="I404" s="250">
        <f>Итоговая!AP406</f>
        <v>2.8332608695652173</v>
      </c>
      <c r="J404" s="250" t="str">
        <f>Итоговая!AQ406</f>
        <v>открыт</v>
      </c>
      <c r="K404" s="907" t="str">
        <f>Итоговая!AR406</f>
        <v>открыт</v>
      </c>
      <c r="L404" s="907">
        <f>Итоговая!AS406</f>
        <v>32.541407867494826</v>
      </c>
      <c r="M404" s="907"/>
      <c r="N404" s="907"/>
    </row>
    <row r="405" spans="1:14" hidden="1" x14ac:dyDescent="0.25">
      <c r="A405" s="212">
        <f>Итоговая!Y407</f>
        <v>301</v>
      </c>
      <c r="B405" s="1133">
        <f>COUNTIFS($C$8:C405,"*ПС*",$J$8:J405,"*закрыт*")</f>
        <v>80</v>
      </c>
      <c r="C405" s="245" t="str">
        <f>Итоговая!AA407</f>
        <v xml:space="preserve">ПС 35/10 кВ Святое </v>
      </c>
      <c r="D405" s="230">
        <f>Итоговая!AB407</f>
        <v>2.5</v>
      </c>
      <c r="E405" s="229" t="str">
        <f>Итоговая!AC407</f>
        <v>+</v>
      </c>
      <c r="F405" s="229">
        <f>Итоговая!AD407</f>
        <v>1.6</v>
      </c>
      <c r="G405" s="229">
        <f>Итоговая!AE407</f>
        <v>0</v>
      </c>
      <c r="H405" s="229">
        <f>Итоговая!AF407</f>
        <v>0</v>
      </c>
      <c r="I405" s="250">
        <f>Итоговая!AP407</f>
        <v>1.0100000000000002</v>
      </c>
      <c r="J405" s="250" t="str">
        <f>Итоговая!AQ407</f>
        <v>открыт</v>
      </c>
      <c r="K405" s="907" t="str">
        <f>Итоговая!AR407</f>
        <v>открыт</v>
      </c>
      <c r="L405" s="907">
        <f>Итоговая!AS407</f>
        <v>39.88095238095238</v>
      </c>
      <c r="M405" s="907"/>
      <c r="N405" s="907"/>
    </row>
    <row r="406" spans="1:14" hidden="1" x14ac:dyDescent="0.25">
      <c r="A406" s="212">
        <f>Итоговая!Y408</f>
        <v>302</v>
      </c>
      <c r="B406" s="1133">
        <f>COUNTIFS($C$8:C406,"*ПС*",$J$8:J406,"*закрыт*")</f>
        <v>80</v>
      </c>
      <c r="C406" s="245" t="str">
        <f>Итоговая!AA408</f>
        <v xml:space="preserve">ПС 35/10 кВ Крапивня  </v>
      </c>
      <c r="D406" s="230">
        <f>Итоговая!AB408</f>
        <v>2.5</v>
      </c>
      <c r="E406" s="229" t="str">
        <f>Итоговая!AC408</f>
        <v>+</v>
      </c>
      <c r="F406" s="229">
        <f>Итоговая!AD408</f>
        <v>2.5</v>
      </c>
      <c r="G406" s="229">
        <f>Итоговая!AE408</f>
        <v>0</v>
      </c>
      <c r="H406" s="229">
        <f>Итоговая!AF408</f>
        <v>0</v>
      </c>
      <c r="I406" s="250">
        <f>Итоговая!AP408</f>
        <v>2.2349999999999999</v>
      </c>
      <c r="J406" s="250" t="str">
        <f>Итоговая!AQ408</f>
        <v>открыт</v>
      </c>
      <c r="K406" s="907" t="str">
        <f>Итоговая!AR408</f>
        <v>открыт</v>
      </c>
      <c r="L406" s="907">
        <f>Итоговая!AS408</f>
        <v>14.857142857142858</v>
      </c>
      <c r="M406" s="907"/>
      <c r="N406" s="907"/>
    </row>
    <row r="407" spans="1:14" hidden="1" x14ac:dyDescent="0.25">
      <c r="A407" s="212">
        <f>Итоговая!Y409</f>
        <v>303</v>
      </c>
      <c r="B407" s="1133">
        <f>COUNTIFS($C$8:C407,"*ПС*",$J$8:J407,"*закрыт*")</f>
        <v>80</v>
      </c>
      <c r="C407" s="245" t="str">
        <f>Итоговая!AA409</f>
        <v xml:space="preserve">ПС 35/10 кВ Светлица  </v>
      </c>
      <c r="D407" s="230">
        <f>Итоговая!AB409</f>
        <v>2.5</v>
      </c>
      <c r="E407" s="229" t="str">
        <f>Итоговая!AC409</f>
        <v>+</v>
      </c>
      <c r="F407" s="229">
        <f>Итоговая!AD409</f>
        <v>2.5</v>
      </c>
      <c r="G407" s="229">
        <f>Итоговая!AE409</f>
        <v>0</v>
      </c>
      <c r="H407" s="229">
        <f>Итоговая!AF409</f>
        <v>0</v>
      </c>
      <c r="I407" s="250">
        <f>Итоговая!AP409</f>
        <v>1.2216847826086958</v>
      </c>
      <c r="J407" s="250" t="str">
        <f>Итоговая!AQ409</f>
        <v>открыт</v>
      </c>
      <c r="K407" s="907" t="str">
        <f>Итоговая!AR409</f>
        <v>открыт</v>
      </c>
      <c r="L407" s="907">
        <f>Итоговая!AS409</f>
        <v>53.459627329192536</v>
      </c>
      <c r="M407" s="907"/>
      <c r="N407" s="907"/>
    </row>
    <row r="408" spans="1:14" hidden="1" x14ac:dyDescent="0.25">
      <c r="A408" s="212">
        <f>Итоговая!Y410</f>
        <v>304</v>
      </c>
      <c r="B408" s="1133">
        <f>COUNTIFS($C$8:C408,"*ПС*",$J$8:J408,"*закрыт*")</f>
        <v>80</v>
      </c>
      <c r="C408" s="245" t="str">
        <f>Итоговая!AA410</f>
        <v xml:space="preserve">ПС  110/6 кВ КС-20  </v>
      </c>
      <c r="D408" s="230">
        <f>Итоговая!AB410</f>
        <v>63</v>
      </c>
      <c r="E408" s="229" t="str">
        <f>Итоговая!AC410</f>
        <v>+</v>
      </c>
      <c r="F408" s="229">
        <f>Итоговая!AD410</f>
        <v>63</v>
      </c>
      <c r="G408" s="229">
        <f>Итоговая!AE410</f>
        <v>0</v>
      </c>
      <c r="H408" s="229">
        <f>Итоговая!AF410</f>
        <v>0</v>
      </c>
      <c r="I408" s="250">
        <f>Итоговая!AP410</f>
        <v>50.250000000000007</v>
      </c>
      <c r="J408" s="250" t="str">
        <f>Итоговая!AQ410</f>
        <v>открыт</v>
      </c>
      <c r="K408" s="907" t="str">
        <f>Итоговая!AR410</f>
        <v>открыт</v>
      </c>
      <c r="L408" s="907">
        <f>Итоговая!AS410</f>
        <v>24.036281179138321</v>
      </c>
      <c r="M408" s="907"/>
      <c r="N408" s="907"/>
    </row>
    <row r="409" spans="1:14" ht="30" hidden="1" customHeight="1" x14ac:dyDescent="0.25">
      <c r="A409" s="212">
        <f>Итоговая!Y411</f>
        <v>305</v>
      </c>
      <c r="B409" s="1133">
        <f>COUNTIFS($C$8:C409,"*ПС*",$J$8:J409,"*закрыт*")</f>
        <v>80</v>
      </c>
      <c r="C409" s="251" t="str">
        <f>Итоговая!AA411</f>
        <v xml:space="preserve">ПС 110/10 кВ  Полиграфкраски </v>
      </c>
      <c r="D409" s="230">
        <f>Итоговая!AB411</f>
        <v>10</v>
      </c>
      <c r="E409" s="229" t="str">
        <f>Итоговая!AC411</f>
        <v>+</v>
      </c>
      <c r="F409" s="229">
        <f>Итоговая!AD411</f>
        <v>10</v>
      </c>
      <c r="G409" s="229">
        <f>Итоговая!AE411</f>
        <v>0</v>
      </c>
      <c r="H409" s="229">
        <f>Итоговая!AF411</f>
        <v>0</v>
      </c>
      <c r="I409" s="250">
        <f>Итоговая!AP411</f>
        <v>2.9806521739130432</v>
      </c>
      <c r="J409" s="250" t="str">
        <f>Итоговая!AQ411</f>
        <v>открыт</v>
      </c>
      <c r="K409" s="907" t="str">
        <f>Итоговая!AR411</f>
        <v>открыт</v>
      </c>
      <c r="L409" s="907">
        <f>Итоговая!AS411</f>
        <v>71.612836438923409</v>
      </c>
      <c r="M409" s="907"/>
      <c r="N409" s="907"/>
    </row>
    <row r="410" spans="1:14" hidden="1" x14ac:dyDescent="0.25">
      <c r="A410" s="212">
        <f>Итоговая!Y412</f>
        <v>306</v>
      </c>
      <c r="B410" s="1133">
        <f>COUNTIFS($C$8:C410,"*ПС*",$J$8:J410,"*закрыт*")</f>
        <v>80</v>
      </c>
      <c r="C410" s="245" t="str">
        <f>Итоговая!AA412</f>
        <v xml:space="preserve">ПС 110/10 кВ НПС Торжок </v>
      </c>
      <c r="D410" s="230">
        <f>Итоговая!AB412</f>
        <v>25</v>
      </c>
      <c r="E410" s="229" t="str">
        <f>Итоговая!AC412</f>
        <v>+</v>
      </c>
      <c r="F410" s="229">
        <f>Итоговая!AD412</f>
        <v>25</v>
      </c>
      <c r="G410" s="229">
        <f>Итоговая!AE412</f>
        <v>0</v>
      </c>
      <c r="H410" s="229">
        <f>Итоговая!AF412</f>
        <v>0</v>
      </c>
      <c r="I410" s="250">
        <f>Итоговая!AP412</f>
        <v>25.85</v>
      </c>
      <c r="J410" s="250" t="str">
        <f>Итоговая!AQ412</f>
        <v>открыт</v>
      </c>
      <c r="K410" s="907" t="str">
        <f>Итоговая!AR412</f>
        <v>открыт</v>
      </c>
      <c r="L410" s="907">
        <f>Итоговая!AS412</f>
        <v>1.5238095238095237</v>
      </c>
      <c r="M410" s="907"/>
      <c r="N410" s="907"/>
    </row>
    <row r="411" spans="1:14" hidden="1" x14ac:dyDescent="0.25">
      <c r="A411" s="212">
        <f>Итоговая!Y413</f>
        <v>307</v>
      </c>
      <c r="B411" s="1133">
        <f>COUNTIFS($C$8:C411,"*ПС*",$J$8:J411,"*закрыт*")</f>
        <v>80</v>
      </c>
      <c r="C411" s="245" t="str">
        <f>Итоговая!AA413</f>
        <v xml:space="preserve">ПС 110/10 кВ Селихово </v>
      </c>
      <c r="D411" s="230">
        <f>Итоговая!AB413</f>
        <v>2.5</v>
      </c>
      <c r="E411" s="229" t="str">
        <f>Итоговая!AC413</f>
        <v>+</v>
      </c>
      <c r="F411" s="229">
        <f>Итоговая!AD413</f>
        <v>2.5</v>
      </c>
      <c r="G411" s="229">
        <f>Итоговая!AE413</f>
        <v>0</v>
      </c>
      <c r="H411" s="229">
        <f>Итоговая!AF413</f>
        <v>0</v>
      </c>
      <c r="I411" s="250">
        <f>Итоговая!AP413</f>
        <v>2.0550000000000002</v>
      </c>
      <c r="J411" s="250" t="str">
        <f>Итоговая!AQ413</f>
        <v>открыт</v>
      </c>
      <c r="K411" s="907" t="str">
        <f>Итоговая!AR413</f>
        <v>открыт</v>
      </c>
      <c r="L411" s="907">
        <f>Итоговая!AS413</f>
        <v>21.714285714285712</v>
      </c>
      <c r="M411" s="907"/>
      <c r="N411" s="907"/>
    </row>
    <row r="412" spans="1:14" hidden="1" x14ac:dyDescent="0.25">
      <c r="A412" s="212">
        <f>Итоговая!Y414</f>
        <v>308</v>
      </c>
      <c r="B412" s="1133">
        <f>COUNTIFS($C$8:C412,"*ПС*",$J$8:J412,"*закрыт*")</f>
        <v>80</v>
      </c>
      <c r="C412" s="245" t="str">
        <f>Итоговая!AA414</f>
        <v xml:space="preserve">ПС 110/10 кВ Пено </v>
      </c>
      <c r="D412" s="230">
        <f>Итоговая!AB414</f>
        <v>6.3</v>
      </c>
      <c r="E412" s="229" t="str">
        <f>Итоговая!AC414</f>
        <v>+</v>
      </c>
      <c r="F412" s="229">
        <f>Итоговая!AD414</f>
        <v>6.3</v>
      </c>
      <c r="G412" s="229">
        <f>Итоговая!AE414</f>
        <v>0</v>
      </c>
      <c r="H412" s="229">
        <f>Итоговая!AF414</f>
        <v>0</v>
      </c>
      <c r="I412" s="250">
        <f>Итоговая!AP414</f>
        <v>2.9938478260869568</v>
      </c>
      <c r="J412" s="250" t="str">
        <f>Итоговая!AQ414</f>
        <v>открыт</v>
      </c>
      <c r="K412" s="907" t="str">
        <f>Итоговая!AR414</f>
        <v>открыт</v>
      </c>
      <c r="L412" s="907">
        <f>Итоговая!AS414</f>
        <v>54.74152946202635</v>
      </c>
      <c r="M412" s="907"/>
      <c r="N412" s="907"/>
    </row>
    <row r="413" spans="1:14" hidden="1" x14ac:dyDescent="0.25">
      <c r="A413" s="2419">
        <f>Итоговая!Y415</f>
        <v>309</v>
      </c>
      <c r="B413" s="2423">
        <f>COUNTIFS($C$8:C413,"*ПС*",$J$8:J413,"*закрыт*")</f>
        <v>80</v>
      </c>
      <c r="C413" s="245" t="str">
        <f>Итоговая!AA415</f>
        <v xml:space="preserve">ПС 110/35/10 кВ Торжок  </v>
      </c>
      <c r="D413" s="230">
        <f>Итоговая!AB415</f>
        <v>40</v>
      </c>
      <c r="E413" s="229" t="str">
        <f>Итоговая!AC415</f>
        <v>+</v>
      </c>
      <c r="F413" s="229">
        <f>Итоговая!AD415</f>
        <v>40</v>
      </c>
      <c r="G413" s="229">
        <f>Итоговая!AE415</f>
        <v>0</v>
      </c>
      <c r="H413" s="229">
        <f>Итоговая!AF415</f>
        <v>0</v>
      </c>
      <c r="I413" s="2431">
        <f>Итоговая!AP415</f>
        <v>25.468648316970544</v>
      </c>
      <c r="J413" s="2431" t="str">
        <f>Итоговая!AQ415</f>
        <v>открыт</v>
      </c>
      <c r="K413" s="907" t="str">
        <f>Итоговая!AR415</f>
        <v>открыт</v>
      </c>
      <c r="L413" s="907">
        <f>Итоговая!AS415</f>
        <v>51.455599245308221</v>
      </c>
      <c r="M413" s="907"/>
      <c r="N413" s="907"/>
    </row>
    <row r="414" spans="1:14" hidden="1" x14ac:dyDescent="0.25">
      <c r="A414" s="2419">
        <f>Итоговая!Y416</f>
        <v>0</v>
      </c>
      <c r="B414" s="2440"/>
      <c r="C414" s="245" t="str">
        <f>Итоговая!AA416</f>
        <v xml:space="preserve">Ном. Мощность СН, МВА </v>
      </c>
      <c r="D414" s="230">
        <f>Итоговая!AB416</f>
        <v>40</v>
      </c>
      <c r="E414" s="229" t="str">
        <f>Итоговая!AC416</f>
        <v>+</v>
      </c>
      <c r="F414" s="229">
        <f>Итоговая!AD416</f>
        <v>40</v>
      </c>
      <c r="G414" s="229">
        <f>Итоговая!AE416</f>
        <v>0</v>
      </c>
      <c r="H414" s="229">
        <f>Итоговая!AF416</f>
        <v>0</v>
      </c>
      <c r="I414" s="2432">
        <f>Итоговая!AP416</f>
        <v>0</v>
      </c>
      <c r="J414" s="2432" t="str">
        <f>Итоговая!AQ416</f>
        <v>открыт</v>
      </c>
      <c r="K414" s="907" t="str">
        <f>Итоговая!AR416</f>
        <v>открыт</v>
      </c>
      <c r="L414" s="907">
        <f>Итоговая!AS416</f>
        <v>0</v>
      </c>
      <c r="M414" s="907"/>
      <c r="N414" s="907"/>
    </row>
    <row r="415" spans="1:14" hidden="1" x14ac:dyDescent="0.25">
      <c r="A415" s="2419">
        <f>Итоговая!Y417</f>
        <v>0</v>
      </c>
      <c r="B415" s="2441"/>
      <c r="C415" s="245" t="str">
        <f>Итоговая!AA417</f>
        <v>Ном. мощность НН, МВА</v>
      </c>
      <c r="D415" s="230">
        <f>Итоговая!AB417</f>
        <v>40</v>
      </c>
      <c r="E415" s="229" t="str">
        <f>Итоговая!AC417</f>
        <v>+</v>
      </c>
      <c r="F415" s="229">
        <f>Итоговая!AD417</f>
        <v>40</v>
      </c>
      <c r="G415" s="229">
        <f>Итоговая!AE417</f>
        <v>0</v>
      </c>
      <c r="H415" s="229">
        <f>Итоговая!AF417</f>
        <v>0</v>
      </c>
      <c r="I415" s="2433">
        <f>Итоговая!AP417</f>
        <v>0</v>
      </c>
      <c r="J415" s="2433" t="str">
        <f>Итоговая!AQ417</f>
        <v>открыт</v>
      </c>
      <c r="K415" s="907" t="str">
        <f>Итоговая!AR417</f>
        <v>открыт</v>
      </c>
      <c r="L415" s="907">
        <f>Итоговая!AS417</f>
        <v>0</v>
      </c>
      <c r="M415" s="907"/>
      <c r="N415" s="907"/>
    </row>
    <row r="416" spans="1:14" hidden="1" x14ac:dyDescent="0.25">
      <c r="A416" s="2419">
        <f>Итоговая!Y418</f>
        <v>310</v>
      </c>
      <c r="B416" s="2423">
        <f>COUNTIFS($C$8:C416,"*ПС*",$J$8:J416,"*закрыт*")</f>
        <v>80</v>
      </c>
      <c r="C416" s="245" t="str">
        <f>Итоговая!AA418</f>
        <v xml:space="preserve">ПС 110/35/10 кВ Стройиндустрия </v>
      </c>
      <c r="D416" s="230">
        <f>Итоговая!AB418</f>
        <v>25</v>
      </c>
      <c r="E416" s="229" t="str">
        <f>Итоговая!AC418</f>
        <v>+</v>
      </c>
      <c r="F416" s="229">
        <f>Итоговая!AD418</f>
        <v>25</v>
      </c>
      <c r="G416" s="229">
        <f>Итоговая!AE418</f>
        <v>0</v>
      </c>
      <c r="H416" s="229">
        <f>Итоговая!AF418</f>
        <v>0</v>
      </c>
      <c r="I416" s="2431">
        <f>Итоговая!AP418</f>
        <v>15.610217391304348</v>
      </c>
      <c r="J416" s="2431" t="str">
        <f>Итоговая!AQ418</f>
        <v>открыт</v>
      </c>
      <c r="K416" s="907" t="str">
        <f>Итоговая!AR418</f>
        <v>открыт</v>
      </c>
      <c r="L416" s="907">
        <f>Итоговая!AS418</f>
        <v>41.94202898550725</v>
      </c>
      <c r="M416" s="907"/>
      <c r="N416" s="907"/>
    </row>
    <row r="417" spans="1:14" hidden="1" x14ac:dyDescent="0.25">
      <c r="A417" s="2419">
        <f>Итоговая!Y419</f>
        <v>0</v>
      </c>
      <c r="B417" s="2440"/>
      <c r="C417" s="245" t="str">
        <f>Итоговая!AA419</f>
        <v xml:space="preserve">Ном. Мощность СН, МВА </v>
      </c>
      <c r="D417" s="230">
        <f>Итоговая!AB419</f>
        <v>25</v>
      </c>
      <c r="E417" s="229" t="str">
        <f>Итоговая!AC419</f>
        <v>+</v>
      </c>
      <c r="F417" s="229">
        <f>Итоговая!AD419</f>
        <v>25</v>
      </c>
      <c r="G417" s="229">
        <f>Итоговая!AE419</f>
        <v>0</v>
      </c>
      <c r="H417" s="229">
        <f>Итоговая!AF419</f>
        <v>0</v>
      </c>
      <c r="I417" s="2432">
        <f>Итоговая!AP419</f>
        <v>0</v>
      </c>
      <c r="J417" s="2432" t="str">
        <f>Итоговая!AQ419</f>
        <v>открыт</v>
      </c>
      <c r="K417" s="907" t="str">
        <f>Итоговая!AR419</f>
        <v>открыт</v>
      </c>
      <c r="L417" s="907">
        <f>Итоговая!AS419</f>
        <v>0</v>
      </c>
      <c r="M417" s="907"/>
      <c r="N417" s="907"/>
    </row>
    <row r="418" spans="1:14" hidden="1" x14ac:dyDescent="0.25">
      <c r="A418" s="2419">
        <f>Итоговая!Y420</f>
        <v>0</v>
      </c>
      <c r="B418" s="2441"/>
      <c r="C418" s="245" t="str">
        <f>Итоговая!AA420</f>
        <v>Ном. мощность НН, МВА</v>
      </c>
      <c r="D418" s="230">
        <f>Итоговая!AB420</f>
        <v>25</v>
      </c>
      <c r="E418" s="229" t="str">
        <f>Итоговая!AC420</f>
        <v>+</v>
      </c>
      <c r="F418" s="229">
        <f>Итоговая!AD420</f>
        <v>25</v>
      </c>
      <c r="G418" s="229">
        <f>Итоговая!AE420</f>
        <v>0</v>
      </c>
      <c r="H418" s="229">
        <f>Итоговая!AF420</f>
        <v>0</v>
      </c>
      <c r="I418" s="2433">
        <f>Итоговая!AP420</f>
        <v>0</v>
      </c>
      <c r="J418" s="2433" t="str">
        <f>Итоговая!AQ420</f>
        <v>открыт</v>
      </c>
      <c r="K418" s="907" t="str">
        <f>Итоговая!AR420</f>
        <v>открыт</v>
      </c>
      <c r="L418" s="907">
        <f>Итоговая!AS420</f>
        <v>0</v>
      </c>
      <c r="M418" s="907"/>
      <c r="N418" s="907"/>
    </row>
    <row r="419" spans="1:14" x14ac:dyDescent="0.25">
      <c r="A419" s="2419">
        <f>Итоговая!Y421</f>
        <v>311</v>
      </c>
      <c r="B419" s="2423">
        <f>COUNTIFS($C$8:C419,"*ПС*",$J$8:J419,"*закрыт*")</f>
        <v>81</v>
      </c>
      <c r="C419" s="245" t="str">
        <f>Итоговая!AA421</f>
        <v xml:space="preserve">ПС 110/35/10 кВ Кувшиново  </v>
      </c>
      <c r="D419" s="230">
        <f>Итоговая!AB421</f>
        <v>40</v>
      </c>
      <c r="E419" s="229" t="str">
        <f>Итоговая!AC421</f>
        <v>+</v>
      </c>
      <c r="F419" s="229">
        <f>Итоговая!AD421</f>
        <v>25</v>
      </c>
      <c r="G419" s="229">
        <f>Итоговая!AE421</f>
        <v>0</v>
      </c>
      <c r="H419" s="229">
        <f>Итоговая!AF421</f>
        <v>0</v>
      </c>
      <c r="I419" s="2431">
        <f>Итоговая!AP421</f>
        <v>-11.983913043478253</v>
      </c>
      <c r="J419" s="2448" t="str">
        <f>Итоговая!AQ421</f>
        <v>закрыт</v>
      </c>
      <c r="K419" s="907" t="str">
        <f>Итоговая!AR421</f>
        <v>закрыт</v>
      </c>
      <c r="L419" s="907">
        <f>Итоговая!AS421</f>
        <v>152.70062111801241</v>
      </c>
      <c r="M419" s="907"/>
      <c r="N419" s="907"/>
    </row>
    <row r="420" spans="1:14" hidden="1" x14ac:dyDescent="0.25">
      <c r="A420" s="2419">
        <f>Итоговая!Y422</f>
        <v>0</v>
      </c>
      <c r="B420" s="2440"/>
      <c r="C420" s="245" t="str">
        <f>Итоговая!AA422</f>
        <v xml:space="preserve">Ном. Мощность СН, МВА </v>
      </c>
      <c r="D420" s="230">
        <f>Итоговая!AB422</f>
        <v>40</v>
      </c>
      <c r="E420" s="229" t="str">
        <f>Итоговая!AC422</f>
        <v>+</v>
      </c>
      <c r="F420" s="229">
        <f>Итоговая!AD422</f>
        <v>25</v>
      </c>
      <c r="G420" s="229">
        <f>Итоговая!AE422</f>
        <v>0</v>
      </c>
      <c r="H420" s="229">
        <f>Итоговая!AF422</f>
        <v>0</v>
      </c>
      <c r="I420" s="2432">
        <f>Итоговая!AP422</f>
        <v>0</v>
      </c>
      <c r="J420" s="2432">
        <f>Итоговая!AQ422</f>
        <v>0</v>
      </c>
      <c r="K420" s="907" t="str">
        <f>Итоговая!AR422</f>
        <v>открыт</v>
      </c>
      <c r="L420" s="907">
        <f>Итоговая!AS422</f>
        <v>0</v>
      </c>
      <c r="M420" s="907"/>
      <c r="N420" s="907"/>
    </row>
    <row r="421" spans="1:14" hidden="1" x14ac:dyDescent="0.25">
      <c r="A421" s="2419">
        <f>Итоговая!Y423</f>
        <v>0</v>
      </c>
      <c r="B421" s="2441"/>
      <c r="C421" s="245" t="str">
        <f>Итоговая!AA423</f>
        <v>Ном. мощность НН, МВА</v>
      </c>
      <c r="D421" s="230">
        <f>Итоговая!AB423</f>
        <v>40</v>
      </c>
      <c r="E421" s="229" t="str">
        <f>Итоговая!AC423</f>
        <v>+</v>
      </c>
      <c r="F421" s="229">
        <f>Итоговая!AD423</f>
        <v>25</v>
      </c>
      <c r="G421" s="229">
        <f>Итоговая!AE423</f>
        <v>0</v>
      </c>
      <c r="H421" s="229">
        <f>Итоговая!AF423</f>
        <v>0</v>
      </c>
      <c r="I421" s="2433">
        <f>Итоговая!AP423</f>
        <v>0</v>
      </c>
      <c r="J421" s="2433">
        <f>Итоговая!AQ423</f>
        <v>0</v>
      </c>
      <c r="K421" s="907" t="str">
        <f>Итоговая!AR423</f>
        <v>открыт</v>
      </c>
      <c r="L421" s="907">
        <f>Итоговая!AS423</f>
        <v>0</v>
      </c>
      <c r="M421" s="907"/>
      <c r="N421" s="907"/>
    </row>
    <row r="422" spans="1:14" hidden="1" x14ac:dyDescent="0.25">
      <c r="A422" s="2419">
        <f>Итоговая!Y424</f>
        <v>312</v>
      </c>
      <c r="B422" s="2423">
        <f>COUNTIFS($C$8:C422,"*ПС*",$J$8:J422,"*закрыт*")</f>
        <v>81</v>
      </c>
      <c r="C422" s="245" t="str">
        <f>Итоговая!AA424</f>
        <v xml:space="preserve">ПС 110/35/10 кВ Селижарово  </v>
      </c>
      <c r="D422" s="230">
        <f>Итоговая!AB424</f>
        <v>16</v>
      </c>
      <c r="E422" s="229" t="str">
        <f>Итоговая!AC424</f>
        <v>+</v>
      </c>
      <c r="F422" s="229">
        <f>Итоговая!AD424</f>
        <v>10</v>
      </c>
      <c r="G422" s="229">
        <f>Итоговая!AE424</f>
        <v>0</v>
      </c>
      <c r="H422" s="229">
        <f>Итоговая!AF424</f>
        <v>0</v>
      </c>
      <c r="I422" s="2431">
        <f>Итоговая!AP424</f>
        <v>3.96</v>
      </c>
      <c r="J422" s="2431" t="str">
        <f>Итоговая!AQ424</f>
        <v>открыт</v>
      </c>
      <c r="K422" s="907" t="str">
        <f>Итоговая!AR424</f>
        <v>открыт</v>
      </c>
      <c r="L422" s="907">
        <f>Итоговая!AS424</f>
        <v>62.285714285714285</v>
      </c>
      <c r="M422" s="907"/>
      <c r="N422" s="907"/>
    </row>
    <row r="423" spans="1:14" hidden="1" x14ac:dyDescent="0.25">
      <c r="A423" s="2419">
        <f>Итоговая!Y425</f>
        <v>0</v>
      </c>
      <c r="B423" s="2440"/>
      <c r="C423" s="245" t="str">
        <f>Итоговая!AA425</f>
        <v xml:space="preserve">Ном. Мощность СН, МВА </v>
      </c>
      <c r="D423" s="230">
        <f>Итоговая!AB425</f>
        <v>16</v>
      </c>
      <c r="E423" s="229" t="str">
        <f>Итоговая!AC425</f>
        <v>+</v>
      </c>
      <c r="F423" s="229">
        <f>Итоговая!AD425</f>
        <v>10</v>
      </c>
      <c r="G423" s="229">
        <f>Итоговая!AE425</f>
        <v>0</v>
      </c>
      <c r="H423" s="229">
        <f>Итоговая!AF425</f>
        <v>0</v>
      </c>
      <c r="I423" s="2432">
        <f>Итоговая!AP425</f>
        <v>0</v>
      </c>
      <c r="J423" s="2432" t="str">
        <f>Итоговая!AQ425</f>
        <v>открыт</v>
      </c>
      <c r="K423" s="907" t="str">
        <f>Итоговая!AR425</f>
        <v>открыт</v>
      </c>
      <c r="L423" s="907">
        <f>Итоговая!AS425</f>
        <v>0</v>
      </c>
      <c r="M423" s="907"/>
      <c r="N423" s="907"/>
    </row>
    <row r="424" spans="1:14" hidden="1" x14ac:dyDescent="0.25">
      <c r="A424" s="2419">
        <f>Итоговая!Y426</f>
        <v>0</v>
      </c>
      <c r="B424" s="2441"/>
      <c r="C424" s="245" t="str">
        <f>Итоговая!AA426</f>
        <v>Ном. мощность НН, МВА</v>
      </c>
      <c r="D424" s="230">
        <f>Итоговая!AB426</f>
        <v>16</v>
      </c>
      <c r="E424" s="229" t="str">
        <f>Итоговая!AC426</f>
        <v>+</v>
      </c>
      <c r="F424" s="229">
        <f>Итоговая!AD426</f>
        <v>10</v>
      </c>
      <c r="G424" s="229">
        <f>Итоговая!AE426</f>
        <v>0</v>
      </c>
      <c r="H424" s="229">
        <f>Итоговая!AF426</f>
        <v>0</v>
      </c>
      <c r="I424" s="2433">
        <f>Итоговая!AP426</f>
        <v>0</v>
      </c>
      <c r="J424" s="2433" t="str">
        <f>Итоговая!AQ426</f>
        <v>открыт</v>
      </c>
      <c r="K424" s="907" t="str">
        <f>Итоговая!AR426</f>
        <v>открыт</v>
      </c>
      <c r="L424" s="907">
        <f>Итоговая!AS426</f>
        <v>0</v>
      </c>
      <c r="M424" s="907"/>
      <c r="N424" s="907"/>
    </row>
    <row r="425" spans="1:14" hidden="1" x14ac:dyDescent="0.25">
      <c r="A425" s="2419">
        <f>Итоговая!Y427</f>
        <v>313</v>
      </c>
      <c r="B425" s="2423">
        <f>COUNTIFS($C$8:C425,"*ПС*",$J$8:J425,"*закрыт*")</f>
        <v>81</v>
      </c>
      <c r="C425" s="245" t="str">
        <f>Итоговая!AA427</f>
        <v xml:space="preserve">ПС 110/35/10 кВ НПС Борисово </v>
      </c>
      <c r="D425" s="230">
        <f>Итоговая!AB427</f>
        <v>25</v>
      </c>
      <c r="E425" s="229" t="str">
        <f>Итоговая!AC427</f>
        <v>+</v>
      </c>
      <c r="F425" s="229">
        <f>Итоговая!AD427</f>
        <v>25</v>
      </c>
      <c r="G425" s="229">
        <f>Итоговая!AE427</f>
        <v>0</v>
      </c>
      <c r="H425" s="229">
        <f>Итоговая!AF427</f>
        <v>0</v>
      </c>
      <c r="I425" s="2431">
        <f>Итоговая!AP427</f>
        <v>25.65</v>
      </c>
      <c r="J425" s="2431" t="str">
        <f>Итоговая!AQ427</f>
        <v>открыт</v>
      </c>
      <c r="K425" s="907" t="str">
        <f>Итоговая!AR427</f>
        <v>открыт</v>
      </c>
      <c r="L425" s="907">
        <f>Итоговая!AS427</f>
        <v>3.7714285714285714</v>
      </c>
      <c r="M425" s="907"/>
      <c r="N425" s="907"/>
    </row>
    <row r="426" spans="1:14" hidden="1" x14ac:dyDescent="0.25">
      <c r="A426" s="2419">
        <f>Итоговая!Y428</f>
        <v>0</v>
      </c>
      <c r="B426" s="2440"/>
      <c r="C426" s="245" t="str">
        <f>Итоговая!AA428</f>
        <v xml:space="preserve">Ном. Мощность СН, МВА </v>
      </c>
      <c r="D426" s="230">
        <f>Итоговая!AB428</f>
        <v>25</v>
      </c>
      <c r="E426" s="229" t="str">
        <f>Итоговая!AC428</f>
        <v>+</v>
      </c>
      <c r="F426" s="229">
        <f>Итоговая!AD428</f>
        <v>25</v>
      </c>
      <c r="G426" s="229">
        <f>Итоговая!AE428</f>
        <v>0</v>
      </c>
      <c r="H426" s="229">
        <f>Итоговая!AF428</f>
        <v>0</v>
      </c>
      <c r="I426" s="2432">
        <f>Итоговая!AP428</f>
        <v>0</v>
      </c>
      <c r="J426" s="2432" t="str">
        <f>Итоговая!AQ428</f>
        <v>открыт</v>
      </c>
      <c r="K426" s="907" t="str">
        <f>Итоговая!AR428</f>
        <v>открыт</v>
      </c>
      <c r="L426" s="907">
        <f>Итоговая!AS428</f>
        <v>0</v>
      </c>
      <c r="M426" s="907"/>
      <c r="N426" s="907"/>
    </row>
    <row r="427" spans="1:14" hidden="1" x14ac:dyDescent="0.25">
      <c r="A427" s="2419">
        <f>Итоговая!Y429</f>
        <v>0</v>
      </c>
      <c r="B427" s="2441"/>
      <c r="C427" s="245" t="str">
        <f>Итоговая!AA429</f>
        <v>Ном. мощность НН, МВА</v>
      </c>
      <c r="D427" s="230">
        <f>Итоговая!AB429</f>
        <v>25</v>
      </c>
      <c r="E427" s="229" t="str">
        <f>Итоговая!AC429</f>
        <v>+</v>
      </c>
      <c r="F427" s="229">
        <f>Итоговая!AD429</f>
        <v>25</v>
      </c>
      <c r="G427" s="229">
        <f>Итоговая!AE429</f>
        <v>0</v>
      </c>
      <c r="H427" s="229">
        <f>Итоговая!AF429</f>
        <v>0</v>
      </c>
      <c r="I427" s="2433">
        <f>Итоговая!AP429</f>
        <v>0</v>
      </c>
      <c r="J427" s="2433" t="str">
        <f>Итоговая!AQ429</f>
        <v>открыт</v>
      </c>
      <c r="K427" s="907" t="str">
        <f>Итоговая!AR429</f>
        <v>открыт</v>
      </c>
      <c r="L427" s="907">
        <f>Итоговая!AS429</f>
        <v>0</v>
      </c>
      <c r="M427" s="907"/>
      <c r="N427" s="907"/>
    </row>
    <row r="428" spans="1:14" ht="20.100000000000001" hidden="1" customHeight="1" x14ac:dyDescent="0.25">
      <c r="A428" s="2419">
        <f>Итоговая!Y430</f>
        <v>314</v>
      </c>
      <c r="B428" s="2423">
        <f>COUNTIFS($C$8:C428,"*ПС*",$J$8:J428,"*закрыт*")</f>
        <v>81</v>
      </c>
      <c r="C428" s="245" t="str">
        <f>Итоговая!AA430</f>
        <v xml:space="preserve">ПС 110/35/10 кВ Осташков  </v>
      </c>
      <c r="D428" s="230">
        <f>Итоговая!AB430</f>
        <v>25</v>
      </c>
      <c r="E428" s="229" t="str">
        <f>Итоговая!AC430</f>
        <v>+</v>
      </c>
      <c r="F428" s="229">
        <f>Итоговая!AD430</f>
        <v>25</v>
      </c>
      <c r="G428" s="229">
        <f>Итоговая!AE430</f>
        <v>0</v>
      </c>
      <c r="H428" s="229">
        <f>Итоговая!AF430</f>
        <v>0</v>
      </c>
      <c r="I428" s="2431">
        <f>Итоговая!AP430</f>
        <v>11.224510869565217</v>
      </c>
      <c r="J428" s="2431" t="str">
        <f>Итоговая!AQ430</f>
        <v>открыт</v>
      </c>
      <c r="K428" s="907" t="str">
        <f>Итоговая!AR430</f>
        <v>открыт</v>
      </c>
      <c r="L428" s="907">
        <f>Итоговая!AS430</f>
        <v>57.239958592132503</v>
      </c>
      <c r="M428" s="907"/>
      <c r="N428" s="907"/>
    </row>
    <row r="429" spans="1:14" ht="20.100000000000001" hidden="1" customHeight="1" x14ac:dyDescent="0.25">
      <c r="A429" s="2419">
        <f>Итоговая!Y431</f>
        <v>0</v>
      </c>
      <c r="B429" s="2440"/>
      <c r="C429" s="245" t="str">
        <f>Итоговая!AA431</f>
        <v xml:space="preserve">Ном. Мощность СН, МВА </v>
      </c>
      <c r="D429" s="230">
        <f>Итоговая!AB431</f>
        <v>25</v>
      </c>
      <c r="E429" s="229" t="str">
        <f>Итоговая!AC431</f>
        <v>+</v>
      </c>
      <c r="F429" s="229">
        <f>Итоговая!AD431</f>
        <v>25</v>
      </c>
      <c r="G429" s="229">
        <f>Итоговая!AE431</f>
        <v>0</v>
      </c>
      <c r="H429" s="229">
        <f>Итоговая!AF431</f>
        <v>0</v>
      </c>
      <c r="I429" s="2432">
        <f>Итоговая!AP431</f>
        <v>0</v>
      </c>
      <c r="J429" s="2432" t="str">
        <f>Итоговая!AQ431</f>
        <v>открыт</v>
      </c>
      <c r="K429" s="907" t="str">
        <f>Итоговая!AR431</f>
        <v>открыт</v>
      </c>
      <c r="L429" s="907">
        <f>Итоговая!AS431</f>
        <v>0</v>
      </c>
      <c r="M429" s="907"/>
      <c r="N429" s="907"/>
    </row>
    <row r="430" spans="1:14" ht="20.100000000000001" hidden="1" customHeight="1" x14ac:dyDescent="0.25">
      <c r="A430" s="2419">
        <f>Итоговая!Y432</f>
        <v>0</v>
      </c>
      <c r="B430" s="2441"/>
      <c r="C430" s="245" t="str">
        <f>Итоговая!AA432</f>
        <v>Ном. мощность НН, МВА</v>
      </c>
      <c r="D430" s="230">
        <f>Итоговая!AB432</f>
        <v>25</v>
      </c>
      <c r="E430" s="229" t="str">
        <f>Итоговая!AC432</f>
        <v>+</v>
      </c>
      <c r="F430" s="229">
        <f>Итоговая!AD432</f>
        <v>25</v>
      </c>
      <c r="G430" s="229">
        <f>Итоговая!AE432</f>
        <v>0</v>
      </c>
      <c r="H430" s="229">
        <f>Итоговая!AF432</f>
        <v>0</v>
      </c>
      <c r="I430" s="2433">
        <f>Итоговая!AP432</f>
        <v>0</v>
      </c>
      <c r="J430" s="2433" t="str">
        <f>Итоговая!AQ432</f>
        <v>открыт</v>
      </c>
      <c r="K430" s="907" t="str">
        <f>Итоговая!AR432</f>
        <v>открыт</v>
      </c>
      <c r="L430" s="907">
        <f>Итоговая!AS432</f>
        <v>0</v>
      </c>
      <c r="M430" s="907"/>
      <c r="N430" s="907"/>
    </row>
    <row r="431" spans="1:14" hidden="1" x14ac:dyDescent="0.25">
      <c r="A431" s="2419">
        <f>Итоговая!Y433</f>
        <v>315</v>
      </c>
      <c r="B431" s="2423">
        <f>COUNTIFS($C$8:C431,"*ПС*",$J$8:J431,"*закрыт*")</f>
        <v>81</v>
      </c>
      <c r="C431" s="245" t="str">
        <f>Итоговая!AA433</f>
        <v xml:space="preserve">ПС  110/35/10 кВ Н. Рожок </v>
      </c>
      <c r="D431" s="230">
        <f>Итоговая!AB433</f>
        <v>10</v>
      </c>
      <c r="E431" s="229" t="str">
        <f>Итоговая!AC433</f>
        <v>+</v>
      </c>
      <c r="F431" s="229">
        <f>Итоговая!AD433</f>
        <v>10</v>
      </c>
      <c r="G431" s="229">
        <f>Итоговая!AE433</f>
        <v>0</v>
      </c>
      <c r="H431" s="228">
        <f>Итоговая!AF433</f>
        <v>0</v>
      </c>
      <c r="I431" s="2431">
        <f>Итоговая!AP433</f>
        <v>3.6318478260869567</v>
      </c>
      <c r="J431" s="2431" t="str">
        <f>Итоговая!AQ433</f>
        <v>открыт</v>
      </c>
      <c r="K431" s="907" t="str">
        <f>Итоговая!AR433</f>
        <v>открыт</v>
      </c>
      <c r="L431" s="907">
        <f>Итоговая!AS433</f>
        <v>65.410973084886137</v>
      </c>
      <c r="M431" s="907"/>
      <c r="N431" s="907"/>
    </row>
    <row r="432" spans="1:14" hidden="1" x14ac:dyDescent="0.25">
      <c r="A432" s="2419">
        <f>Итоговая!Y434</f>
        <v>0</v>
      </c>
      <c r="B432" s="2440"/>
      <c r="C432" s="245" t="str">
        <f>Итоговая!AA434</f>
        <v xml:space="preserve">Ном. Мощность СН, МВА </v>
      </c>
      <c r="D432" s="230">
        <f>Итоговая!AB434</f>
        <v>10</v>
      </c>
      <c r="E432" s="229" t="str">
        <f>Итоговая!AC434</f>
        <v>+</v>
      </c>
      <c r="F432" s="229">
        <f>Итоговая!AD434</f>
        <v>10</v>
      </c>
      <c r="G432" s="229">
        <f>Итоговая!AE434</f>
        <v>0</v>
      </c>
      <c r="H432" s="228">
        <f>Итоговая!AF434</f>
        <v>0</v>
      </c>
      <c r="I432" s="2432">
        <f>Итоговая!AP434</f>
        <v>0</v>
      </c>
      <c r="J432" s="2432">
        <f>Итоговая!AQ434</f>
        <v>0</v>
      </c>
      <c r="K432" s="907" t="str">
        <f>Итоговая!AR434</f>
        <v>открыт</v>
      </c>
      <c r="L432" s="907">
        <f>Итоговая!AS434</f>
        <v>0</v>
      </c>
      <c r="M432" s="907"/>
      <c r="N432" s="907"/>
    </row>
    <row r="433" spans="1:14" hidden="1" x14ac:dyDescent="0.25">
      <c r="A433" s="2419">
        <f>Итоговая!Y435</f>
        <v>0</v>
      </c>
      <c r="B433" s="2441"/>
      <c r="C433" s="245" t="str">
        <f>Итоговая!AA435</f>
        <v>Ном. мощность НН, МВА</v>
      </c>
      <c r="D433" s="230">
        <f>Итоговая!AB435</f>
        <v>10</v>
      </c>
      <c r="E433" s="229" t="str">
        <f>Итоговая!AC435</f>
        <v>+</v>
      </c>
      <c r="F433" s="229">
        <f>Итоговая!AD435</f>
        <v>10</v>
      </c>
      <c r="G433" s="229">
        <f>Итоговая!AE435</f>
        <v>0</v>
      </c>
      <c r="H433" s="228">
        <f>Итоговая!AF435</f>
        <v>0</v>
      </c>
      <c r="I433" s="2433">
        <f>Итоговая!AP435</f>
        <v>0</v>
      </c>
      <c r="J433" s="2433">
        <f>Итоговая!AQ435</f>
        <v>0</v>
      </c>
      <c r="K433" s="907" t="str">
        <f>Итоговая!AR435</f>
        <v>открыт</v>
      </c>
      <c r="L433" s="907">
        <f>Итоговая!AS435</f>
        <v>0</v>
      </c>
      <c r="M433" s="907"/>
      <c r="N433" s="907"/>
    </row>
    <row r="434" spans="1:14" ht="15.75" x14ac:dyDescent="0.25">
      <c r="A434" s="908"/>
      <c r="B434" s="2525" t="s">
        <v>772</v>
      </c>
      <c r="C434" s="2526"/>
      <c r="D434" s="2526"/>
      <c r="E434" s="2526"/>
      <c r="F434" s="2526"/>
      <c r="G434" s="2526"/>
      <c r="H434" s="2494"/>
      <c r="I434" s="910">
        <f>SUMIFS(I8:I433,C8:C433,"*ПС*",K8:K433,"*закрыт*")</f>
        <v>-109.55329010041854</v>
      </c>
      <c r="J434" s="2039"/>
      <c r="K434" s="909" t="s">
        <v>3333</v>
      </c>
      <c r="L434" s="908"/>
      <c r="M434" s="908"/>
      <c r="N434" s="908"/>
    </row>
    <row r="435" spans="1:14" x14ac:dyDescent="0.25">
      <c r="A435" s="908"/>
      <c r="B435" s="1520"/>
      <c r="C435" s="908"/>
      <c r="D435" s="908"/>
      <c r="E435" s="908"/>
      <c r="F435" s="908"/>
      <c r="G435" s="908"/>
      <c r="H435" s="908"/>
      <c r="I435" s="908"/>
      <c r="J435" s="908"/>
      <c r="K435" s="908"/>
      <c r="L435" s="908"/>
      <c r="M435" s="908"/>
      <c r="N435" s="908"/>
    </row>
    <row r="436" spans="1:14" x14ac:dyDescent="0.25">
      <c r="A436" s="908"/>
      <c r="B436" s="1520"/>
      <c r="C436" s="908"/>
      <c r="D436" s="908"/>
      <c r="E436" s="908"/>
      <c r="F436" s="908"/>
      <c r="G436" s="908"/>
      <c r="H436" s="908"/>
      <c r="I436" s="908"/>
      <c r="J436" s="908"/>
      <c r="K436" s="908"/>
      <c r="L436" s="908"/>
      <c r="M436" s="908"/>
      <c r="N436" s="908"/>
    </row>
    <row r="437" spans="1:14" x14ac:dyDescent="0.25">
      <c r="A437" s="908"/>
      <c r="B437" s="1520"/>
      <c r="C437" s="908"/>
      <c r="D437" s="908"/>
      <c r="E437" s="908"/>
      <c r="F437" s="908"/>
      <c r="G437" s="908"/>
      <c r="H437" s="908"/>
      <c r="I437" s="908"/>
      <c r="J437" s="908"/>
      <c r="K437" s="908"/>
      <c r="L437" s="908"/>
    </row>
    <row r="438" spans="1:14" x14ac:dyDescent="0.25">
      <c r="A438" s="908"/>
      <c r="B438" s="1520"/>
      <c r="C438" s="908"/>
      <c r="D438" s="908"/>
      <c r="E438" s="908"/>
      <c r="F438" s="908"/>
      <c r="G438" s="908"/>
      <c r="H438" s="908"/>
      <c r="I438" s="908"/>
      <c r="J438" s="908"/>
      <c r="K438" s="908"/>
      <c r="L438" s="908"/>
      <c r="M438" s="908"/>
      <c r="N438" s="908"/>
    </row>
    <row r="439" spans="1:14" x14ac:dyDescent="0.25">
      <c r="A439" s="908"/>
      <c r="B439" s="1520"/>
      <c r="C439" s="908"/>
      <c r="D439" s="908"/>
      <c r="E439" s="908"/>
      <c r="F439" s="908"/>
      <c r="G439" s="908"/>
      <c r="H439" s="908"/>
      <c r="I439" s="908"/>
      <c r="J439" s="908"/>
      <c r="K439" s="908"/>
      <c r="L439" s="908"/>
      <c r="M439" s="908"/>
      <c r="N439" s="908"/>
    </row>
    <row r="440" spans="1:14" x14ac:dyDescent="0.25">
      <c r="A440" s="908"/>
      <c r="B440" s="1520"/>
      <c r="C440" s="908"/>
      <c r="D440" s="908"/>
      <c r="E440" s="908"/>
      <c r="F440" s="908"/>
      <c r="G440" s="908"/>
      <c r="H440" s="908"/>
      <c r="I440" s="908"/>
      <c r="J440" s="908"/>
      <c r="K440" s="908"/>
      <c r="L440" s="908"/>
      <c r="M440" s="908"/>
      <c r="N440" s="908"/>
    </row>
    <row r="441" spans="1:14" x14ac:dyDescent="0.25">
      <c r="A441" s="908"/>
      <c r="B441" s="1520"/>
      <c r="C441" s="908"/>
      <c r="D441" s="908"/>
      <c r="E441" s="908"/>
      <c r="F441" s="908"/>
      <c r="G441" s="908"/>
      <c r="H441" s="908"/>
      <c r="I441" s="908"/>
      <c r="J441" s="908"/>
      <c r="K441" s="908"/>
      <c r="L441" s="908"/>
      <c r="M441" s="908"/>
      <c r="N441" s="908"/>
    </row>
    <row r="442" spans="1:14" x14ac:dyDescent="0.25">
      <c r="A442" s="908"/>
      <c r="B442" s="1520"/>
      <c r="C442" s="908"/>
      <c r="D442" s="908"/>
      <c r="E442" s="908"/>
      <c r="F442" s="908"/>
      <c r="G442" s="908"/>
      <c r="H442" s="908"/>
      <c r="I442" s="908"/>
      <c r="J442" s="908"/>
      <c r="K442" s="908"/>
      <c r="L442" s="908"/>
      <c r="M442" s="908"/>
      <c r="N442" s="908"/>
    </row>
    <row r="443" spans="1:14" x14ac:dyDescent="0.25">
      <c r="A443" s="908"/>
      <c r="B443" s="1520"/>
      <c r="C443" s="908"/>
      <c r="D443" s="908"/>
      <c r="E443" s="908"/>
      <c r="F443" s="908"/>
      <c r="G443" s="908"/>
      <c r="H443" s="908"/>
      <c r="I443" s="908"/>
      <c r="J443" s="908"/>
      <c r="K443" s="908"/>
      <c r="L443" s="908"/>
      <c r="M443" s="908"/>
      <c r="N443" s="908"/>
    </row>
    <row r="444" spans="1:14" x14ac:dyDescent="0.25">
      <c r="A444" s="908"/>
      <c r="B444" s="1520"/>
      <c r="C444" s="908"/>
      <c r="D444" s="908"/>
      <c r="E444" s="908"/>
      <c r="F444" s="908"/>
      <c r="G444" s="908"/>
      <c r="H444" s="908"/>
      <c r="I444" s="908"/>
      <c r="J444" s="908"/>
      <c r="K444" s="908"/>
      <c r="L444" s="908"/>
      <c r="M444" s="908"/>
      <c r="N444" s="908"/>
    </row>
    <row r="445" spans="1:14" x14ac:dyDescent="0.25">
      <c r="A445" s="908"/>
      <c r="B445" s="1520"/>
      <c r="C445" s="908"/>
      <c r="D445" s="908"/>
      <c r="E445" s="908"/>
      <c r="F445" s="908"/>
      <c r="G445" s="908"/>
      <c r="H445" s="908"/>
      <c r="I445" s="908"/>
      <c r="J445" s="908"/>
      <c r="K445" s="908"/>
      <c r="L445" s="908"/>
      <c r="M445" s="908"/>
      <c r="N445" s="908"/>
    </row>
    <row r="446" spans="1:14" x14ac:dyDescent="0.25">
      <c r="A446" s="908"/>
      <c r="B446" s="1520"/>
      <c r="C446" s="908"/>
      <c r="D446" s="908"/>
      <c r="E446" s="908"/>
      <c r="F446" s="908"/>
      <c r="G446" s="908"/>
      <c r="H446" s="908"/>
      <c r="I446" s="908"/>
      <c r="J446" s="908"/>
      <c r="K446" s="908"/>
      <c r="L446" s="908"/>
      <c r="M446" s="908"/>
      <c r="N446" s="908"/>
    </row>
    <row r="447" spans="1:14" x14ac:dyDescent="0.25">
      <c r="A447" s="908"/>
      <c r="B447" s="1520"/>
      <c r="C447" s="908"/>
      <c r="D447" s="908"/>
      <c r="E447" s="908"/>
      <c r="F447" s="908"/>
      <c r="G447" s="908"/>
      <c r="H447" s="908"/>
      <c r="I447" s="908"/>
      <c r="J447" s="908"/>
      <c r="K447" s="908"/>
      <c r="L447" s="908"/>
      <c r="M447" s="908"/>
      <c r="N447" s="908"/>
    </row>
    <row r="448" spans="1:14" x14ac:dyDescent="0.25">
      <c r="A448" s="908"/>
      <c r="B448" s="1520"/>
      <c r="C448" s="908"/>
      <c r="D448" s="908"/>
      <c r="E448" s="908"/>
      <c r="F448" s="908"/>
      <c r="G448" s="908"/>
      <c r="H448" s="908"/>
      <c r="I448" s="908"/>
      <c r="J448" s="908"/>
      <c r="K448" s="908"/>
      <c r="L448" s="908"/>
      <c r="M448" s="908"/>
      <c r="N448" s="908"/>
    </row>
    <row r="449" spans="1:14" x14ac:dyDescent="0.25">
      <c r="A449" s="908"/>
      <c r="B449" s="1520"/>
      <c r="C449" s="908"/>
      <c r="D449" s="908"/>
      <c r="E449" s="908"/>
      <c r="F449" s="908"/>
      <c r="G449" s="908"/>
      <c r="H449" s="908"/>
      <c r="I449" s="908"/>
      <c r="J449" s="908"/>
      <c r="K449" s="908"/>
      <c r="L449" s="908"/>
      <c r="M449" s="908"/>
      <c r="N449" s="908"/>
    </row>
    <row r="450" spans="1:14" x14ac:dyDescent="0.25">
      <c r="A450" s="908"/>
      <c r="B450" s="1520"/>
      <c r="C450" s="908"/>
      <c r="D450" s="908"/>
      <c r="E450" s="908"/>
      <c r="F450" s="908"/>
      <c r="G450" s="908"/>
      <c r="H450" s="908"/>
      <c r="I450" s="908"/>
      <c r="J450" s="908"/>
      <c r="K450" s="908"/>
      <c r="L450" s="908"/>
      <c r="M450" s="908"/>
      <c r="N450" s="908"/>
    </row>
  </sheetData>
  <autoFilter ref="A7:L434">
    <filterColumn colId="3" showButton="0"/>
    <filterColumn colId="4" showButton="0"/>
    <filterColumn colId="5" showButton="0"/>
    <filterColumn colId="6" showButton="0"/>
    <filterColumn colId="10">
      <filters>
        <filter val="закрыт"/>
      </filters>
    </filterColumn>
  </autoFilter>
  <mergeCells count="232">
    <mergeCell ref="D7:H7"/>
    <mergeCell ref="B45:B47"/>
    <mergeCell ref="I39:I41"/>
    <mergeCell ref="B39:B41"/>
    <mergeCell ref="B42:B44"/>
    <mergeCell ref="L4:L6"/>
    <mergeCell ref="A4:A6"/>
    <mergeCell ref="C4:C6"/>
    <mergeCell ref="J4:J6"/>
    <mergeCell ref="D5:H6"/>
    <mergeCell ref="I5:I6"/>
    <mergeCell ref="D4:I4"/>
    <mergeCell ref="K4:K6"/>
    <mergeCell ref="B4:B6"/>
    <mergeCell ref="A66:A68"/>
    <mergeCell ref="A63:A65"/>
    <mergeCell ref="I63:I65"/>
    <mergeCell ref="J66:J68"/>
    <mergeCell ref="A60:A62"/>
    <mergeCell ref="I60:I62"/>
    <mergeCell ref="A42:A44"/>
    <mergeCell ref="I42:I44"/>
    <mergeCell ref="A39:A41"/>
    <mergeCell ref="B48:B50"/>
    <mergeCell ref="B60:B62"/>
    <mergeCell ref="B63:B65"/>
    <mergeCell ref="B66:B68"/>
    <mergeCell ref="J63:J65"/>
    <mergeCell ref="A75:A77"/>
    <mergeCell ref="I75:I77"/>
    <mergeCell ref="J72:J74"/>
    <mergeCell ref="J75:J77"/>
    <mergeCell ref="A72:A74"/>
    <mergeCell ref="I72:I74"/>
    <mergeCell ref="B72:B74"/>
    <mergeCell ref="A69:A71"/>
    <mergeCell ref="I69:I71"/>
    <mergeCell ref="B69:B71"/>
    <mergeCell ref="J69:J71"/>
    <mergeCell ref="B75:B77"/>
    <mergeCell ref="A138:A140"/>
    <mergeCell ref="I138:I140"/>
    <mergeCell ref="J135:J137"/>
    <mergeCell ref="J138:J140"/>
    <mergeCell ref="I129:I131"/>
    <mergeCell ref="A135:A137"/>
    <mergeCell ref="I135:I137"/>
    <mergeCell ref="J129:J131"/>
    <mergeCell ref="J132:J134"/>
    <mergeCell ref="A132:A134"/>
    <mergeCell ref="I132:I134"/>
    <mergeCell ref="A129:A131"/>
    <mergeCell ref="B129:B131"/>
    <mergeCell ref="B132:B134"/>
    <mergeCell ref="B135:B137"/>
    <mergeCell ref="B138:B140"/>
    <mergeCell ref="A150:A152"/>
    <mergeCell ref="I150:I152"/>
    <mergeCell ref="J147:J149"/>
    <mergeCell ref="J150:J152"/>
    <mergeCell ref="I141:I143"/>
    <mergeCell ref="A147:A149"/>
    <mergeCell ref="I147:I149"/>
    <mergeCell ref="J141:J143"/>
    <mergeCell ref="J144:J146"/>
    <mergeCell ref="A144:A146"/>
    <mergeCell ref="A141:A143"/>
    <mergeCell ref="B141:B143"/>
    <mergeCell ref="B144:B146"/>
    <mergeCell ref="B147:B149"/>
    <mergeCell ref="B150:B152"/>
    <mergeCell ref="A188:A190"/>
    <mergeCell ref="I188:I190"/>
    <mergeCell ref="I191:I193"/>
    <mergeCell ref="J185:J187"/>
    <mergeCell ref="J188:J190"/>
    <mergeCell ref="I153:I155"/>
    <mergeCell ref="A185:A187"/>
    <mergeCell ref="I185:I187"/>
    <mergeCell ref="J153:J155"/>
    <mergeCell ref="J182:J184"/>
    <mergeCell ref="A182:A184"/>
    <mergeCell ref="I182:I184"/>
    <mergeCell ref="A153:A155"/>
    <mergeCell ref="B153:B155"/>
    <mergeCell ref="B182:B184"/>
    <mergeCell ref="B185:B187"/>
    <mergeCell ref="B188:B190"/>
    <mergeCell ref="B191:B193"/>
    <mergeCell ref="J197:J199"/>
    <mergeCell ref="J200:J202"/>
    <mergeCell ref="A197:A199"/>
    <mergeCell ref="I197:I199"/>
    <mergeCell ref="I267:I269"/>
    <mergeCell ref="J191:J193"/>
    <mergeCell ref="J194:J196"/>
    <mergeCell ref="A194:A196"/>
    <mergeCell ref="I194:I196"/>
    <mergeCell ref="A191:A193"/>
    <mergeCell ref="B231:B233"/>
    <mergeCell ref="B234:B236"/>
    <mergeCell ref="B237:B239"/>
    <mergeCell ref="B240:B242"/>
    <mergeCell ref="B197:B199"/>
    <mergeCell ref="B203:B205"/>
    <mergeCell ref="B258:B260"/>
    <mergeCell ref="B267:B269"/>
    <mergeCell ref="A258:A260"/>
    <mergeCell ref="A231:A233"/>
    <mergeCell ref="A234:A236"/>
    <mergeCell ref="I240:I242"/>
    <mergeCell ref="I258:I260"/>
    <mergeCell ref="J203:J205"/>
    <mergeCell ref="J231:J233"/>
    <mergeCell ref="B270:B272"/>
    <mergeCell ref="A200:A202"/>
    <mergeCell ref="I200:I202"/>
    <mergeCell ref="B434:H434"/>
    <mergeCell ref="A413:A415"/>
    <mergeCell ref="A422:A424"/>
    <mergeCell ref="I422:I424"/>
    <mergeCell ref="A431:A433"/>
    <mergeCell ref="I416:I418"/>
    <mergeCell ref="B419:B421"/>
    <mergeCell ref="I361:I363"/>
    <mergeCell ref="A364:A366"/>
    <mergeCell ref="B361:B363"/>
    <mergeCell ref="A367:A369"/>
    <mergeCell ref="I367:I369"/>
    <mergeCell ref="I364:I366"/>
    <mergeCell ref="A361:A363"/>
    <mergeCell ref="B425:B427"/>
    <mergeCell ref="B428:B430"/>
    <mergeCell ref="B431:B433"/>
    <mergeCell ref="B376:B378"/>
    <mergeCell ref="B379:B381"/>
    <mergeCell ref="B273:B275"/>
    <mergeCell ref="B422:B424"/>
    <mergeCell ref="A428:A430"/>
    <mergeCell ref="A425:A427"/>
    <mergeCell ref="I203:I205"/>
    <mergeCell ref="A237:A239"/>
    <mergeCell ref="A240:A242"/>
    <mergeCell ref="A273:A275"/>
    <mergeCell ref="A203:A205"/>
    <mergeCell ref="I270:I272"/>
    <mergeCell ref="A267:A269"/>
    <mergeCell ref="B276:B278"/>
    <mergeCell ref="B279:B281"/>
    <mergeCell ref="B352:B354"/>
    <mergeCell ref="B358:B360"/>
    <mergeCell ref="B364:B366"/>
    <mergeCell ref="B367:B369"/>
    <mergeCell ref="B370:B372"/>
    <mergeCell ref="B373:B375"/>
    <mergeCell ref="A416:A418"/>
    <mergeCell ref="A279:A281"/>
    <mergeCell ref="A382:A384"/>
    <mergeCell ref="A349:A351"/>
    <mergeCell ref="A1:L3"/>
    <mergeCell ref="A419:A421"/>
    <mergeCell ref="I419:I421"/>
    <mergeCell ref="B194:B196"/>
    <mergeCell ref="B200:B202"/>
    <mergeCell ref="A379:A381"/>
    <mergeCell ref="I379:I381"/>
    <mergeCell ref="A376:A378"/>
    <mergeCell ref="A373:A375"/>
    <mergeCell ref="I373:I375"/>
    <mergeCell ref="A358:A360"/>
    <mergeCell ref="A276:A278"/>
    <mergeCell ref="I358:I360"/>
    <mergeCell ref="B349:B351"/>
    <mergeCell ref="A270:A272"/>
    <mergeCell ref="I273:I275"/>
    <mergeCell ref="J364:J366"/>
    <mergeCell ref="I352:I354"/>
    <mergeCell ref="A355:A357"/>
    <mergeCell ref="J39:J41"/>
    <mergeCell ref="J42:J44"/>
    <mergeCell ref="J45:J47"/>
    <mergeCell ref="J60:J62"/>
    <mergeCell ref="B382:B384"/>
    <mergeCell ref="J361:J363"/>
    <mergeCell ref="J382:J384"/>
    <mergeCell ref="I382:I384"/>
    <mergeCell ref="B355:B357"/>
    <mergeCell ref="J416:J418"/>
    <mergeCell ref="A370:A372"/>
    <mergeCell ref="I370:I372"/>
    <mergeCell ref="A352:A354"/>
    <mergeCell ref="I355:I357"/>
    <mergeCell ref="B413:B415"/>
    <mergeCell ref="B416:B418"/>
    <mergeCell ref="J431:J433"/>
    <mergeCell ref="J367:J369"/>
    <mergeCell ref="J370:J372"/>
    <mergeCell ref="J373:J375"/>
    <mergeCell ref="J376:J378"/>
    <mergeCell ref="J379:J381"/>
    <mergeCell ref="J234:J236"/>
    <mergeCell ref="J237:J239"/>
    <mergeCell ref="J240:J242"/>
    <mergeCell ref="J258:J260"/>
    <mergeCell ref="J267:J269"/>
    <mergeCell ref="J270:J272"/>
    <mergeCell ref="J419:J421"/>
    <mergeCell ref="J422:J424"/>
    <mergeCell ref="J279:J281"/>
    <mergeCell ref="J349:J351"/>
    <mergeCell ref="J352:J354"/>
    <mergeCell ref="J355:J357"/>
    <mergeCell ref="J273:J275"/>
    <mergeCell ref="J276:J278"/>
    <mergeCell ref="J425:J427"/>
    <mergeCell ref="J413:J415"/>
    <mergeCell ref="J428:J430"/>
    <mergeCell ref="J358:J360"/>
    <mergeCell ref="I431:I433"/>
    <mergeCell ref="I425:I427"/>
    <mergeCell ref="I413:I415"/>
    <mergeCell ref="I144:I146"/>
    <mergeCell ref="I66:I68"/>
    <mergeCell ref="I45:I47"/>
    <mergeCell ref="I276:I278"/>
    <mergeCell ref="I279:I281"/>
    <mergeCell ref="I349:I351"/>
    <mergeCell ref="I231:I233"/>
    <mergeCell ref="I234:I236"/>
    <mergeCell ref="I237:I239"/>
    <mergeCell ref="I428:I430"/>
    <mergeCell ref="I376:I378"/>
  </mergeCells>
  <phoneticPr fontId="4" type="noConversion"/>
  <conditionalFormatting sqref="A8:A433">
    <cfRule type="expression" dxfId="40" priority="10" stopIfTrue="1">
      <formula>$AO8="ЦП Закрыт"</formula>
    </cfRule>
  </conditionalFormatting>
  <conditionalFormatting sqref="C8:C433">
    <cfRule type="expression" dxfId="39" priority="9" stopIfTrue="1">
      <formula>$AO8="ЦП Закрыт"</formula>
    </cfRule>
  </conditionalFormatting>
  <conditionalFormatting sqref="J9:J15">
    <cfRule type="expression" dxfId="38" priority="8" stopIfTrue="1">
      <formula>$AO9="ЦП Закрыт"</formula>
    </cfRule>
  </conditionalFormatting>
  <conditionalFormatting sqref="J8:J433">
    <cfRule type="expression" dxfId="37" priority="7" stopIfTrue="1">
      <formula>$AO8="ЦП Закрыт"</formula>
    </cfRule>
  </conditionalFormatting>
  <conditionalFormatting sqref="I9:I15">
    <cfRule type="expression" dxfId="36" priority="6" stopIfTrue="1">
      <formula>$AO9="ЦП Закрыт"</formula>
    </cfRule>
  </conditionalFormatting>
  <conditionalFormatting sqref="I8:I433">
    <cfRule type="expression" dxfId="35" priority="5" stopIfTrue="1">
      <formula>$AO8="ЦП Закрыт"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34" priority="4" stopIfTrue="1">
      <formula>$AO8="ЦП Закрыт"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33" priority="3" stopIfTrue="1">
      <formula>$AO8="ЦП Закрыт"</formula>
    </cfRule>
  </conditionalFormatting>
  <conditionalFormatting sqref="D8:H433">
    <cfRule type="expression" dxfId="32" priority="2" stopIfTrue="1">
      <formula>D8=0</formula>
    </cfRule>
  </conditionalFormatting>
  <conditionalFormatting sqref="B8:B39 B42 B45 B48:B60 B63 B66:B129 B132:B182 B185:B194 B197:B200 B203:B231 B234:B258 B261:B267 B270 B273 B276 B279 B282:B349 B352 B355 B358 B361 B364 B367 B370 B373 B376 B379 B382 B385:B413 B416 B419 B422 B425 B428 B431">
    <cfRule type="expression" dxfId="31" priority="1" stopIfTrue="1">
      <formula>$AO8="ЦП Закрыт"</formula>
    </cfRule>
  </conditionalFormatting>
  <pageMargins left="0.70866141732283472" right="0.70866141732283472" top="0.74803149606299213" bottom="0.74803149606299213" header="0.31496062992125984" footer="0.31496062992125984"/>
  <pageSetup paperSize="9" scale="55" orientation="portrait" r:id="rId1"/>
  <ignoredErrors>
    <ignoredError sqref="C8:J433" unlockedFormula="1"/>
    <ignoredError sqref="B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4"/>
  <sheetViews>
    <sheetView tabSelected="1" workbookViewId="0">
      <selection activeCell="K17" sqref="K17"/>
    </sheetView>
  </sheetViews>
  <sheetFormatPr defaultRowHeight="15" x14ac:dyDescent="0.25"/>
  <cols>
    <col min="1" max="1" width="9.140625" style="2919"/>
    <col min="2" max="2" width="18.7109375" style="2919" customWidth="1"/>
    <col min="3" max="3" width="18.5703125" style="2919" customWidth="1"/>
    <col min="4" max="4" width="9.140625" style="2920" customWidth="1"/>
    <col min="5" max="5" width="12.140625" style="2920" customWidth="1"/>
    <col min="6" max="9" width="9.140625" style="2920"/>
  </cols>
  <sheetData>
    <row r="1" spans="1:9" ht="40.5" customHeight="1" x14ac:dyDescent="0.25">
      <c r="A1" s="2900" t="s">
        <v>20419</v>
      </c>
      <c r="B1" s="2901"/>
      <c r="C1" s="2901"/>
      <c r="D1" s="2901"/>
      <c r="E1" s="2901"/>
      <c r="F1" s="2901"/>
      <c r="G1" s="2901"/>
      <c r="H1" s="2901"/>
      <c r="I1" s="2901"/>
    </row>
    <row r="2" spans="1:9" ht="113.25" customHeight="1" x14ac:dyDescent="0.25">
      <c r="A2" s="2902" t="s">
        <v>774</v>
      </c>
      <c r="B2" s="2903" t="s">
        <v>3656</v>
      </c>
      <c r="C2" s="2903" t="s">
        <v>3657</v>
      </c>
      <c r="D2" s="2904" t="s">
        <v>20420</v>
      </c>
      <c r="E2" s="2905" t="s">
        <v>20421</v>
      </c>
      <c r="F2" s="2905" t="s">
        <v>3646</v>
      </c>
      <c r="G2" s="2905" t="s">
        <v>3647</v>
      </c>
      <c r="H2" s="2905" t="s">
        <v>3648</v>
      </c>
      <c r="I2" s="2904" t="s">
        <v>20422</v>
      </c>
    </row>
    <row r="3" spans="1:9" ht="25.5" x14ac:dyDescent="0.25">
      <c r="A3" s="2902">
        <v>1</v>
      </c>
      <c r="B3" s="2906" t="s">
        <v>20423</v>
      </c>
      <c r="C3" s="2906" t="s">
        <v>20424</v>
      </c>
      <c r="D3" s="2904" t="s">
        <v>20425</v>
      </c>
      <c r="E3" s="2904" t="s">
        <v>20426</v>
      </c>
      <c r="F3" s="2907" t="s">
        <v>20343</v>
      </c>
      <c r="G3" s="2908">
        <v>4.1500000000000004</v>
      </c>
      <c r="H3" s="2908">
        <v>2.4649999999999999</v>
      </c>
      <c r="I3" s="2904">
        <v>2</v>
      </c>
    </row>
    <row r="4" spans="1:9" x14ac:dyDescent="0.25">
      <c r="A4" s="2902">
        <v>2</v>
      </c>
      <c r="B4" s="2909" t="s">
        <v>13386</v>
      </c>
      <c r="C4" s="2909" t="s">
        <v>13386</v>
      </c>
      <c r="D4" s="2904" t="s">
        <v>20427</v>
      </c>
      <c r="E4" s="2904" t="s">
        <v>20428</v>
      </c>
      <c r="F4" s="2905" t="s">
        <v>20406</v>
      </c>
      <c r="G4" s="2908">
        <v>5.4347950000000003</v>
      </c>
      <c r="H4" s="2908">
        <v>1.1802049999999999</v>
      </c>
      <c r="I4" s="2910">
        <v>2</v>
      </c>
    </row>
    <row r="5" spans="1:9" x14ac:dyDescent="0.25">
      <c r="A5" s="2902">
        <v>3</v>
      </c>
      <c r="B5" s="2909" t="s">
        <v>12374</v>
      </c>
      <c r="C5" s="2909" t="s">
        <v>12374</v>
      </c>
      <c r="D5" s="2904" t="s">
        <v>20429</v>
      </c>
      <c r="E5" s="2904" t="s">
        <v>20430</v>
      </c>
      <c r="F5" s="2907" t="s">
        <v>20347</v>
      </c>
      <c r="G5" s="2908">
        <v>1.3156649999999999</v>
      </c>
      <c r="H5" s="2908">
        <v>2.0443350000000002</v>
      </c>
      <c r="I5" s="2910">
        <v>2</v>
      </c>
    </row>
    <row r="6" spans="1:9" x14ac:dyDescent="0.25">
      <c r="A6" s="2902">
        <v>4</v>
      </c>
      <c r="B6" s="2909" t="s">
        <v>12374</v>
      </c>
      <c r="C6" s="2909" t="s">
        <v>12374</v>
      </c>
      <c r="D6" s="2904" t="s">
        <v>20431</v>
      </c>
      <c r="E6" s="2904" t="s">
        <v>20428</v>
      </c>
      <c r="F6" s="2911" t="s">
        <v>20326</v>
      </c>
      <c r="G6" s="2908">
        <v>2.56732</v>
      </c>
      <c r="H6" s="2908">
        <v>1.6326800000000001</v>
      </c>
      <c r="I6" s="2910">
        <v>2</v>
      </c>
    </row>
    <row r="7" spans="1:9" x14ac:dyDescent="0.25">
      <c r="A7" s="2902">
        <v>5</v>
      </c>
      <c r="B7" s="2909" t="s">
        <v>12374</v>
      </c>
      <c r="C7" s="2909" t="s">
        <v>18806</v>
      </c>
      <c r="D7" s="2904" t="s">
        <v>20432</v>
      </c>
      <c r="E7" s="2904" t="s">
        <v>20428</v>
      </c>
      <c r="F7" s="2905" t="s">
        <v>20351</v>
      </c>
      <c r="G7" s="2908">
        <v>0.75203099999999989</v>
      </c>
      <c r="H7" s="2908">
        <v>3.4479690000000005</v>
      </c>
      <c r="I7" s="2910">
        <v>2</v>
      </c>
    </row>
    <row r="8" spans="1:9" x14ac:dyDescent="0.25">
      <c r="A8" s="2902">
        <v>6</v>
      </c>
      <c r="B8" s="2912" t="s">
        <v>20433</v>
      </c>
      <c r="C8" s="2912" t="s">
        <v>20434</v>
      </c>
      <c r="D8" s="2904" t="s">
        <v>20435</v>
      </c>
      <c r="E8" s="2904" t="s">
        <v>20436</v>
      </c>
      <c r="F8" s="2907" t="s">
        <v>20382</v>
      </c>
      <c r="G8" s="2908">
        <v>1.94</v>
      </c>
      <c r="H8" s="2908">
        <v>3.94</v>
      </c>
      <c r="I8" s="2910">
        <v>2</v>
      </c>
    </row>
    <row r="9" spans="1:9" x14ac:dyDescent="0.25">
      <c r="A9" s="2902">
        <v>7</v>
      </c>
      <c r="B9" s="2909" t="s">
        <v>13386</v>
      </c>
      <c r="C9" s="2909" t="s">
        <v>13386</v>
      </c>
      <c r="D9" s="2904" t="s">
        <v>20437</v>
      </c>
      <c r="E9" s="2904" t="s">
        <v>20430</v>
      </c>
      <c r="F9" s="2907" t="s">
        <v>20401</v>
      </c>
      <c r="G9" s="2908">
        <v>2.0915700000000004</v>
      </c>
      <c r="H9" s="2908">
        <v>2.1084299999999998</v>
      </c>
      <c r="I9" s="2910">
        <v>2</v>
      </c>
    </row>
    <row r="10" spans="1:9" x14ac:dyDescent="0.25">
      <c r="A10" s="2902">
        <v>8</v>
      </c>
      <c r="B10" s="2909" t="s">
        <v>13665</v>
      </c>
      <c r="C10" s="2909" t="s">
        <v>13665</v>
      </c>
      <c r="D10" s="2904" t="s">
        <v>20438</v>
      </c>
      <c r="E10" s="2904" t="s">
        <v>20428</v>
      </c>
      <c r="F10" s="2907" t="s">
        <v>20331</v>
      </c>
      <c r="G10" s="2908">
        <v>0.57920400000000005</v>
      </c>
      <c r="H10" s="2908">
        <v>1.1007960000000001</v>
      </c>
      <c r="I10" s="2910">
        <v>2</v>
      </c>
    </row>
    <row r="11" spans="1:9" x14ac:dyDescent="0.25">
      <c r="A11" s="2902">
        <v>9</v>
      </c>
      <c r="B11" s="2909" t="s">
        <v>13386</v>
      </c>
      <c r="C11" s="2909" t="s">
        <v>13386</v>
      </c>
      <c r="D11" s="2904" t="s">
        <v>20439</v>
      </c>
      <c r="E11" s="2904" t="s">
        <v>20428</v>
      </c>
      <c r="F11" s="2905" t="s">
        <v>20333</v>
      </c>
      <c r="G11" s="2908">
        <v>3.1174599999999999</v>
      </c>
      <c r="H11" s="2908">
        <v>3.4975400000000003</v>
      </c>
      <c r="I11" s="2910">
        <v>3</v>
      </c>
    </row>
    <row r="12" spans="1:9" x14ac:dyDescent="0.25">
      <c r="A12" s="2902">
        <v>10</v>
      </c>
      <c r="B12" s="2912" t="s">
        <v>20440</v>
      </c>
      <c r="C12" s="2912" t="s">
        <v>20441</v>
      </c>
      <c r="D12" s="2904" t="s">
        <v>20442</v>
      </c>
      <c r="E12" s="2904" t="s">
        <v>20436</v>
      </c>
      <c r="F12" s="2907" t="s">
        <v>20371</v>
      </c>
      <c r="G12" s="2908">
        <v>4.45</v>
      </c>
      <c r="H12" s="2908">
        <v>1.4299999999999997</v>
      </c>
      <c r="I12" s="2910">
        <v>3</v>
      </c>
    </row>
    <row r="13" spans="1:9" x14ac:dyDescent="0.25">
      <c r="A13" s="2902">
        <v>11</v>
      </c>
      <c r="B13" s="2909" t="s">
        <v>3661</v>
      </c>
      <c r="C13" s="2909" t="s">
        <v>3661</v>
      </c>
      <c r="D13" s="2904" t="s">
        <v>20443</v>
      </c>
      <c r="E13" s="2905" t="s">
        <v>20430</v>
      </c>
      <c r="F13" s="2905" t="s">
        <v>20345</v>
      </c>
      <c r="G13" s="2905">
        <v>0.96</v>
      </c>
      <c r="H13" s="2905">
        <v>2.6</v>
      </c>
      <c r="I13" s="2910">
        <v>3</v>
      </c>
    </row>
    <row r="14" spans="1:9" x14ac:dyDescent="0.25">
      <c r="A14" s="2902">
        <v>12</v>
      </c>
      <c r="B14" s="2912" t="s">
        <v>20444</v>
      </c>
      <c r="C14" s="2912" t="s">
        <v>20434</v>
      </c>
      <c r="D14" s="2904" t="s">
        <v>13062</v>
      </c>
      <c r="E14" s="2904" t="s">
        <v>20428</v>
      </c>
      <c r="F14" s="2907" t="s">
        <v>20351</v>
      </c>
      <c r="G14" s="2908">
        <v>0.86</v>
      </c>
      <c r="H14" s="2908">
        <v>3.3400000000000003</v>
      </c>
      <c r="I14" s="2910">
        <v>2</v>
      </c>
    </row>
    <row r="15" spans="1:9" ht="25.5" x14ac:dyDescent="0.25">
      <c r="A15" s="2902">
        <v>13</v>
      </c>
      <c r="B15" s="2909" t="s">
        <v>8850</v>
      </c>
      <c r="C15" s="2909" t="s">
        <v>8850</v>
      </c>
      <c r="D15" s="2904" t="s">
        <v>20445</v>
      </c>
      <c r="E15" s="2904" t="s">
        <v>20446</v>
      </c>
      <c r="F15" s="2907" t="s">
        <v>20336</v>
      </c>
      <c r="G15" s="2908">
        <v>7.14</v>
      </c>
      <c r="H15" s="2908">
        <v>3.8100000000000005</v>
      </c>
      <c r="I15" s="2910">
        <v>3</v>
      </c>
    </row>
    <row r="16" spans="1:9" ht="25.5" x14ac:dyDescent="0.25">
      <c r="A16" s="2902">
        <v>14</v>
      </c>
      <c r="B16" s="2913" t="s">
        <v>5552</v>
      </c>
      <c r="C16" s="2913" t="s">
        <v>5552</v>
      </c>
      <c r="D16" s="2904" t="s">
        <v>12812</v>
      </c>
      <c r="E16" s="2904" t="s">
        <v>20430</v>
      </c>
      <c r="F16" s="2907" t="s">
        <v>20346</v>
      </c>
      <c r="G16" s="2908">
        <v>0.02</v>
      </c>
      <c r="H16" s="2908">
        <v>1.03</v>
      </c>
      <c r="I16" s="2910">
        <v>2</v>
      </c>
    </row>
    <row r="17" spans="1:9" ht="25.5" x14ac:dyDescent="0.25">
      <c r="A17" s="2902">
        <v>15</v>
      </c>
      <c r="B17" s="2914" t="s">
        <v>11565</v>
      </c>
      <c r="C17" s="2914" t="s">
        <v>11565</v>
      </c>
      <c r="D17" s="2915" t="s">
        <v>20447</v>
      </c>
      <c r="E17" s="2904" t="s">
        <v>20428</v>
      </c>
      <c r="F17" s="2905" t="s">
        <v>20329</v>
      </c>
      <c r="G17" s="2908">
        <v>0.94</v>
      </c>
      <c r="H17" s="2908">
        <v>1.6850000000000001</v>
      </c>
      <c r="I17" s="2910">
        <v>2</v>
      </c>
    </row>
    <row r="18" spans="1:9" ht="25.5" x14ac:dyDescent="0.25">
      <c r="A18" s="2902">
        <v>16</v>
      </c>
      <c r="B18" s="2909" t="s">
        <v>4204</v>
      </c>
      <c r="C18" s="2909" t="s">
        <v>4204</v>
      </c>
      <c r="D18" s="2916" t="s">
        <v>20448</v>
      </c>
      <c r="E18" s="2904" t="s">
        <v>20430</v>
      </c>
      <c r="F18" s="2904" t="s">
        <v>20449</v>
      </c>
      <c r="G18" s="2908">
        <v>3.06</v>
      </c>
      <c r="H18" s="2908">
        <v>2.82</v>
      </c>
      <c r="I18" s="2910">
        <v>2</v>
      </c>
    </row>
    <row r="19" spans="1:9" x14ac:dyDescent="0.25">
      <c r="A19" s="2902">
        <v>17</v>
      </c>
      <c r="B19" s="2913" t="s">
        <v>5552</v>
      </c>
      <c r="C19" s="2913" t="s">
        <v>5552</v>
      </c>
      <c r="D19" s="2904" t="s">
        <v>20450</v>
      </c>
      <c r="E19" s="2904" t="s">
        <v>20451</v>
      </c>
      <c r="F19" s="2907" t="s">
        <v>20336</v>
      </c>
      <c r="G19" s="2908">
        <v>4.5</v>
      </c>
      <c r="H19" s="2908">
        <v>6</v>
      </c>
      <c r="I19" s="2910">
        <v>2</v>
      </c>
    </row>
    <row r="20" spans="1:9" x14ac:dyDescent="0.25">
      <c r="A20" s="2902">
        <v>18</v>
      </c>
      <c r="B20" s="2909" t="s">
        <v>8005</v>
      </c>
      <c r="C20" s="2909" t="s">
        <v>8005</v>
      </c>
      <c r="D20" s="2916" t="s">
        <v>20452</v>
      </c>
      <c r="E20" s="2904" t="s">
        <v>20428</v>
      </c>
      <c r="F20" s="2905" t="s">
        <v>20329</v>
      </c>
      <c r="G20" s="2908">
        <v>0.8</v>
      </c>
      <c r="H20" s="2908">
        <v>1.825</v>
      </c>
      <c r="I20" s="2910">
        <v>2</v>
      </c>
    </row>
    <row r="21" spans="1:9" ht="25.5" x14ac:dyDescent="0.25">
      <c r="A21" s="2902">
        <v>19</v>
      </c>
      <c r="B21" s="2912" t="s">
        <v>20440</v>
      </c>
      <c r="C21" s="2912" t="s">
        <v>20441</v>
      </c>
      <c r="D21" s="2904" t="s">
        <v>20453</v>
      </c>
      <c r="E21" s="2904" t="s">
        <v>20454</v>
      </c>
      <c r="F21" s="2907" t="s">
        <v>20367</v>
      </c>
      <c r="G21" s="2908">
        <v>12.16</v>
      </c>
      <c r="H21" s="2908">
        <v>8.6300000000000008</v>
      </c>
      <c r="I21" s="2910">
        <v>3</v>
      </c>
    </row>
    <row r="22" spans="1:9" x14ac:dyDescent="0.25">
      <c r="A22" s="2902">
        <v>20</v>
      </c>
      <c r="B22" s="2909" t="s">
        <v>19571</v>
      </c>
      <c r="C22" s="2909" t="s">
        <v>19571</v>
      </c>
      <c r="D22" s="2904" t="s">
        <v>20455</v>
      </c>
      <c r="E22" s="2904" t="s">
        <v>20446</v>
      </c>
      <c r="F22" s="2911" t="s">
        <v>20407</v>
      </c>
      <c r="G22" s="2908">
        <v>5.71</v>
      </c>
      <c r="H22" s="2908">
        <v>6.59</v>
      </c>
      <c r="I22" s="2910">
        <v>3</v>
      </c>
    </row>
    <row r="23" spans="1:9" x14ac:dyDescent="0.25">
      <c r="A23" s="2902">
        <v>21</v>
      </c>
      <c r="B23" s="2909" t="s">
        <v>6823</v>
      </c>
      <c r="C23" s="2909" t="s">
        <v>6823</v>
      </c>
      <c r="D23" s="2904" t="s">
        <v>20456</v>
      </c>
      <c r="E23" s="2904" t="s">
        <v>20428</v>
      </c>
      <c r="F23" s="2917" t="s">
        <v>20322</v>
      </c>
      <c r="G23" s="2908">
        <v>0.04</v>
      </c>
      <c r="H23" s="2908">
        <v>1.72</v>
      </c>
      <c r="I23" s="2910">
        <v>3</v>
      </c>
    </row>
    <row r="24" spans="1:9" x14ac:dyDescent="0.25">
      <c r="A24" s="2902">
        <v>22</v>
      </c>
      <c r="B24" s="2909" t="s">
        <v>8850</v>
      </c>
      <c r="C24" s="2909" t="s">
        <v>8850</v>
      </c>
      <c r="D24" s="2904" t="s">
        <v>20457</v>
      </c>
      <c r="E24" s="2904" t="s">
        <v>20428</v>
      </c>
      <c r="F24" s="2907" t="s">
        <v>20331</v>
      </c>
      <c r="G24" s="2908">
        <v>0.56999999999999995</v>
      </c>
      <c r="H24" s="2908">
        <v>1.6100000000000003</v>
      </c>
      <c r="I24" s="2910">
        <v>3</v>
      </c>
    </row>
    <row r="25" spans="1:9" x14ac:dyDescent="0.25">
      <c r="A25" s="2902">
        <v>23</v>
      </c>
      <c r="B25" s="2909" t="s">
        <v>4204</v>
      </c>
      <c r="C25" s="2909" t="s">
        <v>4204</v>
      </c>
      <c r="D25" s="2916" t="s">
        <v>12884</v>
      </c>
      <c r="E25" s="2904" t="s">
        <v>20446</v>
      </c>
      <c r="F25" s="2907" t="s">
        <v>20375</v>
      </c>
      <c r="G25" s="2908">
        <v>18.309999999999999</v>
      </c>
      <c r="H25" s="2908">
        <v>7.9400000000000013</v>
      </c>
      <c r="I25" s="2910">
        <v>3</v>
      </c>
    </row>
    <row r="26" spans="1:9" x14ac:dyDescent="0.25">
      <c r="A26" s="2902">
        <v>24</v>
      </c>
      <c r="B26" s="2909" t="s">
        <v>3661</v>
      </c>
      <c r="C26" s="2909" t="s">
        <v>3661</v>
      </c>
      <c r="D26" s="2904" t="s">
        <v>20458</v>
      </c>
      <c r="E26" s="2904" t="s">
        <v>20428</v>
      </c>
      <c r="F26" s="2905" t="s">
        <v>20329</v>
      </c>
      <c r="G26" s="2908">
        <v>0.44</v>
      </c>
      <c r="H26" s="2908">
        <v>2.3849999999999998</v>
      </c>
      <c r="I26" s="2910">
        <v>3</v>
      </c>
    </row>
    <row r="27" spans="1:9" x14ac:dyDescent="0.25">
      <c r="A27" s="2902">
        <v>25</v>
      </c>
      <c r="B27" s="2909" t="s">
        <v>5950</v>
      </c>
      <c r="C27" s="2909" t="s">
        <v>5950</v>
      </c>
      <c r="D27" s="2904" t="s">
        <v>6056</v>
      </c>
      <c r="E27" s="2904" t="s">
        <v>20446</v>
      </c>
      <c r="F27" s="2907" t="s">
        <v>20336</v>
      </c>
      <c r="G27" s="2908">
        <v>2.27</v>
      </c>
      <c r="H27" s="2908">
        <v>10.5</v>
      </c>
      <c r="I27" s="2910">
        <v>3</v>
      </c>
    </row>
    <row r="28" spans="1:9" ht="25.5" x14ac:dyDescent="0.25">
      <c r="A28" s="2902">
        <v>26</v>
      </c>
      <c r="B28" s="2914" t="s">
        <v>11565</v>
      </c>
      <c r="C28" s="2914" t="s">
        <v>11565</v>
      </c>
      <c r="D28" s="2915" t="s">
        <v>20459</v>
      </c>
      <c r="E28" s="2904" t="s">
        <v>20428</v>
      </c>
      <c r="F28" s="2905" t="s">
        <v>20351</v>
      </c>
      <c r="G28" s="2908">
        <v>2.88</v>
      </c>
      <c r="H28" s="2908">
        <v>1.3200000000000003</v>
      </c>
      <c r="I28" s="2910">
        <v>2</v>
      </c>
    </row>
    <row r="29" spans="1:9" x14ac:dyDescent="0.25">
      <c r="A29" s="2902">
        <v>27</v>
      </c>
      <c r="B29" s="2913" t="s">
        <v>5552</v>
      </c>
      <c r="C29" s="2913" t="s">
        <v>5552</v>
      </c>
      <c r="D29" s="2904" t="s">
        <v>20460</v>
      </c>
      <c r="E29" s="2904" t="s">
        <v>20461</v>
      </c>
      <c r="F29" s="2905" t="s">
        <v>20333</v>
      </c>
      <c r="G29" s="2908">
        <v>0.4</v>
      </c>
      <c r="H29" s="2908">
        <v>6.2149999999999999</v>
      </c>
      <c r="I29" s="2910">
        <v>3</v>
      </c>
    </row>
    <row r="30" spans="1:9" x14ac:dyDescent="0.25">
      <c r="A30" s="2902">
        <v>28</v>
      </c>
      <c r="B30" s="2909" t="s">
        <v>4204</v>
      </c>
      <c r="C30" s="2909" t="s">
        <v>4204</v>
      </c>
      <c r="D30" s="2916" t="s">
        <v>20462</v>
      </c>
      <c r="E30" s="2904" t="s">
        <v>20446</v>
      </c>
      <c r="F30" s="2905" t="s">
        <v>20333</v>
      </c>
      <c r="G30" s="2908">
        <v>0.12</v>
      </c>
      <c r="H30" s="2908">
        <v>6.4950000000000001</v>
      </c>
      <c r="I30" s="2910">
        <v>3</v>
      </c>
    </row>
    <row r="31" spans="1:9" x14ac:dyDescent="0.25">
      <c r="A31" s="2902">
        <v>29</v>
      </c>
      <c r="B31" s="2909" t="s">
        <v>7498</v>
      </c>
      <c r="C31" s="2909" t="s">
        <v>7498</v>
      </c>
      <c r="D31" s="2916" t="s">
        <v>20463</v>
      </c>
      <c r="E31" s="2904" t="s">
        <v>20428</v>
      </c>
      <c r="F31" s="2905" t="s">
        <v>20329</v>
      </c>
      <c r="G31" s="2908">
        <v>0.78</v>
      </c>
      <c r="H31" s="2908">
        <v>1.845</v>
      </c>
      <c r="I31" s="2910">
        <v>2</v>
      </c>
    </row>
    <row r="32" spans="1:9" ht="25.5" x14ac:dyDescent="0.25">
      <c r="A32" s="2902">
        <v>30</v>
      </c>
      <c r="B32" s="2909" t="s">
        <v>6265</v>
      </c>
      <c r="C32" s="2909" t="s">
        <v>6265</v>
      </c>
      <c r="D32" s="2904" t="s">
        <v>20464</v>
      </c>
      <c r="E32" s="2904" t="s">
        <v>20430</v>
      </c>
      <c r="F32" s="2911" t="s">
        <v>20326</v>
      </c>
      <c r="G32" s="2908">
        <v>1.1499999999999999</v>
      </c>
      <c r="H32" s="2908">
        <v>3.0500000000000003</v>
      </c>
      <c r="I32" s="2910">
        <v>2</v>
      </c>
    </row>
    <row r="33" spans="1:9" ht="25.5" x14ac:dyDescent="0.25">
      <c r="A33" s="2902">
        <v>31</v>
      </c>
      <c r="B33" s="2909" t="s">
        <v>8005</v>
      </c>
      <c r="C33" s="2909" t="s">
        <v>8005</v>
      </c>
      <c r="D33" s="2916" t="s">
        <v>20465</v>
      </c>
      <c r="E33" s="2904" t="s">
        <v>20446</v>
      </c>
      <c r="F33" s="2905" t="s">
        <v>20333</v>
      </c>
      <c r="G33" s="2908">
        <v>3.51</v>
      </c>
      <c r="H33" s="2908">
        <v>5.0350000000000001</v>
      </c>
      <c r="I33" s="2910">
        <v>3</v>
      </c>
    </row>
    <row r="34" spans="1:9" ht="25.5" x14ac:dyDescent="0.25">
      <c r="A34" s="2902">
        <v>32</v>
      </c>
      <c r="B34" s="2909" t="s">
        <v>16358</v>
      </c>
      <c r="C34" s="2909" t="s">
        <v>16358</v>
      </c>
      <c r="D34" s="2904" t="s">
        <v>20466</v>
      </c>
      <c r="E34" s="2904" t="s">
        <v>20446</v>
      </c>
      <c r="F34" s="2905" t="s">
        <v>20333</v>
      </c>
      <c r="G34" s="2908">
        <v>4.0599999999999996</v>
      </c>
      <c r="H34" s="2908">
        <v>2.5550000000000006</v>
      </c>
      <c r="I34" s="2910">
        <v>3</v>
      </c>
    </row>
    <row r="35" spans="1:9" x14ac:dyDescent="0.25">
      <c r="A35" s="2902">
        <v>33</v>
      </c>
      <c r="B35" s="2909" t="s">
        <v>4204</v>
      </c>
      <c r="C35" s="2909" t="s">
        <v>4204</v>
      </c>
      <c r="D35" s="2916" t="s">
        <v>20467</v>
      </c>
      <c r="E35" s="2904" t="s">
        <v>20428</v>
      </c>
      <c r="F35" s="2905" t="s">
        <v>20333</v>
      </c>
      <c r="G35" s="2908">
        <v>4.5</v>
      </c>
      <c r="H35" s="2908">
        <v>2.1150000000000002</v>
      </c>
      <c r="I35" s="2910">
        <v>3</v>
      </c>
    </row>
    <row r="36" spans="1:9" ht="25.5" x14ac:dyDescent="0.25">
      <c r="A36" s="2902">
        <v>34</v>
      </c>
      <c r="B36" s="2909" t="s">
        <v>8850</v>
      </c>
      <c r="C36" s="2909" t="s">
        <v>8850</v>
      </c>
      <c r="D36" s="2904" t="s">
        <v>20468</v>
      </c>
      <c r="E36" s="2904" t="s">
        <v>20428</v>
      </c>
      <c r="F36" s="2907" t="s">
        <v>20350</v>
      </c>
      <c r="G36" s="2908">
        <v>0.46</v>
      </c>
      <c r="H36" s="2908">
        <v>1.29</v>
      </c>
      <c r="I36" s="2910">
        <v>3</v>
      </c>
    </row>
    <row r="37" spans="1:9" ht="25.5" x14ac:dyDescent="0.25">
      <c r="A37" s="2902">
        <v>35</v>
      </c>
      <c r="B37" s="2913" t="s">
        <v>5552</v>
      </c>
      <c r="C37" s="2913" t="s">
        <v>5552</v>
      </c>
      <c r="D37" s="2904" t="s">
        <v>20469</v>
      </c>
      <c r="E37" s="2904" t="s">
        <v>20454</v>
      </c>
      <c r="F37" s="2907" t="s">
        <v>20336</v>
      </c>
      <c r="G37" s="2908">
        <v>3.8</v>
      </c>
      <c r="H37" s="2908">
        <v>10.5</v>
      </c>
      <c r="I37" s="2910">
        <v>3</v>
      </c>
    </row>
    <row r="38" spans="1:9" x14ac:dyDescent="0.25">
      <c r="A38" s="2902">
        <v>36</v>
      </c>
      <c r="B38" s="2909" t="s">
        <v>11565</v>
      </c>
      <c r="C38" s="2909" t="s">
        <v>11565</v>
      </c>
      <c r="D38" s="2915" t="s">
        <v>20470</v>
      </c>
      <c r="E38" s="2904" t="s">
        <v>20428</v>
      </c>
      <c r="F38" s="2911" t="s">
        <v>20324</v>
      </c>
      <c r="G38" s="2908">
        <v>1.06</v>
      </c>
      <c r="H38" s="2908">
        <v>1.5649999999999999</v>
      </c>
      <c r="I38" s="2910">
        <v>2</v>
      </c>
    </row>
    <row r="39" spans="1:9" ht="25.5" x14ac:dyDescent="0.25">
      <c r="A39" s="2902">
        <v>37</v>
      </c>
      <c r="B39" s="2912" t="s">
        <v>20423</v>
      </c>
      <c r="C39" s="2906" t="s">
        <v>20424</v>
      </c>
      <c r="D39" s="2904" t="s">
        <v>20471</v>
      </c>
      <c r="E39" s="2904" t="s">
        <v>20472</v>
      </c>
      <c r="F39" s="2907" t="s">
        <v>20365</v>
      </c>
      <c r="G39" s="2908">
        <v>23.32</v>
      </c>
      <c r="H39" s="2908">
        <v>18.68</v>
      </c>
      <c r="I39" s="2910">
        <v>3</v>
      </c>
    </row>
    <row r="40" spans="1:9" x14ac:dyDescent="0.25">
      <c r="A40" s="2902">
        <v>38</v>
      </c>
      <c r="B40" s="2909" t="s">
        <v>12698</v>
      </c>
      <c r="C40" s="2909" t="s">
        <v>12374</v>
      </c>
      <c r="D40" s="2904" t="s">
        <v>12697</v>
      </c>
      <c r="E40" s="2904" t="s">
        <v>20428</v>
      </c>
      <c r="F40" s="2905" t="s">
        <v>20329</v>
      </c>
      <c r="G40" s="2908">
        <v>1.217055</v>
      </c>
      <c r="H40" s="2908">
        <v>1.0879449999999999</v>
      </c>
      <c r="I40" s="2910">
        <v>3</v>
      </c>
    </row>
    <row r="41" spans="1:9" ht="25.5" x14ac:dyDescent="0.25">
      <c r="A41" s="2902">
        <v>39</v>
      </c>
      <c r="B41" s="2909" t="s">
        <v>5950</v>
      </c>
      <c r="C41" s="2909" t="s">
        <v>5950</v>
      </c>
      <c r="D41" s="2904" t="s">
        <v>20473</v>
      </c>
      <c r="E41" s="2904" t="s">
        <v>20428</v>
      </c>
      <c r="F41" s="2907" t="s">
        <v>20349</v>
      </c>
      <c r="G41" s="2908">
        <v>0.39</v>
      </c>
      <c r="H41" s="2908">
        <v>1.6900000000000002</v>
      </c>
      <c r="I41" s="2910">
        <v>3</v>
      </c>
    </row>
    <row r="42" spans="1:9" x14ac:dyDescent="0.25">
      <c r="A42" s="2902">
        <v>40</v>
      </c>
      <c r="B42" s="2909" t="s">
        <v>4204</v>
      </c>
      <c r="C42" s="2909" t="s">
        <v>4204</v>
      </c>
      <c r="D42" s="2916" t="s">
        <v>20474</v>
      </c>
      <c r="E42" s="2904" t="s">
        <v>20446</v>
      </c>
      <c r="F42" s="2905" t="s">
        <v>20333</v>
      </c>
      <c r="G42" s="2908">
        <v>1.62</v>
      </c>
      <c r="H42" s="2908">
        <v>5.1850000000000005</v>
      </c>
      <c r="I42" s="2910">
        <v>3</v>
      </c>
    </row>
    <row r="43" spans="1:9" x14ac:dyDescent="0.25">
      <c r="A43" s="2902">
        <v>41</v>
      </c>
      <c r="B43" s="2909" t="s">
        <v>5782</v>
      </c>
      <c r="C43" s="2909" t="s">
        <v>5782</v>
      </c>
      <c r="D43" s="2904" t="s">
        <v>5912</v>
      </c>
      <c r="E43" s="2904" t="s">
        <v>20430</v>
      </c>
      <c r="F43" s="2907" t="s">
        <v>20350</v>
      </c>
      <c r="G43" s="2908">
        <v>0.28000000000000003</v>
      </c>
      <c r="H43" s="2908">
        <v>1.4000000000000001</v>
      </c>
      <c r="I43" s="2910">
        <v>2</v>
      </c>
    </row>
    <row r="44" spans="1:9" ht="25.5" x14ac:dyDescent="0.25">
      <c r="A44" s="2902">
        <v>42</v>
      </c>
      <c r="B44" s="2909" t="s">
        <v>12374</v>
      </c>
      <c r="C44" s="2909" t="s">
        <v>12374</v>
      </c>
      <c r="D44" s="2904" t="s">
        <v>20475</v>
      </c>
      <c r="E44" s="2904" t="s">
        <v>20430</v>
      </c>
      <c r="F44" s="2905" t="s">
        <v>20476</v>
      </c>
      <c r="G44" s="2908">
        <v>1.1847040000000002</v>
      </c>
      <c r="H44" s="2908">
        <v>1.4402959999999998</v>
      </c>
      <c r="I44" s="2910">
        <v>3</v>
      </c>
    </row>
    <row r="45" spans="1:9" x14ac:dyDescent="0.25">
      <c r="A45" s="2902">
        <v>43</v>
      </c>
      <c r="B45" s="2909" t="s">
        <v>9654</v>
      </c>
      <c r="C45" s="2909" t="s">
        <v>9654</v>
      </c>
      <c r="D45" s="2904" t="s">
        <v>20477</v>
      </c>
      <c r="E45" s="2904" t="s">
        <v>20428</v>
      </c>
      <c r="F45" s="2905" t="s">
        <v>20351</v>
      </c>
      <c r="G45" s="2908">
        <v>1.540392</v>
      </c>
      <c r="H45" s="2908">
        <v>3.5596080000000003</v>
      </c>
      <c r="I45" s="2910">
        <v>3</v>
      </c>
    </row>
    <row r="46" spans="1:9" ht="25.5" x14ac:dyDescent="0.25">
      <c r="A46" s="2902">
        <v>44</v>
      </c>
      <c r="B46" s="2909" t="s">
        <v>18096</v>
      </c>
      <c r="C46" s="2909" t="s">
        <v>20478</v>
      </c>
      <c r="D46" s="2904" t="s">
        <v>20479</v>
      </c>
      <c r="E46" s="2904" t="s">
        <v>20446</v>
      </c>
      <c r="F46" s="2911" t="s">
        <v>20334</v>
      </c>
      <c r="G46" s="2908">
        <v>11.1</v>
      </c>
      <c r="H46" s="2908">
        <v>17.649999999999999</v>
      </c>
      <c r="I46" s="2910">
        <v>3</v>
      </c>
    </row>
    <row r="47" spans="1:9" x14ac:dyDescent="0.25">
      <c r="A47" s="2902">
        <v>45</v>
      </c>
      <c r="B47" s="2909" t="s">
        <v>13386</v>
      </c>
      <c r="C47" s="2909" t="s">
        <v>13386</v>
      </c>
      <c r="D47" s="2904" t="s">
        <v>20480</v>
      </c>
      <c r="E47" s="2904" t="s">
        <v>20428</v>
      </c>
      <c r="F47" s="2907" t="s">
        <v>20336</v>
      </c>
      <c r="G47" s="2908">
        <v>4.8595699999999997</v>
      </c>
      <c r="H47" s="2908">
        <v>5.6404300000000003</v>
      </c>
      <c r="I47" s="2910">
        <v>2</v>
      </c>
    </row>
    <row r="48" spans="1:9" x14ac:dyDescent="0.25">
      <c r="A48" s="2902">
        <v>46</v>
      </c>
      <c r="B48" s="2909" t="s">
        <v>3661</v>
      </c>
      <c r="C48" s="2909" t="s">
        <v>3661</v>
      </c>
      <c r="D48" s="2904" t="s">
        <v>20481</v>
      </c>
      <c r="E48" s="2904" t="s">
        <v>20428</v>
      </c>
      <c r="F48" s="2905" t="s">
        <v>20351</v>
      </c>
      <c r="G48" s="2908">
        <v>1.8</v>
      </c>
      <c r="H48" s="2908">
        <v>2.4000000000000004</v>
      </c>
      <c r="I48" s="2910">
        <v>2</v>
      </c>
    </row>
    <row r="49" spans="1:9" x14ac:dyDescent="0.25">
      <c r="A49" s="2902">
        <v>47</v>
      </c>
      <c r="B49" s="2909" t="s">
        <v>3661</v>
      </c>
      <c r="C49" s="2909" t="s">
        <v>3661</v>
      </c>
      <c r="D49" s="2904" t="s">
        <v>20482</v>
      </c>
      <c r="E49" s="2904" t="s">
        <v>20428</v>
      </c>
      <c r="F49" s="2907" t="s">
        <v>20350</v>
      </c>
      <c r="G49" s="2908">
        <v>0.46</v>
      </c>
      <c r="H49" s="2908">
        <v>1.2200000000000002</v>
      </c>
      <c r="I49" s="2910">
        <v>2</v>
      </c>
    </row>
    <row r="50" spans="1:9" x14ac:dyDescent="0.25">
      <c r="A50" s="2902">
        <v>48</v>
      </c>
      <c r="B50" s="2909" t="s">
        <v>5116</v>
      </c>
      <c r="C50" s="2909" t="s">
        <v>5116</v>
      </c>
      <c r="D50" s="2915" t="s">
        <v>20483</v>
      </c>
      <c r="E50" s="2904" t="s">
        <v>20428</v>
      </c>
      <c r="F50" s="2905" t="s">
        <v>20351</v>
      </c>
      <c r="G50" s="2908">
        <v>0.27</v>
      </c>
      <c r="H50" s="2908">
        <v>3.93</v>
      </c>
      <c r="I50" s="2910">
        <v>2</v>
      </c>
    </row>
    <row r="51" spans="1:9" ht="25.5" x14ac:dyDescent="0.25">
      <c r="A51" s="2902">
        <v>49</v>
      </c>
      <c r="B51" s="2912" t="s">
        <v>20484</v>
      </c>
      <c r="C51" s="2912" t="s">
        <v>20485</v>
      </c>
      <c r="D51" s="2904" t="s">
        <v>20486</v>
      </c>
      <c r="E51" s="2904" t="s">
        <v>20461</v>
      </c>
      <c r="F51" s="2907" t="s">
        <v>20334</v>
      </c>
      <c r="G51" s="2908">
        <v>2.73</v>
      </c>
      <c r="H51" s="2908">
        <v>23.52</v>
      </c>
      <c r="I51" s="2910">
        <v>2</v>
      </c>
    </row>
    <row r="52" spans="1:9" ht="25.5" x14ac:dyDescent="0.25">
      <c r="A52" s="2902">
        <v>50</v>
      </c>
      <c r="B52" s="2909" t="s">
        <v>3661</v>
      </c>
      <c r="C52" s="2909" t="s">
        <v>3661</v>
      </c>
      <c r="D52" s="2904" t="s">
        <v>20487</v>
      </c>
      <c r="E52" s="2904" t="s">
        <v>20428</v>
      </c>
      <c r="F52" s="2907" t="s">
        <v>20352</v>
      </c>
      <c r="G52" s="2908">
        <v>0.85</v>
      </c>
      <c r="H52" s="2908">
        <v>1.04</v>
      </c>
      <c r="I52" s="2910">
        <v>3</v>
      </c>
    </row>
    <row r="53" spans="1:9" x14ac:dyDescent="0.25">
      <c r="A53" s="2902">
        <v>51</v>
      </c>
      <c r="B53" s="2912" t="s">
        <v>20423</v>
      </c>
      <c r="C53" s="2906" t="s">
        <v>20424</v>
      </c>
      <c r="D53" s="2904" t="s">
        <v>20488</v>
      </c>
      <c r="E53" s="2904" t="s">
        <v>20426</v>
      </c>
      <c r="F53" s="2907" t="s">
        <v>20329</v>
      </c>
      <c r="G53" s="2908">
        <v>0.41</v>
      </c>
      <c r="H53" s="2908">
        <v>2.2149999999999999</v>
      </c>
      <c r="I53" s="2910">
        <v>2</v>
      </c>
    </row>
    <row r="54" spans="1:9" x14ac:dyDescent="0.25">
      <c r="A54" s="2902">
        <v>52</v>
      </c>
      <c r="B54" s="2914" t="s">
        <v>9941</v>
      </c>
      <c r="C54" s="2914" t="s">
        <v>9941</v>
      </c>
      <c r="D54" s="2904" t="s">
        <v>20489</v>
      </c>
      <c r="E54" s="2904" t="s">
        <v>20446</v>
      </c>
      <c r="F54" s="2905" t="s">
        <v>20333</v>
      </c>
      <c r="G54" s="2908">
        <v>2.3400000000000003</v>
      </c>
      <c r="H54" s="2908">
        <v>4.2750000000000004</v>
      </c>
      <c r="I54" s="2910">
        <v>3</v>
      </c>
    </row>
    <row r="55" spans="1:9" ht="25.5" x14ac:dyDescent="0.25">
      <c r="A55" s="2902">
        <v>53</v>
      </c>
      <c r="B55" s="2912" t="s">
        <v>20433</v>
      </c>
      <c r="C55" s="2912" t="s">
        <v>20434</v>
      </c>
      <c r="D55" s="2904" t="s">
        <v>20490</v>
      </c>
      <c r="E55" s="2904" t="s">
        <v>20436</v>
      </c>
      <c r="F55" s="2907" t="s">
        <v>20336</v>
      </c>
      <c r="G55" s="2908">
        <v>5.44</v>
      </c>
      <c r="H55" s="2908">
        <v>5.0599999999999996</v>
      </c>
      <c r="I55" s="2910">
        <v>2</v>
      </c>
    </row>
    <row r="56" spans="1:9" ht="25.5" x14ac:dyDescent="0.25">
      <c r="A56" s="2902">
        <v>54</v>
      </c>
      <c r="B56" s="2912" t="s">
        <v>20433</v>
      </c>
      <c r="C56" s="2912" t="s">
        <v>20434</v>
      </c>
      <c r="D56" s="2904" t="s">
        <v>20491</v>
      </c>
      <c r="E56" s="2904" t="s">
        <v>20436</v>
      </c>
      <c r="F56" s="2907" t="s">
        <v>20363</v>
      </c>
      <c r="G56" s="2908">
        <v>5.98</v>
      </c>
      <c r="H56" s="2908">
        <v>1.8949999999999996</v>
      </c>
      <c r="I56" s="2910">
        <v>2</v>
      </c>
    </row>
    <row r="57" spans="1:9" x14ac:dyDescent="0.25">
      <c r="A57" s="2902">
        <v>55</v>
      </c>
      <c r="B57" s="2913" t="s">
        <v>5552</v>
      </c>
      <c r="C57" s="2913" t="s">
        <v>5552</v>
      </c>
      <c r="D57" s="2904" t="s">
        <v>20492</v>
      </c>
      <c r="E57" s="2904" t="s">
        <v>20428</v>
      </c>
      <c r="F57" s="2905" t="s">
        <v>20333</v>
      </c>
      <c r="G57" s="2908">
        <v>1.48</v>
      </c>
      <c r="H57" s="2908">
        <v>5.335</v>
      </c>
      <c r="I57" s="2910">
        <v>3</v>
      </c>
    </row>
    <row r="58" spans="1:9" ht="25.5" x14ac:dyDescent="0.25">
      <c r="A58" s="2902">
        <v>56</v>
      </c>
      <c r="B58" s="2909" t="s">
        <v>9041</v>
      </c>
      <c r="C58" s="2909" t="s">
        <v>9041</v>
      </c>
      <c r="D58" s="2904" t="s">
        <v>20493</v>
      </c>
      <c r="E58" s="2904" t="s">
        <v>20446</v>
      </c>
      <c r="F58" s="2907" t="s">
        <v>20336</v>
      </c>
      <c r="G58" s="2908">
        <v>8.6300000000000008</v>
      </c>
      <c r="H58" s="2908">
        <v>3.379999999999999</v>
      </c>
      <c r="I58" s="2910">
        <v>3</v>
      </c>
    </row>
    <row r="59" spans="1:9" x14ac:dyDescent="0.25">
      <c r="A59" s="2902">
        <v>57</v>
      </c>
      <c r="B59" s="2909" t="s">
        <v>4204</v>
      </c>
      <c r="C59" s="2909" t="s">
        <v>4204</v>
      </c>
      <c r="D59" s="2916" t="s">
        <v>20494</v>
      </c>
      <c r="E59" s="2904" t="s">
        <v>20461</v>
      </c>
      <c r="F59" s="2907" t="s">
        <v>20336</v>
      </c>
      <c r="G59" s="2908">
        <v>0.11</v>
      </c>
      <c r="H59" s="2908">
        <v>10.39</v>
      </c>
      <c r="I59" s="2910">
        <v>2</v>
      </c>
    </row>
    <row r="60" spans="1:9" ht="25.5" x14ac:dyDescent="0.25">
      <c r="A60" s="2902">
        <v>58</v>
      </c>
      <c r="B60" s="2909" t="s">
        <v>12374</v>
      </c>
      <c r="C60" s="2909" t="s">
        <v>12374</v>
      </c>
      <c r="D60" s="2904" t="s">
        <v>20495</v>
      </c>
      <c r="E60" s="2904" t="s">
        <v>20430</v>
      </c>
      <c r="F60" s="2907" t="s">
        <v>20411</v>
      </c>
      <c r="G60" s="2908">
        <v>14.123719999999999</v>
      </c>
      <c r="H60" s="2908">
        <v>6.8762800000000013</v>
      </c>
      <c r="I60" s="2910">
        <v>3</v>
      </c>
    </row>
    <row r="61" spans="1:9" x14ac:dyDescent="0.25">
      <c r="A61" s="2902">
        <v>59</v>
      </c>
      <c r="B61" s="2912" t="s">
        <v>20440</v>
      </c>
      <c r="C61" s="2912" t="s">
        <v>20441</v>
      </c>
      <c r="D61" s="2904" t="s">
        <v>20496</v>
      </c>
      <c r="E61" s="2904" t="s">
        <v>20436</v>
      </c>
      <c r="F61" s="2907" t="s">
        <v>20407</v>
      </c>
      <c r="G61" s="2908">
        <v>2.4700000000000002</v>
      </c>
      <c r="H61" s="2908">
        <v>8.0299999999999994</v>
      </c>
      <c r="I61" s="2910">
        <v>2</v>
      </c>
    </row>
    <row r="62" spans="1:9" x14ac:dyDescent="0.25">
      <c r="A62" s="2902">
        <v>60</v>
      </c>
      <c r="B62" s="2909" t="s">
        <v>8005</v>
      </c>
      <c r="C62" s="2909" t="s">
        <v>8005</v>
      </c>
      <c r="D62" s="2916" t="s">
        <v>20497</v>
      </c>
      <c r="E62" s="2904" t="s">
        <v>20461</v>
      </c>
      <c r="F62" s="2905" t="s">
        <v>20329</v>
      </c>
      <c r="G62" s="2908">
        <v>0.42</v>
      </c>
      <c r="H62" s="2908">
        <v>2.2050000000000001</v>
      </c>
      <c r="I62" s="2910">
        <v>2</v>
      </c>
    </row>
    <row r="63" spans="1:9" x14ac:dyDescent="0.25">
      <c r="A63" s="2902">
        <v>61</v>
      </c>
      <c r="B63" s="2909" t="s">
        <v>13386</v>
      </c>
      <c r="C63" s="2909" t="s">
        <v>13386</v>
      </c>
      <c r="D63" s="2904" t="s">
        <v>20498</v>
      </c>
      <c r="E63" s="2904" t="s">
        <v>20428</v>
      </c>
      <c r="F63" s="2905" t="s">
        <v>20333</v>
      </c>
      <c r="G63" s="2908">
        <v>1.2460325000000001</v>
      </c>
      <c r="H63" s="2908">
        <v>5.3689675000000001</v>
      </c>
      <c r="I63" s="2910">
        <v>3</v>
      </c>
    </row>
    <row r="64" spans="1:9" x14ac:dyDescent="0.25">
      <c r="A64" s="2902">
        <v>62</v>
      </c>
      <c r="B64" s="2909" t="s">
        <v>9041</v>
      </c>
      <c r="C64" s="2909" t="s">
        <v>9041</v>
      </c>
      <c r="D64" s="2904" t="s">
        <v>6126</v>
      </c>
      <c r="E64" s="2904" t="s">
        <v>20428</v>
      </c>
      <c r="F64" s="2907" t="s">
        <v>20331</v>
      </c>
      <c r="G64" s="2908">
        <v>0.7</v>
      </c>
      <c r="H64" s="2908">
        <v>1.2300000000000002</v>
      </c>
      <c r="I64" s="2910">
        <v>3</v>
      </c>
    </row>
    <row r="65" spans="1:9" ht="25.5" x14ac:dyDescent="0.25">
      <c r="A65" s="2902">
        <v>63</v>
      </c>
      <c r="B65" s="2909" t="s">
        <v>4204</v>
      </c>
      <c r="C65" s="2909" t="s">
        <v>4204</v>
      </c>
      <c r="D65" s="2916" t="s">
        <v>13333</v>
      </c>
      <c r="E65" s="2904" t="s">
        <v>20428</v>
      </c>
      <c r="F65" s="2911" t="s">
        <v>20324</v>
      </c>
      <c r="G65" s="2908">
        <v>1.1200000000000001</v>
      </c>
      <c r="H65" s="2908">
        <v>1.5049999999999999</v>
      </c>
      <c r="I65" s="2910">
        <v>3</v>
      </c>
    </row>
    <row r="66" spans="1:9" x14ac:dyDescent="0.25">
      <c r="A66" s="2902">
        <v>64</v>
      </c>
      <c r="B66" s="2912" t="s">
        <v>20499</v>
      </c>
      <c r="C66" s="2912" t="s">
        <v>20500</v>
      </c>
      <c r="D66" s="2916" t="s">
        <v>20501</v>
      </c>
      <c r="E66" s="2904" t="s">
        <v>20461</v>
      </c>
      <c r="F66" s="2907" t="s">
        <v>20334</v>
      </c>
      <c r="G66" s="2908">
        <v>0.22</v>
      </c>
      <c r="H66" s="2908">
        <v>26.03</v>
      </c>
      <c r="I66" s="2910">
        <v>3</v>
      </c>
    </row>
    <row r="67" spans="1:9" x14ac:dyDescent="0.25">
      <c r="A67" s="2902">
        <v>65</v>
      </c>
      <c r="B67" s="2909" t="s">
        <v>7498</v>
      </c>
      <c r="C67" s="2909" t="s">
        <v>7498</v>
      </c>
      <c r="D67" s="2916" t="s">
        <v>20502</v>
      </c>
      <c r="E67" s="2904" t="s">
        <v>20428</v>
      </c>
      <c r="F67" s="2905" t="s">
        <v>20333</v>
      </c>
      <c r="G67" s="2908">
        <v>4.6399999999999997</v>
      </c>
      <c r="H67" s="2908">
        <v>1.9750000000000005</v>
      </c>
      <c r="I67" s="2910">
        <v>3</v>
      </c>
    </row>
    <row r="68" spans="1:9" x14ac:dyDescent="0.25">
      <c r="A68" s="2902">
        <v>66</v>
      </c>
      <c r="B68" s="2909" t="s">
        <v>3661</v>
      </c>
      <c r="C68" s="2909" t="s">
        <v>3661</v>
      </c>
      <c r="D68" s="2904" t="s">
        <v>20503</v>
      </c>
      <c r="E68" s="2904" t="s">
        <v>20504</v>
      </c>
      <c r="F68" s="2907" t="s">
        <v>20366</v>
      </c>
      <c r="G68" s="2908">
        <v>11.77</v>
      </c>
      <c r="H68" s="2908">
        <v>17.82</v>
      </c>
      <c r="I68" s="2910">
        <v>3</v>
      </c>
    </row>
    <row r="69" spans="1:9" x14ac:dyDescent="0.25">
      <c r="A69" s="2902">
        <v>67</v>
      </c>
      <c r="B69" s="2912" t="s">
        <v>20505</v>
      </c>
      <c r="C69" s="2912" t="s">
        <v>17273</v>
      </c>
      <c r="D69" s="2916" t="s">
        <v>20506</v>
      </c>
      <c r="E69" s="2904" t="s">
        <v>20426</v>
      </c>
      <c r="F69" s="2907" t="s">
        <v>20367</v>
      </c>
      <c r="G69" s="2908">
        <v>7.21</v>
      </c>
      <c r="H69" s="2908">
        <v>9.59</v>
      </c>
      <c r="I69" s="2910">
        <v>2</v>
      </c>
    </row>
    <row r="70" spans="1:9" x14ac:dyDescent="0.25">
      <c r="A70" s="2902">
        <v>68</v>
      </c>
      <c r="B70" s="2909" t="s">
        <v>20507</v>
      </c>
      <c r="C70" s="2909" t="s">
        <v>20507</v>
      </c>
      <c r="D70" s="2904" t="s">
        <v>20508</v>
      </c>
      <c r="E70" s="2904" t="s">
        <v>20428</v>
      </c>
      <c r="F70" s="2905" t="s">
        <v>20351</v>
      </c>
      <c r="G70" s="2908">
        <v>1.1599999999999999</v>
      </c>
      <c r="H70" s="2908">
        <v>4.2</v>
      </c>
      <c r="I70" s="2910">
        <v>3</v>
      </c>
    </row>
    <row r="71" spans="1:9" x14ac:dyDescent="0.25">
      <c r="A71" s="2902">
        <v>69</v>
      </c>
      <c r="B71" s="2909" t="s">
        <v>3661</v>
      </c>
      <c r="C71" s="2909" t="s">
        <v>3661</v>
      </c>
      <c r="D71" s="2904" t="s">
        <v>20509</v>
      </c>
      <c r="E71" s="2904" t="s">
        <v>20428</v>
      </c>
      <c r="F71" s="2905" t="s">
        <v>20329</v>
      </c>
      <c r="G71" s="2908">
        <v>0.52</v>
      </c>
      <c r="H71" s="2908">
        <v>2.625</v>
      </c>
      <c r="I71" s="2910">
        <v>3</v>
      </c>
    </row>
    <row r="72" spans="1:9" x14ac:dyDescent="0.25">
      <c r="A72" s="2902">
        <v>70</v>
      </c>
      <c r="B72" s="2909" t="s">
        <v>5782</v>
      </c>
      <c r="C72" s="2909" t="s">
        <v>5782</v>
      </c>
      <c r="D72" s="2904" t="s">
        <v>6475</v>
      </c>
      <c r="E72" s="2904" t="s">
        <v>20428</v>
      </c>
      <c r="F72" s="2907" t="s">
        <v>20354</v>
      </c>
      <c r="G72" s="2908">
        <v>0.62</v>
      </c>
      <c r="H72" s="2908">
        <v>1.27</v>
      </c>
      <c r="I72" s="2910">
        <v>2</v>
      </c>
    </row>
    <row r="73" spans="1:9" ht="38.25" x14ac:dyDescent="0.25">
      <c r="A73" s="2902">
        <v>71</v>
      </c>
      <c r="B73" s="2909" t="s">
        <v>8005</v>
      </c>
      <c r="C73" s="2909" t="s">
        <v>8005</v>
      </c>
      <c r="D73" s="2916" t="s">
        <v>20510</v>
      </c>
      <c r="E73" s="2904" t="s">
        <v>20428</v>
      </c>
      <c r="F73" s="2905" t="s">
        <v>20329</v>
      </c>
      <c r="G73" s="2908">
        <v>0.56000000000000005</v>
      </c>
      <c r="H73" s="2908">
        <v>2.0649999999999999</v>
      </c>
      <c r="I73" s="2910">
        <v>2</v>
      </c>
    </row>
    <row r="74" spans="1:9" x14ac:dyDescent="0.25">
      <c r="A74" s="2902">
        <v>72</v>
      </c>
      <c r="B74" s="2909" t="s">
        <v>10781</v>
      </c>
      <c r="C74" s="2909" t="s">
        <v>20511</v>
      </c>
      <c r="D74" s="2915" t="s">
        <v>20512</v>
      </c>
      <c r="E74" s="2904" t="s">
        <v>20428</v>
      </c>
      <c r="F74" s="2905" t="s">
        <v>20329</v>
      </c>
      <c r="G74" s="2908">
        <v>0.28000000000000003</v>
      </c>
      <c r="H74" s="2908">
        <v>2.3449999999999998</v>
      </c>
      <c r="I74" s="2910">
        <v>2</v>
      </c>
    </row>
    <row r="75" spans="1:9" ht="25.5" x14ac:dyDescent="0.25">
      <c r="A75" s="2902">
        <v>73</v>
      </c>
      <c r="B75" s="2909" t="s">
        <v>5782</v>
      </c>
      <c r="C75" s="2909" t="s">
        <v>5782</v>
      </c>
      <c r="D75" s="2904" t="s">
        <v>20513</v>
      </c>
      <c r="E75" s="2904" t="s">
        <v>20428</v>
      </c>
      <c r="F75" s="2905" t="s">
        <v>20360</v>
      </c>
      <c r="G75" s="2908">
        <v>0.33</v>
      </c>
      <c r="H75" s="2908">
        <v>1.35</v>
      </c>
      <c r="I75" s="2910">
        <v>2</v>
      </c>
    </row>
    <row r="76" spans="1:9" ht="25.5" x14ac:dyDescent="0.25">
      <c r="A76" s="2902">
        <v>74</v>
      </c>
      <c r="B76" s="2912" t="s">
        <v>20514</v>
      </c>
      <c r="C76" s="2912" t="s">
        <v>20424</v>
      </c>
      <c r="D76" s="2904" t="s">
        <v>20515</v>
      </c>
      <c r="E76" s="2904" t="s">
        <v>20430</v>
      </c>
      <c r="F76" s="2907" t="s">
        <v>20336</v>
      </c>
      <c r="G76" s="2908">
        <v>2.23</v>
      </c>
      <c r="H76" s="2908">
        <v>8.27</v>
      </c>
      <c r="I76" s="2910">
        <v>2</v>
      </c>
    </row>
    <row r="77" spans="1:9" ht="25.5" x14ac:dyDescent="0.25">
      <c r="A77" s="2902">
        <v>75</v>
      </c>
      <c r="B77" s="2909" t="s">
        <v>6410</v>
      </c>
      <c r="C77" s="2909" t="s">
        <v>6410</v>
      </c>
      <c r="D77" s="2904" t="s">
        <v>20516</v>
      </c>
      <c r="E77" s="2904" t="s">
        <v>20446</v>
      </c>
      <c r="F77" s="2907" t="s">
        <v>20336</v>
      </c>
      <c r="G77" s="2908">
        <v>5.54</v>
      </c>
      <c r="H77" s="2908">
        <v>5.15</v>
      </c>
      <c r="I77" s="2910">
        <v>3</v>
      </c>
    </row>
    <row r="78" spans="1:9" x14ac:dyDescent="0.25">
      <c r="A78" s="2902">
        <v>76</v>
      </c>
      <c r="B78" s="2912" t="s">
        <v>20517</v>
      </c>
      <c r="C78" s="2912" t="s">
        <v>20518</v>
      </c>
      <c r="D78" s="2915" t="s">
        <v>20519</v>
      </c>
      <c r="E78" s="2904" t="s">
        <v>20520</v>
      </c>
      <c r="F78" s="2907" t="s">
        <v>20416</v>
      </c>
      <c r="G78" s="2908">
        <v>15.9</v>
      </c>
      <c r="H78" s="2908">
        <v>50.250000000000007</v>
      </c>
      <c r="I78" s="2910">
        <v>2</v>
      </c>
    </row>
    <row r="79" spans="1:9" ht="25.5" x14ac:dyDescent="0.25">
      <c r="A79" s="2902">
        <v>77</v>
      </c>
      <c r="B79" s="2909" t="s">
        <v>10505</v>
      </c>
      <c r="C79" s="2909" t="s">
        <v>10505</v>
      </c>
      <c r="D79" s="2915" t="s">
        <v>12477</v>
      </c>
      <c r="E79" s="2904" t="s">
        <v>20446</v>
      </c>
      <c r="F79" s="2907" t="s">
        <v>20375</v>
      </c>
      <c r="G79" s="2908">
        <v>25.41</v>
      </c>
      <c r="H79" s="2908">
        <v>3.6000000000000014</v>
      </c>
      <c r="I79" s="2910">
        <v>3</v>
      </c>
    </row>
    <row r="80" spans="1:9" ht="25.5" x14ac:dyDescent="0.25">
      <c r="A80" s="2902">
        <v>78</v>
      </c>
      <c r="B80" s="2913" t="s">
        <v>5552</v>
      </c>
      <c r="C80" s="2913" t="s">
        <v>5552</v>
      </c>
      <c r="D80" s="2904" t="s">
        <v>20521</v>
      </c>
      <c r="E80" s="2904" t="s">
        <v>20428</v>
      </c>
      <c r="F80" s="2907" t="s">
        <v>20358</v>
      </c>
      <c r="G80" s="2908">
        <v>1.51</v>
      </c>
      <c r="H80" s="2908">
        <v>1.3149999999999999</v>
      </c>
      <c r="I80" s="2910">
        <v>3</v>
      </c>
    </row>
    <row r="81" spans="1:9" ht="25.5" x14ac:dyDescent="0.25">
      <c r="A81" s="2902">
        <v>79</v>
      </c>
      <c r="B81" s="2909" t="s">
        <v>8005</v>
      </c>
      <c r="C81" s="2909" t="s">
        <v>8005</v>
      </c>
      <c r="D81" s="2916" t="s">
        <v>20522</v>
      </c>
      <c r="E81" s="2904" t="s">
        <v>20428</v>
      </c>
      <c r="F81" s="2905" t="s">
        <v>20351</v>
      </c>
      <c r="G81" s="2908">
        <v>2.48</v>
      </c>
      <c r="H81" s="2908">
        <v>1.7200000000000002</v>
      </c>
      <c r="I81" s="2910">
        <v>2</v>
      </c>
    </row>
    <row r="82" spans="1:9" ht="25.5" x14ac:dyDescent="0.25">
      <c r="A82" s="2902">
        <v>80</v>
      </c>
      <c r="B82" s="2909" t="s">
        <v>18806</v>
      </c>
      <c r="C82" s="2909" t="s">
        <v>18806</v>
      </c>
      <c r="D82" s="2904" t="s">
        <v>20523</v>
      </c>
      <c r="E82" s="2904" t="s">
        <v>20428</v>
      </c>
      <c r="F82" s="2905" t="s">
        <v>20329</v>
      </c>
      <c r="G82" s="2908">
        <v>1.4822639999999998</v>
      </c>
      <c r="H82" s="2908">
        <v>1.1427360000000002</v>
      </c>
      <c r="I82" s="2910">
        <v>2</v>
      </c>
    </row>
    <row r="83" spans="1:9" x14ac:dyDescent="0.25">
      <c r="A83" s="2902">
        <v>81</v>
      </c>
      <c r="B83" s="2912" t="s">
        <v>20433</v>
      </c>
      <c r="C83" s="2912" t="s">
        <v>20434</v>
      </c>
      <c r="D83" s="2904" t="s">
        <v>20524</v>
      </c>
      <c r="E83" s="2904" t="s">
        <v>20525</v>
      </c>
      <c r="F83" s="2907" t="s">
        <v>20365</v>
      </c>
      <c r="G83" s="2908">
        <v>40.21</v>
      </c>
      <c r="H83" s="2908">
        <v>14.969999999999999</v>
      </c>
      <c r="I83" s="2910">
        <v>3</v>
      </c>
    </row>
    <row r="84" spans="1:9" x14ac:dyDescent="0.25">
      <c r="A84" s="2902">
        <v>82</v>
      </c>
      <c r="B84" s="2909" t="s">
        <v>17835</v>
      </c>
      <c r="C84" s="2909" t="s">
        <v>17835</v>
      </c>
      <c r="D84" s="2904" t="s">
        <v>20526</v>
      </c>
      <c r="E84" s="2904" t="s">
        <v>20428</v>
      </c>
      <c r="F84" s="2911" t="s">
        <v>20324</v>
      </c>
      <c r="G84" s="2908">
        <v>1.87</v>
      </c>
      <c r="H84" s="2908">
        <v>2.1150000000000002</v>
      </c>
      <c r="I84" s="2910">
        <v>3</v>
      </c>
    </row>
    <row r="85" spans="1:9" ht="25.5" x14ac:dyDescent="0.25">
      <c r="A85" s="2902">
        <v>83</v>
      </c>
      <c r="B85" s="2909" t="s">
        <v>13665</v>
      </c>
      <c r="C85" s="2909" t="s">
        <v>13665</v>
      </c>
      <c r="D85" s="2904" t="s">
        <v>20527</v>
      </c>
      <c r="E85" s="2904" t="s">
        <v>20446</v>
      </c>
      <c r="F85" s="2911" t="s">
        <v>20334</v>
      </c>
      <c r="G85" s="2908">
        <v>16.281895000000002</v>
      </c>
      <c r="H85" s="2908">
        <v>10.124651999999998</v>
      </c>
      <c r="I85" s="2910">
        <v>3</v>
      </c>
    </row>
    <row r="86" spans="1:9" x14ac:dyDescent="0.25">
      <c r="A86" s="2902">
        <v>84</v>
      </c>
      <c r="B86" s="2909" t="s">
        <v>3661</v>
      </c>
      <c r="C86" s="2909" t="s">
        <v>3661</v>
      </c>
      <c r="D86" s="2904" t="s">
        <v>6860</v>
      </c>
      <c r="E86" s="2904" t="s">
        <v>20428</v>
      </c>
      <c r="F86" s="2907" t="s">
        <v>20349</v>
      </c>
      <c r="G86" s="2908">
        <v>0.24</v>
      </c>
      <c r="H86" s="2908">
        <v>1.4400000000000002</v>
      </c>
      <c r="I86" s="2910">
        <v>3</v>
      </c>
    </row>
    <row r="87" spans="1:9" ht="25.5" x14ac:dyDescent="0.25">
      <c r="A87" s="2902">
        <v>85</v>
      </c>
      <c r="B87" s="2909" t="s">
        <v>9941</v>
      </c>
      <c r="C87" s="2909" t="s">
        <v>9941</v>
      </c>
      <c r="D87" s="2904" t="s">
        <v>20528</v>
      </c>
      <c r="E87" s="2904" t="s">
        <v>20428</v>
      </c>
      <c r="F87" s="2911" t="s">
        <v>20324</v>
      </c>
      <c r="G87" s="2908">
        <v>1.02</v>
      </c>
      <c r="H87" s="2908">
        <v>1.605</v>
      </c>
      <c r="I87" s="2910">
        <v>2</v>
      </c>
    </row>
    <row r="88" spans="1:9" x14ac:dyDescent="0.25">
      <c r="A88" s="2902">
        <v>86</v>
      </c>
      <c r="B88" s="2909" t="s">
        <v>5552</v>
      </c>
      <c r="C88" s="2909" t="s">
        <v>5552</v>
      </c>
      <c r="D88" s="2904" t="s">
        <v>20529</v>
      </c>
      <c r="E88" s="2904" t="s">
        <v>20430</v>
      </c>
      <c r="F88" s="2905" t="s">
        <v>20351</v>
      </c>
      <c r="G88" s="2908">
        <v>1.04</v>
      </c>
      <c r="H88" s="2908">
        <v>3.2600000000000002</v>
      </c>
      <c r="I88" s="2910">
        <v>3</v>
      </c>
    </row>
    <row r="89" spans="1:9" ht="25.5" x14ac:dyDescent="0.25">
      <c r="A89" s="2902">
        <v>87</v>
      </c>
      <c r="B89" s="2909" t="s">
        <v>18096</v>
      </c>
      <c r="C89" s="2909" t="s">
        <v>20478</v>
      </c>
      <c r="D89" s="2904" t="s">
        <v>20530</v>
      </c>
      <c r="E89" s="2904" t="s">
        <v>20428</v>
      </c>
      <c r="F89" s="2911" t="s">
        <v>20326</v>
      </c>
      <c r="G89" s="2908">
        <v>4.6500000000000004</v>
      </c>
      <c r="H89" s="2908">
        <v>1.2699999999999996</v>
      </c>
      <c r="I89" s="2910">
        <v>3</v>
      </c>
    </row>
    <row r="90" spans="1:9" ht="25.5" x14ac:dyDescent="0.25">
      <c r="A90" s="2902">
        <v>88</v>
      </c>
      <c r="B90" s="2909" t="s">
        <v>9941</v>
      </c>
      <c r="C90" s="2909" t="s">
        <v>9941</v>
      </c>
      <c r="D90" s="2904" t="s">
        <v>9959</v>
      </c>
      <c r="E90" s="2904" t="s">
        <v>20428</v>
      </c>
      <c r="F90" s="2905" t="s">
        <v>20329</v>
      </c>
      <c r="G90" s="2908">
        <v>0.31</v>
      </c>
      <c r="H90" s="2908">
        <v>2.625</v>
      </c>
      <c r="I90" s="2910">
        <v>3</v>
      </c>
    </row>
    <row r="91" spans="1:9" ht="25.5" x14ac:dyDescent="0.25">
      <c r="A91" s="2902">
        <v>89</v>
      </c>
      <c r="B91" s="2909" t="s">
        <v>12374</v>
      </c>
      <c r="C91" s="2909" t="s">
        <v>12374</v>
      </c>
      <c r="D91" s="2904" t="s">
        <v>20531</v>
      </c>
      <c r="E91" s="2904" t="s">
        <v>20461</v>
      </c>
      <c r="F91" s="2905" t="s">
        <v>20333</v>
      </c>
      <c r="G91" s="2908">
        <v>3.7086009999999998</v>
      </c>
      <c r="H91" s="2908">
        <v>2.9063990000000004</v>
      </c>
      <c r="I91" s="2910">
        <v>3</v>
      </c>
    </row>
    <row r="92" spans="1:9" x14ac:dyDescent="0.25">
      <c r="A92" s="2902">
        <v>90</v>
      </c>
      <c r="B92" s="2913" t="s">
        <v>5552</v>
      </c>
      <c r="C92" s="2913" t="s">
        <v>5552</v>
      </c>
      <c r="D92" s="2904" t="s">
        <v>20532</v>
      </c>
      <c r="E92" s="2904" t="s">
        <v>20461</v>
      </c>
      <c r="F92" s="2905" t="s">
        <v>20329</v>
      </c>
      <c r="G92" s="2908">
        <v>0.37</v>
      </c>
      <c r="H92" s="2908">
        <v>2.2549999999999999</v>
      </c>
      <c r="I92" s="2910">
        <v>2</v>
      </c>
    </row>
    <row r="93" spans="1:9" x14ac:dyDescent="0.25">
      <c r="A93" s="2902">
        <v>91</v>
      </c>
      <c r="B93" s="2909" t="s">
        <v>4204</v>
      </c>
      <c r="C93" s="2909" t="s">
        <v>4204</v>
      </c>
      <c r="D93" s="2916" t="s">
        <v>6050</v>
      </c>
      <c r="E93" s="2904" t="s">
        <v>20428</v>
      </c>
      <c r="F93" s="2905" t="s">
        <v>20333</v>
      </c>
      <c r="G93" s="2908">
        <v>5.26</v>
      </c>
      <c r="H93" s="2908">
        <v>1.3550000000000004</v>
      </c>
      <c r="I93" s="2910">
        <v>3</v>
      </c>
    </row>
    <row r="94" spans="1:9" ht="25.5" x14ac:dyDescent="0.25">
      <c r="A94" s="2902">
        <v>92</v>
      </c>
      <c r="B94" s="2909" t="s">
        <v>12374</v>
      </c>
      <c r="C94" s="2909" t="s">
        <v>12374</v>
      </c>
      <c r="D94" s="2904" t="s">
        <v>20533</v>
      </c>
      <c r="E94" s="2904" t="s">
        <v>20446</v>
      </c>
      <c r="F94" s="2907" t="s">
        <v>20336</v>
      </c>
      <c r="G94" s="2908">
        <v>8.0279439000000004</v>
      </c>
      <c r="H94" s="2908">
        <v>8.2485260999999994</v>
      </c>
      <c r="I94" s="2910">
        <v>3</v>
      </c>
    </row>
    <row r="95" spans="1:9" x14ac:dyDescent="0.25">
      <c r="A95" s="2902">
        <v>93</v>
      </c>
      <c r="B95" s="2909" t="s">
        <v>12374</v>
      </c>
      <c r="C95" s="2909" t="s">
        <v>12374</v>
      </c>
      <c r="D95" s="2904" t="s">
        <v>20534</v>
      </c>
      <c r="E95" s="2904" t="s">
        <v>20428</v>
      </c>
      <c r="F95" s="2905" t="s">
        <v>20333</v>
      </c>
      <c r="G95" s="2908">
        <v>3.7147424999999998</v>
      </c>
      <c r="H95" s="2908">
        <v>1.9902575000000002</v>
      </c>
      <c r="I95" s="2910">
        <v>2</v>
      </c>
    </row>
    <row r="96" spans="1:9" ht="25.5" x14ac:dyDescent="0.25">
      <c r="A96" s="2902">
        <v>94</v>
      </c>
      <c r="B96" s="2909" t="s">
        <v>12374</v>
      </c>
      <c r="C96" s="2909" t="s">
        <v>12374</v>
      </c>
      <c r="D96" s="2918" t="s">
        <v>20535</v>
      </c>
      <c r="E96" s="2905" t="s">
        <v>20536</v>
      </c>
      <c r="F96" s="2905" t="s">
        <v>20365</v>
      </c>
      <c r="G96" s="2905">
        <v>20.83</v>
      </c>
      <c r="H96" s="2905">
        <v>10.46</v>
      </c>
      <c r="I96" s="2910">
        <v>3</v>
      </c>
    </row>
    <row r="97" spans="1:9" ht="25.5" x14ac:dyDescent="0.25">
      <c r="A97" s="2902">
        <v>95</v>
      </c>
      <c r="B97" s="2909" t="s">
        <v>4204</v>
      </c>
      <c r="C97" s="2909" t="s">
        <v>4204</v>
      </c>
      <c r="D97" s="2916" t="s">
        <v>20537</v>
      </c>
      <c r="E97" s="2904" t="s">
        <v>20428</v>
      </c>
      <c r="F97" s="2905" t="s">
        <v>20351</v>
      </c>
      <c r="G97" s="2908">
        <v>2.85</v>
      </c>
      <c r="H97" s="2908">
        <v>1.35</v>
      </c>
      <c r="I97" s="2910">
        <v>2</v>
      </c>
    </row>
    <row r="98" spans="1:9" ht="25.5" x14ac:dyDescent="0.25">
      <c r="A98" s="2902">
        <v>96</v>
      </c>
      <c r="B98" s="2909" t="s">
        <v>5116</v>
      </c>
      <c r="C98" s="2909" t="s">
        <v>5116</v>
      </c>
      <c r="D98" s="2904" t="s">
        <v>20538</v>
      </c>
      <c r="E98" s="2904" t="s">
        <v>20428</v>
      </c>
      <c r="F98" s="2907" t="s">
        <v>20358</v>
      </c>
      <c r="G98" s="2908">
        <v>1.2</v>
      </c>
      <c r="H98" s="2908">
        <v>1.425</v>
      </c>
      <c r="I98" s="2910">
        <v>3</v>
      </c>
    </row>
    <row r="99" spans="1:9" x14ac:dyDescent="0.25">
      <c r="A99" s="2902">
        <v>97</v>
      </c>
      <c r="B99" s="2909" t="s">
        <v>13386</v>
      </c>
      <c r="C99" s="2909" t="s">
        <v>13386</v>
      </c>
      <c r="D99" s="2904" t="s">
        <v>20539</v>
      </c>
      <c r="E99" s="2904" t="s">
        <v>20428</v>
      </c>
      <c r="F99" s="2907" t="s">
        <v>20336</v>
      </c>
      <c r="G99" s="2908">
        <v>4.675325</v>
      </c>
      <c r="H99" s="2908">
        <v>4.6546750000000001</v>
      </c>
      <c r="I99" s="2910">
        <v>2</v>
      </c>
    </row>
    <row r="100" spans="1:9" ht="25.5" x14ac:dyDescent="0.25">
      <c r="A100" s="2902">
        <v>98</v>
      </c>
      <c r="B100" s="2909" t="s">
        <v>18096</v>
      </c>
      <c r="C100" s="2909" t="s">
        <v>20478</v>
      </c>
      <c r="D100" s="2904" t="s">
        <v>6103</v>
      </c>
      <c r="E100" s="2904" t="s">
        <v>20428</v>
      </c>
      <c r="F100" s="2917" t="s">
        <v>20322</v>
      </c>
      <c r="G100" s="2908">
        <v>0.56000000000000005</v>
      </c>
      <c r="H100" s="2908">
        <v>1.05</v>
      </c>
      <c r="I100" s="2910">
        <v>3</v>
      </c>
    </row>
    <row r="101" spans="1:9" ht="25.5" x14ac:dyDescent="0.25">
      <c r="A101" s="2902">
        <v>99</v>
      </c>
      <c r="B101" s="2909" t="s">
        <v>6542</v>
      </c>
      <c r="C101" s="2909" t="s">
        <v>6542</v>
      </c>
      <c r="D101" s="2904" t="s">
        <v>6920</v>
      </c>
      <c r="E101" s="2904" t="s">
        <v>20428</v>
      </c>
      <c r="F101" s="2911" t="s">
        <v>20324</v>
      </c>
      <c r="G101" s="2908">
        <v>1.79</v>
      </c>
      <c r="H101" s="2908">
        <v>2.605</v>
      </c>
      <c r="I101" s="2910">
        <v>3</v>
      </c>
    </row>
    <row r="102" spans="1:9" x14ac:dyDescent="0.25">
      <c r="A102" s="2902">
        <v>100</v>
      </c>
      <c r="B102" s="2909" t="s">
        <v>4865</v>
      </c>
      <c r="C102" s="2909" t="s">
        <v>4865</v>
      </c>
      <c r="D102" s="2904" t="s">
        <v>20540</v>
      </c>
      <c r="E102" s="2904" t="s">
        <v>20461</v>
      </c>
      <c r="F102" s="2905" t="s">
        <v>20333</v>
      </c>
      <c r="G102" s="2908">
        <v>1.2</v>
      </c>
      <c r="H102" s="2908">
        <v>5.7615259200000004</v>
      </c>
      <c r="I102" s="2910">
        <v>3</v>
      </c>
    </row>
    <row r="103" spans="1:9" x14ac:dyDescent="0.25">
      <c r="A103" s="2902">
        <v>101</v>
      </c>
      <c r="B103" s="2909" t="s">
        <v>10781</v>
      </c>
      <c r="C103" s="2909" t="s">
        <v>20511</v>
      </c>
      <c r="D103" s="2915" t="s">
        <v>20541</v>
      </c>
      <c r="E103" s="2904" t="s">
        <v>20446</v>
      </c>
      <c r="F103" s="2907" t="s">
        <v>20336</v>
      </c>
      <c r="G103" s="2908">
        <v>6.5</v>
      </c>
      <c r="H103" s="2908">
        <v>4</v>
      </c>
      <c r="I103" s="2910">
        <v>3</v>
      </c>
    </row>
    <row r="104" spans="1:9" ht="25.5" x14ac:dyDescent="0.25">
      <c r="A104" s="2902">
        <v>102</v>
      </c>
      <c r="B104" s="2909" t="s">
        <v>7498</v>
      </c>
      <c r="C104" s="2909" t="s">
        <v>7498</v>
      </c>
      <c r="D104" s="2916" t="s">
        <v>20542</v>
      </c>
      <c r="E104" s="2904" t="s">
        <v>20428</v>
      </c>
      <c r="F104" s="2907" t="s">
        <v>20374</v>
      </c>
      <c r="G104" s="2908">
        <v>0.56999999999999995</v>
      </c>
      <c r="H104" s="2908">
        <v>1.3200000000000003</v>
      </c>
      <c r="I104" s="2910">
        <v>2</v>
      </c>
    </row>
    <row r="105" spans="1:9" x14ac:dyDescent="0.25">
      <c r="A105" s="2902">
        <v>103</v>
      </c>
      <c r="B105" s="2909" t="s">
        <v>7498</v>
      </c>
      <c r="C105" s="2909" t="s">
        <v>7498</v>
      </c>
      <c r="D105" s="2916" t="s">
        <v>20543</v>
      </c>
      <c r="E105" s="2904" t="s">
        <v>20428</v>
      </c>
      <c r="F105" s="2911" t="s">
        <v>20324</v>
      </c>
      <c r="G105" s="2908">
        <v>1.46</v>
      </c>
      <c r="H105" s="2908">
        <v>1.165</v>
      </c>
      <c r="I105" s="2910">
        <v>3</v>
      </c>
    </row>
    <row r="106" spans="1:9" ht="25.5" x14ac:dyDescent="0.25">
      <c r="A106" s="2902">
        <v>104</v>
      </c>
      <c r="B106" s="2909" t="s">
        <v>6542</v>
      </c>
      <c r="C106" s="2909" t="s">
        <v>6542</v>
      </c>
      <c r="D106" s="2904" t="s">
        <v>20544</v>
      </c>
      <c r="E106" s="2904" t="s">
        <v>20428</v>
      </c>
      <c r="F106" s="2905" t="s">
        <v>20329</v>
      </c>
      <c r="G106" s="2908">
        <v>0.18</v>
      </c>
      <c r="H106" s="2908">
        <v>2.4449999999999998</v>
      </c>
      <c r="I106" s="2910">
        <v>2</v>
      </c>
    </row>
    <row r="107" spans="1:9" ht="38.25" x14ac:dyDescent="0.25">
      <c r="A107" s="2902">
        <v>105</v>
      </c>
      <c r="B107" s="2909" t="s">
        <v>5950</v>
      </c>
      <c r="C107" s="2909" t="s">
        <v>5950</v>
      </c>
      <c r="D107" s="2904" t="s">
        <v>20545</v>
      </c>
      <c r="E107" s="2904" t="s">
        <v>20428</v>
      </c>
      <c r="F107" s="2917" t="s">
        <v>20322</v>
      </c>
      <c r="G107" s="2908">
        <v>0.43</v>
      </c>
      <c r="H107" s="2908">
        <v>1.05</v>
      </c>
      <c r="I107" s="2910">
        <v>3</v>
      </c>
    </row>
    <row r="108" spans="1:9" x14ac:dyDescent="0.25">
      <c r="A108" s="2902">
        <v>106</v>
      </c>
      <c r="B108" s="2909" t="s">
        <v>5116</v>
      </c>
      <c r="C108" s="2909" t="s">
        <v>5116</v>
      </c>
      <c r="D108" s="2904" t="s">
        <v>20546</v>
      </c>
      <c r="E108" s="2904" t="s">
        <v>20461</v>
      </c>
      <c r="F108" s="2905" t="s">
        <v>20333</v>
      </c>
      <c r="G108" s="2908">
        <v>1.85</v>
      </c>
      <c r="H108" s="2908">
        <v>5.6064027999999997</v>
      </c>
      <c r="I108" s="2910">
        <v>3</v>
      </c>
    </row>
    <row r="109" spans="1:9" x14ac:dyDescent="0.25">
      <c r="A109" s="2902">
        <v>107</v>
      </c>
      <c r="B109" s="2909" t="s">
        <v>3661</v>
      </c>
      <c r="C109" s="2909" t="s">
        <v>3661</v>
      </c>
      <c r="D109" s="2904" t="s">
        <v>20547</v>
      </c>
      <c r="E109" s="2904" t="s">
        <v>20428</v>
      </c>
      <c r="F109" s="2907" t="s">
        <v>20349</v>
      </c>
      <c r="G109" s="2908">
        <v>0.3</v>
      </c>
      <c r="H109" s="2908">
        <v>1.3800000000000001</v>
      </c>
      <c r="I109" s="2910">
        <v>2</v>
      </c>
    </row>
    <row r="110" spans="1:9" x14ac:dyDescent="0.25">
      <c r="A110" s="2902">
        <v>108</v>
      </c>
      <c r="B110" s="2909" t="s">
        <v>9656</v>
      </c>
      <c r="C110" s="2909" t="s">
        <v>9656</v>
      </c>
      <c r="D110" s="2904" t="s">
        <v>20548</v>
      </c>
      <c r="E110" s="2904" t="s">
        <v>20446</v>
      </c>
      <c r="F110" s="2911" t="s">
        <v>20407</v>
      </c>
      <c r="G110" s="2908">
        <v>5.35</v>
      </c>
      <c r="H110" s="2908">
        <v>5.5493185999998849</v>
      </c>
      <c r="I110" s="2910">
        <v>3</v>
      </c>
    </row>
    <row r="111" spans="1:9" x14ac:dyDescent="0.25">
      <c r="A111" s="2902">
        <v>109</v>
      </c>
      <c r="B111" s="2909" t="s">
        <v>10781</v>
      </c>
      <c r="C111" s="2909" t="s">
        <v>20511</v>
      </c>
      <c r="D111" s="2915" t="s">
        <v>20549</v>
      </c>
      <c r="E111" s="2904" t="s">
        <v>20446</v>
      </c>
      <c r="F111" s="2911" t="s">
        <v>20334</v>
      </c>
      <c r="G111" s="2908">
        <v>14.41</v>
      </c>
      <c r="H111" s="2908">
        <v>11.84</v>
      </c>
      <c r="I111" s="2910">
        <v>3</v>
      </c>
    </row>
    <row r="112" spans="1:9" x14ac:dyDescent="0.25">
      <c r="A112" s="2902">
        <v>110</v>
      </c>
      <c r="B112" s="2909" t="s">
        <v>5116</v>
      </c>
      <c r="C112" s="2909" t="s">
        <v>5116</v>
      </c>
      <c r="D112" s="2904" t="s">
        <v>20550</v>
      </c>
      <c r="E112" s="2904" t="s">
        <v>20428</v>
      </c>
      <c r="F112" s="2905" t="s">
        <v>20329</v>
      </c>
      <c r="G112" s="2908">
        <v>0.36</v>
      </c>
      <c r="H112" s="2908">
        <v>2.2650000000000001</v>
      </c>
      <c r="I112" s="2910">
        <v>2</v>
      </c>
    </row>
    <row r="113" spans="1:9" x14ac:dyDescent="0.25">
      <c r="A113" s="2902">
        <v>111</v>
      </c>
      <c r="B113" s="2912" t="s">
        <v>20423</v>
      </c>
      <c r="C113" s="2912" t="s">
        <v>20424</v>
      </c>
      <c r="D113" s="2904" t="s">
        <v>20551</v>
      </c>
      <c r="E113" s="2904" t="s">
        <v>20430</v>
      </c>
      <c r="F113" s="2907" t="s">
        <v>20329</v>
      </c>
      <c r="G113" s="2908">
        <v>1.64</v>
      </c>
      <c r="H113" s="2908">
        <v>2.3849999999999998</v>
      </c>
      <c r="I113" s="2910">
        <v>3</v>
      </c>
    </row>
    <row r="114" spans="1:9" ht="25.5" x14ac:dyDescent="0.25">
      <c r="A114" s="2902">
        <v>112</v>
      </c>
      <c r="B114" s="2909" t="s">
        <v>20507</v>
      </c>
      <c r="C114" s="2909" t="s">
        <v>20507</v>
      </c>
      <c r="D114" s="2904" t="s">
        <v>20552</v>
      </c>
      <c r="E114" s="2904" t="s">
        <v>20428</v>
      </c>
      <c r="F114" s="2907" t="s">
        <v>20382</v>
      </c>
      <c r="G114" s="2908">
        <v>3.58</v>
      </c>
      <c r="H114" s="2908">
        <v>3.0623071999983433</v>
      </c>
      <c r="I114" s="2910">
        <v>3</v>
      </c>
    </row>
    <row r="115" spans="1:9" x14ac:dyDescent="0.25">
      <c r="A115" s="2902">
        <v>113</v>
      </c>
      <c r="B115" s="2909" t="s">
        <v>11076</v>
      </c>
      <c r="C115" s="2909" t="s">
        <v>11076</v>
      </c>
      <c r="D115" s="2915" t="s">
        <v>20553</v>
      </c>
      <c r="E115" s="2904" t="s">
        <v>20461</v>
      </c>
      <c r="F115" s="2905" t="s">
        <v>20333</v>
      </c>
      <c r="G115" s="2908">
        <v>2.86</v>
      </c>
      <c r="H115" s="2908">
        <v>3.7550000000000003</v>
      </c>
      <c r="I115" s="2910">
        <v>3</v>
      </c>
    </row>
    <row r="116" spans="1:9" x14ac:dyDescent="0.25">
      <c r="A116" s="2902">
        <v>114</v>
      </c>
      <c r="B116" s="2909" t="s">
        <v>9654</v>
      </c>
      <c r="C116" s="2909" t="s">
        <v>9654</v>
      </c>
      <c r="D116" s="2904" t="s">
        <v>20554</v>
      </c>
      <c r="E116" s="2904" t="s">
        <v>20428</v>
      </c>
      <c r="F116" s="2907" t="s">
        <v>20345</v>
      </c>
      <c r="G116" s="2908">
        <v>0.8</v>
      </c>
      <c r="H116" s="2908">
        <v>3.3000000000000003</v>
      </c>
      <c r="I116" s="2910">
        <v>3</v>
      </c>
    </row>
    <row r="117" spans="1:9" x14ac:dyDescent="0.25">
      <c r="A117" s="2902">
        <v>115</v>
      </c>
      <c r="B117" s="2909" t="s">
        <v>3661</v>
      </c>
      <c r="C117" s="2909" t="s">
        <v>3661</v>
      </c>
      <c r="D117" s="2904" t="s">
        <v>20555</v>
      </c>
      <c r="E117" s="2904" t="s">
        <v>20428</v>
      </c>
      <c r="F117" s="2905" t="s">
        <v>20360</v>
      </c>
      <c r="G117" s="2908">
        <v>0.26</v>
      </c>
      <c r="H117" s="2908">
        <v>1.4200000000000002</v>
      </c>
      <c r="I117" s="2910">
        <v>3</v>
      </c>
    </row>
    <row r="118" spans="1:9" ht="25.5" x14ac:dyDescent="0.25">
      <c r="A118" s="2902">
        <v>116</v>
      </c>
      <c r="B118" s="2909" t="s">
        <v>11565</v>
      </c>
      <c r="C118" s="2909" t="s">
        <v>11565</v>
      </c>
      <c r="D118" s="2915" t="s">
        <v>20556</v>
      </c>
      <c r="E118" s="2904" t="s">
        <v>20461</v>
      </c>
      <c r="F118" s="2907" t="s">
        <v>20336</v>
      </c>
      <c r="G118" s="2908">
        <v>6.2</v>
      </c>
      <c r="H118" s="2908">
        <v>4.3</v>
      </c>
      <c r="I118" s="2910">
        <v>2</v>
      </c>
    </row>
    <row r="119" spans="1:9" ht="25.5" x14ac:dyDescent="0.25">
      <c r="A119" s="2902">
        <v>117</v>
      </c>
      <c r="B119" s="2909" t="s">
        <v>4865</v>
      </c>
      <c r="C119" s="2909" t="s">
        <v>4865</v>
      </c>
      <c r="D119" s="2904" t="s">
        <v>20557</v>
      </c>
      <c r="E119" s="2904" t="s">
        <v>20430</v>
      </c>
      <c r="F119" s="2907" t="s">
        <v>20382</v>
      </c>
      <c r="G119" s="2908">
        <v>4.09</v>
      </c>
      <c r="H119" s="2908">
        <v>1.79</v>
      </c>
      <c r="I119" s="2910">
        <v>3</v>
      </c>
    </row>
    <row r="120" spans="1:9" x14ac:dyDescent="0.25">
      <c r="A120" s="2902">
        <v>118</v>
      </c>
      <c r="B120" s="2909" t="s">
        <v>15712</v>
      </c>
      <c r="C120" s="2909" t="s">
        <v>15712</v>
      </c>
      <c r="D120" s="2904" t="s">
        <v>19167</v>
      </c>
      <c r="E120" s="2904" t="s">
        <v>20446</v>
      </c>
      <c r="F120" s="2905" t="s">
        <v>20333</v>
      </c>
      <c r="G120" s="2908">
        <v>2.67</v>
      </c>
      <c r="H120" s="2908">
        <v>6.3450000000000006</v>
      </c>
      <c r="I120" s="2910">
        <v>3</v>
      </c>
    </row>
    <row r="121" spans="1:9" ht="25.5" x14ac:dyDescent="0.25">
      <c r="A121" s="2902">
        <v>119</v>
      </c>
      <c r="B121" s="2909" t="s">
        <v>3661</v>
      </c>
      <c r="C121" s="2909" t="s">
        <v>3661</v>
      </c>
      <c r="D121" s="2904" t="s">
        <v>20558</v>
      </c>
      <c r="E121" s="2904" t="s">
        <v>20428</v>
      </c>
      <c r="F121" s="2905" t="s">
        <v>20329</v>
      </c>
      <c r="G121" s="2908">
        <v>1.65</v>
      </c>
      <c r="H121" s="2908">
        <v>1.675</v>
      </c>
      <c r="I121" s="2910">
        <v>2</v>
      </c>
    </row>
    <row r="122" spans="1:9" ht="25.5" x14ac:dyDescent="0.25">
      <c r="A122" s="2902">
        <v>120</v>
      </c>
      <c r="B122" s="2912" t="s">
        <v>20433</v>
      </c>
      <c r="C122" s="2912" t="s">
        <v>20434</v>
      </c>
      <c r="D122" s="2904" t="s">
        <v>20559</v>
      </c>
      <c r="E122" s="2904" t="s">
        <v>20560</v>
      </c>
      <c r="F122" s="2907" t="s">
        <v>20367</v>
      </c>
      <c r="G122" s="2908">
        <v>7.35</v>
      </c>
      <c r="H122" s="2908">
        <v>9.4500000000000011</v>
      </c>
      <c r="I122" s="2910">
        <v>2</v>
      </c>
    </row>
    <row r="123" spans="1:9" x14ac:dyDescent="0.25">
      <c r="A123" s="2902">
        <v>121</v>
      </c>
      <c r="B123" s="2909" t="s">
        <v>8005</v>
      </c>
      <c r="C123" s="2909" t="s">
        <v>8005</v>
      </c>
      <c r="D123" s="2916" t="s">
        <v>20561</v>
      </c>
      <c r="E123" s="2904" t="s">
        <v>20446</v>
      </c>
      <c r="F123" s="2911" t="s">
        <v>20334</v>
      </c>
      <c r="G123" s="2908">
        <v>13.19</v>
      </c>
      <c r="H123" s="2908">
        <v>13.39</v>
      </c>
      <c r="I123" s="2910">
        <v>3</v>
      </c>
    </row>
    <row r="124" spans="1:9" x14ac:dyDescent="0.25">
      <c r="A124" s="2902">
        <v>122</v>
      </c>
      <c r="B124" s="2909" t="s">
        <v>18806</v>
      </c>
      <c r="C124" s="2909" t="s">
        <v>18806</v>
      </c>
      <c r="D124" s="2904" t="s">
        <v>20562</v>
      </c>
      <c r="E124" s="2904" t="s">
        <v>20446</v>
      </c>
      <c r="F124" s="2907" t="s">
        <v>20413</v>
      </c>
      <c r="G124" s="2908">
        <v>6.0389456000000008</v>
      </c>
      <c r="H124" s="2908">
        <v>5.4810543999999997</v>
      </c>
      <c r="I124" s="2910">
        <v>3</v>
      </c>
    </row>
    <row r="125" spans="1:9" x14ac:dyDescent="0.25">
      <c r="A125" s="2902">
        <v>123</v>
      </c>
      <c r="B125" s="2912" t="s">
        <v>20440</v>
      </c>
      <c r="C125" s="2912" t="s">
        <v>20441</v>
      </c>
      <c r="D125" s="2904" t="s">
        <v>20563</v>
      </c>
      <c r="E125" s="2904" t="s">
        <v>20454</v>
      </c>
      <c r="F125" s="2907" t="s">
        <v>20412</v>
      </c>
      <c r="G125" s="2908">
        <v>27.150000000000002</v>
      </c>
      <c r="H125" s="2908">
        <v>19.454099999999997</v>
      </c>
      <c r="I125" s="2910">
        <v>3</v>
      </c>
    </row>
    <row r="126" spans="1:9" x14ac:dyDescent="0.25">
      <c r="A126" s="2902">
        <v>124</v>
      </c>
      <c r="B126" s="2909" t="s">
        <v>5116</v>
      </c>
      <c r="C126" s="2909" t="s">
        <v>5116</v>
      </c>
      <c r="D126" s="2904" t="s">
        <v>20564</v>
      </c>
      <c r="E126" s="2904" t="s">
        <v>20446</v>
      </c>
      <c r="F126" s="2907" t="s">
        <v>20386</v>
      </c>
      <c r="G126" s="2908">
        <v>31.020000000000003</v>
      </c>
      <c r="H126" s="2908">
        <v>15.449387966595214</v>
      </c>
      <c r="I126" s="2910">
        <v>3</v>
      </c>
    </row>
    <row r="127" spans="1:9" ht="25.5" x14ac:dyDescent="0.25">
      <c r="A127" s="2902">
        <v>125</v>
      </c>
      <c r="B127" s="2909" t="s">
        <v>18096</v>
      </c>
      <c r="C127" s="2909" t="s">
        <v>20478</v>
      </c>
      <c r="D127" s="2904" t="s">
        <v>20565</v>
      </c>
      <c r="E127" s="2904" t="s">
        <v>20428</v>
      </c>
      <c r="F127" s="2907" t="s">
        <v>20331</v>
      </c>
      <c r="G127" s="2908">
        <v>1.01</v>
      </c>
      <c r="H127" s="2908">
        <v>2.09</v>
      </c>
      <c r="I127" s="2910">
        <v>3</v>
      </c>
    </row>
    <row r="128" spans="1:9" x14ac:dyDescent="0.25">
      <c r="A128" s="2902">
        <v>126</v>
      </c>
      <c r="B128" s="2909" t="s">
        <v>5116</v>
      </c>
      <c r="C128" s="2909" t="s">
        <v>5116</v>
      </c>
      <c r="D128" s="2904" t="s">
        <v>20566</v>
      </c>
      <c r="E128" s="2904" t="s">
        <v>20428</v>
      </c>
      <c r="F128" s="2907" t="s">
        <v>20336</v>
      </c>
      <c r="G128" s="2908">
        <v>10.17</v>
      </c>
      <c r="H128" s="2908">
        <v>2.854208400000001</v>
      </c>
      <c r="I128" s="2910">
        <v>3</v>
      </c>
    </row>
    <row r="129" spans="1:9" ht="25.5" x14ac:dyDescent="0.25">
      <c r="A129" s="2902">
        <v>127</v>
      </c>
      <c r="B129" s="2909" t="s">
        <v>6265</v>
      </c>
      <c r="C129" s="2909" t="s">
        <v>6265</v>
      </c>
      <c r="D129" s="2904" t="s">
        <v>13311</v>
      </c>
      <c r="E129" s="2904" t="s">
        <v>20428</v>
      </c>
      <c r="F129" s="2905" t="s">
        <v>20329</v>
      </c>
      <c r="G129" s="2908">
        <v>0.49</v>
      </c>
      <c r="H129" s="2908">
        <v>2.1349999999999998</v>
      </c>
      <c r="I129" s="2910">
        <v>2</v>
      </c>
    </row>
    <row r="130" spans="1:9" x14ac:dyDescent="0.25">
      <c r="A130" s="2902">
        <v>128</v>
      </c>
      <c r="B130" s="2909" t="s">
        <v>17152</v>
      </c>
      <c r="C130" s="2909" t="s">
        <v>8648</v>
      </c>
      <c r="D130" s="2916" t="s">
        <v>20567</v>
      </c>
      <c r="E130" s="2904" t="s">
        <v>20446</v>
      </c>
      <c r="F130" s="2907" t="s">
        <v>20336</v>
      </c>
      <c r="G130" s="2908">
        <v>4.12</v>
      </c>
      <c r="H130" s="2908">
        <v>6.6099999999999994</v>
      </c>
      <c r="I130" s="2910">
        <v>3</v>
      </c>
    </row>
    <row r="131" spans="1:9" x14ac:dyDescent="0.25">
      <c r="A131" s="2902">
        <v>129</v>
      </c>
      <c r="B131" s="2909" t="s">
        <v>5950</v>
      </c>
      <c r="C131" s="2909" t="s">
        <v>5950</v>
      </c>
      <c r="D131" s="2904" t="s">
        <v>20568</v>
      </c>
      <c r="E131" s="2904" t="s">
        <v>20428</v>
      </c>
      <c r="F131" s="2905" t="s">
        <v>20329</v>
      </c>
      <c r="G131" s="2908">
        <v>0.3</v>
      </c>
      <c r="H131" s="2908">
        <v>2.625</v>
      </c>
      <c r="I131" s="2910">
        <v>3</v>
      </c>
    </row>
    <row r="132" spans="1:9" x14ac:dyDescent="0.25">
      <c r="A132" s="2902">
        <v>130</v>
      </c>
      <c r="B132" s="2909" t="s">
        <v>8005</v>
      </c>
      <c r="C132" s="2909" t="s">
        <v>8005</v>
      </c>
      <c r="D132" s="2916" t="s">
        <v>20569</v>
      </c>
      <c r="E132" s="2904" t="s">
        <v>20428</v>
      </c>
      <c r="F132" s="2905" t="s">
        <v>20329</v>
      </c>
      <c r="G132" s="2908">
        <v>0.16</v>
      </c>
      <c r="H132" s="2908">
        <v>2.4649999999999999</v>
      </c>
      <c r="I132" s="2910">
        <v>2</v>
      </c>
    </row>
    <row r="133" spans="1:9" x14ac:dyDescent="0.25">
      <c r="A133" s="2902">
        <v>131</v>
      </c>
      <c r="B133" s="2909" t="s">
        <v>6823</v>
      </c>
      <c r="C133" s="2909" t="s">
        <v>6823</v>
      </c>
      <c r="D133" s="2904" t="s">
        <v>6896</v>
      </c>
      <c r="E133" s="2904" t="s">
        <v>20446</v>
      </c>
      <c r="F133" s="2907" t="s">
        <v>20336</v>
      </c>
      <c r="G133" s="2908">
        <v>5.19</v>
      </c>
      <c r="H133" s="2908">
        <v>9.379999999999999</v>
      </c>
      <c r="I133" s="2910">
        <v>3</v>
      </c>
    </row>
    <row r="134" spans="1:9" x14ac:dyDescent="0.25">
      <c r="A134" s="2902">
        <v>132</v>
      </c>
      <c r="B134" s="2909" t="s">
        <v>12374</v>
      </c>
      <c r="C134" s="2909" t="s">
        <v>12374</v>
      </c>
      <c r="D134" s="2904" t="s">
        <v>20570</v>
      </c>
      <c r="E134" s="2904" t="s">
        <v>20428</v>
      </c>
      <c r="F134" s="2905" t="s">
        <v>20351</v>
      </c>
      <c r="G134" s="2908">
        <v>2.9157419999999998</v>
      </c>
      <c r="H134" s="2908">
        <v>1.2842580000000003</v>
      </c>
      <c r="I134" s="2910">
        <v>2</v>
      </c>
    </row>
    <row r="135" spans="1:9" x14ac:dyDescent="0.25">
      <c r="A135" s="2902">
        <v>133</v>
      </c>
      <c r="B135" s="2909" t="s">
        <v>10781</v>
      </c>
      <c r="C135" s="2909" t="s">
        <v>20511</v>
      </c>
      <c r="D135" s="2915" t="s">
        <v>20571</v>
      </c>
      <c r="E135" s="2904" t="s">
        <v>20428</v>
      </c>
      <c r="F135" s="2905" t="s">
        <v>20329</v>
      </c>
      <c r="G135" s="2908">
        <v>1.1399999999999999</v>
      </c>
      <c r="H135" s="2908">
        <v>1.4850000000000001</v>
      </c>
      <c r="I135" s="2910">
        <v>2</v>
      </c>
    </row>
    <row r="136" spans="1:9" x14ac:dyDescent="0.25">
      <c r="A136" s="2902">
        <v>134</v>
      </c>
      <c r="B136" s="2909" t="s">
        <v>10781</v>
      </c>
      <c r="C136" s="2909" t="s">
        <v>20511</v>
      </c>
      <c r="D136" s="2915" t="s">
        <v>20572</v>
      </c>
      <c r="E136" s="2904" t="s">
        <v>20428</v>
      </c>
      <c r="F136" s="2907" t="s">
        <v>20349</v>
      </c>
      <c r="G136" s="2908">
        <v>0.6</v>
      </c>
      <c r="H136" s="2908">
        <v>1.08</v>
      </c>
      <c r="I136" s="2910">
        <v>2</v>
      </c>
    </row>
    <row r="137" spans="1:9" x14ac:dyDescent="0.25">
      <c r="A137" s="2902">
        <v>135</v>
      </c>
      <c r="B137" s="2909" t="s">
        <v>12374</v>
      </c>
      <c r="C137" s="2909" t="s">
        <v>12374</v>
      </c>
      <c r="D137" s="2904" t="s">
        <v>20573</v>
      </c>
      <c r="E137" s="2905" t="s">
        <v>20446</v>
      </c>
      <c r="F137" s="2905" t="s">
        <v>20365</v>
      </c>
      <c r="G137" s="2905">
        <v>30.39</v>
      </c>
      <c r="H137" s="2905">
        <v>11.87</v>
      </c>
      <c r="I137" s="2910">
        <v>3</v>
      </c>
    </row>
    <row r="138" spans="1:9" x14ac:dyDescent="0.25">
      <c r="A138" s="2902">
        <v>136</v>
      </c>
      <c r="B138" s="2913" t="s">
        <v>5552</v>
      </c>
      <c r="C138" s="2913" t="s">
        <v>5552</v>
      </c>
      <c r="D138" s="2904" t="s">
        <v>20574</v>
      </c>
      <c r="E138" s="2904" t="s">
        <v>20428</v>
      </c>
      <c r="F138" s="2907" t="s">
        <v>20350</v>
      </c>
      <c r="G138" s="2908">
        <v>0.49</v>
      </c>
      <c r="H138" s="2908">
        <v>1.1900000000000002</v>
      </c>
      <c r="I138" s="2910">
        <v>2</v>
      </c>
    </row>
    <row r="139" spans="1:9" ht="25.5" x14ac:dyDescent="0.25">
      <c r="A139" s="2902">
        <v>137</v>
      </c>
      <c r="B139" s="2909" t="s">
        <v>11235</v>
      </c>
      <c r="C139" s="2909" t="s">
        <v>11235</v>
      </c>
      <c r="D139" s="2915" t="s">
        <v>20575</v>
      </c>
      <c r="E139" s="2904" t="s">
        <v>20446</v>
      </c>
      <c r="F139" s="2911" t="s">
        <v>20407</v>
      </c>
      <c r="G139" s="2908">
        <v>6.54</v>
      </c>
      <c r="H139" s="2908">
        <v>3.96</v>
      </c>
      <c r="I139" s="2910">
        <v>3</v>
      </c>
    </row>
    <row r="140" spans="1:9" x14ac:dyDescent="0.25">
      <c r="A140" s="2902">
        <v>138</v>
      </c>
      <c r="B140" s="2914" t="s">
        <v>11565</v>
      </c>
      <c r="C140" s="2914" t="s">
        <v>11565</v>
      </c>
      <c r="D140" s="2915" t="s">
        <v>13603</v>
      </c>
      <c r="E140" s="2904" t="s">
        <v>20461</v>
      </c>
      <c r="F140" s="2905" t="s">
        <v>20329</v>
      </c>
      <c r="G140" s="2908">
        <v>0.4</v>
      </c>
      <c r="H140" s="2908">
        <v>2.2250000000000001</v>
      </c>
      <c r="I140" s="2910">
        <v>2</v>
      </c>
    </row>
    <row r="141" spans="1:9" x14ac:dyDescent="0.25">
      <c r="A141" s="2902">
        <v>139</v>
      </c>
      <c r="B141" s="2909" t="s">
        <v>11235</v>
      </c>
      <c r="C141" s="2909" t="s">
        <v>11235</v>
      </c>
      <c r="D141" s="2915" t="s">
        <v>20576</v>
      </c>
      <c r="E141" s="2904" t="s">
        <v>20428</v>
      </c>
      <c r="F141" s="2905" t="s">
        <v>20351</v>
      </c>
      <c r="G141" s="2908">
        <v>1.32</v>
      </c>
      <c r="H141" s="2908">
        <v>2.88</v>
      </c>
      <c r="I141" s="2910">
        <v>2</v>
      </c>
    </row>
    <row r="142" spans="1:9" x14ac:dyDescent="0.25">
      <c r="A142" s="2902">
        <v>140</v>
      </c>
      <c r="B142" s="2909" t="s">
        <v>12374</v>
      </c>
      <c r="C142" s="2909" t="s">
        <v>12374</v>
      </c>
      <c r="D142" s="2904" t="s">
        <v>20577</v>
      </c>
      <c r="E142" s="2905" t="s">
        <v>20428</v>
      </c>
      <c r="F142" s="2905" t="s">
        <v>20367</v>
      </c>
      <c r="G142" s="2905">
        <v>13.5</v>
      </c>
      <c r="H142" s="2905">
        <v>3.3</v>
      </c>
      <c r="I142" s="2910">
        <v>2</v>
      </c>
    </row>
    <row r="143" spans="1:9" x14ac:dyDescent="0.25">
      <c r="A143" s="2902">
        <v>141</v>
      </c>
      <c r="B143" s="2909" t="s">
        <v>7195</v>
      </c>
      <c r="C143" s="2909" t="s">
        <v>7195</v>
      </c>
      <c r="D143" s="2904" t="s">
        <v>20578</v>
      </c>
      <c r="E143" s="2904" t="s">
        <v>20428</v>
      </c>
      <c r="F143" s="2907" t="s">
        <v>20332</v>
      </c>
      <c r="G143" s="2908">
        <v>3.8</v>
      </c>
      <c r="H143" s="2908">
        <v>1.6600000000000006</v>
      </c>
      <c r="I143" s="2910">
        <v>3</v>
      </c>
    </row>
    <row r="144" spans="1:9" x14ac:dyDescent="0.25">
      <c r="A144" s="2902">
        <v>142</v>
      </c>
      <c r="B144" s="2909" t="s">
        <v>3661</v>
      </c>
      <c r="C144" s="2909" t="s">
        <v>3661</v>
      </c>
      <c r="D144" s="2904" t="s">
        <v>20579</v>
      </c>
      <c r="E144" s="2904" t="s">
        <v>20428</v>
      </c>
      <c r="F144" s="2905" t="s">
        <v>20329</v>
      </c>
      <c r="G144" s="2908">
        <v>0.64</v>
      </c>
      <c r="H144" s="2908">
        <v>1.9849999999999999</v>
      </c>
      <c r="I144" s="2910">
        <v>2</v>
      </c>
    </row>
    <row r="145" spans="1:9" x14ac:dyDescent="0.25">
      <c r="A145" s="2902">
        <v>143</v>
      </c>
      <c r="B145" s="2909" t="s">
        <v>4204</v>
      </c>
      <c r="C145" s="2909" t="s">
        <v>4204</v>
      </c>
      <c r="D145" s="2916" t="s">
        <v>20580</v>
      </c>
      <c r="E145" s="2904" t="s">
        <v>20428</v>
      </c>
      <c r="F145" s="2907" t="s">
        <v>20331</v>
      </c>
      <c r="G145" s="2908">
        <v>0.45</v>
      </c>
      <c r="H145" s="2908">
        <v>1.2300000000000002</v>
      </c>
      <c r="I145" s="2910">
        <v>2</v>
      </c>
    </row>
    <row r="146" spans="1:9" ht="25.5" x14ac:dyDescent="0.25">
      <c r="A146" s="2902">
        <v>144</v>
      </c>
      <c r="B146" s="2909" t="s">
        <v>15357</v>
      </c>
      <c r="C146" s="2909" t="s">
        <v>15357</v>
      </c>
      <c r="D146" s="2904" t="s">
        <v>20581</v>
      </c>
      <c r="E146" s="2904" t="s">
        <v>20428</v>
      </c>
      <c r="F146" s="2905" t="s">
        <v>20351</v>
      </c>
      <c r="G146" s="2908">
        <v>1.89</v>
      </c>
      <c r="H146" s="2908">
        <v>2.3100000000000005</v>
      </c>
      <c r="I146" s="2910">
        <v>2</v>
      </c>
    </row>
    <row r="147" spans="1:9" x14ac:dyDescent="0.25">
      <c r="A147" s="2902">
        <v>145</v>
      </c>
      <c r="B147" s="2914" t="s">
        <v>9941</v>
      </c>
      <c r="C147" s="2914" t="s">
        <v>9941</v>
      </c>
      <c r="D147" s="2904" t="s">
        <v>9964</v>
      </c>
      <c r="E147" s="2904" t="s">
        <v>20446</v>
      </c>
      <c r="F147" s="2905" t="s">
        <v>20367</v>
      </c>
      <c r="G147" s="2908">
        <v>11</v>
      </c>
      <c r="H147" s="2908">
        <v>9.6900710800000009</v>
      </c>
      <c r="I147" s="2910">
        <v>3</v>
      </c>
    </row>
    <row r="148" spans="1:9" ht="25.5" x14ac:dyDescent="0.25">
      <c r="A148" s="2902">
        <v>146</v>
      </c>
      <c r="B148" s="2909" t="s">
        <v>12374</v>
      </c>
      <c r="C148" s="2909" t="s">
        <v>12374</v>
      </c>
      <c r="D148" s="2904" t="s">
        <v>20582</v>
      </c>
      <c r="E148" s="2904" t="s">
        <v>20430</v>
      </c>
      <c r="F148" s="2907" t="s">
        <v>20336</v>
      </c>
      <c r="G148" s="2908">
        <v>5.9851080000000003</v>
      </c>
      <c r="H148" s="2908">
        <v>4.5148919999999997</v>
      </c>
      <c r="I148" s="2910">
        <v>2</v>
      </c>
    </row>
    <row r="149" spans="1:9" ht="25.5" x14ac:dyDescent="0.25">
      <c r="A149" s="2902">
        <v>147</v>
      </c>
      <c r="B149" s="2909" t="s">
        <v>12698</v>
      </c>
      <c r="C149" s="2909" t="s">
        <v>12374</v>
      </c>
      <c r="D149" s="2904" t="s">
        <v>20583</v>
      </c>
      <c r="E149" s="2904" t="s">
        <v>20428</v>
      </c>
      <c r="F149" s="2905" t="s">
        <v>20329</v>
      </c>
      <c r="G149" s="2908">
        <v>0.28510400000000002</v>
      </c>
      <c r="H149" s="2908">
        <v>1.9938959999999999</v>
      </c>
      <c r="I149" s="2910">
        <v>3</v>
      </c>
    </row>
    <row r="150" spans="1:9" ht="25.5" x14ac:dyDescent="0.25">
      <c r="A150" s="2902">
        <v>148</v>
      </c>
      <c r="B150" s="2909" t="s">
        <v>9941</v>
      </c>
      <c r="C150" s="2909" t="s">
        <v>9941</v>
      </c>
      <c r="D150" s="2904" t="s">
        <v>20584</v>
      </c>
      <c r="E150" s="2904" t="s">
        <v>20428</v>
      </c>
      <c r="F150" s="2905" t="s">
        <v>20351</v>
      </c>
      <c r="G150" s="2908">
        <v>1.1100000000000001</v>
      </c>
      <c r="H150" s="2908">
        <v>3.09</v>
      </c>
      <c r="I150" s="2910">
        <v>2</v>
      </c>
    </row>
    <row r="151" spans="1:9" x14ac:dyDescent="0.25">
      <c r="A151" s="2902">
        <v>149</v>
      </c>
      <c r="B151" s="2909" t="s">
        <v>4204</v>
      </c>
      <c r="C151" s="2909" t="s">
        <v>4204</v>
      </c>
      <c r="D151" s="2916" t="s">
        <v>20585</v>
      </c>
      <c r="E151" s="2904" t="s">
        <v>20428</v>
      </c>
      <c r="F151" s="2905" t="s">
        <v>20329</v>
      </c>
      <c r="G151" s="2908">
        <v>0.32</v>
      </c>
      <c r="H151" s="2908">
        <v>2.3050000000000002</v>
      </c>
      <c r="I151" s="2910">
        <v>2</v>
      </c>
    </row>
    <row r="152" spans="1:9" ht="25.5" x14ac:dyDescent="0.25">
      <c r="A152" s="2902">
        <v>150</v>
      </c>
      <c r="B152" s="2914" t="s">
        <v>11565</v>
      </c>
      <c r="C152" s="2914" t="s">
        <v>11565</v>
      </c>
      <c r="D152" s="2915" t="s">
        <v>20586</v>
      </c>
      <c r="E152" s="2904" t="s">
        <v>20446</v>
      </c>
      <c r="F152" s="2911" t="s">
        <v>20334</v>
      </c>
      <c r="G152" s="2908">
        <v>9.1</v>
      </c>
      <c r="H152" s="2908">
        <v>17.350000000000001</v>
      </c>
      <c r="I152" s="2910">
        <v>3</v>
      </c>
    </row>
    <row r="153" spans="1:9" ht="25.5" x14ac:dyDescent="0.25">
      <c r="A153" s="2902">
        <v>151</v>
      </c>
      <c r="B153" s="2909" t="s">
        <v>15712</v>
      </c>
      <c r="C153" s="2909" t="s">
        <v>15712</v>
      </c>
      <c r="D153" s="2904" t="s">
        <v>20587</v>
      </c>
      <c r="E153" s="2904" t="s">
        <v>20428</v>
      </c>
      <c r="F153" s="2907" t="s">
        <v>20331</v>
      </c>
      <c r="G153" s="2908">
        <v>0.43</v>
      </c>
      <c r="H153" s="2908">
        <v>1.9800000000000002</v>
      </c>
      <c r="I153" s="2910">
        <v>2</v>
      </c>
    </row>
    <row r="154" spans="1:9" ht="25.5" x14ac:dyDescent="0.25">
      <c r="A154" s="2902">
        <v>152</v>
      </c>
      <c r="B154" s="2909" t="s">
        <v>3661</v>
      </c>
      <c r="C154" s="2909" t="s">
        <v>3661</v>
      </c>
      <c r="D154" s="2904" t="s">
        <v>20588</v>
      </c>
      <c r="E154" s="2904" t="s">
        <v>20428</v>
      </c>
      <c r="F154" s="2907" t="s">
        <v>20350</v>
      </c>
      <c r="G154" s="2908">
        <v>0.61</v>
      </c>
      <c r="H154" s="2908">
        <v>1.6800000000000002</v>
      </c>
      <c r="I154" s="2910">
        <v>3</v>
      </c>
    </row>
    <row r="155" spans="1:9" x14ac:dyDescent="0.25">
      <c r="A155" s="2902">
        <v>153</v>
      </c>
      <c r="B155" s="2914" t="s">
        <v>11565</v>
      </c>
      <c r="C155" s="2914" t="s">
        <v>11565</v>
      </c>
      <c r="D155" s="2915" t="s">
        <v>20589</v>
      </c>
      <c r="E155" s="2904" t="s">
        <v>20446</v>
      </c>
      <c r="F155" s="2911" t="s">
        <v>20365</v>
      </c>
      <c r="G155" s="2908">
        <v>19.41</v>
      </c>
      <c r="H155" s="2908">
        <v>29.17</v>
      </c>
      <c r="I155" s="2910">
        <v>3</v>
      </c>
    </row>
    <row r="156" spans="1:9" x14ac:dyDescent="0.25">
      <c r="A156" s="2902">
        <v>154</v>
      </c>
      <c r="B156" s="2909" t="s">
        <v>9654</v>
      </c>
      <c r="C156" s="2909" t="s">
        <v>9654</v>
      </c>
      <c r="D156" s="2904" t="s">
        <v>20590</v>
      </c>
      <c r="E156" s="2904" t="s">
        <v>20446</v>
      </c>
      <c r="F156" s="2911" t="s">
        <v>20334</v>
      </c>
      <c r="G156" s="2908">
        <v>16.47</v>
      </c>
      <c r="H156" s="2908">
        <v>11.340000000000002</v>
      </c>
      <c r="I156" s="2910">
        <v>3</v>
      </c>
    </row>
    <row r="157" spans="1:9" x14ac:dyDescent="0.25">
      <c r="A157" s="2902">
        <v>155</v>
      </c>
      <c r="B157" s="2909" t="s">
        <v>6265</v>
      </c>
      <c r="C157" s="2909" t="s">
        <v>6265</v>
      </c>
      <c r="D157" s="2904" t="s">
        <v>20591</v>
      </c>
      <c r="E157" s="2904" t="s">
        <v>20446</v>
      </c>
      <c r="F157" s="2905" t="s">
        <v>20367</v>
      </c>
      <c r="G157" s="2908">
        <v>3.5</v>
      </c>
      <c r="H157" s="2908">
        <v>16.54</v>
      </c>
      <c r="I157" s="2910">
        <v>3</v>
      </c>
    </row>
    <row r="158" spans="1:9" ht="25.5" x14ac:dyDescent="0.25">
      <c r="A158" s="2902">
        <v>156</v>
      </c>
      <c r="B158" s="2909" t="s">
        <v>12374</v>
      </c>
      <c r="C158" s="2909" t="s">
        <v>12374</v>
      </c>
      <c r="D158" s="2904" t="s">
        <v>12480</v>
      </c>
      <c r="E158" s="2904" t="s">
        <v>20428</v>
      </c>
      <c r="F158" s="2905" t="s">
        <v>20333</v>
      </c>
      <c r="G158" s="2908">
        <v>4.597302</v>
      </c>
      <c r="H158" s="2908">
        <v>2.0176980000000002</v>
      </c>
      <c r="I158" s="2910">
        <v>3</v>
      </c>
    </row>
    <row r="159" spans="1:9" x14ac:dyDescent="0.25">
      <c r="A159" s="2902">
        <v>157</v>
      </c>
      <c r="B159" s="2912" t="s">
        <v>20592</v>
      </c>
      <c r="C159" s="2912" t="s">
        <v>20593</v>
      </c>
      <c r="D159" s="2904" t="s">
        <v>20594</v>
      </c>
      <c r="E159" s="2904" t="s">
        <v>20446</v>
      </c>
      <c r="F159" s="2907" t="s">
        <v>20334</v>
      </c>
      <c r="G159" s="2908">
        <v>1.5589999999999999</v>
      </c>
      <c r="H159" s="2908">
        <v>14.451000000000002</v>
      </c>
      <c r="I159" s="2910">
        <v>3</v>
      </c>
    </row>
    <row r="160" spans="1:9" x14ac:dyDescent="0.25">
      <c r="A160" s="2902">
        <v>158</v>
      </c>
      <c r="B160" s="2909" t="s">
        <v>5950</v>
      </c>
      <c r="C160" s="2909" t="s">
        <v>5950</v>
      </c>
      <c r="D160" s="2904" t="s">
        <v>5990</v>
      </c>
      <c r="E160" s="2904" t="s">
        <v>20446</v>
      </c>
      <c r="F160" s="2911" t="s">
        <v>20334</v>
      </c>
      <c r="G160" s="2908">
        <v>16.510000000000002</v>
      </c>
      <c r="H160" s="2908">
        <v>26.25</v>
      </c>
      <c r="I160" s="2910">
        <v>3</v>
      </c>
    </row>
    <row r="161" spans="1:9" x14ac:dyDescent="0.25">
      <c r="A161" s="2902">
        <v>159</v>
      </c>
      <c r="B161" s="2909" t="s">
        <v>8005</v>
      </c>
      <c r="C161" s="2909" t="s">
        <v>8005</v>
      </c>
      <c r="D161" s="2916" t="s">
        <v>20595</v>
      </c>
      <c r="E161" s="2904" t="s">
        <v>20428</v>
      </c>
      <c r="F161" s="2905" t="s">
        <v>20351</v>
      </c>
      <c r="G161" s="2908">
        <v>0.22</v>
      </c>
      <c r="H161" s="2908">
        <v>3.98</v>
      </c>
      <c r="I161" s="2910">
        <v>2</v>
      </c>
    </row>
    <row r="162" spans="1:9" x14ac:dyDescent="0.25">
      <c r="A162" s="2902">
        <v>160</v>
      </c>
      <c r="B162" s="2909" t="s">
        <v>17152</v>
      </c>
      <c r="C162" s="2909" t="s">
        <v>8648</v>
      </c>
      <c r="D162" s="2916" t="s">
        <v>20596</v>
      </c>
      <c r="E162" s="2904" t="s">
        <v>20428</v>
      </c>
      <c r="F162" s="2905" t="s">
        <v>20329</v>
      </c>
      <c r="G162" s="2908">
        <v>0.56000000000000005</v>
      </c>
      <c r="H162" s="2908">
        <v>2.0649999999999999</v>
      </c>
      <c r="I162" s="2910">
        <v>2</v>
      </c>
    </row>
    <row r="163" spans="1:9" x14ac:dyDescent="0.25">
      <c r="A163" s="2902">
        <v>161</v>
      </c>
      <c r="B163" s="2909" t="s">
        <v>6265</v>
      </c>
      <c r="C163" s="2909" t="s">
        <v>6265</v>
      </c>
      <c r="D163" s="2904" t="s">
        <v>20597</v>
      </c>
      <c r="E163" s="2904" t="s">
        <v>20428</v>
      </c>
      <c r="F163" s="2905" t="s">
        <v>20329</v>
      </c>
      <c r="G163" s="2908">
        <v>1.88</v>
      </c>
      <c r="H163" s="2908">
        <v>2.625</v>
      </c>
      <c r="I163" s="2910">
        <v>3</v>
      </c>
    </row>
    <row r="164" spans="1:9" x14ac:dyDescent="0.25">
      <c r="A164" s="2902">
        <v>162</v>
      </c>
      <c r="B164" s="2909" t="s">
        <v>8005</v>
      </c>
      <c r="C164" s="2909" t="s">
        <v>8005</v>
      </c>
      <c r="D164" s="2916" t="s">
        <v>20598</v>
      </c>
      <c r="E164" s="2904" t="s">
        <v>20428</v>
      </c>
      <c r="F164" s="2905" t="s">
        <v>20329</v>
      </c>
      <c r="G164" s="2908">
        <v>0.71</v>
      </c>
      <c r="H164" s="2908">
        <v>1.915</v>
      </c>
      <c r="I164" s="2910">
        <v>2</v>
      </c>
    </row>
    <row r="165" spans="1:9" ht="25.5" x14ac:dyDescent="0.25">
      <c r="A165" s="2902">
        <v>163</v>
      </c>
      <c r="B165" s="2909" t="s">
        <v>3661</v>
      </c>
      <c r="C165" s="2909" t="s">
        <v>3661</v>
      </c>
      <c r="D165" s="2904" t="s">
        <v>20599</v>
      </c>
      <c r="E165" s="2904" t="s">
        <v>20446</v>
      </c>
      <c r="F165" s="2905" t="s">
        <v>20333</v>
      </c>
      <c r="G165" s="2908">
        <v>3.51</v>
      </c>
      <c r="H165" s="2908">
        <v>5.3250000000000002</v>
      </c>
      <c r="I165" s="2910">
        <v>3</v>
      </c>
    </row>
    <row r="166" spans="1:9" ht="25.5" x14ac:dyDescent="0.25">
      <c r="A166" s="2902">
        <v>164</v>
      </c>
      <c r="B166" s="2909" t="s">
        <v>9656</v>
      </c>
      <c r="C166" s="2909" t="s">
        <v>9656</v>
      </c>
      <c r="D166" s="2904" t="s">
        <v>20600</v>
      </c>
      <c r="E166" s="2904" t="s">
        <v>20446</v>
      </c>
      <c r="F166" s="2904" t="s">
        <v>20449</v>
      </c>
      <c r="G166" s="2908">
        <v>1.6099999999999999</v>
      </c>
      <c r="H166" s="2908">
        <v>5.390822399999859</v>
      </c>
      <c r="I166" s="2910">
        <v>3</v>
      </c>
    </row>
    <row r="167" spans="1:9" ht="25.5" x14ac:dyDescent="0.25">
      <c r="A167" s="2902">
        <v>165</v>
      </c>
      <c r="B167" s="2909" t="s">
        <v>15712</v>
      </c>
      <c r="C167" s="2909" t="s">
        <v>15712</v>
      </c>
      <c r="D167" s="2904" t="s">
        <v>20601</v>
      </c>
      <c r="E167" s="2904" t="s">
        <v>20461</v>
      </c>
      <c r="F167" s="2905" t="s">
        <v>20333</v>
      </c>
      <c r="G167" s="2908">
        <v>0.36</v>
      </c>
      <c r="H167" s="2908">
        <v>7.2250000000000005</v>
      </c>
      <c r="I167" s="2910">
        <v>3</v>
      </c>
    </row>
    <row r="168" spans="1:9" x14ac:dyDescent="0.25">
      <c r="A168" s="2902">
        <v>166</v>
      </c>
      <c r="B168" s="2912" t="s">
        <v>20602</v>
      </c>
      <c r="C168" s="2912" t="s">
        <v>20603</v>
      </c>
      <c r="D168" s="2904" t="s">
        <v>20604</v>
      </c>
      <c r="E168" s="2904" t="s">
        <v>20605</v>
      </c>
      <c r="F168" s="2907" t="s">
        <v>20334</v>
      </c>
      <c r="G168" s="2908">
        <v>13.39</v>
      </c>
      <c r="H168" s="2908">
        <v>17.559999999999999</v>
      </c>
      <c r="I168" s="2910">
        <v>3</v>
      </c>
    </row>
    <row r="169" spans="1:9" ht="25.5" x14ac:dyDescent="0.25">
      <c r="A169" s="2902">
        <v>167</v>
      </c>
      <c r="B169" s="2912" t="s">
        <v>20433</v>
      </c>
      <c r="C169" s="2912" t="s">
        <v>20434</v>
      </c>
      <c r="D169" s="2904" t="s">
        <v>20606</v>
      </c>
      <c r="E169" s="2904" t="s">
        <v>20607</v>
      </c>
      <c r="F169" s="2907" t="s">
        <v>20365</v>
      </c>
      <c r="G169" s="2908">
        <v>22.48</v>
      </c>
      <c r="H169" s="2908">
        <v>3.8999999999999986</v>
      </c>
      <c r="I169" s="2910">
        <v>3</v>
      </c>
    </row>
    <row r="170" spans="1:9" x14ac:dyDescent="0.25">
      <c r="A170" s="2902">
        <v>168</v>
      </c>
      <c r="B170" s="2909" t="s">
        <v>12374</v>
      </c>
      <c r="C170" s="2909" t="s">
        <v>12374</v>
      </c>
      <c r="D170" s="2904" t="s">
        <v>12952</v>
      </c>
      <c r="E170" s="2904" t="s">
        <v>20428</v>
      </c>
      <c r="F170" s="2905" t="s">
        <v>20351</v>
      </c>
      <c r="G170" s="2908">
        <v>3.1283590000000001</v>
      </c>
      <c r="H170" s="2908">
        <v>1.0716410000000001</v>
      </c>
      <c r="I170" s="2910">
        <v>2</v>
      </c>
    </row>
    <row r="171" spans="1:9" ht="25.5" x14ac:dyDescent="0.25">
      <c r="A171" s="2902">
        <v>169</v>
      </c>
      <c r="B171" s="2909" t="s">
        <v>12698</v>
      </c>
      <c r="C171" s="2909" t="s">
        <v>12374</v>
      </c>
      <c r="D171" s="2904" t="s">
        <v>20608</v>
      </c>
      <c r="E171" s="2904" t="s">
        <v>20428</v>
      </c>
      <c r="F171" s="2911" t="s">
        <v>20326</v>
      </c>
      <c r="G171" s="2908">
        <v>2.5975949999999997</v>
      </c>
      <c r="H171" s="2908">
        <v>1.6024050000000005</v>
      </c>
      <c r="I171" s="2910">
        <v>2</v>
      </c>
    </row>
    <row r="172" spans="1:9" ht="25.5" x14ac:dyDescent="0.25">
      <c r="A172" s="2902">
        <v>170</v>
      </c>
      <c r="B172" s="2909" t="s">
        <v>3661</v>
      </c>
      <c r="C172" s="2909" t="s">
        <v>3661</v>
      </c>
      <c r="D172" s="2904" t="s">
        <v>20609</v>
      </c>
      <c r="E172" s="2904" t="s">
        <v>20430</v>
      </c>
      <c r="F172" s="2907" t="s">
        <v>20363</v>
      </c>
      <c r="G172" s="2908">
        <v>7.12</v>
      </c>
      <c r="H172" s="2908">
        <v>1.6550000000000002</v>
      </c>
      <c r="I172" s="2910">
        <v>3</v>
      </c>
    </row>
    <row r="173" spans="1:9" x14ac:dyDescent="0.25">
      <c r="A173" s="2902">
        <v>171</v>
      </c>
      <c r="B173" s="2909" t="s">
        <v>3661</v>
      </c>
      <c r="C173" s="2909" t="s">
        <v>3661</v>
      </c>
      <c r="D173" s="2904" t="s">
        <v>20610</v>
      </c>
      <c r="E173" s="2904" t="s">
        <v>20428</v>
      </c>
      <c r="F173" s="2905" t="s">
        <v>20329</v>
      </c>
      <c r="G173" s="2908">
        <v>0.27</v>
      </c>
      <c r="H173" s="2908">
        <v>2.5249999999999999</v>
      </c>
      <c r="I173" s="2910">
        <v>3</v>
      </c>
    </row>
    <row r="174" spans="1:9" x14ac:dyDescent="0.25">
      <c r="I174" s="2910"/>
    </row>
  </sheetData>
  <autoFilter ref="A2:I173">
    <sortState ref="A3:M165">
      <sortCondition ref="D2"/>
    </sortState>
  </autoFilter>
  <mergeCells count="1">
    <mergeCell ref="A1:I1"/>
  </mergeCells>
  <conditionalFormatting sqref="D17">
    <cfRule type="expression" dxfId="30" priority="30" stopIfTrue="1">
      <formula>#REF!="ЦП Закрыт"</formula>
    </cfRule>
  </conditionalFormatting>
  <conditionalFormatting sqref="E17">
    <cfRule type="expression" dxfId="29" priority="31">
      <formula>#REF!="закрыт"</formula>
    </cfRule>
  </conditionalFormatting>
  <conditionalFormatting sqref="D45">
    <cfRule type="expression" dxfId="28" priority="29" stopIfTrue="1">
      <formula>#REF!="ЦП Закрыт"</formula>
    </cfRule>
  </conditionalFormatting>
  <conditionalFormatting sqref="D67">
    <cfRule type="expression" dxfId="27" priority="28" stopIfTrue="1">
      <formula>#REF!="ЦП Закрыт"</formula>
    </cfRule>
  </conditionalFormatting>
  <conditionalFormatting sqref="D89">
    <cfRule type="expression" dxfId="26" priority="27" stopIfTrue="1">
      <formula>#REF!="ЦП Закрыт"</formula>
    </cfRule>
  </conditionalFormatting>
  <conditionalFormatting sqref="D138">
    <cfRule type="expression" dxfId="25" priority="26" stopIfTrue="1">
      <formula>$W3584="ЦП Закрыт"</formula>
    </cfRule>
  </conditionalFormatting>
  <conditionalFormatting sqref="D161">
    <cfRule type="expression" dxfId="24" priority="24" stopIfTrue="1">
      <formula>$W894="ЦП Закрыт"</formula>
    </cfRule>
  </conditionalFormatting>
  <conditionalFormatting sqref="D162">
    <cfRule type="expression" dxfId="23" priority="25" stopIfTrue="1">
      <formula>#REF!="ЦП Закрыт"</formula>
    </cfRule>
  </conditionalFormatting>
  <conditionalFormatting sqref="D4">
    <cfRule type="expression" dxfId="22" priority="23" stopIfTrue="1">
      <formula>$W11244="ЦП Закрыт"</formula>
    </cfRule>
  </conditionalFormatting>
  <conditionalFormatting sqref="D3:E3">
    <cfRule type="expression" dxfId="21" priority="22" stopIfTrue="1">
      <formula>$AD3="ЦП Закрыт"</formula>
    </cfRule>
  </conditionalFormatting>
  <conditionalFormatting sqref="D8:E8">
    <cfRule type="expression" dxfId="20" priority="21" stopIfTrue="1">
      <formula>$AD8="ЦП Закрыт"</formula>
    </cfRule>
  </conditionalFormatting>
  <conditionalFormatting sqref="D14:E14">
    <cfRule type="expression" dxfId="19" priority="20" stopIfTrue="1">
      <formula>$AD14="ЦП Закрыт"</formula>
    </cfRule>
  </conditionalFormatting>
  <conditionalFormatting sqref="D12:E12">
    <cfRule type="expression" dxfId="18" priority="19" stopIfTrue="1">
      <formula>$AD12="ЦП Закрыт"</formula>
    </cfRule>
  </conditionalFormatting>
  <conditionalFormatting sqref="D21:E21">
    <cfRule type="expression" dxfId="17" priority="18" stopIfTrue="1">
      <formula>$AD21="ЦП Закрыт"</formula>
    </cfRule>
  </conditionalFormatting>
  <conditionalFormatting sqref="D39:E39">
    <cfRule type="expression" dxfId="16" priority="17" stopIfTrue="1">
      <formula>$AD39="ЦП Закрыт"</formula>
    </cfRule>
  </conditionalFormatting>
  <conditionalFormatting sqref="D51:E51">
    <cfRule type="expression" dxfId="15" priority="16" stopIfTrue="1">
      <formula>$AD51="ЦП Закрыт"</formula>
    </cfRule>
  </conditionalFormatting>
  <conditionalFormatting sqref="D53:E53">
    <cfRule type="expression" dxfId="14" priority="15" stopIfTrue="1">
      <formula>$AD53="ЦП Закрыт"</formula>
    </cfRule>
  </conditionalFormatting>
  <conditionalFormatting sqref="D55:E55">
    <cfRule type="expression" dxfId="13" priority="14" stopIfTrue="1">
      <formula>$AD55="ЦП Закрыт"</formula>
    </cfRule>
  </conditionalFormatting>
  <conditionalFormatting sqref="D56:E56">
    <cfRule type="expression" dxfId="12" priority="13" stopIfTrue="1">
      <formula>$AD56="ЦП Закрыт"</formula>
    </cfRule>
  </conditionalFormatting>
  <conditionalFormatting sqref="D61:E61">
    <cfRule type="expression" dxfId="11" priority="12" stopIfTrue="1">
      <formula>$AD61="ЦП Закрыт"</formula>
    </cfRule>
  </conditionalFormatting>
  <conditionalFormatting sqref="D66:E66">
    <cfRule type="expression" dxfId="10" priority="11" stopIfTrue="1">
      <formula>$AD66="ЦП Закрыт"</formula>
    </cfRule>
  </conditionalFormatting>
  <conditionalFormatting sqref="D69:E69">
    <cfRule type="expression" dxfId="9" priority="10" stopIfTrue="1">
      <formula>$AD69="ЦП Закрыт"</formula>
    </cfRule>
  </conditionalFormatting>
  <conditionalFormatting sqref="D76:E76">
    <cfRule type="expression" dxfId="8" priority="9" stopIfTrue="1">
      <formula>$AD76="ЦП Закрыт"</formula>
    </cfRule>
  </conditionalFormatting>
  <conditionalFormatting sqref="D78:E78">
    <cfRule type="expression" dxfId="7" priority="8" stopIfTrue="1">
      <formula>$AD78="ЦП Закрыт"</formula>
    </cfRule>
  </conditionalFormatting>
  <conditionalFormatting sqref="D83:E83">
    <cfRule type="expression" dxfId="6" priority="7" stopIfTrue="1">
      <formula>$AD83="ЦП Закрыт"</formula>
    </cfRule>
  </conditionalFormatting>
  <conditionalFormatting sqref="D113:E113">
    <cfRule type="expression" dxfId="5" priority="6" stopIfTrue="1">
      <formula>$AD113="ЦП Закрыт"</formula>
    </cfRule>
  </conditionalFormatting>
  <conditionalFormatting sqref="D122:E122">
    <cfRule type="expression" dxfId="4" priority="5" stopIfTrue="1">
      <formula>$AD122="ЦП Закрыт"</formula>
    </cfRule>
  </conditionalFormatting>
  <conditionalFormatting sqref="D125:E125">
    <cfRule type="expression" dxfId="3" priority="4" stopIfTrue="1">
      <formula>$AD125="ЦП Закрыт"</formula>
    </cfRule>
  </conditionalFormatting>
  <conditionalFormatting sqref="D159:E159">
    <cfRule type="expression" dxfId="2" priority="3" stopIfTrue="1">
      <formula>$AD159="ЦП Закрыт"</formula>
    </cfRule>
  </conditionalFormatting>
  <conditionalFormatting sqref="D168:E168">
    <cfRule type="expression" dxfId="1" priority="2" stopIfTrue="1">
      <formula>$AD168="ЦП Закрыт"</formula>
    </cfRule>
  </conditionalFormatting>
  <conditionalFormatting sqref="D169:E169">
    <cfRule type="expression" dxfId="0" priority="1" stopIfTrue="1">
      <formula>$AD169="ЦП Закрыт"</formula>
    </cfRule>
  </conditionalFormatting>
  <pageMargins left="0.7" right="0.7" top="0.75" bottom="0.75" header="0.3" footer="0.3"/>
  <pageSetup paperSize="9" scale="83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X371"/>
  <sheetViews>
    <sheetView zoomScale="55" zoomScaleNormal="55" workbookViewId="0">
      <pane ySplit="5" topLeftCell="A153" activePane="bottomLeft" state="frozen"/>
      <selection pane="bottomLeft" activeCell="G142" sqref="G142:L142"/>
    </sheetView>
  </sheetViews>
  <sheetFormatPr defaultRowHeight="15" x14ac:dyDescent="0.25"/>
  <cols>
    <col min="1" max="1" width="39.42578125" style="3" customWidth="1"/>
    <col min="2" max="6" width="9.140625" style="3"/>
    <col min="7" max="7" width="22.5703125" style="3" customWidth="1"/>
    <col min="8" max="8" width="17.7109375" style="3" customWidth="1"/>
    <col min="9" max="10" width="15.7109375" style="3" customWidth="1"/>
    <col min="11" max="11" width="12.42578125" style="3" customWidth="1"/>
    <col min="12" max="12" width="13.28515625" style="67" customWidth="1"/>
    <col min="13" max="13" width="34" style="3" customWidth="1"/>
    <col min="14" max="14" width="25.7109375" style="3" customWidth="1"/>
    <col min="15" max="17" width="15.7109375" style="3" customWidth="1"/>
    <col min="18" max="18" width="11.85546875" style="3" customWidth="1"/>
    <col min="19" max="19" width="14.7109375" style="3" customWidth="1"/>
    <col min="20" max="20" width="21" style="3" customWidth="1"/>
    <col min="21" max="21" width="17.28515625" style="3" customWidth="1"/>
    <col min="22" max="22" width="19" style="3" customWidth="1"/>
    <col min="23" max="16384" width="9.140625" style="3"/>
  </cols>
  <sheetData>
    <row r="1" spans="1:24" ht="15.75" customHeight="1" x14ac:dyDescent="0.25">
      <c r="G1" s="2605"/>
      <c r="H1" s="2605"/>
      <c r="I1" s="2605"/>
      <c r="J1" s="2605"/>
      <c r="K1" s="2605"/>
      <c r="L1" s="2605"/>
      <c r="M1" s="2605"/>
      <c r="N1" s="2605"/>
      <c r="O1" s="2605"/>
      <c r="P1" s="2605"/>
      <c r="Q1" s="2605"/>
      <c r="R1" s="2605"/>
      <c r="S1" s="2605"/>
      <c r="T1" s="2605"/>
      <c r="U1" s="2605"/>
      <c r="V1" s="2605"/>
      <c r="W1" s="2605"/>
    </row>
    <row r="2" spans="1:24" ht="15.75" customHeight="1" x14ac:dyDescent="0.25">
      <c r="A2" s="2548" t="s">
        <v>330</v>
      </c>
      <c r="B2" s="2549" t="s">
        <v>1762</v>
      </c>
      <c r="C2" s="2550"/>
      <c r="D2" s="2550"/>
      <c r="E2" s="2550"/>
      <c r="F2" s="2551"/>
      <c r="G2" s="2619" t="s">
        <v>1814</v>
      </c>
      <c r="H2" s="2580"/>
      <c r="I2" s="2580"/>
      <c r="J2" s="2580"/>
      <c r="K2" s="2580"/>
      <c r="L2" s="2580"/>
      <c r="M2" s="2580" t="s">
        <v>1815</v>
      </c>
      <c r="N2" s="2580"/>
      <c r="O2" s="2580"/>
      <c r="P2" s="2580"/>
      <c r="Q2" s="2580"/>
      <c r="R2" s="2580" t="s">
        <v>2500</v>
      </c>
      <c r="S2" s="2580"/>
      <c r="T2" s="2580"/>
      <c r="U2" s="2580"/>
      <c r="V2" s="2580"/>
      <c r="W2" s="2580"/>
    </row>
    <row r="3" spans="1:24" ht="15" customHeight="1" x14ac:dyDescent="0.25">
      <c r="A3" s="2548"/>
      <c r="B3" s="2552"/>
      <c r="C3" s="2553"/>
      <c r="D3" s="2553"/>
      <c r="E3" s="2553"/>
      <c r="F3" s="2554"/>
      <c r="G3" s="2618" t="s">
        <v>1818</v>
      </c>
      <c r="H3" s="2580"/>
      <c r="I3" s="2580"/>
      <c r="J3" s="2580"/>
      <c r="K3" s="2580"/>
      <c r="L3" s="2580"/>
      <c r="M3" s="2581" t="s">
        <v>1819</v>
      </c>
      <c r="N3" s="2580"/>
      <c r="O3" s="2580"/>
      <c r="P3" s="2580"/>
      <c r="Q3" s="2580"/>
      <c r="R3" s="2581" t="s">
        <v>2501</v>
      </c>
      <c r="S3" s="2580"/>
      <c r="T3" s="2580"/>
      <c r="U3" s="2580"/>
      <c r="V3" s="2580"/>
      <c r="W3" s="2580"/>
    </row>
    <row r="4" spans="1:24" x14ac:dyDescent="0.25">
      <c r="A4" s="2548"/>
      <c r="B4" s="2552"/>
      <c r="C4" s="2553"/>
      <c r="D4" s="2553"/>
      <c r="E4" s="2553"/>
      <c r="F4" s="2554"/>
      <c r="G4" s="2619"/>
      <c r="H4" s="2580"/>
      <c r="I4" s="2580"/>
      <c r="J4" s="2580"/>
      <c r="K4" s="2580"/>
      <c r="L4" s="2580"/>
      <c r="M4" s="2580"/>
      <c r="N4" s="2580"/>
      <c r="O4" s="2580"/>
      <c r="P4" s="2580"/>
      <c r="Q4" s="2580"/>
      <c r="R4" s="2580"/>
      <c r="S4" s="2580"/>
      <c r="T4" s="2580"/>
      <c r="U4" s="2580"/>
      <c r="V4" s="2580"/>
      <c r="W4" s="2580"/>
    </row>
    <row r="5" spans="1:24" ht="60" x14ac:dyDescent="0.25">
      <c r="A5" s="2548"/>
      <c r="B5" s="2555"/>
      <c r="C5" s="2556"/>
      <c r="D5" s="2556"/>
      <c r="E5" s="2556"/>
      <c r="F5" s="2557"/>
      <c r="G5" s="1621" t="s">
        <v>1822</v>
      </c>
      <c r="H5" s="1" t="s">
        <v>1823</v>
      </c>
      <c r="I5" s="1" t="s">
        <v>1824</v>
      </c>
      <c r="J5" s="1" t="s">
        <v>1825</v>
      </c>
      <c r="K5" s="1" t="s">
        <v>1826</v>
      </c>
      <c r="L5" s="22" t="s">
        <v>1827</v>
      </c>
      <c r="M5" s="1" t="s">
        <v>1822</v>
      </c>
      <c r="N5" s="1" t="s">
        <v>1828</v>
      </c>
      <c r="O5" s="1" t="s">
        <v>1825</v>
      </c>
      <c r="P5" s="1" t="s">
        <v>1826</v>
      </c>
      <c r="Q5" s="1" t="s">
        <v>1827</v>
      </c>
      <c r="R5" s="1" t="s">
        <v>1822</v>
      </c>
      <c r="S5" s="1" t="s">
        <v>1823</v>
      </c>
      <c r="T5" s="1" t="s">
        <v>1824</v>
      </c>
      <c r="U5" s="1" t="s">
        <v>1825</v>
      </c>
      <c r="V5" s="1" t="s">
        <v>1826</v>
      </c>
      <c r="W5" s="22" t="s">
        <v>1827</v>
      </c>
      <c r="X5" s="313"/>
    </row>
    <row r="6" spans="1:24" x14ac:dyDescent="0.25">
      <c r="A6" s="1624">
        <v>1</v>
      </c>
      <c r="B6" s="2570">
        <v>2</v>
      </c>
      <c r="C6" s="2571"/>
      <c r="D6" s="2571"/>
      <c r="E6" s="2571"/>
      <c r="F6" s="2572"/>
      <c r="G6" s="1621">
        <v>3</v>
      </c>
      <c r="H6" s="1">
        <v>4</v>
      </c>
      <c r="I6" s="1">
        <v>5</v>
      </c>
      <c r="J6" s="1">
        <v>6</v>
      </c>
      <c r="K6" s="1">
        <v>7</v>
      </c>
      <c r="L6" s="22">
        <v>8</v>
      </c>
      <c r="M6" s="1">
        <v>9</v>
      </c>
      <c r="N6" s="1">
        <v>10</v>
      </c>
      <c r="O6" s="1">
        <v>11</v>
      </c>
      <c r="P6" s="1">
        <v>12</v>
      </c>
      <c r="Q6" s="1">
        <v>13</v>
      </c>
      <c r="R6" s="1">
        <v>14</v>
      </c>
      <c r="S6" s="1">
        <v>15</v>
      </c>
      <c r="T6" s="1">
        <v>16</v>
      </c>
      <c r="U6" s="1">
        <v>17</v>
      </c>
      <c r="V6" s="1">
        <v>18</v>
      </c>
      <c r="W6" s="1">
        <v>19</v>
      </c>
      <c r="X6" s="313"/>
    </row>
    <row r="7" spans="1:24" ht="23.25" customHeight="1" x14ac:dyDescent="0.25">
      <c r="A7" s="2571" t="str">
        <f>Итоговая!C9</f>
        <v>ПС  35/10 кВ Алексейково</v>
      </c>
      <c r="B7" s="2560">
        <f>Итоговая!D9</f>
        <v>1.6</v>
      </c>
      <c r="C7" s="2566">
        <f>Итоговая!E9</f>
        <v>0</v>
      </c>
      <c r="D7" s="2566">
        <f>Итоговая!F9</f>
        <v>0</v>
      </c>
      <c r="E7" s="2566">
        <f>Итоговая!G9</f>
        <v>0</v>
      </c>
      <c r="F7" s="2558">
        <f>Итоговая!H9</f>
        <v>0</v>
      </c>
      <c r="G7" s="152"/>
      <c r="H7" s="1"/>
      <c r="I7" s="1"/>
      <c r="J7" s="24"/>
      <c r="K7" s="24"/>
      <c r="L7" s="51"/>
      <c r="M7" s="9"/>
      <c r="N7" s="9"/>
      <c r="O7" s="9"/>
      <c r="P7" s="9"/>
      <c r="Q7" s="9"/>
      <c r="R7" s="1"/>
      <c r="S7" s="1"/>
      <c r="T7" s="1"/>
      <c r="U7" s="24"/>
      <c r="V7" s="24"/>
      <c r="W7" s="51"/>
      <c r="X7" s="313"/>
    </row>
    <row r="8" spans="1:24" ht="15.75" customHeight="1" thickBot="1" x14ac:dyDescent="0.3">
      <c r="A8" s="2573"/>
      <c r="B8" s="2562"/>
      <c r="C8" s="2568"/>
      <c r="D8" s="2568"/>
      <c r="E8" s="2568"/>
      <c r="F8" s="2559"/>
      <c r="G8" s="2578" t="s">
        <v>1833</v>
      </c>
      <c r="H8" s="2578"/>
      <c r="I8" s="2579"/>
      <c r="J8" s="13">
        <f>SUM(J7:J7)</f>
        <v>0</v>
      </c>
      <c r="K8" s="14">
        <v>0.92</v>
      </c>
      <c r="L8" s="13">
        <f>J8/K8</f>
        <v>0</v>
      </c>
      <c r="M8" s="2577" t="s">
        <v>1834</v>
      </c>
      <c r="N8" s="2579"/>
      <c r="O8" s="13">
        <f>SUM(O7:O7)</f>
        <v>0</v>
      </c>
      <c r="P8" s="14">
        <v>0.92</v>
      </c>
      <c r="Q8" s="13">
        <f>O8/P8</f>
        <v>0</v>
      </c>
      <c r="R8" s="2577" t="s">
        <v>1833</v>
      </c>
      <c r="S8" s="2578"/>
      <c r="T8" s="2579"/>
      <c r="U8" s="13">
        <f>SUM(U7:U7)</f>
        <v>0</v>
      </c>
      <c r="V8" s="14">
        <v>0.92</v>
      </c>
      <c r="W8" s="13">
        <f>U8/V8</f>
        <v>0</v>
      </c>
      <c r="X8" s="313"/>
    </row>
    <row r="9" spans="1:24" ht="41.25" customHeight="1" x14ac:dyDescent="0.25">
      <c r="A9" s="2571" t="str">
        <f>Итоговая!C10</f>
        <v xml:space="preserve">ПС 35/10 кВ Беляницы </v>
      </c>
      <c r="B9" s="2560">
        <f>Итоговая!D10</f>
        <v>1.6</v>
      </c>
      <c r="C9" s="2566">
        <f>Итоговая!E10</f>
        <v>0</v>
      </c>
      <c r="D9" s="2566">
        <f>Итоговая!F10</f>
        <v>0</v>
      </c>
      <c r="E9" s="2566">
        <f>Итоговая!G10</f>
        <v>0</v>
      </c>
      <c r="F9" s="2558">
        <f>Итоговая!H10</f>
        <v>0</v>
      </c>
      <c r="G9" s="104"/>
      <c r="H9" s="9"/>
      <c r="I9" s="9"/>
      <c r="J9" s="79"/>
      <c r="K9" s="9"/>
      <c r="L9" s="51"/>
      <c r="M9" s="51"/>
      <c r="N9" s="104"/>
      <c r="O9" s="51"/>
      <c r="P9" s="9"/>
      <c r="Q9" s="51"/>
      <c r="R9" s="9"/>
      <c r="S9" s="9"/>
      <c r="T9" s="9"/>
      <c r="U9" s="79"/>
      <c r="V9" s="9"/>
      <c r="W9" s="51"/>
      <c r="X9" s="313"/>
    </row>
    <row r="10" spans="1:24" ht="15.75" customHeight="1" thickBot="1" x14ac:dyDescent="0.3">
      <c r="A10" s="2574"/>
      <c r="B10" s="2562"/>
      <c r="C10" s="2568"/>
      <c r="D10" s="2568"/>
      <c r="E10" s="2568"/>
      <c r="F10" s="2559"/>
      <c r="G10" s="2578" t="s">
        <v>1833</v>
      </c>
      <c r="H10" s="2578"/>
      <c r="I10" s="2579"/>
      <c r="J10" s="13">
        <f>SUM(J9:J9)</f>
        <v>0</v>
      </c>
      <c r="K10" s="14">
        <v>0.92</v>
      </c>
      <c r="L10" s="13">
        <f>J10/K10</f>
        <v>0</v>
      </c>
      <c r="M10" s="2577" t="s">
        <v>1834</v>
      </c>
      <c r="N10" s="2579"/>
      <c r="O10" s="13">
        <f>SUM(O9:O9)</f>
        <v>0</v>
      </c>
      <c r="P10" s="14">
        <v>0.92</v>
      </c>
      <c r="Q10" s="13">
        <f>O10/P10</f>
        <v>0</v>
      </c>
      <c r="R10" s="2577" t="s">
        <v>1833</v>
      </c>
      <c r="S10" s="2578"/>
      <c r="T10" s="2579"/>
      <c r="U10" s="13">
        <f>SUM(U9:U9)</f>
        <v>0</v>
      </c>
      <c r="V10" s="14">
        <v>0.92</v>
      </c>
      <c r="W10" s="13">
        <f>U10/V10</f>
        <v>0</v>
      </c>
      <c r="X10" s="313"/>
    </row>
    <row r="11" spans="1:24" ht="50.25" customHeight="1" x14ac:dyDescent="0.25">
      <c r="A11" s="2571" t="str">
        <f>Итоговая!C11</f>
        <v xml:space="preserve">ПС 35/10 кВ Борисовское </v>
      </c>
      <c r="B11" s="2560">
        <f>Итоговая!D11</f>
        <v>1</v>
      </c>
      <c r="C11" s="2566">
        <f>Итоговая!E11</f>
        <v>0</v>
      </c>
      <c r="D11" s="2566">
        <f>Итоговая!F11</f>
        <v>0</v>
      </c>
      <c r="E11" s="2566">
        <f>Итоговая!G11</f>
        <v>0</v>
      </c>
      <c r="F11" s="2558">
        <f>Итоговая!H11</f>
        <v>0</v>
      </c>
      <c r="G11" s="1621"/>
      <c r="H11" s="1"/>
      <c r="I11" s="1"/>
      <c r="J11" s="1"/>
      <c r="K11" s="1"/>
      <c r="L11" s="22"/>
      <c r="M11" s="51"/>
      <c r="N11" s="51"/>
      <c r="O11" s="51"/>
      <c r="P11" s="51"/>
      <c r="Q11" s="51"/>
      <c r="R11" s="1"/>
      <c r="S11" s="1"/>
      <c r="T11" s="1"/>
      <c r="U11" s="1"/>
      <c r="V11" s="1"/>
      <c r="W11" s="22"/>
      <c r="X11" s="313"/>
    </row>
    <row r="12" spans="1:24" ht="15.75" customHeight="1" thickBot="1" x14ac:dyDescent="0.3">
      <c r="A12" s="2574"/>
      <c r="B12" s="2562"/>
      <c r="C12" s="2568"/>
      <c r="D12" s="2568"/>
      <c r="E12" s="2568"/>
      <c r="F12" s="2559"/>
      <c r="G12" s="2578" t="s">
        <v>1833</v>
      </c>
      <c r="H12" s="2578"/>
      <c r="I12" s="2579"/>
      <c r="J12" s="13">
        <f>SUM(J11:J11)</f>
        <v>0</v>
      </c>
      <c r="K12" s="14">
        <v>0.92</v>
      </c>
      <c r="L12" s="13">
        <f>J12/K12</f>
        <v>0</v>
      </c>
      <c r="M12" s="2577" t="s">
        <v>1834</v>
      </c>
      <c r="N12" s="2579"/>
      <c r="O12" s="13">
        <f>SUM(O11:O11)</f>
        <v>0</v>
      </c>
      <c r="P12" s="14">
        <v>0.92</v>
      </c>
      <c r="Q12" s="13">
        <f>O12/P12</f>
        <v>0</v>
      </c>
      <c r="R12" s="2577" t="s">
        <v>1833</v>
      </c>
      <c r="S12" s="2578"/>
      <c r="T12" s="2579"/>
      <c r="U12" s="13">
        <f>SUM(U11:U11)</f>
        <v>0</v>
      </c>
      <c r="V12" s="14">
        <v>0.92</v>
      </c>
      <c r="W12" s="13">
        <f>U12/V12</f>
        <v>0</v>
      </c>
      <c r="X12" s="313"/>
    </row>
    <row r="13" spans="1:24" ht="47.25" customHeight="1" x14ac:dyDescent="0.25">
      <c r="A13" s="2571" t="str">
        <f>Итоговая!C12</f>
        <v xml:space="preserve">ПС 35/10 кВ Высокуша  </v>
      </c>
      <c r="B13" s="2560">
        <f>Итоговая!D12</f>
        <v>1.6</v>
      </c>
      <c r="C13" s="2566">
        <f>Итоговая!E12</f>
        <v>0</v>
      </c>
      <c r="D13" s="2566">
        <f>Итоговая!F12</f>
        <v>0</v>
      </c>
      <c r="E13" s="2566">
        <f>Итоговая!G12</f>
        <v>0</v>
      </c>
      <c r="F13" s="2558">
        <f>Итоговая!H12</f>
        <v>0</v>
      </c>
      <c r="G13" s="1621"/>
      <c r="H13" s="1"/>
      <c r="I13" s="1"/>
      <c r="J13" s="1"/>
      <c r="K13" s="1"/>
      <c r="L13" s="22"/>
      <c r="M13" s="51"/>
      <c r="N13" s="51"/>
      <c r="O13" s="51"/>
      <c r="P13" s="51"/>
      <c r="Q13" s="51"/>
      <c r="R13" s="1"/>
      <c r="S13" s="1"/>
      <c r="T13" s="1"/>
      <c r="U13" s="1"/>
      <c r="V13" s="1"/>
      <c r="W13" s="22"/>
      <c r="X13" s="313"/>
    </row>
    <row r="14" spans="1:24" ht="15.75" customHeight="1" thickBot="1" x14ac:dyDescent="0.3">
      <c r="A14" s="2574"/>
      <c r="B14" s="2562"/>
      <c r="C14" s="2568"/>
      <c r="D14" s="2568"/>
      <c r="E14" s="2568"/>
      <c r="F14" s="2559"/>
      <c r="G14" s="2578" t="s">
        <v>1833</v>
      </c>
      <c r="H14" s="2578"/>
      <c r="I14" s="2579"/>
      <c r="J14" s="13">
        <f>SUM(J13:J13)</f>
        <v>0</v>
      </c>
      <c r="K14" s="14">
        <v>0.92</v>
      </c>
      <c r="L14" s="13">
        <f>J14/K14</f>
        <v>0</v>
      </c>
      <c r="M14" s="2577" t="s">
        <v>1834</v>
      </c>
      <c r="N14" s="2579"/>
      <c r="O14" s="13">
        <f>SUM(O13:O13)</f>
        <v>0</v>
      </c>
      <c r="P14" s="14">
        <v>0.92</v>
      </c>
      <c r="Q14" s="13">
        <f>O14/P14</f>
        <v>0</v>
      </c>
      <c r="R14" s="2577" t="s">
        <v>1833</v>
      </c>
      <c r="S14" s="2578"/>
      <c r="T14" s="2579"/>
      <c r="U14" s="13">
        <f>SUM(U13:U13)</f>
        <v>0</v>
      </c>
      <c r="V14" s="14">
        <v>0.92</v>
      </c>
      <c r="W14" s="13">
        <f>U14/V14</f>
        <v>0</v>
      </c>
      <c r="X14" s="313"/>
    </row>
    <row r="15" spans="1:24" ht="34.5" customHeight="1" x14ac:dyDescent="0.25">
      <c r="A15" s="2571" t="str">
        <f>Итоговая!C13</f>
        <v xml:space="preserve">ПС 35/10 кВ Гостиница </v>
      </c>
      <c r="B15" s="2560">
        <f>Итоговая!D13</f>
        <v>1.6</v>
      </c>
      <c r="C15" s="2566">
        <f>Итоговая!E13</f>
        <v>0</v>
      </c>
      <c r="D15" s="2566">
        <f>Итоговая!F13</f>
        <v>0</v>
      </c>
      <c r="E15" s="2566">
        <f>Итоговая!G13</f>
        <v>0</v>
      </c>
      <c r="F15" s="2558">
        <f>Итоговая!H13</f>
        <v>0</v>
      </c>
      <c r="G15" s="1621"/>
      <c r="H15" s="1"/>
      <c r="I15" s="1"/>
      <c r="J15" s="1"/>
      <c r="K15" s="1"/>
      <c r="L15" s="22"/>
      <c r="M15" s="51"/>
      <c r="N15" s="51"/>
      <c r="O15" s="51"/>
      <c r="P15" s="51"/>
      <c r="Q15" s="51"/>
      <c r="R15" s="1"/>
      <c r="S15" s="1"/>
      <c r="T15" s="1"/>
      <c r="U15" s="1"/>
      <c r="V15" s="1"/>
      <c r="W15" s="22"/>
      <c r="X15" s="313"/>
    </row>
    <row r="16" spans="1:24" ht="15.75" customHeight="1" thickBot="1" x14ac:dyDescent="0.3">
      <c r="A16" s="2574"/>
      <c r="B16" s="2562"/>
      <c r="C16" s="2568"/>
      <c r="D16" s="2568"/>
      <c r="E16" s="2568"/>
      <c r="F16" s="2559"/>
      <c r="G16" s="2578" t="s">
        <v>1833</v>
      </c>
      <c r="H16" s="2578"/>
      <c r="I16" s="2579"/>
      <c r="J16" s="13">
        <f>SUM(J15:J15)</f>
        <v>0</v>
      </c>
      <c r="K16" s="14">
        <v>0.92</v>
      </c>
      <c r="L16" s="13">
        <f>J16/K16</f>
        <v>0</v>
      </c>
      <c r="M16" s="2577" t="s">
        <v>1834</v>
      </c>
      <c r="N16" s="2579"/>
      <c r="O16" s="13">
        <f>SUM(O15:O15)</f>
        <v>0</v>
      </c>
      <c r="P16" s="14">
        <v>0.92</v>
      </c>
      <c r="Q16" s="13">
        <f>O16/P16</f>
        <v>0</v>
      </c>
      <c r="R16" s="2577" t="s">
        <v>1833</v>
      </c>
      <c r="S16" s="2578"/>
      <c r="T16" s="2579"/>
      <c r="U16" s="13">
        <f>SUM(U15:U15)</f>
        <v>0</v>
      </c>
      <c r="V16" s="14">
        <v>0.92</v>
      </c>
      <c r="W16" s="13">
        <f>U16/V16</f>
        <v>0</v>
      </c>
      <c r="X16" s="313"/>
    </row>
    <row r="17" spans="1:24" ht="21" customHeight="1" x14ac:dyDescent="0.25">
      <c r="A17" s="2571" t="str">
        <f>Итоговая!C14</f>
        <v xml:space="preserve">ПС  35/10 кВ Григорово </v>
      </c>
      <c r="B17" s="2560">
        <f>Итоговая!D14</f>
        <v>2.5</v>
      </c>
      <c r="C17" s="2566">
        <f>Итоговая!E14</f>
        <v>0</v>
      </c>
      <c r="D17" s="2566">
        <f>Итоговая!F14</f>
        <v>0</v>
      </c>
      <c r="E17" s="2566">
        <f>Итоговая!G14</f>
        <v>0</v>
      </c>
      <c r="F17" s="2558">
        <f>Итоговая!H14</f>
        <v>0</v>
      </c>
      <c r="G17" s="2583" t="s">
        <v>3020</v>
      </c>
      <c r="H17" s="2583"/>
      <c r="I17" s="2583"/>
      <c r="J17" s="2583"/>
      <c r="K17" s="2583"/>
      <c r="L17" s="2584"/>
      <c r="M17" s="1"/>
      <c r="N17" s="1"/>
      <c r="O17" s="1"/>
      <c r="P17" s="1"/>
      <c r="Q17" s="1"/>
      <c r="R17" s="1"/>
      <c r="S17" s="1"/>
      <c r="T17" s="1"/>
      <c r="U17" s="1"/>
      <c r="V17" s="1"/>
      <c r="W17" s="8"/>
      <c r="X17" s="313"/>
    </row>
    <row r="18" spans="1:24" ht="17.25" customHeight="1" x14ac:dyDescent="0.25">
      <c r="A18" s="2574"/>
      <c r="B18" s="2561"/>
      <c r="C18" s="2567"/>
      <c r="D18" s="2567"/>
      <c r="E18" s="2567"/>
      <c r="F18" s="2569"/>
      <c r="G18" s="2599"/>
      <c r="H18" s="2599"/>
      <c r="I18" s="2600"/>
      <c r="J18" s="62"/>
      <c r="K18" s="62"/>
      <c r="L18" s="75"/>
      <c r="M18" s="19"/>
      <c r="N18" s="20"/>
      <c r="O18" s="24"/>
      <c r="P18" s="24"/>
      <c r="Q18" s="24"/>
      <c r="R18" s="19"/>
      <c r="S18" s="265"/>
      <c r="T18" s="20"/>
      <c r="U18" s="24"/>
      <c r="V18" s="24"/>
      <c r="W18" s="92"/>
      <c r="X18" s="313"/>
    </row>
    <row r="19" spans="1:24" ht="15.75" customHeight="1" thickBot="1" x14ac:dyDescent="0.3">
      <c r="A19" s="2574"/>
      <c r="B19" s="2562"/>
      <c r="C19" s="2568"/>
      <c r="D19" s="2568"/>
      <c r="E19" s="2568"/>
      <c r="F19" s="2559"/>
      <c r="G19" s="2578" t="s">
        <v>1833</v>
      </c>
      <c r="H19" s="2578"/>
      <c r="I19" s="2579"/>
      <c r="J19" s="13">
        <f>SUM(J18)</f>
        <v>0</v>
      </c>
      <c r="K19" s="14">
        <v>0.92</v>
      </c>
      <c r="L19" s="13">
        <f>J19/K19</f>
        <v>0</v>
      </c>
      <c r="M19" s="2577" t="s">
        <v>1834</v>
      </c>
      <c r="N19" s="2579"/>
      <c r="O19" s="13">
        <f>SUM(O17:O17)</f>
        <v>0</v>
      </c>
      <c r="P19" s="14">
        <v>0.92</v>
      </c>
      <c r="Q19" s="13">
        <f>O19/P19</f>
        <v>0</v>
      </c>
      <c r="R19" s="2577" t="s">
        <v>1833</v>
      </c>
      <c r="S19" s="2578"/>
      <c r="T19" s="2579"/>
      <c r="U19" s="13">
        <f>SUM(U17:U17)</f>
        <v>0</v>
      </c>
      <c r="V19" s="14">
        <v>0.92</v>
      </c>
      <c r="W19" s="13">
        <f>U19/V19</f>
        <v>0</v>
      </c>
      <c r="X19" s="313"/>
    </row>
    <row r="20" spans="1:24" x14ac:dyDescent="0.25">
      <c r="A20" s="2571" t="str">
        <f>Итоговая!C15</f>
        <v xml:space="preserve">ПС 35/10 кВ Деледино </v>
      </c>
      <c r="B20" s="2560">
        <f>Итоговая!D15</f>
        <v>4</v>
      </c>
      <c r="C20" s="2566">
        <f>Итоговая!E15</f>
        <v>0</v>
      </c>
      <c r="D20" s="2566">
        <f>Итоговая!F15</f>
        <v>0</v>
      </c>
      <c r="E20" s="2566">
        <f>Итоговая!G15</f>
        <v>0</v>
      </c>
      <c r="F20" s="2558">
        <f>Итоговая!H15</f>
        <v>0</v>
      </c>
      <c r="G20" s="104"/>
      <c r="H20" s="9"/>
      <c r="I20" s="9"/>
      <c r="J20" s="9"/>
      <c r="K20" s="9"/>
      <c r="L20" s="51"/>
      <c r="M20" s="9"/>
      <c r="N20" s="9"/>
      <c r="O20" s="9"/>
      <c r="P20" s="9"/>
      <c r="Q20" s="9"/>
      <c r="R20" s="9"/>
      <c r="S20" s="9"/>
      <c r="T20" s="9"/>
      <c r="U20" s="9"/>
      <c r="V20" s="9"/>
      <c r="W20" s="51"/>
      <c r="X20" s="313"/>
    </row>
    <row r="21" spans="1:24" ht="15.75" customHeight="1" thickBot="1" x14ac:dyDescent="0.3">
      <c r="A21" s="2574"/>
      <c r="B21" s="2562"/>
      <c r="C21" s="2568"/>
      <c r="D21" s="2568"/>
      <c r="E21" s="2568"/>
      <c r="F21" s="2559"/>
      <c r="G21" s="2578" t="s">
        <v>1833</v>
      </c>
      <c r="H21" s="2578"/>
      <c r="I21" s="2579"/>
      <c r="J21" s="13">
        <f>SUM(J20:J20)</f>
        <v>0</v>
      </c>
      <c r="K21" s="14">
        <v>0.92</v>
      </c>
      <c r="L21" s="13">
        <f>J21/K21</f>
        <v>0</v>
      </c>
      <c r="M21" s="2577" t="s">
        <v>1834</v>
      </c>
      <c r="N21" s="2579"/>
      <c r="O21" s="13">
        <f>SUM(O20:O20)</f>
        <v>0</v>
      </c>
      <c r="P21" s="14">
        <v>0.92</v>
      </c>
      <c r="Q21" s="13">
        <f>O21/P21</f>
        <v>0</v>
      </c>
      <c r="R21" s="2577" t="s">
        <v>1833</v>
      </c>
      <c r="S21" s="2578"/>
      <c r="T21" s="2579"/>
      <c r="U21" s="13">
        <f>SUM(U20:U20)</f>
        <v>0</v>
      </c>
      <c r="V21" s="14">
        <v>0.92</v>
      </c>
      <c r="W21" s="13">
        <f>U21/V21</f>
        <v>0</v>
      </c>
      <c r="X21" s="313"/>
    </row>
    <row r="22" spans="1:24" x14ac:dyDescent="0.25">
      <c r="A22" s="2571" t="str">
        <f>Итоговая!C16</f>
        <v xml:space="preserve">ПС 35/10 кВ Зараменье </v>
      </c>
      <c r="B22" s="2560">
        <f>Итоговая!D16</f>
        <v>1.6</v>
      </c>
      <c r="C22" s="2566">
        <f>Итоговая!E16</f>
        <v>0</v>
      </c>
      <c r="D22" s="2566">
        <f>Итоговая!F16</f>
        <v>0</v>
      </c>
      <c r="E22" s="2566">
        <f>Итоговая!G16</f>
        <v>0</v>
      </c>
      <c r="F22" s="2558">
        <f>Итоговая!H16</f>
        <v>0</v>
      </c>
      <c r="G22" s="1621"/>
      <c r="H22" s="1"/>
      <c r="I22" s="1"/>
      <c r="J22" s="1"/>
      <c r="K22" s="1"/>
      <c r="L22" s="22"/>
      <c r="M22" s="1"/>
      <c r="N22" s="1"/>
      <c r="O22" s="1"/>
      <c r="P22" s="1"/>
      <c r="Q22" s="1"/>
      <c r="R22" s="1"/>
      <c r="S22" s="1"/>
      <c r="T22" s="1"/>
      <c r="U22" s="1"/>
      <c r="V22" s="1"/>
      <c r="W22" s="22"/>
      <c r="X22" s="313"/>
    </row>
    <row r="23" spans="1:24" ht="15.75" customHeight="1" thickBot="1" x14ac:dyDescent="0.3">
      <c r="A23" s="2574"/>
      <c r="B23" s="2562"/>
      <c r="C23" s="2568"/>
      <c r="D23" s="2568"/>
      <c r="E23" s="2568"/>
      <c r="F23" s="2559"/>
      <c r="G23" s="2578" t="s">
        <v>1833</v>
      </c>
      <c r="H23" s="2578"/>
      <c r="I23" s="2579"/>
      <c r="J23" s="13">
        <f>SUM(J22:J22)</f>
        <v>0</v>
      </c>
      <c r="K23" s="14">
        <v>0.92</v>
      </c>
      <c r="L23" s="13">
        <f>J23/K23</f>
        <v>0</v>
      </c>
      <c r="M23" s="2577" t="s">
        <v>1834</v>
      </c>
      <c r="N23" s="2579"/>
      <c r="O23" s="13">
        <f>SUM(O22:O22)</f>
        <v>0</v>
      </c>
      <c r="P23" s="14">
        <v>0.92</v>
      </c>
      <c r="Q23" s="13">
        <f>O23/P23</f>
        <v>0</v>
      </c>
      <c r="R23" s="2577" t="s">
        <v>1833</v>
      </c>
      <c r="S23" s="2578"/>
      <c r="T23" s="2579"/>
      <c r="U23" s="13">
        <f>SUM(U22:U22)</f>
        <v>0</v>
      </c>
      <c r="V23" s="14">
        <v>0.92</v>
      </c>
      <c r="W23" s="13">
        <f>U23/V23</f>
        <v>0</v>
      </c>
      <c r="X23" s="313"/>
    </row>
    <row r="24" spans="1:24" x14ac:dyDescent="0.25">
      <c r="A24" s="2571" t="str">
        <f>Итоговая!C17</f>
        <v xml:space="preserve">ПС 35/10 кВ Зобы </v>
      </c>
      <c r="B24" s="2560">
        <f>Итоговая!D17</f>
        <v>2.5</v>
      </c>
      <c r="C24" s="2566">
        <f>Итоговая!E17</f>
        <v>0</v>
      </c>
      <c r="D24" s="2566">
        <f>Итоговая!F17</f>
        <v>0</v>
      </c>
      <c r="E24" s="2566">
        <f>Итоговая!G17</f>
        <v>0</v>
      </c>
      <c r="F24" s="2558">
        <f>Итоговая!H17</f>
        <v>0</v>
      </c>
      <c r="G24" s="2583" t="s">
        <v>17005</v>
      </c>
      <c r="H24" s="2583"/>
      <c r="I24" s="2583"/>
      <c r="J24" s="2583"/>
      <c r="K24" s="2583"/>
      <c r="L24" s="2584"/>
      <c r="M24" s="9"/>
      <c r="N24" s="9"/>
      <c r="O24" s="9"/>
      <c r="P24" s="9"/>
      <c r="Q24" s="9"/>
      <c r="R24" s="9"/>
      <c r="S24" s="9"/>
      <c r="T24" s="9"/>
      <c r="U24" s="9"/>
      <c r="V24" s="9"/>
      <c r="W24" s="51"/>
      <c r="X24" s="313"/>
    </row>
    <row r="25" spans="1:24" x14ac:dyDescent="0.25">
      <c r="A25" s="2574"/>
      <c r="B25" s="2561"/>
      <c r="C25" s="2567"/>
      <c r="D25" s="2567"/>
      <c r="E25" s="2567"/>
      <c r="F25" s="2569"/>
      <c r="G25" s="2614" t="s">
        <v>3401</v>
      </c>
      <c r="H25" s="2614"/>
      <c r="I25" s="2615"/>
      <c r="J25" s="1202">
        <f>0.211*0.9</f>
        <v>0.18989999999999999</v>
      </c>
      <c r="K25" s="1"/>
      <c r="L25" s="22"/>
      <c r="M25" s="1"/>
      <c r="N25" s="1"/>
      <c r="O25" s="1"/>
      <c r="P25" s="1"/>
      <c r="Q25" s="1"/>
      <c r="R25" s="1"/>
      <c r="S25" s="1"/>
      <c r="T25" s="1"/>
      <c r="U25" s="1"/>
      <c r="V25" s="1"/>
      <c r="W25" s="22"/>
      <c r="X25" s="313"/>
    </row>
    <row r="26" spans="1:24" ht="15.75" customHeight="1" thickBot="1" x14ac:dyDescent="0.3">
      <c r="A26" s="2574"/>
      <c r="B26" s="2562"/>
      <c r="C26" s="2568"/>
      <c r="D26" s="2568"/>
      <c r="E26" s="2568"/>
      <c r="F26" s="2559"/>
      <c r="G26" s="2578" t="s">
        <v>1833</v>
      </c>
      <c r="H26" s="2578"/>
      <c r="I26" s="2579"/>
      <c r="J26" s="13">
        <f>SUM(J24:J25)</f>
        <v>0.18989999999999999</v>
      </c>
      <c r="K26" s="14">
        <v>0.92</v>
      </c>
      <c r="L26" s="13">
        <f>J26/K26</f>
        <v>0.20641304347826084</v>
      </c>
      <c r="M26" s="2577" t="s">
        <v>1834</v>
      </c>
      <c r="N26" s="2579"/>
      <c r="O26" s="13">
        <f>SUM(O24:O25)</f>
        <v>0</v>
      </c>
      <c r="P26" s="14">
        <v>0.92</v>
      </c>
      <c r="Q26" s="13">
        <f>O26/P26</f>
        <v>0</v>
      </c>
      <c r="R26" s="2577" t="s">
        <v>1833</v>
      </c>
      <c r="S26" s="2578"/>
      <c r="T26" s="2579"/>
      <c r="U26" s="13">
        <f>SUM(U24:U25)</f>
        <v>0</v>
      </c>
      <c r="V26" s="14">
        <v>0.92</v>
      </c>
      <c r="W26" s="13">
        <f>U26/V26</f>
        <v>0</v>
      </c>
      <c r="X26" s="313"/>
    </row>
    <row r="27" spans="1:24" x14ac:dyDescent="0.25">
      <c r="A27" s="2570" t="str">
        <f>Итоговая!C18</f>
        <v xml:space="preserve">ПС 35/10 кВ Кой  </v>
      </c>
      <c r="B27" s="2560">
        <f>Итоговая!D18</f>
        <v>1.8</v>
      </c>
      <c r="C27" s="2566">
        <f>Итоговая!E18</f>
        <v>0</v>
      </c>
      <c r="D27" s="2566">
        <f>Итоговая!F18</f>
        <v>0</v>
      </c>
      <c r="E27" s="2566">
        <f>Итоговая!G18</f>
        <v>0</v>
      </c>
      <c r="F27" s="2558">
        <f>Итоговая!H18</f>
        <v>0</v>
      </c>
      <c r="G27" s="1621"/>
      <c r="H27" s="1"/>
      <c r="I27" s="1"/>
      <c r="J27" s="1"/>
      <c r="K27" s="1"/>
      <c r="L27" s="22"/>
      <c r="M27" s="1"/>
      <c r="N27" s="1"/>
      <c r="O27" s="1"/>
      <c r="P27" s="1"/>
      <c r="Q27" s="1"/>
      <c r="R27" s="1"/>
      <c r="S27" s="1"/>
      <c r="T27" s="1"/>
      <c r="U27" s="1"/>
      <c r="V27" s="1"/>
      <c r="W27" s="22"/>
      <c r="X27" s="313"/>
    </row>
    <row r="28" spans="1:24" ht="15.75" customHeight="1" thickBot="1" x14ac:dyDescent="0.3">
      <c r="A28" s="2575"/>
      <c r="B28" s="2562"/>
      <c r="C28" s="2568"/>
      <c r="D28" s="2568"/>
      <c r="E28" s="2568"/>
      <c r="F28" s="2559"/>
      <c r="G28" s="2578" t="s">
        <v>1833</v>
      </c>
      <c r="H28" s="2578"/>
      <c r="I28" s="2579"/>
      <c r="J28" s="13">
        <f>SUM(J27:J27)</f>
        <v>0</v>
      </c>
      <c r="K28" s="14">
        <v>0.92</v>
      </c>
      <c r="L28" s="13">
        <f>J28/K28</f>
        <v>0</v>
      </c>
      <c r="M28" s="2577" t="s">
        <v>1834</v>
      </c>
      <c r="N28" s="2579"/>
      <c r="O28" s="13">
        <f>SUM(O27:O27)</f>
        <v>0</v>
      </c>
      <c r="P28" s="14">
        <v>0.92</v>
      </c>
      <c r="Q28" s="13">
        <f>O28/P28</f>
        <v>0</v>
      </c>
      <c r="R28" s="2587" t="s">
        <v>1833</v>
      </c>
      <c r="S28" s="2588"/>
      <c r="T28" s="2589"/>
      <c r="U28" s="21">
        <f>SUM(U27:U27)</f>
        <v>0</v>
      </c>
      <c r="V28" s="24">
        <v>0.92</v>
      </c>
      <c r="W28" s="21">
        <f>U28/V28</f>
        <v>0</v>
      </c>
      <c r="X28" s="313"/>
    </row>
    <row r="29" spans="1:24" s="67" customFormat="1" x14ac:dyDescent="0.25">
      <c r="A29" s="2570" t="str">
        <f>Итоговая!C19</f>
        <v xml:space="preserve">ПС 35/10 кВ Ладожское  </v>
      </c>
      <c r="B29" s="2560">
        <f>Итоговая!D19</f>
        <v>1.6</v>
      </c>
      <c r="C29" s="2566">
        <f>Итоговая!E19</f>
        <v>0</v>
      </c>
      <c r="D29" s="2566">
        <f>Итоговая!F19</f>
        <v>0</v>
      </c>
      <c r="E29" s="2566">
        <f>Итоговая!G19</f>
        <v>0</v>
      </c>
      <c r="F29" s="2558">
        <f>Итоговая!H19</f>
        <v>0</v>
      </c>
      <c r="G29" s="2583" t="s">
        <v>1960</v>
      </c>
      <c r="H29" s="2583"/>
      <c r="I29" s="2583"/>
      <c r="J29" s="2583"/>
      <c r="K29" s="2583"/>
      <c r="L29" s="2584"/>
      <c r="M29" s="129"/>
      <c r="N29" s="130"/>
      <c r="O29" s="62"/>
      <c r="P29" s="62"/>
      <c r="Q29" s="62"/>
      <c r="R29" s="315"/>
      <c r="S29" s="315"/>
      <c r="T29" s="315"/>
      <c r="U29" s="315"/>
      <c r="V29" s="315"/>
      <c r="W29" s="315"/>
      <c r="X29" s="313"/>
    </row>
    <row r="30" spans="1:24" ht="53.25" customHeight="1" x14ac:dyDescent="0.25">
      <c r="A30" s="2575"/>
      <c r="B30" s="2561"/>
      <c r="C30" s="2567"/>
      <c r="D30" s="2567"/>
      <c r="E30" s="2567"/>
      <c r="F30" s="2569"/>
      <c r="G30" s="104" t="s">
        <v>1861</v>
      </c>
      <c r="H30" s="9" t="s">
        <v>1862</v>
      </c>
      <c r="I30" s="18" t="s">
        <v>1863</v>
      </c>
      <c r="J30" s="9">
        <v>0.1</v>
      </c>
      <c r="K30" s="9"/>
      <c r="L30" s="51"/>
      <c r="M30" s="1"/>
      <c r="N30" s="1"/>
      <c r="O30" s="1"/>
      <c r="P30" s="1"/>
      <c r="Q30" s="1"/>
      <c r="R30" s="315"/>
      <c r="S30" s="315"/>
      <c r="T30" s="315"/>
      <c r="U30" s="315"/>
      <c r="V30" s="315"/>
      <c r="W30" s="315"/>
      <c r="X30" s="313"/>
    </row>
    <row r="31" spans="1:24" ht="15.75" customHeight="1" thickBot="1" x14ac:dyDescent="0.3">
      <c r="A31" s="2576"/>
      <c r="B31" s="2562"/>
      <c r="C31" s="2568"/>
      <c r="D31" s="2568"/>
      <c r="E31" s="2568"/>
      <c r="F31" s="2559"/>
      <c r="G31" s="2578" t="s">
        <v>1833</v>
      </c>
      <c r="H31" s="2578"/>
      <c r="I31" s="2579"/>
      <c r="J31" s="13">
        <f>SUM(0)</f>
        <v>0</v>
      </c>
      <c r="K31" s="14">
        <v>0.92</v>
      </c>
      <c r="L31" s="13">
        <f>J31/K31</f>
        <v>0</v>
      </c>
      <c r="M31" s="2577" t="s">
        <v>1834</v>
      </c>
      <c r="N31" s="2579"/>
      <c r="O31" s="13">
        <f>SUM(O30:O30)</f>
        <v>0</v>
      </c>
      <c r="P31" s="14">
        <v>0.92</v>
      </c>
      <c r="Q31" s="13">
        <f>O31/P31</f>
        <v>0</v>
      </c>
      <c r="R31" s="2577" t="s">
        <v>1833</v>
      </c>
      <c r="S31" s="2578"/>
      <c r="T31" s="2579"/>
      <c r="U31" s="13">
        <f>SUM(0)</f>
        <v>0</v>
      </c>
      <c r="V31" s="14">
        <v>0.92</v>
      </c>
      <c r="W31" s="13">
        <f>U31/V31</f>
        <v>0</v>
      </c>
      <c r="X31" s="313"/>
    </row>
    <row r="32" spans="1:24" x14ac:dyDescent="0.25">
      <c r="A32" s="2571" t="str">
        <f>Итоговая!C20</f>
        <v xml:space="preserve">ПС 35/10 кВ Литвиново </v>
      </c>
      <c r="B32" s="2560">
        <f>Итоговая!D20</f>
        <v>4</v>
      </c>
      <c r="C32" s="2566">
        <f>Итоговая!E20</f>
        <v>0</v>
      </c>
      <c r="D32" s="2566">
        <f>Итоговая!F20</f>
        <v>0</v>
      </c>
      <c r="E32" s="2566">
        <f>Итоговая!G20</f>
        <v>0</v>
      </c>
      <c r="F32" s="2558">
        <f>Итоговая!H20</f>
        <v>0</v>
      </c>
      <c r="G32" s="104"/>
      <c r="H32" s="9"/>
      <c r="I32" s="9"/>
      <c r="J32" s="9"/>
      <c r="K32" s="9"/>
      <c r="L32" s="51"/>
      <c r="M32" s="9"/>
      <c r="N32" s="9"/>
      <c r="O32" s="9"/>
      <c r="P32" s="9"/>
      <c r="Q32" s="9"/>
      <c r="R32" s="9"/>
      <c r="S32" s="9"/>
      <c r="T32" s="9"/>
      <c r="U32" s="9"/>
      <c r="V32" s="9"/>
      <c r="W32" s="51"/>
      <c r="X32" s="313"/>
    </row>
    <row r="33" spans="1:24" ht="15.75" customHeight="1" thickBot="1" x14ac:dyDescent="0.3">
      <c r="A33" s="2574"/>
      <c r="B33" s="2562"/>
      <c r="C33" s="2568"/>
      <c r="D33" s="2568"/>
      <c r="E33" s="2568"/>
      <c r="F33" s="2559"/>
      <c r="G33" s="2578" t="s">
        <v>1833</v>
      </c>
      <c r="H33" s="2578"/>
      <c r="I33" s="2579"/>
      <c r="J33" s="13">
        <f>SUM(J32:J32)</f>
        <v>0</v>
      </c>
      <c r="K33" s="14">
        <v>0.92</v>
      </c>
      <c r="L33" s="13">
        <f>J33/K33</f>
        <v>0</v>
      </c>
      <c r="M33" s="2577" t="s">
        <v>1834</v>
      </c>
      <c r="N33" s="2579"/>
      <c r="O33" s="13">
        <f>SUM(O32:O32)</f>
        <v>0</v>
      </c>
      <c r="P33" s="14">
        <v>0.92</v>
      </c>
      <c r="Q33" s="13">
        <f>O33/P33</f>
        <v>0</v>
      </c>
      <c r="R33" s="2577" t="s">
        <v>1833</v>
      </c>
      <c r="S33" s="2578"/>
      <c r="T33" s="2579"/>
      <c r="U33" s="13">
        <f>SUM(U32:U32)</f>
        <v>0</v>
      </c>
      <c r="V33" s="14">
        <v>0.92</v>
      </c>
      <c r="W33" s="13">
        <f>U33/V33</f>
        <v>0</v>
      </c>
      <c r="X33" s="313"/>
    </row>
    <row r="34" spans="1:24" x14ac:dyDescent="0.25">
      <c r="A34" s="2571" t="str">
        <f>Итоговая!C21</f>
        <v xml:space="preserve">ПС 35/10 кВ Лощемля  </v>
      </c>
      <c r="B34" s="2560">
        <f>Итоговая!D21</f>
        <v>2.5</v>
      </c>
      <c r="C34" s="2566">
        <f>Итоговая!E21</f>
        <v>0</v>
      </c>
      <c r="D34" s="2566">
        <f>Итоговая!F21</f>
        <v>0</v>
      </c>
      <c r="E34" s="2566">
        <f>Итоговая!G21</f>
        <v>0</v>
      </c>
      <c r="F34" s="2558">
        <f>Итоговая!H21</f>
        <v>0</v>
      </c>
      <c r="G34" s="1621"/>
      <c r="H34" s="1"/>
      <c r="I34" s="1"/>
      <c r="J34" s="1"/>
      <c r="K34" s="1"/>
      <c r="L34" s="22"/>
      <c r="M34" s="1"/>
      <c r="N34" s="1"/>
      <c r="O34" s="1"/>
      <c r="P34" s="1"/>
      <c r="Q34" s="1"/>
      <c r="R34" s="1"/>
      <c r="S34" s="1"/>
      <c r="T34" s="1"/>
      <c r="U34" s="1"/>
      <c r="V34" s="1"/>
      <c r="W34" s="22"/>
      <c r="X34" s="313"/>
    </row>
    <row r="35" spans="1:24" ht="15.75" customHeight="1" thickBot="1" x14ac:dyDescent="0.3">
      <c r="A35" s="2574"/>
      <c r="B35" s="2562"/>
      <c r="C35" s="2568"/>
      <c r="D35" s="2568"/>
      <c r="E35" s="2568"/>
      <c r="F35" s="2559"/>
      <c r="G35" s="2578" t="s">
        <v>1833</v>
      </c>
      <c r="H35" s="2578"/>
      <c r="I35" s="2579"/>
      <c r="J35" s="13">
        <f>SUM(J34:J34)</f>
        <v>0</v>
      </c>
      <c r="K35" s="14">
        <v>0.92</v>
      </c>
      <c r="L35" s="13">
        <f>J35/K35</f>
        <v>0</v>
      </c>
      <c r="M35" s="2577" t="s">
        <v>1834</v>
      </c>
      <c r="N35" s="2579"/>
      <c r="O35" s="13">
        <f>SUM(O34:O34)</f>
        <v>0</v>
      </c>
      <c r="P35" s="14">
        <v>0.92</v>
      </c>
      <c r="Q35" s="13">
        <f>O35/P35</f>
        <v>0</v>
      </c>
      <c r="R35" s="2577" t="s">
        <v>1833</v>
      </c>
      <c r="S35" s="2578"/>
      <c r="T35" s="2579"/>
      <c r="U35" s="13">
        <f>SUM(U34:U34)</f>
        <v>0</v>
      </c>
      <c r="V35" s="14">
        <v>0.92</v>
      </c>
      <c r="W35" s="13">
        <f>U35/V35</f>
        <v>0</v>
      </c>
      <c r="X35" s="313"/>
    </row>
    <row r="36" spans="1:24" ht="109.5" customHeight="1" x14ac:dyDescent="0.25">
      <c r="A36" s="2571" t="str">
        <f>Итоговая!C22</f>
        <v xml:space="preserve">ПС 35/10 кВ Любегощи </v>
      </c>
      <c r="B36" s="2560">
        <f>Итоговая!D22</f>
        <v>1.8</v>
      </c>
      <c r="C36" s="2566">
        <f>Итоговая!E22</f>
        <v>0</v>
      </c>
      <c r="D36" s="2566">
        <f>Итоговая!F22</f>
        <v>0</v>
      </c>
      <c r="E36" s="2566">
        <f>Итоговая!G22</f>
        <v>0</v>
      </c>
      <c r="F36" s="2558">
        <f>Итоговая!H22</f>
        <v>0</v>
      </c>
      <c r="G36" s="152"/>
      <c r="H36" s="1"/>
      <c r="I36" s="1"/>
      <c r="J36" s="1"/>
      <c r="K36" s="1"/>
      <c r="L36" s="22"/>
      <c r="M36" s="1215" t="s">
        <v>2446</v>
      </c>
      <c r="N36" s="1215" t="s">
        <v>2447</v>
      </c>
      <c r="O36" s="1">
        <v>1.6E-2</v>
      </c>
      <c r="P36" s="1"/>
      <c r="Q36" s="1"/>
      <c r="R36" s="1"/>
      <c r="S36" s="1"/>
      <c r="T36" s="1"/>
      <c r="U36" s="1"/>
      <c r="V36" s="1"/>
      <c r="W36" s="22"/>
      <c r="X36" s="313"/>
    </row>
    <row r="37" spans="1:24" ht="15.75" customHeight="1" thickBot="1" x14ac:dyDescent="0.3">
      <c r="A37" s="2574"/>
      <c r="B37" s="2562"/>
      <c r="C37" s="2568"/>
      <c r="D37" s="2568"/>
      <c r="E37" s="2568"/>
      <c r="F37" s="2559"/>
      <c r="G37" s="2578" t="s">
        <v>1833</v>
      </c>
      <c r="H37" s="2578"/>
      <c r="I37" s="2579"/>
      <c r="J37" s="13">
        <f>SUM(J36:J36)</f>
        <v>0</v>
      </c>
      <c r="K37" s="14">
        <v>0.92</v>
      </c>
      <c r="L37" s="13">
        <f>J37/K37</f>
        <v>0</v>
      </c>
      <c r="M37" s="2577" t="s">
        <v>1834</v>
      </c>
      <c r="N37" s="2579"/>
      <c r="O37" s="13">
        <f>SUM(O36:O36)</f>
        <v>1.6E-2</v>
      </c>
      <c r="P37" s="14">
        <v>0.92</v>
      </c>
      <c r="Q37" s="13">
        <f>O37/P37</f>
        <v>1.7391304347826087E-2</v>
      </c>
      <c r="R37" s="2577" t="s">
        <v>1833</v>
      </c>
      <c r="S37" s="2578"/>
      <c r="T37" s="2579"/>
      <c r="U37" s="13">
        <f>SUM(U36:U36)</f>
        <v>0</v>
      </c>
      <c r="V37" s="14">
        <v>0.92</v>
      </c>
      <c r="W37" s="13">
        <f>U37/V37</f>
        <v>0</v>
      </c>
      <c r="X37" s="313"/>
    </row>
    <row r="38" spans="1:24" x14ac:dyDescent="0.25">
      <c r="A38" s="2571" t="str">
        <f>Итоговая!C23</f>
        <v xml:space="preserve">ПС 35/10 кВ Мартыново </v>
      </c>
      <c r="B38" s="2560">
        <f>Итоговая!D23</f>
        <v>1.6</v>
      </c>
      <c r="C38" s="2566">
        <f>Итоговая!E23</f>
        <v>0</v>
      </c>
      <c r="D38" s="2566">
        <f>Итоговая!F23</f>
        <v>0</v>
      </c>
      <c r="E38" s="2566">
        <f>Итоговая!G23</f>
        <v>0</v>
      </c>
      <c r="F38" s="2558">
        <f>Итоговая!H23</f>
        <v>0</v>
      </c>
      <c r="G38" s="1621"/>
      <c r="H38" s="1"/>
      <c r="I38" s="1"/>
      <c r="J38" s="1"/>
      <c r="K38" s="1"/>
      <c r="L38" s="22"/>
      <c r="M38" s="1"/>
      <c r="N38" s="1"/>
      <c r="O38" s="1"/>
      <c r="P38" s="1"/>
      <c r="Q38" s="1"/>
      <c r="R38" s="1"/>
      <c r="S38" s="1"/>
      <c r="T38" s="1"/>
      <c r="U38" s="1"/>
      <c r="V38" s="1"/>
      <c r="W38" s="22"/>
      <c r="X38" s="313"/>
    </row>
    <row r="39" spans="1:24" ht="15.75" customHeight="1" thickBot="1" x14ac:dyDescent="0.3">
      <c r="A39" s="2574"/>
      <c r="B39" s="2562"/>
      <c r="C39" s="2568"/>
      <c r="D39" s="2568"/>
      <c r="E39" s="2568"/>
      <c r="F39" s="2559"/>
      <c r="G39" s="2578" t="s">
        <v>1833</v>
      </c>
      <c r="H39" s="2578"/>
      <c r="I39" s="2579"/>
      <c r="J39" s="13">
        <f>SUM(J38:J38)</f>
        <v>0</v>
      </c>
      <c r="K39" s="14">
        <v>0.92</v>
      </c>
      <c r="L39" s="13">
        <f>J39/K39</f>
        <v>0</v>
      </c>
      <c r="M39" s="2577" t="s">
        <v>1834</v>
      </c>
      <c r="N39" s="2579"/>
      <c r="O39" s="13">
        <f>SUM(O38:O38)</f>
        <v>0</v>
      </c>
      <c r="P39" s="14">
        <v>0.92</v>
      </c>
      <c r="Q39" s="13">
        <f>O39/P39</f>
        <v>0</v>
      </c>
      <c r="R39" s="2577" t="s">
        <v>1833</v>
      </c>
      <c r="S39" s="2578"/>
      <c r="T39" s="2579"/>
      <c r="U39" s="13">
        <f>SUM(U38:U38)</f>
        <v>0</v>
      </c>
      <c r="V39" s="14">
        <v>0.92</v>
      </c>
      <c r="W39" s="13">
        <f>U39/V39</f>
        <v>0</v>
      </c>
      <c r="X39" s="313"/>
    </row>
    <row r="40" spans="1:24" ht="33.75" customHeight="1" x14ac:dyDescent="0.25">
      <c r="A40" s="2571" t="str">
        <f>Итоговая!C24</f>
        <v xml:space="preserve">ПС 35/10 кВ Михайловское  </v>
      </c>
      <c r="B40" s="2560">
        <f>Итоговая!D24</f>
        <v>2.5</v>
      </c>
      <c r="C40" s="2566">
        <f>Итоговая!E24</f>
        <v>0</v>
      </c>
      <c r="D40" s="2566">
        <f>Итоговая!F24</f>
        <v>0</v>
      </c>
      <c r="E40" s="2566">
        <f>Итоговая!G24</f>
        <v>0</v>
      </c>
      <c r="F40" s="2558">
        <f>Итоговая!H24</f>
        <v>0</v>
      </c>
      <c r="G40" s="152"/>
      <c r="H40" s="1"/>
      <c r="I40" s="1"/>
      <c r="J40" s="1"/>
      <c r="K40" s="1"/>
      <c r="L40" s="22"/>
      <c r="M40" s="1"/>
      <c r="N40" s="1"/>
      <c r="O40" s="1"/>
      <c r="P40" s="1"/>
      <c r="Q40" s="1"/>
      <c r="R40" s="1"/>
      <c r="S40" s="1"/>
      <c r="T40" s="1"/>
      <c r="U40" s="1"/>
      <c r="V40" s="1"/>
      <c r="W40" s="22"/>
      <c r="X40" s="313"/>
    </row>
    <row r="41" spans="1:24" ht="15.75" customHeight="1" thickBot="1" x14ac:dyDescent="0.3">
      <c r="A41" s="2574"/>
      <c r="B41" s="2562"/>
      <c r="C41" s="2568"/>
      <c r="D41" s="2568"/>
      <c r="E41" s="2568"/>
      <c r="F41" s="2559"/>
      <c r="G41" s="2578" t="s">
        <v>1833</v>
      </c>
      <c r="H41" s="2578"/>
      <c r="I41" s="2579"/>
      <c r="J41" s="13">
        <f>SUM(J40:J40)</f>
        <v>0</v>
      </c>
      <c r="K41" s="14">
        <v>0.92</v>
      </c>
      <c r="L41" s="13">
        <f>J41/K41</f>
        <v>0</v>
      </c>
      <c r="M41" s="2577" t="s">
        <v>1834</v>
      </c>
      <c r="N41" s="2579"/>
      <c r="O41" s="13">
        <f>SUM(O40:O40)</f>
        <v>0</v>
      </c>
      <c r="P41" s="14">
        <v>0.92</v>
      </c>
      <c r="Q41" s="13">
        <f>O41/P41</f>
        <v>0</v>
      </c>
      <c r="R41" s="2577" t="s">
        <v>1833</v>
      </c>
      <c r="S41" s="2578"/>
      <c r="T41" s="2579"/>
      <c r="U41" s="13">
        <f>SUM(U40:U40)</f>
        <v>0</v>
      </c>
      <c r="V41" s="14">
        <v>0.92</v>
      </c>
      <c r="W41" s="13">
        <f>U41/V41</f>
        <v>0</v>
      </c>
      <c r="X41" s="313"/>
    </row>
    <row r="42" spans="1:24" x14ac:dyDescent="0.25">
      <c r="A42" s="2571" t="str">
        <f>Итоговая!C25</f>
        <v xml:space="preserve">ПС 35/10 кВ Морозово  </v>
      </c>
      <c r="B42" s="2560">
        <f>Итоговая!D25</f>
        <v>2.5</v>
      </c>
      <c r="C42" s="2566">
        <f>Итоговая!E25</f>
        <v>0</v>
      </c>
      <c r="D42" s="2566">
        <f>Итоговая!F25</f>
        <v>0</v>
      </c>
      <c r="E42" s="2566">
        <f>Итоговая!G25</f>
        <v>0</v>
      </c>
      <c r="F42" s="2558">
        <f>Итоговая!H25</f>
        <v>0</v>
      </c>
      <c r="G42" s="1621"/>
      <c r="H42" s="1"/>
      <c r="I42" s="1"/>
      <c r="J42" s="1"/>
      <c r="K42" s="1"/>
      <c r="L42" s="22"/>
      <c r="M42" s="1"/>
      <c r="N42" s="1"/>
      <c r="O42" s="1"/>
      <c r="P42" s="1"/>
      <c r="Q42" s="1"/>
      <c r="R42" s="1"/>
      <c r="S42" s="1"/>
      <c r="T42" s="1"/>
      <c r="U42" s="1"/>
      <c r="V42" s="1"/>
      <c r="W42" s="22"/>
      <c r="X42" s="313"/>
    </row>
    <row r="43" spans="1:24" ht="15.75" customHeight="1" thickBot="1" x14ac:dyDescent="0.3">
      <c r="A43" s="2574"/>
      <c r="B43" s="2562"/>
      <c r="C43" s="2568"/>
      <c r="D43" s="2568"/>
      <c r="E43" s="2568"/>
      <c r="F43" s="2559"/>
      <c r="G43" s="2578" t="s">
        <v>1833</v>
      </c>
      <c r="H43" s="2578"/>
      <c r="I43" s="2579"/>
      <c r="J43" s="13">
        <f>SUM(J42:J42)</f>
        <v>0</v>
      </c>
      <c r="K43" s="14">
        <v>0.92</v>
      </c>
      <c r="L43" s="13">
        <f>J43/K43</f>
        <v>0</v>
      </c>
      <c r="M43" s="2577" t="s">
        <v>1834</v>
      </c>
      <c r="N43" s="2579"/>
      <c r="O43" s="13">
        <f>SUM(O42:O42)</f>
        <v>0</v>
      </c>
      <c r="P43" s="14">
        <v>0.92</v>
      </c>
      <c r="Q43" s="13">
        <f>O43/P43</f>
        <v>0</v>
      </c>
      <c r="R43" s="2577" t="s">
        <v>1833</v>
      </c>
      <c r="S43" s="2578"/>
      <c r="T43" s="2579"/>
      <c r="U43" s="13">
        <f>SUM(U42:U42)</f>
        <v>0</v>
      </c>
      <c r="V43" s="14">
        <v>0.92</v>
      </c>
      <c r="W43" s="13">
        <f>U43/V43</f>
        <v>0</v>
      </c>
      <c r="X43" s="313"/>
    </row>
    <row r="44" spans="1:24" x14ac:dyDescent="0.25">
      <c r="A44" s="2571" t="str">
        <f>Итоговая!C26</f>
        <v xml:space="preserve">ПС 35/10 кВ Поповка </v>
      </c>
      <c r="B44" s="2560">
        <f>Итоговая!D26</f>
        <v>1.6</v>
      </c>
      <c r="C44" s="2566">
        <f>Итоговая!E26</f>
        <v>0</v>
      </c>
      <c r="D44" s="2566">
        <f>Итоговая!F26</f>
        <v>0</v>
      </c>
      <c r="E44" s="2566">
        <f>Итоговая!G26</f>
        <v>0</v>
      </c>
      <c r="F44" s="2558">
        <f>Итоговая!H26</f>
        <v>0</v>
      </c>
      <c r="G44" s="1623"/>
      <c r="H44" s="17"/>
      <c r="I44" s="17"/>
      <c r="J44" s="17"/>
      <c r="K44" s="17"/>
      <c r="L44" s="73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73"/>
      <c r="X44" s="313"/>
    </row>
    <row r="45" spans="1:24" ht="15.75" customHeight="1" thickBot="1" x14ac:dyDescent="0.3">
      <c r="A45" s="2574"/>
      <c r="B45" s="2562"/>
      <c r="C45" s="2568"/>
      <c r="D45" s="2568"/>
      <c r="E45" s="2568"/>
      <c r="F45" s="2559"/>
      <c r="G45" s="2578" t="s">
        <v>1833</v>
      </c>
      <c r="H45" s="2578"/>
      <c r="I45" s="2579"/>
      <c r="J45" s="13">
        <f>SUM(J44:J44)</f>
        <v>0</v>
      </c>
      <c r="K45" s="14">
        <v>0.92</v>
      </c>
      <c r="L45" s="13">
        <f>J45/K45</f>
        <v>0</v>
      </c>
      <c r="M45" s="2577" t="s">
        <v>1834</v>
      </c>
      <c r="N45" s="2579"/>
      <c r="O45" s="13">
        <f>SUM(O44:O44)</f>
        <v>0</v>
      </c>
      <c r="P45" s="14">
        <v>0.92</v>
      </c>
      <c r="Q45" s="13">
        <f>O45/P45</f>
        <v>0</v>
      </c>
      <c r="R45" s="2587" t="s">
        <v>1833</v>
      </c>
      <c r="S45" s="2588"/>
      <c r="T45" s="2589"/>
      <c r="U45" s="21">
        <f>SUM(U44:U44)</f>
        <v>0</v>
      </c>
      <c r="V45" s="24">
        <v>0.92</v>
      </c>
      <c r="W45" s="21">
        <f>U45/V45</f>
        <v>0</v>
      </c>
      <c r="X45" s="313"/>
    </row>
    <row r="46" spans="1:24" x14ac:dyDescent="0.25">
      <c r="A46" s="2571" t="str">
        <f>Итоговая!C27</f>
        <v xml:space="preserve">ПС 35/10 кВ Романцево </v>
      </c>
      <c r="B46" s="2560">
        <f>Итоговая!D27</f>
        <v>1.6</v>
      </c>
      <c r="C46" s="2566">
        <f>Итоговая!E27</f>
        <v>0</v>
      </c>
      <c r="D46" s="2566">
        <f>Итоговая!F27</f>
        <v>0</v>
      </c>
      <c r="E46" s="2566">
        <f>Итоговая!G27</f>
        <v>0</v>
      </c>
      <c r="F46" s="2558">
        <f>Итоговая!H27</f>
        <v>0</v>
      </c>
      <c r="G46" s="2585" t="s">
        <v>1959</v>
      </c>
      <c r="H46" s="2585"/>
      <c r="I46" s="2585"/>
      <c r="J46" s="2585"/>
      <c r="K46" s="2585"/>
      <c r="L46" s="2586"/>
      <c r="M46" s="9"/>
      <c r="N46" s="9"/>
      <c r="O46" s="9"/>
      <c r="P46" s="9"/>
      <c r="Q46" s="9"/>
      <c r="R46" s="295"/>
      <c r="S46" s="295"/>
      <c r="T46" s="295"/>
      <c r="U46" s="295"/>
      <c r="V46" s="295"/>
      <c r="W46" s="295"/>
      <c r="X46" s="313"/>
    </row>
    <row r="47" spans="1:24" ht="123" customHeight="1" x14ac:dyDescent="0.25">
      <c r="A47" s="2574"/>
      <c r="B47" s="2561"/>
      <c r="C47" s="2567"/>
      <c r="D47" s="2567"/>
      <c r="E47" s="2567"/>
      <c r="F47" s="2569"/>
      <c r="G47" s="1620" t="s">
        <v>1839</v>
      </c>
      <c r="H47" s="42" t="s">
        <v>1840</v>
      </c>
      <c r="I47" s="42" t="s">
        <v>1841</v>
      </c>
      <c r="J47" s="323">
        <v>2.1499999999999998E-2</v>
      </c>
      <c r="K47" s="323"/>
      <c r="L47" s="324"/>
      <c r="M47" s="9"/>
      <c r="N47" s="9"/>
      <c r="O47" s="9"/>
      <c r="P47" s="9"/>
      <c r="Q47" s="9"/>
      <c r="R47" s="295"/>
      <c r="S47" s="295"/>
      <c r="T47" s="295"/>
      <c r="U47" s="295"/>
      <c r="V47" s="295"/>
      <c r="W47" s="295"/>
      <c r="X47" s="313"/>
    </row>
    <row r="48" spans="1:24" ht="15.75" customHeight="1" thickBot="1" x14ac:dyDescent="0.3">
      <c r="A48" s="2574"/>
      <c r="B48" s="2562"/>
      <c r="C48" s="2568"/>
      <c r="D48" s="2568"/>
      <c r="E48" s="2568"/>
      <c r="F48" s="2559"/>
      <c r="G48" s="2578" t="s">
        <v>1833</v>
      </c>
      <c r="H48" s="2578"/>
      <c r="I48" s="2579"/>
      <c r="J48" s="325">
        <f>SUM(0)</f>
        <v>0</v>
      </c>
      <c r="K48" s="326">
        <v>0.92</v>
      </c>
      <c r="L48" s="325">
        <f>J48/K48</f>
        <v>0</v>
      </c>
      <c r="M48" s="2577" t="s">
        <v>1834</v>
      </c>
      <c r="N48" s="2579"/>
      <c r="O48" s="13">
        <f>SUM(O46:O47)</f>
        <v>0</v>
      </c>
      <c r="P48" s="14">
        <v>0.92</v>
      </c>
      <c r="Q48" s="13">
        <f>O48/P48</f>
        <v>0</v>
      </c>
      <c r="R48" s="2577" t="s">
        <v>1833</v>
      </c>
      <c r="S48" s="2578"/>
      <c r="T48" s="2579"/>
      <c r="U48" s="13">
        <f>SUM(U46:U47)</f>
        <v>0</v>
      </c>
      <c r="V48" s="14">
        <v>0.92</v>
      </c>
      <c r="W48" s="13">
        <f>U48/V48</f>
        <v>0</v>
      </c>
      <c r="X48" s="313"/>
    </row>
    <row r="49" spans="1:24" ht="19.5" customHeight="1" x14ac:dyDescent="0.25">
      <c r="A49" s="2571" t="str">
        <f>Итоговая!C28</f>
        <v xml:space="preserve">ПС 35/10 кВ Старое Сандово </v>
      </c>
      <c r="B49" s="2560">
        <f>Итоговая!D28</f>
        <v>2.5</v>
      </c>
      <c r="C49" s="2566">
        <f>Итоговая!E28</f>
        <v>0</v>
      </c>
      <c r="D49" s="2566">
        <f>Итоговая!F28</f>
        <v>0</v>
      </c>
      <c r="E49" s="2566">
        <f>Итоговая!G28</f>
        <v>0</v>
      </c>
      <c r="F49" s="2558">
        <f>Итоговая!H28</f>
        <v>0</v>
      </c>
      <c r="G49" s="2585" t="s">
        <v>3020</v>
      </c>
      <c r="H49" s="2585"/>
      <c r="I49" s="2585"/>
      <c r="J49" s="2585"/>
      <c r="K49" s="2585"/>
      <c r="L49" s="2586"/>
      <c r="M49" s="1"/>
      <c r="N49" s="1"/>
      <c r="O49" s="327"/>
      <c r="P49" s="327"/>
      <c r="Q49" s="327"/>
      <c r="R49" s="1"/>
      <c r="S49" s="1"/>
      <c r="T49" s="1"/>
      <c r="U49" s="1"/>
      <c r="V49" s="1"/>
      <c r="W49" s="22"/>
      <c r="X49" s="313"/>
    </row>
    <row r="50" spans="1:24" ht="102.75" customHeight="1" x14ac:dyDescent="0.25">
      <c r="A50" s="2574"/>
      <c r="B50" s="2561"/>
      <c r="C50" s="2567"/>
      <c r="D50" s="2567"/>
      <c r="E50" s="2567"/>
      <c r="F50" s="2569"/>
      <c r="G50" s="1621" t="s">
        <v>3314</v>
      </c>
      <c r="H50" s="1" t="s">
        <v>3315</v>
      </c>
      <c r="I50" s="20" t="s">
        <v>3364</v>
      </c>
      <c r="J50" s="24">
        <v>0.03</v>
      </c>
      <c r="K50" s="24"/>
      <c r="L50" s="62"/>
      <c r="M50" s="1" t="s">
        <v>2392</v>
      </c>
      <c r="N50" s="1" t="s">
        <v>2444</v>
      </c>
      <c r="O50" s="327">
        <v>1.6E-2</v>
      </c>
      <c r="P50" s="327"/>
      <c r="Q50" s="327"/>
      <c r="R50" s="1"/>
      <c r="S50" s="1"/>
      <c r="T50" s="1"/>
      <c r="U50" s="1"/>
      <c r="V50" s="1"/>
      <c r="W50" s="22"/>
      <c r="X50" s="313"/>
    </row>
    <row r="51" spans="1:24" ht="15.75" customHeight="1" thickBot="1" x14ac:dyDescent="0.3">
      <c r="A51" s="2573"/>
      <c r="B51" s="2562"/>
      <c r="C51" s="2568"/>
      <c r="D51" s="2568"/>
      <c r="E51" s="2568"/>
      <c r="F51" s="2559"/>
      <c r="G51" s="2578" t="s">
        <v>1833</v>
      </c>
      <c r="H51" s="2578"/>
      <c r="I51" s="2579"/>
      <c r="J51" s="13">
        <f>SUM(J50)</f>
        <v>0.03</v>
      </c>
      <c r="K51" s="14">
        <v>0.92</v>
      </c>
      <c r="L51" s="13">
        <f>J51/K51</f>
        <v>3.2608695652173912E-2</v>
      </c>
      <c r="M51" s="2577" t="s">
        <v>1834</v>
      </c>
      <c r="N51" s="2579"/>
      <c r="O51" s="325">
        <f>SUM(O50)</f>
        <v>1.6E-2</v>
      </c>
      <c r="P51" s="326">
        <v>0.92</v>
      </c>
      <c r="Q51" s="325">
        <f>O51/P51</f>
        <v>1.7391304347826087E-2</v>
      </c>
      <c r="R51" s="2577" t="s">
        <v>1833</v>
      </c>
      <c r="S51" s="2578"/>
      <c r="T51" s="2579"/>
      <c r="U51" s="13">
        <f>SUM(U49:U49)</f>
        <v>0</v>
      </c>
      <c r="V51" s="14">
        <v>0.92</v>
      </c>
      <c r="W51" s="13">
        <f>U51/V51</f>
        <v>0</v>
      </c>
      <c r="X51" s="313"/>
    </row>
    <row r="52" spans="1:24" x14ac:dyDescent="0.25">
      <c r="A52" s="2571" t="str">
        <f>Итоговая!C29</f>
        <v xml:space="preserve">ПС 35/10 кВ Сукромны </v>
      </c>
      <c r="B52" s="2560">
        <f>Итоговая!D29</f>
        <v>1.6</v>
      </c>
      <c r="C52" s="2566">
        <f>Итоговая!E29</f>
        <v>0</v>
      </c>
      <c r="D52" s="2566">
        <f>Итоговая!F29</f>
        <v>0</v>
      </c>
      <c r="E52" s="2566">
        <f>Итоговая!G29</f>
        <v>0</v>
      </c>
      <c r="F52" s="2558">
        <f>Итоговая!H29</f>
        <v>0</v>
      </c>
      <c r="G52" s="104"/>
      <c r="H52" s="9"/>
      <c r="I52" s="9"/>
      <c r="J52" s="9"/>
      <c r="K52" s="9"/>
      <c r="L52" s="51"/>
      <c r="M52" s="9"/>
      <c r="N52" s="9"/>
      <c r="O52" s="9"/>
      <c r="P52" s="9"/>
      <c r="Q52" s="9"/>
      <c r="R52" s="9"/>
      <c r="S52" s="9"/>
      <c r="T52" s="9"/>
      <c r="U52" s="9"/>
      <c r="V52" s="9"/>
      <c r="W52" s="51"/>
      <c r="X52" s="313"/>
    </row>
    <row r="53" spans="1:24" ht="15.75" customHeight="1" thickBot="1" x14ac:dyDescent="0.3">
      <c r="A53" s="2574"/>
      <c r="B53" s="2562"/>
      <c r="C53" s="2568"/>
      <c r="D53" s="2568"/>
      <c r="E53" s="2568"/>
      <c r="F53" s="2559"/>
      <c r="G53" s="2578" t="s">
        <v>1833</v>
      </c>
      <c r="H53" s="2578"/>
      <c r="I53" s="2579"/>
      <c r="J53" s="13">
        <f>SUM(J52:J52)</f>
        <v>0</v>
      </c>
      <c r="K53" s="14">
        <v>0.92</v>
      </c>
      <c r="L53" s="13">
        <f>J53/K53</f>
        <v>0</v>
      </c>
      <c r="M53" s="2577" t="s">
        <v>1834</v>
      </c>
      <c r="N53" s="2579"/>
      <c r="O53" s="13">
        <f>SUM(O52:O52)</f>
        <v>0</v>
      </c>
      <c r="P53" s="14">
        <v>0.92</v>
      </c>
      <c r="Q53" s="13">
        <f>O53/P53</f>
        <v>0</v>
      </c>
      <c r="R53" s="2577" t="s">
        <v>1833</v>
      </c>
      <c r="S53" s="2578"/>
      <c r="T53" s="2579"/>
      <c r="U53" s="13">
        <f>SUM(U52:U52)</f>
        <v>0</v>
      </c>
      <c r="V53" s="14">
        <v>0.92</v>
      </c>
      <c r="W53" s="13">
        <f>U53/V53</f>
        <v>0</v>
      </c>
      <c r="X53" s="313"/>
    </row>
    <row r="54" spans="1:24" ht="49.5" customHeight="1" x14ac:dyDescent="0.25">
      <c r="A54" s="2571" t="str">
        <f>Итоговая!C30</f>
        <v xml:space="preserve">ПС 35/10 кВ Теблеши </v>
      </c>
      <c r="B54" s="2560">
        <f>Итоговая!D30</f>
        <v>2.5</v>
      </c>
      <c r="C54" s="2566">
        <f>Итоговая!E30</f>
        <v>0</v>
      </c>
      <c r="D54" s="2566">
        <f>Итоговая!F30</f>
        <v>0</v>
      </c>
      <c r="E54" s="2566">
        <f>Итоговая!G30</f>
        <v>0</v>
      </c>
      <c r="F54" s="2558">
        <f>Итоговая!H30</f>
        <v>0</v>
      </c>
      <c r="G54" s="1623"/>
      <c r="H54" s="17"/>
      <c r="I54" s="17"/>
      <c r="J54" s="17"/>
      <c r="K54" s="17"/>
      <c r="L54" s="73"/>
      <c r="M54" s="1" t="s">
        <v>2528</v>
      </c>
      <c r="N54" s="1" t="s">
        <v>2630</v>
      </c>
      <c r="O54" s="17">
        <v>2.3E-2</v>
      </c>
      <c r="P54" s="17"/>
      <c r="Q54" s="17"/>
      <c r="R54" s="17"/>
      <c r="S54" s="17"/>
      <c r="T54" s="17"/>
      <c r="U54" s="17"/>
      <c r="V54" s="17"/>
      <c r="W54" s="73"/>
      <c r="X54" s="313"/>
    </row>
    <row r="55" spans="1:24" ht="15.75" customHeight="1" thickBot="1" x14ac:dyDescent="0.3">
      <c r="A55" s="2573"/>
      <c r="B55" s="2562"/>
      <c r="C55" s="2568"/>
      <c r="D55" s="2568"/>
      <c r="E55" s="2568"/>
      <c r="F55" s="2559"/>
      <c r="G55" s="2578" t="s">
        <v>1833</v>
      </c>
      <c r="H55" s="2578"/>
      <c r="I55" s="2579"/>
      <c r="J55" s="13">
        <f>SUM(J54:J54)</f>
        <v>0</v>
      </c>
      <c r="K55" s="14">
        <v>0.92</v>
      </c>
      <c r="L55" s="13">
        <f>J55/K55</f>
        <v>0</v>
      </c>
      <c r="M55" s="2577" t="s">
        <v>1834</v>
      </c>
      <c r="N55" s="2579"/>
      <c r="O55" s="13">
        <f>SUM(O54:O54)</f>
        <v>2.3E-2</v>
      </c>
      <c r="P55" s="14">
        <v>0.92</v>
      </c>
      <c r="Q55" s="13">
        <f>O55/P55</f>
        <v>2.4999999999999998E-2</v>
      </c>
      <c r="R55" s="2577" t="s">
        <v>1833</v>
      </c>
      <c r="S55" s="2578"/>
      <c r="T55" s="2579"/>
      <c r="U55" s="13">
        <f>SUM(U54:U54)</f>
        <v>0</v>
      </c>
      <c r="V55" s="14">
        <v>0.92</v>
      </c>
      <c r="W55" s="13">
        <f>U55/V55</f>
        <v>0</v>
      </c>
      <c r="X55" s="313"/>
    </row>
    <row r="56" spans="1:24" x14ac:dyDescent="0.25">
      <c r="A56" s="2571" t="str">
        <f>Итоговая!C31</f>
        <v xml:space="preserve">ПС 35/10 кВ Трестна </v>
      </c>
      <c r="B56" s="2560">
        <f>Итоговая!D31</f>
        <v>2.5</v>
      </c>
      <c r="C56" s="2566">
        <f>Итоговая!E31</f>
        <v>0</v>
      </c>
      <c r="D56" s="2566">
        <f>Итоговая!F31</f>
        <v>0</v>
      </c>
      <c r="E56" s="2566">
        <f>Итоговая!G31</f>
        <v>0</v>
      </c>
      <c r="F56" s="2558">
        <f>Итоговая!H31</f>
        <v>0</v>
      </c>
      <c r="G56" s="1621"/>
      <c r="H56" s="1"/>
      <c r="I56" s="1"/>
      <c r="J56" s="1"/>
      <c r="K56" s="1"/>
      <c r="L56" s="22"/>
      <c r="M56" s="1"/>
      <c r="N56" s="1"/>
      <c r="O56" s="1"/>
      <c r="P56" s="1"/>
      <c r="Q56" s="1"/>
      <c r="R56" s="1"/>
      <c r="S56" s="1"/>
      <c r="T56" s="1"/>
      <c r="U56" s="1"/>
      <c r="V56" s="1"/>
      <c r="W56" s="22"/>
      <c r="X56" s="313"/>
    </row>
    <row r="57" spans="1:24" ht="15.75" customHeight="1" thickBot="1" x14ac:dyDescent="0.3">
      <c r="A57" s="2574"/>
      <c r="B57" s="2562"/>
      <c r="C57" s="2568"/>
      <c r="D57" s="2568"/>
      <c r="E57" s="2568"/>
      <c r="F57" s="2559"/>
      <c r="G57" s="2578" t="s">
        <v>1833</v>
      </c>
      <c r="H57" s="2578"/>
      <c r="I57" s="2579"/>
      <c r="J57" s="13">
        <f>SUM(J56:J56)</f>
        <v>0</v>
      </c>
      <c r="K57" s="14">
        <v>0.92</v>
      </c>
      <c r="L57" s="13">
        <f>J57/K57</f>
        <v>0</v>
      </c>
      <c r="M57" s="2577" t="s">
        <v>1834</v>
      </c>
      <c r="N57" s="2579"/>
      <c r="O57" s="13">
        <f>SUM(O56:O56)</f>
        <v>0</v>
      </c>
      <c r="P57" s="14">
        <v>0.92</v>
      </c>
      <c r="Q57" s="13">
        <f>O57/P57</f>
        <v>0</v>
      </c>
      <c r="R57" s="2577" t="s">
        <v>1833</v>
      </c>
      <c r="S57" s="2578"/>
      <c r="T57" s="2579"/>
      <c r="U57" s="13">
        <f>SUM(U56:U56)</f>
        <v>0</v>
      </c>
      <c r="V57" s="14">
        <v>0.92</v>
      </c>
      <c r="W57" s="13">
        <f>U57/V57</f>
        <v>0</v>
      </c>
      <c r="X57" s="313"/>
    </row>
    <row r="58" spans="1:24" ht="18.75" customHeight="1" x14ac:dyDescent="0.25">
      <c r="A58" s="2571" t="str">
        <f>Итоговая!C32</f>
        <v xml:space="preserve">ПС  35/10 кВ Фралёво </v>
      </c>
      <c r="B58" s="2560">
        <f>Итоговая!D32</f>
        <v>4</v>
      </c>
      <c r="C58" s="2566">
        <f>Итоговая!E32</f>
        <v>0</v>
      </c>
      <c r="D58" s="2566">
        <f>Итоговая!F32</f>
        <v>0</v>
      </c>
      <c r="E58" s="2566">
        <f>Итоговая!G32</f>
        <v>0</v>
      </c>
      <c r="F58" s="2558">
        <f>Итоговая!H32</f>
        <v>0</v>
      </c>
      <c r="G58" s="2611" t="s">
        <v>3447</v>
      </c>
      <c r="H58" s="2611"/>
      <c r="I58" s="2611"/>
      <c r="J58" s="2611"/>
      <c r="K58" s="2611"/>
      <c r="L58" s="2612"/>
      <c r="M58" s="1377"/>
      <c r="N58" s="1377"/>
      <c r="O58" s="1"/>
      <c r="P58" s="1"/>
      <c r="Q58" s="1"/>
      <c r="R58" s="1"/>
      <c r="S58" s="1"/>
      <c r="T58" s="1"/>
      <c r="U58" s="1"/>
      <c r="V58" s="1"/>
      <c r="W58" s="22"/>
      <c r="X58" s="313"/>
    </row>
    <row r="59" spans="1:24" ht="63.75" customHeight="1" x14ac:dyDescent="0.25">
      <c r="A59" s="2574"/>
      <c r="B59" s="2561"/>
      <c r="C59" s="2567"/>
      <c r="D59" s="2567"/>
      <c r="E59" s="2567"/>
      <c r="F59" s="2569"/>
      <c r="G59" s="1732" t="s">
        <v>3624</v>
      </c>
      <c r="H59" s="1732" t="s">
        <v>3625</v>
      </c>
      <c r="I59" s="1737" t="s">
        <v>16853</v>
      </c>
      <c r="J59" s="1734">
        <v>0.4</v>
      </c>
      <c r="K59" s="1734"/>
      <c r="L59" s="62"/>
      <c r="M59" s="1735"/>
      <c r="N59" s="1737"/>
      <c r="O59" s="1734"/>
      <c r="P59" s="1734"/>
      <c r="Q59" s="1734"/>
      <c r="R59" s="1735"/>
      <c r="S59" s="1736"/>
      <c r="T59" s="1737"/>
      <c r="U59" s="1734"/>
      <c r="V59" s="1734"/>
      <c r="W59" s="62"/>
      <c r="X59" s="313"/>
    </row>
    <row r="60" spans="1:24" ht="15.75" customHeight="1" thickBot="1" x14ac:dyDescent="0.3">
      <c r="A60" s="2574"/>
      <c r="B60" s="2562"/>
      <c r="C60" s="2568"/>
      <c r="D60" s="2568"/>
      <c r="E60" s="2568"/>
      <c r="F60" s="2559"/>
      <c r="G60" s="2578" t="s">
        <v>1833</v>
      </c>
      <c r="H60" s="2578"/>
      <c r="I60" s="2579"/>
      <c r="J60" s="13">
        <f>SUM(J58:J59)</f>
        <v>0.4</v>
      </c>
      <c r="K60" s="14">
        <v>0.92</v>
      </c>
      <c r="L60" s="13">
        <f>J60/K60</f>
        <v>0.43478260869565216</v>
      </c>
      <c r="M60" s="2577" t="s">
        <v>1834</v>
      </c>
      <c r="N60" s="2579"/>
      <c r="O60" s="13">
        <f>SUM(O58:O58)</f>
        <v>0</v>
      </c>
      <c r="P60" s="14">
        <v>0.92</v>
      </c>
      <c r="Q60" s="13">
        <f>O60/P60</f>
        <v>0</v>
      </c>
      <c r="R60" s="2587" t="s">
        <v>1833</v>
      </c>
      <c r="S60" s="2588"/>
      <c r="T60" s="2589"/>
      <c r="U60" s="21">
        <f>SUM(U58:U58)</f>
        <v>0</v>
      </c>
      <c r="V60" s="24">
        <v>0.92</v>
      </c>
      <c r="W60" s="21">
        <f>U60/V60</f>
        <v>0</v>
      </c>
      <c r="X60" s="313"/>
    </row>
    <row r="61" spans="1:24" s="67" customFormat="1" x14ac:dyDescent="0.25">
      <c r="A61" s="2571" t="str">
        <f>Итоговая!C33</f>
        <v xml:space="preserve">ПС 35/10 кВ Чамерово </v>
      </c>
      <c r="B61" s="2560">
        <f>Итоговая!D33</f>
        <v>1.8</v>
      </c>
      <c r="C61" s="2566">
        <f>Итоговая!E33</f>
        <v>0</v>
      </c>
      <c r="D61" s="2566">
        <f>Итоговая!F33</f>
        <v>0</v>
      </c>
      <c r="E61" s="2566">
        <f>Итоговая!G33</f>
        <v>0</v>
      </c>
      <c r="F61" s="2558">
        <f>Итоговая!H33</f>
        <v>0</v>
      </c>
      <c r="G61" s="2583" t="s">
        <v>1961</v>
      </c>
      <c r="H61" s="2583"/>
      <c r="I61" s="2583"/>
      <c r="J61" s="2583"/>
      <c r="K61" s="2583"/>
      <c r="L61" s="2584"/>
      <c r="M61" s="129"/>
      <c r="N61" s="130"/>
      <c r="O61" s="62"/>
      <c r="P61" s="62"/>
      <c r="Q61" s="62"/>
      <c r="R61" s="315"/>
      <c r="S61" s="315"/>
      <c r="T61" s="315"/>
      <c r="U61" s="315"/>
      <c r="V61" s="315"/>
      <c r="W61" s="315"/>
      <c r="X61" s="313"/>
    </row>
    <row r="62" spans="1:24" ht="135" x14ac:dyDescent="0.25">
      <c r="A62" s="2574"/>
      <c r="B62" s="2561"/>
      <c r="C62" s="2567"/>
      <c r="D62" s="2567"/>
      <c r="E62" s="2567"/>
      <c r="F62" s="2569"/>
      <c r="G62" s="152" t="s">
        <v>1843</v>
      </c>
      <c r="H62" s="1" t="s">
        <v>1844</v>
      </c>
      <c r="I62" s="1" t="s">
        <v>1845</v>
      </c>
      <c r="J62" s="1">
        <v>4.4999999999999998E-2</v>
      </c>
      <c r="K62" s="1"/>
      <c r="L62" s="22"/>
      <c r="M62" s="1" t="s">
        <v>2394</v>
      </c>
      <c r="N62" s="1" t="s">
        <v>2445</v>
      </c>
      <c r="O62" s="1">
        <v>1.6E-2</v>
      </c>
      <c r="P62" s="1"/>
      <c r="Q62" s="1"/>
      <c r="R62" s="315"/>
      <c r="S62" s="315"/>
      <c r="T62" s="315"/>
      <c r="U62" s="315"/>
      <c r="V62" s="315"/>
      <c r="W62" s="315"/>
      <c r="X62" s="313"/>
    </row>
    <row r="63" spans="1:24" ht="45" customHeight="1" x14ac:dyDescent="0.25">
      <c r="A63" s="2574"/>
      <c r="B63" s="2561"/>
      <c r="C63" s="2567"/>
      <c r="D63" s="2567"/>
      <c r="E63" s="2567"/>
      <c r="F63" s="2569"/>
      <c r="G63" s="2611" t="s">
        <v>1960</v>
      </c>
      <c r="H63" s="2611"/>
      <c r="I63" s="2611"/>
      <c r="J63" s="2611"/>
      <c r="K63" s="2611"/>
      <c r="L63" s="2612"/>
      <c r="M63" s="1338"/>
      <c r="N63" s="1338"/>
      <c r="O63" s="40"/>
      <c r="P63" s="24"/>
      <c r="Q63" s="1"/>
      <c r="R63" s="315"/>
      <c r="S63" s="315"/>
      <c r="T63" s="315"/>
      <c r="U63" s="315"/>
      <c r="V63" s="315"/>
      <c r="W63" s="315"/>
      <c r="X63" s="313"/>
    </row>
    <row r="64" spans="1:24" ht="30" x14ac:dyDescent="0.25">
      <c r="A64" s="2574"/>
      <c r="B64" s="2561"/>
      <c r="C64" s="2567"/>
      <c r="D64" s="2567"/>
      <c r="E64" s="2567"/>
      <c r="F64" s="2569"/>
      <c r="G64" s="104" t="s">
        <v>1846</v>
      </c>
      <c r="H64" s="9" t="s">
        <v>1847</v>
      </c>
      <c r="I64" s="18" t="s">
        <v>1848</v>
      </c>
      <c r="J64" s="9">
        <v>0.2</v>
      </c>
      <c r="K64" s="9"/>
      <c r="L64" s="51"/>
      <c r="M64" s="1"/>
      <c r="N64" s="1"/>
      <c r="O64" s="327"/>
      <c r="P64" s="327"/>
      <c r="Q64" s="327"/>
      <c r="R64" s="315"/>
      <c r="S64" s="315"/>
      <c r="T64" s="315"/>
      <c r="U64" s="315"/>
      <c r="V64" s="315"/>
      <c r="W64" s="315"/>
      <c r="X64" s="313"/>
    </row>
    <row r="65" spans="1:24" x14ac:dyDescent="0.25">
      <c r="A65" s="2574"/>
      <c r="B65" s="2561"/>
      <c r="C65" s="2567"/>
      <c r="D65" s="2567"/>
      <c r="E65" s="2567"/>
      <c r="F65" s="2569"/>
      <c r="G65" s="2611" t="s">
        <v>3447</v>
      </c>
      <c r="H65" s="2611"/>
      <c r="I65" s="2611"/>
      <c r="J65" s="2611"/>
      <c r="K65" s="2611"/>
      <c r="L65" s="2612"/>
      <c r="M65" s="1457"/>
      <c r="N65" s="1458"/>
      <c r="O65" s="328"/>
      <c r="P65" s="328"/>
      <c r="Q65" s="328"/>
      <c r="R65" s="808"/>
      <c r="S65" s="809"/>
      <c r="T65" s="810"/>
      <c r="U65" s="811"/>
      <c r="V65" s="811"/>
      <c r="W65" s="811"/>
      <c r="X65" s="313"/>
    </row>
    <row r="66" spans="1:24" ht="36.75" customHeight="1" x14ac:dyDescent="0.25">
      <c r="A66" s="2574"/>
      <c r="B66" s="2561"/>
      <c r="C66" s="2567"/>
      <c r="D66" s="2567"/>
      <c r="E66" s="2567"/>
      <c r="F66" s="2569"/>
      <c r="G66" s="1621" t="s">
        <v>3529</v>
      </c>
      <c r="H66" s="1460" t="s">
        <v>3530</v>
      </c>
      <c r="I66" s="1460" t="s">
        <v>15287</v>
      </c>
      <c r="J66" s="1460">
        <f>0.075*0.75</f>
        <v>5.6249999999999994E-2</v>
      </c>
      <c r="K66" s="1460"/>
      <c r="L66" s="1475"/>
      <c r="M66" s="1457"/>
      <c r="N66" s="1458"/>
      <c r="O66" s="328"/>
      <c r="P66" s="328"/>
      <c r="Q66" s="328"/>
      <c r="R66" s="808"/>
      <c r="S66" s="809"/>
      <c r="T66" s="810"/>
      <c r="U66" s="811"/>
      <c r="V66" s="811"/>
      <c r="W66" s="811"/>
      <c r="X66" s="313"/>
    </row>
    <row r="67" spans="1:24" ht="15.75" customHeight="1" thickBot="1" x14ac:dyDescent="0.3">
      <c r="A67" s="2573"/>
      <c r="B67" s="2562"/>
      <c r="C67" s="2568"/>
      <c r="D67" s="2568"/>
      <c r="E67" s="2568"/>
      <c r="F67" s="2559"/>
      <c r="G67" s="2578" t="s">
        <v>1833</v>
      </c>
      <c r="H67" s="2578"/>
      <c r="I67" s="2579"/>
      <c r="J67" s="13">
        <f>SUM(J66)</f>
        <v>5.6249999999999994E-2</v>
      </c>
      <c r="K67" s="14">
        <v>0.92</v>
      </c>
      <c r="L67" s="13">
        <f>J67/K67</f>
        <v>6.1141304347826081E-2</v>
      </c>
      <c r="M67" s="2577" t="s">
        <v>1834</v>
      </c>
      <c r="N67" s="2579"/>
      <c r="O67" s="325">
        <f>SUM(O62:O64)</f>
        <v>1.6E-2</v>
      </c>
      <c r="P67" s="326">
        <v>0.92</v>
      </c>
      <c r="Q67" s="325">
        <f>O67/P67</f>
        <v>1.7391304347826087E-2</v>
      </c>
      <c r="R67" s="2577" t="s">
        <v>1833</v>
      </c>
      <c r="S67" s="2578"/>
      <c r="T67" s="2579"/>
      <c r="U67" s="13">
        <f>SUM(0)</f>
        <v>0</v>
      </c>
      <c r="V67" s="14">
        <v>0.92</v>
      </c>
      <c r="W67" s="13">
        <f>U67/V67</f>
        <v>0</v>
      </c>
      <c r="X67" s="313"/>
    </row>
    <row r="68" spans="1:24" x14ac:dyDescent="0.25">
      <c r="A68" s="2571" t="str">
        <f>Итоговая!C34</f>
        <v xml:space="preserve">ПС 110/10 кВ Ахматово </v>
      </c>
      <c r="B68" s="2560">
        <f>Итоговая!D34</f>
        <v>2.5</v>
      </c>
      <c r="C68" s="2566">
        <f>Итоговая!E34</f>
        <v>0</v>
      </c>
      <c r="D68" s="2566">
        <f>Итоговая!F34</f>
        <v>0</v>
      </c>
      <c r="E68" s="2566">
        <f>Итоговая!G34</f>
        <v>0</v>
      </c>
      <c r="F68" s="2558">
        <f>Итоговая!H34</f>
        <v>0</v>
      </c>
      <c r="G68" s="1621"/>
      <c r="H68" s="1"/>
      <c r="I68" s="1"/>
      <c r="J68" s="1"/>
      <c r="K68" s="1"/>
      <c r="L68" s="22"/>
      <c r="M68" s="1"/>
      <c r="N68" s="1"/>
      <c r="O68" s="1"/>
      <c r="P68" s="1"/>
      <c r="Q68" s="1"/>
      <c r="R68" s="1"/>
      <c r="S68" s="1"/>
      <c r="T68" s="1"/>
      <c r="U68" s="1"/>
      <c r="V68" s="1"/>
      <c r="W68" s="22"/>
      <c r="X68" s="313"/>
    </row>
    <row r="69" spans="1:24" ht="15.75" customHeight="1" thickBot="1" x14ac:dyDescent="0.3">
      <c r="A69" s="2574"/>
      <c r="B69" s="2562"/>
      <c r="C69" s="2568"/>
      <c r="D69" s="2568"/>
      <c r="E69" s="2568"/>
      <c r="F69" s="2559"/>
      <c r="G69" s="2578" t="s">
        <v>1833</v>
      </c>
      <c r="H69" s="2578"/>
      <c r="I69" s="2579"/>
      <c r="J69" s="13">
        <f>SUM(J68:J68)</f>
        <v>0</v>
      </c>
      <c r="K69" s="14">
        <v>0.92</v>
      </c>
      <c r="L69" s="13">
        <f>J69/K69</f>
        <v>0</v>
      </c>
      <c r="M69" s="2577" t="s">
        <v>1834</v>
      </c>
      <c r="N69" s="2579"/>
      <c r="O69" s="13">
        <f>SUM(O68:O68)</f>
        <v>0</v>
      </c>
      <c r="P69" s="14">
        <v>0.92</v>
      </c>
      <c r="Q69" s="13">
        <f>O69/P69</f>
        <v>0</v>
      </c>
      <c r="R69" s="2577" t="s">
        <v>1833</v>
      </c>
      <c r="S69" s="2578"/>
      <c r="T69" s="2579"/>
      <c r="U69" s="13">
        <f>SUM(U68:U68)</f>
        <v>0</v>
      </c>
      <c r="V69" s="14">
        <v>0.92</v>
      </c>
      <c r="W69" s="13">
        <f>U69/V69</f>
        <v>0</v>
      </c>
      <c r="X69" s="313"/>
    </row>
    <row r="70" spans="1:24" ht="39.75" customHeight="1" x14ac:dyDescent="0.25">
      <c r="A70" s="2571" t="str">
        <f>Итоговая!C35</f>
        <v xml:space="preserve">ПС 110/10 кВ Кладово </v>
      </c>
      <c r="B70" s="2560">
        <f>Итоговая!D35</f>
        <v>6.3</v>
      </c>
      <c r="C70" s="2566">
        <f>Итоговая!E35</f>
        <v>0</v>
      </c>
      <c r="D70" s="2566">
        <f>Итоговая!F35</f>
        <v>0</v>
      </c>
      <c r="E70" s="2566">
        <f>Итоговая!G35</f>
        <v>0</v>
      </c>
      <c r="F70" s="2558">
        <f>Итоговая!H35</f>
        <v>0</v>
      </c>
      <c r="G70" s="104"/>
      <c r="H70" s="9"/>
      <c r="I70" s="9"/>
      <c r="J70" s="51"/>
      <c r="K70" s="9"/>
      <c r="L70" s="51"/>
      <c r="M70" s="9" t="s">
        <v>16776</v>
      </c>
      <c r="N70" s="9" t="s">
        <v>16777</v>
      </c>
      <c r="O70" s="9">
        <v>1.25</v>
      </c>
      <c r="P70" s="9"/>
      <c r="Q70" s="9"/>
      <c r="R70" s="9"/>
      <c r="S70" s="9"/>
      <c r="T70" s="9"/>
      <c r="U70" s="51"/>
      <c r="V70" s="9"/>
      <c r="W70" s="51"/>
      <c r="X70" s="313"/>
    </row>
    <row r="71" spans="1:24" ht="15.75" customHeight="1" thickBot="1" x14ac:dyDescent="0.3">
      <c r="A71" s="2574"/>
      <c r="B71" s="2562"/>
      <c r="C71" s="2568"/>
      <c r="D71" s="2568"/>
      <c r="E71" s="2568"/>
      <c r="F71" s="2559"/>
      <c r="G71" s="2578" t="s">
        <v>1833</v>
      </c>
      <c r="H71" s="2578"/>
      <c r="I71" s="2579"/>
      <c r="J71" s="13">
        <f>SUM(J70:J70)</f>
        <v>0</v>
      </c>
      <c r="K71" s="14">
        <v>0.92</v>
      </c>
      <c r="L71" s="13">
        <f>J71/K71</f>
        <v>0</v>
      </c>
      <c r="M71" s="2577" t="s">
        <v>1834</v>
      </c>
      <c r="N71" s="2579"/>
      <c r="O71" s="13">
        <f>SUM(O70:O70)</f>
        <v>1.25</v>
      </c>
      <c r="P71" s="14">
        <v>0.92</v>
      </c>
      <c r="Q71" s="13">
        <f>O71/P71</f>
        <v>1.3586956521739131</v>
      </c>
      <c r="R71" s="2577" t="s">
        <v>1833</v>
      </c>
      <c r="S71" s="2578"/>
      <c r="T71" s="2579"/>
      <c r="U71" s="13">
        <f>SUM(U70:U70)</f>
        <v>0</v>
      </c>
      <c r="V71" s="14">
        <v>0.92</v>
      </c>
      <c r="W71" s="13">
        <f>U71/V71</f>
        <v>0</v>
      </c>
      <c r="X71" s="313"/>
    </row>
    <row r="72" spans="1:24" x14ac:dyDescent="0.25">
      <c r="A72" s="2571" t="str">
        <f>Итоговая!C36</f>
        <v xml:space="preserve">ПС 110/10 кВ Лаптиха </v>
      </c>
      <c r="B72" s="2560">
        <f>Итоговая!D36</f>
        <v>2.5</v>
      </c>
      <c r="C72" s="2566">
        <f>Итоговая!E36</f>
        <v>0</v>
      </c>
      <c r="D72" s="2566">
        <f>Итоговая!F36</f>
        <v>0</v>
      </c>
      <c r="E72" s="2566">
        <f>Итоговая!G36</f>
        <v>0</v>
      </c>
      <c r="F72" s="2558">
        <f>Итоговая!H36</f>
        <v>0</v>
      </c>
      <c r="G72" s="104"/>
      <c r="H72" s="9"/>
      <c r="I72" s="9"/>
      <c r="J72" s="9"/>
      <c r="K72" s="9"/>
      <c r="L72" s="51"/>
      <c r="M72" s="9"/>
      <c r="N72" s="9"/>
      <c r="O72" s="9"/>
      <c r="P72" s="9"/>
      <c r="Q72" s="9"/>
      <c r="R72" s="9"/>
      <c r="S72" s="9"/>
      <c r="T72" s="9"/>
      <c r="U72" s="9"/>
      <c r="V72" s="9"/>
      <c r="W72" s="51"/>
      <c r="X72" s="313"/>
    </row>
    <row r="73" spans="1:24" ht="15.75" customHeight="1" thickBot="1" x14ac:dyDescent="0.3">
      <c r="A73" s="2574"/>
      <c r="B73" s="2562"/>
      <c r="C73" s="2568"/>
      <c r="D73" s="2568"/>
      <c r="E73" s="2568"/>
      <c r="F73" s="2559"/>
      <c r="G73" s="2578" t="s">
        <v>1833</v>
      </c>
      <c r="H73" s="2578"/>
      <c r="I73" s="2579"/>
      <c r="J73" s="13">
        <f>SUM(J72:J72)</f>
        <v>0</v>
      </c>
      <c r="K73" s="14">
        <v>0.92</v>
      </c>
      <c r="L73" s="13">
        <f>J73/K73</f>
        <v>0</v>
      </c>
      <c r="M73" s="2577" t="s">
        <v>1834</v>
      </c>
      <c r="N73" s="2579"/>
      <c r="O73" s="13">
        <f>SUM(O72:O72)</f>
        <v>0</v>
      </c>
      <c r="P73" s="14">
        <v>0.92</v>
      </c>
      <c r="Q73" s="13">
        <f>O73/P73</f>
        <v>0</v>
      </c>
      <c r="R73" s="2587" t="s">
        <v>1833</v>
      </c>
      <c r="S73" s="2588"/>
      <c r="T73" s="2589"/>
      <c r="U73" s="21">
        <f>SUM(U72:U72)</f>
        <v>0</v>
      </c>
      <c r="V73" s="24">
        <v>0.92</v>
      </c>
      <c r="W73" s="21">
        <f>U73/V73</f>
        <v>0</v>
      </c>
      <c r="X73" s="313"/>
    </row>
    <row r="74" spans="1:24" s="67" customFormat="1" ht="15.75" customHeight="1" x14ac:dyDescent="0.25">
      <c r="A74" s="2571" t="str">
        <f>Итоговая!C37</f>
        <v xml:space="preserve">ПС 110/10 кВ Малышево </v>
      </c>
      <c r="B74" s="2560">
        <f>Итоговая!D37</f>
        <v>2.5</v>
      </c>
      <c r="C74" s="2566">
        <f>Итоговая!E37</f>
        <v>0</v>
      </c>
      <c r="D74" s="2566">
        <f>Итоговая!F37</f>
        <v>0</v>
      </c>
      <c r="E74" s="2566">
        <f>Итоговая!G37</f>
        <v>0</v>
      </c>
      <c r="F74" s="2558">
        <f>Итоговая!H37</f>
        <v>0</v>
      </c>
      <c r="G74" s="2583" t="s">
        <v>1960</v>
      </c>
      <c r="H74" s="2583"/>
      <c r="I74" s="2583"/>
      <c r="J74" s="2583"/>
      <c r="K74" s="2583"/>
      <c r="L74" s="2584"/>
      <c r="M74" s="131"/>
      <c r="N74" s="132"/>
      <c r="O74" s="73"/>
      <c r="P74" s="73"/>
      <c r="Q74" s="73"/>
      <c r="R74" s="315"/>
      <c r="S74" s="315"/>
      <c r="T74" s="315"/>
      <c r="U74" s="315"/>
      <c r="V74" s="315"/>
      <c r="W74" s="315"/>
      <c r="X74" s="313"/>
    </row>
    <row r="75" spans="1:24" ht="51" customHeight="1" x14ac:dyDescent="0.25">
      <c r="A75" s="2574"/>
      <c r="B75" s="2561"/>
      <c r="C75" s="2567"/>
      <c r="D75" s="2567"/>
      <c r="E75" s="2567"/>
      <c r="F75" s="2569"/>
      <c r="G75" s="104" t="s">
        <v>1868</v>
      </c>
      <c r="H75" s="9" t="s">
        <v>1869</v>
      </c>
      <c r="I75" s="9" t="s">
        <v>1870</v>
      </c>
      <c r="J75" s="319">
        <v>2.5000000000000001E-2</v>
      </c>
      <c r="K75" s="319"/>
      <c r="L75" s="320"/>
      <c r="M75" s="79" t="s">
        <v>71</v>
      </c>
      <c r="N75" s="79" t="s">
        <v>72</v>
      </c>
      <c r="O75" s="9">
        <v>0.04</v>
      </c>
      <c r="P75" s="9"/>
      <c r="Q75" s="9"/>
      <c r="R75" s="315"/>
      <c r="S75" s="315"/>
      <c r="T75" s="315"/>
      <c r="U75" s="315"/>
      <c r="V75" s="315"/>
      <c r="W75" s="315"/>
      <c r="X75" s="313"/>
    </row>
    <row r="76" spans="1:24" ht="15.75" customHeight="1" thickBot="1" x14ac:dyDescent="0.3">
      <c r="A76" s="2573"/>
      <c r="B76" s="2562"/>
      <c r="C76" s="2568"/>
      <c r="D76" s="2568"/>
      <c r="E76" s="2568"/>
      <c r="F76" s="2559"/>
      <c r="G76" s="2588" t="s">
        <v>1833</v>
      </c>
      <c r="H76" s="2588"/>
      <c r="I76" s="2589"/>
      <c r="J76" s="329">
        <f>SUM(0)</f>
        <v>0</v>
      </c>
      <c r="K76" s="330">
        <v>0.92</v>
      </c>
      <c r="L76" s="329">
        <f>J76/K76</f>
        <v>0</v>
      </c>
      <c r="M76" s="2587" t="s">
        <v>1834</v>
      </c>
      <c r="N76" s="2589"/>
      <c r="O76" s="21">
        <f>SUM(O75:O75)</f>
        <v>0.04</v>
      </c>
      <c r="P76" s="24">
        <v>0.92</v>
      </c>
      <c r="Q76" s="21">
        <f>O76/P76</f>
        <v>4.3478260869565216E-2</v>
      </c>
      <c r="R76" s="2587" t="s">
        <v>1833</v>
      </c>
      <c r="S76" s="2588"/>
      <c r="T76" s="2589"/>
      <c r="U76" s="21">
        <f>SUM(0)</f>
        <v>0</v>
      </c>
      <c r="V76" s="24">
        <v>0.92</v>
      </c>
      <c r="W76" s="21">
        <f>U76/V76</f>
        <v>0</v>
      </c>
      <c r="X76" s="313"/>
    </row>
    <row r="77" spans="1:24" ht="15.75" customHeight="1" x14ac:dyDescent="0.25">
      <c r="A77" s="2574" t="str">
        <f>Итоговая!C38</f>
        <v xml:space="preserve">ПС 110/10 кВ Старт </v>
      </c>
      <c r="B77" s="2560">
        <f>Итоговая!D38</f>
        <v>16</v>
      </c>
      <c r="C77" s="2566">
        <f>Итоговая!E38</f>
        <v>0</v>
      </c>
      <c r="D77" s="2566">
        <f>Итоговая!F38</f>
        <v>0</v>
      </c>
      <c r="E77" s="2566">
        <f>Итоговая!G38</f>
        <v>0</v>
      </c>
      <c r="F77" s="2558">
        <f>Итоговая!H38</f>
        <v>0</v>
      </c>
      <c r="G77" s="2583" t="s">
        <v>1959</v>
      </c>
      <c r="H77" s="2583"/>
      <c r="I77" s="2583"/>
      <c r="J77" s="2583"/>
      <c r="K77" s="2583"/>
      <c r="L77" s="2584"/>
      <c r="M77" s="131"/>
      <c r="N77" s="132"/>
      <c r="O77" s="73"/>
      <c r="P77" s="73"/>
      <c r="Q77" s="73"/>
      <c r="R77" s="315"/>
      <c r="S77" s="315"/>
      <c r="T77" s="315"/>
      <c r="U77" s="315"/>
      <c r="V77" s="315"/>
      <c r="W77" s="315"/>
      <c r="X77" s="313"/>
    </row>
    <row r="78" spans="1:24" ht="45" x14ac:dyDescent="0.25">
      <c r="A78" s="2574"/>
      <c r="B78" s="2561"/>
      <c r="C78" s="2567"/>
      <c r="D78" s="2567"/>
      <c r="E78" s="2567"/>
      <c r="F78" s="2569"/>
      <c r="G78" s="41" t="s">
        <v>1830</v>
      </c>
      <c r="H78" s="41" t="s">
        <v>1831</v>
      </c>
      <c r="I78" s="41" t="s">
        <v>1832</v>
      </c>
      <c r="J78" s="331">
        <v>0.03</v>
      </c>
      <c r="K78" s="323"/>
      <c r="L78" s="324"/>
      <c r="M78" s="1258"/>
      <c r="N78" s="1258"/>
      <c r="O78" s="1258"/>
      <c r="P78" s="1258"/>
      <c r="Q78" s="1258"/>
      <c r="R78" s="1268"/>
      <c r="S78" s="1268"/>
      <c r="T78" s="1268"/>
      <c r="U78" s="1268"/>
      <c r="V78" s="1268"/>
      <c r="W78" s="1268"/>
      <c r="X78" s="313"/>
    </row>
    <row r="79" spans="1:24" x14ac:dyDescent="0.25">
      <c r="A79" s="2574"/>
      <c r="B79" s="2561"/>
      <c r="C79" s="2567"/>
      <c r="D79" s="2567"/>
      <c r="E79" s="2567"/>
      <c r="F79" s="2569"/>
      <c r="G79" s="2546" t="s">
        <v>3487</v>
      </c>
      <c r="H79" s="2547"/>
      <c r="I79" s="2547"/>
      <c r="J79" s="2547"/>
      <c r="K79" s="2547"/>
      <c r="L79" s="2547"/>
      <c r="M79" s="1258"/>
      <c r="N79" s="1258"/>
      <c r="O79" s="1258"/>
      <c r="P79" s="1258"/>
      <c r="Q79" s="1258"/>
      <c r="R79" s="1268"/>
      <c r="S79" s="1268"/>
      <c r="T79" s="1268"/>
      <c r="U79" s="1268"/>
      <c r="V79" s="1268"/>
      <c r="W79" s="1268"/>
      <c r="X79" s="313"/>
    </row>
    <row r="80" spans="1:24" ht="180" x14ac:dyDescent="0.25">
      <c r="A80" s="2574"/>
      <c r="B80" s="2561"/>
      <c r="C80" s="2567"/>
      <c r="D80" s="2567"/>
      <c r="E80" s="2567"/>
      <c r="F80" s="2569"/>
      <c r="G80" s="104" t="s">
        <v>3425</v>
      </c>
      <c r="H80" s="9" t="s">
        <v>3426</v>
      </c>
      <c r="I80" s="1266" t="s">
        <v>3495</v>
      </c>
      <c r="J80" s="9">
        <f>(0.1-0.015)*0.75</f>
        <v>6.3750000000000001E-2</v>
      </c>
      <c r="K80" s="331"/>
      <c r="L80" s="336"/>
      <c r="M80" s="1258"/>
      <c r="N80" s="1258"/>
      <c r="O80" s="1258"/>
      <c r="P80" s="1258"/>
      <c r="Q80" s="1258"/>
      <c r="R80" s="1268"/>
      <c r="S80" s="1268"/>
      <c r="T80" s="1268"/>
      <c r="U80" s="1268"/>
      <c r="V80" s="1268"/>
      <c r="W80" s="1268"/>
      <c r="X80" s="313"/>
    </row>
    <row r="81" spans="1:24" ht="15.75" customHeight="1" thickBot="1" x14ac:dyDescent="0.3">
      <c r="A81" s="2573"/>
      <c r="B81" s="2562"/>
      <c r="C81" s="2568"/>
      <c r="D81" s="2568"/>
      <c r="E81" s="2568"/>
      <c r="F81" s="2559"/>
      <c r="G81" s="2578" t="s">
        <v>1833</v>
      </c>
      <c r="H81" s="2578"/>
      <c r="I81" s="2579"/>
      <c r="J81" s="325">
        <f>SUM(J80)</f>
        <v>6.3750000000000001E-2</v>
      </c>
      <c r="K81" s="326">
        <v>0.92</v>
      </c>
      <c r="L81" s="325">
        <f>J81/K81</f>
        <v>6.9293478260869568E-2</v>
      </c>
      <c r="M81" s="2577" t="s">
        <v>1834</v>
      </c>
      <c r="N81" s="2579"/>
      <c r="O81" s="13">
        <f>SUM(O78:O78)</f>
        <v>0</v>
      </c>
      <c r="P81" s="14">
        <v>0.92</v>
      </c>
      <c r="Q81" s="13">
        <f>O81/P81</f>
        <v>0</v>
      </c>
      <c r="R81" s="2577" t="s">
        <v>1833</v>
      </c>
      <c r="S81" s="2578"/>
      <c r="T81" s="2579"/>
      <c r="U81" s="13">
        <f>SUM(U78:U78)</f>
        <v>0</v>
      </c>
      <c r="V81" s="14">
        <v>0.92</v>
      </c>
      <c r="W81" s="13">
        <f>U81/V81</f>
        <v>0</v>
      </c>
      <c r="X81" s="313"/>
    </row>
    <row r="82" spans="1:24" x14ac:dyDescent="0.25">
      <c r="A82" s="2571" t="str">
        <f>Итоговая!C39</f>
        <v xml:space="preserve">ПС 110/35 кВ Рассвет </v>
      </c>
      <c r="B82" s="2560">
        <f>Итоговая!D39</f>
        <v>10</v>
      </c>
      <c r="C82" s="2566">
        <f>Итоговая!E39</f>
        <v>0</v>
      </c>
      <c r="D82" s="2566">
        <f>Итоговая!F39</f>
        <v>0</v>
      </c>
      <c r="E82" s="2566">
        <f>Итоговая!G39</f>
        <v>0</v>
      </c>
      <c r="F82" s="2558">
        <f>Итоговая!H39</f>
        <v>0</v>
      </c>
      <c r="G82" s="1623"/>
      <c r="H82" s="17"/>
      <c r="I82" s="17"/>
      <c r="J82" s="17"/>
      <c r="K82" s="17"/>
      <c r="L82" s="73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73"/>
      <c r="X82" s="313"/>
    </row>
    <row r="83" spans="1:24" ht="15.75" customHeight="1" thickBot="1" x14ac:dyDescent="0.3">
      <c r="A83" s="2574"/>
      <c r="B83" s="2562"/>
      <c r="C83" s="2568"/>
      <c r="D83" s="2568"/>
      <c r="E83" s="2568"/>
      <c r="F83" s="2559"/>
      <c r="G83" s="2578" t="s">
        <v>1833</v>
      </c>
      <c r="H83" s="2578"/>
      <c r="I83" s="2579"/>
      <c r="J83" s="13">
        <f>SUM(J82:J82)</f>
        <v>0</v>
      </c>
      <c r="K83" s="14">
        <v>0.92</v>
      </c>
      <c r="L83" s="13">
        <f>J83/K83</f>
        <v>0</v>
      </c>
      <c r="M83" s="2577" t="s">
        <v>1834</v>
      </c>
      <c r="N83" s="2579"/>
      <c r="O83" s="13">
        <f>SUM(O82:O82)</f>
        <v>0</v>
      </c>
      <c r="P83" s="14">
        <v>0.92</v>
      </c>
      <c r="Q83" s="13">
        <f>O83/P83</f>
        <v>0</v>
      </c>
      <c r="R83" s="2577" t="s">
        <v>1833</v>
      </c>
      <c r="S83" s="2578"/>
      <c r="T83" s="2579"/>
      <c r="U83" s="13">
        <f>SUM(U82:U82)</f>
        <v>0</v>
      </c>
      <c r="V83" s="14">
        <v>0.92</v>
      </c>
      <c r="W83" s="13">
        <f>U83/V83</f>
        <v>0</v>
      </c>
      <c r="X83" s="313"/>
    </row>
    <row r="84" spans="1:24" x14ac:dyDescent="0.25">
      <c r="A84" s="2571" t="str">
        <f>Итоговая!C40</f>
        <v xml:space="preserve">ПС 110/35/10 кВ Иваново </v>
      </c>
      <c r="B84" s="2560">
        <f>Итоговая!D40</f>
        <v>6.3</v>
      </c>
      <c r="C84" s="2566">
        <f>Итоговая!E40</f>
        <v>0</v>
      </c>
      <c r="D84" s="2566">
        <f>Итоговая!F40</f>
        <v>0</v>
      </c>
      <c r="E84" s="2566">
        <f>Итоговая!G40</f>
        <v>0</v>
      </c>
      <c r="F84" s="2558">
        <f>Итоговая!H40</f>
        <v>0</v>
      </c>
      <c r="G84" s="1621"/>
      <c r="H84" s="1"/>
      <c r="I84" s="1"/>
      <c r="J84" s="1"/>
      <c r="K84" s="1"/>
      <c r="L84" s="22"/>
      <c r="M84" s="1"/>
      <c r="N84" s="1"/>
      <c r="O84" s="1"/>
      <c r="P84" s="1"/>
      <c r="Q84" s="1"/>
      <c r="R84" s="1"/>
      <c r="S84" s="1"/>
      <c r="T84" s="1"/>
      <c r="U84" s="1"/>
      <c r="V84" s="1"/>
      <c r="W84" s="22"/>
      <c r="X84" s="313"/>
    </row>
    <row r="85" spans="1:24" ht="15.75" customHeight="1" thickBot="1" x14ac:dyDescent="0.3">
      <c r="A85" s="2574"/>
      <c r="B85" s="2562"/>
      <c r="C85" s="2568"/>
      <c r="D85" s="2568"/>
      <c r="E85" s="2568"/>
      <c r="F85" s="2559"/>
      <c r="G85" s="2578" t="s">
        <v>1833</v>
      </c>
      <c r="H85" s="2578"/>
      <c r="I85" s="2579"/>
      <c r="J85" s="13">
        <f>SUM(J84:J84)</f>
        <v>0</v>
      </c>
      <c r="K85" s="14">
        <v>0.92</v>
      </c>
      <c r="L85" s="13">
        <f>J85/K85</f>
        <v>0</v>
      </c>
      <c r="M85" s="2577" t="s">
        <v>1834</v>
      </c>
      <c r="N85" s="2579"/>
      <c r="O85" s="13">
        <f>SUM(O84:O84)</f>
        <v>0</v>
      </c>
      <c r="P85" s="14">
        <v>0.92</v>
      </c>
      <c r="Q85" s="13">
        <f>O85/P85</f>
        <v>0</v>
      </c>
      <c r="R85" s="2577" t="s">
        <v>1833</v>
      </c>
      <c r="S85" s="2578"/>
      <c r="T85" s="2579"/>
      <c r="U85" s="13">
        <f>SUM(U84:U84)</f>
        <v>0</v>
      </c>
      <c r="V85" s="14">
        <v>0.92</v>
      </c>
      <c r="W85" s="13">
        <f>U85/V85</f>
        <v>0</v>
      </c>
      <c r="X85" s="313"/>
    </row>
    <row r="86" spans="1:24" ht="39" customHeight="1" x14ac:dyDescent="0.25">
      <c r="A86" s="2571" t="str">
        <f>Итоговая!C43</f>
        <v xml:space="preserve">ПС 110/35/10 кВ Кесьма </v>
      </c>
      <c r="B86" s="2560">
        <f>Итоговая!D43</f>
        <v>6.3</v>
      </c>
      <c r="C86" s="2566">
        <f>Итоговая!E43</f>
        <v>0</v>
      </c>
      <c r="D86" s="2566">
        <f>Итоговая!F43</f>
        <v>0</v>
      </c>
      <c r="E86" s="2566">
        <f>Итоговая!G43</f>
        <v>0</v>
      </c>
      <c r="F86" s="2558">
        <f>Итоговая!H43</f>
        <v>0</v>
      </c>
      <c r="G86" s="104"/>
      <c r="H86" s="9"/>
      <c r="I86" s="9"/>
      <c r="J86" s="9"/>
      <c r="K86" s="9"/>
      <c r="L86" s="51"/>
      <c r="M86" s="9" t="s">
        <v>2392</v>
      </c>
      <c r="N86" s="9" t="s">
        <v>2393</v>
      </c>
      <c r="O86" s="9">
        <v>1.6E-2</v>
      </c>
      <c r="P86" s="9"/>
      <c r="Q86" s="9"/>
      <c r="R86" s="9"/>
      <c r="S86" s="9"/>
      <c r="T86" s="9"/>
      <c r="U86" s="9"/>
      <c r="V86" s="9"/>
      <c r="W86" s="51"/>
      <c r="X86" s="313"/>
    </row>
    <row r="87" spans="1:24" ht="15.75" customHeight="1" thickBot="1" x14ac:dyDescent="0.3">
      <c r="A87" s="2574"/>
      <c r="B87" s="2562"/>
      <c r="C87" s="2568"/>
      <c r="D87" s="2568"/>
      <c r="E87" s="2568"/>
      <c r="F87" s="2559"/>
      <c r="G87" s="2578" t="s">
        <v>1833</v>
      </c>
      <c r="H87" s="2578"/>
      <c r="I87" s="2579"/>
      <c r="J87" s="13">
        <f>SUM(J86:J86)</f>
        <v>0</v>
      </c>
      <c r="K87" s="14">
        <v>0.92</v>
      </c>
      <c r="L87" s="13">
        <f>J87/K87</f>
        <v>0</v>
      </c>
      <c r="M87" s="2577" t="s">
        <v>1834</v>
      </c>
      <c r="N87" s="2579"/>
      <c r="O87" s="13">
        <f>SUM(O86:O86)</f>
        <v>1.6E-2</v>
      </c>
      <c r="P87" s="14">
        <v>0.92</v>
      </c>
      <c r="Q87" s="13">
        <f>O87/P87</f>
        <v>1.7391304347826087E-2</v>
      </c>
      <c r="R87" s="2577" t="s">
        <v>1833</v>
      </c>
      <c r="S87" s="2578"/>
      <c r="T87" s="2579"/>
      <c r="U87" s="13">
        <f>SUM(U86:U86)</f>
        <v>0</v>
      </c>
      <c r="V87" s="14">
        <v>0.92</v>
      </c>
      <c r="W87" s="13">
        <f>U87/V87</f>
        <v>0</v>
      </c>
      <c r="X87" s="313"/>
    </row>
    <row r="88" spans="1:24" ht="30" x14ac:dyDescent="0.25">
      <c r="A88" s="2571" t="str">
        <f>Итоговая!C46</f>
        <v xml:space="preserve">ПС 110/35/10 кВ Моркины Горы </v>
      </c>
      <c r="B88" s="2560">
        <f>Итоговая!D46</f>
        <v>5.6</v>
      </c>
      <c r="C88" s="2566">
        <f>Итоговая!E46</f>
        <v>0</v>
      </c>
      <c r="D88" s="2566">
        <f>Итоговая!F46</f>
        <v>0</v>
      </c>
      <c r="E88" s="2566">
        <f>Итоговая!G46</f>
        <v>0</v>
      </c>
      <c r="F88" s="2558">
        <f>Итоговая!H46</f>
        <v>0</v>
      </c>
      <c r="G88" s="1621"/>
      <c r="H88" s="1"/>
      <c r="I88" s="1"/>
      <c r="J88" s="9"/>
      <c r="K88" s="9"/>
      <c r="L88" s="51"/>
      <c r="M88" s="9" t="s">
        <v>1837</v>
      </c>
      <c r="N88" s="9" t="s">
        <v>1838</v>
      </c>
      <c r="O88" s="9">
        <v>2.04</v>
      </c>
      <c r="P88" s="9"/>
      <c r="Q88" s="9"/>
      <c r="R88" s="1"/>
      <c r="S88" s="1"/>
      <c r="T88" s="1"/>
      <c r="U88" s="9"/>
      <c r="V88" s="9"/>
      <c r="W88" s="51"/>
      <c r="X88" s="313"/>
    </row>
    <row r="89" spans="1:24" ht="15.75" customHeight="1" thickBot="1" x14ac:dyDescent="0.3">
      <c r="A89" s="2574"/>
      <c r="B89" s="2562"/>
      <c r="C89" s="2568"/>
      <c r="D89" s="2568"/>
      <c r="E89" s="2568"/>
      <c r="F89" s="2559"/>
      <c r="G89" s="2578" t="s">
        <v>1833</v>
      </c>
      <c r="H89" s="2578"/>
      <c r="I89" s="2579"/>
      <c r="J89" s="13">
        <f>SUM(J88:J88)</f>
        <v>0</v>
      </c>
      <c r="K89" s="14">
        <v>0.92</v>
      </c>
      <c r="L89" s="13">
        <f>J89/K89</f>
        <v>0</v>
      </c>
      <c r="M89" s="2577" t="s">
        <v>1834</v>
      </c>
      <c r="N89" s="2579"/>
      <c r="O89" s="13">
        <f>SUM(O88:O88)</f>
        <v>2.04</v>
      </c>
      <c r="P89" s="14">
        <v>0.92</v>
      </c>
      <c r="Q89" s="13">
        <f>O89/P89</f>
        <v>2.2173913043478262</v>
      </c>
      <c r="R89" s="2577" t="s">
        <v>1833</v>
      </c>
      <c r="S89" s="2578"/>
      <c r="T89" s="2579"/>
      <c r="U89" s="13">
        <f>SUM(U88:U88)</f>
        <v>0</v>
      </c>
      <c r="V89" s="14">
        <v>0.92</v>
      </c>
      <c r="W89" s="13">
        <f>U89/V89</f>
        <v>0</v>
      </c>
      <c r="X89" s="313"/>
    </row>
    <row r="90" spans="1:24" x14ac:dyDescent="0.25">
      <c r="A90" s="2571" t="str">
        <f>Итоговая!C49</f>
        <v xml:space="preserve">ПС 110/35/10 кВ Топалки  </v>
      </c>
      <c r="B90" s="2561">
        <f>Итоговая!D49</f>
        <v>6.3</v>
      </c>
      <c r="C90" s="2567">
        <f>Итоговая!E49</f>
        <v>0</v>
      </c>
      <c r="D90" s="2567">
        <f>Итоговая!F49</f>
        <v>0</v>
      </c>
      <c r="E90" s="2567">
        <f>Итоговая!G49</f>
        <v>0</v>
      </c>
      <c r="F90" s="2569">
        <f>Итоговая!H49</f>
        <v>0</v>
      </c>
      <c r="G90" s="1623"/>
      <c r="H90" s="17"/>
      <c r="I90" s="17"/>
      <c r="J90" s="17"/>
      <c r="K90" s="17"/>
      <c r="L90" s="73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73"/>
      <c r="X90" s="313"/>
    </row>
    <row r="91" spans="1:24" ht="15.75" customHeight="1" thickBot="1" x14ac:dyDescent="0.3">
      <c r="A91" s="2574"/>
      <c r="B91" s="2562"/>
      <c r="C91" s="2568"/>
      <c r="D91" s="2568"/>
      <c r="E91" s="2568"/>
      <c r="F91" s="2559"/>
      <c r="G91" s="2578" t="s">
        <v>1833</v>
      </c>
      <c r="H91" s="2578"/>
      <c r="I91" s="2579"/>
      <c r="J91" s="13">
        <f>SUM(J90:J90)</f>
        <v>0</v>
      </c>
      <c r="K91" s="14">
        <v>0.92</v>
      </c>
      <c r="L91" s="13">
        <f>J91/K91</f>
        <v>0</v>
      </c>
      <c r="M91" s="2577" t="s">
        <v>1834</v>
      </c>
      <c r="N91" s="2579"/>
      <c r="O91" s="13">
        <f>SUM(O90:O90)</f>
        <v>0</v>
      </c>
      <c r="P91" s="14">
        <v>0.92</v>
      </c>
      <c r="Q91" s="13">
        <f>O91/P91</f>
        <v>0</v>
      </c>
      <c r="R91" s="2577" t="s">
        <v>1833</v>
      </c>
      <c r="S91" s="2578"/>
      <c r="T91" s="2579"/>
      <c r="U91" s="13">
        <f>SUM(U90:U90)</f>
        <v>0</v>
      </c>
      <c r="V91" s="14">
        <v>0.92</v>
      </c>
      <c r="W91" s="13">
        <f>U91/V91</f>
        <v>0</v>
      </c>
      <c r="X91" s="313"/>
    </row>
    <row r="92" spans="1:24" x14ac:dyDescent="0.25">
      <c r="A92" s="2571" t="str">
        <f>Итоговая!C52</f>
        <v xml:space="preserve">ПС 35/10 кВ Березьё  </v>
      </c>
      <c r="B92" s="2560">
        <f>Итоговая!D52</f>
        <v>1</v>
      </c>
      <c r="C92" s="2563" t="str">
        <f>Итоговая!E52</f>
        <v>+</v>
      </c>
      <c r="D92" s="2563">
        <f>Итоговая!F52</f>
        <v>1</v>
      </c>
      <c r="E92" s="2566">
        <f>Итоговая!G52</f>
        <v>0</v>
      </c>
      <c r="F92" s="2558">
        <f>Итоговая!H52</f>
        <v>0</v>
      </c>
      <c r="G92" s="152"/>
      <c r="H92" s="1"/>
      <c r="I92" s="1"/>
      <c r="J92" s="1"/>
      <c r="K92" s="1"/>
      <c r="L92" s="22"/>
      <c r="M92" s="1"/>
      <c r="N92" s="1"/>
      <c r="O92" s="1"/>
      <c r="P92" s="1"/>
      <c r="Q92" s="1"/>
      <c r="R92" s="1"/>
      <c r="S92" s="1"/>
      <c r="T92" s="1"/>
      <c r="U92" s="1"/>
      <c r="V92" s="1"/>
      <c r="W92" s="22"/>
      <c r="X92" s="313"/>
    </row>
    <row r="93" spans="1:24" ht="15.75" customHeight="1" thickBot="1" x14ac:dyDescent="0.3">
      <c r="A93" s="2574"/>
      <c r="B93" s="2562"/>
      <c r="C93" s="2565"/>
      <c r="D93" s="2565"/>
      <c r="E93" s="2568"/>
      <c r="F93" s="2559"/>
      <c r="G93" s="2578" t="s">
        <v>1833</v>
      </c>
      <c r="H93" s="2578"/>
      <c r="I93" s="2579"/>
      <c r="J93" s="13">
        <f>SUM(J92:J92)</f>
        <v>0</v>
      </c>
      <c r="K93" s="14">
        <v>0.92</v>
      </c>
      <c r="L93" s="13">
        <f>J93/K93</f>
        <v>0</v>
      </c>
      <c r="M93" s="2577" t="s">
        <v>1834</v>
      </c>
      <c r="N93" s="2579"/>
      <c r="O93" s="13">
        <f>SUM(O92:O92)</f>
        <v>0</v>
      </c>
      <c r="P93" s="14">
        <v>0.92</v>
      </c>
      <c r="Q93" s="13">
        <f>O93/P93</f>
        <v>0</v>
      </c>
      <c r="R93" s="2577" t="s">
        <v>1833</v>
      </c>
      <c r="S93" s="2578"/>
      <c r="T93" s="2579"/>
      <c r="U93" s="13">
        <f>SUM(U92:U92)</f>
        <v>0</v>
      </c>
      <c r="V93" s="14">
        <v>0.92</v>
      </c>
      <c r="W93" s="13">
        <f>U93/V93</f>
        <v>0</v>
      </c>
      <c r="X93" s="313"/>
    </row>
    <row r="94" spans="1:24" ht="19.5" customHeight="1" x14ac:dyDescent="0.25">
      <c r="A94" s="2571" t="str">
        <f>Итоговая!C53</f>
        <v xml:space="preserve">ПС 35/10 кВ Лесное </v>
      </c>
      <c r="B94" s="2560">
        <f>Итоговая!D53</f>
        <v>2.5</v>
      </c>
      <c r="C94" s="2563" t="str">
        <f>Итоговая!E53</f>
        <v>+</v>
      </c>
      <c r="D94" s="2563">
        <f>Итоговая!F53</f>
        <v>4</v>
      </c>
      <c r="E94" s="2566">
        <f>Итоговая!G53</f>
        <v>0</v>
      </c>
      <c r="F94" s="2558">
        <f>Итоговая!H53</f>
        <v>0</v>
      </c>
      <c r="G94" s="2585" t="s">
        <v>1959</v>
      </c>
      <c r="H94" s="2585"/>
      <c r="I94" s="2585"/>
      <c r="J94" s="2585"/>
      <c r="K94" s="2585"/>
      <c r="L94" s="2586"/>
      <c r="M94" s="143"/>
      <c r="N94" s="143"/>
      <c r="O94" s="143"/>
      <c r="P94" s="9"/>
      <c r="Q94" s="9"/>
      <c r="R94" s="295"/>
      <c r="S94" s="295"/>
      <c r="T94" s="295"/>
      <c r="U94" s="295"/>
      <c r="V94" s="295"/>
      <c r="W94" s="295"/>
      <c r="X94" s="313"/>
    </row>
    <row r="95" spans="1:24" ht="33" customHeight="1" x14ac:dyDescent="0.25">
      <c r="A95" s="2574"/>
      <c r="B95" s="2561"/>
      <c r="C95" s="2564"/>
      <c r="D95" s="2564"/>
      <c r="E95" s="2567"/>
      <c r="F95" s="2569"/>
      <c r="G95" s="383" t="s">
        <v>1856</v>
      </c>
      <c r="H95" s="1" t="s">
        <v>1857</v>
      </c>
      <c r="I95" s="1" t="s">
        <v>1858</v>
      </c>
      <c r="J95" s="1">
        <v>0.06</v>
      </c>
      <c r="K95" s="1"/>
      <c r="L95" s="22"/>
      <c r="M95" s="143" t="s">
        <v>1753</v>
      </c>
      <c r="N95" s="1216" t="s">
        <v>1964</v>
      </c>
      <c r="O95" s="6">
        <v>1.1000000000000001</v>
      </c>
      <c r="P95" s="323"/>
      <c r="Q95" s="323"/>
      <c r="R95" s="2208" t="s">
        <v>3369</v>
      </c>
      <c r="S95" s="2205" t="s">
        <v>3370</v>
      </c>
      <c r="T95" s="327" t="s">
        <v>20052</v>
      </c>
      <c r="U95" s="2249">
        <f>0.04*0.9</f>
        <v>3.6000000000000004E-2</v>
      </c>
      <c r="V95" s="2249"/>
      <c r="W95" s="2249"/>
      <c r="X95" s="313"/>
    </row>
    <row r="96" spans="1:24" ht="19.5" customHeight="1" x14ac:dyDescent="0.25">
      <c r="A96" s="2574"/>
      <c r="B96" s="2561"/>
      <c r="C96" s="2564"/>
      <c r="D96" s="2564"/>
      <c r="E96" s="2567"/>
      <c r="F96" s="2569"/>
      <c r="G96" s="2546" t="s">
        <v>3307</v>
      </c>
      <c r="H96" s="2547"/>
      <c r="I96" s="2547"/>
      <c r="J96" s="2547"/>
      <c r="K96" s="2547"/>
      <c r="L96" s="2547"/>
      <c r="M96" s="1" t="s">
        <v>1859</v>
      </c>
      <c r="N96" s="1215" t="s">
        <v>1860</v>
      </c>
      <c r="O96" s="323">
        <v>6.0499999999999998E-2</v>
      </c>
      <c r="P96" s="323"/>
      <c r="Q96" s="323"/>
      <c r="R96" s="145"/>
      <c r="S96" s="145"/>
      <c r="T96" s="145"/>
      <c r="U96" s="145"/>
      <c r="V96" s="145"/>
      <c r="W96" s="145"/>
      <c r="X96" s="313"/>
    </row>
    <row r="97" spans="1:24" ht="16.5" customHeight="1" x14ac:dyDescent="0.25">
      <c r="A97" s="2574"/>
      <c r="B97" s="2561"/>
      <c r="C97" s="2564"/>
      <c r="D97" s="2564"/>
      <c r="E97" s="2567"/>
      <c r="F97" s="2569"/>
      <c r="G97" s="2599"/>
      <c r="H97" s="2616"/>
      <c r="I97" s="2617"/>
      <c r="J97" s="62"/>
      <c r="K97" s="75"/>
      <c r="L97" s="75"/>
      <c r="M97" s="24" t="s">
        <v>1983</v>
      </c>
      <c r="N97" s="1217" t="s">
        <v>1984</v>
      </c>
      <c r="O97" s="328">
        <v>0.03</v>
      </c>
      <c r="P97" s="331"/>
      <c r="Q97" s="331"/>
      <c r="R97" s="75"/>
      <c r="S97" s="75"/>
      <c r="T97" s="75"/>
      <c r="U97" s="75"/>
      <c r="V97" s="75"/>
      <c r="W97" s="75"/>
      <c r="X97" s="313"/>
    </row>
    <row r="98" spans="1:24" ht="24" customHeight="1" x14ac:dyDescent="0.25">
      <c r="A98" s="2574"/>
      <c r="B98" s="2561"/>
      <c r="C98" s="2564"/>
      <c r="D98" s="2564"/>
      <c r="E98" s="2567"/>
      <c r="F98" s="2569"/>
      <c r="G98" s="2546" t="s">
        <v>3487</v>
      </c>
      <c r="H98" s="2547"/>
      <c r="I98" s="2547"/>
      <c r="J98" s="2547"/>
      <c r="K98" s="2547"/>
      <c r="L98" s="2547"/>
      <c r="M98" s="1" t="s">
        <v>2666</v>
      </c>
      <c r="N98" s="1215" t="s">
        <v>2667</v>
      </c>
      <c r="O98" s="327">
        <v>0.02</v>
      </c>
      <c r="P98" s="327"/>
      <c r="Q98" s="327"/>
      <c r="R98" s="145"/>
      <c r="S98" s="145"/>
      <c r="T98" s="145"/>
      <c r="U98" s="145"/>
      <c r="V98" s="145"/>
      <c r="W98" s="145"/>
      <c r="X98" s="313"/>
    </row>
    <row r="99" spans="1:24" ht="47.25" customHeight="1" x14ac:dyDescent="0.25">
      <c r="A99" s="2574"/>
      <c r="B99" s="2561"/>
      <c r="C99" s="2564"/>
      <c r="D99" s="2564"/>
      <c r="E99" s="2567"/>
      <c r="F99" s="2569"/>
      <c r="G99" s="1621"/>
      <c r="H99" s="1258"/>
      <c r="I99" s="327"/>
      <c r="J99" s="1280"/>
      <c r="K99" s="1280"/>
      <c r="L99" s="8"/>
      <c r="M99" s="1"/>
      <c r="N99" s="1215"/>
      <c r="O99" s="327"/>
      <c r="P99" s="327"/>
      <c r="Q99" s="327"/>
      <c r="R99" s="145"/>
      <c r="S99" s="145"/>
      <c r="T99" s="145"/>
      <c r="U99" s="145"/>
      <c r="V99" s="145"/>
      <c r="W99" s="145"/>
      <c r="X99" s="313"/>
    </row>
    <row r="100" spans="1:24" ht="15.75" customHeight="1" thickBot="1" x14ac:dyDescent="0.3">
      <c r="A100" s="2573"/>
      <c r="B100" s="2562"/>
      <c r="C100" s="2565"/>
      <c r="D100" s="2565"/>
      <c r="E100" s="2568"/>
      <c r="F100" s="2559"/>
      <c r="G100" s="2603" t="s">
        <v>1833</v>
      </c>
      <c r="H100" s="2604"/>
      <c r="I100" s="2604"/>
      <c r="J100" s="140">
        <f>SUM(J97:J99)</f>
        <v>0</v>
      </c>
      <c r="K100" s="141">
        <v>0.92</v>
      </c>
      <c r="L100" s="140">
        <f>J100/K100</f>
        <v>0</v>
      </c>
      <c r="M100" s="2613" t="s">
        <v>1834</v>
      </c>
      <c r="N100" s="2603"/>
      <c r="O100" s="332">
        <f>SUM(O95:O99)</f>
        <v>1.2105000000000001</v>
      </c>
      <c r="P100" s="697">
        <v>0.92</v>
      </c>
      <c r="Q100" s="332">
        <f>O100/P100</f>
        <v>1.3157608695652174</v>
      </c>
      <c r="R100" s="2606" t="s">
        <v>1833</v>
      </c>
      <c r="S100" s="2606"/>
      <c r="T100" s="2606"/>
      <c r="U100" s="160">
        <f>SUM(U95)</f>
        <v>3.6000000000000004E-2</v>
      </c>
      <c r="V100" s="128">
        <v>0.92</v>
      </c>
      <c r="W100" s="160">
        <f>U100/V100</f>
        <v>3.9130434782608699E-2</v>
      </c>
      <c r="X100" s="313"/>
    </row>
    <row r="101" spans="1:24" x14ac:dyDescent="0.25">
      <c r="A101" s="2571" t="str">
        <f>Итоговая!C54</f>
        <v xml:space="preserve">ПС 35/10 кВ Максатиха   </v>
      </c>
      <c r="B101" s="2560">
        <f>Итоговая!D54</f>
        <v>6.3</v>
      </c>
      <c r="C101" s="2563" t="str">
        <f>Итоговая!E54</f>
        <v>+</v>
      </c>
      <c r="D101" s="2563">
        <f>Итоговая!F54</f>
        <v>4</v>
      </c>
      <c r="E101" s="2566">
        <f>Итоговая!G54</f>
        <v>0</v>
      </c>
      <c r="F101" s="2558">
        <f>Итоговая!H54</f>
        <v>0</v>
      </c>
      <c r="G101" s="2594" t="s">
        <v>1960</v>
      </c>
      <c r="H101" s="2595"/>
      <c r="I101" s="2595"/>
      <c r="J101" s="2595"/>
      <c r="K101" s="2595"/>
      <c r="L101" s="2596"/>
      <c r="M101" s="131"/>
      <c r="N101" s="132"/>
      <c r="O101" s="73"/>
      <c r="P101" s="73"/>
      <c r="Q101" s="73"/>
      <c r="R101" s="295"/>
      <c r="S101" s="295"/>
      <c r="T101" s="295"/>
      <c r="U101" s="295"/>
      <c r="V101" s="295"/>
      <c r="W101" s="295"/>
      <c r="X101" s="313"/>
    </row>
    <row r="102" spans="1:24" ht="57" customHeight="1" x14ac:dyDescent="0.25">
      <c r="A102" s="2574"/>
      <c r="B102" s="2561"/>
      <c r="C102" s="2564"/>
      <c r="D102" s="2564"/>
      <c r="E102" s="2567"/>
      <c r="F102" s="2569"/>
      <c r="G102" s="335" t="s">
        <v>119</v>
      </c>
      <c r="H102" s="331" t="s">
        <v>120</v>
      </c>
      <c r="I102" s="331" t="s">
        <v>121</v>
      </c>
      <c r="J102" s="331">
        <f>50/1000</f>
        <v>0.05</v>
      </c>
      <c r="K102" s="331"/>
      <c r="L102" s="336"/>
      <c r="M102" s="9"/>
      <c r="N102" s="9"/>
      <c r="O102" s="323"/>
      <c r="P102" s="323"/>
      <c r="Q102" s="323"/>
      <c r="R102" s="295"/>
      <c r="S102" s="295"/>
      <c r="T102" s="295"/>
      <c r="U102" s="295"/>
      <c r="V102" s="295"/>
      <c r="W102" s="295"/>
      <c r="X102" s="313"/>
    </row>
    <row r="103" spans="1:24" ht="18" customHeight="1" x14ac:dyDescent="0.25">
      <c r="A103" s="2574"/>
      <c r="B103" s="2561"/>
      <c r="C103" s="2564"/>
      <c r="D103" s="2564"/>
      <c r="E103" s="2567"/>
      <c r="F103" s="2569"/>
      <c r="G103" s="2546" t="s">
        <v>2286</v>
      </c>
      <c r="H103" s="2547"/>
      <c r="I103" s="2547"/>
      <c r="J103" s="2547"/>
      <c r="K103" s="2547"/>
      <c r="L103" s="2547"/>
      <c r="M103" s="1" t="s">
        <v>1874</v>
      </c>
      <c r="N103" s="1" t="s">
        <v>1875</v>
      </c>
      <c r="O103" s="327">
        <v>4.4999999999999998E-2</v>
      </c>
      <c r="P103" s="323"/>
      <c r="Q103" s="323"/>
      <c r="R103" s="295"/>
      <c r="S103" s="295"/>
      <c r="T103" s="295"/>
      <c r="U103" s="295"/>
      <c r="V103" s="295"/>
      <c r="W103" s="295"/>
      <c r="X103" s="313"/>
    </row>
    <row r="104" spans="1:24" ht="75" x14ac:dyDescent="0.25">
      <c r="A104" s="2574"/>
      <c r="B104" s="2561"/>
      <c r="C104" s="2564"/>
      <c r="D104" s="2564"/>
      <c r="E104" s="2567"/>
      <c r="F104" s="2569"/>
      <c r="G104" s="389" t="s">
        <v>2212</v>
      </c>
      <c r="H104" s="327" t="s">
        <v>2211</v>
      </c>
      <c r="I104" s="323" t="s">
        <v>2213</v>
      </c>
      <c r="J104" s="323">
        <v>0.04</v>
      </c>
      <c r="K104" s="323"/>
      <c r="L104" s="324"/>
      <c r="M104" s="9" t="s">
        <v>1873</v>
      </c>
      <c r="N104" s="9" t="s">
        <v>68</v>
      </c>
      <c r="O104" s="323">
        <v>0.98</v>
      </c>
      <c r="P104" s="323"/>
      <c r="Q104" s="323"/>
      <c r="R104" s="295"/>
      <c r="S104" s="295"/>
      <c r="T104" s="295"/>
      <c r="U104" s="295"/>
      <c r="V104" s="295"/>
      <c r="W104" s="295"/>
      <c r="X104" s="313"/>
    </row>
    <row r="105" spans="1:24" ht="60" x14ac:dyDescent="0.25">
      <c r="A105" s="2574"/>
      <c r="B105" s="2561"/>
      <c r="C105" s="2564"/>
      <c r="D105" s="2564"/>
      <c r="E105" s="2567"/>
      <c r="F105" s="2569"/>
      <c r="G105" s="388" t="s">
        <v>1871</v>
      </c>
      <c r="H105" s="323" t="s">
        <v>1872</v>
      </c>
      <c r="I105" s="323" t="s">
        <v>2253</v>
      </c>
      <c r="J105" s="323">
        <v>0.113</v>
      </c>
      <c r="K105" s="323"/>
      <c r="L105" s="324"/>
      <c r="M105" s="8" t="s">
        <v>69</v>
      </c>
      <c r="N105" s="1" t="s">
        <v>70</v>
      </c>
      <c r="O105" s="323">
        <v>3.5000000000000003E-2</v>
      </c>
      <c r="P105" s="323"/>
      <c r="Q105" s="323"/>
      <c r="R105" s="295"/>
      <c r="S105" s="295"/>
      <c r="T105" s="295"/>
      <c r="U105" s="295"/>
      <c r="V105" s="295"/>
      <c r="W105" s="295"/>
      <c r="X105" s="313"/>
    </row>
    <row r="106" spans="1:24" ht="150" x14ac:dyDescent="0.25">
      <c r="A106" s="2574"/>
      <c r="B106" s="2561"/>
      <c r="C106" s="2564"/>
      <c r="D106" s="2564"/>
      <c r="E106" s="2567"/>
      <c r="F106" s="2569"/>
      <c r="G106" s="717" t="s">
        <v>2419</v>
      </c>
      <c r="H106" s="328" t="s">
        <v>2420</v>
      </c>
      <c r="I106" s="335" t="s">
        <v>2474</v>
      </c>
      <c r="J106" s="331">
        <v>4.4999999999999998E-2</v>
      </c>
      <c r="K106" s="331"/>
      <c r="L106" s="336"/>
      <c r="M106" s="24" t="s">
        <v>2713</v>
      </c>
      <c r="N106" s="24" t="s">
        <v>2716</v>
      </c>
      <c r="O106" s="328">
        <v>0.124</v>
      </c>
      <c r="P106" s="331"/>
      <c r="Q106" s="331"/>
      <c r="R106" s="600"/>
      <c r="S106" s="600"/>
      <c r="T106" s="600"/>
      <c r="U106" s="600"/>
      <c r="V106" s="600"/>
      <c r="W106" s="600"/>
      <c r="X106" s="313"/>
    </row>
    <row r="107" spans="1:24" ht="23.25" customHeight="1" x14ac:dyDescent="0.25">
      <c r="A107" s="2574"/>
      <c r="B107" s="2561"/>
      <c r="C107" s="2564"/>
      <c r="D107" s="2564"/>
      <c r="E107" s="2567"/>
      <c r="F107" s="2569"/>
      <c r="G107" s="2546" t="s">
        <v>3307</v>
      </c>
      <c r="H107" s="2547"/>
      <c r="I107" s="2547"/>
      <c r="J107" s="2547"/>
      <c r="K107" s="2547"/>
      <c r="L107" s="2547"/>
      <c r="M107" s="24" t="s">
        <v>2713</v>
      </c>
      <c r="N107" s="1" t="s">
        <v>2727</v>
      </c>
      <c r="O107" s="327">
        <v>0.05</v>
      </c>
      <c r="P107" s="327"/>
      <c r="Q107" s="327"/>
      <c r="R107" s="295"/>
      <c r="S107" s="295"/>
      <c r="T107" s="295"/>
      <c r="U107" s="295"/>
      <c r="V107" s="295"/>
      <c r="W107" s="295"/>
      <c r="X107" s="313"/>
    </row>
    <row r="108" spans="1:24" ht="56.25" customHeight="1" x14ac:dyDescent="0.25">
      <c r="A108" s="2574"/>
      <c r="B108" s="2561"/>
      <c r="C108" s="2564"/>
      <c r="D108" s="2564"/>
      <c r="E108" s="2567"/>
      <c r="F108" s="2569"/>
      <c r="G108" s="104" t="s">
        <v>1864</v>
      </c>
      <c r="H108" s="9" t="s">
        <v>3129</v>
      </c>
      <c r="I108" s="717" t="s">
        <v>3308</v>
      </c>
      <c r="J108" s="323">
        <f>0.05*0.9</f>
        <v>4.5000000000000005E-2</v>
      </c>
      <c r="K108" s="328"/>
      <c r="L108" s="729"/>
      <c r="M108" s="1" t="s">
        <v>2894</v>
      </c>
      <c r="N108" s="1" t="s">
        <v>2895</v>
      </c>
      <c r="O108" s="327">
        <v>0.25</v>
      </c>
      <c r="P108" s="327"/>
      <c r="Q108" s="327"/>
      <c r="R108" s="295"/>
      <c r="S108" s="295"/>
      <c r="T108" s="295"/>
      <c r="U108" s="295"/>
      <c r="V108" s="295"/>
      <c r="W108" s="295"/>
      <c r="X108" s="313"/>
    </row>
    <row r="109" spans="1:24" ht="56.25" customHeight="1" x14ac:dyDescent="0.25">
      <c r="A109" s="2574"/>
      <c r="B109" s="2561"/>
      <c r="C109" s="2564"/>
      <c r="D109" s="2564"/>
      <c r="E109" s="2567"/>
      <c r="F109" s="2569"/>
      <c r="G109" s="2592"/>
      <c r="H109" s="2592"/>
      <c r="I109" s="2593"/>
      <c r="J109" s="729"/>
      <c r="K109" s="729"/>
      <c r="L109" s="729"/>
      <c r="M109" s="1" t="s">
        <v>3116</v>
      </c>
      <c r="N109" s="1" t="s">
        <v>3117</v>
      </c>
      <c r="O109" s="327">
        <f>0.02-0.005</f>
        <v>1.4999999999999999E-2</v>
      </c>
      <c r="P109" s="327"/>
      <c r="Q109" s="327"/>
      <c r="R109" s="295"/>
      <c r="S109" s="295"/>
      <c r="T109" s="295"/>
      <c r="U109" s="295"/>
      <c r="V109" s="295"/>
      <c r="W109" s="295"/>
      <c r="X109" s="313"/>
    </row>
    <row r="110" spans="1:24" ht="24.75" customHeight="1" x14ac:dyDescent="0.25">
      <c r="A110" s="2574"/>
      <c r="B110" s="2561"/>
      <c r="C110" s="2564"/>
      <c r="D110" s="2564"/>
      <c r="E110" s="2567"/>
      <c r="F110" s="2569"/>
      <c r="G110" s="2546" t="s">
        <v>3487</v>
      </c>
      <c r="H110" s="2547"/>
      <c r="I110" s="2547"/>
      <c r="J110" s="2547"/>
      <c r="K110" s="2547"/>
      <c r="L110" s="2547"/>
      <c r="M110" s="1309"/>
      <c r="N110" s="1332"/>
      <c r="O110" s="327"/>
      <c r="P110" s="327"/>
      <c r="Q110" s="327"/>
      <c r="R110" s="295"/>
      <c r="S110" s="295"/>
      <c r="T110" s="295"/>
      <c r="U110" s="295"/>
      <c r="V110" s="295"/>
      <c r="W110" s="295"/>
      <c r="X110" s="313"/>
    </row>
    <row r="111" spans="1:24" ht="56.25" customHeight="1" x14ac:dyDescent="0.25">
      <c r="A111" s="2574"/>
      <c r="B111" s="2561"/>
      <c r="C111" s="2564"/>
      <c r="D111" s="2564"/>
      <c r="E111" s="2567"/>
      <c r="F111" s="2569"/>
      <c r="G111" s="1622" t="s">
        <v>3459</v>
      </c>
      <c r="H111" s="1340" t="s">
        <v>20221</v>
      </c>
      <c r="I111" s="1326" t="s">
        <v>3502</v>
      </c>
      <c r="J111" s="729">
        <f>0.099*0.9</f>
        <v>8.9100000000000013E-2</v>
      </c>
      <c r="K111" s="729"/>
      <c r="L111" s="729"/>
      <c r="M111" s="1332" t="s">
        <v>2713</v>
      </c>
      <c r="N111" s="1332" t="s">
        <v>3545</v>
      </c>
      <c r="O111" s="327"/>
      <c r="P111" s="327"/>
      <c r="Q111" s="327"/>
      <c r="R111" s="295"/>
      <c r="S111" s="295"/>
      <c r="T111" s="295"/>
      <c r="U111" s="295"/>
      <c r="V111" s="295"/>
      <c r="W111" s="295"/>
      <c r="X111" s="313"/>
    </row>
    <row r="112" spans="1:24" ht="56.25" customHeight="1" x14ac:dyDescent="0.25">
      <c r="A112" s="2574"/>
      <c r="B112" s="2561"/>
      <c r="C112" s="2564"/>
      <c r="D112" s="2564"/>
      <c r="E112" s="2567"/>
      <c r="F112" s="2569"/>
      <c r="G112" s="1804" t="s">
        <v>15345</v>
      </c>
      <c r="H112" s="1805" t="s">
        <v>15346</v>
      </c>
      <c r="I112" s="1326" t="s">
        <v>16904</v>
      </c>
      <c r="J112" s="729">
        <f>0.02*0.9</f>
        <v>1.8000000000000002E-2</v>
      </c>
      <c r="K112" s="729"/>
      <c r="L112" s="729"/>
      <c r="M112" s="1490"/>
      <c r="N112" s="1489"/>
      <c r="O112" s="328"/>
      <c r="P112" s="328"/>
      <c r="Q112" s="328"/>
      <c r="R112" s="597"/>
      <c r="S112" s="598"/>
      <c r="T112" s="599"/>
      <c r="U112" s="600"/>
      <c r="V112" s="600"/>
      <c r="W112" s="600"/>
      <c r="X112" s="313"/>
    </row>
    <row r="113" spans="1:24" ht="19.5" customHeight="1" x14ac:dyDescent="0.25">
      <c r="A113" s="2574"/>
      <c r="B113" s="2561"/>
      <c r="C113" s="2564"/>
      <c r="D113" s="2564"/>
      <c r="E113" s="2567"/>
      <c r="F113" s="2569"/>
      <c r="G113" s="2546" t="s">
        <v>20220</v>
      </c>
      <c r="H113" s="2547"/>
      <c r="I113" s="2547"/>
      <c r="J113" s="2547"/>
      <c r="K113" s="2547"/>
      <c r="L113" s="2547"/>
      <c r="M113" s="2274"/>
      <c r="N113" s="2276"/>
      <c r="O113" s="328"/>
      <c r="P113" s="328"/>
      <c r="Q113" s="328"/>
      <c r="R113" s="597"/>
      <c r="S113" s="598"/>
      <c r="T113" s="599"/>
      <c r="U113" s="600"/>
      <c r="V113" s="600"/>
      <c r="W113" s="600"/>
      <c r="X113" s="313"/>
    </row>
    <row r="114" spans="1:24" ht="56.25" customHeight="1" x14ac:dyDescent="0.25">
      <c r="A114" s="2574"/>
      <c r="B114" s="2561"/>
      <c r="C114" s="2564"/>
      <c r="D114" s="2564"/>
      <c r="E114" s="2567"/>
      <c r="F114" s="2569"/>
      <c r="G114" s="2275" t="s">
        <v>2419</v>
      </c>
      <c r="H114" s="2275" t="s">
        <v>20222</v>
      </c>
      <c r="I114" s="1326" t="s">
        <v>20219</v>
      </c>
      <c r="J114" s="729">
        <f>(0.04-0.015)*0.75</f>
        <v>1.8750000000000003E-2</v>
      </c>
      <c r="K114" s="729"/>
      <c r="L114" s="729"/>
      <c r="M114" s="2274"/>
      <c r="N114" s="2276"/>
      <c r="O114" s="328"/>
      <c r="P114" s="328"/>
      <c r="Q114" s="328"/>
      <c r="R114" s="597"/>
      <c r="S114" s="598"/>
      <c r="T114" s="599"/>
      <c r="U114" s="600"/>
      <c r="V114" s="600"/>
      <c r="W114" s="600"/>
      <c r="X114" s="313"/>
    </row>
    <row r="115" spans="1:24" ht="15.75" customHeight="1" thickBot="1" x14ac:dyDescent="0.3">
      <c r="A115" s="2573"/>
      <c r="B115" s="2562"/>
      <c r="C115" s="2565"/>
      <c r="D115" s="2565"/>
      <c r="E115" s="2568"/>
      <c r="F115" s="2559"/>
      <c r="G115" s="2590" t="s">
        <v>1833</v>
      </c>
      <c r="H115" s="2590"/>
      <c r="I115" s="2591"/>
      <c r="J115" s="325">
        <f>SUM(J108:J114)</f>
        <v>0.17085</v>
      </c>
      <c r="K115" s="326">
        <v>0.92</v>
      </c>
      <c r="L115" s="325">
        <f>J115/K115</f>
        <v>0.18570652173913044</v>
      </c>
      <c r="M115" s="2587" t="s">
        <v>1834</v>
      </c>
      <c r="N115" s="2589"/>
      <c r="O115" s="219">
        <f>SUM(O102:O112)</f>
        <v>1.4989999999999997</v>
      </c>
      <c r="P115" s="328">
        <v>0.92</v>
      </c>
      <c r="Q115" s="219">
        <f>O115/P115</f>
        <v>1.6293478260869561</v>
      </c>
      <c r="R115" s="2587" t="s">
        <v>1833</v>
      </c>
      <c r="S115" s="2588"/>
      <c r="T115" s="2589"/>
      <c r="U115" s="21">
        <f>SUM(U104:U106)</f>
        <v>0</v>
      </c>
      <c r="V115" s="24">
        <v>0.92</v>
      </c>
      <c r="W115" s="21">
        <f>U115/V115</f>
        <v>0</v>
      </c>
      <c r="X115" s="313"/>
    </row>
    <row r="116" spans="1:24" ht="15.75" customHeight="1" x14ac:dyDescent="0.25">
      <c r="A116" s="2571" t="str">
        <f>Итоговая!C55</f>
        <v xml:space="preserve">ПС 35/10 кВ Молоково </v>
      </c>
      <c r="B116" s="2560">
        <f>Итоговая!D55</f>
        <v>4</v>
      </c>
      <c r="C116" s="2563" t="str">
        <f>Итоговая!E55</f>
        <v>+</v>
      </c>
      <c r="D116" s="2563">
        <f>Итоговая!F55</f>
        <v>2.5</v>
      </c>
      <c r="E116" s="2566">
        <f>Итоговая!G55</f>
        <v>0</v>
      </c>
      <c r="F116" s="2558">
        <f>Итоговая!H55</f>
        <v>0</v>
      </c>
      <c r="G116" s="2585" t="s">
        <v>2033</v>
      </c>
      <c r="H116" s="2607"/>
      <c r="I116" s="2607"/>
      <c r="J116" s="2607"/>
      <c r="K116" s="2607"/>
      <c r="L116" s="2608"/>
      <c r="M116" s="22"/>
      <c r="N116" s="22"/>
      <c r="O116" s="22"/>
      <c r="P116" s="22"/>
      <c r="Q116" s="22"/>
      <c r="R116" s="295"/>
      <c r="S116" s="316"/>
      <c r="T116" s="316"/>
      <c r="U116" s="316"/>
      <c r="V116" s="316"/>
      <c r="W116" s="316"/>
      <c r="X116" s="313"/>
    </row>
    <row r="117" spans="1:24" ht="46.5" customHeight="1" x14ac:dyDescent="0.25">
      <c r="A117" s="2574"/>
      <c r="B117" s="2561"/>
      <c r="C117" s="2564"/>
      <c r="D117" s="2564"/>
      <c r="E117" s="2567"/>
      <c r="F117" s="2569"/>
      <c r="G117" s="152" t="s">
        <v>2261</v>
      </c>
      <c r="H117" s="1433" t="s">
        <v>19</v>
      </c>
      <c r="I117" s="1" t="s">
        <v>2262</v>
      </c>
      <c r="J117" s="327">
        <v>2.9000000000000001E-2</v>
      </c>
      <c r="K117" s="327"/>
      <c r="L117" s="337"/>
      <c r="M117" s="1677" t="s">
        <v>16755</v>
      </c>
      <c r="N117" s="1667" t="s">
        <v>16756</v>
      </c>
      <c r="O117" s="145">
        <v>7.0000000000000007E-2</v>
      </c>
      <c r="P117" s="22"/>
      <c r="Q117" s="22"/>
      <c r="R117" s="22" t="s">
        <v>2728</v>
      </c>
      <c r="S117" s="1" t="s">
        <v>2729</v>
      </c>
      <c r="T117" s="20" t="s">
        <v>3263</v>
      </c>
      <c r="U117" s="145">
        <v>4.2000000000000003E-2</v>
      </c>
      <c r="V117" s="22"/>
      <c r="W117" s="22"/>
      <c r="X117" s="313"/>
    </row>
    <row r="118" spans="1:24" ht="18.75" customHeight="1" x14ac:dyDescent="0.25">
      <c r="A118" s="2574"/>
      <c r="B118" s="2561"/>
      <c r="C118" s="2564"/>
      <c r="D118" s="2564"/>
      <c r="E118" s="2567"/>
      <c r="F118" s="2569"/>
      <c r="G118" s="2602" t="s">
        <v>2477</v>
      </c>
      <c r="H118" s="2602"/>
      <c r="I118" s="2602"/>
      <c r="J118" s="2602"/>
      <c r="K118" s="2602"/>
      <c r="L118" s="2546"/>
      <c r="M118" s="22"/>
      <c r="N118" s="22"/>
      <c r="O118" s="145"/>
      <c r="P118" s="22"/>
      <c r="Q118" s="22"/>
      <c r="R118" s="22"/>
      <c r="S118" s="22"/>
      <c r="T118" s="22"/>
      <c r="U118" s="22"/>
      <c r="V118" s="22"/>
      <c r="W118" s="22"/>
      <c r="X118" s="313"/>
    </row>
    <row r="119" spans="1:24" ht="58.5" customHeight="1" x14ac:dyDescent="0.25">
      <c r="A119" s="2574"/>
      <c r="B119" s="2561"/>
      <c r="C119" s="2564"/>
      <c r="D119" s="2564"/>
      <c r="E119" s="2567"/>
      <c r="F119" s="2569"/>
      <c r="G119" s="1622" t="s">
        <v>2572</v>
      </c>
      <c r="H119" s="22" t="s">
        <v>2683</v>
      </c>
      <c r="I119" s="1" t="s">
        <v>2684</v>
      </c>
      <c r="J119" s="145">
        <f>(0.05-0.03)*0.9</f>
        <v>1.8000000000000006E-2</v>
      </c>
      <c r="K119" s="327"/>
      <c r="L119" s="337"/>
      <c r="M119" s="1"/>
      <c r="N119" s="1"/>
      <c r="O119" s="1"/>
      <c r="P119" s="1"/>
      <c r="Q119" s="1"/>
      <c r="R119" s="22"/>
      <c r="S119" s="22"/>
      <c r="T119" s="22"/>
      <c r="U119" s="22"/>
      <c r="V119" s="22"/>
      <c r="W119" s="22"/>
      <c r="X119" s="313"/>
    </row>
    <row r="120" spans="1:24" ht="20.25" customHeight="1" x14ac:dyDescent="0.25">
      <c r="A120" s="2574"/>
      <c r="B120" s="2561"/>
      <c r="C120" s="2564"/>
      <c r="D120" s="2564"/>
      <c r="E120" s="2567"/>
      <c r="F120" s="2569"/>
      <c r="G120" s="2602" t="s">
        <v>3447</v>
      </c>
      <c r="H120" s="2602"/>
      <c r="I120" s="2602"/>
      <c r="J120" s="2602"/>
      <c r="K120" s="2602"/>
      <c r="L120" s="2546"/>
      <c r="M120" s="1396"/>
      <c r="N120" s="1396"/>
      <c r="O120" s="1396"/>
      <c r="P120" s="1396"/>
      <c r="Q120" s="1396"/>
      <c r="R120" s="1408"/>
      <c r="S120" s="1408"/>
      <c r="T120" s="1408"/>
      <c r="U120" s="62"/>
      <c r="V120" s="62"/>
      <c r="W120" s="62"/>
      <c r="X120" s="313"/>
    </row>
    <row r="121" spans="1:24" ht="58.5" customHeight="1" x14ac:dyDescent="0.25">
      <c r="A121" s="2574"/>
      <c r="B121" s="2561"/>
      <c r="C121" s="2564"/>
      <c r="D121" s="2564"/>
      <c r="E121" s="2567"/>
      <c r="F121" s="2569"/>
      <c r="G121" s="1622" t="s">
        <v>3468</v>
      </c>
      <c r="H121" s="1396" t="s">
        <v>3565</v>
      </c>
      <c r="I121" s="1408" t="s">
        <v>3629</v>
      </c>
      <c r="J121" s="145">
        <f>0.03*0.9</f>
        <v>2.7E-2</v>
      </c>
      <c r="K121" s="328"/>
      <c r="L121" s="729"/>
      <c r="M121" s="1"/>
      <c r="N121" s="1"/>
      <c r="O121" s="1"/>
      <c r="P121" s="1"/>
      <c r="Q121" s="1"/>
      <c r="R121" s="22"/>
      <c r="S121" s="22"/>
      <c r="T121" s="22"/>
      <c r="U121" s="62"/>
      <c r="V121" s="62"/>
      <c r="W121" s="62"/>
      <c r="X121" s="313"/>
    </row>
    <row r="122" spans="1:24" ht="35.25" customHeight="1" x14ac:dyDescent="0.25">
      <c r="A122" s="2574"/>
      <c r="B122" s="2561"/>
      <c r="C122" s="2564"/>
      <c r="D122" s="2564"/>
      <c r="E122" s="2567"/>
      <c r="F122" s="2569"/>
      <c r="G122" s="2614" t="s">
        <v>3401</v>
      </c>
      <c r="H122" s="2614"/>
      <c r="I122" s="2615"/>
      <c r="J122" s="1202">
        <f>0.104*0.9</f>
        <v>9.3600000000000003E-2</v>
      </c>
      <c r="K122" s="328"/>
      <c r="L122" s="729"/>
      <c r="M122" s="1915"/>
      <c r="N122" s="1914"/>
      <c r="O122" s="1916"/>
      <c r="P122" s="1916"/>
      <c r="Q122" s="1916"/>
      <c r="R122" s="129"/>
      <c r="S122" s="652"/>
      <c r="T122" s="130"/>
      <c r="U122" s="62"/>
      <c r="V122" s="62"/>
      <c r="W122" s="62"/>
      <c r="X122" s="313"/>
    </row>
    <row r="123" spans="1:24" ht="15.75" customHeight="1" thickBot="1" x14ac:dyDescent="0.3">
      <c r="A123" s="2574"/>
      <c r="B123" s="2562"/>
      <c r="C123" s="2565"/>
      <c r="D123" s="2565"/>
      <c r="E123" s="2568"/>
      <c r="F123" s="2559"/>
      <c r="G123" s="2578" t="s">
        <v>1833</v>
      </c>
      <c r="H123" s="2578"/>
      <c r="I123" s="2579"/>
      <c r="J123" s="325">
        <f>SUM(J121:J122)</f>
        <v>0.1206</v>
      </c>
      <c r="K123" s="326">
        <v>0.92</v>
      </c>
      <c r="L123" s="325">
        <f>J123/K123</f>
        <v>0.13108695652173913</v>
      </c>
      <c r="M123" s="2577" t="s">
        <v>1834</v>
      </c>
      <c r="N123" s="2579"/>
      <c r="O123" s="13">
        <f>SUM(O117:O119)</f>
        <v>7.0000000000000007E-2</v>
      </c>
      <c r="P123" s="14">
        <v>0.92</v>
      </c>
      <c r="Q123" s="13">
        <f>O123/P123</f>
        <v>7.6086956521739135E-2</v>
      </c>
      <c r="R123" s="2577" t="s">
        <v>1833</v>
      </c>
      <c r="S123" s="2578"/>
      <c r="T123" s="2579"/>
      <c r="U123" s="13">
        <f>SUM(U117:U119)</f>
        <v>4.2000000000000003E-2</v>
      </c>
      <c r="V123" s="14">
        <v>0.92</v>
      </c>
      <c r="W123" s="13">
        <f>U123/V123</f>
        <v>4.5652173913043478E-2</v>
      </c>
      <c r="X123" s="313"/>
    </row>
    <row r="124" spans="1:24" ht="69.75" customHeight="1" x14ac:dyDescent="0.25">
      <c r="A124" s="2571" t="str">
        <f>Итоговая!C56</f>
        <v>ПС 35/10 кВ Новокотово</v>
      </c>
      <c r="B124" s="2560">
        <f>Итоговая!D56</f>
        <v>2.5</v>
      </c>
      <c r="C124" s="2563" t="str">
        <f>Итоговая!E56</f>
        <v>+</v>
      </c>
      <c r="D124" s="2563">
        <f>Итоговая!F56</f>
        <v>2.5</v>
      </c>
      <c r="E124" s="2566">
        <f>Итоговая!G56</f>
        <v>0</v>
      </c>
      <c r="F124" s="2558">
        <f>Итоговая!H56</f>
        <v>0</v>
      </c>
      <c r="G124" s="1621"/>
      <c r="H124" s="1"/>
      <c r="I124" s="1"/>
      <c r="J124" s="1"/>
      <c r="K124" s="9"/>
      <c r="L124" s="51"/>
      <c r="M124" s="9"/>
      <c r="N124" s="9"/>
      <c r="O124" s="9"/>
      <c r="P124" s="9"/>
      <c r="Q124" s="9"/>
      <c r="R124" s="1"/>
      <c r="S124" s="1"/>
      <c r="T124" s="1"/>
      <c r="U124" s="1"/>
      <c r="V124" s="9"/>
      <c r="W124" s="51"/>
      <c r="X124" s="313"/>
    </row>
    <row r="125" spans="1:24" ht="15.75" customHeight="1" thickBot="1" x14ac:dyDescent="0.3">
      <c r="A125" s="2574"/>
      <c r="B125" s="2562"/>
      <c r="C125" s="2565"/>
      <c r="D125" s="2565"/>
      <c r="E125" s="2568"/>
      <c r="F125" s="2559"/>
      <c r="G125" s="2578" t="s">
        <v>1833</v>
      </c>
      <c r="H125" s="2578"/>
      <c r="I125" s="2579"/>
      <c r="J125" s="13">
        <f>SUM(J124:J124)</f>
        <v>0</v>
      </c>
      <c r="K125" s="14">
        <v>0.92</v>
      </c>
      <c r="L125" s="13">
        <f>J125/K125</f>
        <v>0</v>
      </c>
      <c r="M125" s="2577" t="s">
        <v>1834</v>
      </c>
      <c r="N125" s="2579"/>
      <c r="O125" s="13">
        <f>SUM(O124:O124)</f>
        <v>0</v>
      </c>
      <c r="P125" s="14">
        <v>0.92</v>
      </c>
      <c r="Q125" s="13">
        <f>O125/P125</f>
        <v>0</v>
      </c>
      <c r="R125" s="2577" t="s">
        <v>1833</v>
      </c>
      <c r="S125" s="2578"/>
      <c r="T125" s="2579"/>
      <c r="U125" s="13">
        <f>SUM(U124:U124)</f>
        <v>0</v>
      </c>
      <c r="V125" s="14">
        <v>0.92</v>
      </c>
      <c r="W125" s="13">
        <f>U125/V125</f>
        <v>0</v>
      </c>
      <c r="X125" s="313"/>
    </row>
    <row r="126" spans="1:24" x14ac:dyDescent="0.25">
      <c r="A126" s="2571" t="str">
        <f>Итоговая!C57</f>
        <v xml:space="preserve">ПС 35/10 кВ Ривзавод  </v>
      </c>
      <c r="B126" s="2560">
        <f>Итоговая!D57</f>
        <v>1.6</v>
      </c>
      <c r="C126" s="2563" t="str">
        <f>Итоговая!E57</f>
        <v>+</v>
      </c>
      <c r="D126" s="2563">
        <f>Итоговая!F57</f>
        <v>2.5</v>
      </c>
      <c r="E126" s="2566">
        <f>Итоговая!G57</f>
        <v>0</v>
      </c>
      <c r="F126" s="2558">
        <f>Итоговая!H57</f>
        <v>0</v>
      </c>
      <c r="G126" s="104"/>
      <c r="H126" s="9"/>
      <c r="I126" s="9"/>
      <c r="J126" s="9"/>
      <c r="K126" s="9"/>
      <c r="L126" s="51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51"/>
      <c r="X126" s="313"/>
    </row>
    <row r="127" spans="1:24" ht="15.75" customHeight="1" thickBot="1" x14ac:dyDescent="0.3">
      <c r="A127" s="2574"/>
      <c r="B127" s="2562"/>
      <c r="C127" s="2565"/>
      <c r="D127" s="2565"/>
      <c r="E127" s="2568"/>
      <c r="F127" s="2559"/>
      <c r="G127" s="2579" t="s">
        <v>1833</v>
      </c>
      <c r="H127" s="2601"/>
      <c r="I127" s="2601"/>
      <c r="J127" s="13">
        <f>SUM(J126:J126)</f>
        <v>0</v>
      </c>
      <c r="K127" s="14">
        <v>0.92</v>
      </c>
      <c r="L127" s="13">
        <f>J127/K127</f>
        <v>0</v>
      </c>
      <c r="M127" s="2601" t="s">
        <v>1834</v>
      </c>
      <c r="N127" s="2601"/>
      <c r="O127" s="13">
        <f>SUM(O126:O126)</f>
        <v>0</v>
      </c>
      <c r="P127" s="14">
        <v>0.92</v>
      </c>
      <c r="Q127" s="13">
        <f>O127/P127</f>
        <v>0</v>
      </c>
      <c r="R127" s="2582" t="s">
        <v>1833</v>
      </c>
      <c r="S127" s="2582"/>
      <c r="T127" s="2582"/>
      <c r="U127" s="21">
        <f>SUM(U126:U126)</f>
        <v>0</v>
      </c>
      <c r="V127" s="24">
        <v>0.92</v>
      </c>
      <c r="W127" s="21">
        <f>U127/V127</f>
        <v>0</v>
      </c>
      <c r="X127" s="313"/>
    </row>
    <row r="128" spans="1:24" s="67" customFormat="1" ht="15.75" customHeight="1" x14ac:dyDescent="0.25">
      <c r="A128" s="2571" t="str">
        <f>Итоговая!C58</f>
        <v xml:space="preserve">ПС 35/10 кВ Сонково </v>
      </c>
      <c r="B128" s="2560">
        <f>Итоговая!D58</f>
        <v>4</v>
      </c>
      <c r="C128" s="2563" t="str">
        <f>Итоговая!E58</f>
        <v>+</v>
      </c>
      <c r="D128" s="2563">
        <f>Итоговая!F58</f>
        <v>3.2</v>
      </c>
      <c r="E128" s="2566">
        <f>Итоговая!G58</f>
        <v>0</v>
      </c>
      <c r="F128" s="2558">
        <f>Итоговая!H58</f>
        <v>0</v>
      </c>
      <c r="G128" s="2597" t="s">
        <v>1963</v>
      </c>
      <c r="H128" s="2597"/>
      <c r="I128" s="2597"/>
      <c r="J128" s="2597"/>
      <c r="K128" s="2597"/>
      <c r="L128" s="2598"/>
      <c r="M128" s="126"/>
      <c r="N128" s="127"/>
      <c r="O128" s="51"/>
      <c r="P128" s="51"/>
      <c r="Q128" s="51"/>
      <c r="R128" s="315"/>
      <c r="S128" s="315"/>
      <c r="T128" s="315"/>
      <c r="U128" s="315"/>
      <c r="V128" s="315"/>
      <c r="W128" s="315"/>
      <c r="X128" s="313"/>
    </row>
    <row r="129" spans="1:24" ht="61.5" customHeight="1" x14ac:dyDescent="0.25">
      <c r="A129" s="2574"/>
      <c r="B129" s="2561"/>
      <c r="C129" s="2564"/>
      <c r="D129" s="2564"/>
      <c r="E129" s="2567"/>
      <c r="F129" s="2569"/>
      <c r="G129" s="1621" t="s">
        <v>1866</v>
      </c>
      <c r="H129" s="1" t="s">
        <v>1867</v>
      </c>
      <c r="I129" s="1" t="s">
        <v>2552</v>
      </c>
      <c r="J129" s="327">
        <v>0.38</v>
      </c>
      <c r="K129" s="327"/>
      <c r="L129" s="337"/>
      <c r="M129" s="1" t="s">
        <v>1985</v>
      </c>
      <c r="N129" s="1" t="s">
        <v>1986</v>
      </c>
      <c r="O129" s="327">
        <v>0.04</v>
      </c>
      <c r="P129" s="327"/>
      <c r="Q129" s="327"/>
      <c r="R129" s="2208" t="s">
        <v>2771</v>
      </c>
      <c r="S129" s="2205" t="s">
        <v>2772</v>
      </c>
      <c r="T129" s="2205" t="s">
        <v>20050</v>
      </c>
      <c r="U129" s="327">
        <v>0.05</v>
      </c>
      <c r="V129" s="315"/>
      <c r="W129" s="315"/>
      <c r="X129" s="313"/>
    </row>
    <row r="130" spans="1:24" ht="18.75" customHeight="1" x14ac:dyDescent="0.25">
      <c r="A130" s="2574"/>
      <c r="B130" s="2561"/>
      <c r="C130" s="2564"/>
      <c r="D130" s="2564"/>
      <c r="E130" s="2567"/>
      <c r="F130" s="2569"/>
      <c r="G130" s="2597" t="s">
        <v>2477</v>
      </c>
      <c r="H130" s="2597"/>
      <c r="I130" s="2597"/>
      <c r="J130" s="2597"/>
      <c r="K130" s="2597"/>
      <c r="L130" s="2598"/>
      <c r="M130" s="1" t="s">
        <v>2159</v>
      </c>
      <c r="N130" s="1" t="s">
        <v>2160</v>
      </c>
      <c r="O130" s="327">
        <v>0.64200000000000002</v>
      </c>
      <c r="P130" s="327"/>
      <c r="Q130" s="327"/>
      <c r="R130" s="315"/>
      <c r="S130" s="315"/>
      <c r="T130" s="315"/>
      <c r="U130" s="315"/>
      <c r="V130" s="315"/>
      <c r="W130" s="315"/>
      <c r="X130" s="313"/>
    </row>
    <row r="131" spans="1:24" ht="31.5" customHeight="1" x14ac:dyDescent="0.25">
      <c r="A131" s="2574"/>
      <c r="B131" s="2561"/>
      <c r="C131" s="2564"/>
      <c r="D131" s="2564"/>
      <c r="E131" s="2567"/>
      <c r="F131" s="2569"/>
      <c r="G131" s="1621"/>
      <c r="H131" s="1"/>
      <c r="I131" s="1"/>
      <c r="J131" s="327"/>
      <c r="K131" s="327"/>
      <c r="L131" s="337"/>
      <c r="M131" s="1"/>
      <c r="N131" s="1"/>
      <c r="O131" s="327"/>
      <c r="P131" s="327"/>
      <c r="Q131" s="327"/>
      <c r="R131" s="315"/>
      <c r="S131" s="315"/>
      <c r="T131" s="315"/>
      <c r="U131" s="315"/>
      <c r="V131" s="315"/>
      <c r="W131" s="315"/>
      <c r="X131" s="313"/>
    </row>
    <row r="132" spans="1:24" ht="15.75" customHeight="1" thickBot="1" x14ac:dyDescent="0.3">
      <c r="A132" s="2573"/>
      <c r="B132" s="2562"/>
      <c r="C132" s="2565"/>
      <c r="D132" s="2565"/>
      <c r="E132" s="2568"/>
      <c r="F132" s="2559"/>
      <c r="G132" s="2578" t="s">
        <v>1833</v>
      </c>
      <c r="H132" s="2578"/>
      <c r="I132" s="2579"/>
      <c r="J132" s="325">
        <f>SUM(0)</f>
        <v>0</v>
      </c>
      <c r="K132" s="326">
        <v>0.92</v>
      </c>
      <c r="L132" s="325">
        <f>J132/K132</f>
        <v>0</v>
      </c>
      <c r="M132" s="2577" t="s">
        <v>1834</v>
      </c>
      <c r="N132" s="2579"/>
      <c r="O132" s="325">
        <f>SUM(O129:O131)</f>
        <v>0.68200000000000005</v>
      </c>
      <c r="P132" s="326">
        <v>0.92</v>
      </c>
      <c r="Q132" s="325">
        <f>O132/P132</f>
        <v>0.74130434782608701</v>
      </c>
      <c r="R132" s="2577" t="s">
        <v>1833</v>
      </c>
      <c r="S132" s="2578"/>
      <c r="T132" s="2579"/>
      <c r="U132" s="325">
        <f>SUM(U129:U131)</f>
        <v>0.05</v>
      </c>
      <c r="V132" s="14">
        <v>0.92</v>
      </c>
      <c r="W132" s="13">
        <f>U132/V132</f>
        <v>5.434782608695652E-2</v>
      </c>
      <c r="X132" s="313"/>
    </row>
    <row r="133" spans="1:24" x14ac:dyDescent="0.25">
      <c r="A133" s="2571" t="str">
        <f>Итоговая!C59</f>
        <v xml:space="preserve">ПС 35/10 кВ Сулежский Борок </v>
      </c>
      <c r="B133" s="2560">
        <f>Итоговая!D59</f>
        <v>1.6</v>
      </c>
      <c r="C133" s="2563" t="str">
        <f>Итоговая!E59</f>
        <v>+</v>
      </c>
      <c r="D133" s="2563">
        <f>Итоговая!F59</f>
        <v>2.5</v>
      </c>
      <c r="E133" s="2566">
        <f>Итоговая!G59</f>
        <v>0</v>
      </c>
      <c r="F133" s="2558">
        <f>Итоговая!H59</f>
        <v>0</v>
      </c>
      <c r="G133" s="1621"/>
      <c r="H133" s="1"/>
      <c r="I133" s="1"/>
      <c r="J133" s="1"/>
      <c r="K133" s="1"/>
      <c r="L133" s="2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22"/>
      <c r="X133" s="313"/>
    </row>
    <row r="134" spans="1:24" ht="15.75" customHeight="1" thickBot="1" x14ac:dyDescent="0.3">
      <c r="A134" s="2574"/>
      <c r="B134" s="2562"/>
      <c r="C134" s="2565"/>
      <c r="D134" s="2565"/>
      <c r="E134" s="2568"/>
      <c r="F134" s="2559"/>
      <c r="G134" s="2578" t="s">
        <v>1833</v>
      </c>
      <c r="H134" s="2578"/>
      <c r="I134" s="2579"/>
      <c r="J134" s="13">
        <f>SUM(J133:J133)</f>
        <v>0</v>
      </c>
      <c r="K134" s="14">
        <v>0.92</v>
      </c>
      <c r="L134" s="13">
        <f>J134/K134</f>
        <v>0</v>
      </c>
      <c r="M134" s="2577" t="s">
        <v>1834</v>
      </c>
      <c r="N134" s="2579"/>
      <c r="O134" s="13">
        <f>SUM(O133:O133)</f>
        <v>0</v>
      </c>
      <c r="P134" s="14">
        <v>0.92</v>
      </c>
      <c r="Q134" s="13">
        <f>O134/P134</f>
        <v>0</v>
      </c>
      <c r="R134" s="2577" t="s">
        <v>1833</v>
      </c>
      <c r="S134" s="2578"/>
      <c r="T134" s="2579"/>
      <c r="U134" s="13">
        <f>SUM(U133:U133)</f>
        <v>0</v>
      </c>
      <c r="V134" s="14">
        <v>0.92</v>
      </c>
      <c r="W134" s="13">
        <f>U134/V134</f>
        <v>0</v>
      </c>
      <c r="X134" s="313"/>
    </row>
    <row r="135" spans="1:24" ht="14.25" customHeight="1" x14ac:dyDescent="0.25">
      <c r="A135" s="2571" t="str">
        <f>Итоговая!C60</f>
        <v xml:space="preserve">ПС 110/10 кВ Шишково Дуброво </v>
      </c>
      <c r="B135" s="2560">
        <f>Итоговая!D60</f>
        <v>6.3</v>
      </c>
      <c r="C135" s="2563" t="str">
        <f>Итоговая!E60</f>
        <v>+</v>
      </c>
      <c r="D135" s="2563">
        <f>Итоговая!F60</f>
        <v>6.3</v>
      </c>
      <c r="E135" s="2566">
        <f>Итоговая!G60</f>
        <v>0</v>
      </c>
      <c r="F135" s="2558">
        <f>Итоговая!H60</f>
        <v>0</v>
      </c>
      <c r="G135" s="2597" t="s">
        <v>2477</v>
      </c>
      <c r="H135" s="2597"/>
      <c r="I135" s="2597"/>
      <c r="J135" s="2597"/>
      <c r="K135" s="2597"/>
      <c r="L135" s="2598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22"/>
      <c r="X135" s="313"/>
    </row>
    <row r="136" spans="1:24" ht="84" customHeight="1" x14ac:dyDescent="0.25">
      <c r="A136" s="2574"/>
      <c r="B136" s="2561"/>
      <c r="C136" s="2564"/>
      <c r="D136" s="2564"/>
      <c r="E136" s="2567"/>
      <c r="F136" s="2569"/>
      <c r="G136" s="1621" t="s">
        <v>2881</v>
      </c>
      <c r="H136" s="1667" t="s">
        <v>2882</v>
      </c>
      <c r="I136" s="20" t="s">
        <v>2980</v>
      </c>
      <c r="J136" s="24">
        <v>9.5000000000000001E-2</v>
      </c>
      <c r="K136" s="24"/>
      <c r="L136" s="62"/>
      <c r="M136" s="1309" t="s">
        <v>2881</v>
      </c>
      <c r="N136" s="1696" t="s">
        <v>16778</v>
      </c>
      <c r="O136" s="1">
        <v>4.97</v>
      </c>
      <c r="P136" s="24"/>
      <c r="Q136" s="24"/>
      <c r="R136" s="19"/>
      <c r="S136" s="265"/>
      <c r="T136" s="20"/>
      <c r="U136" s="24"/>
      <c r="V136" s="24"/>
      <c r="W136" s="62"/>
      <c r="X136" s="313"/>
    </row>
    <row r="137" spans="1:24" ht="84" customHeight="1" x14ac:dyDescent="0.25">
      <c r="A137" s="2574"/>
      <c r="B137" s="2561"/>
      <c r="C137" s="2564"/>
      <c r="D137" s="2564"/>
      <c r="E137" s="2567"/>
      <c r="F137" s="2569"/>
      <c r="G137" s="1911" t="s">
        <v>2881</v>
      </c>
      <c r="H137" s="1911" t="s">
        <v>16753</v>
      </c>
      <c r="I137" s="1489" t="s">
        <v>17041</v>
      </c>
      <c r="J137" s="1506">
        <v>0.1</v>
      </c>
      <c r="K137" s="1506"/>
      <c r="L137" s="62"/>
      <c r="M137" s="1495" t="s">
        <v>2881</v>
      </c>
      <c r="N137" s="1696" t="s">
        <v>15299</v>
      </c>
      <c r="O137" s="1661">
        <v>2.9049999999999998</v>
      </c>
      <c r="P137" s="1661"/>
      <c r="Q137" s="1506"/>
      <c r="R137" s="1490"/>
      <c r="S137" s="1488"/>
      <c r="T137" s="1489"/>
      <c r="U137" s="1506"/>
      <c r="V137" s="1506"/>
      <c r="W137" s="62"/>
      <c r="X137" s="313"/>
    </row>
    <row r="138" spans="1:24" ht="18" customHeight="1" x14ac:dyDescent="0.25">
      <c r="A138" s="2574"/>
      <c r="B138" s="2561"/>
      <c r="C138" s="2564"/>
      <c r="D138" s="2564"/>
      <c r="E138" s="2567"/>
      <c r="F138" s="2569"/>
      <c r="G138" s="2597" t="s">
        <v>17005</v>
      </c>
      <c r="H138" s="2597"/>
      <c r="I138" s="2597"/>
      <c r="J138" s="2597"/>
      <c r="K138" s="2597"/>
      <c r="L138" s="2598"/>
      <c r="M138" s="2066"/>
      <c r="N138" s="2066"/>
      <c r="O138" s="2070"/>
      <c r="P138" s="2070"/>
      <c r="Q138" s="2070"/>
      <c r="R138" s="2060"/>
      <c r="S138" s="2062"/>
      <c r="T138" s="2061"/>
      <c r="U138" s="2070"/>
      <c r="V138" s="2070"/>
      <c r="W138" s="62"/>
      <c r="X138" s="313"/>
    </row>
    <row r="139" spans="1:24" ht="30.75" customHeight="1" x14ac:dyDescent="0.25">
      <c r="A139" s="2574"/>
      <c r="B139" s="2561"/>
      <c r="C139" s="2564"/>
      <c r="D139" s="2564"/>
      <c r="E139" s="2567"/>
      <c r="F139" s="2569"/>
      <c r="G139" s="1670" t="s">
        <v>2881</v>
      </c>
      <c r="H139" s="1670" t="s">
        <v>19814</v>
      </c>
      <c r="I139" s="1671" t="s">
        <v>19815</v>
      </c>
      <c r="J139" s="1669">
        <f>(0.6-0.095)*0.75</f>
        <v>0.37875000000000003</v>
      </c>
      <c r="K139" s="1669"/>
      <c r="L139" s="62"/>
      <c r="M139" s="1667"/>
      <c r="N139" s="1696"/>
      <c r="O139" s="1667"/>
      <c r="P139" s="1667"/>
      <c r="Q139" s="1667"/>
      <c r="R139" s="1667"/>
      <c r="S139" s="1667"/>
      <c r="T139" s="1667"/>
      <c r="U139" s="1667"/>
      <c r="V139" s="1667"/>
      <c r="W139" s="1677"/>
      <c r="X139" s="313"/>
    </row>
    <row r="140" spans="1:24" ht="93.75" customHeight="1" x14ac:dyDescent="0.25">
      <c r="A140" s="2574"/>
      <c r="B140" s="2561"/>
      <c r="C140" s="2564"/>
      <c r="D140" s="2564"/>
      <c r="E140" s="2567"/>
      <c r="F140" s="2569"/>
      <c r="G140" s="2062" t="s">
        <v>2881</v>
      </c>
      <c r="H140" s="2062" t="s">
        <v>19931</v>
      </c>
      <c r="I140" s="2061" t="s">
        <v>19932</v>
      </c>
      <c r="J140" s="2070">
        <f>(2.6-0.6)*0.75</f>
        <v>1.5</v>
      </c>
      <c r="K140" s="2070"/>
      <c r="L140" s="62"/>
      <c r="M140" s="2060"/>
      <c r="N140" s="2061"/>
      <c r="O140" s="2070"/>
      <c r="P140" s="2070"/>
      <c r="Q140" s="2070"/>
      <c r="R140" s="2060"/>
      <c r="S140" s="2062"/>
      <c r="T140" s="2061"/>
      <c r="U140" s="2070"/>
      <c r="V140" s="2070"/>
      <c r="W140" s="62"/>
      <c r="X140" s="313"/>
    </row>
    <row r="141" spans="1:24" ht="15.75" customHeight="1" thickBot="1" x14ac:dyDescent="0.3">
      <c r="A141" s="2573"/>
      <c r="B141" s="2562"/>
      <c r="C141" s="2565"/>
      <c r="D141" s="2565"/>
      <c r="E141" s="2568"/>
      <c r="F141" s="2559"/>
      <c r="G141" s="2588" t="s">
        <v>1833</v>
      </c>
      <c r="H141" s="2588"/>
      <c r="I141" s="2589"/>
      <c r="J141" s="21">
        <f>SUM(J139:J140)</f>
        <v>1.8787500000000001</v>
      </c>
      <c r="K141" s="24">
        <v>0.92</v>
      </c>
      <c r="L141" s="21">
        <f>J141/K141</f>
        <v>2.0421195652173916</v>
      </c>
      <c r="M141" s="2587" t="s">
        <v>1834</v>
      </c>
      <c r="N141" s="2589"/>
      <c r="O141" s="21">
        <f>SUM(O135:O139)</f>
        <v>7.875</v>
      </c>
      <c r="P141" s="24">
        <v>0.92</v>
      </c>
      <c r="Q141" s="21">
        <f>O141/P141</f>
        <v>8.5597826086956523</v>
      </c>
      <c r="R141" s="2587" t="s">
        <v>1833</v>
      </c>
      <c r="S141" s="2588"/>
      <c r="T141" s="2589"/>
      <c r="U141" s="21">
        <f>SUM(U135:U135)</f>
        <v>0</v>
      </c>
      <c r="V141" s="24">
        <v>0.92</v>
      </c>
      <c r="W141" s="21">
        <f>U141/V141</f>
        <v>0</v>
      </c>
      <c r="X141" s="313"/>
    </row>
    <row r="142" spans="1:24" ht="15.75" customHeight="1" x14ac:dyDescent="0.25">
      <c r="A142" s="2571" t="str">
        <f>Итоговая!C61</f>
        <v xml:space="preserve">ПС 110/35/10 кВ Весьегонск </v>
      </c>
      <c r="B142" s="2560">
        <f>Итоговая!D61</f>
        <v>6.3</v>
      </c>
      <c r="C142" s="2563" t="str">
        <f>Итоговая!E61</f>
        <v>+</v>
      </c>
      <c r="D142" s="2563">
        <f>Итоговая!F61</f>
        <v>6.3</v>
      </c>
      <c r="E142" s="2566">
        <f>Итоговая!G61</f>
        <v>0</v>
      </c>
      <c r="F142" s="2558">
        <f>Итоговая!H61</f>
        <v>0</v>
      </c>
      <c r="G142" s="2583" t="s">
        <v>1961</v>
      </c>
      <c r="H142" s="2583"/>
      <c r="I142" s="2583"/>
      <c r="J142" s="2583"/>
      <c r="K142" s="2583"/>
      <c r="L142" s="2584"/>
      <c r="M142" s="131"/>
      <c r="N142" s="132"/>
      <c r="O142" s="73"/>
      <c r="P142" s="73"/>
      <c r="Q142" s="73"/>
      <c r="R142" s="315"/>
      <c r="S142" s="315"/>
      <c r="T142" s="315"/>
      <c r="U142" s="315"/>
      <c r="V142" s="315"/>
      <c r="W142" s="315"/>
      <c r="X142" s="313"/>
    </row>
    <row r="143" spans="1:24" ht="30" x14ac:dyDescent="0.25">
      <c r="A143" s="2574"/>
      <c r="B143" s="2561"/>
      <c r="C143" s="2564"/>
      <c r="D143" s="2564"/>
      <c r="E143" s="2567"/>
      <c r="F143" s="2569"/>
      <c r="G143" s="1621" t="s">
        <v>1849</v>
      </c>
      <c r="H143" s="1" t="s">
        <v>1850</v>
      </c>
      <c r="I143" s="1" t="s">
        <v>1851</v>
      </c>
      <c r="J143" s="1">
        <v>0.02</v>
      </c>
      <c r="K143" s="1"/>
      <c r="L143" s="22"/>
      <c r="M143" s="9" t="s">
        <v>1852</v>
      </c>
      <c r="N143" s="9" t="s">
        <v>1853</v>
      </c>
      <c r="O143" s="323">
        <v>0.107</v>
      </c>
      <c r="P143" s="323"/>
      <c r="Q143" s="323"/>
      <c r="R143" s="22"/>
      <c r="S143" s="22"/>
      <c r="T143" s="22"/>
      <c r="U143" s="22"/>
      <c r="V143" s="22"/>
      <c r="W143" s="22"/>
      <c r="X143" s="313"/>
    </row>
    <row r="144" spans="1:24" ht="30" customHeight="1" x14ac:dyDescent="0.25">
      <c r="A144" s="2574"/>
      <c r="B144" s="2561"/>
      <c r="C144" s="2564"/>
      <c r="D144" s="2564"/>
      <c r="E144" s="2567"/>
      <c r="F144" s="2569"/>
      <c r="G144" s="2597" t="s">
        <v>3020</v>
      </c>
      <c r="H144" s="2597"/>
      <c r="I144" s="2597"/>
      <c r="J144" s="2597"/>
      <c r="K144" s="2597"/>
      <c r="L144" s="2598"/>
      <c r="M144" s="1" t="s">
        <v>1978</v>
      </c>
      <c r="N144" s="1" t="s">
        <v>1977</v>
      </c>
      <c r="O144" s="327">
        <v>0.05</v>
      </c>
      <c r="P144" s="331"/>
      <c r="Q144" s="331"/>
      <c r="R144" s="22"/>
      <c r="S144" s="22"/>
      <c r="T144" s="22"/>
      <c r="U144" s="22"/>
      <c r="V144" s="22"/>
      <c r="W144" s="22"/>
      <c r="X144" s="313"/>
    </row>
    <row r="145" spans="1:24" ht="45" x14ac:dyDescent="0.25">
      <c r="A145" s="2574"/>
      <c r="B145" s="2561"/>
      <c r="C145" s="2564"/>
      <c r="D145" s="2564"/>
      <c r="E145" s="2567"/>
      <c r="F145" s="2569"/>
      <c r="G145" s="2599"/>
      <c r="H145" s="2599"/>
      <c r="I145" s="2600"/>
      <c r="J145" s="1954"/>
      <c r="K145" s="1954"/>
      <c r="L145" s="1954"/>
      <c r="M145" s="1" t="s">
        <v>1979</v>
      </c>
      <c r="N145" s="1" t="s">
        <v>1980</v>
      </c>
      <c r="O145" s="327">
        <v>0.18</v>
      </c>
      <c r="P145" s="331"/>
      <c r="Q145" s="331"/>
      <c r="R145" s="22"/>
      <c r="S145" s="22"/>
      <c r="T145" s="22"/>
      <c r="U145" s="22"/>
      <c r="V145" s="22"/>
      <c r="W145" s="22"/>
      <c r="X145" s="313"/>
    </row>
    <row r="146" spans="1:24" ht="165" x14ac:dyDescent="0.25">
      <c r="A146" s="2574"/>
      <c r="B146" s="2561"/>
      <c r="C146" s="2564"/>
      <c r="D146" s="2564"/>
      <c r="E146" s="2567"/>
      <c r="F146" s="2569"/>
      <c r="G146" s="652"/>
      <c r="H146" s="652"/>
      <c r="I146" s="130"/>
      <c r="J146" s="62"/>
      <c r="K146" s="62"/>
      <c r="L146" s="62"/>
      <c r="M146" s="1352" t="s">
        <v>3605</v>
      </c>
      <c r="N146" s="1353" t="s">
        <v>3606</v>
      </c>
      <c r="O146" s="328">
        <v>0.1</v>
      </c>
      <c r="P146" s="331"/>
      <c r="Q146" s="331"/>
      <c r="R146" s="129"/>
      <c r="S146" s="652"/>
      <c r="T146" s="130"/>
      <c r="U146" s="62"/>
      <c r="V146" s="62"/>
      <c r="W146" s="62"/>
      <c r="X146" s="313"/>
    </row>
    <row r="147" spans="1:24" ht="15.75" customHeight="1" thickBot="1" x14ac:dyDescent="0.3">
      <c r="A147" s="2574"/>
      <c r="B147" s="2561"/>
      <c r="C147" s="2564"/>
      <c r="D147" s="2564"/>
      <c r="E147" s="2567"/>
      <c r="F147" s="2569"/>
      <c r="G147" s="2578" t="s">
        <v>1833</v>
      </c>
      <c r="H147" s="2578"/>
      <c r="I147" s="2579"/>
      <c r="J147" s="13">
        <f>SUM(J145)</f>
        <v>0</v>
      </c>
      <c r="K147" s="14">
        <v>0.92</v>
      </c>
      <c r="L147" s="13">
        <f>J147/K147</f>
        <v>0</v>
      </c>
      <c r="M147" s="2577" t="s">
        <v>1834</v>
      </c>
      <c r="N147" s="2579"/>
      <c r="O147" s="325">
        <f>SUM(O143:O146)</f>
        <v>0.43699999999999994</v>
      </c>
      <c r="P147" s="326">
        <v>0.92</v>
      </c>
      <c r="Q147" s="325">
        <f>O147/P147</f>
        <v>0.47499999999999992</v>
      </c>
      <c r="R147" s="2577" t="s">
        <v>1833</v>
      </c>
      <c r="S147" s="2578"/>
      <c r="T147" s="2579"/>
      <c r="U147" s="13">
        <v>0</v>
      </c>
      <c r="V147" s="14">
        <v>0.92</v>
      </c>
      <c r="W147" s="13">
        <f>U147/V147</f>
        <v>0</v>
      </c>
      <c r="X147" s="313"/>
    </row>
    <row r="148" spans="1:24" x14ac:dyDescent="0.25">
      <c r="A148" s="2571" t="str">
        <f>Итоговая!C64</f>
        <v xml:space="preserve">ПС 110/35/10 кВ ДВП  </v>
      </c>
      <c r="B148" s="2560">
        <f>Итоговая!D64</f>
        <v>25</v>
      </c>
      <c r="C148" s="2563" t="str">
        <f>Итоговая!E64</f>
        <v>+</v>
      </c>
      <c r="D148" s="2563">
        <f>Итоговая!F64</f>
        <v>25</v>
      </c>
      <c r="E148" s="2566">
        <f>Итоговая!G64</f>
        <v>0</v>
      </c>
      <c r="F148" s="2558"/>
      <c r="G148" s="104"/>
      <c r="H148" s="9"/>
      <c r="I148" s="9"/>
      <c r="J148" s="9"/>
      <c r="K148" s="9"/>
      <c r="L148" s="51"/>
      <c r="M148" s="9" t="s">
        <v>1864</v>
      </c>
      <c r="N148" s="9" t="s">
        <v>1876</v>
      </c>
      <c r="O148" s="323">
        <v>0.05</v>
      </c>
      <c r="P148" s="323"/>
      <c r="Q148" s="323"/>
      <c r="R148" s="9"/>
      <c r="S148" s="9"/>
      <c r="T148" s="9"/>
      <c r="U148" s="9"/>
      <c r="V148" s="9"/>
      <c r="W148" s="51"/>
      <c r="X148" s="313"/>
    </row>
    <row r="149" spans="1:24" ht="60.75" customHeight="1" x14ac:dyDescent="0.25">
      <c r="A149" s="2574"/>
      <c r="B149" s="2561"/>
      <c r="C149" s="2564"/>
      <c r="D149" s="2564"/>
      <c r="E149" s="2567"/>
      <c r="F149" s="2569"/>
      <c r="G149" s="1653"/>
      <c r="H149" s="1626"/>
      <c r="I149" s="1626"/>
      <c r="J149" s="1626"/>
      <c r="K149" s="1626"/>
      <c r="L149" s="1636"/>
      <c r="M149" s="1" t="s">
        <v>2528</v>
      </c>
      <c r="N149" s="1" t="s">
        <v>2563</v>
      </c>
      <c r="O149" s="327">
        <f>0.15-0.092</f>
        <v>5.7999999999999996E-2</v>
      </c>
      <c r="P149" s="327"/>
      <c r="Q149" s="327"/>
      <c r="R149" s="1"/>
      <c r="S149" s="1"/>
      <c r="T149" s="1"/>
      <c r="U149" s="1"/>
      <c r="V149" s="1"/>
      <c r="W149" s="22"/>
      <c r="X149" s="313"/>
    </row>
    <row r="150" spans="1:24" ht="150" customHeight="1" x14ac:dyDescent="0.25">
      <c r="A150" s="2574"/>
      <c r="B150" s="2561"/>
      <c r="C150" s="2564"/>
      <c r="D150" s="2564"/>
      <c r="E150" s="2567"/>
      <c r="F150" s="2569"/>
      <c r="G150" s="1626"/>
      <c r="H150" s="1626"/>
      <c r="I150" s="1626"/>
      <c r="J150" s="1626"/>
      <c r="K150" s="1626"/>
      <c r="L150" s="1636"/>
      <c r="M150" s="1258" t="s">
        <v>3459</v>
      </c>
      <c r="N150" s="1258" t="s">
        <v>3467</v>
      </c>
      <c r="O150" s="327">
        <v>9.9000000000000005E-2</v>
      </c>
      <c r="P150" s="328"/>
      <c r="Q150" s="328"/>
      <c r="R150" s="19"/>
      <c r="S150" s="265"/>
      <c r="T150" s="20"/>
      <c r="U150" s="24"/>
      <c r="V150" s="24"/>
      <c r="W150" s="62"/>
      <c r="X150" s="313"/>
    </row>
    <row r="151" spans="1:24" ht="15.75" customHeight="1" thickBot="1" x14ac:dyDescent="0.3">
      <c r="A151" s="2573"/>
      <c r="B151" s="2561"/>
      <c r="C151" s="2564"/>
      <c r="D151" s="2564"/>
      <c r="E151" s="2567"/>
      <c r="F151" s="1659"/>
      <c r="G151" s="2578" t="s">
        <v>1833</v>
      </c>
      <c r="H151" s="2578"/>
      <c r="I151" s="2579"/>
      <c r="J151" s="13">
        <f>SUM(J148:J148)</f>
        <v>0</v>
      </c>
      <c r="K151" s="14">
        <v>0.92</v>
      </c>
      <c r="L151" s="13">
        <f>J151/K151</f>
        <v>0</v>
      </c>
      <c r="M151" s="2587" t="s">
        <v>1834</v>
      </c>
      <c r="N151" s="2589"/>
      <c r="O151" s="219">
        <f>SUM(O148:O150)</f>
        <v>0.20700000000000002</v>
      </c>
      <c r="P151" s="328">
        <v>0.92</v>
      </c>
      <c r="Q151" s="219">
        <f>O151/P151</f>
        <v>0.22500000000000001</v>
      </c>
      <c r="R151" s="2587" t="s">
        <v>1833</v>
      </c>
      <c r="S151" s="2588"/>
      <c r="T151" s="2589"/>
      <c r="U151" s="21">
        <f>SUM(U148:U148)</f>
        <v>0</v>
      </c>
      <c r="V151" s="24">
        <v>0.92</v>
      </c>
      <c r="W151" s="21">
        <f>U151/V151</f>
        <v>0</v>
      </c>
      <c r="X151" s="313"/>
    </row>
    <row r="152" spans="1:24" ht="15.75" customHeight="1" x14ac:dyDescent="0.25">
      <c r="A152" s="2571" t="str">
        <f>Итоговая!C67</f>
        <v xml:space="preserve">ПС 110/35/10 кВ Красный Холм </v>
      </c>
      <c r="B152" s="2560">
        <f>Итоговая!D67</f>
        <v>10</v>
      </c>
      <c r="C152" s="2563" t="str">
        <f>Итоговая!E67</f>
        <v>+</v>
      </c>
      <c r="D152" s="2563">
        <f>Итоговая!F67</f>
        <v>10</v>
      </c>
      <c r="E152" s="2566">
        <f>Итоговая!G67</f>
        <v>0</v>
      </c>
      <c r="F152" s="2558">
        <f>Итоговая!H67</f>
        <v>0</v>
      </c>
      <c r="G152" s="2583" t="s">
        <v>2033</v>
      </c>
      <c r="H152" s="2583"/>
      <c r="I152" s="2583"/>
      <c r="J152" s="2583"/>
      <c r="K152" s="2583"/>
      <c r="L152" s="2584"/>
      <c r="M152" s="8"/>
      <c r="N152" s="8"/>
      <c r="O152" s="8"/>
      <c r="P152" s="1"/>
      <c r="Q152" s="1"/>
      <c r="R152" s="315"/>
      <c r="S152" s="315"/>
      <c r="T152" s="315"/>
      <c r="U152" s="315"/>
      <c r="V152" s="315"/>
      <c r="W152" s="315"/>
      <c r="X152" s="313"/>
    </row>
    <row r="153" spans="1:24" ht="86.25" customHeight="1" x14ac:dyDescent="0.25">
      <c r="A153" s="2574"/>
      <c r="B153" s="2561"/>
      <c r="C153" s="2564"/>
      <c r="D153" s="2564"/>
      <c r="E153" s="2567"/>
      <c r="F153" s="2569"/>
      <c r="G153" s="1621"/>
      <c r="H153" s="1"/>
      <c r="I153" s="1"/>
      <c r="J153" s="323"/>
      <c r="K153" s="323"/>
      <c r="L153" s="324"/>
      <c r="M153" s="1" t="s">
        <v>791</v>
      </c>
      <c r="N153" s="1" t="s">
        <v>2775</v>
      </c>
      <c r="O153" s="1">
        <f>0.065-0.02</f>
        <v>4.4999999999999998E-2</v>
      </c>
      <c r="P153" s="1"/>
      <c r="Q153" s="1"/>
      <c r="R153" s="1" t="s">
        <v>1854</v>
      </c>
      <c r="S153" s="1" t="s">
        <v>1855</v>
      </c>
      <c r="T153" s="1" t="s">
        <v>3258</v>
      </c>
      <c r="U153" s="323">
        <v>0.24</v>
      </c>
      <c r="V153" s="22"/>
      <c r="W153" s="22"/>
      <c r="X153" s="313"/>
    </row>
    <row r="154" spans="1:24" ht="165" x14ac:dyDescent="0.25">
      <c r="A154" s="2574"/>
      <c r="B154" s="2561"/>
      <c r="C154" s="2564"/>
      <c r="D154" s="2564"/>
      <c r="E154" s="2567"/>
      <c r="F154" s="2569"/>
      <c r="G154" s="1621" t="s">
        <v>799</v>
      </c>
      <c r="H154" s="1" t="s">
        <v>800</v>
      </c>
      <c r="I154" s="1" t="s">
        <v>2245</v>
      </c>
      <c r="J154" s="327">
        <v>1.2E-2</v>
      </c>
      <c r="K154" s="327"/>
      <c r="L154" s="337"/>
      <c r="M154" s="1" t="s">
        <v>2528</v>
      </c>
      <c r="N154" s="1" t="s">
        <v>2600</v>
      </c>
      <c r="O154" s="8">
        <v>2.3E-2</v>
      </c>
      <c r="P154" s="1"/>
      <c r="Q154" s="1"/>
      <c r="R154" s="22"/>
      <c r="S154" s="22"/>
      <c r="T154" s="22"/>
      <c r="U154" s="22"/>
      <c r="V154" s="22"/>
      <c r="W154" s="22"/>
      <c r="X154" s="313"/>
    </row>
    <row r="155" spans="1:24" ht="84" customHeight="1" thickBot="1" x14ac:dyDescent="0.3">
      <c r="A155" s="2574"/>
      <c r="B155" s="2561"/>
      <c r="C155" s="2564"/>
      <c r="D155" s="2564"/>
      <c r="E155" s="2567"/>
      <c r="F155" s="2569"/>
      <c r="G155" s="1618" t="s">
        <v>1981</v>
      </c>
      <c r="H155" s="24" t="s">
        <v>1982</v>
      </c>
      <c r="I155" s="1" t="s">
        <v>2270</v>
      </c>
      <c r="J155" s="328">
        <v>2.3599999999999999E-2</v>
      </c>
      <c r="K155" s="327"/>
      <c r="L155" s="337"/>
      <c r="M155" s="1" t="s">
        <v>2714</v>
      </c>
      <c r="N155" s="1" t="s">
        <v>2715</v>
      </c>
      <c r="O155" s="1">
        <v>3.4000000000000002E-2</v>
      </c>
      <c r="P155" s="1"/>
      <c r="Q155" s="1"/>
      <c r="R155" s="22"/>
      <c r="S155" s="22"/>
      <c r="T155" s="22"/>
      <c r="U155" s="22"/>
      <c r="V155" s="22"/>
      <c r="W155" s="22"/>
      <c r="X155" s="313"/>
    </row>
    <row r="156" spans="1:24" ht="15.75" customHeight="1" x14ac:dyDescent="0.25">
      <c r="A156" s="2574"/>
      <c r="B156" s="2561"/>
      <c r="C156" s="2564"/>
      <c r="D156" s="2564"/>
      <c r="E156" s="2567"/>
      <c r="F156" s="2569"/>
      <c r="G156" s="2583" t="s">
        <v>2640</v>
      </c>
      <c r="H156" s="2583"/>
      <c r="I156" s="2583"/>
      <c r="J156" s="2583"/>
      <c r="K156" s="2583"/>
      <c r="L156" s="2584"/>
      <c r="M156" s="1" t="s">
        <v>3141</v>
      </c>
      <c r="N156" s="1" t="s">
        <v>3142</v>
      </c>
      <c r="O156" s="1">
        <f>0.065-0.02</f>
        <v>4.4999999999999998E-2</v>
      </c>
      <c r="P156" s="1"/>
      <c r="Q156" s="1"/>
      <c r="R156" s="22"/>
      <c r="S156" s="22"/>
      <c r="T156" s="22"/>
      <c r="U156" s="22"/>
      <c r="V156" s="22"/>
      <c r="W156" s="22"/>
      <c r="X156" s="313"/>
    </row>
    <row r="157" spans="1:24" ht="84" customHeight="1" thickBot="1" x14ac:dyDescent="0.3">
      <c r="A157" s="2574"/>
      <c r="B157" s="2561"/>
      <c r="C157" s="2564"/>
      <c r="D157" s="2564"/>
      <c r="E157" s="2567"/>
      <c r="F157" s="2569"/>
      <c r="G157" s="1621" t="s">
        <v>2528</v>
      </c>
      <c r="H157" s="1" t="s">
        <v>2783</v>
      </c>
      <c r="I157" s="1" t="s">
        <v>2858</v>
      </c>
      <c r="J157" s="327">
        <v>2.3E-2</v>
      </c>
      <c r="K157" s="327"/>
      <c r="L157" s="337"/>
      <c r="M157" s="1332" t="s">
        <v>3543</v>
      </c>
      <c r="N157" s="1332" t="s">
        <v>3544</v>
      </c>
      <c r="O157" s="8">
        <f>0.0238-0.0188</f>
        <v>5.000000000000001E-3</v>
      </c>
      <c r="P157" s="1"/>
      <c r="Q157" s="1"/>
      <c r="R157" s="22"/>
      <c r="S157" s="22"/>
      <c r="T157" s="22"/>
      <c r="U157" s="22"/>
      <c r="V157" s="22"/>
      <c r="W157" s="22"/>
      <c r="X157" s="313"/>
    </row>
    <row r="158" spans="1:24" ht="21" customHeight="1" x14ac:dyDescent="0.25">
      <c r="A158" s="2574"/>
      <c r="B158" s="2561"/>
      <c r="C158" s="2564"/>
      <c r="D158" s="2564"/>
      <c r="E158" s="2567"/>
      <c r="F158" s="2569"/>
      <c r="G158" s="2583" t="s">
        <v>17067</v>
      </c>
      <c r="H158" s="2583"/>
      <c r="I158" s="2583"/>
      <c r="J158" s="2583"/>
      <c r="K158" s="2583"/>
      <c r="L158" s="2584"/>
      <c r="M158" s="1839" t="s">
        <v>16961</v>
      </c>
      <c r="N158" s="1839" t="s">
        <v>16962</v>
      </c>
      <c r="O158" s="1855">
        <v>0.04</v>
      </c>
      <c r="P158" s="1839"/>
      <c r="Q158" s="1839"/>
      <c r="R158" s="1843"/>
      <c r="S158" s="1843"/>
      <c r="T158" s="1843"/>
      <c r="U158" s="1843"/>
      <c r="V158" s="1843"/>
      <c r="W158" s="1843"/>
      <c r="X158" s="313"/>
    </row>
    <row r="159" spans="1:24" ht="45.75" customHeight="1" x14ac:dyDescent="0.25">
      <c r="A159" s="2574"/>
      <c r="B159" s="2561"/>
      <c r="C159" s="2564"/>
      <c r="D159" s="2564"/>
      <c r="E159" s="2567"/>
      <c r="F159" s="2569"/>
      <c r="G159" s="2123" t="s">
        <v>2419</v>
      </c>
      <c r="H159" s="2124" t="s">
        <v>20218</v>
      </c>
      <c r="I159" s="314" t="s">
        <v>20219</v>
      </c>
      <c r="J159" s="1954">
        <f>(0.04-0.015)*0.75</f>
        <v>1.8750000000000003E-2</v>
      </c>
      <c r="K159" s="1954"/>
      <c r="L159" s="1954"/>
      <c r="M159" s="1839"/>
      <c r="N159" s="1839"/>
      <c r="O159" s="1855"/>
      <c r="P159" s="1839"/>
      <c r="Q159" s="1839"/>
      <c r="R159" s="1843"/>
      <c r="S159" s="1843"/>
      <c r="T159" s="1843"/>
      <c r="U159" s="1843"/>
      <c r="V159" s="1843"/>
      <c r="W159" s="1843"/>
      <c r="X159" s="313"/>
    </row>
    <row r="160" spans="1:24" ht="15.75" customHeight="1" thickBot="1" x14ac:dyDescent="0.3">
      <c r="A160" s="2573"/>
      <c r="B160" s="2562"/>
      <c r="C160" s="2565"/>
      <c r="D160" s="2565"/>
      <c r="E160" s="2568"/>
      <c r="F160" s="2559"/>
      <c r="G160" s="2578" t="s">
        <v>1833</v>
      </c>
      <c r="H160" s="2578"/>
      <c r="I160" s="2579"/>
      <c r="J160" s="325">
        <f>SUM(J159)</f>
        <v>1.8750000000000003E-2</v>
      </c>
      <c r="K160" s="326">
        <v>0.92</v>
      </c>
      <c r="L160" s="325">
        <f>J160/K160</f>
        <v>2.0380434782608699E-2</v>
      </c>
      <c r="M160" s="2577" t="s">
        <v>1834</v>
      </c>
      <c r="N160" s="2579"/>
      <c r="O160" s="13">
        <f>SUM(O153:O159)</f>
        <v>0.19200000000000003</v>
      </c>
      <c r="P160" s="14">
        <v>0.92</v>
      </c>
      <c r="Q160" s="13">
        <f>O160/P160</f>
        <v>0.20869565217391306</v>
      </c>
      <c r="R160" s="2577" t="s">
        <v>1833</v>
      </c>
      <c r="S160" s="2578"/>
      <c r="T160" s="2579"/>
      <c r="U160" s="325">
        <f>SUM(U153:U157)</f>
        <v>0.24</v>
      </c>
      <c r="V160" s="14">
        <v>0.92</v>
      </c>
      <c r="W160" s="13">
        <f>U160/V160</f>
        <v>0.2608695652173913</v>
      </c>
      <c r="X160" s="313"/>
    </row>
    <row r="161" spans="1:24" x14ac:dyDescent="0.25">
      <c r="A161" s="2571" t="str">
        <f>Итоговая!C70</f>
        <v xml:space="preserve">ПС 110/35/10 кВ Поречье </v>
      </c>
      <c r="B161" s="2561">
        <f>Итоговая!D70</f>
        <v>6.3</v>
      </c>
      <c r="C161" s="2564" t="str">
        <f>Итоговая!E70</f>
        <v>+</v>
      </c>
      <c r="D161" s="2564">
        <f>Итоговая!F70</f>
        <v>6.3</v>
      </c>
      <c r="E161" s="2567">
        <f>Итоговая!G70</f>
        <v>0</v>
      </c>
      <c r="F161" s="2569">
        <f>Итоговая!H70</f>
        <v>0</v>
      </c>
      <c r="G161" s="1621"/>
      <c r="H161" s="1"/>
      <c r="I161" s="1"/>
      <c r="J161" s="1"/>
      <c r="K161" s="1"/>
      <c r="L161" s="22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22"/>
      <c r="X161" s="313"/>
    </row>
    <row r="162" spans="1:24" ht="15.75" customHeight="1" thickBot="1" x14ac:dyDescent="0.3">
      <c r="A162" s="2573"/>
      <c r="B162" s="2561"/>
      <c r="C162" s="2564"/>
      <c r="D162" s="2564"/>
      <c r="E162" s="2567"/>
      <c r="F162" s="2569"/>
      <c r="G162" s="2578" t="s">
        <v>1833</v>
      </c>
      <c r="H162" s="2578"/>
      <c r="I162" s="2579"/>
      <c r="J162" s="13">
        <f>SUM(J161:J161)</f>
        <v>0</v>
      </c>
      <c r="K162" s="14">
        <v>0.92</v>
      </c>
      <c r="L162" s="13">
        <f>J162/K162</f>
        <v>0</v>
      </c>
      <c r="M162" s="2577" t="s">
        <v>1834</v>
      </c>
      <c r="N162" s="2579"/>
      <c r="O162" s="13">
        <f>SUM(O161:O161)</f>
        <v>0</v>
      </c>
      <c r="P162" s="14">
        <v>0.92</v>
      </c>
      <c r="Q162" s="13">
        <f>O162/P162</f>
        <v>0</v>
      </c>
      <c r="R162" s="2577" t="s">
        <v>1833</v>
      </c>
      <c r="S162" s="2578"/>
      <c r="T162" s="2579"/>
      <c r="U162" s="13">
        <f>SUM(U161:U161)</f>
        <v>0</v>
      </c>
      <c r="V162" s="14">
        <v>0.92</v>
      </c>
      <c r="W162" s="13">
        <f>U162/V162</f>
        <v>0</v>
      </c>
      <c r="X162" s="313"/>
    </row>
    <row r="163" spans="1:24" ht="30" x14ac:dyDescent="0.25">
      <c r="A163" s="2620" t="str">
        <f>Итоговая!C73</f>
        <v xml:space="preserve">ПС 110/35/10 кВ Сандово </v>
      </c>
      <c r="B163" s="2560">
        <f>Итоговая!D73</f>
        <v>10</v>
      </c>
      <c r="C163" s="2563" t="str">
        <f>Итоговая!E73</f>
        <v>+</v>
      </c>
      <c r="D163" s="2563">
        <f>Итоговая!F73</f>
        <v>10</v>
      </c>
      <c r="E163" s="2566">
        <f>Итоговая!G73</f>
        <v>0</v>
      </c>
      <c r="F163" s="2558">
        <f>Итоговая!H73</f>
        <v>0</v>
      </c>
      <c r="G163" s="104"/>
      <c r="H163" s="9"/>
      <c r="I163" s="9"/>
      <c r="J163" s="9"/>
      <c r="K163" s="9"/>
      <c r="L163" s="51"/>
      <c r="M163" s="9" t="s">
        <v>1864</v>
      </c>
      <c r="N163" s="9" t="s">
        <v>1865</v>
      </c>
      <c r="O163" s="323">
        <v>4.2000000000000003E-2</v>
      </c>
      <c r="P163" s="323"/>
      <c r="Q163" s="323"/>
      <c r="R163" s="9"/>
      <c r="S163" s="9"/>
      <c r="T163" s="9"/>
      <c r="U163" s="9"/>
      <c r="V163" s="9"/>
      <c r="W163" s="51"/>
      <c r="X163" s="313"/>
    </row>
    <row r="164" spans="1:24" ht="15.75" customHeight="1" thickBot="1" x14ac:dyDescent="0.3">
      <c r="A164" s="2621"/>
      <c r="B164" s="2562"/>
      <c r="C164" s="2565"/>
      <c r="D164" s="2565"/>
      <c r="E164" s="2568"/>
      <c r="F164" s="2559"/>
      <c r="G164" s="2578" t="s">
        <v>1833</v>
      </c>
      <c r="H164" s="2578"/>
      <c r="I164" s="2579"/>
      <c r="J164" s="13">
        <f>SUM(J163:J163)</f>
        <v>0</v>
      </c>
      <c r="K164" s="14">
        <v>0.92</v>
      </c>
      <c r="L164" s="13">
        <f>J164/K164</f>
        <v>0</v>
      </c>
      <c r="M164" s="2577" t="s">
        <v>1834</v>
      </c>
      <c r="N164" s="2579"/>
      <c r="O164" s="325">
        <f>SUM(O163:O163)</f>
        <v>4.2000000000000003E-2</v>
      </c>
      <c r="P164" s="326">
        <v>0.92</v>
      </c>
      <c r="Q164" s="325">
        <f>O164/P164</f>
        <v>4.5652173913043478E-2</v>
      </c>
      <c r="R164" s="2587" t="s">
        <v>1833</v>
      </c>
      <c r="S164" s="2588"/>
      <c r="T164" s="2589"/>
      <c r="U164" s="21">
        <f>SUM(U163:U163)</f>
        <v>0</v>
      </c>
      <c r="V164" s="24">
        <v>0.92</v>
      </c>
      <c r="W164" s="21">
        <f>U164/V164</f>
        <v>0</v>
      </c>
      <c r="X164" s="313"/>
    </row>
    <row r="165" spans="1:24" ht="15.75" customHeight="1" x14ac:dyDescent="0.25">
      <c r="A165" s="2620" t="str">
        <f>Итоговая!C76</f>
        <v xml:space="preserve">ПС 110/35/10 кВ Шолмино </v>
      </c>
      <c r="B165" s="2560">
        <f>Итоговая!D76</f>
        <v>25</v>
      </c>
      <c r="C165" s="2563" t="str">
        <f>Итоговая!E76</f>
        <v>+</v>
      </c>
      <c r="D165" s="2563">
        <f>Итоговая!F76</f>
        <v>25</v>
      </c>
      <c r="E165" s="2566">
        <f>Итоговая!G76</f>
        <v>0</v>
      </c>
      <c r="F165" s="2558">
        <f>Итоговая!H76</f>
        <v>0</v>
      </c>
      <c r="G165" s="2583" t="s">
        <v>2322</v>
      </c>
      <c r="H165" s="2583"/>
      <c r="I165" s="2583"/>
      <c r="J165" s="2583"/>
      <c r="K165" s="2583"/>
      <c r="L165" s="2584"/>
      <c r="M165" s="9" t="s">
        <v>2143</v>
      </c>
      <c r="N165" s="9" t="s">
        <v>2366</v>
      </c>
      <c r="O165" s="323">
        <v>3.3000000000000002E-2</v>
      </c>
      <c r="P165" s="323"/>
      <c r="Q165" s="323"/>
      <c r="R165" s="295"/>
      <c r="S165" s="295"/>
      <c r="T165" s="295"/>
      <c r="U165" s="295"/>
      <c r="V165" s="295"/>
      <c r="W165" s="295"/>
      <c r="X165" s="313"/>
    </row>
    <row r="166" spans="1:24" ht="45" x14ac:dyDescent="0.25">
      <c r="A166" s="2621"/>
      <c r="B166" s="2561"/>
      <c r="C166" s="2564"/>
      <c r="D166" s="2564"/>
      <c r="E166" s="2567"/>
      <c r="F166" s="2569"/>
      <c r="G166" s="104" t="s">
        <v>1830</v>
      </c>
      <c r="H166" s="104" t="s">
        <v>1831</v>
      </c>
      <c r="I166" s="104" t="s">
        <v>1832</v>
      </c>
      <c r="J166" s="323">
        <v>0.03</v>
      </c>
      <c r="K166" s="323"/>
      <c r="L166" s="324"/>
      <c r="M166" s="581"/>
      <c r="N166" s="41"/>
      <c r="O166" s="331"/>
      <c r="P166" s="331"/>
      <c r="Q166" s="331"/>
      <c r="R166" s="597"/>
      <c r="S166" s="598"/>
      <c r="T166" s="599"/>
      <c r="U166" s="600"/>
      <c r="V166" s="600"/>
      <c r="W166" s="600"/>
      <c r="X166" s="313"/>
    </row>
    <row r="167" spans="1:24" ht="15.75" customHeight="1" thickBot="1" x14ac:dyDescent="0.3">
      <c r="A167" s="2622"/>
      <c r="B167" s="2562"/>
      <c r="C167" s="2565"/>
      <c r="D167" s="2565"/>
      <c r="E167" s="2568"/>
      <c r="F167" s="2559"/>
      <c r="G167" s="2578" t="s">
        <v>1833</v>
      </c>
      <c r="H167" s="2578"/>
      <c r="I167" s="2579"/>
      <c r="J167" s="325">
        <f>SUM(0)</f>
        <v>0</v>
      </c>
      <c r="K167" s="326">
        <v>0.92</v>
      </c>
      <c r="L167" s="325">
        <f>J167/K167</f>
        <v>0</v>
      </c>
      <c r="M167" s="2577" t="s">
        <v>1834</v>
      </c>
      <c r="N167" s="2579"/>
      <c r="O167" s="325">
        <f>SUM(O165:O165)</f>
        <v>3.3000000000000002E-2</v>
      </c>
      <c r="P167" s="326">
        <v>0.92</v>
      </c>
      <c r="Q167" s="325">
        <f>O167/P167</f>
        <v>3.5869565217391305E-2</v>
      </c>
      <c r="R167" s="2577" t="s">
        <v>1833</v>
      </c>
      <c r="S167" s="2578"/>
      <c r="T167" s="2579"/>
      <c r="U167" s="13">
        <f>SUM(U165:U165)</f>
        <v>0</v>
      </c>
      <c r="V167" s="14">
        <v>0.92</v>
      </c>
      <c r="W167" s="13">
        <f>U167/V167</f>
        <v>0</v>
      </c>
      <c r="X167" s="313"/>
    </row>
    <row r="168" spans="1:24" s="134" customFormat="1" ht="19.5" thickBot="1" x14ac:dyDescent="0.3">
      <c r="A168" s="1655"/>
      <c r="B168" s="1658"/>
      <c r="C168" s="1658"/>
      <c r="D168" s="1658"/>
      <c r="E168" s="1658"/>
      <c r="F168" s="1658"/>
      <c r="G168" s="150"/>
      <c r="H168" s="150"/>
      <c r="I168" s="150"/>
      <c r="J168" s="338">
        <f>J167+J164+J162+J160+J151+J147+J141+J134+J132+J127+J125+J123+J115+J100+J91+J93+J89+J87+J85+J83+J81+J76+J73+J71+J69+J67+J60+J57+J55+J53+J51+J48+J45+J43+J41+J39+J37+J35+J33+J31+J28+J26+J23+J21+J19+J16+J14+J12+J10+J8</f>
        <v>2.9288500000000002</v>
      </c>
      <c r="K168" s="338"/>
      <c r="L168" s="338">
        <f>L167+L164+L162+L160+L151+L147+L141+L134+L132+L127+L125+L123+L115+L100+L91+L93+L89+L87+L85+L83+L81+L76+L73+L71+L69+L67+L60+L57+L55+L53+L51+L48+L45+L43+L41+L39+L37+L35+L33+L31+L28+L26+L23+L21+L19+L16+L14+L12+L10+L8</f>
        <v>3.1835326086956526</v>
      </c>
      <c r="M168" s="150"/>
      <c r="N168" s="150"/>
      <c r="O168" s="150"/>
      <c r="P168" s="150"/>
      <c r="Q168" s="150"/>
      <c r="R168" s="317"/>
      <c r="S168" s="317"/>
      <c r="T168" s="317"/>
      <c r="U168" s="317"/>
      <c r="V168" s="317"/>
      <c r="W168" s="318"/>
      <c r="X168" s="313"/>
    </row>
    <row r="169" spans="1:24" x14ac:dyDescent="0.25">
      <c r="G169" s="40"/>
      <c r="H169" s="40"/>
      <c r="I169" s="40"/>
      <c r="J169" s="40"/>
      <c r="K169" s="40"/>
      <c r="L169" s="71"/>
      <c r="M169" s="40"/>
      <c r="N169" s="40"/>
      <c r="O169" s="40"/>
      <c r="P169" s="40"/>
      <c r="Q169" s="40"/>
      <c r="R169" s="313"/>
      <c r="S169" s="313"/>
      <c r="T169" s="313"/>
      <c r="U169" s="313"/>
      <c r="V169" s="313"/>
      <c r="W169" s="313"/>
      <c r="X169" s="313"/>
    </row>
    <row r="170" spans="1:24" x14ac:dyDescent="0.25">
      <c r="G170" s="40"/>
      <c r="H170" s="40"/>
      <c r="I170" s="40"/>
      <c r="J170" s="40"/>
      <c r="K170" s="40"/>
      <c r="L170" s="71"/>
      <c r="M170" s="40"/>
      <c r="N170" s="40"/>
      <c r="O170" s="40"/>
      <c r="P170" s="40"/>
      <c r="Q170" s="40"/>
      <c r="R170" s="313"/>
      <c r="S170" s="313"/>
      <c r="T170" s="313"/>
      <c r="U170" s="313"/>
      <c r="V170" s="313"/>
      <c r="W170" s="313"/>
      <c r="X170" s="313"/>
    </row>
    <row r="171" spans="1:24" x14ac:dyDescent="0.25">
      <c r="G171" s="40"/>
      <c r="H171" s="40"/>
      <c r="I171" s="40"/>
      <c r="J171" s="40"/>
      <c r="K171" s="40"/>
      <c r="L171" s="71"/>
      <c r="M171" s="40"/>
      <c r="N171" s="40"/>
      <c r="O171" s="40"/>
      <c r="P171" s="40"/>
      <c r="Q171" s="40"/>
      <c r="R171" s="313"/>
      <c r="S171" s="313"/>
      <c r="T171" s="313"/>
      <c r="U171" s="313"/>
      <c r="V171" s="313"/>
      <c r="W171" s="313"/>
      <c r="X171" s="313"/>
    </row>
    <row r="172" spans="1:24" x14ac:dyDescent="0.25">
      <c r="G172" s="40"/>
      <c r="H172" s="40"/>
      <c r="I172" s="40"/>
      <c r="J172" s="40"/>
      <c r="K172" s="40"/>
      <c r="L172" s="71"/>
      <c r="M172" s="40"/>
      <c r="N172" s="40"/>
      <c r="O172" s="40"/>
      <c r="P172" s="40"/>
      <c r="Q172" s="40"/>
      <c r="R172" s="313"/>
      <c r="S172" s="313"/>
      <c r="T172" s="313"/>
      <c r="U172" s="313"/>
      <c r="V172" s="313"/>
      <c r="W172" s="313"/>
      <c r="X172" s="313"/>
    </row>
    <row r="173" spans="1:24" x14ac:dyDescent="0.25">
      <c r="G173" s="40"/>
      <c r="H173" s="40"/>
      <c r="I173" s="40"/>
      <c r="J173" s="40"/>
      <c r="K173" s="40"/>
      <c r="L173" s="71"/>
      <c r="M173" s="40"/>
      <c r="N173" s="40"/>
      <c r="O173" s="40"/>
      <c r="P173" s="40"/>
      <c r="Q173" s="40"/>
      <c r="R173" s="313"/>
      <c r="S173" s="313"/>
      <c r="T173" s="313"/>
      <c r="U173" s="313"/>
      <c r="V173" s="313"/>
      <c r="W173" s="313"/>
      <c r="X173" s="313"/>
    </row>
    <row r="174" spans="1:24" x14ac:dyDescent="0.25">
      <c r="G174" s="40"/>
      <c r="H174" s="40"/>
      <c r="I174" s="40"/>
      <c r="J174" s="40"/>
      <c r="K174" s="40"/>
      <c r="L174" s="71"/>
      <c r="M174" s="40"/>
      <c r="N174" s="40"/>
      <c r="O174" s="40"/>
      <c r="P174" s="40"/>
      <c r="Q174" s="40"/>
      <c r="R174" s="313"/>
      <c r="S174" s="313"/>
      <c r="T174" s="313"/>
      <c r="U174" s="313"/>
      <c r="V174" s="313"/>
      <c r="W174" s="313"/>
      <c r="X174" s="313"/>
    </row>
    <row r="175" spans="1:24" x14ac:dyDescent="0.25">
      <c r="G175" s="40"/>
      <c r="H175" s="40"/>
      <c r="I175" s="40"/>
      <c r="J175" s="40"/>
      <c r="K175" s="40"/>
      <c r="L175" s="71"/>
      <c r="M175" s="40"/>
      <c r="N175" s="40"/>
      <c r="O175" s="40"/>
      <c r="P175" s="40"/>
      <c r="Q175" s="40"/>
      <c r="R175" s="313"/>
      <c r="S175" s="313"/>
      <c r="T175" s="313"/>
      <c r="U175" s="313"/>
      <c r="V175" s="313"/>
      <c r="W175" s="313"/>
      <c r="X175" s="313"/>
    </row>
    <row r="176" spans="1:24" x14ac:dyDescent="0.25">
      <c r="G176" s="40"/>
      <c r="H176" s="40"/>
      <c r="I176" s="40"/>
      <c r="J176" s="40"/>
      <c r="K176" s="40"/>
      <c r="L176" s="71"/>
      <c r="M176" s="40"/>
      <c r="N176" s="40"/>
      <c r="O176" s="40"/>
      <c r="P176" s="40"/>
      <c r="Q176" s="40"/>
      <c r="R176" s="313"/>
      <c r="S176" s="313"/>
      <c r="T176" s="313"/>
      <c r="U176" s="313"/>
      <c r="V176" s="313"/>
      <c r="W176" s="313"/>
      <c r="X176" s="313"/>
    </row>
    <row r="177" spans="1:24" x14ac:dyDescent="0.25">
      <c r="G177" s="40"/>
      <c r="H177" s="40"/>
      <c r="I177" s="40"/>
      <c r="J177" s="40"/>
      <c r="K177" s="40"/>
      <c r="L177" s="71"/>
      <c r="M177" s="40"/>
      <c r="N177" s="40"/>
      <c r="O177" s="40"/>
      <c r="P177" s="40"/>
      <c r="Q177" s="40"/>
      <c r="R177" s="313"/>
      <c r="S177" s="313"/>
      <c r="T177" s="313"/>
      <c r="U177" s="313"/>
      <c r="V177" s="313"/>
      <c r="W177" s="313"/>
      <c r="X177" s="313"/>
    </row>
    <row r="178" spans="1:24" x14ac:dyDescent="0.25">
      <c r="G178" s="40"/>
      <c r="H178" s="40"/>
      <c r="I178" s="40"/>
      <c r="J178" s="40"/>
      <c r="K178" s="40"/>
      <c r="L178" s="71"/>
      <c r="M178" s="40"/>
      <c r="N178" s="40"/>
      <c r="O178" s="40"/>
      <c r="P178" s="40"/>
      <c r="Q178" s="40"/>
      <c r="R178" s="313"/>
      <c r="S178" s="313"/>
      <c r="T178" s="313"/>
      <c r="U178" s="313"/>
      <c r="V178" s="313"/>
      <c r="W178" s="313"/>
      <c r="X178" s="313"/>
    </row>
    <row r="179" spans="1:24" x14ac:dyDescent="0.25">
      <c r="G179" s="40"/>
      <c r="H179" s="40"/>
      <c r="I179" s="40"/>
      <c r="J179" s="40"/>
      <c r="K179" s="40"/>
      <c r="L179" s="71"/>
      <c r="M179" s="40"/>
      <c r="N179" s="40"/>
      <c r="O179" s="40"/>
      <c r="P179" s="40"/>
      <c r="Q179" s="40"/>
      <c r="R179" s="313"/>
      <c r="S179" s="313"/>
      <c r="T179" s="313"/>
      <c r="U179" s="313"/>
      <c r="V179" s="313"/>
      <c r="W179" s="313"/>
      <c r="X179" s="313"/>
    </row>
    <row r="180" spans="1:24" x14ac:dyDescent="0.25">
      <c r="G180" s="40"/>
      <c r="H180" s="40"/>
      <c r="I180" s="40"/>
      <c r="J180" s="40"/>
      <c r="K180" s="40"/>
      <c r="L180" s="71"/>
      <c r="M180" s="40"/>
      <c r="N180" s="40"/>
      <c r="O180" s="40"/>
      <c r="P180" s="40"/>
      <c r="Q180" s="40"/>
      <c r="R180" s="313"/>
      <c r="S180" s="313"/>
      <c r="T180" s="313"/>
      <c r="U180" s="313"/>
      <c r="V180" s="313"/>
      <c r="W180" s="313"/>
      <c r="X180" s="313"/>
    </row>
    <row r="181" spans="1:24" x14ac:dyDescent="0.25">
      <c r="G181" s="40"/>
      <c r="H181" s="40"/>
      <c r="I181" s="40"/>
      <c r="J181" s="40"/>
      <c r="K181" s="40"/>
      <c r="L181" s="71"/>
      <c r="M181" s="40"/>
      <c r="N181" s="40"/>
      <c r="O181" s="40"/>
      <c r="P181" s="40"/>
      <c r="Q181" s="40"/>
      <c r="R181" s="313"/>
      <c r="S181" s="313"/>
      <c r="T181" s="313"/>
      <c r="U181" s="313"/>
      <c r="V181" s="313"/>
      <c r="W181" s="313"/>
      <c r="X181" s="313"/>
    </row>
    <row r="182" spans="1:24" x14ac:dyDescent="0.25">
      <c r="G182" s="40"/>
      <c r="H182" s="40"/>
      <c r="I182" s="40"/>
      <c r="J182" s="40"/>
      <c r="K182" s="40"/>
      <c r="L182" s="71"/>
      <c r="M182" s="40"/>
      <c r="N182" s="40"/>
      <c r="O182" s="40"/>
      <c r="P182" s="40"/>
      <c r="Q182" s="40"/>
      <c r="R182" s="313"/>
      <c r="S182" s="313"/>
      <c r="T182" s="313"/>
      <c r="U182" s="313"/>
      <c r="V182" s="313"/>
      <c r="W182" s="313"/>
      <c r="X182" s="313"/>
    </row>
    <row r="183" spans="1:24" x14ac:dyDescent="0.25">
      <c r="G183" s="40"/>
      <c r="H183" s="40"/>
      <c r="I183" s="40"/>
      <c r="J183" s="40"/>
      <c r="K183" s="40"/>
      <c r="L183" s="71"/>
      <c r="M183" s="40"/>
      <c r="N183" s="40"/>
      <c r="O183" s="40"/>
      <c r="P183" s="40"/>
      <c r="Q183" s="40"/>
      <c r="R183" s="313"/>
      <c r="S183" s="313"/>
      <c r="T183" s="313"/>
      <c r="U183" s="313"/>
      <c r="V183" s="313"/>
      <c r="W183" s="313"/>
      <c r="X183" s="313"/>
    </row>
    <row r="184" spans="1:24" x14ac:dyDescent="0.25">
      <c r="A184" s="98"/>
      <c r="B184" s="98"/>
      <c r="C184" s="98"/>
      <c r="D184" s="98"/>
      <c r="E184" s="98"/>
      <c r="F184" s="98"/>
      <c r="G184" s="1619"/>
      <c r="H184" s="1619"/>
      <c r="I184" s="1619"/>
      <c r="J184" s="1619"/>
      <c r="K184" s="1619"/>
      <c r="L184" s="71"/>
      <c r="M184" s="1619"/>
      <c r="N184" s="1619"/>
      <c r="O184" s="1619"/>
      <c r="P184" s="1619"/>
      <c r="Q184" s="1619"/>
      <c r="R184" s="313"/>
      <c r="S184" s="313"/>
      <c r="T184" s="313"/>
      <c r="U184" s="313"/>
      <c r="V184" s="313"/>
      <c r="W184" s="313"/>
      <c r="X184" s="313"/>
    </row>
    <row r="185" spans="1:24" x14ac:dyDescent="0.25">
      <c r="A185" s="98"/>
      <c r="B185" s="98"/>
      <c r="C185" s="98"/>
      <c r="D185" s="98"/>
      <c r="E185" s="98"/>
      <c r="F185" s="98"/>
      <c r="G185" s="1619"/>
      <c r="H185" s="1619"/>
      <c r="I185" s="1619"/>
      <c r="J185" s="1619"/>
      <c r="K185" s="1619"/>
      <c r="L185" s="71"/>
      <c r="M185" s="1619"/>
      <c r="N185" s="1619"/>
      <c r="O185" s="1619"/>
      <c r="P185" s="1619"/>
      <c r="Q185" s="1619"/>
      <c r="R185" s="313"/>
      <c r="S185" s="313"/>
      <c r="T185" s="313"/>
      <c r="U185" s="313"/>
      <c r="V185" s="313"/>
      <c r="W185" s="313"/>
      <c r="X185" s="313"/>
    </row>
    <row r="186" spans="1:24" x14ac:dyDescent="0.25">
      <c r="A186" s="98"/>
      <c r="B186" s="98"/>
      <c r="C186" s="98"/>
      <c r="D186" s="98"/>
      <c r="E186" s="98"/>
      <c r="F186" s="98"/>
      <c r="G186" s="1619"/>
      <c r="H186" s="1619"/>
      <c r="I186" s="1619"/>
      <c r="J186" s="1619"/>
      <c r="K186" s="1619"/>
      <c r="L186" s="71"/>
      <c r="M186" s="1619"/>
      <c r="N186" s="1619"/>
      <c r="O186" s="1619"/>
      <c r="P186" s="1619"/>
      <c r="Q186" s="1619"/>
      <c r="R186" s="109"/>
    </row>
    <row r="187" spans="1:24" x14ac:dyDescent="0.25">
      <c r="A187" s="98"/>
      <c r="B187" s="98"/>
      <c r="C187" s="98"/>
      <c r="D187" s="98"/>
      <c r="E187" s="98"/>
      <c r="F187" s="98"/>
      <c r="G187" s="1619"/>
      <c r="H187" s="1619"/>
      <c r="I187" s="1619"/>
      <c r="J187" s="1619"/>
      <c r="K187" s="1619"/>
      <c r="L187" s="71"/>
      <c r="M187" s="1619"/>
      <c r="N187" s="1619"/>
      <c r="O187" s="1619"/>
      <c r="P187" s="1619"/>
      <c r="Q187" s="1619"/>
      <c r="R187" s="109"/>
    </row>
    <row r="188" spans="1:24" x14ac:dyDescent="0.25">
      <c r="A188" s="98"/>
      <c r="B188" s="98"/>
      <c r="C188" s="98"/>
      <c r="D188" s="98"/>
      <c r="E188" s="98"/>
      <c r="F188" s="98"/>
      <c r="G188" s="1619"/>
      <c r="H188" s="1619"/>
      <c r="I188" s="1619"/>
      <c r="J188" s="1619"/>
      <c r="K188" s="1619"/>
      <c r="L188" s="71"/>
      <c r="M188" s="1619"/>
      <c r="N188" s="1619"/>
      <c r="O188" s="1619"/>
      <c r="P188" s="1619"/>
      <c r="Q188" s="1619"/>
      <c r="R188" s="109"/>
    </row>
    <row r="189" spans="1:24" x14ac:dyDescent="0.25">
      <c r="A189" s="98"/>
      <c r="B189" s="98"/>
      <c r="C189" s="98"/>
      <c r="D189" s="98"/>
      <c r="E189" s="98"/>
      <c r="F189" s="98"/>
      <c r="G189" s="1619"/>
      <c r="H189" s="1619"/>
      <c r="I189" s="1619"/>
      <c r="J189" s="1619"/>
      <c r="K189" s="1619"/>
      <c r="L189" s="71"/>
      <c r="M189" s="1619"/>
      <c r="N189" s="1619"/>
      <c r="O189" s="1619"/>
      <c r="P189" s="1619"/>
      <c r="Q189" s="1619"/>
      <c r="R189" s="109"/>
    </row>
    <row r="190" spans="1:24" x14ac:dyDescent="0.25">
      <c r="A190" s="98"/>
      <c r="B190" s="98"/>
      <c r="C190" s="98"/>
      <c r="D190" s="98"/>
      <c r="E190" s="98"/>
      <c r="F190" s="98"/>
      <c r="G190" s="1619"/>
      <c r="H190" s="1619"/>
      <c r="I190" s="1619"/>
      <c r="J190" s="1619"/>
      <c r="K190" s="1619"/>
      <c r="L190" s="71"/>
      <c r="M190" s="1619"/>
      <c r="N190" s="1619"/>
      <c r="O190" s="1619"/>
      <c r="P190" s="1619"/>
      <c r="Q190" s="1619"/>
      <c r="R190" s="109"/>
    </row>
    <row r="191" spans="1:24" x14ac:dyDescent="0.25">
      <c r="A191" s="98"/>
      <c r="B191" s="98"/>
      <c r="C191" s="98"/>
      <c r="D191" s="98"/>
      <c r="E191" s="98"/>
      <c r="F191" s="98"/>
      <c r="G191" s="1619"/>
      <c r="H191" s="1619"/>
      <c r="I191" s="1619"/>
      <c r="J191" s="1619"/>
      <c r="K191" s="1619"/>
      <c r="L191" s="71"/>
      <c r="M191" s="1619"/>
      <c r="N191" s="1619"/>
      <c r="O191" s="1619"/>
      <c r="P191" s="1619"/>
      <c r="Q191" s="1619"/>
      <c r="R191" s="109"/>
    </row>
    <row r="192" spans="1:24" x14ac:dyDescent="0.25">
      <c r="A192" s="98"/>
      <c r="B192" s="98"/>
      <c r="C192" s="98"/>
      <c r="D192" s="98"/>
      <c r="E192" s="98"/>
      <c r="F192" s="98"/>
      <c r="G192" s="1619"/>
      <c r="H192" s="1619"/>
      <c r="I192" s="1619"/>
      <c r="J192" s="1619"/>
      <c r="K192" s="1619"/>
      <c r="L192" s="71"/>
      <c r="M192" s="1619"/>
      <c r="N192" s="1619"/>
      <c r="O192" s="1619"/>
      <c r="P192" s="1619"/>
      <c r="Q192" s="1619"/>
      <c r="R192" s="109"/>
    </row>
    <row r="193" spans="1:18" x14ac:dyDescent="0.25">
      <c r="A193" s="98"/>
      <c r="B193" s="98"/>
      <c r="C193" s="98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67"/>
    </row>
    <row r="194" spans="1:18" x14ac:dyDescent="0.25">
      <c r="A194" s="98"/>
      <c r="B194" s="98"/>
      <c r="C194" s="98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67"/>
    </row>
    <row r="195" spans="1:18" x14ac:dyDescent="0.25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67"/>
    </row>
    <row r="196" spans="1:18" x14ac:dyDescent="0.25">
      <c r="A196" s="98"/>
      <c r="B196" s="98"/>
      <c r="C196" s="98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67"/>
    </row>
    <row r="197" spans="1:18" x14ac:dyDescent="0.25">
      <c r="A197" s="98"/>
      <c r="B197" s="98"/>
      <c r="C197" s="98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67"/>
    </row>
    <row r="198" spans="1:18" x14ac:dyDescent="0.25">
      <c r="A198" s="98"/>
      <c r="B198" s="98"/>
      <c r="C198" s="98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67"/>
    </row>
    <row r="199" spans="1:18" x14ac:dyDescent="0.25">
      <c r="A199" s="98"/>
      <c r="B199" s="98"/>
      <c r="C199" s="98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67"/>
    </row>
    <row r="200" spans="1:18" x14ac:dyDescent="0.25">
      <c r="A200" s="98"/>
      <c r="B200" s="98"/>
      <c r="C200" s="98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67"/>
    </row>
    <row r="201" spans="1:18" x14ac:dyDescent="0.25">
      <c r="A201" s="98"/>
      <c r="B201" s="98"/>
      <c r="C201" s="98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67"/>
    </row>
    <row r="202" spans="1:18" x14ac:dyDescent="0.25">
      <c r="A202" s="98"/>
      <c r="B202" s="98"/>
      <c r="C202" s="98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67"/>
    </row>
    <row r="203" spans="1:18" x14ac:dyDescent="0.25">
      <c r="A203" s="98"/>
      <c r="B203" s="98"/>
      <c r="C203" s="98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67"/>
    </row>
    <row r="204" spans="1:18" x14ac:dyDescent="0.25">
      <c r="A204" s="98"/>
      <c r="B204" s="98"/>
      <c r="C204" s="98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67"/>
    </row>
    <row r="205" spans="1:18" x14ac:dyDescent="0.25">
      <c r="A205" s="98"/>
      <c r="B205" s="98"/>
      <c r="C205" s="98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67"/>
    </row>
    <row r="206" spans="1:18" x14ac:dyDescent="0.25">
      <c r="A206" s="98"/>
      <c r="B206" s="98"/>
      <c r="C206" s="98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67"/>
    </row>
    <row r="207" spans="1:18" x14ac:dyDescent="0.25">
      <c r="A207" s="98"/>
      <c r="B207" s="98"/>
      <c r="C207" s="98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67"/>
    </row>
    <row r="208" spans="1:18" x14ac:dyDescent="0.25">
      <c r="A208" s="98"/>
      <c r="B208" s="98"/>
      <c r="C208" s="98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67"/>
    </row>
    <row r="209" spans="1:18" x14ac:dyDescent="0.25">
      <c r="A209" s="98"/>
      <c r="B209" s="98"/>
      <c r="C209" s="98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67"/>
    </row>
    <row r="210" spans="1:18" x14ac:dyDescent="0.25">
      <c r="A210" s="98"/>
      <c r="B210" s="98"/>
      <c r="C210" s="98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67"/>
    </row>
    <row r="211" spans="1:18" x14ac:dyDescent="0.25">
      <c r="A211" s="98"/>
      <c r="B211" s="98"/>
      <c r="C211" s="98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67"/>
    </row>
    <row r="212" spans="1:18" x14ac:dyDescent="0.25">
      <c r="A212" s="98"/>
      <c r="B212" s="98"/>
      <c r="C212" s="98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67"/>
    </row>
    <row r="213" spans="1:18" x14ac:dyDescent="0.25">
      <c r="A213" s="98"/>
      <c r="B213" s="98"/>
      <c r="C213" s="98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67"/>
    </row>
    <row r="214" spans="1:18" x14ac:dyDescent="0.25">
      <c r="A214" s="98"/>
      <c r="B214" s="98"/>
      <c r="C214" s="98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67"/>
    </row>
    <row r="215" spans="1:18" x14ac:dyDescent="0.25">
      <c r="A215" s="98"/>
      <c r="B215" s="98"/>
      <c r="C215" s="98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67"/>
    </row>
    <row r="216" spans="1:18" x14ac:dyDescent="0.25">
      <c r="A216" s="98"/>
      <c r="B216" s="98"/>
      <c r="C216" s="98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67"/>
    </row>
    <row r="217" spans="1:18" x14ac:dyDescent="0.25">
      <c r="A217" s="98"/>
      <c r="B217" s="98"/>
      <c r="C217" s="98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67"/>
    </row>
    <row r="218" spans="1:18" x14ac:dyDescent="0.25">
      <c r="A218" s="98"/>
      <c r="B218" s="98"/>
      <c r="C218" s="98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67"/>
    </row>
    <row r="219" spans="1:18" x14ac:dyDescent="0.25">
      <c r="A219" s="98"/>
      <c r="B219" s="98"/>
      <c r="C219" s="98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67"/>
    </row>
    <row r="220" spans="1:18" x14ac:dyDescent="0.25">
      <c r="A220" s="98"/>
      <c r="B220" s="98"/>
      <c r="C220" s="98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67"/>
    </row>
    <row r="221" spans="1:18" x14ac:dyDescent="0.25">
      <c r="A221" s="98"/>
      <c r="B221" s="98"/>
      <c r="C221" s="98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67"/>
    </row>
    <row r="222" spans="1:18" x14ac:dyDescent="0.25">
      <c r="A222" s="98"/>
      <c r="B222" s="98"/>
      <c r="C222" s="98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67"/>
    </row>
    <row r="223" spans="1:18" x14ac:dyDescent="0.25">
      <c r="A223" s="98"/>
      <c r="B223" s="98"/>
      <c r="C223" s="98"/>
      <c r="D223" s="98"/>
      <c r="E223" s="98"/>
      <c r="F223" s="98"/>
      <c r="G223" s="2610"/>
      <c r="H223" s="2610"/>
      <c r="I223" s="2610"/>
      <c r="J223" s="2610"/>
      <c r="K223" s="2610"/>
      <c r="L223" s="2610"/>
      <c r="M223" s="2610"/>
      <c r="N223" s="2610"/>
      <c r="O223" s="2610"/>
      <c r="P223" s="2610"/>
      <c r="Q223" s="2610"/>
      <c r="R223" s="67"/>
    </row>
    <row r="224" spans="1:18" x14ac:dyDescent="0.25">
      <c r="A224" s="98"/>
      <c r="B224" s="98"/>
      <c r="C224" s="98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67"/>
    </row>
    <row r="225" spans="1:18" x14ac:dyDescent="0.25">
      <c r="A225" s="98"/>
      <c r="B225" s="98"/>
      <c r="C225" s="98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67"/>
    </row>
    <row r="226" spans="1:18" x14ac:dyDescent="0.25">
      <c r="A226" s="98"/>
      <c r="B226" s="98"/>
      <c r="C226" s="98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67"/>
    </row>
    <row r="227" spans="1:18" x14ac:dyDescent="0.25">
      <c r="A227" s="98"/>
      <c r="B227" s="98"/>
      <c r="C227" s="98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67"/>
    </row>
    <row r="228" spans="1:18" x14ac:dyDescent="0.25">
      <c r="A228" s="98"/>
      <c r="B228" s="98"/>
      <c r="C228" s="98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67"/>
    </row>
    <row r="229" spans="1:18" x14ac:dyDescent="0.25">
      <c r="A229" s="98"/>
      <c r="B229" s="98"/>
      <c r="C229" s="98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67"/>
    </row>
    <row r="230" spans="1:18" x14ac:dyDescent="0.25">
      <c r="A230" s="98"/>
      <c r="B230" s="98"/>
      <c r="C230" s="98"/>
      <c r="D230" s="98"/>
      <c r="E230" s="98"/>
      <c r="F230" s="98"/>
      <c r="G230" s="2609"/>
      <c r="H230" s="2609"/>
      <c r="I230" s="2609"/>
      <c r="J230" s="2609"/>
      <c r="K230" s="2609"/>
      <c r="L230" s="2609"/>
      <c r="M230" s="2609"/>
      <c r="N230" s="2609"/>
      <c r="O230" s="2609"/>
      <c r="P230" s="2609"/>
      <c r="Q230" s="2609"/>
      <c r="R230" s="67"/>
    </row>
    <row r="231" spans="1:18" x14ac:dyDescent="0.25">
      <c r="A231" s="98"/>
      <c r="B231" s="98"/>
      <c r="C231" s="98"/>
      <c r="D231" s="98"/>
      <c r="E231" s="98"/>
      <c r="F231" s="98"/>
      <c r="G231" s="2610"/>
      <c r="H231" s="2610"/>
      <c r="I231" s="2610"/>
      <c r="J231" s="2610"/>
      <c r="K231" s="2610"/>
      <c r="L231" s="2610"/>
      <c r="M231" s="2610"/>
      <c r="N231" s="2610"/>
      <c r="O231" s="2610"/>
      <c r="P231" s="2610"/>
      <c r="Q231" s="2610"/>
      <c r="R231" s="67"/>
    </row>
    <row r="232" spans="1:18" x14ac:dyDescent="0.25">
      <c r="A232" s="98"/>
      <c r="B232" s="98"/>
      <c r="C232" s="98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67"/>
    </row>
    <row r="233" spans="1:18" x14ac:dyDescent="0.25">
      <c r="A233" s="98"/>
      <c r="B233" s="98"/>
      <c r="C233" s="98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67"/>
    </row>
    <row r="234" spans="1:18" x14ac:dyDescent="0.25">
      <c r="A234" s="98"/>
      <c r="B234" s="98"/>
      <c r="C234" s="98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67"/>
    </row>
    <row r="235" spans="1:18" x14ac:dyDescent="0.25">
      <c r="A235" s="98"/>
      <c r="B235" s="98"/>
      <c r="C235" s="98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67"/>
    </row>
    <row r="236" spans="1:18" x14ac:dyDescent="0.25">
      <c r="A236" s="98"/>
      <c r="B236" s="98"/>
      <c r="C236" s="98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67"/>
    </row>
    <row r="237" spans="1:18" x14ac:dyDescent="0.25">
      <c r="A237" s="98"/>
      <c r="B237" s="98"/>
      <c r="C237" s="98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67"/>
    </row>
    <row r="238" spans="1:18" x14ac:dyDescent="0.25">
      <c r="A238" s="98"/>
      <c r="B238" s="98"/>
      <c r="C238" s="98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67"/>
    </row>
    <row r="239" spans="1:18" x14ac:dyDescent="0.25">
      <c r="A239" s="98"/>
      <c r="B239" s="98"/>
      <c r="C239" s="98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67"/>
    </row>
    <row r="240" spans="1:18" x14ac:dyDescent="0.25">
      <c r="A240" s="98"/>
      <c r="B240" s="98"/>
      <c r="C240" s="98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67"/>
    </row>
    <row r="241" spans="1:18" x14ac:dyDescent="0.25">
      <c r="A241" s="98"/>
      <c r="B241" s="98"/>
      <c r="C241" s="98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67"/>
    </row>
    <row r="242" spans="1:18" x14ac:dyDescent="0.25">
      <c r="A242" s="98"/>
      <c r="B242" s="98"/>
      <c r="C242" s="98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67"/>
    </row>
    <row r="243" spans="1:18" x14ac:dyDescent="0.25">
      <c r="A243" s="98"/>
      <c r="B243" s="98"/>
      <c r="C243" s="98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67"/>
    </row>
    <row r="244" spans="1:18" x14ac:dyDescent="0.25">
      <c r="A244" s="98"/>
      <c r="B244" s="98"/>
      <c r="C244" s="98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67"/>
    </row>
    <row r="245" spans="1:18" x14ac:dyDescent="0.25">
      <c r="A245" s="98"/>
      <c r="B245" s="98"/>
      <c r="C245" s="98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67"/>
    </row>
    <row r="246" spans="1:18" x14ac:dyDescent="0.25">
      <c r="A246" s="98"/>
      <c r="B246" s="98"/>
      <c r="C246" s="98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67"/>
    </row>
    <row r="247" spans="1:18" x14ac:dyDescent="0.25">
      <c r="A247" s="98"/>
      <c r="B247" s="98"/>
      <c r="C247" s="98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67"/>
    </row>
    <row r="248" spans="1:18" x14ac:dyDescent="0.25">
      <c r="A248" s="98"/>
      <c r="B248" s="98"/>
      <c r="C248" s="98"/>
      <c r="D248" s="98"/>
      <c r="E248" s="98"/>
      <c r="F248" s="98"/>
      <c r="G248" s="2610"/>
      <c r="H248" s="2610"/>
      <c r="I248" s="2610"/>
      <c r="J248" s="2610"/>
      <c r="K248" s="2610"/>
      <c r="L248" s="2610"/>
      <c r="M248" s="2610"/>
      <c r="N248" s="2610"/>
      <c r="O248" s="2610"/>
      <c r="P248" s="2610"/>
      <c r="Q248" s="2610"/>
      <c r="R248" s="67"/>
    </row>
    <row r="249" spans="1:18" x14ac:dyDescent="0.25">
      <c r="A249" s="98"/>
      <c r="B249" s="98"/>
      <c r="C249" s="98"/>
      <c r="D249" s="98"/>
      <c r="E249" s="98"/>
      <c r="F249" s="98"/>
      <c r="G249" s="2609"/>
      <c r="H249" s="2609"/>
      <c r="I249" s="2609"/>
      <c r="J249" s="2609"/>
      <c r="K249" s="2609"/>
      <c r="L249" s="2609"/>
      <c r="M249" s="2609"/>
      <c r="N249" s="2609"/>
      <c r="O249" s="2609"/>
      <c r="P249" s="2609"/>
      <c r="Q249" s="2609"/>
      <c r="R249" s="67"/>
    </row>
    <row r="250" spans="1:18" x14ac:dyDescent="0.25">
      <c r="A250" s="98"/>
      <c r="B250" s="98"/>
      <c r="C250" s="98"/>
      <c r="D250" s="98"/>
      <c r="E250" s="98"/>
      <c r="F250" s="98"/>
      <c r="G250" s="2610"/>
      <c r="H250" s="2610"/>
      <c r="I250" s="2610"/>
      <c r="J250" s="2610"/>
      <c r="K250" s="2610"/>
      <c r="L250" s="2610"/>
      <c r="M250" s="2610"/>
      <c r="N250" s="2610"/>
      <c r="O250" s="2610"/>
      <c r="P250" s="2610"/>
      <c r="Q250" s="2610"/>
      <c r="R250" s="67"/>
    </row>
    <row r="251" spans="1:18" x14ac:dyDescent="0.25">
      <c r="A251" s="98"/>
      <c r="B251" s="98"/>
      <c r="C251" s="98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67"/>
    </row>
    <row r="252" spans="1:18" x14ac:dyDescent="0.25">
      <c r="A252" s="98"/>
      <c r="B252" s="98"/>
      <c r="C252" s="98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67"/>
    </row>
    <row r="253" spans="1:18" x14ac:dyDescent="0.25">
      <c r="A253" s="98"/>
      <c r="B253" s="98"/>
      <c r="C253" s="98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67"/>
    </row>
    <row r="254" spans="1:18" x14ac:dyDescent="0.25">
      <c r="A254" s="98"/>
      <c r="B254" s="98"/>
      <c r="C254" s="98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67"/>
    </row>
    <row r="255" spans="1:18" x14ac:dyDescent="0.25">
      <c r="A255" s="98"/>
      <c r="B255" s="98"/>
      <c r="C255" s="98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67"/>
    </row>
    <row r="256" spans="1:18" x14ac:dyDescent="0.25">
      <c r="A256" s="98"/>
      <c r="B256" s="98"/>
      <c r="C256" s="98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67"/>
    </row>
    <row r="257" spans="1:18" x14ac:dyDescent="0.25">
      <c r="A257" s="98"/>
      <c r="B257" s="98"/>
      <c r="C257" s="98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67"/>
    </row>
    <row r="258" spans="1:18" x14ac:dyDescent="0.25">
      <c r="A258" s="98"/>
      <c r="B258" s="98"/>
      <c r="C258" s="98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67"/>
    </row>
    <row r="259" spans="1:18" x14ac:dyDescent="0.25">
      <c r="A259" s="98"/>
      <c r="B259" s="98"/>
      <c r="C259" s="98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67"/>
    </row>
    <row r="260" spans="1:18" x14ac:dyDescent="0.25">
      <c r="A260" s="98"/>
      <c r="B260" s="98"/>
      <c r="C260" s="98"/>
      <c r="D260" s="98"/>
      <c r="E260" s="98"/>
      <c r="F260" s="98"/>
      <c r="G260" s="2610"/>
      <c r="H260" s="2610"/>
      <c r="I260" s="2610"/>
      <c r="J260" s="2610"/>
      <c r="K260" s="2610"/>
      <c r="L260" s="2610"/>
      <c r="M260" s="2610"/>
      <c r="N260" s="2610"/>
      <c r="O260" s="2610"/>
      <c r="P260" s="2610"/>
      <c r="Q260" s="2610"/>
      <c r="R260" s="67"/>
    </row>
    <row r="261" spans="1:18" x14ac:dyDescent="0.25">
      <c r="A261" s="98"/>
      <c r="B261" s="98"/>
      <c r="C261" s="98"/>
      <c r="D261" s="98"/>
      <c r="E261" s="98"/>
      <c r="F261" s="98"/>
      <c r="G261" s="2609"/>
      <c r="H261" s="2609"/>
      <c r="I261" s="2609"/>
      <c r="J261" s="2609"/>
      <c r="K261" s="2609"/>
      <c r="L261" s="2609"/>
      <c r="M261" s="2609"/>
      <c r="N261" s="2609"/>
      <c r="O261" s="2609"/>
      <c r="P261" s="2609"/>
      <c r="Q261" s="2609"/>
      <c r="R261" s="67"/>
    </row>
    <row r="262" spans="1:18" x14ac:dyDescent="0.25">
      <c r="A262" s="98"/>
      <c r="B262" s="98"/>
      <c r="C262" s="98"/>
      <c r="D262" s="98"/>
      <c r="E262" s="98"/>
      <c r="F262" s="98"/>
      <c r="G262" s="2610"/>
      <c r="H262" s="2610"/>
      <c r="I262" s="2610"/>
      <c r="J262" s="2610"/>
      <c r="K262" s="2610"/>
      <c r="L262" s="2610"/>
      <c r="M262" s="2610"/>
      <c r="N262" s="2610"/>
      <c r="O262" s="2610"/>
      <c r="P262" s="2610"/>
      <c r="Q262" s="2610"/>
      <c r="R262" s="67"/>
    </row>
    <row r="263" spans="1:18" x14ac:dyDescent="0.25">
      <c r="A263" s="98"/>
      <c r="B263" s="98"/>
      <c r="C263" s="98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67"/>
    </row>
    <row r="264" spans="1:18" x14ac:dyDescent="0.25">
      <c r="A264" s="98"/>
      <c r="B264" s="98"/>
      <c r="C264" s="98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67"/>
    </row>
    <row r="265" spans="1:18" x14ac:dyDescent="0.25">
      <c r="A265" s="98"/>
      <c r="B265" s="98"/>
      <c r="C265" s="98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67"/>
    </row>
    <row r="266" spans="1:18" x14ac:dyDescent="0.25">
      <c r="A266" s="98"/>
      <c r="B266" s="98"/>
      <c r="C266" s="98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67"/>
    </row>
    <row r="267" spans="1:18" x14ac:dyDescent="0.25">
      <c r="A267" s="98"/>
      <c r="B267" s="98"/>
      <c r="C267" s="98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67"/>
    </row>
    <row r="268" spans="1:18" x14ac:dyDescent="0.25">
      <c r="A268" s="98"/>
      <c r="B268" s="98"/>
      <c r="C268" s="98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67"/>
    </row>
    <row r="269" spans="1:18" x14ac:dyDescent="0.25">
      <c r="A269" s="98"/>
      <c r="B269" s="98"/>
      <c r="C269" s="98"/>
      <c r="D269" s="98"/>
      <c r="E269" s="98"/>
      <c r="F269" s="98"/>
      <c r="G269" s="2610"/>
      <c r="H269" s="2610"/>
      <c r="I269" s="2610"/>
      <c r="J269" s="2610"/>
      <c r="K269" s="2610"/>
      <c r="L269" s="2610"/>
      <c r="M269" s="2610"/>
      <c r="N269" s="2610"/>
      <c r="O269" s="2610"/>
      <c r="P269" s="2610"/>
      <c r="Q269" s="2610"/>
      <c r="R269" s="67"/>
    </row>
    <row r="270" spans="1:18" x14ac:dyDescent="0.25">
      <c r="A270" s="98"/>
      <c r="B270" s="98"/>
      <c r="C270" s="98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67"/>
    </row>
    <row r="271" spans="1:18" x14ac:dyDescent="0.25">
      <c r="A271" s="98"/>
      <c r="B271" s="98"/>
      <c r="C271" s="98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67"/>
    </row>
    <row r="272" spans="1:18" x14ac:dyDescent="0.25">
      <c r="A272" s="98"/>
      <c r="B272" s="98"/>
      <c r="C272" s="98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67"/>
    </row>
    <row r="273" spans="1:18" x14ac:dyDescent="0.25">
      <c r="A273" s="98"/>
      <c r="B273" s="98"/>
      <c r="C273" s="98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67"/>
    </row>
    <row r="274" spans="1:18" x14ac:dyDescent="0.25">
      <c r="A274" s="98"/>
      <c r="B274" s="98"/>
      <c r="C274" s="98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67"/>
    </row>
    <row r="275" spans="1:18" x14ac:dyDescent="0.25">
      <c r="A275" s="98"/>
      <c r="B275" s="98"/>
      <c r="C275" s="98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67"/>
    </row>
    <row r="276" spans="1:18" x14ac:dyDescent="0.25">
      <c r="A276" s="98"/>
      <c r="B276" s="98"/>
      <c r="C276" s="98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67"/>
    </row>
    <row r="277" spans="1:18" x14ac:dyDescent="0.25">
      <c r="A277" s="98"/>
      <c r="B277" s="98"/>
      <c r="C277" s="98"/>
      <c r="D277" s="98"/>
      <c r="E277" s="98"/>
      <c r="F277" s="98"/>
      <c r="G277" s="2609"/>
      <c r="H277" s="2609"/>
      <c r="I277" s="2609"/>
      <c r="J277" s="2609"/>
      <c r="K277" s="2609"/>
      <c r="L277" s="2609"/>
      <c r="M277" s="2609"/>
      <c r="N277" s="2609"/>
      <c r="O277" s="2609"/>
      <c r="P277" s="2609"/>
      <c r="Q277" s="2609"/>
      <c r="R277" s="67"/>
    </row>
    <row r="278" spans="1:18" x14ac:dyDescent="0.25">
      <c r="A278" s="98"/>
      <c r="B278" s="98"/>
      <c r="C278" s="98"/>
      <c r="D278" s="98"/>
      <c r="E278" s="98"/>
      <c r="F278" s="98"/>
      <c r="G278" s="2610"/>
      <c r="H278" s="2610"/>
      <c r="I278" s="2610"/>
      <c r="J278" s="2610"/>
      <c r="K278" s="2610"/>
      <c r="L278" s="2610"/>
      <c r="M278" s="2610"/>
      <c r="N278" s="2610"/>
      <c r="O278" s="2610"/>
      <c r="P278" s="2610"/>
      <c r="Q278" s="2610"/>
      <c r="R278" s="67"/>
    </row>
    <row r="279" spans="1:18" x14ac:dyDescent="0.25">
      <c r="A279" s="98"/>
      <c r="B279" s="98"/>
      <c r="C279" s="98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67"/>
    </row>
    <row r="280" spans="1:18" x14ac:dyDescent="0.25">
      <c r="A280" s="98"/>
      <c r="B280" s="98"/>
      <c r="C280" s="98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67"/>
    </row>
    <row r="281" spans="1:18" x14ac:dyDescent="0.25">
      <c r="A281" s="98"/>
      <c r="B281" s="98"/>
      <c r="C281" s="98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67"/>
    </row>
    <row r="282" spans="1:18" x14ac:dyDescent="0.25">
      <c r="A282" s="98"/>
      <c r="B282" s="98"/>
      <c r="C282" s="98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67"/>
    </row>
    <row r="283" spans="1:18" x14ac:dyDescent="0.25">
      <c r="A283" s="98"/>
      <c r="B283" s="98"/>
      <c r="C283" s="98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67"/>
    </row>
    <row r="284" spans="1:18" x14ac:dyDescent="0.25">
      <c r="A284" s="98"/>
      <c r="B284" s="98"/>
      <c r="C284" s="98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67"/>
    </row>
    <row r="285" spans="1:18" x14ac:dyDescent="0.25">
      <c r="A285" s="98"/>
      <c r="B285" s="98"/>
      <c r="C285" s="98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67"/>
    </row>
    <row r="286" spans="1:18" x14ac:dyDescent="0.25">
      <c r="A286" s="98"/>
      <c r="B286" s="98"/>
      <c r="C286" s="98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67"/>
    </row>
    <row r="287" spans="1:18" x14ac:dyDescent="0.25">
      <c r="A287" s="98"/>
      <c r="B287" s="98"/>
      <c r="C287" s="98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67"/>
    </row>
    <row r="288" spans="1:18" x14ac:dyDescent="0.25">
      <c r="A288" s="98"/>
      <c r="B288" s="98"/>
      <c r="C288" s="98"/>
      <c r="D288" s="98"/>
      <c r="E288" s="98"/>
      <c r="F288" s="98"/>
      <c r="G288" s="2610"/>
      <c r="H288" s="2610"/>
      <c r="I288" s="2610"/>
      <c r="J288" s="2610"/>
      <c r="K288" s="2610"/>
      <c r="L288" s="2610"/>
      <c r="M288" s="2610"/>
      <c r="N288" s="2610"/>
      <c r="O288" s="2610"/>
      <c r="P288" s="2610"/>
      <c r="Q288" s="2610"/>
      <c r="R288" s="67"/>
    </row>
    <row r="289" spans="1:18" x14ac:dyDescent="0.25">
      <c r="A289" s="98"/>
      <c r="B289" s="98"/>
      <c r="C289" s="98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67"/>
    </row>
    <row r="290" spans="1:18" x14ac:dyDescent="0.25">
      <c r="A290" s="98"/>
      <c r="B290" s="98"/>
      <c r="C290" s="98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67"/>
    </row>
    <row r="291" spans="1:18" x14ac:dyDescent="0.25">
      <c r="A291" s="98"/>
      <c r="B291" s="98"/>
      <c r="C291" s="98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67"/>
    </row>
    <row r="292" spans="1:18" x14ac:dyDescent="0.25">
      <c r="A292" s="98"/>
      <c r="B292" s="98"/>
      <c r="C292" s="98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67"/>
    </row>
    <row r="293" spans="1:18" x14ac:dyDescent="0.25">
      <c r="A293" s="98"/>
      <c r="B293" s="98"/>
      <c r="C293" s="98"/>
      <c r="D293" s="98"/>
      <c r="E293" s="98"/>
      <c r="F293" s="98"/>
      <c r="G293" s="2609"/>
      <c r="H293" s="2609"/>
      <c r="I293" s="2609"/>
      <c r="J293" s="2609"/>
      <c r="K293" s="2609"/>
      <c r="L293" s="2609"/>
      <c r="M293" s="2609"/>
      <c r="N293" s="2609"/>
      <c r="O293" s="2609"/>
      <c r="P293" s="2609"/>
      <c r="Q293" s="2609"/>
      <c r="R293" s="67"/>
    </row>
    <row r="294" spans="1:18" x14ac:dyDescent="0.25">
      <c r="A294" s="98"/>
      <c r="B294" s="98"/>
      <c r="C294" s="98"/>
      <c r="D294" s="98"/>
      <c r="E294" s="98"/>
      <c r="F294" s="98"/>
      <c r="G294" s="2610"/>
      <c r="H294" s="2610"/>
      <c r="I294" s="2610"/>
      <c r="J294" s="2610"/>
      <c r="K294" s="2610"/>
      <c r="L294" s="2610"/>
      <c r="M294" s="2610"/>
      <c r="N294" s="2610"/>
      <c r="O294" s="2610"/>
      <c r="P294" s="2610"/>
      <c r="Q294" s="2610"/>
      <c r="R294" s="67"/>
    </row>
    <row r="295" spans="1:18" x14ac:dyDescent="0.25">
      <c r="A295" s="98"/>
      <c r="B295" s="98"/>
      <c r="C295" s="98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67"/>
    </row>
    <row r="296" spans="1:18" x14ac:dyDescent="0.25">
      <c r="A296" s="98"/>
      <c r="B296" s="98"/>
      <c r="C296" s="98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67"/>
    </row>
    <row r="297" spans="1:18" x14ac:dyDescent="0.25">
      <c r="A297" s="98"/>
      <c r="B297" s="98"/>
      <c r="C297" s="98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67"/>
    </row>
    <row r="298" spans="1:18" x14ac:dyDescent="0.25">
      <c r="A298" s="98"/>
      <c r="B298" s="98"/>
      <c r="C298" s="98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67"/>
    </row>
    <row r="299" spans="1:18" x14ac:dyDescent="0.25">
      <c r="A299" s="98"/>
      <c r="B299" s="98"/>
      <c r="C299" s="98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67"/>
    </row>
    <row r="300" spans="1:18" x14ac:dyDescent="0.25">
      <c r="A300" s="98"/>
      <c r="B300" s="98"/>
      <c r="C300" s="98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67"/>
    </row>
    <row r="301" spans="1:18" x14ac:dyDescent="0.25">
      <c r="A301" s="98"/>
      <c r="B301" s="98"/>
      <c r="C301" s="98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67"/>
    </row>
    <row r="302" spans="1:18" x14ac:dyDescent="0.25">
      <c r="A302" s="98"/>
      <c r="B302" s="98"/>
      <c r="C302" s="98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67"/>
    </row>
    <row r="303" spans="1:18" x14ac:dyDescent="0.25">
      <c r="A303" s="98"/>
      <c r="B303" s="98"/>
      <c r="C303" s="98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67"/>
    </row>
    <row r="304" spans="1:18" x14ac:dyDescent="0.25">
      <c r="A304" s="98"/>
      <c r="B304" s="98"/>
      <c r="C304" s="98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67"/>
    </row>
    <row r="305" spans="1:18" x14ac:dyDescent="0.25">
      <c r="A305" s="98"/>
      <c r="B305" s="98"/>
      <c r="C305" s="98"/>
      <c r="D305" s="98"/>
      <c r="E305" s="98"/>
      <c r="F305" s="98"/>
      <c r="G305" s="2610"/>
      <c r="H305" s="2610"/>
      <c r="I305" s="2610"/>
      <c r="J305" s="2610"/>
      <c r="K305" s="2610"/>
      <c r="L305" s="2610"/>
      <c r="M305" s="2610"/>
      <c r="N305" s="2610"/>
      <c r="O305" s="2610"/>
      <c r="P305" s="2610"/>
      <c r="Q305" s="2610"/>
      <c r="R305" s="67"/>
    </row>
    <row r="306" spans="1:18" x14ac:dyDescent="0.25">
      <c r="A306" s="98"/>
      <c r="B306" s="98"/>
      <c r="C306" s="98"/>
      <c r="D306" s="98"/>
      <c r="E306" s="98"/>
      <c r="F306" s="98"/>
      <c r="G306" s="2609"/>
      <c r="H306" s="2609"/>
      <c r="I306" s="2609"/>
      <c r="J306" s="2609"/>
      <c r="K306" s="2609"/>
      <c r="L306" s="2609"/>
      <c r="M306" s="2609"/>
      <c r="N306" s="2609"/>
      <c r="O306" s="2609"/>
      <c r="P306" s="2609"/>
      <c r="Q306" s="2609"/>
      <c r="R306" s="67"/>
    </row>
    <row r="307" spans="1:18" x14ac:dyDescent="0.25">
      <c r="A307" s="98"/>
      <c r="B307" s="98"/>
      <c r="C307" s="98"/>
      <c r="D307" s="98"/>
      <c r="E307" s="98"/>
      <c r="F307" s="98"/>
      <c r="G307" s="2610"/>
      <c r="H307" s="2610"/>
      <c r="I307" s="2610"/>
      <c r="J307" s="2610"/>
      <c r="K307" s="2610"/>
      <c r="L307" s="2610"/>
      <c r="M307" s="2610"/>
      <c r="N307" s="2610"/>
      <c r="O307" s="2610"/>
      <c r="P307" s="2610"/>
      <c r="Q307" s="2610"/>
      <c r="R307" s="67"/>
    </row>
    <row r="308" spans="1:18" x14ac:dyDescent="0.25">
      <c r="A308" s="98"/>
      <c r="B308" s="98"/>
      <c r="C308" s="98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67"/>
    </row>
    <row r="309" spans="1:18" x14ac:dyDescent="0.25">
      <c r="A309" s="98"/>
      <c r="B309" s="98"/>
      <c r="C309" s="98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67"/>
    </row>
    <row r="310" spans="1:18" x14ac:dyDescent="0.25">
      <c r="A310" s="98"/>
      <c r="B310" s="98"/>
      <c r="C310" s="98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67"/>
    </row>
    <row r="311" spans="1:18" x14ac:dyDescent="0.25">
      <c r="A311" s="98"/>
      <c r="B311" s="98"/>
      <c r="C311" s="98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67"/>
    </row>
    <row r="312" spans="1:18" x14ac:dyDescent="0.25">
      <c r="A312" s="98"/>
      <c r="B312" s="98"/>
      <c r="C312" s="98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67"/>
    </row>
    <row r="313" spans="1:18" x14ac:dyDescent="0.25">
      <c r="A313" s="98"/>
      <c r="B313" s="98"/>
      <c r="C313" s="98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67"/>
    </row>
    <row r="314" spans="1:18" x14ac:dyDescent="0.25">
      <c r="A314" s="98"/>
      <c r="B314" s="98"/>
      <c r="C314" s="98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67"/>
    </row>
    <row r="315" spans="1:18" x14ac:dyDescent="0.25">
      <c r="A315" s="98"/>
      <c r="B315" s="98"/>
      <c r="C315" s="98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67"/>
    </row>
    <row r="316" spans="1:18" x14ac:dyDescent="0.25">
      <c r="A316" s="98"/>
      <c r="B316" s="98"/>
      <c r="C316" s="98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67"/>
    </row>
    <row r="317" spans="1:18" x14ac:dyDescent="0.25">
      <c r="A317" s="98"/>
      <c r="B317" s="98"/>
      <c r="C317" s="98"/>
      <c r="D317" s="98"/>
      <c r="E317" s="98"/>
      <c r="F317" s="98"/>
      <c r="G317" s="2610"/>
      <c r="H317" s="2610"/>
      <c r="I317" s="2610"/>
      <c r="J317" s="2610"/>
      <c r="K317" s="2610"/>
      <c r="L317" s="2610"/>
      <c r="M317" s="2610"/>
      <c r="N317" s="2610"/>
      <c r="O317" s="2610"/>
      <c r="P317" s="2610"/>
      <c r="Q317" s="2610"/>
      <c r="R317" s="67"/>
    </row>
    <row r="318" spans="1:18" x14ac:dyDescent="0.25">
      <c r="A318" s="98"/>
      <c r="B318" s="98"/>
      <c r="C318" s="98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67"/>
    </row>
    <row r="319" spans="1:18" x14ac:dyDescent="0.25">
      <c r="A319" s="98"/>
      <c r="B319" s="98"/>
      <c r="C319" s="98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67"/>
    </row>
    <row r="320" spans="1:18" x14ac:dyDescent="0.25">
      <c r="A320" s="98"/>
      <c r="B320" s="98"/>
      <c r="C320" s="98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67"/>
    </row>
    <row r="321" spans="1:18" x14ac:dyDescent="0.25">
      <c r="A321" s="98"/>
      <c r="B321" s="98"/>
      <c r="C321" s="98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67"/>
    </row>
    <row r="322" spans="1:18" x14ac:dyDescent="0.25">
      <c r="A322" s="98"/>
      <c r="B322" s="98"/>
      <c r="C322" s="98"/>
      <c r="D322" s="98"/>
      <c r="E322" s="98"/>
      <c r="F322" s="98"/>
      <c r="G322" s="2609"/>
      <c r="H322" s="2609"/>
      <c r="I322" s="2609"/>
      <c r="J322" s="2609"/>
      <c r="K322" s="2609"/>
      <c r="L322" s="2609"/>
      <c r="M322" s="2609"/>
      <c r="N322" s="2609"/>
      <c r="O322" s="2609"/>
      <c r="P322" s="2609"/>
      <c r="Q322" s="2609"/>
      <c r="R322" s="67"/>
    </row>
    <row r="323" spans="1:18" x14ac:dyDescent="0.25">
      <c r="A323" s="98"/>
      <c r="B323" s="98"/>
      <c r="C323" s="98"/>
      <c r="D323" s="98"/>
      <c r="E323" s="98"/>
      <c r="F323" s="98"/>
      <c r="G323" s="2610"/>
      <c r="H323" s="2610"/>
      <c r="I323" s="2610"/>
      <c r="J323" s="2610"/>
      <c r="K323" s="2610"/>
      <c r="L323" s="2610"/>
      <c r="M323" s="2610"/>
      <c r="N323" s="2610"/>
      <c r="O323" s="2610"/>
      <c r="P323" s="2610"/>
      <c r="Q323" s="2610"/>
      <c r="R323" s="67"/>
    </row>
    <row r="324" spans="1:18" x14ac:dyDescent="0.25">
      <c r="A324" s="98"/>
      <c r="B324" s="98"/>
      <c r="C324" s="98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67"/>
    </row>
    <row r="325" spans="1:18" x14ac:dyDescent="0.25">
      <c r="A325" s="98"/>
      <c r="B325" s="98"/>
      <c r="C325" s="98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67"/>
    </row>
    <row r="326" spans="1:18" x14ac:dyDescent="0.25">
      <c r="A326" s="98"/>
      <c r="B326" s="98"/>
      <c r="C326" s="98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67"/>
    </row>
    <row r="327" spans="1:18" x14ac:dyDescent="0.25">
      <c r="A327" s="98"/>
      <c r="B327" s="98"/>
      <c r="C327" s="98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67"/>
    </row>
    <row r="328" spans="1:18" x14ac:dyDescent="0.25">
      <c r="A328" s="98"/>
      <c r="B328" s="98"/>
      <c r="C328" s="98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67"/>
    </row>
    <row r="329" spans="1:18" x14ac:dyDescent="0.25">
      <c r="A329" s="98"/>
      <c r="B329" s="98"/>
      <c r="C329" s="98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67"/>
    </row>
    <row r="330" spans="1:18" x14ac:dyDescent="0.25">
      <c r="A330" s="98"/>
      <c r="B330" s="98"/>
      <c r="C330" s="98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67"/>
    </row>
    <row r="331" spans="1:18" x14ac:dyDescent="0.25">
      <c r="A331" s="98"/>
      <c r="B331" s="98"/>
      <c r="C331" s="98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67"/>
    </row>
    <row r="332" spans="1:18" x14ac:dyDescent="0.25">
      <c r="A332" s="98"/>
      <c r="B332" s="98"/>
      <c r="C332" s="98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67"/>
    </row>
    <row r="333" spans="1:18" x14ac:dyDescent="0.25">
      <c r="A333" s="98"/>
      <c r="B333" s="98"/>
      <c r="C333" s="98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67"/>
    </row>
    <row r="334" spans="1:18" x14ac:dyDescent="0.25">
      <c r="A334" s="98"/>
      <c r="B334" s="98"/>
      <c r="C334" s="98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67"/>
    </row>
    <row r="335" spans="1:18" x14ac:dyDescent="0.25">
      <c r="A335" s="98"/>
      <c r="B335" s="98"/>
      <c r="C335" s="98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67"/>
    </row>
    <row r="336" spans="1:18" x14ac:dyDescent="0.25">
      <c r="A336" s="98"/>
      <c r="B336" s="98"/>
      <c r="C336" s="98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67"/>
    </row>
    <row r="337" spans="1:18" x14ac:dyDescent="0.25">
      <c r="A337" s="98"/>
      <c r="B337" s="98"/>
      <c r="C337" s="98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67"/>
    </row>
    <row r="338" spans="1:18" x14ac:dyDescent="0.25">
      <c r="A338" s="98"/>
      <c r="B338" s="98"/>
      <c r="C338" s="98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67"/>
    </row>
    <row r="339" spans="1:18" x14ac:dyDescent="0.25">
      <c r="A339" s="98"/>
      <c r="B339" s="98"/>
      <c r="C339" s="98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67"/>
    </row>
    <row r="340" spans="1:18" x14ac:dyDescent="0.25">
      <c r="A340" s="98"/>
      <c r="B340" s="98"/>
      <c r="C340" s="98"/>
      <c r="D340" s="98"/>
      <c r="E340" s="98"/>
      <c r="F340" s="98"/>
      <c r="G340" s="2610"/>
      <c r="H340" s="2610"/>
      <c r="I340" s="2610"/>
      <c r="J340" s="2610"/>
      <c r="K340" s="2610"/>
      <c r="L340" s="2610"/>
      <c r="M340" s="2610"/>
      <c r="N340" s="2610"/>
      <c r="O340" s="2610"/>
      <c r="P340" s="2610"/>
      <c r="Q340" s="2610"/>
      <c r="R340" s="67"/>
    </row>
    <row r="341" spans="1:18" x14ac:dyDescent="0.25">
      <c r="A341" s="98"/>
      <c r="B341" s="98"/>
      <c r="C341" s="98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67"/>
    </row>
    <row r="342" spans="1:18" x14ac:dyDescent="0.25">
      <c r="A342" s="98"/>
      <c r="B342" s="98"/>
      <c r="C342" s="98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67"/>
    </row>
    <row r="343" spans="1:18" x14ac:dyDescent="0.25">
      <c r="A343" s="98"/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67"/>
    </row>
    <row r="344" spans="1:18" x14ac:dyDescent="0.25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67"/>
    </row>
    <row r="345" spans="1:18" x14ac:dyDescent="0.25">
      <c r="A345" s="98"/>
      <c r="B345" s="98"/>
      <c r="C345" s="98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67"/>
    </row>
    <row r="346" spans="1:18" x14ac:dyDescent="0.25"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67"/>
    </row>
    <row r="347" spans="1:18" x14ac:dyDescent="0.25"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67"/>
    </row>
    <row r="348" spans="1:18" x14ac:dyDescent="0.25"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67"/>
    </row>
    <row r="349" spans="1:18" x14ac:dyDescent="0.25"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67"/>
    </row>
    <row r="350" spans="1:18" x14ac:dyDescent="0.25"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67"/>
    </row>
    <row r="351" spans="1:18" x14ac:dyDescent="0.25"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67"/>
    </row>
    <row r="352" spans="1:18" x14ac:dyDescent="0.25"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67"/>
    </row>
    <row r="353" spans="7:17" x14ac:dyDescent="0.25">
      <c r="G353" s="98"/>
      <c r="H353" s="98"/>
      <c r="I353" s="98"/>
      <c r="J353" s="98"/>
      <c r="K353" s="98"/>
      <c r="L353" s="87"/>
      <c r="M353" s="98"/>
      <c r="N353" s="98"/>
      <c r="O353" s="98"/>
      <c r="P353" s="98"/>
      <c r="Q353" s="98"/>
    </row>
    <row r="354" spans="7:17" x14ac:dyDescent="0.25">
      <c r="G354" s="98"/>
      <c r="H354" s="98"/>
      <c r="I354" s="98"/>
      <c r="J354" s="98"/>
      <c r="K354" s="98"/>
      <c r="L354" s="87"/>
      <c r="M354" s="98"/>
      <c r="N354" s="98"/>
      <c r="O354" s="98"/>
      <c r="P354" s="98"/>
      <c r="Q354" s="98"/>
    </row>
    <row r="355" spans="7:17" x14ac:dyDescent="0.25">
      <c r="G355" s="98"/>
      <c r="H355" s="98"/>
      <c r="I355" s="98"/>
      <c r="J355" s="98"/>
      <c r="K355" s="98"/>
      <c r="L355" s="87"/>
      <c r="M355" s="98"/>
      <c r="N355" s="98"/>
      <c r="O355" s="98"/>
      <c r="P355" s="98"/>
      <c r="Q355" s="98"/>
    </row>
    <row r="356" spans="7:17" x14ac:dyDescent="0.25">
      <c r="G356" s="98"/>
      <c r="H356" s="98"/>
      <c r="I356" s="98"/>
      <c r="J356" s="98"/>
      <c r="K356" s="98"/>
      <c r="L356" s="87"/>
      <c r="M356" s="98"/>
      <c r="N356" s="98"/>
      <c r="O356" s="98"/>
      <c r="P356" s="98"/>
      <c r="Q356" s="98"/>
    </row>
    <row r="357" spans="7:17" x14ac:dyDescent="0.25">
      <c r="G357" s="98"/>
      <c r="H357" s="98"/>
      <c r="I357" s="98"/>
      <c r="J357" s="98"/>
      <c r="K357" s="98"/>
      <c r="L357" s="87"/>
      <c r="M357" s="98"/>
      <c r="N357" s="98"/>
      <c r="O357" s="98"/>
      <c r="P357" s="98"/>
      <c r="Q357" s="98"/>
    </row>
    <row r="358" spans="7:17" x14ac:dyDescent="0.25">
      <c r="G358" s="98"/>
      <c r="H358" s="98"/>
      <c r="I358" s="98"/>
      <c r="J358" s="98"/>
      <c r="K358" s="98"/>
      <c r="L358" s="87"/>
      <c r="M358" s="98"/>
      <c r="N358" s="98"/>
      <c r="O358" s="98"/>
      <c r="P358" s="98"/>
      <c r="Q358" s="98"/>
    </row>
    <row r="359" spans="7:17" x14ac:dyDescent="0.25">
      <c r="G359" s="98"/>
      <c r="H359" s="98"/>
      <c r="I359" s="98"/>
      <c r="J359" s="98"/>
      <c r="K359" s="98"/>
      <c r="L359" s="87"/>
      <c r="M359" s="98"/>
      <c r="N359" s="98"/>
      <c r="O359" s="98"/>
      <c r="P359" s="98"/>
      <c r="Q359" s="98"/>
    </row>
    <row r="360" spans="7:17" x14ac:dyDescent="0.25">
      <c r="G360" s="98"/>
      <c r="H360" s="98"/>
      <c r="I360" s="98"/>
      <c r="J360" s="98"/>
      <c r="K360" s="98"/>
      <c r="L360" s="87"/>
      <c r="M360" s="98"/>
      <c r="N360" s="98"/>
      <c r="O360" s="98"/>
      <c r="P360" s="98"/>
      <c r="Q360" s="98"/>
    </row>
    <row r="361" spans="7:17" x14ac:dyDescent="0.25">
      <c r="G361" s="98"/>
      <c r="H361" s="98"/>
      <c r="I361" s="98"/>
      <c r="J361" s="98"/>
      <c r="K361" s="98"/>
      <c r="L361" s="87"/>
      <c r="M361" s="98"/>
      <c r="N361" s="98"/>
      <c r="O361" s="98"/>
      <c r="P361" s="98"/>
      <c r="Q361" s="98"/>
    </row>
    <row r="362" spans="7:17" x14ac:dyDescent="0.25">
      <c r="G362" s="98"/>
      <c r="H362" s="98"/>
      <c r="I362" s="98"/>
      <c r="J362" s="98"/>
      <c r="K362" s="98"/>
      <c r="L362" s="87"/>
      <c r="M362" s="98"/>
      <c r="N362" s="98"/>
      <c r="O362" s="98"/>
      <c r="P362" s="98"/>
      <c r="Q362" s="98"/>
    </row>
    <row r="363" spans="7:17" x14ac:dyDescent="0.25">
      <c r="G363" s="98"/>
      <c r="H363" s="98"/>
      <c r="I363" s="98"/>
      <c r="J363" s="98"/>
      <c r="K363" s="98"/>
      <c r="L363" s="87"/>
      <c r="M363" s="98"/>
      <c r="N363" s="98"/>
      <c r="O363" s="98"/>
      <c r="P363" s="98"/>
      <c r="Q363" s="98"/>
    </row>
    <row r="364" spans="7:17" x14ac:dyDescent="0.25">
      <c r="G364" s="98"/>
      <c r="H364" s="98"/>
      <c r="I364" s="98"/>
      <c r="J364" s="98"/>
      <c r="K364" s="98"/>
      <c r="L364" s="87"/>
      <c r="M364" s="98"/>
      <c r="N364" s="98"/>
      <c r="O364" s="98"/>
      <c r="P364" s="98"/>
      <c r="Q364" s="98"/>
    </row>
    <row r="365" spans="7:17" x14ac:dyDescent="0.25">
      <c r="G365" s="98"/>
      <c r="H365" s="98"/>
      <c r="I365" s="98"/>
      <c r="J365" s="98"/>
      <c r="K365" s="98"/>
      <c r="L365" s="87"/>
      <c r="M365" s="98"/>
      <c r="N365" s="98"/>
      <c r="O365" s="98"/>
      <c r="P365" s="98"/>
      <c r="Q365" s="98"/>
    </row>
    <row r="366" spans="7:17" x14ac:dyDescent="0.25">
      <c r="G366" s="98"/>
      <c r="H366" s="98"/>
      <c r="I366" s="98"/>
      <c r="J366" s="98"/>
      <c r="K366" s="98"/>
      <c r="L366" s="87"/>
      <c r="M366" s="98"/>
      <c r="N366" s="98"/>
      <c r="O366" s="98"/>
      <c r="P366" s="98"/>
      <c r="Q366" s="98"/>
    </row>
    <row r="367" spans="7:17" x14ac:dyDescent="0.25">
      <c r="G367" s="98"/>
      <c r="H367" s="98"/>
      <c r="I367" s="98"/>
      <c r="J367" s="98"/>
      <c r="K367" s="98"/>
      <c r="L367" s="87"/>
      <c r="M367" s="98"/>
      <c r="N367" s="98"/>
      <c r="O367" s="98"/>
      <c r="P367" s="98"/>
      <c r="Q367" s="98"/>
    </row>
    <row r="368" spans="7:17" x14ac:dyDescent="0.25">
      <c r="G368" s="98"/>
      <c r="H368" s="98"/>
      <c r="I368" s="98"/>
      <c r="J368" s="98"/>
      <c r="K368" s="98"/>
      <c r="L368" s="87"/>
      <c r="M368" s="98"/>
      <c r="N368" s="98"/>
      <c r="O368" s="98"/>
      <c r="P368" s="98"/>
      <c r="Q368" s="98"/>
    </row>
    <row r="369" spans="7:17" x14ac:dyDescent="0.25">
      <c r="G369" s="98"/>
      <c r="H369" s="98"/>
      <c r="I369" s="98"/>
      <c r="J369" s="98"/>
      <c r="K369" s="98"/>
      <c r="L369" s="87"/>
      <c r="M369" s="98"/>
      <c r="N369" s="98"/>
      <c r="O369" s="98"/>
      <c r="P369" s="98"/>
      <c r="Q369" s="98"/>
    </row>
    <row r="370" spans="7:17" x14ac:dyDescent="0.25">
      <c r="G370" s="98"/>
      <c r="H370" s="98"/>
      <c r="I370" s="98"/>
      <c r="J370" s="98"/>
      <c r="K370" s="98"/>
      <c r="L370" s="87"/>
      <c r="M370" s="98"/>
      <c r="N370" s="98"/>
      <c r="O370" s="98"/>
      <c r="P370" s="98"/>
      <c r="Q370" s="98"/>
    </row>
    <row r="371" spans="7:17" x14ac:dyDescent="0.25">
      <c r="G371" s="98"/>
      <c r="H371" s="98"/>
      <c r="I371" s="98"/>
      <c r="J371" s="98"/>
      <c r="K371" s="98"/>
      <c r="L371" s="87"/>
      <c r="M371" s="98"/>
      <c r="N371" s="98"/>
      <c r="O371" s="98"/>
      <c r="P371" s="98"/>
      <c r="Q371" s="98"/>
    </row>
  </sheetData>
  <mergeCells count="521">
    <mergeCell ref="M151:N151"/>
    <mergeCell ref="M123:N123"/>
    <mergeCell ref="G128:L128"/>
    <mergeCell ref="M134:N134"/>
    <mergeCell ref="G123:I123"/>
    <mergeCell ref="G127:I127"/>
    <mergeCell ref="G125:I125"/>
    <mergeCell ref="G130:L130"/>
    <mergeCell ref="G135:L135"/>
    <mergeCell ref="G141:I141"/>
    <mergeCell ref="M147:N147"/>
    <mergeCell ref="M132:N132"/>
    <mergeCell ref="G138:L138"/>
    <mergeCell ref="G307:Q307"/>
    <mergeCell ref="G305:Q305"/>
    <mergeCell ref="G288:Q288"/>
    <mergeCell ref="G293:Q293"/>
    <mergeCell ref="G306:Q306"/>
    <mergeCell ref="G294:Q294"/>
    <mergeCell ref="G278:Q278"/>
    <mergeCell ref="G340:Q340"/>
    <mergeCell ref="G323:Q323"/>
    <mergeCell ref="G317:Q317"/>
    <mergeCell ref="G322:Q322"/>
    <mergeCell ref="E163:E164"/>
    <mergeCell ref="F163:F164"/>
    <mergeCell ref="B165:B167"/>
    <mergeCell ref="C165:C167"/>
    <mergeCell ref="D165:D167"/>
    <mergeCell ref="E165:E167"/>
    <mergeCell ref="F165:F167"/>
    <mergeCell ref="G250:Q250"/>
    <mergeCell ref="G231:Q231"/>
    <mergeCell ref="G249:Q249"/>
    <mergeCell ref="A142:A147"/>
    <mergeCell ref="A148:A151"/>
    <mergeCell ref="A161:A162"/>
    <mergeCell ref="A152:A160"/>
    <mergeCell ref="A163:A164"/>
    <mergeCell ref="A165:A167"/>
    <mergeCell ref="B163:B164"/>
    <mergeCell ref="C163:C164"/>
    <mergeCell ref="D163:D164"/>
    <mergeCell ref="B148:B151"/>
    <mergeCell ref="C148:C151"/>
    <mergeCell ref="D148:D151"/>
    <mergeCell ref="B152:B160"/>
    <mergeCell ref="C152:C160"/>
    <mergeCell ref="D152:D160"/>
    <mergeCell ref="B161:B162"/>
    <mergeCell ref="C161:C162"/>
    <mergeCell ref="D161:D162"/>
    <mergeCell ref="A101:A115"/>
    <mergeCell ref="A126:A127"/>
    <mergeCell ref="A135:A141"/>
    <mergeCell ref="A116:A123"/>
    <mergeCell ref="A124:A125"/>
    <mergeCell ref="A128:A132"/>
    <mergeCell ref="A133:A134"/>
    <mergeCell ref="B116:B123"/>
    <mergeCell ref="C116:C123"/>
    <mergeCell ref="B101:B115"/>
    <mergeCell ref="C101:C115"/>
    <mergeCell ref="B133:B134"/>
    <mergeCell ref="C133:C134"/>
    <mergeCell ref="B124:B125"/>
    <mergeCell ref="C124:C125"/>
    <mergeCell ref="B126:B127"/>
    <mergeCell ref="C126:C127"/>
    <mergeCell ref="A56:A57"/>
    <mergeCell ref="C61:C67"/>
    <mergeCell ref="D61:D67"/>
    <mergeCell ref="A86:A87"/>
    <mergeCell ref="A88:A89"/>
    <mergeCell ref="A94:A100"/>
    <mergeCell ref="A90:A91"/>
    <mergeCell ref="A92:A93"/>
    <mergeCell ref="B72:B73"/>
    <mergeCell ref="C72:C73"/>
    <mergeCell ref="D72:D73"/>
    <mergeCell ref="B74:B76"/>
    <mergeCell ref="C74:C76"/>
    <mergeCell ref="D74:D76"/>
    <mergeCell ref="B77:B81"/>
    <mergeCell ref="C77:C81"/>
    <mergeCell ref="D77:D81"/>
    <mergeCell ref="B82:B83"/>
    <mergeCell ref="C82:C83"/>
    <mergeCell ref="D82:D83"/>
    <mergeCell ref="B84:B85"/>
    <mergeCell ref="C84:C85"/>
    <mergeCell ref="C56:C57"/>
    <mergeCell ref="D56:D57"/>
    <mergeCell ref="B46:B48"/>
    <mergeCell ref="C46:C48"/>
    <mergeCell ref="D46:D48"/>
    <mergeCell ref="E46:E48"/>
    <mergeCell ref="F46:F48"/>
    <mergeCell ref="B49:B51"/>
    <mergeCell ref="C49:C51"/>
    <mergeCell ref="D49:D51"/>
    <mergeCell ref="A84:A85"/>
    <mergeCell ref="F72:F73"/>
    <mergeCell ref="F74:F76"/>
    <mergeCell ref="F77:F81"/>
    <mergeCell ref="F82:F83"/>
    <mergeCell ref="A61:A67"/>
    <mergeCell ref="A58:A60"/>
    <mergeCell ref="A68:A69"/>
    <mergeCell ref="A82:A83"/>
    <mergeCell ref="A74:A76"/>
    <mergeCell ref="A77:A81"/>
    <mergeCell ref="B70:B71"/>
    <mergeCell ref="C70:C71"/>
    <mergeCell ref="D70:D71"/>
    <mergeCell ref="E70:E71"/>
    <mergeCell ref="F70:F71"/>
    <mergeCell ref="B42:B43"/>
    <mergeCell ref="C42:C43"/>
    <mergeCell ref="D42:D43"/>
    <mergeCell ref="E42:E43"/>
    <mergeCell ref="F42:F43"/>
    <mergeCell ref="B44:B45"/>
    <mergeCell ref="C44:C45"/>
    <mergeCell ref="D44:D45"/>
    <mergeCell ref="E44:E45"/>
    <mergeCell ref="F44:F45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M2:Q2"/>
    <mergeCell ref="M3:Q4"/>
    <mergeCell ref="G3:L4"/>
    <mergeCell ref="G2:L2"/>
    <mergeCell ref="M8:N8"/>
    <mergeCell ref="G8:I8"/>
    <mergeCell ref="M14:N14"/>
    <mergeCell ref="G19:I19"/>
    <mergeCell ref="M23:N23"/>
    <mergeCell ref="G23:I23"/>
    <mergeCell ref="G17:L17"/>
    <mergeCell ref="G18:I18"/>
    <mergeCell ref="M10:N10"/>
    <mergeCell ref="G12:I12"/>
    <mergeCell ref="M12:N12"/>
    <mergeCell ref="M19:N19"/>
    <mergeCell ref="G14:I14"/>
    <mergeCell ref="M31:N31"/>
    <mergeCell ref="M41:N41"/>
    <mergeCell ref="M51:N51"/>
    <mergeCell ref="M26:N26"/>
    <mergeCell ref="M28:N28"/>
    <mergeCell ref="G28:I28"/>
    <mergeCell ref="M16:N16"/>
    <mergeCell ref="G16:I16"/>
    <mergeCell ref="M21:N21"/>
    <mergeCell ref="G21:I21"/>
    <mergeCell ref="G33:I33"/>
    <mergeCell ref="G31:I31"/>
    <mergeCell ref="M33:N33"/>
    <mergeCell ref="M35:N35"/>
    <mergeCell ref="G24:L24"/>
    <mergeCell ref="G25:I25"/>
    <mergeCell ref="G26:I26"/>
    <mergeCell ref="G29:L29"/>
    <mergeCell ref="G35:I35"/>
    <mergeCell ref="G39:I39"/>
    <mergeCell ref="G37:I37"/>
    <mergeCell ref="M37:N37"/>
    <mergeCell ref="M39:N39"/>
    <mergeCell ref="G103:L103"/>
    <mergeCell ref="G93:I93"/>
    <mergeCell ref="G58:L58"/>
    <mergeCell ref="M141:N141"/>
    <mergeCell ref="M100:N100"/>
    <mergeCell ref="G98:L98"/>
    <mergeCell ref="G110:L110"/>
    <mergeCell ref="G120:L120"/>
    <mergeCell ref="G87:I87"/>
    <mergeCell ref="G76:I76"/>
    <mergeCell ref="G74:L74"/>
    <mergeCell ref="G69:I69"/>
    <mergeCell ref="G61:L61"/>
    <mergeCell ref="G65:L65"/>
    <mergeCell ref="G73:I73"/>
    <mergeCell ref="M69:N69"/>
    <mergeCell ref="G71:I71"/>
    <mergeCell ref="M71:N71"/>
    <mergeCell ref="M76:N76"/>
    <mergeCell ref="G63:L63"/>
    <mergeCell ref="G67:I67"/>
    <mergeCell ref="G81:I81"/>
    <mergeCell ref="G122:I122"/>
    <mergeCell ref="G97:I97"/>
    <mergeCell ref="M93:N93"/>
    <mergeCell ref="M85:N85"/>
    <mergeCell ref="M87:N87"/>
    <mergeCell ref="M91:N91"/>
    <mergeCell ref="G48:I48"/>
    <mergeCell ref="G55:I55"/>
    <mergeCell ref="G41:I41"/>
    <mergeCell ref="G45:I45"/>
    <mergeCell ref="G46:L46"/>
    <mergeCell ref="G53:I53"/>
    <mergeCell ref="G51:I51"/>
    <mergeCell ref="G49:L49"/>
    <mergeCell ref="M48:N48"/>
    <mergeCell ref="G43:I43"/>
    <mergeCell ref="M53:N53"/>
    <mergeCell ref="M57:N57"/>
    <mergeCell ref="M55:N55"/>
    <mergeCell ref="G277:Q277"/>
    <mergeCell ref="G248:Q248"/>
    <mergeCell ref="G164:I164"/>
    <mergeCell ref="M164:N164"/>
    <mergeCell ref="G160:I160"/>
    <mergeCell ref="G230:Q230"/>
    <mergeCell ref="G223:Q223"/>
    <mergeCell ref="M167:N167"/>
    <mergeCell ref="M160:N160"/>
    <mergeCell ref="G269:Q269"/>
    <mergeCell ref="G165:L165"/>
    <mergeCell ref="G162:I162"/>
    <mergeCell ref="G261:Q261"/>
    <mergeCell ref="G260:Q260"/>
    <mergeCell ref="G262:Q262"/>
    <mergeCell ref="G1:W1"/>
    <mergeCell ref="R160:T160"/>
    <mergeCell ref="R162:T162"/>
    <mergeCell ref="R164:T164"/>
    <mergeCell ref="R100:T100"/>
    <mergeCell ref="R67:T67"/>
    <mergeCell ref="R69:T69"/>
    <mergeCell ref="R21:T21"/>
    <mergeCell ref="R23:T23"/>
    <mergeCell ref="R87:T87"/>
    <mergeCell ref="R89:T89"/>
    <mergeCell ref="R93:T93"/>
    <mergeCell ref="R91:T91"/>
    <mergeCell ref="R41:T41"/>
    <mergeCell ref="R43:T43"/>
    <mergeCell ref="R45:T45"/>
    <mergeCell ref="R73:T73"/>
    <mergeCell ref="R48:T48"/>
    <mergeCell ref="M162:N162"/>
    <mergeCell ref="G152:L152"/>
    <mergeCell ref="G116:L116"/>
    <mergeCell ref="G132:I132"/>
    <mergeCell ref="G156:L156"/>
    <mergeCell ref="R76:T76"/>
    <mergeCell ref="R71:T71"/>
    <mergeCell ref="G115:I115"/>
    <mergeCell ref="M115:N115"/>
    <mergeCell ref="M125:N125"/>
    <mergeCell ref="G167:I167"/>
    <mergeCell ref="G151:I151"/>
    <mergeCell ref="R167:T167"/>
    <mergeCell ref="G158:L158"/>
    <mergeCell ref="G109:I109"/>
    <mergeCell ref="G107:L107"/>
    <mergeCell ref="G147:I147"/>
    <mergeCell ref="G101:L101"/>
    <mergeCell ref="G91:I91"/>
    <mergeCell ref="G142:L142"/>
    <mergeCell ref="G144:L144"/>
    <mergeCell ref="G145:I145"/>
    <mergeCell ref="M89:N89"/>
    <mergeCell ref="G85:I85"/>
    <mergeCell ref="G134:I134"/>
    <mergeCell ref="M127:N127"/>
    <mergeCell ref="R151:T151"/>
    <mergeCell ref="G118:L118"/>
    <mergeCell ref="G96:L96"/>
    <mergeCell ref="G100:I100"/>
    <mergeCell ref="R115:T115"/>
    <mergeCell ref="R123:T123"/>
    <mergeCell ref="R83:T83"/>
    <mergeCell ref="R85:T85"/>
    <mergeCell ref="R141:T141"/>
    <mergeCell ref="R8:T8"/>
    <mergeCell ref="R10:T10"/>
    <mergeCell ref="R12:T12"/>
    <mergeCell ref="R14:T14"/>
    <mergeCell ref="R16:T16"/>
    <mergeCell ref="R19:T19"/>
    <mergeCell ref="R31:T31"/>
    <mergeCell ref="R37:T37"/>
    <mergeCell ref="R39:T39"/>
    <mergeCell ref="R33:T33"/>
    <mergeCell ref="R35:T35"/>
    <mergeCell ref="R51:T51"/>
    <mergeCell ref="R53:T53"/>
    <mergeCell ref="R55:T55"/>
    <mergeCell ref="R57:T57"/>
    <mergeCell ref="R26:T26"/>
    <mergeCell ref="R28:T28"/>
    <mergeCell ref="R81:T81"/>
    <mergeCell ref="R60:T60"/>
    <mergeCell ref="R147:T147"/>
    <mergeCell ref="A70:A71"/>
    <mergeCell ref="A72:A73"/>
    <mergeCell ref="R2:W2"/>
    <mergeCell ref="R3:W4"/>
    <mergeCell ref="R125:T125"/>
    <mergeCell ref="R127:T127"/>
    <mergeCell ref="R132:T132"/>
    <mergeCell ref="R134:T134"/>
    <mergeCell ref="G60:I60"/>
    <mergeCell ref="M43:N43"/>
    <mergeCell ref="G57:I57"/>
    <mergeCell ref="M60:N60"/>
    <mergeCell ref="M83:N83"/>
    <mergeCell ref="G77:L77"/>
    <mergeCell ref="M81:N81"/>
    <mergeCell ref="G79:L79"/>
    <mergeCell ref="G94:L94"/>
    <mergeCell ref="G83:I83"/>
    <mergeCell ref="M73:N73"/>
    <mergeCell ref="M67:N67"/>
    <mergeCell ref="M45:N45"/>
    <mergeCell ref="G89:I89"/>
    <mergeCell ref="G10:I10"/>
    <mergeCell ref="A22:A23"/>
    <mergeCell ref="A24:A26"/>
    <mergeCell ref="A32:A33"/>
    <mergeCell ref="A36:A37"/>
    <mergeCell ref="A38:A39"/>
    <mergeCell ref="A40:A41"/>
    <mergeCell ref="A42:A43"/>
    <mergeCell ref="A52:A53"/>
    <mergeCell ref="A54:A55"/>
    <mergeCell ref="A27:A28"/>
    <mergeCell ref="A29:A31"/>
    <mergeCell ref="A34:A35"/>
    <mergeCell ref="A44:A45"/>
    <mergeCell ref="A46:A48"/>
    <mergeCell ref="A49:A51"/>
    <mergeCell ref="B20:B21"/>
    <mergeCell ref="C20:C21"/>
    <mergeCell ref="D20:D21"/>
    <mergeCell ref="E20:E21"/>
    <mergeCell ref="F20:F21"/>
    <mergeCell ref="A7:A8"/>
    <mergeCell ref="A9:A10"/>
    <mergeCell ref="A11:A12"/>
    <mergeCell ref="A13:A14"/>
    <mergeCell ref="A15:A16"/>
    <mergeCell ref="A17:A19"/>
    <mergeCell ref="A20:A21"/>
    <mergeCell ref="F13:F14"/>
    <mergeCell ref="B15:B16"/>
    <mergeCell ref="C15:C16"/>
    <mergeCell ref="D15:D16"/>
    <mergeCell ref="E15:E16"/>
    <mergeCell ref="F15:F16"/>
    <mergeCell ref="B17:B19"/>
    <mergeCell ref="C17:C19"/>
    <mergeCell ref="D17:D19"/>
    <mergeCell ref="E17:E19"/>
    <mergeCell ref="F17:F19"/>
    <mergeCell ref="B36:B37"/>
    <mergeCell ref="C36:C37"/>
    <mergeCell ref="D36:D37"/>
    <mergeCell ref="E36:E37"/>
    <mergeCell ref="F36:F37"/>
    <mergeCell ref="B7:B8"/>
    <mergeCell ref="C7:C8"/>
    <mergeCell ref="D7:D8"/>
    <mergeCell ref="E7:E8"/>
    <mergeCell ref="F7:F8"/>
    <mergeCell ref="B9:B10"/>
    <mergeCell ref="C9:C10"/>
    <mergeCell ref="D9:D10"/>
    <mergeCell ref="E9:E10"/>
    <mergeCell ref="F9:F10"/>
    <mergeCell ref="B11:B12"/>
    <mergeCell ref="C11:C12"/>
    <mergeCell ref="D11:D12"/>
    <mergeCell ref="E11:E12"/>
    <mergeCell ref="F11:F12"/>
    <mergeCell ref="B13:B14"/>
    <mergeCell ref="C13:C14"/>
    <mergeCell ref="D13:D14"/>
    <mergeCell ref="E13:E14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F34:F35"/>
    <mergeCell ref="B22:B23"/>
    <mergeCell ref="C22:C23"/>
    <mergeCell ref="D22:D23"/>
    <mergeCell ref="E22:E23"/>
    <mergeCell ref="F22:F23"/>
    <mergeCell ref="B24:B26"/>
    <mergeCell ref="C24:C26"/>
    <mergeCell ref="D24:D26"/>
    <mergeCell ref="E24:E26"/>
    <mergeCell ref="F24:F26"/>
    <mergeCell ref="B27:B28"/>
    <mergeCell ref="C27:C28"/>
    <mergeCell ref="D27:D28"/>
    <mergeCell ref="E27:E28"/>
    <mergeCell ref="F27:F28"/>
    <mergeCell ref="B29:B31"/>
    <mergeCell ref="C29:C31"/>
    <mergeCell ref="D29:D31"/>
    <mergeCell ref="E29:E31"/>
    <mergeCell ref="F29:F31"/>
    <mergeCell ref="E161:E162"/>
    <mergeCell ref="F161:F162"/>
    <mergeCell ref="B142:B147"/>
    <mergeCell ref="C142:C147"/>
    <mergeCell ref="D142:D147"/>
    <mergeCell ref="E142:E147"/>
    <mergeCell ref="F142:F147"/>
    <mergeCell ref="F148:F150"/>
    <mergeCell ref="E148:E151"/>
    <mergeCell ref="E152:E160"/>
    <mergeCell ref="F152:F160"/>
    <mergeCell ref="B6:F6"/>
    <mergeCell ref="F90:F91"/>
    <mergeCell ref="B92:B93"/>
    <mergeCell ref="C92:C93"/>
    <mergeCell ref="D92:D93"/>
    <mergeCell ref="E92:E93"/>
    <mergeCell ref="F92:F93"/>
    <mergeCell ref="B94:B100"/>
    <mergeCell ref="C94:C100"/>
    <mergeCell ref="D94:D100"/>
    <mergeCell ref="E94:E100"/>
    <mergeCell ref="F94:F100"/>
    <mergeCell ref="E49:E51"/>
    <mergeCell ref="B52:B53"/>
    <mergeCell ref="C52:C53"/>
    <mergeCell ref="D52:D53"/>
    <mergeCell ref="E52:E53"/>
    <mergeCell ref="F52:F53"/>
    <mergeCell ref="B54:B55"/>
    <mergeCell ref="C54:C55"/>
    <mergeCell ref="D54:D55"/>
    <mergeCell ref="E54:E55"/>
    <mergeCell ref="F54:F55"/>
    <mergeCell ref="B56:B57"/>
    <mergeCell ref="D90:D91"/>
    <mergeCell ref="E90:E91"/>
    <mergeCell ref="D58:D60"/>
    <mergeCell ref="E58:E60"/>
    <mergeCell ref="F58:F60"/>
    <mergeCell ref="B61:B67"/>
    <mergeCell ref="E61:E67"/>
    <mergeCell ref="F61:F67"/>
    <mergeCell ref="B68:B69"/>
    <mergeCell ref="C68:C69"/>
    <mergeCell ref="D68:D69"/>
    <mergeCell ref="E68:E69"/>
    <mergeCell ref="F68:F69"/>
    <mergeCell ref="E72:E73"/>
    <mergeCell ref="E74:E76"/>
    <mergeCell ref="E77:E81"/>
    <mergeCell ref="E82:E83"/>
    <mergeCell ref="F49:F51"/>
    <mergeCell ref="D133:D134"/>
    <mergeCell ref="E133:E134"/>
    <mergeCell ref="F133:F134"/>
    <mergeCell ref="B135:B141"/>
    <mergeCell ref="C135:C141"/>
    <mergeCell ref="D135:D141"/>
    <mergeCell ref="E135:E141"/>
    <mergeCell ref="F135:F141"/>
    <mergeCell ref="D101:D115"/>
    <mergeCell ref="E101:E115"/>
    <mergeCell ref="F101:F115"/>
    <mergeCell ref="D116:D123"/>
    <mergeCell ref="E116:E123"/>
    <mergeCell ref="F116:F123"/>
    <mergeCell ref="D124:D125"/>
    <mergeCell ref="E124:E125"/>
    <mergeCell ref="F124:F125"/>
    <mergeCell ref="D126:D127"/>
    <mergeCell ref="E126:E127"/>
    <mergeCell ref="E56:E57"/>
    <mergeCell ref="F56:F57"/>
    <mergeCell ref="B58:B60"/>
    <mergeCell ref="C58:C60"/>
    <mergeCell ref="G113:L113"/>
    <mergeCell ref="A2:A5"/>
    <mergeCell ref="B2:F5"/>
    <mergeCell ref="F126:F127"/>
    <mergeCell ref="B128:B132"/>
    <mergeCell ref="C128:C132"/>
    <mergeCell ref="D128:D132"/>
    <mergeCell ref="E128:E132"/>
    <mergeCell ref="F128:F132"/>
    <mergeCell ref="D84:D85"/>
    <mergeCell ref="E84:E85"/>
    <mergeCell ref="F84:F85"/>
    <mergeCell ref="B86:B87"/>
    <mergeCell ref="C86:C87"/>
    <mergeCell ref="D86:D87"/>
    <mergeCell ref="E86:E87"/>
    <mergeCell ref="F86:F87"/>
    <mergeCell ref="B88:B89"/>
    <mergeCell ref="C88:C89"/>
    <mergeCell ref="D88:D89"/>
    <mergeCell ref="E88:E89"/>
    <mergeCell ref="F88:F89"/>
    <mergeCell ref="B90:B91"/>
    <mergeCell ref="C90:C91"/>
  </mergeCells>
  <phoneticPr fontId="4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B509"/>
  <sheetViews>
    <sheetView topLeftCell="A214" zoomScale="55" zoomScaleNormal="55" workbookViewId="0">
      <selection activeCell="G189" sqref="G189:L189"/>
    </sheetView>
  </sheetViews>
  <sheetFormatPr defaultRowHeight="15" x14ac:dyDescent="0.25"/>
  <cols>
    <col min="1" max="1" width="36.7109375" style="415" customWidth="1"/>
    <col min="2" max="2" width="5.7109375" style="416" customWidth="1"/>
    <col min="3" max="3" width="3.7109375" style="416" customWidth="1"/>
    <col min="4" max="4" width="5.7109375" style="416" customWidth="1"/>
    <col min="5" max="5" width="3.7109375" style="416" customWidth="1"/>
    <col min="6" max="6" width="5.7109375" style="416" customWidth="1"/>
    <col min="7" max="7" width="15.7109375" style="195" customWidth="1"/>
    <col min="8" max="8" width="27.7109375" style="195" customWidth="1"/>
    <col min="9" max="11" width="15.7109375" style="195" customWidth="1"/>
    <col min="12" max="12" width="15.7109375" style="196" customWidth="1"/>
    <col min="13" max="13" width="23.7109375" style="195" customWidth="1"/>
    <col min="14" max="14" width="26.85546875" style="195" customWidth="1"/>
    <col min="15" max="15" width="15.7109375" style="195" customWidth="1"/>
    <col min="16" max="16" width="12.28515625" style="195" customWidth="1"/>
    <col min="17" max="17" width="13.28515625" style="195" customWidth="1"/>
    <col min="18" max="18" width="15.5703125" style="82" customWidth="1"/>
    <col min="19" max="19" width="22.85546875" style="80" customWidth="1"/>
    <col min="20" max="20" width="22.7109375" style="80" customWidth="1"/>
    <col min="21" max="16384" width="9.140625" style="80"/>
  </cols>
  <sheetData>
    <row r="1" spans="1:28" ht="15.75" customHeight="1" x14ac:dyDescent="0.25">
      <c r="A1" s="2605" t="s">
        <v>2202</v>
      </c>
      <c r="B1" s="2605"/>
      <c r="C1" s="2605"/>
      <c r="D1" s="2605"/>
      <c r="E1" s="2605"/>
      <c r="F1" s="2605"/>
      <c r="G1" s="2605"/>
      <c r="H1" s="2605"/>
      <c r="I1" s="2605"/>
      <c r="J1" s="2605"/>
      <c r="K1" s="2605"/>
      <c r="L1" s="2605"/>
      <c r="M1" s="2605"/>
      <c r="N1" s="2605"/>
      <c r="O1" s="2605"/>
      <c r="P1" s="2605"/>
      <c r="Q1" s="2605"/>
      <c r="R1" s="2605"/>
      <c r="S1" s="2605"/>
      <c r="T1" s="2605"/>
      <c r="U1" s="2605"/>
      <c r="V1" s="2605"/>
      <c r="W1" s="2605"/>
    </row>
    <row r="2" spans="1:28" ht="15.75" customHeight="1" x14ac:dyDescent="0.25">
      <c r="A2" s="2548" t="s">
        <v>330</v>
      </c>
      <c r="B2" s="2549" t="s">
        <v>1762</v>
      </c>
      <c r="C2" s="2550"/>
      <c r="D2" s="2550"/>
      <c r="E2" s="2550"/>
      <c r="F2" s="2551"/>
      <c r="G2" s="2619" t="s">
        <v>1814</v>
      </c>
      <c r="H2" s="2580"/>
      <c r="I2" s="2580"/>
      <c r="J2" s="2580"/>
      <c r="K2" s="2580"/>
      <c r="L2" s="2580"/>
      <c r="M2" s="2580" t="s">
        <v>1815</v>
      </c>
      <c r="N2" s="2580"/>
      <c r="O2" s="2580"/>
      <c r="P2" s="2580"/>
      <c r="Q2" s="2580"/>
      <c r="R2" s="2580" t="s">
        <v>2500</v>
      </c>
      <c r="S2" s="2580"/>
      <c r="T2" s="2580"/>
      <c r="U2" s="2580"/>
      <c r="V2" s="2580"/>
      <c r="W2" s="2580"/>
    </row>
    <row r="3" spans="1:28" ht="15" customHeight="1" x14ac:dyDescent="0.25">
      <c r="A3" s="2548"/>
      <c r="B3" s="2552"/>
      <c r="C3" s="2553"/>
      <c r="D3" s="2553"/>
      <c r="E3" s="2553"/>
      <c r="F3" s="2554"/>
      <c r="G3" s="2618" t="s">
        <v>1818</v>
      </c>
      <c r="H3" s="2580"/>
      <c r="I3" s="2580"/>
      <c r="J3" s="2580"/>
      <c r="K3" s="2580"/>
      <c r="L3" s="2580"/>
      <c r="M3" s="2581" t="s">
        <v>1819</v>
      </c>
      <c r="N3" s="2580"/>
      <c r="O3" s="2580"/>
      <c r="P3" s="2580"/>
      <c r="Q3" s="2580"/>
      <c r="R3" s="2581" t="s">
        <v>2501</v>
      </c>
      <c r="S3" s="2580"/>
      <c r="T3" s="2580"/>
      <c r="U3" s="2580"/>
      <c r="V3" s="2580"/>
      <c r="W3" s="2580"/>
    </row>
    <row r="4" spans="1:28" ht="15" customHeight="1" x14ac:dyDescent="0.25">
      <c r="A4" s="2548"/>
      <c r="B4" s="2552"/>
      <c r="C4" s="2553"/>
      <c r="D4" s="2553"/>
      <c r="E4" s="2553"/>
      <c r="F4" s="2554"/>
      <c r="G4" s="2619"/>
      <c r="H4" s="2580"/>
      <c r="I4" s="2580"/>
      <c r="J4" s="2580"/>
      <c r="K4" s="2580"/>
      <c r="L4" s="2580"/>
      <c r="M4" s="2580"/>
      <c r="N4" s="2580"/>
      <c r="O4" s="2580"/>
      <c r="P4" s="2580"/>
      <c r="Q4" s="2580"/>
      <c r="R4" s="2580"/>
      <c r="S4" s="2580"/>
      <c r="T4" s="2580"/>
      <c r="U4" s="2580"/>
      <c r="V4" s="2580"/>
      <c r="W4" s="2580"/>
    </row>
    <row r="5" spans="1:28" ht="60" customHeight="1" x14ac:dyDescent="0.25">
      <c r="A5" s="2548"/>
      <c r="B5" s="2555"/>
      <c r="C5" s="2556"/>
      <c r="D5" s="2556"/>
      <c r="E5" s="2556"/>
      <c r="F5" s="2557"/>
      <c r="G5" s="268" t="s">
        <v>1822</v>
      </c>
      <c r="H5" s="11" t="s">
        <v>1828</v>
      </c>
      <c r="I5" s="1" t="s">
        <v>1824</v>
      </c>
      <c r="J5" s="1" t="s">
        <v>1825</v>
      </c>
      <c r="K5" s="1" t="s">
        <v>1826</v>
      </c>
      <c r="L5" s="22" t="s">
        <v>1827</v>
      </c>
      <c r="M5" s="11" t="s">
        <v>1822</v>
      </c>
      <c r="N5" s="11" t="s">
        <v>1828</v>
      </c>
      <c r="O5" s="1" t="s">
        <v>1825</v>
      </c>
      <c r="P5" s="1" t="s">
        <v>1826</v>
      </c>
      <c r="Q5" s="1" t="s">
        <v>1827</v>
      </c>
      <c r="R5" s="11" t="s">
        <v>1822</v>
      </c>
      <c r="S5" s="11" t="s">
        <v>1828</v>
      </c>
      <c r="T5" s="1" t="s">
        <v>1824</v>
      </c>
      <c r="U5" s="1" t="s">
        <v>1825</v>
      </c>
      <c r="V5" s="1" t="s">
        <v>1826</v>
      </c>
      <c r="W5" s="22" t="s">
        <v>1827</v>
      </c>
    </row>
    <row r="6" spans="1:28" ht="15.75" thickBot="1" x14ac:dyDescent="0.3">
      <c r="A6" s="386">
        <v>1</v>
      </c>
      <c r="B6" s="2660">
        <v>2</v>
      </c>
      <c r="C6" s="2661"/>
      <c r="D6" s="2661"/>
      <c r="E6" s="2661"/>
      <c r="F6" s="2662"/>
      <c r="G6" s="152">
        <v>3</v>
      </c>
      <c r="H6" s="1">
        <v>4</v>
      </c>
      <c r="I6" s="1">
        <v>5</v>
      </c>
      <c r="J6" s="1">
        <v>6</v>
      </c>
      <c r="K6" s="1">
        <v>7</v>
      </c>
      <c r="L6" s="22">
        <v>8</v>
      </c>
      <c r="M6" s="1">
        <v>9</v>
      </c>
      <c r="N6" s="1">
        <v>10</v>
      </c>
      <c r="O6" s="1">
        <v>11</v>
      </c>
      <c r="P6" s="1">
        <v>12</v>
      </c>
      <c r="Q6" s="1">
        <v>13</v>
      </c>
      <c r="R6" s="1">
        <v>14</v>
      </c>
      <c r="S6" s="1">
        <v>15</v>
      </c>
      <c r="T6" s="1">
        <v>16</v>
      </c>
      <c r="U6" s="1">
        <v>17</v>
      </c>
      <c r="V6" s="1">
        <v>18</v>
      </c>
      <c r="W6" s="22">
        <v>19</v>
      </c>
      <c r="X6" s="82"/>
      <c r="Y6" s="82"/>
      <c r="Z6" s="82"/>
      <c r="AA6" s="82"/>
      <c r="AB6" s="82"/>
    </row>
    <row r="7" spans="1:28" ht="29.25" customHeight="1" x14ac:dyDescent="0.25">
      <c r="A7" s="408" t="str">
        <f>Итоговая!C79</f>
        <v xml:space="preserve">ПС 35/6 кВ Бельский Карьер </v>
      </c>
      <c r="B7" s="399">
        <f>Итоговая!D79</f>
        <v>4</v>
      </c>
      <c r="C7" s="400"/>
      <c r="D7" s="400"/>
      <c r="E7" s="400"/>
      <c r="F7" s="401"/>
      <c r="G7" s="43"/>
      <c r="H7" s="17"/>
      <c r="I7" s="17"/>
      <c r="J7" s="17"/>
      <c r="K7" s="17"/>
      <c r="L7" s="73"/>
      <c r="M7" s="17" t="s">
        <v>1879</v>
      </c>
      <c r="N7" s="17" t="s">
        <v>1880</v>
      </c>
      <c r="O7" s="17">
        <v>2.5000000000000001E-2</v>
      </c>
      <c r="P7" s="17"/>
      <c r="Q7" s="17"/>
      <c r="R7" s="17"/>
      <c r="S7" s="17"/>
      <c r="T7" s="17"/>
      <c r="U7" s="17"/>
      <c r="V7" s="17"/>
      <c r="W7" s="73"/>
      <c r="X7" s="82"/>
      <c r="Y7" s="82"/>
      <c r="Z7" s="82"/>
      <c r="AA7" s="82"/>
      <c r="AB7" s="82"/>
    </row>
    <row r="8" spans="1:28" ht="15.75" customHeight="1" thickBot="1" x14ac:dyDescent="0.3">
      <c r="A8" s="394"/>
      <c r="B8" s="395"/>
      <c r="C8" s="396"/>
      <c r="D8" s="396"/>
      <c r="E8" s="396"/>
      <c r="F8" s="397"/>
      <c r="G8" s="2578" t="s">
        <v>1833</v>
      </c>
      <c r="H8" s="2578"/>
      <c r="I8" s="2579"/>
      <c r="J8" s="13">
        <f>SUM(J7:J7)</f>
        <v>0</v>
      </c>
      <c r="K8" s="14">
        <v>0.92</v>
      </c>
      <c r="L8" s="13">
        <f>J8/K8</f>
        <v>0</v>
      </c>
      <c r="M8" s="2577" t="s">
        <v>1834</v>
      </c>
      <c r="N8" s="2579"/>
      <c r="O8" s="13">
        <f>SUM(O7:O7)</f>
        <v>2.5000000000000001E-2</v>
      </c>
      <c r="P8" s="14">
        <v>0.92</v>
      </c>
      <c r="Q8" s="13">
        <f>O8/P8</f>
        <v>2.717391304347826E-2</v>
      </c>
      <c r="R8" s="2577" t="s">
        <v>1833</v>
      </c>
      <c r="S8" s="2578"/>
      <c r="T8" s="2579"/>
      <c r="U8" s="13">
        <f>SUM(U7:U7)</f>
        <v>0</v>
      </c>
      <c r="V8" s="14">
        <v>0.92</v>
      </c>
      <c r="W8" s="13">
        <f>U8/V8</f>
        <v>0</v>
      </c>
      <c r="X8" s="82"/>
      <c r="Y8" s="82"/>
      <c r="Z8" s="82"/>
      <c r="AA8" s="82"/>
      <c r="AB8" s="82"/>
    </row>
    <row r="9" spans="1:28" ht="89.25" customHeight="1" x14ac:dyDescent="0.25">
      <c r="A9" s="398" t="str">
        <f>Итоговая!C80</f>
        <v xml:space="preserve">ПС 35/10 кВ Дубровка </v>
      </c>
      <c r="B9" s="399">
        <f>Итоговая!D80</f>
        <v>1.6</v>
      </c>
      <c r="C9" s="400"/>
      <c r="D9" s="400"/>
      <c r="E9" s="400"/>
      <c r="F9" s="401"/>
      <c r="G9" s="419"/>
      <c r="H9" s="38"/>
      <c r="I9" s="38"/>
      <c r="J9" s="38"/>
      <c r="K9" s="38"/>
      <c r="L9" s="193"/>
      <c r="M9" s="4" t="s">
        <v>2404</v>
      </c>
      <c r="N9" s="4" t="s">
        <v>2406</v>
      </c>
      <c r="O9" s="4">
        <v>0.04</v>
      </c>
      <c r="P9" s="4"/>
      <c r="Q9" s="4"/>
      <c r="R9" s="38"/>
      <c r="S9" s="38"/>
      <c r="T9" s="38"/>
      <c r="U9" s="38"/>
      <c r="V9" s="38"/>
      <c r="W9" s="193"/>
      <c r="X9" s="82"/>
      <c r="Y9" s="82"/>
      <c r="Z9" s="82"/>
      <c r="AA9" s="82"/>
      <c r="AB9" s="82"/>
    </row>
    <row r="10" spans="1:28" ht="15.75" customHeight="1" thickBot="1" x14ac:dyDescent="0.3">
      <c r="A10" s="394"/>
      <c r="B10" s="395"/>
      <c r="C10" s="396"/>
      <c r="D10" s="396"/>
      <c r="E10" s="396"/>
      <c r="F10" s="397"/>
      <c r="G10" s="2578" t="s">
        <v>1833</v>
      </c>
      <c r="H10" s="2578"/>
      <c r="I10" s="2579"/>
      <c r="J10" s="13">
        <f>SUM(J9:J9)</f>
        <v>0</v>
      </c>
      <c r="K10" s="14">
        <v>0.92</v>
      </c>
      <c r="L10" s="13">
        <f>J10/K10</f>
        <v>0</v>
      </c>
      <c r="M10" s="2577" t="s">
        <v>1834</v>
      </c>
      <c r="N10" s="2579"/>
      <c r="O10" s="13">
        <f>SUM(O9:O9)</f>
        <v>0.04</v>
      </c>
      <c r="P10" s="14">
        <v>0.92</v>
      </c>
      <c r="Q10" s="13">
        <f>O10/P10</f>
        <v>4.3478260869565216E-2</v>
      </c>
      <c r="R10" s="2577" t="s">
        <v>1833</v>
      </c>
      <c r="S10" s="2578"/>
      <c r="T10" s="2579"/>
      <c r="U10" s="13">
        <f>SUM(U9:U9)</f>
        <v>0</v>
      </c>
      <c r="V10" s="14">
        <v>0.92</v>
      </c>
      <c r="W10" s="13">
        <f>U10/V10</f>
        <v>0</v>
      </c>
      <c r="X10" s="82"/>
      <c r="Y10" s="82"/>
      <c r="Z10" s="82"/>
      <c r="AA10" s="82"/>
      <c r="AB10" s="82"/>
    </row>
    <row r="11" spans="1:28" ht="19.5" customHeight="1" x14ac:dyDescent="0.25">
      <c r="A11" s="390" t="str">
        <f>Итоговая!C81</f>
        <v xml:space="preserve">ПС 35/10 кВ Жилотково </v>
      </c>
      <c r="B11" s="399">
        <f>Итоговая!D81</f>
        <v>1.8</v>
      </c>
      <c r="C11" s="400"/>
      <c r="D11" s="400"/>
      <c r="E11" s="400"/>
      <c r="F11" s="401"/>
      <c r="G11" s="2640" t="s">
        <v>3020</v>
      </c>
      <c r="H11" s="2641"/>
      <c r="I11" s="2641"/>
      <c r="J11" s="2641"/>
      <c r="K11" s="2641"/>
      <c r="L11" s="2641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73"/>
      <c r="X11" s="82"/>
      <c r="Y11" s="82"/>
      <c r="Z11" s="82"/>
      <c r="AA11" s="82"/>
      <c r="AB11" s="82"/>
    </row>
    <row r="12" spans="1:28" ht="54" customHeight="1" x14ac:dyDescent="0.25">
      <c r="A12" s="1082"/>
      <c r="B12" s="1080"/>
      <c r="C12" s="1083"/>
      <c r="D12" s="1083"/>
      <c r="E12" s="1083"/>
      <c r="F12" s="1081"/>
      <c r="G12" s="1" t="s">
        <v>3041</v>
      </c>
      <c r="H12" s="1" t="s">
        <v>3187</v>
      </c>
      <c r="I12" s="1" t="s">
        <v>3203</v>
      </c>
      <c r="J12" s="1">
        <f>0.25*0.9</f>
        <v>0.22500000000000001</v>
      </c>
      <c r="K12" s="1"/>
      <c r="L12" s="22"/>
      <c r="M12" s="1"/>
      <c r="N12" s="1"/>
      <c r="O12" s="1"/>
      <c r="P12" s="1"/>
      <c r="Q12" s="1"/>
      <c r="R12" s="1"/>
      <c r="S12" s="1"/>
      <c r="T12" s="1"/>
      <c r="U12" s="1"/>
      <c r="V12" s="1"/>
      <c r="W12" s="22"/>
      <c r="X12" s="82"/>
      <c r="Y12" s="82"/>
      <c r="Z12" s="82"/>
      <c r="AA12" s="82"/>
      <c r="AB12" s="82"/>
    </row>
    <row r="13" spans="1:28" ht="15.75" customHeight="1" thickBot="1" x14ac:dyDescent="0.3">
      <c r="A13" s="394"/>
      <c r="B13" s="395"/>
      <c r="C13" s="396"/>
      <c r="D13" s="396"/>
      <c r="E13" s="396"/>
      <c r="F13" s="397"/>
      <c r="G13" s="2578" t="s">
        <v>1833</v>
      </c>
      <c r="H13" s="2578"/>
      <c r="I13" s="2579"/>
      <c r="J13" s="13">
        <f>SUM(J12)</f>
        <v>0.22500000000000001</v>
      </c>
      <c r="K13" s="14">
        <v>0.92</v>
      </c>
      <c r="L13" s="13">
        <f>J13/K13</f>
        <v>0.24456521739130435</v>
      </c>
      <c r="M13" s="2577" t="s">
        <v>1834</v>
      </c>
      <c r="N13" s="2579"/>
      <c r="O13" s="13">
        <f>SUM(O11:O11)</f>
        <v>0</v>
      </c>
      <c r="P13" s="14">
        <v>0.92</v>
      </c>
      <c r="Q13" s="13">
        <f>O13/P13</f>
        <v>0</v>
      </c>
      <c r="R13" s="2577" t="s">
        <v>1833</v>
      </c>
      <c r="S13" s="2578"/>
      <c r="T13" s="2579"/>
      <c r="U13" s="13">
        <f>SUM(U11:U11)</f>
        <v>0</v>
      </c>
      <c r="V13" s="14">
        <v>0.92</v>
      </c>
      <c r="W13" s="13">
        <f>U13/V13</f>
        <v>0</v>
      </c>
      <c r="X13" s="82"/>
      <c r="Y13" s="82"/>
      <c r="Z13" s="82"/>
      <c r="AA13" s="82"/>
      <c r="AB13" s="82"/>
    </row>
    <row r="14" spans="1:28" x14ac:dyDescent="0.25">
      <c r="A14" s="390" t="str">
        <f>Итоговая!C82</f>
        <v xml:space="preserve">ПС 35/10 кВ Копачево </v>
      </c>
      <c r="B14" s="399">
        <f>Итоговая!D82</f>
        <v>1.6</v>
      </c>
      <c r="C14" s="400"/>
      <c r="D14" s="400"/>
      <c r="E14" s="400"/>
      <c r="F14" s="401"/>
      <c r="G14" s="2640" t="s">
        <v>3447</v>
      </c>
      <c r="H14" s="2641"/>
      <c r="I14" s="2641"/>
      <c r="J14" s="2641"/>
      <c r="K14" s="2641"/>
      <c r="L14" s="2641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73"/>
      <c r="X14" s="82"/>
      <c r="Y14" s="82"/>
      <c r="Z14" s="82"/>
      <c r="AA14" s="82"/>
      <c r="AB14" s="82"/>
    </row>
    <row r="15" spans="1:28" ht="165" x14ac:dyDescent="0.25">
      <c r="A15" s="1473"/>
      <c r="B15" s="1464"/>
      <c r="C15" s="1474"/>
      <c r="D15" s="1474"/>
      <c r="E15" s="1474"/>
      <c r="F15" s="1465"/>
      <c r="G15" s="1460" t="s">
        <v>3481</v>
      </c>
      <c r="H15" s="1460" t="s">
        <v>3482</v>
      </c>
      <c r="I15" s="1460" t="s">
        <v>15286</v>
      </c>
      <c r="J15" s="1460">
        <f>(0.09-0.005)*0.9</f>
        <v>7.6499999999999999E-2</v>
      </c>
      <c r="K15" s="1460"/>
      <c r="L15" s="1475"/>
      <c r="M15" s="1476"/>
      <c r="N15" s="1477"/>
      <c r="O15" s="1459"/>
      <c r="P15" s="1459"/>
      <c r="Q15" s="1459"/>
      <c r="R15" s="1476"/>
      <c r="S15" s="1463"/>
      <c r="T15" s="1477"/>
      <c r="U15" s="1459"/>
      <c r="V15" s="1459"/>
      <c r="W15" s="69"/>
      <c r="X15" s="82"/>
      <c r="Y15" s="82"/>
      <c r="Z15" s="82"/>
      <c r="AA15" s="82"/>
      <c r="AB15" s="82"/>
    </row>
    <row r="16" spans="1:28" ht="15.75" customHeight="1" thickBot="1" x14ac:dyDescent="0.3">
      <c r="A16" s="394"/>
      <c r="B16" s="395"/>
      <c r="C16" s="396"/>
      <c r="D16" s="396"/>
      <c r="E16" s="396"/>
      <c r="F16" s="397"/>
      <c r="G16" s="2578" t="s">
        <v>1833</v>
      </c>
      <c r="H16" s="2578"/>
      <c r="I16" s="2579"/>
      <c r="J16" s="13">
        <f>SUM(J15)</f>
        <v>7.6499999999999999E-2</v>
      </c>
      <c r="K16" s="14">
        <v>0.92</v>
      </c>
      <c r="L16" s="13">
        <f>J16/K16</f>
        <v>8.315217391304347E-2</v>
      </c>
      <c r="M16" s="2577" t="s">
        <v>1834</v>
      </c>
      <c r="N16" s="2579"/>
      <c r="O16" s="13">
        <f>SUM(O14:O14)</f>
        <v>0</v>
      </c>
      <c r="P16" s="14">
        <v>0.92</v>
      </c>
      <c r="Q16" s="13">
        <f>O16/P16</f>
        <v>0</v>
      </c>
      <c r="R16" s="2577" t="s">
        <v>1833</v>
      </c>
      <c r="S16" s="2578"/>
      <c r="T16" s="2579"/>
      <c r="U16" s="13">
        <f>SUM(U14:U14)</f>
        <v>0</v>
      </c>
      <c r="V16" s="14">
        <v>0.92</v>
      </c>
      <c r="W16" s="13">
        <f>U16/V16</f>
        <v>0</v>
      </c>
      <c r="X16" s="82"/>
      <c r="Y16" s="82"/>
      <c r="Z16" s="82"/>
      <c r="AA16" s="82"/>
      <c r="AB16" s="82"/>
    </row>
    <row r="17" spans="1:28" ht="15.75" customHeight="1" thickBot="1" x14ac:dyDescent="0.3">
      <c r="A17" s="2628" t="str">
        <f>Итоговая!C83</f>
        <v xml:space="preserve">ПС 35/10 кВ Кузнецово </v>
      </c>
      <c r="B17" s="2630">
        <f>Итоговая!D83</f>
        <v>1.6</v>
      </c>
      <c r="C17" s="2632"/>
      <c r="D17" s="2632"/>
      <c r="E17" s="2632"/>
      <c r="F17" s="2634"/>
      <c r="G17" s="2640" t="s">
        <v>2477</v>
      </c>
      <c r="H17" s="2641"/>
      <c r="I17" s="2641"/>
      <c r="J17" s="2641"/>
      <c r="K17" s="2641"/>
      <c r="L17" s="2641"/>
      <c r="M17" s="581"/>
      <c r="N17" s="41"/>
      <c r="O17" s="160"/>
      <c r="P17" s="128"/>
      <c r="Q17" s="160"/>
      <c r="R17" s="581"/>
      <c r="S17" s="40"/>
      <c r="T17" s="41"/>
      <c r="U17" s="160"/>
      <c r="V17" s="128"/>
      <c r="W17" s="160"/>
      <c r="X17" s="82"/>
      <c r="Y17" s="82"/>
      <c r="Z17" s="82"/>
      <c r="AA17" s="82"/>
      <c r="AB17" s="82"/>
    </row>
    <row r="18" spans="1:28" ht="105" x14ac:dyDescent="0.25">
      <c r="A18" s="2629"/>
      <c r="B18" s="2631"/>
      <c r="C18" s="2633"/>
      <c r="D18" s="2633"/>
      <c r="E18" s="2633"/>
      <c r="F18" s="2635"/>
      <c r="G18" s="1" t="s">
        <v>2797</v>
      </c>
      <c r="H18" s="1" t="s">
        <v>2798</v>
      </c>
      <c r="I18" s="1" t="s">
        <v>2819</v>
      </c>
      <c r="J18" s="1">
        <v>0.05</v>
      </c>
      <c r="K18" s="1"/>
      <c r="L18" s="22"/>
      <c r="M18" s="1864"/>
      <c r="N18" s="1864"/>
      <c r="O18" s="1864"/>
      <c r="P18" s="17"/>
      <c r="Q18" s="17"/>
      <c r="R18" s="17"/>
      <c r="S18" s="17"/>
      <c r="T18" s="17"/>
      <c r="U18" s="17"/>
      <c r="V18" s="17"/>
      <c r="W18" s="73"/>
      <c r="X18" s="82"/>
      <c r="Y18" s="82"/>
      <c r="Z18" s="82"/>
      <c r="AA18" s="82"/>
      <c r="AB18" s="82"/>
    </row>
    <row r="19" spans="1:28" x14ac:dyDescent="0.25">
      <c r="A19" s="1870"/>
      <c r="B19" s="1871"/>
      <c r="C19" s="1872"/>
      <c r="D19" s="1872"/>
      <c r="E19" s="1872"/>
      <c r="F19" s="1876"/>
      <c r="G19" s="2640" t="s">
        <v>17005</v>
      </c>
      <c r="H19" s="2641"/>
      <c r="I19" s="2641"/>
      <c r="J19" s="2641"/>
      <c r="K19" s="2641"/>
      <c r="L19" s="2641"/>
      <c r="M19" s="1864"/>
      <c r="N19" s="1864"/>
      <c r="O19" s="1864"/>
      <c r="P19" s="1866"/>
      <c r="Q19" s="1866"/>
      <c r="R19" s="1873"/>
      <c r="S19" s="1862"/>
      <c r="T19" s="1874"/>
      <c r="U19" s="1866"/>
      <c r="V19" s="1866"/>
      <c r="W19" s="69"/>
      <c r="X19" s="82"/>
      <c r="Y19" s="82"/>
      <c r="Z19" s="82"/>
      <c r="AA19" s="82"/>
      <c r="AB19" s="82"/>
    </row>
    <row r="20" spans="1:28" ht="210" x14ac:dyDescent="0.25">
      <c r="A20" s="1870"/>
      <c r="B20" s="1871"/>
      <c r="C20" s="1872"/>
      <c r="D20" s="1872"/>
      <c r="E20" s="1872"/>
      <c r="F20" s="1876"/>
      <c r="G20" s="1864" t="s">
        <v>2797</v>
      </c>
      <c r="H20" s="1864" t="s">
        <v>16932</v>
      </c>
      <c r="I20" s="1864" t="s">
        <v>17016</v>
      </c>
      <c r="J20" s="1864">
        <f>0.2*0.75</f>
        <v>0.15000000000000002</v>
      </c>
      <c r="K20" s="1864"/>
      <c r="L20" s="1875"/>
      <c r="M20" s="1864"/>
      <c r="N20" s="1864"/>
      <c r="O20" s="1864"/>
      <c r="P20" s="1866"/>
      <c r="Q20" s="1866"/>
      <c r="R20" s="1873"/>
      <c r="S20" s="1862"/>
      <c r="T20" s="1874"/>
      <c r="U20" s="1866"/>
      <c r="V20" s="1866"/>
      <c r="W20" s="69"/>
      <c r="X20" s="82"/>
      <c r="Y20" s="82"/>
      <c r="Z20" s="82"/>
      <c r="AA20" s="82"/>
      <c r="AB20" s="82"/>
    </row>
    <row r="21" spans="1:28" ht="15.75" customHeight="1" thickBot="1" x14ac:dyDescent="0.3">
      <c r="A21" s="394"/>
      <c r="B21" s="395"/>
      <c r="C21" s="396"/>
      <c r="D21" s="396"/>
      <c r="E21" s="396"/>
      <c r="F21" s="397"/>
      <c r="G21" s="2578" t="s">
        <v>1833</v>
      </c>
      <c r="H21" s="2578"/>
      <c r="I21" s="2579"/>
      <c r="J21" s="13">
        <f>SUM(J20)</f>
        <v>0.15000000000000002</v>
      </c>
      <c r="K21" s="14">
        <v>0.92</v>
      </c>
      <c r="L21" s="13">
        <f>J21/K21</f>
        <v>0.1630434782608696</v>
      </c>
      <c r="M21" s="2577" t="s">
        <v>1834</v>
      </c>
      <c r="N21" s="2579"/>
      <c r="O21" s="13">
        <f>SUM(O18:O18)</f>
        <v>0</v>
      </c>
      <c r="P21" s="14">
        <v>0.92</v>
      </c>
      <c r="Q21" s="13">
        <f>O21/P21</f>
        <v>0</v>
      </c>
      <c r="R21" s="2577" t="s">
        <v>1833</v>
      </c>
      <c r="S21" s="2578"/>
      <c r="T21" s="2579"/>
      <c r="U21" s="13">
        <f>SUM(U18:U18)</f>
        <v>0</v>
      </c>
      <c r="V21" s="14">
        <v>0.92</v>
      </c>
      <c r="W21" s="13">
        <f>U21/V21</f>
        <v>0</v>
      </c>
      <c r="X21" s="82"/>
      <c r="Y21" s="82"/>
      <c r="Z21" s="82"/>
      <c r="AA21" s="82"/>
      <c r="AB21" s="82"/>
    </row>
    <row r="22" spans="1:28" x14ac:dyDescent="0.25">
      <c r="A22" s="390" t="str">
        <f>Итоговая!C84</f>
        <v xml:space="preserve">ПС 35/10 кВ Лужниково </v>
      </c>
      <c r="B22" s="399">
        <f>Итоговая!D84</f>
        <v>2.5</v>
      </c>
      <c r="C22" s="400"/>
      <c r="D22" s="400"/>
      <c r="E22" s="400"/>
      <c r="F22" s="401"/>
      <c r="G22" s="43"/>
      <c r="H22" s="17"/>
      <c r="I22" s="17"/>
      <c r="J22" s="17"/>
      <c r="K22" s="17"/>
      <c r="L22" s="73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73"/>
      <c r="X22" s="82"/>
      <c r="Y22" s="82"/>
      <c r="Z22" s="82"/>
      <c r="AA22" s="82"/>
      <c r="AB22" s="82"/>
    </row>
    <row r="23" spans="1:28" ht="15.75" customHeight="1" thickBot="1" x14ac:dyDescent="0.3">
      <c r="A23" s="394"/>
      <c r="B23" s="395"/>
      <c r="C23" s="396"/>
      <c r="D23" s="396"/>
      <c r="E23" s="396"/>
      <c r="F23" s="397"/>
      <c r="G23" s="2578" t="s">
        <v>1833</v>
      </c>
      <c r="H23" s="2578"/>
      <c r="I23" s="2579"/>
      <c r="J23" s="13">
        <f>SUM(J22:J22)</f>
        <v>0</v>
      </c>
      <c r="K23" s="14">
        <v>0.92</v>
      </c>
      <c r="L23" s="13">
        <f>J23/K23</f>
        <v>0</v>
      </c>
      <c r="M23" s="2577" t="s">
        <v>1834</v>
      </c>
      <c r="N23" s="2579"/>
      <c r="O23" s="13">
        <f>SUM(O22:O22)</f>
        <v>0</v>
      </c>
      <c r="P23" s="14">
        <v>0.92</v>
      </c>
      <c r="Q23" s="13">
        <f>O23/P23</f>
        <v>0</v>
      </c>
      <c r="R23" s="2577" t="s">
        <v>1833</v>
      </c>
      <c r="S23" s="2578"/>
      <c r="T23" s="2579"/>
      <c r="U23" s="13">
        <f>SUM(U22:U22)</f>
        <v>0</v>
      </c>
      <c r="V23" s="14">
        <v>0.92</v>
      </c>
      <c r="W23" s="13">
        <f>U23/V23</f>
        <v>0</v>
      </c>
      <c r="X23" s="82"/>
      <c r="Y23" s="82"/>
      <c r="Z23" s="82"/>
      <c r="AA23" s="82"/>
      <c r="AB23" s="82"/>
    </row>
    <row r="24" spans="1:28" x14ac:dyDescent="0.25">
      <c r="A24" s="398" t="str">
        <f>Итоговая!C85</f>
        <v xml:space="preserve">ПС 35/10 кВ Насакино  </v>
      </c>
      <c r="B24" s="399">
        <f>Итоговая!D85</f>
        <v>2.5</v>
      </c>
      <c r="C24" s="400"/>
      <c r="D24" s="400"/>
      <c r="E24" s="400"/>
      <c r="F24" s="401"/>
      <c r="G24" s="43"/>
      <c r="H24" s="17"/>
      <c r="I24" s="17"/>
      <c r="J24" s="17"/>
      <c r="K24" s="17"/>
      <c r="L24" s="73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73"/>
      <c r="X24" s="82"/>
      <c r="Y24" s="82"/>
      <c r="Z24" s="82"/>
      <c r="AA24" s="82"/>
      <c r="AB24" s="82"/>
    </row>
    <row r="25" spans="1:28" ht="15.75" customHeight="1" thickBot="1" x14ac:dyDescent="0.3">
      <c r="A25" s="394"/>
      <c r="B25" s="395"/>
      <c r="C25" s="396"/>
      <c r="D25" s="396"/>
      <c r="E25" s="396"/>
      <c r="F25" s="397"/>
      <c r="G25" s="2578" t="s">
        <v>1833</v>
      </c>
      <c r="H25" s="2578"/>
      <c r="I25" s="2579"/>
      <c r="J25" s="13">
        <f>SUM(J24:J24)</f>
        <v>0</v>
      </c>
      <c r="K25" s="14">
        <v>0.92</v>
      </c>
      <c r="L25" s="13">
        <f>J25/K25</f>
        <v>0</v>
      </c>
      <c r="M25" s="2577" t="s">
        <v>1834</v>
      </c>
      <c r="N25" s="2579"/>
      <c r="O25" s="13">
        <f>SUM(O24:O24)</f>
        <v>0</v>
      </c>
      <c r="P25" s="14">
        <v>0.92</v>
      </c>
      <c r="Q25" s="13">
        <f>O25/P25</f>
        <v>0</v>
      </c>
      <c r="R25" s="2577" t="s">
        <v>1833</v>
      </c>
      <c r="S25" s="2578"/>
      <c r="T25" s="2579"/>
      <c r="U25" s="13">
        <f>SUM(U24:U24)</f>
        <v>0</v>
      </c>
      <c r="V25" s="14">
        <v>0.92</v>
      </c>
      <c r="W25" s="13">
        <f>U25/V25</f>
        <v>0</v>
      </c>
      <c r="X25" s="82"/>
      <c r="Y25" s="82"/>
      <c r="Z25" s="82"/>
      <c r="AA25" s="82"/>
      <c r="AB25" s="82"/>
    </row>
    <row r="26" spans="1:28" x14ac:dyDescent="0.25">
      <c r="A26" s="390" t="str">
        <f>Итоговая!C86</f>
        <v xml:space="preserve">ПС 110/35 кВ Октябрьский Карьер </v>
      </c>
      <c r="B26" s="399">
        <f>Итоговая!D86</f>
        <v>25</v>
      </c>
      <c r="C26" s="400"/>
      <c r="D26" s="400"/>
      <c r="E26" s="400"/>
      <c r="F26" s="401"/>
      <c r="G26" s="43"/>
      <c r="H26" s="17"/>
      <c r="I26" s="17"/>
      <c r="J26" s="17"/>
      <c r="K26" s="17"/>
      <c r="L26" s="73"/>
      <c r="M26" s="18"/>
      <c r="N26" s="18"/>
      <c r="O26" s="18"/>
      <c r="P26" s="17"/>
      <c r="Q26" s="17"/>
      <c r="R26" s="17"/>
      <c r="S26" s="17"/>
      <c r="T26" s="17"/>
      <c r="U26" s="17"/>
      <c r="V26" s="17"/>
      <c r="W26" s="73"/>
      <c r="X26" s="82"/>
      <c r="Y26" s="82"/>
      <c r="Z26" s="82"/>
      <c r="AA26" s="82"/>
      <c r="AB26" s="82"/>
    </row>
    <row r="27" spans="1:28" ht="15.75" customHeight="1" thickBot="1" x14ac:dyDescent="0.3">
      <c r="A27" s="408"/>
      <c r="B27" s="395"/>
      <c r="C27" s="396"/>
      <c r="D27" s="396"/>
      <c r="E27" s="396"/>
      <c r="F27" s="397"/>
      <c r="G27" s="2588" t="s">
        <v>1833</v>
      </c>
      <c r="H27" s="2588"/>
      <c r="I27" s="2589"/>
      <c r="J27" s="21">
        <f>SUM(J26:J26)</f>
        <v>0</v>
      </c>
      <c r="K27" s="24">
        <v>0.92</v>
      </c>
      <c r="L27" s="21">
        <f>J27/K27</f>
        <v>0</v>
      </c>
      <c r="M27" s="2587" t="s">
        <v>1834</v>
      </c>
      <c r="N27" s="2589"/>
      <c r="O27" s="21">
        <f>SUM(O26:O26)</f>
        <v>0</v>
      </c>
      <c r="P27" s="24">
        <v>0.92</v>
      </c>
      <c r="Q27" s="21">
        <f>O27/P27</f>
        <v>0</v>
      </c>
      <c r="R27" s="2587" t="s">
        <v>1833</v>
      </c>
      <c r="S27" s="2588"/>
      <c r="T27" s="2589"/>
      <c r="U27" s="21">
        <f>SUM(U26:U26)</f>
        <v>0</v>
      </c>
      <c r="V27" s="24">
        <v>0.92</v>
      </c>
      <c r="W27" s="21">
        <f>U27/V27</f>
        <v>0</v>
      </c>
      <c r="X27" s="82"/>
      <c r="Y27" s="82"/>
      <c r="Z27" s="82"/>
      <c r="AA27" s="82"/>
      <c r="AB27" s="82"/>
    </row>
    <row r="28" spans="1:28" x14ac:dyDescent="0.25">
      <c r="A28" s="2638" t="str">
        <f>Итоговая!C87</f>
        <v xml:space="preserve">ПС 35/10 кВ Порожки </v>
      </c>
      <c r="B28" s="2630">
        <f>Итоговая!D87</f>
        <v>1</v>
      </c>
      <c r="C28" s="400"/>
      <c r="D28" s="400"/>
      <c r="E28" s="400"/>
      <c r="F28" s="401"/>
      <c r="G28" s="420"/>
      <c r="H28" s="339"/>
      <c r="I28" s="339"/>
      <c r="J28" s="339"/>
      <c r="K28" s="339"/>
      <c r="L28" s="339"/>
      <c r="M28" s="131"/>
      <c r="N28" s="132"/>
      <c r="O28" s="73"/>
      <c r="P28" s="73"/>
      <c r="Q28" s="73"/>
      <c r="R28" s="2644" t="s">
        <v>1960</v>
      </c>
      <c r="S28" s="2645"/>
      <c r="T28" s="2645"/>
      <c r="U28" s="2645"/>
      <c r="V28" s="2645"/>
      <c r="W28" s="2651"/>
      <c r="X28" s="82"/>
      <c r="Y28" s="82"/>
      <c r="Z28" s="82"/>
      <c r="AA28" s="82"/>
      <c r="AB28" s="82"/>
    </row>
    <row r="29" spans="1:28" ht="54" customHeight="1" x14ac:dyDescent="0.25">
      <c r="A29" s="2639"/>
      <c r="B29" s="2631"/>
      <c r="C29" s="404"/>
      <c r="D29" s="404"/>
      <c r="E29" s="404"/>
      <c r="F29" s="405"/>
      <c r="G29" s="314"/>
      <c r="H29" s="315"/>
      <c r="I29" s="315"/>
      <c r="J29" s="315"/>
      <c r="K29" s="315"/>
      <c r="L29" s="315"/>
      <c r="M29" s="51"/>
      <c r="N29" s="51"/>
      <c r="O29" s="51"/>
      <c r="P29" s="51"/>
      <c r="Q29" s="51"/>
      <c r="R29" s="348" t="s">
        <v>1903</v>
      </c>
      <c r="S29" s="348" t="s">
        <v>1904</v>
      </c>
      <c r="T29" s="348" t="s">
        <v>2495</v>
      </c>
      <c r="U29" s="348">
        <v>2.5000000000000001E-2</v>
      </c>
      <c r="V29" s="348"/>
      <c r="W29" s="341"/>
      <c r="X29" s="82"/>
      <c r="Y29" s="82"/>
      <c r="Z29" s="82"/>
      <c r="AA29" s="82"/>
      <c r="AB29" s="82"/>
    </row>
    <row r="30" spans="1:28" ht="15.75" customHeight="1" thickBot="1" x14ac:dyDescent="0.3">
      <c r="A30" s="394"/>
      <c r="B30" s="395"/>
      <c r="C30" s="396"/>
      <c r="D30" s="396"/>
      <c r="E30" s="396"/>
      <c r="F30" s="397"/>
      <c r="G30" s="2578" t="s">
        <v>1833</v>
      </c>
      <c r="H30" s="2578"/>
      <c r="I30" s="2579"/>
      <c r="J30" s="13">
        <f>SUM(J29:J29)</f>
        <v>0</v>
      </c>
      <c r="K30" s="14">
        <v>0.92</v>
      </c>
      <c r="L30" s="13">
        <f>J30/K30</f>
        <v>0</v>
      </c>
      <c r="M30" s="2577" t="s">
        <v>1834</v>
      </c>
      <c r="N30" s="2579"/>
      <c r="O30" s="13">
        <f>SUM(O29:O29)</f>
        <v>0</v>
      </c>
      <c r="P30" s="14">
        <v>0.92</v>
      </c>
      <c r="Q30" s="13">
        <f>O30/P30</f>
        <v>0</v>
      </c>
      <c r="R30" s="2577" t="s">
        <v>1833</v>
      </c>
      <c r="S30" s="2578"/>
      <c r="T30" s="2579"/>
      <c r="U30" s="13">
        <f>SUM(U29:U29)</f>
        <v>2.5000000000000001E-2</v>
      </c>
      <c r="V30" s="14">
        <v>0.92</v>
      </c>
      <c r="W30" s="15">
        <f>U30/V30</f>
        <v>2.717391304347826E-2</v>
      </c>
      <c r="X30" s="82"/>
      <c r="Y30" s="82"/>
      <c r="Z30" s="82"/>
      <c r="AA30" s="82"/>
      <c r="AB30" s="82"/>
    </row>
    <row r="31" spans="1:28" ht="45" x14ac:dyDescent="0.25">
      <c r="A31" s="398" t="str">
        <f>Итоговая!C88</f>
        <v>ПС 35/6 кВ ХБК</v>
      </c>
      <c r="B31" s="399">
        <f>Итоговая!D88</f>
        <v>4</v>
      </c>
      <c r="C31" s="400"/>
      <c r="D31" s="400"/>
      <c r="E31" s="400"/>
      <c r="F31" s="401"/>
      <c r="G31" s="43"/>
      <c r="H31" s="17"/>
      <c r="I31" s="17"/>
      <c r="J31" s="17"/>
      <c r="K31" s="17"/>
      <c r="L31" s="73"/>
      <c r="M31" s="17" t="s">
        <v>1877</v>
      </c>
      <c r="N31" s="17" t="s">
        <v>1878</v>
      </c>
      <c r="O31" s="342">
        <v>0.10299999999999999</v>
      </c>
      <c r="P31" s="342"/>
      <c r="Q31" s="342"/>
      <c r="R31" s="17"/>
      <c r="S31" s="17"/>
      <c r="T31" s="17"/>
      <c r="U31" s="17"/>
      <c r="V31" s="17"/>
      <c r="W31" s="73"/>
      <c r="X31" s="82"/>
      <c r="Y31" s="82"/>
      <c r="Z31" s="82"/>
      <c r="AA31" s="82"/>
      <c r="AB31" s="82"/>
    </row>
    <row r="32" spans="1:28" ht="105" x14ac:dyDescent="0.25">
      <c r="A32" s="765"/>
      <c r="B32" s="764"/>
      <c r="C32" s="766"/>
      <c r="D32" s="766"/>
      <c r="E32" s="766"/>
      <c r="F32" s="762"/>
      <c r="G32" s="1"/>
      <c r="H32" s="1"/>
      <c r="I32" s="1"/>
      <c r="J32" s="1"/>
      <c r="K32" s="1"/>
      <c r="L32" s="22"/>
      <c r="M32" s="1" t="s">
        <v>2830</v>
      </c>
      <c r="N32" s="1" t="s">
        <v>2834</v>
      </c>
      <c r="O32" s="327">
        <v>4.4999999999999998E-2</v>
      </c>
      <c r="P32" s="327"/>
      <c r="Q32" s="327"/>
      <c r="R32" s="1"/>
      <c r="S32" s="1"/>
      <c r="T32" s="1"/>
      <c r="U32" s="1"/>
      <c r="V32" s="1"/>
      <c r="W32" s="22"/>
      <c r="X32" s="82"/>
      <c r="Y32" s="82"/>
      <c r="Z32" s="82"/>
      <c r="AA32" s="82"/>
      <c r="AB32" s="82"/>
    </row>
    <row r="33" spans="1:28" ht="138.75" customHeight="1" x14ac:dyDescent="0.25">
      <c r="A33" s="765"/>
      <c r="B33" s="764"/>
      <c r="C33" s="766"/>
      <c r="D33" s="766"/>
      <c r="E33" s="766"/>
      <c r="F33" s="762"/>
      <c r="G33" s="265"/>
      <c r="H33" s="265"/>
      <c r="I33" s="20"/>
      <c r="J33" s="24"/>
      <c r="K33" s="24"/>
      <c r="L33" s="62"/>
      <c r="M33" s="1" t="s">
        <v>2830</v>
      </c>
      <c r="N33" s="1" t="s">
        <v>2837</v>
      </c>
      <c r="O33" s="327">
        <v>0.25</v>
      </c>
      <c r="P33" s="327"/>
      <c r="Q33" s="327"/>
      <c r="R33" s="1"/>
      <c r="S33" s="1"/>
      <c r="T33" s="1"/>
      <c r="U33" s="1"/>
      <c r="V33" s="1"/>
      <c r="W33" s="22"/>
      <c r="X33" s="82"/>
      <c r="Y33" s="82"/>
      <c r="Z33" s="82"/>
      <c r="AA33" s="82"/>
      <c r="AB33" s="82"/>
    </row>
    <row r="34" spans="1:28" ht="138.75" customHeight="1" x14ac:dyDescent="0.25">
      <c r="A34" s="1074"/>
      <c r="B34" s="1071"/>
      <c r="C34" s="1075"/>
      <c r="D34" s="1075"/>
      <c r="E34" s="1075"/>
      <c r="F34" s="1072"/>
      <c r="G34" s="265"/>
      <c r="H34" s="265"/>
      <c r="I34" s="20"/>
      <c r="J34" s="24"/>
      <c r="K34" s="24"/>
      <c r="L34" s="62"/>
      <c r="M34" s="1" t="s">
        <v>3197</v>
      </c>
      <c r="N34" s="1" t="s">
        <v>3198</v>
      </c>
      <c r="O34" s="327">
        <v>9.9000000000000005E-2</v>
      </c>
      <c r="P34" s="327"/>
      <c r="Q34" s="327"/>
      <c r="R34" s="1"/>
      <c r="S34" s="1"/>
      <c r="T34" s="1"/>
      <c r="U34" s="1"/>
      <c r="V34" s="24"/>
      <c r="W34" s="62"/>
      <c r="X34" s="82"/>
      <c r="Y34" s="82"/>
      <c r="Z34" s="82"/>
      <c r="AA34" s="82"/>
      <c r="AB34" s="82"/>
    </row>
    <row r="35" spans="1:28" ht="15.75" customHeight="1" thickBot="1" x14ac:dyDescent="0.3">
      <c r="A35" s="394"/>
      <c r="B35" s="395"/>
      <c r="C35" s="396"/>
      <c r="D35" s="396"/>
      <c r="E35" s="396"/>
      <c r="F35" s="397"/>
      <c r="G35" s="2578" t="s">
        <v>1833</v>
      </c>
      <c r="H35" s="2578"/>
      <c r="I35" s="2579"/>
      <c r="J35" s="13">
        <f>SUM(J31:J31)</f>
        <v>0</v>
      </c>
      <c r="K35" s="14">
        <v>0.92</v>
      </c>
      <c r="L35" s="13">
        <f>J35/K35</f>
        <v>0</v>
      </c>
      <c r="M35" s="2577" t="s">
        <v>1834</v>
      </c>
      <c r="N35" s="2579"/>
      <c r="O35" s="325">
        <f>SUM(O31:O34)</f>
        <v>0.497</v>
      </c>
      <c r="P35" s="326">
        <v>0.92</v>
      </c>
      <c r="Q35" s="325">
        <f>O35/P35</f>
        <v>0.54021739130434776</v>
      </c>
      <c r="R35" s="2577" t="s">
        <v>1833</v>
      </c>
      <c r="S35" s="2578"/>
      <c r="T35" s="2579"/>
      <c r="U35" s="13">
        <f>SUM(U31:U31)</f>
        <v>0</v>
      </c>
      <c r="V35" s="14">
        <v>0.92</v>
      </c>
      <c r="W35" s="13">
        <f>U35/V35</f>
        <v>0</v>
      </c>
      <c r="X35" s="82"/>
      <c r="Y35" s="82"/>
      <c r="Z35" s="82"/>
      <c r="AA35" s="82"/>
      <c r="AB35" s="82"/>
    </row>
    <row r="36" spans="1:28" ht="90" x14ac:dyDescent="0.25">
      <c r="A36" s="390" t="str">
        <f>Итоговая!C89</f>
        <v xml:space="preserve">ПС 35/6 кВ №5 </v>
      </c>
      <c r="B36" s="399">
        <f>Итоговая!D89</f>
        <v>1</v>
      </c>
      <c r="C36" s="400" t="str">
        <f>Итоговая!E89</f>
        <v>+</v>
      </c>
      <c r="D36" s="400">
        <f>Итоговая!F89</f>
        <v>1.6</v>
      </c>
      <c r="E36" s="400"/>
      <c r="F36" s="401"/>
      <c r="G36" s="43"/>
      <c r="H36" s="17"/>
      <c r="I36" s="17"/>
      <c r="J36" s="17"/>
      <c r="K36" s="17"/>
      <c r="L36" s="73"/>
      <c r="M36" s="17" t="s">
        <v>2800</v>
      </c>
      <c r="N36" s="17" t="s">
        <v>2801</v>
      </c>
      <c r="O36" s="17">
        <v>0.15</v>
      </c>
      <c r="P36" s="17"/>
      <c r="Q36" s="17"/>
      <c r="R36" s="17"/>
      <c r="S36" s="17"/>
      <c r="T36" s="17"/>
      <c r="U36" s="17"/>
      <c r="V36" s="17"/>
      <c r="W36" s="73"/>
      <c r="X36" s="82"/>
      <c r="Y36" s="82"/>
      <c r="Z36" s="82"/>
      <c r="AA36" s="82"/>
      <c r="AB36" s="82"/>
    </row>
    <row r="37" spans="1:28" ht="15.75" customHeight="1" thickBot="1" x14ac:dyDescent="0.3">
      <c r="A37" s="394"/>
      <c r="B37" s="395"/>
      <c r="C37" s="396"/>
      <c r="D37" s="396"/>
      <c r="E37" s="396"/>
      <c r="F37" s="397"/>
      <c r="G37" s="2578" t="s">
        <v>1833</v>
      </c>
      <c r="H37" s="2578"/>
      <c r="I37" s="2579"/>
      <c r="J37" s="13">
        <f>SUM(J36:J36)</f>
        <v>0</v>
      </c>
      <c r="K37" s="14">
        <v>0.92</v>
      </c>
      <c r="L37" s="13">
        <f>J37/K37</f>
        <v>0</v>
      </c>
      <c r="M37" s="2577" t="s">
        <v>1834</v>
      </c>
      <c r="N37" s="2579"/>
      <c r="O37" s="13">
        <f>SUM(O36:O36)</f>
        <v>0.15</v>
      </c>
      <c r="P37" s="14">
        <v>0.92</v>
      </c>
      <c r="Q37" s="13">
        <f>O37/P37</f>
        <v>0.16304347826086954</v>
      </c>
      <c r="R37" s="2577" t="s">
        <v>1833</v>
      </c>
      <c r="S37" s="2578"/>
      <c r="T37" s="2579"/>
      <c r="U37" s="13">
        <f>SUM(U36:U36)</f>
        <v>0</v>
      </c>
      <c r="V37" s="14">
        <v>0.92</v>
      </c>
      <c r="W37" s="13">
        <f>U37/V37</f>
        <v>0</v>
      </c>
      <c r="X37" s="82"/>
      <c r="Y37" s="82"/>
      <c r="Z37" s="82"/>
      <c r="AA37" s="82"/>
      <c r="AB37" s="82"/>
    </row>
    <row r="38" spans="1:28" x14ac:dyDescent="0.25">
      <c r="A38" s="390" t="str">
        <f>Итоговая!C90</f>
        <v xml:space="preserve">ПС 35/10 кВ 9-е Января  </v>
      </c>
      <c r="B38" s="399">
        <f>Итоговая!D90</f>
        <v>6.3</v>
      </c>
      <c r="C38" s="400" t="str">
        <f>Итоговая!E90</f>
        <v>+</v>
      </c>
      <c r="D38" s="400">
        <f>Итоговая!F90</f>
        <v>10</v>
      </c>
      <c r="E38" s="400"/>
      <c r="F38" s="401"/>
      <c r="G38" s="43"/>
      <c r="H38" s="17"/>
      <c r="I38" s="17"/>
      <c r="J38" s="17"/>
      <c r="K38" s="17"/>
      <c r="L38" s="73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73"/>
      <c r="X38" s="82"/>
      <c r="Y38" s="82"/>
      <c r="Z38" s="82"/>
      <c r="AA38" s="82"/>
      <c r="AB38" s="82"/>
    </row>
    <row r="39" spans="1:28" ht="15.75" customHeight="1" thickBot="1" x14ac:dyDescent="0.3">
      <c r="A39" s="394"/>
      <c r="B39" s="395"/>
      <c r="C39" s="396"/>
      <c r="D39" s="396"/>
      <c r="E39" s="396"/>
      <c r="F39" s="397"/>
      <c r="G39" s="2578" t="s">
        <v>1833</v>
      </c>
      <c r="H39" s="2578"/>
      <c r="I39" s="2579"/>
      <c r="J39" s="13">
        <f>SUM(J38:J38)</f>
        <v>0</v>
      </c>
      <c r="K39" s="14">
        <v>0.92</v>
      </c>
      <c r="L39" s="13">
        <f>J39/K39</f>
        <v>0</v>
      </c>
      <c r="M39" s="2577" t="s">
        <v>1834</v>
      </c>
      <c r="N39" s="2579"/>
      <c r="O39" s="13">
        <f>SUM(O38:O38)</f>
        <v>0</v>
      </c>
      <c r="P39" s="14">
        <v>0.92</v>
      </c>
      <c r="Q39" s="13">
        <f>O39/P39</f>
        <v>0</v>
      </c>
      <c r="R39" s="2587" t="s">
        <v>1833</v>
      </c>
      <c r="S39" s="2588"/>
      <c r="T39" s="2589"/>
      <c r="U39" s="21">
        <f>SUM(U38:U38)</f>
        <v>0</v>
      </c>
      <c r="V39" s="24">
        <v>0.92</v>
      </c>
      <c r="W39" s="21">
        <f>U39/V39</f>
        <v>0</v>
      </c>
      <c r="X39" s="82"/>
      <c r="Y39" s="82"/>
      <c r="Z39" s="82"/>
      <c r="AA39" s="82"/>
      <c r="AB39" s="82"/>
    </row>
    <row r="40" spans="1:28" x14ac:dyDescent="0.25">
      <c r="A40" s="2638" t="str">
        <f>Итоговая!C91</f>
        <v xml:space="preserve">ПС 35/6 кВ АКУ </v>
      </c>
      <c r="B40" s="2630">
        <f>Итоговая!D91</f>
        <v>3.2</v>
      </c>
      <c r="C40" s="2632" t="str">
        <f>Итоговая!E91</f>
        <v>+</v>
      </c>
      <c r="D40" s="2632">
        <f>Итоговая!F91</f>
        <v>4</v>
      </c>
      <c r="E40" s="400"/>
      <c r="F40" s="401"/>
      <c r="G40" s="2598" t="s">
        <v>2032</v>
      </c>
      <c r="H40" s="2626"/>
      <c r="I40" s="2626"/>
      <c r="J40" s="2626"/>
      <c r="K40" s="2626"/>
      <c r="L40" s="2626"/>
      <c r="M40" s="51"/>
      <c r="N40" s="51"/>
      <c r="O40" s="51"/>
      <c r="P40" s="51"/>
      <c r="Q40" s="51"/>
      <c r="R40" s="315"/>
      <c r="S40" s="315"/>
      <c r="T40" s="315"/>
      <c r="U40" s="315"/>
      <c r="V40" s="315"/>
      <c r="W40" s="315"/>
      <c r="X40" s="82"/>
      <c r="Y40" s="82"/>
      <c r="Z40" s="82"/>
      <c r="AA40" s="82"/>
      <c r="AB40" s="82"/>
    </row>
    <row r="41" spans="1:28" ht="90" x14ac:dyDescent="0.25">
      <c r="A41" s="2639"/>
      <c r="B41" s="2631"/>
      <c r="C41" s="2633"/>
      <c r="D41" s="2633"/>
      <c r="E41" s="404"/>
      <c r="F41" s="405"/>
      <c r="G41" s="152" t="s">
        <v>2163</v>
      </c>
      <c r="H41" s="1" t="s">
        <v>2164</v>
      </c>
      <c r="I41" s="1" t="s">
        <v>2272</v>
      </c>
      <c r="J41" s="327">
        <v>0.13500000000000001</v>
      </c>
      <c r="K41" s="327"/>
      <c r="L41" s="337"/>
      <c r="M41" s="1" t="s">
        <v>1455</v>
      </c>
      <c r="N41" s="1" t="s">
        <v>1456</v>
      </c>
      <c r="O41" s="1">
        <v>0.15</v>
      </c>
      <c r="P41" s="1"/>
      <c r="Q41" s="1"/>
      <c r="R41" s="22"/>
      <c r="S41" s="22"/>
      <c r="T41" s="22"/>
      <c r="U41" s="22"/>
      <c r="V41" s="22"/>
      <c r="W41" s="22"/>
      <c r="X41" s="82"/>
      <c r="Y41" s="82"/>
      <c r="Z41" s="82"/>
      <c r="AA41" s="82"/>
      <c r="AB41" s="82"/>
    </row>
    <row r="42" spans="1:28" ht="36" customHeight="1" x14ac:dyDescent="0.25">
      <c r="A42" s="408"/>
      <c r="B42" s="403"/>
      <c r="C42" s="404"/>
      <c r="D42" s="404"/>
      <c r="E42" s="404"/>
      <c r="F42" s="405"/>
      <c r="G42" s="152"/>
      <c r="H42" s="1"/>
      <c r="I42" s="1"/>
      <c r="J42" s="327"/>
      <c r="K42" s="327"/>
      <c r="L42" s="337"/>
      <c r="M42" s="148"/>
      <c r="N42" s="148"/>
      <c r="O42" s="148"/>
      <c r="P42" s="1"/>
      <c r="Q42" s="1"/>
      <c r="R42" s="22"/>
      <c r="S42" s="22"/>
      <c r="T42" s="22"/>
      <c r="U42" s="22"/>
      <c r="V42" s="22"/>
      <c r="W42" s="22"/>
      <c r="X42" s="82"/>
      <c r="Y42" s="82"/>
      <c r="Z42" s="82"/>
      <c r="AA42" s="82"/>
      <c r="AB42" s="82"/>
    </row>
    <row r="43" spans="1:28" ht="15.75" customHeight="1" thickBot="1" x14ac:dyDescent="0.3">
      <c r="A43" s="394"/>
      <c r="B43" s="395"/>
      <c r="C43" s="396"/>
      <c r="D43" s="396"/>
      <c r="E43" s="396"/>
      <c r="F43" s="397"/>
      <c r="G43" s="2578" t="s">
        <v>1833</v>
      </c>
      <c r="H43" s="2578"/>
      <c r="I43" s="2579"/>
      <c r="J43" s="325">
        <f>SUM(J42)</f>
        <v>0</v>
      </c>
      <c r="K43" s="326">
        <v>0.92</v>
      </c>
      <c r="L43" s="325">
        <f>J43/K43</f>
        <v>0</v>
      </c>
      <c r="M43" s="2577" t="s">
        <v>1834</v>
      </c>
      <c r="N43" s="2579"/>
      <c r="O43" s="13">
        <f>SUM(O41:O42)</f>
        <v>0.15</v>
      </c>
      <c r="P43" s="14">
        <v>0.92</v>
      </c>
      <c r="Q43" s="13">
        <f>O43/P43</f>
        <v>0.16304347826086954</v>
      </c>
      <c r="R43" s="2577" t="s">
        <v>1833</v>
      </c>
      <c r="S43" s="2578"/>
      <c r="T43" s="2579"/>
      <c r="U43" s="13">
        <f>SUM(U41:U41)</f>
        <v>0</v>
      </c>
      <c r="V43" s="14">
        <v>0.92</v>
      </c>
      <c r="W43" s="13">
        <f>U43/V43</f>
        <v>0</v>
      </c>
      <c r="X43" s="82"/>
      <c r="Y43" s="82"/>
      <c r="Z43" s="82"/>
      <c r="AA43" s="82"/>
      <c r="AB43" s="82"/>
    </row>
    <row r="44" spans="1:28" x14ac:dyDescent="0.25">
      <c r="A44" s="390" t="str">
        <f>Итоговая!C92</f>
        <v xml:space="preserve">ПС 35/6 кВ Афанасово </v>
      </c>
      <c r="B44" s="399">
        <f>Итоговая!D92</f>
        <v>1</v>
      </c>
      <c r="C44" s="400" t="str">
        <f>Итоговая!E92</f>
        <v>+</v>
      </c>
      <c r="D44" s="400">
        <f>Итоговая!F92</f>
        <v>1.8</v>
      </c>
      <c r="E44" s="400"/>
      <c r="F44" s="401"/>
      <c r="G44" s="2665"/>
      <c r="H44" s="2666"/>
      <c r="I44" s="2667"/>
      <c r="J44" s="17"/>
      <c r="K44" s="17"/>
      <c r="L44" s="73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73"/>
      <c r="X44" s="82"/>
      <c r="Y44" s="82"/>
      <c r="Z44" s="82"/>
      <c r="AA44" s="82"/>
      <c r="AB44" s="82"/>
    </row>
    <row r="45" spans="1:28" ht="15.75" customHeight="1" thickBot="1" x14ac:dyDescent="0.3">
      <c r="A45" s="394"/>
      <c r="B45" s="395"/>
      <c r="C45" s="396"/>
      <c r="D45" s="396"/>
      <c r="E45" s="396"/>
      <c r="F45" s="397"/>
      <c r="G45" s="2578" t="s">
        <v>1833</v>
      </c>
      <c r="H45" s="2578"/>
      <c r="I45" s="2579"/>
      <c r="J45" s="13">
        <f>SUM(J44:J44)</f>
        <v>0</v>
      </c>
      <c r="K45" s="14">
        <v>0.92</v>
      </c>
      <c r="L45" s="13">
        <f>J45/K45</f>
        <v>0</v>
      </c>
      <c r="M45" s="2577" t="s">
        <v>1834</v>
      </c>
      <c r="N45" s="2579"/>
      <c r="O45" s="13">
        <f>SUM(O44:O44)</f>
        <v>0</v>
      </c>
      <c r="P45" s="14">
        <v>0.92</v>
      </c>
      <c r="Q45" s="13">
        <f>O45/P45</f>
        <v>0</v>
      </c>
      <c r="R45" s="2577" t="s">
        <v>1833</v>
      </c>
      <c r="S45" s="2578"/>
      <c r="T45" s="2579"/>
      <c r="U45" s="13">
        <f>SUM(U44:U44)</f>
        <v>0</v>
      </c>
      <c r="V45" s="14">
        <v>0.92</v>
      </c>
      <c r="W45" s="13">
        <f>U45/V45</f>
        <v>0</v>
      </c>
      <c r="X45" s="82"/>
      <c r="Y45" s="82"/>
      <c r="Z45" s="82"/>
      <c r="AA45" s="82"/>
      <c r="AB45" s="82"/>
    </row>
    <row r="46" spans="1:28" ht="19.5" customHeight="1" x14ac:dyDescent="0.25">
      <c r="A46" s="390" t="str">
        <f>Итоговая!C93</f>
        <v xml:space="preserve">ПС 110/6 кВ Б-4 </v>
      </c>
      <c r="B46" s="399">
        <f>Итоговая!D93</f>
        <v>10</v>
      </c>
      <c r="C46" s="400" t="str">
        <f>Итоговая!E93</f>
        <v>+</v>
      </c>
      <c r="D46" s="400">
        <f>Итоговая!F93</f>
        <v>10</v>
      </c>
      <c r="E46" s="400"/>
      <c r="F46" s="401"/>
      <c r="G46" s="2640" t="s">
        <v>2640</v>
      </c>
      <c r="H46" s="2641" t="s">
        <v>2689</v>
      </c>
      <c r="I46" s="2641" t="s">
        <v>2690</v>
      </c>
      <c r="J46" s="2641">
        <v>0.03</v>
      </c>
      <c r="K46" s="2641"/>
      <c r="L46" s="2641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73"/>
      <c r="X46" s="82"/>
      <c r="Y46" s="82"/>
      <c r="Z46" s="82"/>
      <c r="AA46" s="82"/>
      <c r="AB46" s="82"/>
    </row>
    <row r="47" spans="1:28" ht="60.75" customHeight="1" x14ac:dyDescent="0.25">
      <c r="A47" s="687"/>
      <c r="B47" s="688"/>
      <c r="C47" s="689"/>
      <c r="D47" s="689"/>
      <c r="E47" s="689"/>
      <c r="F47" s="685"/>
      <c r="G47" s="1" t="s">
        <v>2650</v>
      </c>
      <c r="H47" s="1" t="s">
        <v>2689</v>
      </c>
      <c r="I47" s="1" t="s">
        <v>2690</v>
      </c>
      <c r="J47" s="1">
        <v>0.03</v>
      </c>
      <c r="K47" s="1"/>
      <c r="L47" s="22"/>
      <c r="M47" s="1396"/>
      <c r="N47" s="1396"/>
      <c r="O47" s="1396"/>
      <c r="P47" s="1396"/>
      <c r="Q47" s="1396"/>
      <c r="R47" s="1396"/>
      <c r="S47" s="1396"/>
      <c r="T47" s="1396"/>
      <c r="U47" s="1396"/>
      <c r="V47" s="1396"/>
      <c r="W47" s="1408"/>
      <c r="X47" s="82"/>
      <c r="Y47" s="82"/>
      <c r="Z47" s="82"/>
      <c r="AA47" s="82"/>
      <c r="AB47" s="82"/>
    </row>
    <row r="48" spans="1:28" ht="22.5" customHeight="1" x14ac:dyDescent="0.25">
      <c r="A48" s="1406"/>
      <c r="B48" s="1399"/>
      <c r="C48" s="1407"/>
      <c r="D48" s="1407"/>
      <c r="E48" s="1407"/>
      <c r="F48" s="1400"/>
      <c r="G48" s="2625" t="s">
        <v>3447</v>
      </c>
      <c r="H48" s="2625"/>
      <c r="I48" s="2625"/>
      <c r="J48" s="2625"/>
      <c r="K48" s="2625"/>
      <c r="L48" s="2625"/>
      <c r="M48" s="1396"/>
      <c r="N48" s="1396"/>
      <c r="O48" s="1396"/>
      <c r="P48" s="1396"/>
      <c r="Q48" s="1396"/>
      <c r="R48" s="1396"/>
      <c r="S48" s="1396"/>
      <c r="T48" s="1396"/>
      <c r="U48" s="1396"/>
      <c r="V48" s="1396"/>
      <c r="W48" s="1408"/>
      <c r="X48" s="82"/>
      <c r="Y48" s="82"/>
      <c r="Z48" s="82"/>
      <c r="AA48" s="82"/>
      <c r="AB48" s="82"/>
    </row>
    <row r="49" spans="1:28" ht="60.75" customHeight="1" x14ac:dyDescent="0.25">
      <c r="A49" s="1406"/>
      <c r="B49" s="1399"/>
      <c r="C49" s="1407"/>
      <c r="D49" s="1407"/>
      <c r="E49" s="1407"/>
      <c r="F49" s="1400"/>
      <c r="G49" s="1396" t="s">
        <v>3507</v>
      </c>
      <c r="H49" s="1396" t="s">
        <v>3508</v>
      </c>
      <c r="I49" s="1395" t="s">
        <v>3640</v>
      </c>
      <c r="J49" s="1398">
        <f>0.02*0.9</f>
        <v>1.8000000000000002E-2</v>
      </c>
      <c r="K49" s="1398"/>
      <c r="L49" s="62"/>
      <c r="M49" s="1396"/>
      <c r="N49" s="1396"/>
      <c r="O49" s="1396"/>
      <c r="P49" s="1396"/>
      <c r="Q49" s="1396"/>
      <c r="R49" s="1396"/>
      <c r="S49" s="1396"/>
      <c r="T49" s="1396"/>
      <c r="U49" s="1396"/>
      <c r="V49" s="1396"/>
      <c r="W49" s="1408"/>
      <c r="X49" s="82"/>
      <c r="Y49" s="82"/>
      <c r="Z49" s="82"/>
      <c r="AA49" s="82"/>
      <c r="AB49" s="82"/>
    </row>
    <row r="50" spans="1:28" ht="60.75" customHeight="1" thickBot="1" x14ac:dyDescent="0.3">
      <c r="A50" s="2007"/>
      <c r="B50" s="2004"/>
      <c r="C50" s="2005"/>
      <c r="D50" s="2005"/>
      <c r="E50" s="2005"/>
      <c r="F50" s="2006"/>
      <c r="G50" s="2625" t="s">
        <v>17005</v>
      </c>
      <c r="H50" s="2625"/>
      <c r="I50" s="2625"/>
      <c r="J50" s="2625"/>
      <c r="K50" s="2625"/>
      <c r="L50" s="2625"/>
      <c r="M50" s="1997"/>
      <c r="N50" s="1999"/>
      <c r="O50" s="1996"/>
      <c r="P50" s="1996"/>
      <c r="Q50" s="1996"/>
      <c r="R50" s="1997"/>
      <c r="S50" s="1998"/>
      <c r="T50" s="1999"/>
      <c r="U50" s="1996"/>
      <c r="V50" s="1996"/>
      <c r="W50" s="62"/>
      <c r="X50" s="82"/>
      <c r="Y50" s="82"/>
      <c r="Z50" s="82"/>
      <c r="AA50" s="82"/>
      <c r="AB50" s="82"/>
    </row>
    <row r="51" spans="1:28" ht="60.75" customHeight="1" x14ac:dyDescent="0.25">
      <c r="A51" s="2007"/>
      <c r="B51" s="2004"/>
      <c r="C51" s="2005"/>
      <c r="D51" s="2005"/>
      <c r="E51" s="2005"/>
      <c r="F51" s="2006"/>
      <c r="G51" s="17" t="s">
        <v>16706</v>
      </c>
      <c r="H51" s="17" t="s">
        <v>16709</v>
      </c>
      <c r="I51" s="1999" t="s">
        <v>17083</v>
      </c>
      <c r="J51" s="1996">
        <f>1.5671*0.9</f>
        <v>1.41039</v>
      </c>
      <c r="K51" s="1996"/>
      <c r="L51" s="62"/>
      <c r="M51" s="1997"/>
      <c r="N51" s="1999"/>
      <c r="O51" s="1996"/>
      <c r="P51" s="1996"/>
      <c r="Q51" s="1996"/>
      <c r="R51" s="1997"/>
      <c r="S51" s="1998"/>
      <c r="T51" s="1999"/>
      <c r="U51" s="1996"/>
      <c r="V51" s="1996"/>
      <c r="W51" s="62"/>
      <c r="X51" s="82"/>
      <c r="Y51" s="82"/>
      <c r="Z51" s="82"/>
      <c r="AA51" s="82"/>
      <c r="AB51" s="82"/>
    </row>
    <row r="52" spans="1:28" ht="15.75" customHeight="1" thickBot="1" x14ac:dyDescent="0.3">
      <c r="A52" s="394"/>
      <c r="B52" s="395"/>
      <c r="C52" s="396"/>
      <c r="D52" s="396"/>
      <c r="E52" s="396"/>
      <c r="F52" s="397"/>
      <c r="G52" s="2578" t="s">
        <v>1833</v>
      </c>
      <c r="H52" s="2578"/>
      <c r="I52" s="2579"/>
      <c r="J52" s="13">
        <f>SUM(J49:J51)</f>
        <v>1.42839</v>
      </c>
      <c r="K52" s="14">
        <v>0.92</v>
      </c>
      <c r="L52" s="13">
        <f>J52/K52</f>
        <v>1.5525978260869564</v>
      </c>
      <c r="M52" s="2587" t="s">
        <v>1834</v>
      </c>
      <c r="N52" s="2589"/>
      <c r="O52" s="21">
        <f>SUM(O46:O47)</f>
        <v>0</v>
      </c>
      <c r="P52" s="24">
        <v>0.92</v>
      </c>
      <c r="Q52" s="21">
        <f>O52/P52</f>
        <v>0</v>
      </c>
      <c r="R52" s="2587" t="s">
        <v>1833</v>
      </c>
      <c r="S52" s="2588"/>
      <c r="T52" s="2589"/>
      <c r="U52" s="13">
        <f>SUM(U46:U46)</f>
        <v>0</v>
      </c>
      <c r="V52" s="14">
        <v>0.92</v>
      </c>
      <c r="W52" s="13">
        <f>U52/V52</f>
        <v>0</v>
      </c>
      <c r="X52" s="82"/>
      <c r="Y52" s="82"/>
      <c r="Z52" s="82"/>
      <c r="AA52" s="82"/>
      <c r="AB52" s="82"/>
    </row>
    <row r="53" spans="1:28" ht="21.75" customHeight="1" x14ac:dyDescent="0.25">
      <c r="A53" s="390" t="str">
        <f>Итоговая!C94</f>
        <v xml:space="preserve">ПС 35/6 кВ Борисово </v>
      </c>
      <c r="B53" s="399">
        <f>Итоговая!D94</f>
        <v>3.2</v>
      </c>
      <c r="C53" s="400" t="str">
        <f>Итоговая!E94</f>
        <v>+</v>
      </c>
      <c r="D53" s="400">
        <f>Итоговая!F94</f>
        <v>3.2</v>
      </c>
      <c r="E53" s="400"/>
      <c r="F53" s="401"/>
      <c r="G53" s="2625" t="s">
        <v>3447</v>
      </c>
      <c r="H53" s="2625"/>
      <c r="I53" s="2625"/>
      <c r="J53" s="2625"/>
      <c r="K53" s="2625"/>
      <c r="L53" s="2625"/>
      <c r="M53" s="1" t="s">
        <v>73</v>
      </c>
      <c r="N53" s="1" t="s">
        <v>74</v>
      </c>
      <c r="O53" s="327">
        <v>1.4279999999999999</v>
      </c>
      <c r="P53" s="327"/>
      <c r="Q53" s="327"/>
      <c r="R53" s="1"/>
      <c r="S53" s="1"/>
      <c r="T53" s="1"/>
      <c r="U53" s="17"/>
      <c r="V53" s="17"/>
      <c r="W53" s="73"/>
      <c r="X53" s="82"/>
      <c r="Y53" s="82"/>
      <c r="Z53" s="82"/>
      <c r="AA53" s="82"/>
      <c r="AB53" s="82"/>
    </row>
    <row r="54" spans="1:28" ht="70.5" customHeight="1" x14ac:dyDescent="0.25">
      <c r="A54" s="1186"/>
      <c r="B54" s="1183"/>
      <c r="C54" s="1187"/>
      <c r="D54" s="1187"/>
      <c r="E54" s="1187"/>
      <c r="F54" s="1184"/>
      <c r="G54" s="1732"/>
      <c r="H54" s="1732"/>
      <c r="I54" s="327"/>
      <c r="J54" s="1215"/>
      <c r="K54" s="1215"/>
      <c r="L54" s="1218"/>
      <c r="M54" s="1"/>
      <c r="N54" s="1"/>
      <c r="O54" s="327"/>
      <c r="P54" s="327"/>
      <c r="Q54" s="327"/>
      <c r="R54" s="2056" t="s">
        <v>3371</v>
      </c>
      <c r="S54" s="2056" t="s">
        <v>3417</v>
      </c>
      <c r="T54" s="327" t="s">
        <v>19805</v>
      </c>
      <c r="U54" s="2056">
        <f>0.79883</f>
        <v>0.79883000000000004</v>
      </c>
      <c r="V54" s="128"/>
      <c r="W54" s="69"/>
      <c r="X54" s="82"/>
      <c r="Y54" s="82"/>
      <c r="Z54" s="82"/>
      <c r="AA54" s="82"/>
      <c r="AB54" s="82"/>
    </row>
    <row r="55" spans="1:28" ht="15.75" customHeight="1" thickBot="1" x14ac:dyDescent="0.3">
      <c r="A55" s="394"/>
      <c r="B55" s="395"/>
      <c r="C55" s="396"/>
      <c r="D55" s="396"/>
      <c r="E55" s="396"/>
      <c r="F55" s="397"/>
      <c r="G55" s="2578" t="s">
        <v>1833</v>
      </c>
      <c r="H55" s="2578"/>
      <c r="I55" s="2579"/>
      <c r="J55" s="13">
        <f>SUM(J54)</f>
        <v>0</v>
      </c>
      <c r="K55" s="14">
        <v>0.92</v>
      </c>
      <c r="L55" s="13">
        <f>J55/K55</f>
        <v>0</v>
      </c>
      <c r="M55" s="2577" t="s">
        <v>1834</v>
      </c>
      <c r="N55" s="2579"/>
      <c r="O55" s="325">
        <f>SUM(O53:O54)</f>
        <v>1.4279999999999999</v>
      </c>
      <c r="P55" s="326">
        <v>0.92</v>
      </c>
      <c r="Q55" s="325">
        <f>O55/P55</f>
        <v>1.5521739130434782</v>
      </c>
      <c r="R55" s="2577" t="s">
        <v>1833</v>
      </c>
      <c r="S55" s="2578"/>
      <c r="T55" s="2579"/>
      <c r="U55" s="13">
        <f>SUM(U53:U54)</f>
        <v>0.79883000000000004</v>
      </c>
      <c r="V55" s="14">
        <v>0.92</v>
      </c>
      <c r="W55" s="13">
        <f>U55/V55</f>
        <v>0.86829347826086956</v>
      </c>
      <c r="X55" s="82"/>
      <c r="Y55" s="82"/>
      <c r="Z55" s="82"/>
      <c r="AA55" s="82"/>
      <c r="AB55" s="82"/>
    </row>
    <row r="56" spans="1:28" x14ac:dyDescent="0.25">
      <c r="A56" s="398" t="str">
        <f>Итоговая!C95</f>
        <v xml:space="preserve">ПС 35/10 кВ Боровно </v>
      </c>
      <c r="B56" s="399">
        <f>Итоговая!D95</f>
        <v>2.5</v>
      </c>
      <c r="C56" s="400" t="str">
        <f>Итоговая!E95</f>
        <v>+</v>
      </c>
      <c r="D56" s="400">
        <f>Итоговая!F95</f>
        <v>2.5</v>
      </c>
      <c r="E56" s="400"/>
      <c r="F56" s="401"/>
      <c r="G56" s="2655" t="s">
        <v>3447</v>
      </c>
      <c r="H56" s="2655"/>
      <c r="I56" s="2655"/>
      <c r="J56" s="2655"/>
      <c r="K56" s="2655"/>
      <c r="L56" s="2656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73"/>
      <c r="X56" s="82"/>
      <c r="Y56" s="82"/>
      <c r="Z56" s="82"/>
      <c r="AA56" s="82"/>
      <c r="AB56" s="82"/>
    </row>
    <row r="57" spans="1:28" ht="150" x14ac:dyDescent="0.25">
      <c r="A57" s="1473"/>
      <c r="B57" s="1464"/>
      <c r="C57" s="1474"/>
      <c r="D57" s="1474"/>
      <c r="E57" s="1474"/>
      <c r="F57" s="1465"/>
      <c r="G57" s="1460" t="s">
        <v>3525</v>
      </c>
      <c r="H57" s="1460" t="s">
        <v>3526</v>
      </c>
      <c r="I57" s="1460" t="s">
        <v>3632</v>
      </c>
      <c r="J57" s="1460">
        <f>0.07*0.9</f>
        <v>6.3000000000000014E-2</v>
      </c>
      <c r="K57" s="1460"/>
      <c r="L57" s="1475"/>
      <c r="M57" s="1476"/>
      <c r="N57" s="1477"/>
      <c r="O57" s="1459"/>
      <c r="P57" s="1459"/>
      <c r="Q57" s="1459"/>
      <c r="R57" s="1476"/>
      <c r="S57" s="1463"/>
      <c r="T57" s="1477"/>
      <c r="U57" s="1459"/>
      <c r="V57" s="1459"/>
      <c r="W57" s="69"/>
      <c r="X57" s="82"/>
      <c r="Y57" s="82"/>
      <c r="Z57" s="82"/>
      <c r="AA57" s="82"/>
      <c r="AB57" s="82"/>
    </row>
    <row r="58" spans="1:28" ht="15.75" customHeight="1" thickBot="1" x14ac:dyDescent="0.3">
      <c r="A58" s="394"/>
      <c r="B58" s="395"/>
      <c r="C58" s="396"/>
      <c r="D58" s="396"/>
      <c r="E58" s="396"/>
      <c r="F58" s="397"/>
      <c r="G58" s="2578" t="s">
        <v>1833</v>
      </c>
      <c r="H58" s="2578"/>
      <c r="I58" s="2579"/>
      <c r="J58" s="13">
        <f>SUM(J56:J57)</f>
        <v>6.3000000000000014E-2</v>
      </c>
      <c r="K58" s="14">
        <v>0.92</v>
      </c>
      <c r="L58" s="13">
        <f>J58/K58</f>
        <v>6.8478260869565225E-2</v>
      </c>
      <c r="M58" s="2577" t="s">
        <v>1834</v>
      </c>
      <c r="N58" s="2579"/>
      <c r="O58" s="13">
        <f>SUM(O56:O56)</f>
        <v>0</v>
      </c>
      <c r="P58" s="14">
        <v>0.92</v>
      </c>
      <c r="Q58" s="13">
        <f>O58/P58</f>
        <v>0</v>
      </c>
      <c r="R58" s="2577" t="s">
        <v>1833</v>
      </c>
      <c r="S58" s="2578"/>
      <c r="T58" s="2579"/>
      <c r="U58" s="13">
        <f>SUM(U56:U56)</f>
        <v>0</v>
      </c>
      <c r="V58" s="14">
        <v>0.92</v>
      </c>
      <c r="W58" s="13">
        <f>U58/V58</f>
        <v>0</v>
      </c>
      <c r="X58" s="82"/>
      <c r="Y58" s="82"/>
      <c r="Z58" s="82"/>
      <c r="AA58" s="82"/>
      <c r="AB58" s="82"/>
    </row>
    <row r="59" spans="1:28" x14ac:dyDescent="0.25">
      <c r="A59" s="404" t="str">
        <f>Итоговая!C96</f>
        <v xml:space="preserve">ПС 110/10 кВ Бушевец </v>
      </c>
      <c r="B59" s="399">
        <f>Итоговая!D96</f>
        <v>6.3</v>
      </c>
      <c r="C59" s="400" t="str">
        <f>Итоговая!E96</f>
        <v>+</v>
      </c>
      <c r="D59" s="400">
        <f>Итоговая!F96</f>
        <v>6.3</v>
      </c>
      <c r="E59" s="400"/>
      <c r="F59" s="401"/>
      <c r="G59" s="421"/>
      <c r="H59" s="57"/>
      <c r="I59" s="57"/>
      <c r="J59" s="57"/>
      <c r="K59" s="57"/>
      <c r="L59" s="10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107"/>
      <c r="X59" s="82"/>
      <c r="Y59" s="82"/>
      <c r="Z59" s="82"/>
      <c r="AA59" s="82"/>
      <c r="AB59" s="82"/>
    </row>
    <row r="60" spans="1:28" ht="15.75" customHeight="1" thickBot="1" x14ac:dyDescent="0.3">
      <c r="A60" s="396"/>
      <c r="B60" s="395"/>
      <c r="C60" s="396"/>
      <c r="D60" s="396"/>
      <c r="E60" s="396"/>
      <c r="F60" s="397"/>
      <c r="G60" s="2578" t="s">
        <v>1833</v>
      </c>
      <c r="H60" s="2578"/>
      <c r="I60" s="2579"/>
      <c r="J60" s="13">
        <f>SUM(J59:J59)</f>
        <v>0</v>
      </c>
      <c r="K60" s="14">
        <v>0.92</v>
      </c>
      <c r="L60" s="13">
        <f>J60/K60</f>
        <v>0</v>
      </c>
      <c r="M60" s="2577" t="s">
        <v>1834</v>
      </c>
      <c r="N60" s="2579"/>
      <c r="O60" s="13">
        <f>SUM(O59:O59)</f>
        <v>0</v>
      </c>
      <c r="P60" s="14">
        <v>0.92</v>
      </c>
      <c r="Q60" s="13">
        <f>O60/P60</f>
        <v>0</v>
      </c>
      <c r="R60" s="2587" t="s">
        <v>1833</v>
      </c>
      <c r="S60" s="2588"/>
      <c r="T60" s="2589"/>
      <c r="U60" s="21">
        <f>SUM(U59:U59)</f>
        <v>0</v>
      </c>
      <c r="V60" s="24">
        <v>0.92</v>
      </c>
      <c r="W60" s="21">
        <f>U60/V60</f>
        <v>0</v>
      </c>
      <c r="X60" s="82"/>
      <c r="Y60" s="82"/>
      <c r="Z60" s="82"/>
      <c r="AA60" s="82"/>
      <c r="AB60" s="82"/>
    </row>
    <row r="61" spans="1:28" x14ac:dyDescent="0.25">
      <c r="A61" s="2639" t="str">
        <f>Итоговая!C97</f>
        <v xml:space="preserve">ПС 35/6 кВ Великий Октябрь </v>
      </c>
      <c r="B61" s="2630">
        <f>Итоговая!D97</f>
        <v>6.3</v>
      </c>
      <c r="C61" s="2632" t="str">
        <f>Итоговая!E97</f>
        <v>+</v>
      </c>
      <c r="D61" s="2632">
        <f>Итоговая!F97</f>
        <v>4</v>
      </c>
      <c r="E61" s="400"/>
      <c r="F61" s="401"/>
      <c r="G61" s="2598" t="s">
        <v>2032</v>
      </c>
      <c r="H61" s="2626"/>
      <c r="I61" s="2626"/>
      <c r="J61" s="2626"/>
      <c r="K61" s="2626"/>
      <c r="L61" s="2626"/>
      <c r="M61" s="51"/>
      <c r="N61" s="51"/>
      <c r="O61" s="51"/>
      <c r="P61" s="51"/>
      <c r="Q61" s="51"/>
      <c r="R61" s="315"/>
      <c r="S61" s="315"/>
      <c r="T61" s="315"/>
      <c r="U61" s="315"/>
      <c r="V61" s="315"/>
      <c r="W61" s="315"/>
      <c r="X61" s="82"/>
      <c r="Y61" s="82"/>
      <c r="Z61" s="82"/>
      <c r="AA61" s="82"/>
      <c r="AB61" s="82"/>
    </row>
    <row r="62" spans="1:28" ht="64.5" customHeight="1" thickBot="1" x14ac:dyDescent="0.3">
      <c r="A62" s="2639"/>
      <c r="B62" s="2631"/>
      <c r="C62" s="2633"/>
      <c r="D62" s="2633"/>
      <c r="E62" s="404"/>
      <c r="F62" s="405"/>
      <c r="G62" s="152" t="s">
        <v>1934</v>
      </c>
      <c r="H62" s="1" t="s">
        <v>1935</v>
      </c>
      <c r="I62" s="1" t="s">
        <v>2226</v>
      </c>
      <c r="J62" s="327">
        <f>0.2-0.15</f>
        <v>5.0000000000000017E-2</v>
      </c>
      <c r="K62" s="327"/>
      <c r="L62" s="337"/>
      <c r="M62" s="22" t="s">
        <v>1932</v>
      </c>
      <c r="N62" s="22" t="s">
        <v>1933</v>
      </c>
      <c r="O62" s="337">
        <v>0.05</v>
      </c>
      <c r="P62" s="337"/>
      <c r="Q62" s="337"/>
      <c r="R62" s="315"/>
      <c r="S62" s="315"/>
      <c r="T62" s="315"/>
      <c r="U62" s="315"/>
      <c r="V62" s="315"/>
      <c r="W62" s="315"/>
      <c r="X62" s="82"/>
      <c r="Y62" s="82"/>
      <c r="Z62" s="82"/>
      <c r="AA62" s="82"/>
      <c r="AB62" s="82"/>
    </row>
    <row r="63" spans="1:28" ht="18" customHeight="1" x14ac:dyDescent="0.25">
      <c r="A63" s="408"/>
      <c r="B63" s="403"/>
      <c r="C63" s="404"/>
      <c r="D63" s="404"/>
      <c r="E63" s="404"/>
      <c r="F63" s="405"/>
      <c r="G63" s="2583" t="s">
        <v>3020</v>
      </c>
      <c r="H63" s="2583"/>
      <c r="I63" s="2583"/>
      <c r="J63" s="2583"/>
      <c r="K63" s="2583"/>
      <c r="L63" s="2584"/>
      <c r="M63" s="1" t="s">
        <v>47</v>
      </c>
      <c r="N63" s="1" t="s">
        <v>48</v>
      </c>
      <c r="O63" s="343">
        <v>0.25</v>
      </c>
      <c r="P63" s="323"/>
      <c r="Q63" s="323"/>
      <c r="R63" s="315"/>
      <c r="S63" s="315"/>
      <c r="T63" s="315"/>
      <c r="U63" s="315"/>
      <c r="V63" s="315"/>
      <c r="W63" s="315"/>
      <c r="X63" s="82"/>
      <c r="Y63" s="82"/>
      <c r="Z63" s="82"/>
      <c r="AA63" s="82"/>
      <c r="AB63" s="82"/>
    </row>
    <row r="64" spans="1:28" ht="60.75" customHeight="1" x14ac:dyDescent="0.25">
      <c r="A64" s="1059"/>
      <c r="B64" s="1056"/>
      <c r="C64" s="1060"/>
      <c r="D64" s="1060"/>
      <c r="E64" s="1060"/>
      <c r="F64" s="1057"/>
      <c r="G64" s="1" t="s">
        <v>3179</v>
      </c>
      <c r="H64" s="1" t="s">
        <v>3180</v>
      </c>
      <c r="I64" s="1" t="s">
        <v>3227</v>
      </c>
      <c r="J64" s="343">
        <f>0.4*0.9</f>
        <v>0.36000000000000004</v>
      </c>
      <c r="K64" s="331"/>
      <c r="L64" s="336"/>
      <c r="M64" s="1229" t="s">
        <v>2404</v>
      </c>
      <c r="N64" s="1229" t="s">
        <v>3441</v>
      </c>
      <c r="O64" s="343">
        <v>0.05</v>
      </c>
      <c r="P64" s="327"/>
      <c r="Q64" s="327"/>
      <c r="R64" s="808"/>
      <c r="S64" s="809"/>
      <c r="T64" s="810"/>
      <c r="U64" s="811"/>
      <c r="V64" s="811"/>
      <c r="W64" s="811"/>
      <c r="X64" s="82"/>
      <c r="Y64" s="82"/>
      <c r="Z64" s="82"/>
      <c r="AA64" s="82"/>
      <c r="AB64" s="82"/>
    </row>
    <row r="65" spans="1:28" ht="60.75" customHeight="1" x14ac:dyDescent="0.25">
      <c r="A65" s="1491"/>
      <c r="B65" s="1504"/>
      <c r="C65" s="1511"/>
      <c r="D65" s="1511"/>
      <c r="E65" s="1511"/>
      <c r="F65" s="1505"/>
      <c r="G65" s="1488"/>
      <c r="H65" s="1488"/>
      <c r="I65" s="1489"/>
      <c r="J65" s="1519"/>
      <c r="K65" s="331"/>
      <c r="L65" s="336"/>
      <c r="M65" s="1490" t="s">
        <v>15347</v>
      </c>
      <c r="N65" s="1489" t="s">
        <v>15348</v>
      </c>
      <c r="O65" s="1519">
        <v>0.16</v>
      </c>
      <c r="P65" s="328"/>
      <c r="Q65" s="328"/>
      <c r="R65" s="808"/>
      <c r="S65" s="809"/>
      <c r="T65" s="810"/>
      <c r="U65" s="811"/>
      <c r="V65" s="811"/>
      <c r="W65" s="811"/>
      <c r="X65" s="82"/>
      <c r="Y65" s="82"/>
      <c r="Z65" s="82"/>
      <c r="AA65" s="82"/>
      <c r="AB65" s="82"/>
    </row>
    <row r="66" spans="1:28" ht="15.75" customHeight="1" thickBot="1" x14ac:dyDescent="0.3">
      <c r="A66" s="408"/>
      <c r="B66" s="395"/>
      <c r="C66" s="396"/>
      <c r="D66" s="396"/>
      <c r="E66" s="396"/>
      <c r="F66" s="397"/>
      <c r="G66" s="2588" t="s">
        <v>1833</v>
      </c>
      <c r="H66" s="2588"/>
      <c r="I66" s="2589"/>
      <c r="J66" s="219">
        <f>SUM(J64)</f>
        <v>0.36000000000000004</v>
      </c>
      <c r="K66" s="328">
        <v>0.92</v>
      </c>
      <c r="L66" s="219">
        <f>J66/K66</f>
        <v>0.39130434782608697</v>
      </c>
      <c r="M66" s="2587" t="s">
        <v>1834</v>
      </c>
      <c r="N66" s="2589"/>
      <c r="O66" s="219">
        <f>SUM(O62:O65)</f>
        <v>0.51</v>
      </c>
      <c r="P66" s="328">
        <v>0.92</v>
      </c>
      <c r="Q66" s="219">
        <f>O66/P66</f>
        <v>0.55434782608695654</v>
      </c>
      <c r="R66" s="2587" t="s">
        <v>1833</v>
      </c>
      <c r="S66" s="2588"/>
      <c r="T66" s="2589"/>
      <c r="U66" s="21">
        <f>SUM(U62:U63)</f>
        <v>0</v>
      </c>
      <c r="V66" s="24">
        <v>0.92</v>
      </c>
      <c r="W66" s="21">
        <f>U66/V66</f>
        <v>0</v>
      </c>
      <c r="X66" s="82"/>
      <c r="Y66" s="82"/>
      <c r="Z66" s="82"/>
      <c r="AA66" s="82"/>
      <c r="AB66" s="82"/>
    </row>
    <row r="67" spans="1:28" x14ac:dyDescent="0.25">
      <c r="A67" s="2638" t="str">
        <f>Итоговая!C98</f>
        <v xml:space="preserve">ПС 35/10 кВ Выдропужск </v>
      </c>
      <c r="B67" s="2630">
        <f>Итоговая!D98</f>
        <v>2.5</v>
      </c>
      <c r="C67" s="2632" t="str">
        <f>Итоговая!E98</f>
        <v>+</v>
      </c>
      <c r="D67" s="2632">
        <f>Итоговая!F98</f>
        <v>1.6</v>
      </c>
      <c r="E67" s="400"/>
      <c r="F67" s="401"/>
      <c r="G67" s="2583" t="s">
        <v>1959</v>
      </c>
      <c r="H67" s="2583"/>
      <c r="I67" s="2583"/>
      <c r="J67" s="2583"/>
      <c r="K67" s="2583"/>
      <c r="L67" s="2584"/>
      <c r="M67" s="131"/>
      <c r="N67" s="132"/>
      <c r="O67" s="73"/>
      <c r="P67" s="73"/>
      <c r="Q67" s="73"/>
      <c r="R67" s="315"/>
      <c r="S67" s="315"/>
      <c r="T67" s="315"/>
      <c r="U67" s="315"/>
      <c r="V67" s="315"/>
      <c r="W67" s="315"/>
      <c r="X67" s="82"/>
      <c r="Y67" s="82"/>
      <c r="Z67" s="82"/>
      <c r="AA67" s="82"/>
      <c r="AB67" s="82"/>
    </row>
    <row r="68" spans="1:28" ht="42.75" customHeight="1" thickBot="1" x14ac:dyDescent="0.3">
      <c r="A68" s="2639"/>
      <c r="B68" s="2631"/>
      <c r="C68" s="2633"/>
      <c r="D68" s="2633"/>
      <c r="E68" s="404"/>
      <c r="F68" s="405"/>
      <c r="G68" s="127" t="s">
        <v>1927</v>
      </c>
      <c r="H68" s="51" t="s">
        <v>1928</v>
      </c>
      <c r="I68" s="51" t="s">
        <v>1929</v>
      </c>
      <c r="J68" s="51">
        <v>0.08</v>
      </c>
      <c r="K68" s="51"/>
      <c r="L68" s="51"/>
      <c r="M68" s="51" t="s">
        <v>1901</v>
      </c>
      <c r="N68" s="51" t="s">
        <v>1930</v>
      </c>
      <c r="O68" s="320">
        <v>0.86350000000000005</v>
      </c>
      <c r="P68" s="320"/>
      <c r="Q68" s="320"/>
      <c r="R68" s="2056" t="s">
        <v>3371</v>
      </c>
      <c r="S68" s="2056" t="s">
        <v>3435</v>
      </c>
      <c r="T68" s="333" t="s">
        <v>16879</v>
      </c>
      <c r="U68" s="333">
        <v>0.59211000000000003</v>
      </c>
      <c r="V68" s="315"/>
      <c r="W68" s="315"/>
      <c r="X68" s="82"/>
      <c r="Y68" s="82"/>
      <c r="Z68" s="82"/>
      <c r="AA68" s="82"/>
      <c r="AB68" s="82"/>
    </row>
    <row r="69" spans="1:28" ht="41.25" customHeight="1" x14ac:dyDescent="0.25">
      <c r="A69" s="408"/>
      <c r="B69" s="403"/>
      <c r="C69" s="404"/>
      <c r="D69" s="404"/>
      <c r="E69" s="404"/>
      <c r="F69" s="405"/>
      <c r="G69" s="2583" t="s">
        <v>3447</v>
      </c>
      <c r="H69" s="2583"/>
      <c r="I69" s="2583"/>
      <c r="J69" s="2583"/>
      <c r="K69" s="2583"/>
      <c r="L69" s="2584"/>
      <c r="M69" s="24" t="s">
        <v>2140</v>
      </c>
      <c r="N69" s="24" t="s">
        <v>2141</v>
      </c>
      <c r="O69" s="330">
        <v>0.05</v>
      </c>
      <c r="P69" s="334"/>
      <c r="Q69" s="334"/>
      <c r="R69" s="811"/>
      <c r="S69" s="811"/>
      <c r="T69" s="811"/>
      <c r="U69" s="811"/>
      <c r="V69" s="811"/>
      <c r="W69" s="811"/>
      <c r="X69" s="82"/>
      <c r="Y69" s="82"/>
      <c r="Z69" s="82"/>
      <c r="AA69" s="82"/>
      <c r="AB69" s="82"/>
    </row>
    <row r="70" spans="1:28" ht="41.25" customHeight="1" x14ac:dyDescent="0.25">
      <c r="A70" s="1165"/>
      <c r="B70" s="1162"/>
      <c r="C70" s="1166"/>
      <c r="D70" s="1166"/>
      <c r="E70" s="1166"/>
      <c r="F70" s="1163"/>
      <c r="G70" s="1732"/>
      <c r="H70" s="1732"/>
      <c r="I70" s="333"/>
      <c r="J70" s="333"/>
      <c r="K70" s="22"/>
      <c r="L70" s="22"/>
      <c r="M70" s="1"/>
      <c r="N70" s="1229"/>
      <c r="O70" s="333"/>
      <c r="P70" s="333"/>
      <c r="Q70" s="333"/>
      <c r="R70" s="315"/>
      <c r="S70" s="315"/>
      <c r="T70" s="315"/>
      <c r="U70" s="315"/>
      <c r="V70" s="315"/>
      <c r="W70" s="315"/>
      <c r="X70" s="82"/>
      <c r="Y70" s="82"/>
      <c r="Z70" s="82"/>
      <c r="AA70" s="82"/>
      <c r="AB70" s="82"/>
    </row>
    <row r="71" spans="1:28" ht="41.25" customHeight="1" x14ac:dyDescent="0.25">
      <c r="A71" s="1238"/>
      <c r="B71" s="1231"/>
      <c r="C71" s="1239"/>
      <c r="D71" s="1239"/>
      <c r="E71" s="1239"/>
      <c r="F71" s="1232"/>
      <c r="G71" s="1240"/>
      <c r="H71" s="1240"/>
      <c r="I71" s="1240"/>
      <c r="J71" s="1240"/>
      <c r="K71" s="1240"/>
      <c r="L71" s="1240"/>
      <c r="M71" s="1696" t="s">
        <v>15307</v>
      </c>
      <c r="N71" s="1696" t="s">
        <v>16803</v>
      </c>
      <c r="O71" s="333">
        <v>2.5000000000000001E-2</v>
      </c>
      <c r="P71" s="333"/>
      <c r="Q71" s="333"/>
      <c r="R71" s="315"/>
      <c r="S71" s="315"/>
      <c r="T71" s="315"/>
      <c r="U71" s="315"/>
      <c r="V71" s="315"/>
      <c r="W71" s="315"/>
      <c r="X71" s="82"/>
      <c r="Y71" s="82"/>
      <c r="Z71" s="82"/>
      <c r="AA71" s="82"/>
      <c r="AB71" s="82"/>
    </row>
    <row r="72" spans="1:28" ht="15.75" customHeight="1" thickBot="1" x14ac:dyDescent="0.3">
      <c r="A72" s="394"/>
      <c r="B72" s="395"/>
      <c r="C72" s="396"/>
      <c r="D72" s="396"/>
      <c r="E72" s="396"/>
      <c r="F72" s="397"/>
      <c r="G72" s="2578" t="s">
        <v>1833</v>
      </c>
      <c r="H72" s="2578"/>
      <c r="I72" s="2579"/>
      <c r="J72" s="321">
        <f>SUM(J70)</f>
        <v>0</v>
      </c>
      <c r="K72" s="14">
        <v>0.92</v>
      </c>
      <c r="L72" s="13">
        <f>J72/K72</f>
        <v>0</v>
      </c>
      <c r="M72" s="2577" t="s">
        <v>1834</v>
      </c>
      <c r="N72" s="2579"/>
      <c r="O72" s="321">
        <f>SUM(O68:O71)</f>
        <v>0.93850000000000011</v>
      </c>
      <c r="P72" s="322">
        <v>0.92</v>
      </c>
      <c r="Q72" s="321">
        <f>O72/P72</f>
        <v>1.0201086956521739</v>
      </c>
      <c r="R72" s="2587" t="s">
        <v>1833</v>
      </c>
      <c r="S72" s="2588"/>
      <c r="T72" s="2589"/>
      <c r="U72" s="329">
        <f>SUM(U68:U68)</f>
        <v>0.59211000000000003</v>
      </c>
      <c r="V72" s="24">
        <v>0.92</v>
      </c>
      <c r="W72" s="21">
        <f>U72/V72</f>
        <v>0.64359782608695648</v>
      </c>
      <c r="X72" s="82"/>
      <c r="Y72" s="82"/>
      <c r="Z72" s="82"/>
      <c r="AA72" s="82"/>
      <c r="AB72" s="82"/>
    </row>
    <row r="73" spans="1:28" x14ac:dyDescent="0.25">
      <c r="A73" s="2638" t="str">
        <f>Итоговая!C99</f>
        <v xml:space="preserve">ПС 35/10 кВ Голубые Озера  </v>
      </c>
      <c r="B73" s="2630">
        <f>Итоговая!D99</f>
        <v>2.5</v>
      </c>
      <c r="C73" s="2632" t="str">
        <f>Итоговая!E99</f>
        <v>+</v>
      </c>
      <c r="D73" s="2632">
        <f>Итоговая!F99</f>
        <v>1.6</v>
      </c>
      <c r="E73" s="400"/>
      <c r="F73" s="401"/>
      <c r="G73" s="2583" t="s">
        <v>1959</v>
      </c>
      <c r="H73" s="2583"/>
      <c r="I73" s="2583"/>
      <c r="J73" s="2583"/>
      <c r="K73" s="2583"/>
      <c r="L73" s="2584"/>
      <c r="M73" s="131"/>
      <c r="N73" s="161"/>
      <c r="O73" s="73"/>
      <c r="P73" s="73"/>
      <c r="Q73" s="73"/>
      <c r="R73" s="315"/>
      <c r="S73" s="315"/>
      <c r="T73" s="315"/>
      <c r="U73" s="315"/>
      <c r="V73" s="315"/>
      <c r="W73" s="315"/>
      <c r="X73" s="82"/>
      <c r="Y73" s="82"/>
      <c r="Z73" s="82"/>
      <c r="AA73" s="82"/>
      <c r="AB73" s="82"/>
    </row>
    <row r="74" spans="1:28" ht="47.25" customHeight="1" x14ac:dyDescent="0.25">
      <c r="A74" s="2639"/>
      <c r="B74" s="2631"/>
      <c r="C74" s="2633"/>
      <c r="D74" s="2633"/>
      <c r="E74" s="404"/>
      <c r="F74" s="405"/>
      <c r="G74" s="127" t="s">
        <v>1924</v>
      </c>
      <c r="H74" s="51" t="s">
        <v>1925</v>
      </c>
      <c r="I74" s="51" t="s">
        <v>1926</v>
      </c>
      <c r="J74" s="51">
        <v>0.06</v>
      </c>
      <c r="K74" s="51"/>
      <c r="L74" s="51"/>
      <c r="M74" s="126"/>
      <c r="N74" s="126"/>
      <c r="O74" s="51"/>
      <c r="P74" s="51"/>
      <c r="Q74" s="51"/>
      <c r="R74" s="315"/>
      <c r="S74" s="315"/>
      <c r="T74" s="315"/>
      <c r="U74" s="315"/>
      <c r="V74" s="315"/>
      <c r="W74" s="315"/>
      <c r="X74" s="82"/>
      <c r="Y74" s="82"/>
      <c r="Z74" s="82"/>
      <c r="AA74" s="82"/>
      <c r="AB74" s="82"/>
    </row>
    <row r="75" spans="1:28" ht="15.75" customHeight="1" thickBot="1" x14ac:dyDescent="0.3">
      <c r="A75" s="394"/>
      <c r="B75" s="395"/>
      <c r="C75" s="396"/>
      <c r="D75" s="396"/>
      <c r="E75" s="396"/>
      <c r="F75" s="397"/>
      <c r="G75" s="2578" t="s">
        <v>1833</v>
      </c>
      <c r="H75" s="2578"/>
      <c r="I75" s="2579"/>
      <c r="J75" s="13">
        <f>SUM(0)</f>
        <v>0</v>
      </c>
      <c r="K75" s="14">
        <v>0.92</v>
      </c>
      <c r="L75" s="13">
        <f>J75/K75</f>
        <v>0</v>
      </c>
      <c r="M75" s="2577" t="s">
        <v>1834</v>
      </c>
      <c r="N75" s="2579"/>
      <c r="O75" s="13">
        <f>SUM(O74:O74)</f>
        <v>0</v>
      </c>
      <c r="P75" s="14">
        <v>0.92</v>
      </c>
      <c r="Q75" s="13">
        <f>O75/P75</f>
        <v>0</v>
      </c>
      <c r="R75" s="2577" t="s">
        <v>1833</v>
      </c>
      <c r="S75" s="2578"/>
      <c r="T75" s="2579"/>
      <c r="U75" s="13">
        <f>SUM(U74:U74)</f>
        <v>0</v>
      </c>
      <c r="V75" s="14">
        <v>0.92</v>
      </c>
      <c r="W75" s="13">
        <f>U75/V75</f>
        <v>0</v>
      </c>
      <c r="X75" s="82"/>
      <c r="Y75" s="82"/>
      <c r="Z75" s="82"/>
      <c r="AA75" s="82"/>
      <c r="AB75" s="82"/>
    </row>
    <row r="76" spans="1:28" x14ac:dyDescent="0.25">
      <c r="A76" s="390" t="str">
        <f>Итоговая!C100</f>
        <v xml:space="preserve">ПС 35/6 кВ Городок </v>
      </c>
      <c r="B76" s="399">
        <f>Итоговая!D100</f>
        <v>1.6</v>
      </c>
      <c r="C76" s="400" t="str">
        <f>Итоговая!E100</f>
        <v>+</v>
      </c>
      <c r="D76" s="400">
        <f>Итоговая!F100</f>
        <v>1.6</v>
      </c>
      <c r="E76" s="400"/>
      <c r="F76" s="401"/>
      <c r="G76" s="43"/>
      <c r="H76" s="17"/>
      <c r="I76" s="17"/>
      <c r="J76" s="17"/>
      <c r="K76" s="17"/>
      <c r="L76" s="73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73"/>
      <c r="X76" s="82"/>
      <c r="Y76" s="82"/>
      <c r="Z76" s="82"/>
      <c r="AA76" s="82"/>
      <c r="AB76" s="82"/>
    </row>
    <row r="77" spans="1:28" ht="15.75" customHeight="1" thickBot="1" x14ac:dyDescent="0.3">
      <c r="A77" s="394"/>
      <c r="B77" s="395"/>
      <c r="C77" s="396"/>
      <c r="D77" s="396"/>
      <c r="E77" s="396"/>
      <c r="F77" s="397"/>
      <c r="G77" s="2578" t="s">
        <v>1833</v>
      </c>
      <c r="H77" s="2578"/>
      <c r="I77" s="2579"/>
      <c r="J77" s="13">
        <f>SUM(J76:J76)</f>
        <v>0</v>
      </c>
      <c r="K77" s="14">
        <v>0.92</v>
      </c>
      <c r="L77" s="13">
        <f>J77/K77</f>
        <v>0</v>
      </c>
      <c r="M77" s="2587" t="s">
        <v>1834</v>
      </c>
      <c r="N77" s="2589"/>
      <c r="O77" s="13">
        <f>SUM(O76:O76)</f>
        <v>0</v>
      </c>
      <c r="P77" s="14">
        <v>0.92</v>
      </c>
      <c r="Q77" s="13">
        <f>O77/P77</f>
        <v>0</v>
      </c>
      <c r="R77" s="2577" t="s">
        <v>1833</v>
      </c>
      <c r="S77" s="2578"/>
      <c r="T77" s="2579"/>
      <c r="U77" s="13">
        <f>SUM(U76:U76)</f>
        <v>0</v>
      </c>
      <c r="V77" s="14">
        <v>0.92</v>
      </c>
      <c r="W77" s="13">
        <f>U77/V77</f>
        <v>0</v>
      </c>
      <c r="X77" s="82"/>
      <c r="Y77" s="82"/>
      <c r="Z77" s="82"/>
      <c r="AA77" s="82"/>
      <c r="AB77" s="82"/>
    </row>
    <row r="78" spans="1:28" x14ac:dyDescent="0.25">
      <c r="A78" s="412" t="str">
        <f>Итоговая!C101</f>
        <v xml:space="preserve">ПС 35/10 кВ ДОЗ </v>
      </c>
      <c r="B78" s="399">
        <f>Итоговая!D101</f>
        <v>4</v>
      </c>
      <c r="C78" s="400" t="str">
        <f>Итоговая!E101</f>
        <v>+</v>
      </c>
      <c r="D78" s="400">
        <f>Итоговая!F101</f>
        <v>4</v>
      </c>
      <c r="E78" s="400"/>
      <c r="F78" s="401"/>
      <c r="G78" s="43"/>
      <c r="H78" s="17"/>
      <c r="I78" s="17"/>
      <c r="J78" s="17"/>
      <c r="K78" s="17"/>
      <c r="L78" s="73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73"/>
      <c r="X78" s="82"/>
      <c r="Y78" s="82"/>
      <c r="Z78" s="82"/>
      <c r="AA78" s="82"/>
      <c r="AB78" s="82"/>
    </row>
    <row r="79" spans="1:28" ht="15.75" customHeight="1" thickBot="1" x14ac:dyDescent="0.3">
      <c r="A79" s="410"/>
      <c r="B79" s="395"/>
      <c r="C79" s="396"/>
      <c r="D79" s="396"/>
      <c r="E79" s="396"/>
      <c r="F79" s="397"/>
      <c r="G79" s="2578" t="s">
        <v>1833</v>
      </c>
      <c r="H79" s="2578"/>
      <c r="I79" s="2579"/>
      <c r="J79" s="13">
        <f>SUM(J78:J78)</f>
        <v>0</v>
      </c>
      <c r="K79" s="14">
        <v>0.92</v>
      </c>
      <c r="L79" s="13">
        <f>J79/K79</f>
        <v>0</v>
      </c>
      <c r="M79" s="2577" t="s">
        <v>1834</v>
      </c>
      <c r="N79" s="2579"/>
      <c r="O79" s="13">
        <f>SUM(O78:O78)</f>
        <v>0</v>
      </c>
      <c r="P79" s="14">
        <v>0.92</v>
      </c>
      <c r="Q79" s="13">
        <f>O79/P79</f>
        <v>0</v>
      </c>
      <c r="R79" s="2587" t="s">
        <v>1833</v>
      </c>
      <c r="S79" s="2588"/>
      <c r="T79" s="2589"/>
      <c r="U79" s="21">
        <f>SUM(U78:U78)</f>
        <v>0</v>
      </c>
      <c r="V79" s="24">
        <v>0.92</v>
      </c>
      <c r="W79" s="21">
        <f>U79/V79</f>
        <v>0</v>
      </c>
      <c r="X79" s="82"/>
      <c r="Y79" s="82"/>
      <c r="Z79" s="82"/>
      <c r="AA79" s="82"/>
      <c r="AB79" s="82"/>
    </row>
    <row r="80" spans="1:28" x14ac:dyDescent="0.25">
      <c r="A80" s="2633" t="str">
        <f>Итоговая!C102</f>
        <v xml:space="preserve">ПС 35/10 кВ Дятлово </v>
      </c>
      <c r="B80" s="2631">
        <f>Итоговая!D102</f>
        <v>1.6</v>
      </c>
      <c r="C80" s="2633" t="str">
        <f>Итоговая!E102</f>
        <v>+</v>
      </c>
      <c r="D80" s="2633">
        <f>Итоговая!F102</f>
        <v>1.6</v>
      </c>
      <c r="E80" s="404"/>
      <c r="F80" s="405"/>
      <c r="G80" s="2598" t="s">
        <v>2032</v>
      </c>
      <c r="H80" s="2626"/>
      <c r="I80" s="2626"/>
      <c r="J80" s="2626"/>
      <c r="K80" s="2626"/>
      <c r="L80" s="2626"/>
      <c r="M80" s="51"/>
      <c r="N80" s="51"/>
      <c r="O80" s="51"/>
      <c r="P80" s="51"/>
      <c r="Q80" s="51"/>
      <c r="R80" s="315"/>
      <c r="S80" s="315"/>
      <c r="T80" s="315"/>
      <c r="U80" s="315"/>
      <c r="V80" s="315"/>
      <c r="W80" s="315"/>
      <c r="X80" s="82"/>
      <c r="Y80" s="82"/>
      <c r="Z80" s="82"/>
      <c r="AA80" s="82"/>
      <c r="AB80" s="82"/>
    </row>
    <row r="81" spans="1:28" ht="60" x14ac:dyDescent="0.25">
      <c r="A81" s="2633"/>
      <c r="B81" s="2631"/>
      <c r="C81" s="2633"/>
      <c r="D81" s="2633"/>
      <c r="E81" s="404"/>
      <c r="F81" s="405"/>
      <c r="G81" s="272" t="s">
        <v>1435</v>
      </c>
      <c r="H81" s="22" t="s">
        <v>1436</v>
      </c>
      <c r="I81" s="22" t="s">
        <v>2229</v>
      </c>
      <c r="J81" s="22">
        <v>0.1</v>
      </c>
      <c r="K81" s="22"/>
      <c r="L81" s="22"/>
      <c r="M81" s="266"/>
      <c r="N81" s="266"/>
      <c r="O81" s="266"/>
      <c r="P81" s="22"/>
      <c r="Q81" s="22"/>
      <c r="R81" s="315"/>
      <c r="S81" s="315"/>
      <c r="T81" s="315"/>
      <c r="U81" s="315"/>
      <c r="V81" s="315"/>
      <c r="W81" s="315"/>
      <c r="X81" s="82"/>
      <c r="Y81" s="82"/>
      <c r="Z81" s="82"/>
      <c r="AA81" s="82"/>
      <c r="AB81" s="82"/>
    </row>
    <row r="82" spans="1:28" ht="15.75" customHeight="1" thickBot="1" x14ac:dyDescent="0.3">
      <c r="A82" s="396"/>
      <c r="B82" s="395"/>
      <c r="C82" s="396"/>
      <c r="D82" s="396"/>
      <c r="E82" s="396"/>
      <c r="F82" s="397"/>
      <c r="G82" s="2643" t="s">
        <v>1833</v>
      </c>
      <c r="H82" s="2643"/>
      <c r="I82" s="2603"/>
      <c r="J82" s="140">
        <f>SUM(0)</f>
        <v>0</v>
      </c>
      <c r="K82" s="141">
        <v>0.92</v>
      </c>
      <c r="L82" s="140">
        <f>J82/K82</f>
        <v>0</v>
      </c>
      <c r="M82" s="2613" t="s">
        <v>1834</v>
      </c>
      <c r="N82" s="2603"/>
      <c r="O82" s="140">
        <f>SUM(I81:I81)</f>
        <v>0</v>
      </c>
      <c r="P82" s="141">
        <v>0.92</v>
      </c>
      <c r="Q82" s="140">
        <f>O82/P82</f>
        <v>0</v>
      </c>
      <c r="R82" s="2613" t="s">
        <v>1833</v>
      </c>
      <c r="S82" s="2643"/>
      <c r="T82" s="2603"/>
      <c r="U82" s="140">
        <f>SUM(U81:U81)</f>
        <v>0</v>
      </c>
      <c r="V82" s="141">
        <v>0.92</v>
      </c>
      <c r="W82" s="140">
        <f>U82/V82</f>
        <v>0</v>
      </c>
      <c r="X82" s="82"/>
      <c r="Y82" s="82"/>
      <c r="Z82" s="82"/>
      <c r="AA82" s="82"/>
      <c r="AB82" s="82"/>
    </row>
    <row r="83" spans="1:28" ht="48" customHeight="1" x14ac:dyDescent="0.25">
      <c r="A83" s="408" t="str">
        <f>Итоговая!C103</f>
        <v xml:space="preserve">ПС 35/10 кВ Есеновичи </v>
      </c>
      <c r="B83" s="399">
        <f>Итоговая!D103</f>
        <v>1.8</v>
      </c>
      <c r="C83" s="400" t="str">
        <f>Итоговая!E103</f>
        <v>+</v>
      </c>
      <c r="D83" s="400">
        <f>Итоговая!F103</f>
        <v>2.5</v>
      </c>
      <c r="E83" s="400"/>
      <c r="F83" s="401"/>
      <c r="G83" s="43"/>
      <c r="H83" s="17"/>
      <c r="I83" s="17"/>
      <c r="J83" s="17"/>
      <c r="K83" s="17"/>
      <c r="L83" s="73"/>
      <c r="M83" s="17" t="s">
        <v>1893</v>
      </c>
      <c r="N83" s="17" t="s">
        <v>1894</v>
      </c>
      <c r="O83" s="17">
        <v>0.1</v>
      </c>
      <c r="P83" s="17"/>
      <c r="Q83" s="17"/>
      <c r="R83" s="17"/>
      <c r="S83" s="17"/>
      <c r="T83" s="17"/>
      <c r="U83" s="17"/>
      <c r="V83" s="17"/>
      <c r="W83" s="73"/>
      <c r="X83" s="82"/>
      <c r="Y83" s="82"/>
      <c r="Z83" s="82"/>
      <c r="AA83" s="82"/>
      <c r="AB83" s="82"/>
    </row>
    <row r="84" spans="1:28" ht="15.75" customHeight="1" thickBot="1" x14ac:dyDescent="0.3">
      <c r="A84" s="394"/>
      <c r="B84" s="395"/>
      <c r="C84" s="396"/>
      <c r="D84" s="396"/>
      <c r="E84" s="396"/>
      <c r="F84" s="397"/>
      <c r="G84" s="2588" t="s">
        <v>1833</v>
      </c>
      <c r="H84" s="2588"/>
      <c r="I84" s="2589"/>
      <c r="J84" s="21">
        <f>SUM(J83:J83)</f>
        <v>0</v>
      </c>
      <c r="K84" s="24">
        <v>0.92</v>
      </c>
      <c r="L84" s="21">
        <f>J84/K84</f>
        <v>0</v>
      </c>
      <c r="M84" s="2577" t="s">
        <v>1834</v>
      </c>
      <c r="N84" s="2579"/>
      <c r="O84" s="13">
        <f>SUM(O83:O83)</f>
        <v>0.1</v>
      </c>
      <c r="P84" s="14">
        <v>0.92</v>
      </c>
      <c r="Q84" s="13">
        <f>O84/P84</f>
        <v>0.10869565217391304</v>
      </c>
      <c r="R84" s="2577" t="s">
        <v>1833</v>
      </c>
      <c r="S84" s="2578"/>
      <c r="T84" s="2579"/>
      <c r="U84" s="13">
        <f>SUM(U83:U83)</f>
        <v>0</v>
      </c>
      <c r="V84" s="14">
        <v>0.92</v>
      </c>
      <c r="W84" s="13">
        <f>U84/V84</f>
        <v>0</v>
      </c>
      <c r="X84" s="82"/>
      <c r="Y84" s="82"/>
      <c r="Z84" s="82"/>
      <c r="AA84" s="82"/>
      <c r="AB84" s="82"/>
    </row>
    <row r="85" spans="1:28" ht="15.75" customHeight="1" x14ac:dyDescent="0.25">
      <c r="A85" s="2628" t="str">
        <f>Итоговая!C104</f>
        <v xml:space="preserve">ПС 35/10 кВ ЖБИ  </v>
      </c>
      <c r="B85" s="2630">
        <f>Итоговая!D104</f>
        <v>2.5</v>
      </c>
      <c r="C85" s="2632" t="str">
        <f>Итоговая!E104</f>
        <v>+</v>
      </c>
      <c r="D85" s="2632">
        <f>Итоговая!F104</f>
        <v>2.5</v>
      </c>
      <c r="E85" s="2632"/>
      <c r="F85" s="2634"/>
      <c r="G85" s="2625" t="s">
        <v>3020</v>
      </c>
      <c r="H85" s="2625"/>
      <c r="I85" s="2625"/>
      <c r="J85" s="2625"/>
      <c r="K85" s="2625"/>
      <c r="L85" s="2625"/>
      <c r="M85" s="646"/>
      <c r="N85" s="312"/>
      <c r="O85" s="69"/>
      <c r="P85" s="69"/>
      <c r="Q85" s="69"/>
      <c r="R85" s="646"/>
      <c r="S85" s="71"/>
      <c r="T85" s="312"/>
      <c r="U85" s="69"/>
      <c r="V85" s="69"/>
      <c r="W85" s="160"/>
      <c r="X85" s="82"/>
      <c r="Y85" s="82"/>
      <c r="Z85" s="82"/>
      <c r="AA85" s="82"/>
      <c r="AB85" s="82"/>
    </row>
    <row r="86" spans="1:28" ht="105" x14ac:dyDescent="0.25">
      <c r="A86" s="2629"/>
      <c r="B86" s="2631"/>
      <c r="C86" s="2633"/>
      <c r="D86" s="2633"/>
      <c r="E86" s="2633"/>
      <c r="F86" s="2635"/>
      <c r="G86" s="22" t="s">
        <v>2829</v>
      </c>
      <c r="H86" s="22" t="s">
        <v>3270</v>
      </c>
      <c r="I86" s="1" t="s">
        <v>3361</v>
      </c>
      <c r="J86" s="1">
        <f>0.2*0.9</f>
        <v>0.18000000000000002</v>
      </c>
      <c r="K86" s="1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82"/>
      <c r="Y86" s="82"/>
      <c r="Z86" s="82"/>
      <c r="AA86" s="82"/>
      <c r="AB86" s="82"/>
    </row>
    <row r="87" spans="1:28" ht="15.75" customHeight="1" thickBot="1" x14ac:dyDescent="0.3">
      <c r="A87" s="394"/>
      <c r="B87" s="395"/>
      <c r="C87" s="396"/>
      <c r="D87" s="396"/>
      <c r="E87" s="396"/>
      <c r="F87" s="397"/>
      <c r="G87" s="2578" t="s">
        <v>1833</v>
      </c>
      <c r="H87" s="2578"/>
      <c r="I87" s="2579"/>
      <c r="J87" s="13">
        <f>SUM(J86:J86)</f>
        <v>0.18000000000000002</v>
      </c>
      <c r="K87" s="14">
        <v>0.92</v>
      </c>
      <c r="L87" s="13">
        <f>J87/K87</f>
        <v>0.19565217391304349</v>
      </c>
      <c r="M87" s="2587" t="s">
        <v>1834</v>
      </c>
      <c r="N87" s="2589"/>
      <c r="O87" s="21">
        <f>SUM(O86:O86)</f>
        <v>0</v>
      </c>
      <c r="P87" s="14">
        <v>0.92</v>
      </c>
      <c r="Q87" s="13">
        <f>O87/P87</f>
        <v>0</v>
      </c>
      <c r="R87" s="2577" t="s">
        <v>1833</v>
      </c>
      <c r="S87" s="2578"/>
      <c r="T87" s="2579"/>
      <c r="U87" s="13">
        <f>SUM(U86:U86)</f>
        <v>0</v>
      </c>
      <c r="V87" s="14">
        <v>0.92</v>
      </c>
      <c r="W87" s="13">
        <f>U87/V87</f>
        <v>0</v>
      </c>
      <c r="X87" s="82"/>
      <c r="Y87" s="82"/>
      <c r="Z87" s="82"/>
      <c r="AA87" s="82"/>
      <c r="AB87" s="82"/>
    </row>
    <row r="88" spans="1:28" ht="45" x14ac:dyDescent="0.25">
      <c r="A88" s="390" t="str">
        <f>Итоговая!C105</f>
        <v>ПС  35/10 кВ Заозерная</v>
      </c>
      <c r="B88" s="399">
        <f>Итоговая!D105</f>
        <v>6.3</v>
      </c>
      <c r="C88" s="400" t="str">
        <f>Итоговая!E105</f>
        <v>+</v>
      </c>
      <c r="D88" s="400">
        <f>Итоговая!F105</f>
        <v>6.3</v>
      </c>
      <c r="E88" s="400"/>
      <c r="F88" s="401"/>
      <c r="G88" s="43"/>
      <c r="H88" s="18"/>
      <c r="I88" s="17"/>
      <c r="J88" s="18"/>
      <c r="K88" s="17"/>
      <c r="L88" s="73"/>
      <c r="M88" s="17" t="s">
        <v>1864</v>
      </c>
      <c r="N88" s="17" t="s">
        <v>1900</v>
      </c>
      <c r="O88" s="17">
        <v>0.09</v>
      </c>
      <c r="P88" s="17"/>
      <c r="Q88" s="17"/>
      <c r="R88" s="17"/>
      <c r="S88" s="18"/>
      <c r="T88" s="17"/>
      <c r="U88" s="18"/>
      <c r="V88" s="17"/>
      <c r="W88" s="73"/>
      <c r="X88" s="82"/>
      <c r="Y88" s="82"/>
      <c r="Z88" s="82"/>
      <c r="AA88" s="82"/>
      <c r="AB88" s="82"/>
    </row>
    <row r="89" spans="1:28" ht="30" x14ac:dyDescent="0.25">
      <c r="A89" s="408"/>
      <c r="B89" s="403"/>
      <c r="C89" s="404"/>
      <c r="D89" s="404"/>
      <c r="E89" s="404"/>
      <c r="F89" s="405"/>
      <c r="G89" s="152"/>
      <c r="H89" s="1"/>
      <c r="I89" s="1"/>
      <c r="J89" s="1"/>
      <c r="K89" s="1"/>
      <c r="L89" s="22"/>
      <c r="M89" s="1" t="s">
        <v>1901</v>
      </c>
      <c r="N89" s="1" t="s">
        <v>1902</v>
      </c>
      <c r="O89" s="1">
        <v>0.998</v>
      </c>
      <c r="P89" s="1"/>
      <c r="Q89" s="1"/>
      <c r="R89" s="1"/>
      <c r="S89" s="1"/>
      <c r="T89" s="1"/>
      <c r="U89" s="1"/>
      <c r="V89" s="1"/>
      <c r="W89" s="22"/>
      <c r="X89" s="82"/>
      <c r="Y89" s="82"/>
      <c r="Z89" s="82"/>
      <c r="AA89" s="82"/>
      <c r="AB89" s="82"/>
    </row>
    <row r="90" spans="1:28" ht="15.75" customHeight="1" thickBot="1" x14ac:dyDescent="0.3">
      <c r="A90" s="394"/>
      <c r="B90" s="395"/>
      <c r="C90" s="396"/>
      <c r="D90" s="396"/>
      <c r="E90" s="396"/>
      <c r="F90" s="397"/>
      <c r="G90" s="2578" t="s">
        <v>1833</v>
      </c>
      <c r="H90" s="2578"/>
      <c r="I90" s="2579"/>
      <c r="J90" s="13">
        <f>SUM(J88:J89)</f>
        <v>0</v>
      </c>
      <c r="K90" s="14">
        <v>0.92</v>
      </c>
      <c r="L90" s="13">
        <f>J90/K90</f>
        <v>0</v>
      </c>
      <c r="M90" s="2577" t="s">
        <v>1834</v>
      </c>
      <c r="N90" s="2579"/>
      <c r="O90" s="13">
        <f>SUM(O88:O89)</f>
        <v>1.0880000000000001</v>
      </c>
      <c r="P90" s="14">
        <v>0.92</v>
      </c>
      <c r="Q90" s="13">
        <f>O90/P90</f>
        <v>1.182608695652174</v>
      </c>
      <c r="R90" s="2577" t="s">
        <v>1833</v>
      </c>
      <c r="S90" s="2578"/>
      <c r="T90" s="2579"/>
      <c r="U90" s="13">
        <f>SUM(U88:U89)</f>
        <v>0</v>
      </c>
      <c r="V90" s="14">
        <v>0.92</v>
      </c>
      <c r="W90" s="13">
        <f>U90/V90</f>
        <v>0</v>
      </c>
      <c r="X90" s="82"/>
      <c r="Y90" s="82"/>
      <c r="Z90" s="82"/>
      <c r="AA90" s="82"/>
      <c r="AB90" s="82"/>
    </row>
    <row r="91" spans="1:28" x14ac:dyDescent="0.25">
      <c r="A91" s="390" t="str">
        <f>Итоговая!C106</f>
        <v xml:space="preserve">ПС 35/10 кВ Княщины  </v>
      </c>
      <c r="B91" s="399">
        <f>Итоговая!D106</f>
        <v>2.5</v>
      </c>
      <c r="C91" s="400" t="str">
        <f>Итоговая!E106</f>
        <v>+</v>
      </c>
      <c r="D91" s="400">
        <f>Итоговая!F106</f>
        <v>2.5</v>
      </c>
      <c r="E91" s="400"/>
      <c r="F91" s="401"/>
      <c r="G91" s="43"/>
      <c r="H91" s="17"/>
      <c r="I91" s="17"/>
      <c r="J91" s="17"/>
      <c r="K91" s="17"/>
      <c r="L91" s="73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73"/>
      <c r="X91" s="82"/>
      <c r="Y91" s="82"/>
      <c r="Z91" s="82"/>
      <c r="AA91" s="82"/>
      <c r="AB91" s="82"/>
    </row>
    <row r="92" spans="1:28" ht="15.75" customHeight="1" thickBot="1" x14ac:dyDescent="0.3">
      <c r="A92" s="394"/>
      <c r="B92" s="395"/>
      <c r="C92" s="396"/>
      <c r="D92" s="396"/>
      <c r="E92" s="396"/>
      <c r="F92" s="397"/>
      <c r="G92" s="2578" t="s">
        <v>1833</v>
      </c>
      <c r="H92" s="2578"/>
      <c r="I92" s="2579"/>
      <c r="J92" s="13">
        <f>SUM(J91:J91)</f>
        <v>0</v>
      </c>
      <c r="K92" s="14">
        <v>0.92</v>
      </c>
      <c r="L92" s="13">
        <f>J92/K92</f>
        <v>0</v>
      </c>
      <c r="M92" s="2587" t="s">
        <v>1834</v>
      </c>
      <c r="N92" s="2589"/>
      <c r="O92" s="21">
        <f>SUM(O91:O91)</f>
        <v>0</v>
      </c>
      <c r="P92" s="1383">
        <v>0.92</v>
      </c>
      <c r="Q92" s="21">
        <f>O92/P92</f>
        <v>0</v>
      </c>
      <c r="R92" s="2587" t="s">
        <v>1833</v>
      </c>
      <c r="S92" s="2588"/>
      <c r="T92" s="2589"/>
      <c r="U92" s="21">
        <f>SUM(U91:U91)</f>
        <v>0</v>
      </c>
      <c r="V92" s="1383">
        <v>0.92</v>
      </c>
      <c r="W92" s="21">
        <f>U92/V92</f>
        <v>0</v>
      </c>
      <c r="X92" s="82"/>
      <c r="Y92" s="82"/>
      <c r="Z92" s="82"/>
      <c r="AA92" s="82"/>
      <c r="AB92" s="82"/>
    </row>
    <row r="93" spans="1:28" ht="27.75" customHeight="1" x14ac:dyDescent="0.25">
      <c r="A93" s="390" t="str">
        <f>Итоговая!C107</f>
        <v xml:space="preserve">ПС 35/10 кВ Козлово </v>
      </c>
      <c r="B93" s="399">
        <f>Итоговая!D107</f>
        <v>1.8</v>
      </c>
      <c r="C93" s="400" t="str">
        <f>Итоговая!E107</f>
        <v>+</v>
      </c>
      <c r="D93" s="400">
        <f>Итоговая!F107</f>
        <v>4</v>
      </c>
      <c r="E93" s="400"/>
      <c r="F93" s="401"/>
      <c r="G93" s="2598" t="s">
        <v>3447</v>
      </c>
      <c r="H93" s="2626"/>
      <c r="I93" s="2626"/>
      <c r="J93" s="2626"/>
      <c r="K93" s="2626"/>
      <c r="L93" s="2626"/>
      <c r="M93" s="1378" t="s">
        <v>3283</v>
      </c>
      <c r="N93" s="1378" t="s">
        <v>3284</v>
      </c>
      <c r="O93" s="1378">
        <v>1.5</v>
      </c>
      <c r="P93" s="1378"/>
      <c r="Q93" s="1378"/>
      <c r="R93" s="1378"/>
      <c r="S93" s="1378"/>
      <c r="T93" s="1378"/>
      <c r="U93" s="1378"/>
      <c r="V93" s="1378"/>
      <c r="W93" s="1392"/>
      <c r="X93" s="82"/>
      <c r="Y93" s="82"/>
      <c r="Z93" s="82"/>
      <c r="AA93" s="82"/>
      <c r="AB93" s="82"/>
    </row>
    <row r="94" spans="1:28" ht="57" customHeight="1" x14ac:dyDescent="0.25">
      <c r="A94" s="1238"/>
      <c r="B94" s="1231"/>
      <c r="C94" s="1239"/>
      <c r="D94" s="1239"/>
      <c r="E94" s="1239"/>
      <c r="F94" s="1232"/>
      <c r="G94" s="1461" t="s">
        <v>3622</v>
      </c>
      <c r="H94" s="1461" t="s">
        <v>3623</v>
      </c>
      <c r="I94" s="1461" t="s">
        <v>15282</v>
      </c>
      <c r="J94" s="1461">
        <f>0.15*0.75</f>
        <v>0.11249999999999999</v>
      </c>
      <c r="K94" s="1230"/>
      <c r="L94" s="1248"/>
      <c r="M94" s="1378" t="s">
        <v>3283</v>
      </c>
      <c r="N94" s="1378" t="s">
        <v>3434</v>
      </c>
      <c r="O94" s="1378">
        <v>0.45</v>
      </c>
      <c r="P94" s="1378"/>
      <c r="Q94" s="1378"/>
      <c r="R94" s="1378"/>
      <c r="S94" s="1378"/>
      <c r="T94" s="1378"/>
      <c r="U94" s="1378"/>
      <c r="V94" s="1378"/>
      <c r="W94" s="1392"/>
      <c r="X94" s="82"/>
      <c r="Y94" s="82"/>
      <c r="Z94" s="82"/>
      <c r="AA94" s="82"/>
      <c r="AB94" s="82"/>
    </row>
    <row r="95" spans="1:28" ht="24" customHeight="1" x14ac:dyDescent="0.25">
      <c r="A95" s="1374"/>
      <c r="B95" s="1381"/>
      <c r="C95" s="1384"/>
      <c r="D95" s="1384"/>
      <c r="E95" s="1384"/>
      <c r="F95" s="1382"/>
      <c r="G95" s="1379"/>
      <c r="H95" s="1379"/>
      <c r="I95" s="1380"/>
      <c r="J95" s="1376"/>
      <c r="K95" s="1376"/>
      <c r="L95" s="149"/>
      <c r="M95" s="1528" t="s">
        <v>3622</v>
      </c>
      <c r="N95" s="1528" t="s">
        <v>16673</v>
      </c>
      <c r="O95" s="1378">
        <v>0.15</v>
      </c>
      <c r="P95" s="1378"/>
      <c r="Q95" s="1378"/>
      <c r="R95" s="1378"/>
      <c r="S95" s="1378"/>
      <c r="T95" s="1378"/>
      <c r="U95" s="1378"/>
      <c r="V95" s="1378"/>
      <c r="W95" s="1392"/>
      <c r="X95" s="82"/>
      <c r="Y95" s="82"/>
      <c r="Z95" s="82"/>
      <c r="AA95" s="82"/>
      <c r="AB95" s="82"/>
    </row>
    <row r="96" spans="1:28" ht="24" customHeight="1" x14ac:dyDescent="0.25">
      <c r="A96" s="1524"/>
      <c r="B96" s="1532"/>
      <c r="C96" s="1535"/>
      <c r="D96" s="1535"/>
      <c r="E96" s="1535"/>
      <c r="F96" s="1533"/>
      <c r="G96" s="1530"/>
      <c r="H96" s="1530"/>
      <c r="I96" s="1531"/>
      <c r="J96" s="1526"/>
      <c r="K96" s="1526"/>
      <c r="L96" s="149"/>
      <c r="M96" s="1529"/>
      <c r="N96" s="1531"/>
      <c r="O96" s="1526"/>
      <c r="P96" s="1526"/>
      <c r="Q96" s="1526"/>
      <c r="R96" s="1529"/>
      <c r="S96" s="1530"/>
      <c r="T96" s="1531"/>
      <c r="U96" s="1526"/>
      <c r="V96" s="1526"/>
      <c r="W96" s="149"/>
      <c r="X96" s="82"/>
      <c r="Y96" s="82"/>
      <c r="Z96" s="82"/>
      <c r="AA96" s="82"/>
      <c r="AB96" s="82"/>
    </row>
    <row r="97" spans="1:28" ht="15.75" customHeight="1" thickBot="1" x14ac:dyDescent="0.3">
      <c r="A97" s="394"/>
      <c r="B97" s="395"/>
      <c r="C97" s="396"/>
      <c r="D97" s="396"/>
      <c r="E97" s="396"/>
      <c r="F97" s="397"/>
      <c r="G97" s="2636" t="s">
        <v>1833</v>
      </c>
      <c r="H97" s="2636"/>
      <c r="I97" s="2637"/>
      <c r="J97" s="136">
        <f>SUM(J94)</f>
        <v>0.11249999999999999</v>
      </c>
      <c r="K97" s="183">
        <v>0.92</v>
      </c>
      <c r="L97" s="136">
        <f>J97/K97</f>
        <v>0.12228260869565216</v>
      </c>
      <c r="M97" s="2652" t="s">
        <v>1834</v>
      </c>
      <c r="N97" s="2637"/>
      <c r="O97" s="136">
        <f>SUM(O93:O95)</f>
        <v>2.1</v>
      </c>
      <c r="P97" s="183">
        <v>0.92</v>
      </c>
      <c r="Q97" s="136">
        <f>O97/P97</f>
        <v>2.2826086956521738</v>
      </c>
      <c r="R97" s="2652" t="s">
        <v>1833</v>
      </c>
      <c r="S97" s="2636"/>
      <c r="T97" s="2637"/>
      <c r="U97" s="136">
        <f>SUM(U93:U93)</f>
        <v>0</v>
      </c>
      <c r="V97" s="183">
        <v>0.92</v>
      </c>
      <c r="W97" s="136">
        <f>U97/V97</f>
        <v>0</v>
      </c>
      <c r="X97" s="82"/>
      <c r="Y97" s="82"/>
      <c r="Z97" s="82"/>
      <c r="AA97" s="82"/>
      <c r="AB97" s="82"/>
    </row>
    <row r="98" spans="1:28" x14ac:dyDescent="0.25">
      <c r="A98" s="398" t="str">
        <f>Итоговая!C108</f>
        <v xml:space="preserve">ПС 35/10 кВ Красное Знамя </v>
      </c>
      <c r="B98" s="399">
        <f>Итоговая!D108</f>
        <v>1.6</v>
      </c>
      <c r="C98" s="400" t="str">
        <f>Итоговая!E108</f>
        <v>+</v>
      </c>
      <c r="D98" s="400">
        <f>Итоговая!F108</f>
        <v>1.8</v>
      </c>
      <c r="E98" s="400"/>
      <c r="F98" s="401"/>
      <c r="G98" s="422"/>
      <c r="H98" s="4"/>
      <c r="I98" s="4"/>
      <c r="J98" s="4"/>
      <c r="K98" s="4"/>
      <c r="L98" s="77"/>
      <c r="M98" s="4"/>
      <c r="N98" s="4"/>
      <c r="O98" s="4"/>
      <c r="P98" s="4"/>
      <c r="Q98" s="4"/>
      <c r="R98" s="4"/>
      <c r="S98" s="4"/>
      <c r="T98" s="4"/>
      <c r="U98" s="4"/>
      <c r="V98" s="4"/>
      <c r="W98" s="77"/>
      <c r="X98" s="82"/>
      <c r="Y98" s="82"/>
      <c r="Z98" s="82"/>
      <c r="AA98" s="82"/>
      <c r="AB98" s="82"/>
    </row>
    <row r="99" spans="1:28" ht="15.75" customHeight="1" thickBot="1" x14ac:dyDescent="0.3">
      <c r="A99" s="394"/>
      <c r="B99" s="395"/>
      <c r="C99" s="396"/>
      <c r="D99" s="396"/>
      <c r="E99" s="396"/>
      <c r="F99" s="397"/>
      <c r="G99" s="2636" t="s">
        <v>1833</v>
      </c>
      <c r="H99" s="2636"/>
      <c r="I99" s="2637"/>
      <c r="J99" s="136">
        <f>SUM(J98:J98)</f>
        <v>0</v>
      </c>
      <c r="K99" s="183">
        <v>0.92</v>
      </c>
      <c r="L99" s="136">
        <f>J99/K99</f>
        <v>0</v>
      </c>
      <c r="M99" s="2652" t="s">
        <v>1834</v>
      </c>
      <c r="N99" s="2637"/>
      <c r="O99" s="136">
        <f>SUM(O98:O98)</f>
        <v>0</v>
      </c>
      <c r="P99" s="183">
        <v>0.92</v>
      </c>
      <c r="Q99" s="136">
        <f>O99/P99</f>
        <v>0</v>
      </c>
      <c r="R99" s="2652" t="s">
        <v>1833</v>
      </c>
      <c r="S99" s="2636"/>
      <c r="T99" s="2637"/>
      <c r="U99" s="136">
        <f>SUM(U98:U98)</f>
        <v>0</v>
      </c>
      <c r="V99" s="183">
        <v>0.92</v>
      </c>
      <c r="W99" s="136">
        <f>U99/V99</f>
        <v>0</v>
      </c>
      <c r="X99" s="82"/>
      <c r="Y99" s="82"/>
      <c r="Z99" s="82"/>
      <c r="AA99" s="82"/>
      <c r="AB99" s="82"/>
    </row>
    <row r="100" spans="1:28" ht="27" customHeight="1" x14ac:dyDescent="0.25">
      <c r="A100" s="400" t="str">
        <f>Итоговая!C109</f>
        <v xml:space="preserve">ПС 35/6 кВ Красный Май </v>
      </c>
      <c r="B100" s="399">
        <f>Итоговая!D109</f>
        <v>10</v>
      </c>
      <c r="C100" s="400" t="str">
        <f>Итоговая!E109</f>
        <v>+</v>
      </c>
      <c r="D100" s="400">
        <f>Итоговая!F109</f>
        <v>10</v>
      </c>
      <c r="E100" s="400"/>
      <c r="F100" s="401"/>
      <c r="G100" s="2598" t="s">
        <v>3447</v>
      </c>
      <c r="H100" s="2626"/>
      <c r="I100" s="2626"/>
      <c r="J100" s="2626"/>
      <c r="K100" s="2626"/>
      <c r="L100" s="2626"/>
      <c r="M100" s="24" t="s">
        <v>73</v>
      </c>
      <c r="N100" s="24" t="s">
        <v>75</v>
      </c>
      <c r="O100" s="57">
        <v>0.94399999999999995</v>
      </c>
      <c r="P100" s="57"/>
      <c r="Q100" s="57"/>
      <c r="R100" s="57"/>
      <c r="S100" s="57"/>
      <c r="T100" s="57"/>
      <c r="U100" s="57"/>
      <c r="V100" s="57"/>
      <c r="W100" s="107"/>
      <c r="X100" s="82"/>
      <c r="Y100" s="82"/>
      <c r="Z100" s="82"/>
      <c r="AA100" s="82"/>
      <c r="AB100" s="82"/>
    </row>
    <row r="101" spans="1:28" ht="69.75" customHeight="1" x14ac:dyDescent="0.25">
      <c r="A101" s="1187"/>
      <c r="B101" s="1183"/>
      <c r="C101" s="1187"/>
      <c r="D101" s="1187"/>
      <c r="E101" s="1187"/>
      <c r="F101" s="1184"/>
      <c r="G101" s="1732"/>
      <c r="H101" s="1732"/>
      <c r="I101" s="1732"/>
      <c r="J101" s="1732"/>
      <c r="K101" s="128"/>
      <c r="L101" s="69"/>
      <c r="M101" s="1696"/>
      <c r="N101" s="1696"/>
      <c r="O101" s="1"/>
      <c r="P101" s="128"/>
      <c r="Q101" s="128"/>
      <c r="R101" s="2056" t="s">
        <v>3371</v>
      </c>
      <c r="S101" s="2056" t="s">
        <v>3413</v>
      </c>
      <c r="T101" s="2056" t="s">
        <v>19806</v>
      </c>
      <c r="U101" s="2056">
        <v>0.67462</v>
      </c>
      <c r="V101" s="128"/>
      <c r="W101" s="69"/>
      <c r="X101" s="82"/>
      <c r="Y101" s="82"/>
      <c r="Z101" s="82"/>
      <c r="AA101" s="82"/>
      <c r="AB101" s="82"/>
    </row>
    <row r="102" spans="1:28" ht="15.75" customHeight="1" thickBot="1" x14ac:dyDescent="0.3">
      <c r="A102" s="396"/>
      <c r="B102" s="395"/>
      <c r="C102" s="396"/>
      <c r="D102" s="396"/>
      <c r="E102" s="396"/>
      <c r="F102" s="397"/>
      <c r="G102" s="2578" t="s">
        <v>1833</v>
      </c>
      <c r="H102" s="2578"/>
      <c r="I102" s="2579"/>
      <c r="J102" s="13">
        <f>SUM(J101)</f>
        <v>0</v>
      </c>
      <c r="K102" s="14">
        <v>0.92</v>
      </c>
      <c r="L102" s="13">
        <f>J102/K102</f>
        <v>0</v>
      </c>
      <c r="M102" s="2577" t="s">
        <v>1834</v>
      </c>
      <c r="N102" s="2579"/>
      <c r="O102" s="13">
        <f>SUM(O100:O101)</f>
        <v>0.94399999999999995</v>
      </c>
      <c r="P102" s="14">
        <v>0.92</v>
      </c>
      <c r="Q102" s="13">
        <f>O102/P102</f>
        <v>1.026086956521739</v>
      </c>
      <c r="R102" s="2587" t="s">
        <v>1833</v>
      </c>
      <c r="S102" s="2588"/>
      <c r="T102" s="2589"/>
      <c r="U102" s="21">
        <f>SUM(U100:U101)</f>
        <v>0.67462</v>
      </c>
      <c r="V102" s="24">
        <v>0.92</v>
      </c>
      <c r="W102" s="21">
        <f>U102/V102</f>
        <v>0.73328260869565209</v>
      </c>
      <c r="X102" s="82"/>
      <c r="Y102" s="82"/>
      <c r="Z102" s="82"/>
      <c r="AA102" s="82"/>
      <c r="AB102" s="82"/>
    </row>
    <row r="103" spans="1:28" x14ac:dyDescent="0.25">
      <c r="A103" s="2633" t="str">
        <f>Итоговая!C110</f>
        <v xml:space="preserve">ПС 35/10 кВ Куженкино </v>
      </c>
      <c r="B103" s="2631">
        <f>Итоговая!D110</f>
        <v>2.5</v>
      </c>
      <c r="C103" s="2633" t="str">
        <f>Итоговая!E110</f>
        <v>+</v>
      </c>
      <c r="D103" s="2633">
        <f>Итоговая!F110</f>
        <v>3.2</v>
      </c>
      <c r="E103" s="404"/>
      <c r="F103" s="405"/>
      <c r="G103" s="2598" t="s">
        <v>2032</v>
      </c>
      <c r="H103" s="2626"/>
      <c r="I103" s="2626"/>
      <c r="J103" s="2626"/>
      <c r="K103" s="2626"/>
      <c r="L103" s="2626"/>
      <c r="M103" s="69"/>
      <c r="N103" s="69"/>
      <c r="O103" s="69"/>
      <c r="P103" s="69"/>
      <c r="Q103" s="51"/>
      <c r="R103" s="315"/>
      <c r="S103" s="315"/>
      <c r="T103" s="315"/>
      <c r="U103" s="315"/>
      <c r="V103" s="315"/>
      <c r="W103" s="315"/>
      <c r="X103" s="82"/>
      <c r="Y103" s="82"/>
      <c r="Z103" s="82"/>
      <c r="AA103" s="82"/>
      <c r="AB103" s="82"/>
    </row>
    <row r="104" spans="1:28" ht="69" customHeight="1" x14ac:dyDescent="0.25">
      <c r="A104" s="2633"/>
      <c r="B104" s="2631"/>
      <c r="C104" s="2633"/>
      <c r="D104" s="2633"/>
      <c r="E104" s="404"/>
      <c r="F104" s="405"/>
      <c r="G104" s="272" t="s">
        <v>9</v>
      </c>
      <c r="H104" s="22" t="s">
        <v>10</v>
      </c>
      <c r="I104" s="22" t="s">
        <v>2264</v>
      </c>
      <c r="J104" s="22">
        <v>0.08</v>
      </c>
      <c r="K104" s="22"/>
      <c r="L104" s="22"/>
      <c r="M104" s="1710"/>
      <c r="N104" s="1710"/>
      <c r="O104" s="1710"/>
      <c r="P104" s="1710"/>
      <c r="Q104" s="22"/>
      <c r="R104" s="315"/>
      <c r="S104" s="315"/>
      <c r="T104" s="315"/>
      <c r="U104" s="315"/>
      <c r="V104" s="315"/>
      <c r="W104" s="315"/>
      <c r="X104" s="82"/>
      <c r="Y104" s="82"/>
      <c r="Z104" s="82"/>
      <c r="AA104" s="82"/>
      <c r="AB104" s="82"/>
    </row>
    <row r="105" spans="1:28" ht="18.75" customHeight="1" x14ac:dyDescent="0.25">
      <c r="A105" s="1018"/>
      <c r="B105" s="1014"/>
      <c r="C105" s="1018"/>
      <c r="D105" s="1018"/>
      <c r="E105" s="1018"/>
      <c r="F105" s="1015"/>
      <c r="G105" s="2598" t="s">
        <v>3020</v>
      </c>
      <c r="H105" s="2626"/>
      <c r="I105" s="2626"/>
      <c r="J105" s="2626"/>
      <c r="K105" s="2626"/>
      <c r="L105" s="2626"/>
      <c r="M105" s="1710"/>
      <c r="N105" s="1710"/>
      <c r="O105" s="1710"/>
      <c r="P105" s="1710"/>
      <c r="Q105" s="69"/>
      <c r="R105" s="1027"/>
      <c r="S105" s="1028"/>
      <c r="T105" s="1029"/>
      <c r="U105" s="1030"/>
      <c r="V105" s="1030"/>
      <c r="W105" s="1030"/>
      <c r="X105" s="82"/>
      <c r="Y105" s="82"/>
      <c r="Z105" s="82"/>
      <c r="AA105" s="82"/>
      <c r="AB105" s="82"/>
    </row>
    <row r="106" spans="1:28" ht="18.75" customHeight="1" x14ac:dyDescent="0.25">
      <c r="A106" s="1018"/>
      <c r="B106" s="1014"/>
      <c r="C106" s="1018"/>
      <c r="D106" s="1018"/>
      <c r="E106" s="1018"/>
      <c r="F106" s="1015"/>
      <c r="G106" s="272" t="s">
        <v>3061</v>
      </c>
      <c r="H106" s="22" t="s">
        <v>3062</v>
      </c>
      <c r="I106" s="22" t="s">
        <v>3083</v>
      </c>
      <c r="J106" s="22">
        <f>0.16*0.9</f>
        <v>0.14400000000000002</v>
      </c>
      <c r="K106" s="22"/>
      <c r="L106" s="22"/>
      <c r="M106" s="1710"/>
      <c r="N106" s="1710"/>
      <c r="O106" s="266"/>
      <c r="P106" s="1710"/>
      <c r="Q106" s="69"/>
      <c r="R106" s="1027"/>
      <c r="S106" s="1028"/>
      <c r="T106" s="1029"/>
      <c r="U106" s="1030"/>
      <c r="V106" s="1030"/>
      <c r="W106" s="1030"/>
      <c r="X106" s="82"/>
      <c r="Y106" s="82"/>
      <c r="Z106" s="82"/>
      <c r="AA106" s="82"/>
      <c r="AB106" s="82"/>
    </row>
    <row r="107" spans="1:28" ht="18.75" customHeight="1" x14ac:dyDescent="0.25">
      <c r="A107" s="1742"/>
      <c r="B107" s="1741"/>
      <c r="C107" s="1742"/>
      <c r="D107" s="1742"/>
      <c r="E107" s="1742"/>
      <c r="F107" s="1743"/>
      <c r="G107" s="2598" t="s">
        <v>3447</v>
      </c>
      <c r="H107" s="2626"/>
      <c r="I107" s="2626"/>
      <c r="J107" s="2626"/>
      <c r="K107" s="2626"/>
      <c r="L107" s="2626"/>
      <c r="M107" s="646"/>
      <c r="N107" s="312"/>
      <c r="O107" s="1768"/>
      <c r="P107" s="69"/>
      <c r="Q107" s="69"/>
      <c r="R107" s="1027"/>
      <c r="S107" s="1028"/>
      <c r="T107" s="1029"/>
      <c r="U107" s="1030"/>
      <c r="V107" s="1030"/>
      <c r="W107" s="1030"/>
      <c r="X107" s="82"/>
      <c r="Y107" s="82"/>
      <c r="Z107" s="82"/>
      <c r="AA107" s="82"/>
      <c r="AB107" s="82"/>
    </row>
    <row r="108" spans="1:28" ht="18.75" customHeight="1" x14ac:dyDescent="0.25">
      <c r="A108" s="1742"/>
      <c r="B108" s="1741"/>
      <c r="C108" s="1742"/>
      <c r="D108" s="1742"/>
      <c r="E108" s="1742"/>
      <c r="F108" s="1743"/>
      <c r="G108" s="1744" t="s">
        <v>16839</v>
      </c>
      <c r="H108" s="1744" t="s">
        <v>16840</v>
      </c>
      <c r="I108" s="1744" t="s">
        <v>16857</v>
      </c>
      <c r="J108" s="1744">
        <f>0.5*0.9</f>
        <v>0.45</v>
      </c>
      <c r="K108" s="1744"/>
      <c r="L108" s="1744"/>
      <c r="M108" s="646"/>
      <c r="N108" s="312"/>
      <c r="O108" s="1768"/>
      <c r="P108" s="69"/>
      <c r="Q108" s="69"/>
      <c r="R108" s="1027"/>
      <c r="S108" s="1028"/>
      <c r="T108" s="1029"/>
      <c r="U108" s="1030"/>
      <c r="V108" s="1030"/>
      <c r="W108" s="1030"/>
      <c r="X108" s="82"/>
      <c r="Y108" s="82"/>
      <c r="Z108" s="82"/>
      <c r="AA108" s="82"/>
      <c r="AB108" s="82"/>
    </row>
    <row r="109" spans="1:28" ht="18.75" customHeight="1" x14ac:dyDescent="0.25">
      <c r="A109" s="2005"/>
      <c r="B109" s="2004"/>
      <c r="C109" s="2005"/>
      <c r="D109" s="2005"/>
      <c r="E109" s="2005"/>
      <c r="F109" s="2006"/>
      <c r="G109" s="2598" t="s">
        <v>17005</v>
      </c>
      <c r="H109" s="2626"/>
      <c r="I109" s="2626"/>
      <c r="J109" s="2626"/>
      <c r="K109" s="2626"/>
      <c r="L109" s="2626"/>
      <c r="M109" s="646"/>
      <c r="N109" s="312"/>
      <c r="O109" s="1768"/>
      <c r="P109" s="69"/>
      <c r="Q109" s="69"/>
      <c r="R109" s="1027"/>
      <c r="S109" s="1028"/>
      <c r="T109" s="1029"/>
      <c r="U109" s="1030"/>
      <c r="V109" s="1030"/>
      <c r="W109" s="1030"/>
      <c r="X109" s="82"/>
      <c r="Y109" s="82"/>
      <c r="Z109" s="82"/>
      <c r="AA109" s="82"/>
      <c r="AB109" s="82"/>
    </row>
    <row r="110" spans="1:28" ht="18.75" customHeight="1" x14ac:dyDescent="0.25">
      <c r="A110" s="2005"/>
      <c r="B110" s="2004"/>
      <c r="C110" s="2005"/>
      <c r="D110" s="2005"/>
      <c r="E110" s="2005"/>
      <c r="F110" s="2006"/>
      <c r="G110" s="2008" t="s">
        <v>16978</v>
      </c>
      <c r="H110" s="2008" t="s">
        <v>16979</v>
      </c>
      <c r="I110" s="2008" t="s">
        <v>17074</v>
      </c>
      <c r="J110" s="2008">
        <f>0.1*0.9</f>
        <v>9.0000000000000011E-2</v>
      </c>
      <c r="K110" s="2008"/>
      <c r="L110" s="2008"/>
      <c r="M110" s="646"/>
      <c r="N110" s="312"/>
      <c r="O110" s="1768"/>
      <c r="P110" s="69"/>
      <c r="Q110" s="69"/>
      <c r="R110" s="1027"/>
      <c r="S110" s="1028"/>
      <c r="T110" s="1029"/>
      <c r="U110" s="1030"/>
      <c r="V110" s="1030"/>
      <c r="W110" s="1030"/>
      <c r="X110" s="82"/>
      <c r="Y110" s="82"/>
      <c r="Z110" s="82"/>
      <c r="AA110" s="82"/>
      <c r="AB110" s="82"/>
    </row>
    <row r="111" spans="1:28" ht="18.75" customHeight="1" x14ac:dyDescent="0.25">
      <c r="A111" s="2074"/>
      <c r="B111" s="2073"/>
      <c r="C111" s="2074"/>
      <c r="D111" s="2074"/>
      <c r="E111" s="2074"/>
      <c r="F111" s="2077"/>
      <c r="G111" s="2343" t="s">
        <v>19933</v>
      </c>
      <c r="H111" s="2343" t="s">
        <v>19934</v>
      </c>
      <c r="I111" s="2343" t="s">
        <v>19935</v>
      </c>
      <c r="J111" s="2343">
        <f>0.075*0.9</f>
        <v>6.7500000000000004E-2</v>
      </c>
      <c r="K111" s="2343"/>
      <c r="L111" s="2343"/>
      <c r="M111" s="646"/>
      <c r="N111" s="312"/>
      <c r="O111" s="1768"/>
      <c r="P111" s="69"/>
      <c r="Q111" s="69"/>
      <c r="R111" s="1027"/>
      <c r="S111" s="1028"/>
      <c r="T111" s="1029"/>
      <c r="U111" s="1030"/>
      <c r="V111" s="1030"/>
      <c r="W111" s="1030"/>
      <c r="X111" s="82"/>
      <c r="Y111" s="82"/>
      <c r="Z111" s="82"/>
      <c r="AA111" s="82"/>
      <c r="AB111" s="82"/>
    </row>
    <row r="112" spans="1:28" ht="18.75" customHeight="1" x14ac:dyDescent="0.25">
      <c r="A112" s="2176"/>
      <c r="B112" s="2175"/>
      <c r="C112" s="2176"/>
      <c r="D112" s="2176"/>
      <c r="E112" s="2176"/>
      <c r="F112" s="2177"/>
      <c r="G112" s="2343" t="s">
        <v>15307</v>
      </c>
      <c r="H112" s="2343" t="s">
        <v>19992</v>
      </c>
      <c r="I112" s="2343" t="s">
        <v>19993</v>
      </c>
      <c r="J112" s="2343">
        <f>0.025*0.9</f>
        <v>2.2500000000000003E-2</v>
      </c>
      <c r="K112" s="2343"/>
      <c r="L112" s="2343"/>
      <c r="M112" s="646"/>
      <c r="N112" s="312"/>
      <c r="O112" s="1768"/>
      <c r="P112" s="69"/>
      <c r="Q112" s="69"/>
      <c r="R112" s="1027"/>
      <c r="S112" s="1028"/>
      <c r="T112" s="1029"/>
      <c r="U112" s="1030"/>
      <c r="V112" s="1030"/>
      <c r="W112" s="1030"/>
      <c r="X112" s="82"/>
      <c r="Y112" s="82"/>
      <c r="Z112" s="82"/>
      <c r="AA112" s="82"/>
      <c r="AB112" s="82"/>
    </row>
    <row r="113" spans="1:28" ht="18.75" customHeight="1" x14ac:dyDescent="0.25">
      <c r="A113" s="2176"/>
      <c r="B113" s="2175"/>
      <c r="C113" s="2176"/>
      <c r="D113" s="2176"/>
      <c r="E113" s="2176"/>
      <c r="F113" s="2177"/>
      <c r="G113" s="2343" t="s">
        <v>19994</v>
      </c>
      <c r="H113" s="2343" t="s">
        <v>19995</v>
      </c>
      <c r="I113" s="2343" t="s">
        <v>19996</v>
      </c>
      <c r="J113" s="2343">
        <f>0.025*0.9</f>
        <v>2.2500000000000003E-2</v>
      </c>
      <c r="K113" s="2343"/>
      <c r="L113" s="2343"/>
      <c r="M113" s="646"/>
      <c r="N113" s="312"/>
      <c r="O113" s="1768"/>
      <c r="P113" s="69"/>
      <c r="Q113" s="69"/>
      <c r="R113" s="1027"/>
      <c r="S113" s="1028"/>
      <c r="T113" s="1029"/>
      <c r="U113" s="1030"/>
      <c r="V113" s="1030"/>
      <c r="W113" s="1030"/>
      <c r="X113" s="82"/>
      <c r="Y113" s="82"/>
      <c r="Z113" s="82"/>
      <c r="AA113" s="82"/>
      <c r="AB113" s="82"/>
    </row>
    <row r="114" spans="1:28" ht="18.75" customHeight="1" x14ac:dyDescent="0.25">
      <c r="A114" s="2176"/>
      <c r="B114" s="2175"/>
      <c r="C114" s="2176"/>
      <c r="D114" s="2176"/>
      <c r="E114" s="2176"/>
      <c r="F114" s="2177"/>
      <c r="G114" s="2343" t="s">
        <v>20024</v>
      </c>
      <c r="H114" s="2343" t="s">
        <v>20025</v>
      </c>
      <c r="I114" s="2343" t="s">
        <v>20026</v>
      </c>
      <c r="J114" s="2343">
        <f>0.03*0.9</f>
        <v>2.7E-2</v>
      </c>
      <c r="K114" s="2343"/>
      <c r="L114" s="2343"/>
      <c r="M114" s="646"/>
      <c r="N114" s="312"/>
      <c r="O114" s="1768"/>
      <c r="P114" s="69"/>
      <c r="Q114" s="69"/>
      <c r="R114" s="1027"/>
      <c r="S114" s="1028"/>
      <c r="T114" s="1029"/>
      <c r="U114" s="1030"/>
      <c r="V114" s="1030"/>
      <c r="W114" s="1030"/>
      <c r="X114" s="82"/>
      <c r="Y114" s="82"/>
      <c r="Z114" s="82"/>
      <c r="AA114" s="82"/>
      <c r="AB114" s="82"/>
    </row>
    <row r="115" spans="1:28" ht="18.75" customHeight="1" x14ac:dyDescent="0.25">
      <c r="A115" s="2176"/>
      <c r="B115" s="2175"/>
      <c r="C115" s="2176"/>
      <c r="D115" s="2176"/>
      <c r="E115" s="2176"/>
      <c r="F115" s="2177"/>
      <c r="G115" s="2343" t="s">
        <v>3371</v>
      </c>
      <c r="H115" s="2343" t="s">
        <v>20223</v>
      </c>
      <c r="I115" s="2343" t="s">
        <v>20224</v>
      </c>
      <c r="J115" s="2343">
        <f>0.14*0.75</f>
        <v>0.10500000000000001</v>
      </c>
      <c r="K115" s="2343"/>
      <c r="L115" s="2343"/>
      <c r="M115" s="646"/>
      <c r="N115" s="312"/>
      <c r="O115" s="1768"/>
      <c r="P115" s="69"/>
      <c r="Q115" s="69"/>
      <c r="R115" s="1027"/>
      <c r="S115" s="1028"/>
      <c r="T115" s="1029"/>
      <c r="U115" s="1030"/>
      <c r="V115" s="1030"/>
      <c r="W115" s="1030"/>
      <c r="X115" s="82"/>
      <c r="Y115" s="82"/>
      <c r="Z115" s="82"/>
      <c r="AA115" s="82"/>
      <c r="AB115" s="82"/>
    </row>
    <row r="116" spans="1:28" ht="13.5" customHeight="1" thickBot="1" x14ac:dyDescent="0.3">
      <c r="A116" s="396"/>
      <c r="B116" s="395"/>
      <c r="C116" s="396"/>
      <c r="D116" s="396"/>
      <c r="E116" s="396"/>
      <c r="F116" s="397"/>
      <c r="G116" s="2643" t="s">
        <v>1833</v>
      </c>
      <c r="H116" s="2643"/>
      <c r="I116" s="2603"/>
      <c r="J116" s="140">
        <f>SUM(J106:J115)</f>
        <v>0.92849999999999999</v>
      </c>
      <c r="K116" s="141">
        <v>0.92</v>
      </c>
      <c r="L116" s="140">
        <f>J116/K116</f>
        <v>1.0092391304347825</v>
      </c>
      <c r="M116" s="2663" t="s">
        <v>1834</v>
      </c>
      <c r="N116" s="2664"/>
      <c r="O116" s="160">
        <f>SUM(O104:O106)</f>
        <v>0</v>
      </c>
      <c r="P116" s="141">
        <v>0.92</v>
      </c>
      <c r="Q116" s="140">
        <f>O116/P116</f>
        <v>0</v>
      </c>
      <c r="R116" s="2613" t="s">
        <v>1833</v>
      </c>
      <c r="S116" s="2643"/>
      <c r="T116" s="2603"/>
      <c r="U116" s="140">
        <f>SUM(U104:U104)</f>
        <v>0</v>
      </c>
      <c r="V116" s="141">
        <v>0.92</v>
      </c>
      <c r="W116" s="140">
        <f>U116/V116</f>
        <v>0</v>
      </c>
      <c r="X116" s="82"/>
      <c r="Y116" s="82"/>
      <c r="Z116" s="82"/>
      <c r="AA116" s="82"/>
      <c r="AB116" s="82"/>
    </row>
    <row r="117" spans="1:28" x14ac:dyDescent="0.25">
      <c r="A117" s="398" t="str">
        <f>Итоговая!C111</f>
        <v xml:space="preserve">ПС 35/10 кВ Лукино  </v>
      </c>
      <c r="B117" s="399">
        <f>Итоговая!D111</f>
        <v>2.5</v>
      </c>
      <c r="C117" s="400" t="str">
        <f>Итоговая!E111</f>
        <v>+</v>
      </c>
      <c r="D117" s="400">
        <f>Итоговая!F111</f>
        <v>1.6</v>
      </c>
      <c r="E117" s="400"/>
      <c r="F117" s="401"/>
      <c r="G117" s="43"/>
      <c r="H117" s="17"/>
      <c r="I117" s="17"/>
      <c r="J117" s="17"/>
      <c r="K117" s="17"/>
      <c r="L117" s="73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73"/>
      <c r="X117" s="82"/>
      <c r="Y117" s="82"/>
      <c r="Z117" s="82"/>
      <c r="AA117" s="82"/>
      <c r="AB117" s="82"/>
    </row>
    <row r="118" spans="1:28" ht="15.75" customHeight="1" thickBot="1" x14ac:dyDescent="0.3">
      <c r="A118" s="394"/>
      <c r="B118" s="395"/>
      <c r="C118" s="396"/>
      <c r="D118" s="396"/>
      <c r="E118" s="396"/>
      <c r="F118" s="397"/>
      <c r="G118" s="2578" t="s">
        <v>1833</v>
      </c>
      <c r="H118" s="2578"/>
      <c r="I118" s="2579"/>
      <c r="J118" s="13">
        <f>SUM(J117:J117)</f>
        <v>0</v>
      </c>
      <c r="K118" s="14">
        <v>0.92</v>
      </c>
      <c r="L118" s="13">
        <f>J118/K118</f>
        <v>0</v>
      </c>
      <c r="M118" s="2577" t="s">
        <v>1834</v>
      </c>
      <c r="N118" s="2579"/>
      <c r="O118" s="13">
        <f>SUM(O117:O117)</f>
        <v>0</v>
      </c>
      <c r="P118" s="14">
        <v>0.92</v>
      </c>
      <c r="Q118" s="13">
        <f>O118/P118</f>
        <v>0</v>
      </c>
      <c r="R118" s="2577" t="s">
        <v>1833</v>
      </c>
      <c r="S118" s="2578"/>
      <c r="T118" s="2579"/>
      <c r="U118" s="13">
        <f>SUM(U117:U117)</f>
        <v>0</v>
      </c>
      <c r="V118" s="14">
        <v>0.92</v>
      </c>
      <c r="W118" s="13">
        <f>U118/V118</f>
        <v>0</v>
      </c>
      <c r="X118" s="82"/>
      <c r="Y118" s="82"/>
      <c r="Z118" s="82"/>
      <c r="AA118" s="82"/>
      <c r="AB118" s="82"/>
    </row>
    <row r="119" spans="1:28" ht="19.5" customHeight="1" x14ac:dyDescent="0.25">
      <c r="A119" s="398" t="str">
        <f>Итоговая!C112</f>
        <v xml:space="preserve">ПС 35/6 кВ Макарово  </v>
      </c>
      <c r="B119" s="399">
        <f>Итоговая!D112</f>
        <v>4</v>
      </c>
      <c r="C119" s="400" t="str">
        <f>Итоговая!E112</f>
        <v>+</v>
      </c>
      <c r="D119" s="400">
        <f>Итоговая!F112</f>
        <v>4</v>
      </c>
      <c r="E119" s="400"/>
      <c r="F119" s="401"/>
      <c r="G119" s="2598" t="s">
        <v>17005</v>
      </c>
      <c r="H119" s="2626"/>
      <c r="I119" s="2626"/>
      <c r="J119" s="2626"/>
      <c r="K119" s="2626"/>
      <c r="L119" s="2626"/>
      <c r="M119" s="73" t="s">
        <v>2407</v>
      </c>
      <c r="N119" s="73" t="s">
        <v>2408</v>
      </c>
      <c r="O119" s="73">
        <v>0.15</v>
      </c>
      <c r="P119" s="73"/>
      <c r="Q119" s="17"/>
      <c r="R119" s="73"/>
      <c r="S119" s="73"/>
      <c r="T119" s="17"/>
      <c r="U119" s="17"/>
      <c r="V119" s="17"/>
      <c r="W119" s="73"/>
      <c r="X119" s="82"/>
      <c r="Y119" s="82"/>
      <c r="Z119" s="82"/>
      <c r="AA119" s="82"/>
      <c r="AB119" s="82"/>
    </row>
    <row r="120" spans="1:28" ht="120" x14ac:dyDescent="0.25">
      <c r="A120" s="408"/>
      <c r="B120" s="403"/>
      <c r="C120" s="404"/>
      <c r="D120" s="404"/>
      <c r="E120" s="404"/>
      <c r="F120" s="405"/>
      <c r="G120" s="1994" t="s">
        <v>16982</v>
      </c>
      <c r="H120" s="1994" t="s">
        <v>16983</v>
      </c>
      <c r="I120" s="1" t="s">
        <v>17089</v>
      </c>
      <c r="J120" s="1">
        <f>0.02*0.9</f>
        <v>1.8000000000000002E-2</v>
      </c>
      <c r="K120" s="1"/>
      <c r="L120" s="22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22"/>
      <c r="X120" s="82"/>
      <c r="Y120" s="82"/>
      <c r="Z120" s="82"/>
      <c r="AA120" s="82"/>
      <c r="AB120" s="82"/>
    </row>
    <row r="121" spans="1:28" ht="15.75" customHeight="1" thickBot="1" x14ac:dyDescent="0.3">
      <c r="A121" s="394"/>
      <c r="B121" s="395"/>
      <c r="C121" s="396"/>
      <c r="D121" s="396"/>
      <c r="E121" s="396"/>
      <c r="F121" s="397"/>
      <c r="G121" s="2578" t="s">
        <v>1833</v>
      </c>
      <c r="H121" s="2578"/>
      <c r="I121" s="2579"/>
      <c r="J121" s="13">
        <f>SUM(J120)</f>
        <v>1.8000000000000002E-2</v>
      </c>
      <c r="K121" s="14">
        <v>0.92</v>
      </c>
      <c r="L121" s="13">
        <f>J121/K121</f>
        <v>1.9565217391304349E-2</v>
      </c>
      <c r="M121" s="2577" t="s">
        <v>1834</v>
      </c>
      <c r="N121" s="2579"/>
      <c r="O121" s="13">
        <f>SUM(O119:O120)</f>
        <v>0.15</v>
      </c>
      <c r="P121" s="14">
        <v>0.92</v>
      </c>
      <c r="Q121" s="13">
        <f>O121/P121</f>
        <v>0.16304347826086954</v>
      </c>
      <c r="R121" s="2577" t="s">
        <v>1833</v>
      </c>
      <c r="S121" s="2578"/>
      <c r="T121" s="2579"/>
      <c r="U121" s="13">
        <f>SUM(U119:U120)</f>
        <v>0</v>
      </c>
      <c r="V121" s="14">
        <v>0.92</v>
      </c>
      <c r="W121" s="13">
        <f>U121/V121</f>
        <v>0</v>
      </c>
      <c r="X121" s="82"/>
      <c r="Y121" s="82"/>
      <c r="Z121" s="82"/>
      <c r="AA121" s="82"/>
      <c r="AB121" s="82"/>
    </row>
    <row r="122" spans="1:28" x14ac:dyDescent="0.25">
      <c r="A122" s="398" t="str">
        <f>Итоговая!C113</f>
        <v xml:space="preserve">ПС 110/10 кВ Манхино </v>
      </c>
      <c r="B122" s="399">
        <f>Итоговая!D113</f>
        <v>2.5</v>
      </c>
      <c r="C122" s="400" t="str">
        <f>Итоговая!E113</f>
        <v>+</v>
      </c>
      <c r="D122" s="400">
        <f>Итоговая!F113</f>
        <v>2.5</v>
      </c>
      <c r="E122" s="400"/>
      <c r="F122" s="401"/>
      <c r="G122" s="43"/>
      <c r="H122" s="17"/>
      <c r="I122" s="17"/>
      <c r="J122" s="17"/>
      <c r="K122" s="17"/>
      <c r="L122" s="73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73"/>
      <c r="X122" s="82"/>
      <c r="Y122" s="82"/>
      <c r="Z122" s="82"/>
      <c r="AA122" s="82"/>
      <c r="AB122" s="82"/>
    </row>
    <row r="123" spans="1:28" ht="15.75" customHeight="1" thickBot="1" x14ac:dyDescent="0.3">
      <c r="A123" s="394"/>
      <c r="B123" s="395"/>
      <c r="C123" s="396"/>
      <c r="D123" s="396"/>
      <c r="E123" s="396"/>
      <c r="F123" s="397"/>
      <c r="G123" s="2578" t="s">
        <v>1833</v>
      </c>
      <c r="H123" s="2578"/>
      <c r="I123" s="2579"/>
      <c r="J123" s="13">
        <f>SUM(J122:J122)</f>
        <v>0</v>
      </c>
      <c r="K123" s="14">
        <v>0.92</v>
      </c>
      <c r="L123" s="13">
        <f>J123/K123</f>
        <v>0</v>
      </c>
      <c r="M123" s="2577" t="s">
        <v>1834</v>
      </c>
      <c r="N123" s="2579"/>
      <c r="O123" s="13">
        <f>SUM(O122:O122)</f>
        <v>0</v>
      </c>
      <c r="P123" s="14">
        <v>0.92</v>
      </c>
      <c r="Q123" s="13">
        <f>O123/P123</f>
        <v>0</v>
      </c>
      <c r="R123" s="2577" t="s">
        <v>1833</v>
      </c>
      <c r="S123" s="2578"/>
      <c r="T123" s="2579"/>
      <c r="U123" s="13">
        <f>SUM(U122:U122)</f>
        <v>0</v>
      </c>
      <c r="V123" s="14">
        <v>0.92</v>
      </c>
      <c r="W123" s="13">
        <f>U123/V123</f>
        <v>0</v>
      </c>
      <c r="X123" s="82"/>
      <c r="Y123" s="82"/>
      <c r="Z123" s="82"/>
      <c r="AA123" s="82"/>
      <c r="AB123" s="82"/>
    </row>
    <row r="124" spans="1:28" ht="18.75" customHeight="1" x14ac:dyDescent="0.25">
      <c r="A124" s="398" t="str">
        <f>Итоговая!C114</f>
        <v xml:space="preserve">ПС 35/10 кВ Молдино </v>
      </c>
      <c r="B124" s="399">
        <f>Итоговая!D114</f>
        <v>1</v>
      </c>
      <c r="C124" s="400" t="str">
        <f>Итоговая!E114</f>
        <v>+</v>
      </c>
      <c r="D124" s="400">
        <f>Итоговая!F114</f>
        <v>1</v>
      </c>
      <c r="E124" s="400"/>
      <c r="F124" s="401"/>
      <c r="G124" s="2598" t="s">
        <v>3020</v>
      </c>
      <c r="H124" s="2626"/>
      <c r="I124" s="2626"/>
      <c r="J124" s="2626"/>
      <c r="K124" s="2626"/>
      <c r="L124" s="2626"/>
      <c r="M124" s="1710"/>
      <c r="N124" s="22"/>
      <c r="O124" s="51"/>
      <c r="P124" s="17"/>
      <c r="Q124" s="17"/>
      <c r="R124" s="17"/>
      <c r="S124" s="17"/>
      <c r="T124" s="17"/>
      <c r="U124" s="17"/>
      <c r="V124" s="17"/>
      <c r="W124" s="73"/>
      <c r="X124" s="82"/>
      <c r="Y124" s="82"/>
      <c r="Z124" s="82"/>
      <c r="AA124" s="82"/>
      <c r="AB124" s="82"/>
    </row>
    <row r="125" spans="1:28" ht="63.75" customHeight="1" x14ac:dyDescent="0.25">
      <c r="A125" s="2045"/>
      <c r="B125" s="2042"/>
      <c r="C125" s="2043"/>
      <c r="D125" s="2043"/>
      <c r="E125" s="2043"/>
      <c r="F125" s="2044"/>
      <c r="G125" s="2047" t="s">
        <v>2528</v>
      </c>
      <c r="H125" s="2047" t="s">
        <v>2586</v>
      </c>
      <c r="I125" s="2047" t="s">
        <v>3086</v>
      </c>
      <c r="J125" s="2046">
        <f>(0.028-0.0093)*0.5</f>
        <v>9.3500000000000007E-3</v>
      </c>
      <c r="K125" s="2040"/>
      <c r="L125" s="69"/>
      <c r="M125" s="2050"/>
      <c r="N125" s="2051"/>
      <c r="O125" s="69"/>
      <c r="P125" s="2040"/>
      <c r="Q125" s="2040"/>
      <c r="R125" s="2048"/>
      <c r="S125" s="2041"/>
      <c r="T125" s="2049"/>
      <c r="U125" s="2040"/>
      <c r="V125" s="2040"/>
      <c r="W125" s="69"/>
      <c r="X125" s="82"/>
      <c r="Y125" s="82"/>
      <c r="Z125" s="82"/>
      <c r="AA125" s="82"/>
      <c r="AB125" s="82"/>
    </row>
    <row r="126" spans="1:28" ht="15.75" customHeight="1" thickBot="1" x14ac:dyDescent="0.3">
      <c r="A126" s="394"/>
      <c r="B126" s="395"/>
      <c r="C126" s="396"/>
      <c r="D126" s="396"/>
      <c r="E126" s="396"/>
      <c r="F126" s="397"/>
      <c r="G126" s="2578" t="s">
        <v>1833</v>
      </c>
      <c r="H126" s="2578"/>
      <c r="I126" s="2579"/>
      <c r="J126" s="13">
        <f>SUM(J125)</f>
        <v>9.3500000000000007E-3</v>
      </c>
      <c r="K126" s="14">
        <v>0.92</v>
      </c>
      <c r="L126" s="13">
        <f>J126/K126</f>
        <v>1.016304347826087E-2</v>
      </c>
      <c r="M126" s="2577" t="s">
        <v>1834</v>
      </c>
      <c r="N126" s="2579"/>
      <c r="O126" s="13">
        <f>SUM(O124:O124)</f>
        <v>0</v>
      </c>
      <c r="P126" s="14">
        <v>0.92</v>
      </c>
      <c r="Q126" s="13">
        <f>O126/P126</f>
        <v>0</v>
      </c>
      <c r="R126" s="2577" t="s">
        <v>1833</v>
      </c>
      <c r="S126" s="2578"/>
      <c r="T126" s="2579"/>
      <c r="U126" s="13">
        <f>SUM(U124:U124)</f>
        <v>0</v>
      </c>
      <c r="V126" s="14">
        <v>0.92</v>
      </c>
      <c r="W126" s="13">
        <f>U126/V126</f>
        <v>0</v>
      </c>
      <c r="X126" s="82"/>
      <c r="Y126" s="82"/>
      <c r="Z126" s="82"/>
      <c r="AA126" s="82"/>
      <c r="AB126" s="82"/>
    </row>
    <row r="127" spans="1:28" ht="34.5" customHeight="1" x14ac:dyDescent="0.25">
      <c r="A127" s="398" t="str">
        <f>Итоговая!C115</f>
        <v xml:space="preserve">ПС 35/10 кВ Ново-Кузьминская </v>
      </c>
      <c r="B127" s="399">
        <f>Итоговая!D115</f>
        <v>1</v>
      </c>
      <c r="C127" s="400" t="str">
        <f>Итоговая!E115</f>
        <v>+</v>
      </c>
      <c r="D127" s="400">
        <f>Итоговая!F115</f>
        <v>1</v>
      </c>
      <c r="E127" s="400"/>
      <c r="F127" s="401"/>
      <c r="G127" s="43"/>
      <c r="H127" s="17"/>
      <c r="I127" s="17"/>
      <c r="J127" s="17"/>
      <c r="K127" s="17"/>
      <c r="L127" s="73"/>
      <c r="M127" s="17" t="s">
        <v>3195</v>
      </c>
      <c r="N127" s="17" t="s">
        <v>3196</v>
      </c>
      <c r="O127" s="17">
        <v>0.14499999999999999</v>
      </c>
      <c r="P127" s="17"/>
      <c r="Q127" s="17"/>
      <c r="R127" s="17"/>
      <c r="S127" s="17"/>
      <c r="T127" s="17"/>
      <c r="U127" s="17"/>
      <c r="V127" s="17"/>
      <c r="W127" s="73"/>
      <c r="X127" s="82"/>
      <c r="Y127" s="82"/>
      <c r="Z127" s="82"/>
      <c r="AA127" s="82"/>
      <c r="AB127" s="82"/>
    </row>
    <row r="128" spans="1:28" ht="15.75" customHeight="1" thickBot="1" x14ac:dyDescent="0.3">
      <c r="A128" s="394"/>
      <c r="B128" s="395"/>
      <c r="C128" s="396"/>
      <c r="D128" s="396"/>
      <c r="E128" s="396"/>
      <c r="F128" s="397"/>
      <c r="G128" s="2578" t="s">
        <v>1833</v>
      </c>
      <c r="H128" s="2578"/>
      <c r="I128" s="2579"/>
      <c r="J128" s="13">
        <f>SUM(J127:J127)</f>
        <v>0</v>
      </c>
      <c r="K128" s="14">
        <v>0.92</v>
      </c>
      <c r="L128" s="13">
        <f>J128/K128</f>
        <v>0</v>
      </c>
      <c r="M128" s="2577" t="s">
        <v>1834</v>
      </c>
      <c r="N128" s="2579"/>
      <c r="O128" s="13">
        <f>SUM(O127:O127)</f>
        <v>0.14499999999999999</v>
      </c>
      <c r="P128" s="14">
        <v>0.92</v>
      </c>
      <c r="Q128" s="13">
        <f>O128/P128</f>
        <v>0.15760869565217389</v>
      </c>
      <c r="R128" s="2577" t="s">
        <v>1833</v>
      </c>
      <c r="S128" s="2578"/>
      <c r="T128" s="2579"/>
      <c r="U128" s="13">
        <f>SUM(U127:U127)</f>
        <v>0</v>
      </c>
      <c r="V128" s="14">
        <v>0.92</v>
      </c>
      <c r="W128" s="13">
        <f>U128/V128</f>
        <v>0</v>
      </c>
      <c r="X128" s="82"/>
      <c r="Y128" s="82"/>
      <c r="Z128" s="82"/>
      <c r="AA128" s="82"/>
      <c r="AB128" s="82"/>
    </row>
    <row r="129" spans="1:28" x14ac:dyDescent="0.25">
      <c r="A129" s="398" t="str">
        <f>Итоговая!C116</f>
        <v xml:space="preserve">ПС 35/10 кВ Овсище </v>
      </c>
      <c r="B129" s="399">
        <f>Итоговая!D116</f>
        <v>2.5</v>
      </c>
      <c r="C129" s="400" t="str">
        <f>Итоговая!E116</f>
        <v>+</v>
      </c>
      <c r="D129" s="400">
        <f>Итоговая!F116</f>
        <v>1.6</v>
      </c>
      <c r="E129" s="400"/>
      <c r="F129" s="401"/>
      <c r="G129" s="43"/>
      <c r="H129" s="17"/>
      <c r="I129" s="17"/>
      <c r="J129" s="17"/>
      <c r="K129" s="17"/>
      <c r="L129" s="73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73"/>
      <c r="X129" s="82"/>
      <c r="Y129" s="82"/>
      <c r="Z129" s="82"/>
      <c r="AA129" s="82"/>
      <c r="AB129" s="82"/>
    </row>
    <row r="130" spans="1:28" ht="15.75" customHeight="1" thickBot="1" x14ac:dyDescent="0.3">
      <c r="A130" s="394"/>
      <c r="B130" s="395"/>
      <c r="C130" s="396"/>
      <c r="D130" s="396"/>
      <c r="E130" s="396"/>
      <c r="F130" s="397"/>
      <c r="G130" s="2578" t="s">
        <v>1833</v>
      </c>
      <c r="H130" s="2578"/>
      <c r="I130" s="2579"/>
      <c r="J130" s="13">
        <f>SUM(J129:J129)</f>
        <v>0</v>
      </c>
      <c r="K130" s="14">
        <v>0.92</v>
      </c>
      <c r="L130" s="13">
        <f>J130/K130</f>
        <v>0</v>
      </c>
      <c r="M130" s="2577" t="s">
        <v>1834</v>
      </c>
      <c r="N130" s="2579"/>
      <c r="O130" s="13">
        <f>SUM(O129:O129)</f>
        <v>0</v>
      </c>
      <c r="P130" s="14">
        <v>0.92</v>
      </c>
      <c r="Q130" s="13">
        <f>O130/P130</f>
        <v>0</v>
      </c>
      <c r="R130" s="2577" t="s">
        <v>1833</v>
      </c>
      <c r="S130" s="2578"/>
      <c r="T130" s="2579"/>
      <c r="U130" s="13">
        <f>SUM(U129:U129)</f>
        <v>0</v>
      </c>
      <c r="V130" s="14">
        <v>0.92</v>
      </c>
      <c r="W130" s="13">
        <f>U130/V130</f>
        <v>0</v>
      </c>
      <c r="X130" s="82"/>
      <c r="Y130" s="82"/>
      <c r="Z130" s="82"/>
      <c r="AA130" s="82"/>
      <c r="AB130" s="82"/>
    </row>
    <row r="131" spans="1:28" x14ac:dyDescent="0.25">
      <c r="A131" s="398" t="str">
        <f>Итоговая!C117</f>
        <v xml:space="preserve">ПС 35/6 кВ ОЭЗ  </v>
      </c>
      <c r="B131" s="399">
        <f>Итоговая!D117</f>
        <v>2.5</v>
      </c>
      <c r="C131" s="400" t="str">
        <f>Итоговая!E117</f>
        <v>+</v>
      </c>
      <c r="D131" s="400">
        <f>Итоговая!F117</f>
        <v>2.5</v>
      </c>
      <c r="E131" s="400"/>
      <c r="F131" s="401"/>
      <c r="G131" s="2640" t="s">
        <v>3447</v>
      </c>
      <c r="H131" s="2641"/>
      <c r="I131" s="2641"/>
      <c r="J131" s="2641"/>
      <c r="K131" s="2641"/>
      <c r="L131" s="2641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73"/>
      <c r="X131" s="82"/>
      <c r="Y131" s="82"/>
      <c r="Z131" s="82"/>
      <c r="AA131" s="82"/>
      <c r="AB131" s="82"/>
    </row>
    <row r="132" spans="1:28" ht="105" x14ac:dyDescent="0.25">
      <c r="A132" s="1473"/>
      <c r="B132" s="1464"/>
      <c r="C132" s="1474"/>
      <c r="D132" s="1474"/>
      <c r="E132" s="1474"/>
      <c r="F132" s="1465"/>
      <c r="G132" s="1858" t="s">
        <v>3575</v>
      </c>
      <c r="H132" s="1858" t="s">
        <v>3596</v>
      </c>
      <c r="I132" s="1858" t="s">
        <v>15279</v>
      </c>
      <c r="J132" s="1858">
        <f>0.6*0.9</f>
        <v>0.54</v>
      </c>
      <c r="K132" s="1858"/>
      <c r="L132" s="1859"/>
      <c r="M132" s="1476"/>
      <c r="N132" s="1477"/>
      <c r="O132" s="1459"/>
      <c r="P132" s="1459"/>
      <c r="Q132" s="1459"/>
      <c r="R132" s="1476"/>
      <c r="S132" s="1463"/>
      <c r="T132" s="1477"/>
      <c r="U132" s="1459"/>
      <c r="V132" s="1459"/>
      <c r="W132" s="69"/>
      <c r="X132" s="82"/>
      <c r="Y132" s="82"/>
      <c r="Z132" s="82"/>
      <c r="AA132" s="82"/>
      <c r="AB132" s="82"/>
    </row>
    <row r="133" spans="1:28" ht="15.75" customHeight="1" thickBot="1" x14ac:dyDescent="0.3">
      <c r="A133" s="394"/>
      <c r="B133" s="395"/>
      <c r="C133" s="396"/>
      <c r="D133" s="396"/>
      <c r="E133" s="396"/>
      <c r="F133" s="397"/>
      <c r="G133" s="2578" t="s">
        <v>1833</v>
      </c>
      <c r="H133" s="2578"/>
      <c r="I133" s="2579"/>
      <c r="J133" s="13">
        <f>SUM(J131:J132)</f>
        <v>0.54</v>
      </c>
      <c r="K133" s="14">
        <v>0.92</v>
      </c>
      <c r="L133" s="13">
        <f>J133/K133</f>
        <v>0.58695652173913049</v>
      </c>
      <c r="M133" s="2577" t="s">
        <v>1834</v>
      </c>
      <c r="N133" s="2579"/>
      <c r="O133" s="13">
        <f>SUM(O131:O131)</f>
        <v>0</v>
      </c>
      <c r="P133" s="14">
        <v>0.92</v>
      </c>
      <c r="Q133" s="13">
        <f>O133/P133</f>
        <v>0</v>
      </c>
      <c r="R133" s="2577" t="s">
        <v>1833</v>
      </c>
      <c r="S133" s="2578"/>
      <c r="T133" s="2579"/>
      <c r="U133" s="13">
        <f>SUM(U131:U131)</f>
        <v>0</v>
      </c>
      <c r="V133" s="14">
        <v>0.92</v>
      </c>
      <c r="W133" s="13">
        <f>U133/V133</f>
        <v>0</v>
      </c>
      <c r="X133" s="82"/>
      <c r="Y133" s="82"/>
      <c r="Z133" s="82"/>
      <c r="AA133" s="82"/>
      <c r="AB133" s="82"/>
    </row>
    <row r="134" spans="1:28" ht="27.75" customHeight="1" thickBot="1" x14ac:dyDescent="0.3">
      <c r="A134" s="398" t="str">
        <f>Итоговая!C118</f>
        <v xml:space="preserve">ПС 35/10 кВ Плотично  </v>
      </c>
      <c r="B134" s="399">
        <f>Итоговая!D118</f>
        <v>1.8</v>
      </c>
      <c r="C134" s="400" t="str">
        <f>Итоговая!E118</f>
        <v>+</v>
      </c>
      <c r="D134" s="400">
        <f>Итоговая!F118</f>
        <v>1.6</v>
      </c>
      <c r="E134" s="400"/>
      <c r="F134" s="401"/>
      <c r="G134" s="2598" t="s">
        <v>3447</v>
      </c>
      <c r="H134" s="2626"/>
      <c r="I134" s="2626"/>
      <c r="J134" s="2626"/>
      <c r="K134" s="2626"/>
      <c r="L134" s="2626"/>
      <c r="M134" s="1"/>
      <c r="N134" s="1"/>
      <c r="O134" s="17"/>
      <c r="P134" s="17"/>
      <c r="Q134" s="17"/>
      <c r="R134" s="17"/>
      <c r="S134" s="17"/>
      <c r="T134" s="17"/>
      <c r="U134" s="17"/>
      <c r="V134" s="17"/>
      <c r="W134" s="73"/>
      <c r="X134" s="82"/>
      <c r="Y134" s="82"/>
      <c r="Z134" s="82"/>
      <c r="AA134" s="82"/>
      <c r="AB134" s="82"/>
    </row>
    <row r="135" spans="1:28" ht="49.5" customHeight="1" x14ac:dyDescent="0.25">
      <c r="A135" s="1074"/>
      <c r="B135" s="1071"/>
      <c r="C135" s="1075"/>
      <c r="D135" s="1075"/>
      <c r="E135" s="1075"/>
      <c r="F135" s="1072"/>
      <c r="G135" s="1732"/>
      <c r="H135" s="1732"/>
      <c r="I135" s="1732"/>
      <c r="J135" s="1732"/>
      <c r="K135" s="1"/>
      <c r="L135" s="22"/>
      <c r="M135" s="1" t="s">
        <v>393</v>
      </c>
      <c r="N135" s="1" t="s">
        <v>76</v>
      </c>
      <c r="O135" s="17">
        <v>0.5635</v>
      </c>
      <c r="P135" s="1"/>
      <c r="Q135" s="1"/>
      <c r="R135" s="1626" t="s">
        <v>3194</v>
      </c>
      <c r="S135" s="1626" t="s">
        <v>3288</v>
      </c>
      <c r="T135" s="1626" t="s">
        <v>16744</v>
      </c>
      <c r="U135" s="1626">
        <v>0.2</v>
      </c>
      <c r="V135" s="1"/>
      <c r="W135" s="22"/>
      <c r="X135" s="82"/>
      <c r="Y135" s="82"/>
      <c r="Z135" s="82"/>
      <c r="AA135" s="82"/>
      <c r="AB135" s="82"/>
    </row>
    <row r="136" spans="1:28" ht="49.5" customHeight="1" x14ac:dyDescent="0.25">
      <c r="A136" s="1074"/>
      <c r="B136" s="1071"/>
      <c r="C136" s="1075"/>
      <c r="D136" s="1075"/>
      <c r="E136" s="1075"/>
      <c r="F136" s="1072"/>
      <c r="G136" s="1"/>
      <c r="H136" s="1"/>
      <c r="I136" s="1"/>
      <c r="J136" s="1"/>
      <c r="K136" s="1"/>
      <c r="L136" s="22"/>
      <c r="M136" s="1" t="s">
        <v>3199</v>
      </c>
      <c r="N136" s="1" t="s">
        <v>3200</v>
      </c>
      <c r="O136" s="1">
        <v>0.04</v>
      </c>
      <c r="P136" s="1"/>
      <c r="Q136" s="1"/>
      <c r="R136" s="2056" t="s">
        <v>3372</v>
      </c>
      <c r="S136" s="2056" t="s">
        <v>3436</v>
      </c>
      <c r="T136" s="2056" t="s">
        <v>19802</v>
      </c>
      <c r="U136" s="2056">
        <v>0.60328000000000004</v>
      </c>
      <c r="V136" s="1"/>
      <c r="W136" s="22"/>
      <c r="X136" s="82"/>
      <c r="Y136" s="82"/>
      <c r="Z136" s="82"/>
      <c r="AA136" s="82"/>
      <c r="AB136" s="82"/>
    </row>
    <row r="137" spans="1:28" ht="49.5" customHeight="1" x14ac:dyDescent="0.25">
      <c r="A137" s="1165"/>
      <c r="B137" s="1162"/>
      <c r="C137" s="1166"/>
      <c r="D137" s="1166"/>
      <c r="E137" s="1166"/>
      <c r="F137" s="1163"/>
      <c r="G137" s="1"/>
      <c r="H137" s="1"/>
      <c r="I137" s="1"/>
      <c r="J137" s="1"/>
      <c r="K137" s="1"/>
      <c r="L137" s="22"/>
      <c r="M137" s="1"/>
      <c r="N137" s="1229"/>
      <c r="O137" s="1"/>
      <c r="P137" s="1"/>
      <c r="Q137" s="1"/>
      <c r="R137" s="1"/>
      <c r="S137" s="1"/>
      <c r="T137" s="1"/>
      <c r="U137" s="1"/>
      <c r="V137" s="1"/>
      <c r="W137" s="22"/>
      <c r="X137" s="82"/>
      <c r="Y137" s="82"/>
      <c r="Z137" s="82"/>
      <c r="AA137" s="82"/>
      <c r="AB137" s="82"/>
    </row>
    <row r="138" spans="1:28" ht="15.75" customHeight="1" thickBot="1" x14ac:dyDescent="0.3">
      <c r="A138" s="394"/>
      <c r="B138" s="395"/>
      <c r="C138" s="396"/>
      <c r="D138" s="396"/>
      <c r="E138" s="396"/>
      <c r="F138" s="397"/>
      <c r="G138" s="2578" t="s">
        <v>1833</v>
      </c>
      <c r="H138" s="2578"/>
      <c r="I138" s="2579"/>
      <c r="J138" s="13">
        <f>SUM(J135:J137)</f>
        <v>0</v>
      </c>
      <c r="K138" s="14">
        <v>0.92</v>
      </c>
      <c r="L138" s="13">
        <f>J138/K138</f>
        <v>0</v>
      </c>
      <c r="M138" s="2577" t="s">
        <v>1834</v>
      </c>
      <c r="N138" s="2579"/>
      <c r="O138" s="13">
        <f>SUM(O134:O137)</f>
        <v>0.60350000000000004</v>
      </c>
      <c r="P138" s="14">
        <v>0.92</v>
      </c>
      <c r="Q138" s="13">
        <f>O138/P138</f>
        <v>0.65597826086956523</v>
      </c>
      <c r="R138" s="2577" t="s">
        <v>1833</v>
      </c>
      <c r="S138" s="2578"/>
      <c r="T138" s="2579"/>
      <c r="U138" s="13">
        <f>SUM(U134:U137)</f>
        <v>0.80327999999999999</v>
      </c>
      <c r="V138" s="14">
        <v>0.92</v>
      </c>
      <c r="W138" s="13">
        <f>U138/V138</f>
        <v>0.87313043478260866</v>
      </c>
      <c r="X138" s="82"/>
      <c r="Y138" s="82"/>
      <c r="Z138" s="82"/>
      <c r="AA138" s="82"/>
      <c r="AB138" s="82"/>
    </row>
    <row r="139" spans="1:28" x14ac:dyDescent="0.25">
      <c r="A139" s="398" t="str">
        <f>Итоговая!C119</f>
        <v xml:space="preserve">ПС 35/10 кВ Попово  </v>
      </c>
      <c r="B139" s="399">
        <f>Итоговая!D119</f>
        <v>1</v>
      </c>
      <c r="C139" s="400" t="str">
        <f>Итоговая!E119</f>
        <v>+</v>
      </c>
      <c r="D139" s="400">
        <f>Итоговая!F119</f>
        <v>1</v>
      </c>
      <c r="E139" s="400"/>
      <c r="F139" s="401"/>
      <c r="G139" s="43"/>
      <c r="H139" s="17"/>
      <c r="I139" s="17"/>
      <c r="J139" s="17"/>
      <c r="K139" s="17"/>
      <c r="L139" s="73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73"/>
      <c r="X139" s="82"/>
      <c r="Y139" s="82"/>
      <c r="Z139" s="82"/>
      <c r="AA139" s="82"/>
      <c r="AB139" s="82"/>
    </row>
    <row r="140" spans="1:28" ht="15.75" customHeight="1" thickBot="1" x14ac:dyDescent="0.3">
      <c r="A140" s="394"/>
      <c r="B140" s="395"/>
      <c r="C140" s="396"/>
      <c r="D140" s="396"/>
      <c r="E140" s="396"/>
      <c r="F140" s="397"/>
      <c r="G140" s="2578" t="s">
        <v>1833</v>
      </c>
      <c r="H140" s="2578"/>
      <c r="I140" s="2579"/>
      <c r="J140" s="13">
        <f>SUM(J139:J139)</f>
        <v>0</v>
      </c>
      <c r="K140" s="14">
        <v>0.92</v>
      </c>
      <c r="L140" s="13">
        <f>J140/K140</f>
        <v>0</v>
      </c>
      <c r="M140" s="2577" t="s">
        <v>1834</v>
      </c>
      <c r="N140" s="2579"/>
      <c r="O140" s="13">
        <f>SUM(O139:O139)</f>
        <v>0</v>
      </c>
      <c r="P140" s="14">
        <v>0.92</v>
      </c>
      <c r="Q140" s="13">
        <f>O140/P140</f>
        <v>0</v>
      </c>
      <c r="R140" s="2577" t="s">
        <v>1833</v>
      </c>
      <c r="S140" s="2578"/>
      <c r="T140" s="2579"/>
      <c r="U140" s="13">
        <f>SUM(U139:U139)</f>
        <v>0</v>
      </c>
      <c r="V140" s="14">
        <v>0.92</v>
      </c>
      <c r="W140" s="13">
        <f>U140/V140</f>
        <v>0</v>
      </c>
      <c r="X140" s="82"/>
      <c r="Y140" s="82"/>
      <c r="Z140" s="82"/>
      <c r="AA140" s="82"/>
      <c r="AB140" s="82"/>
    </row>
    <row r="141" spans="1:28" x14ac:dyDescent="0.25">
      <c r="A141" s="2632" t="str">
        <f>Итоговая!C120</f>
        <v>ПС 35/10 кВ Пролетарий</v>
      </c>
      <c r="B141" s="2630">
        <f>Итоговая!D120</f>
        <v>2.5</v>
      </c>
      <c r="C141" s="2632" t="str">
        <f>Итоговая!E120</f>
        <v>+</v>
      </c>
      <c r="D141" s="2632">
        <f>Итоговая!F120</f>
        <v>2.5</v>
      </c>
      <c r="E141" s="400"/>
      <c r="F141" s="401"/>
      <c r="G141" s="2598" t="s">
        <v>3020</v>
      </c>
      <c r="H141" s="2626"/>
      <c r="I141" s="2626"/>
      <c r="J141" s="2626"/>
      <c r="K141" s="2626"/>
      <c r="L141" s="2626"/>
      <c r="M141" s="131"/>
      <c r="N141" s="132"/>
      <c r="O141" s="73"/>
      <c r="P141" s="73"/>
      <c r="Q141" s="73"/>
      <c r="R141" s="2647" t="s">
        <v>1959</v>
      </c>
      <c r="S141" s="2648"/>
      <c r="T141" s="2648"/>
      <c r="U141" s="2648"/>
      <c r="V141" s="2648"/>
      <c r="W141" s="2649"/>
      <c r="X141" s="82"/>
      <c r="Y141" s="82"/>
      <c r="Z141" s="82"/>
      <c r="AA141" s="82"/>
      <c r="AB141" s="82"/>
    </row>
    <row r="142" spans="1:28" ht="124.5" customHeight="1" thickBot="1" x14ac:dyDescent="0.3">
      <c r="A142" s="2633"/>
      <c r="B142" s="2631"/>
      <c r="C142" s="2633"/>
      <c r="D142" s="2633"/>
      <c r="E142" s="404"/>
      <c r="F142" s="405"/>
      <c r="G142" s="22"/>
      <c r="H142" s="22"/>
      <c r="I142" s="142"/>
      <c r="J142" s="142"/>
      <c r="K142" s="1013"/>
      <c r="L142" s="1013"/>
      <c r="M142" s="1558"/>
      <c r="N142" s="1558"/>
      <c r="O142" s="22"/>
      <c r="P142" s="22"/>
      <c r="Q142" s="22"/>
      <c r="R142" s="347" t="s">
        <v>1895</v>
      </c>
      <c r="S142" s="347" t="s">
        <v>1896</v>
      </c>
      <c r="T142" s="347" t="s">
        <v>2481</v>
      </c>
      <c r="U142" s="347">
        <v>0.2</v>
      </c>
      <c r="V142" s="347"/>
      <c r="W142" s="355"/>
      <c r="X142" s="82"/>
      <c r="Y142" s="82"/>
      <c r="Z142" s="82"/>
      <c r="AA142" s="82"/>
      <c r="AB142" s="82"/>
    </row>
    <row r="143" spans="1:28" ht="29.25" customHeight="1" x14ac:dyDescent="0.25">
      <c r="A143" s="1005"/>
      <c r="B143" s="1003"/>
      <c r="C143" s="1005"/>
      <c r="D143" s="1005"/>
      <c r="E143" s="1005"/>
      <c r="F143" s="1004"/>
      <c r="G143" s="2598" t="s">
        <v>3447</v>
      </c>
      <c r="H143" s="2626"/>
      <c r="I143" s="2626"/>
      <c r="J143" s="2626"/>
      <c r="K143" s="2626"/>
      <c r="L143" s="2626"/>
      <c r="M143" s="17" t="s">
        <v>15307</v>
      </c>
      <c r="N143" s="17" t="s">
        <v>16807</v>
      </c>
      <c r="O143" s="17">
        <v>3.5000000000000003E-2</v>
      </c>
      <c r="P143" s="22"/>
      <c r="Q143" s="22"/>
      <c r="R143" s="1921" t="s">
        <v>2443</v>
      </c>
      <c r="S143" s="1921" t="s">
        <v>3055</v>
      </c>
      <c r="T143" s="1936" t="s">
        <v>3079</v>
      </c>
      <c r="U143" s="1936">
        <v>0.05</v>
      </c>
      <c r="V143" s="347"/>
      <c r="W143" s="355"/>
      <c r="X143" s="82"/>
      <c r="Y143" s="82"/>
      <c r="Z143" s="82"/>
      <c r="AA143" s="82"/>
      <c r="AB143" s="82"/>
    </row>
    <row r="144" spans="1:28" ht="29.25" customHeight="1" x14ac:dyDescent="0.25">
      <c r="A144" s="1707"/>
      <c r="B144" s="1706"/>
      <c r="C144" s="1707"/>
      <c r="D144" s="1707"/>
      <c r="E144" s="1707"/>
      <c r="F144" s="1711"/>
      <c r="G144" s="1744" t="s">
        <v>16719</v>
      </c>
      <c r="H144" s="1744" t="s">
        <v>16720</v>
      </c>
      <c r="I144" s="1758" t="s">
        <v>16886</v>
      </c>
      <c r="J144" s="149">
        <f>0.16*0.9</f>
        <v>0.14400000000000002</v>
      </c>
      <c r="K144" s="311"/>
      <c r="L144" s="311"/>
      <c r="M144" s="1696"/>
      <c r="N144" s="1696"/>
      <c r="O144" s="1696"/>
      <c r="P144" s="1710"/>
      <c r="Q144" s="1710"/>
      <c r="R144" s="347"/>
      <c r="S144" s="347"/>
      <c r="T144" s="347"/>
      <c r="U144" s="347"/>
      <c r="V144" s="347"/>
      <c r="W144" s="355"/>
      <c r="X144" s="82"/>
      <c r="Y144" s="82"/>
      <c r="Z144" s="82"/>
      <c r="AA144" s="82"/>
      <c r="AB144" s="82"/>
    </row>
    <row r="145" spans="1:28" ht="29.25" customHeight="1" x14ac:dyDescent="0.25">
      <c r="A145" s="1783"/>
      <c r="B145" s="1782"/>
      <c r="C145" s="1783"/>
      <c r="D145" s="1783"/>
      <c r="E145" s="1783"/>
      <c r="F145" s="1784"/>
      <c r="G145" s="1776" t="s">
        <v>15353</v>
      </c>
      <c r="H145" s="1776" t="s">
        <v>16825</v>
      </c>
      <c r="I145" s="1794" t="s">
        <v>16902</v>
      </c>
      <c r="J145" s="1776">
        <f>0.035-0.005</f>
        <v>3.0000000000000002E-2</v>
      </c>
      <c r="K145" s="311"/>
      <c r="L145" s="311"/>
      <c r="M145" s="1779"/>
      <c r="N145" s="1781"/>
      <c r="O145" s="1778"/>
      <c r="P145" s="62"/>
      <c r="Q145" s="62"/>
      <c r="R145" s="1799"/>
      <c r="S145" s="1800"/>
      <c r="T145" s="1801"/>
      <c r="U145" s="360"/>
      <c r="V145" s="360"/>
      <c r="W145" s="362"/>
      <c r="X145" s="82"/>
      <c r="Y145" s="82"/>
      <c r="Z145" s="82"/>
      <c r="AA145" s="82"/>
      <c r="AB145" s="82"/>
    </row>
    <row r="146" spans="1:28" ht="29.25" customHeight="1" x14ac:dyDescent="0.25">
      <c r="A146" s="2317"/>
      <c r="B146" s="2316"/>
      <c r="C146" s="2317"/>
      <c r="D146" s="2317"/>
      <c r="E146" s="2317"/>
      <c r="F146" s="2320"/>
      <c r="G146" s="2598" t="s">
        <v>17005</v>
      </c>
      <c r="H146" s="2626"/>
      <c r="I146" s="2626"/>
      <c r="J146" s="2626"/>
      <c r="K146" s="2626"/>
      <c r="L146" s="2626"/>
      <c r="M146" s="2308"/>
      <c r="N146" s="2309"/>
      <c r="O146" s="2315"/>
      <c r="P146" s="62"/>
      <c r="Q146" s="62"/>
      <c r="R146" s="1799"/>
      <c r="S146" s="1800"/>
      <c r="T146" s="1801"/>
      <c r="U146" s="360"/>
      <c r="V146" s="360"/>
      <c r="W146" s="362"/>
      <c r="X146" s="82"/>
      <c r="Y146" s="82"/>
      <c r="Z146" s="82"/>
      <c r="AA146" s="82"/>
      <c r="AB146" s="82"/>
    </row>
    <row r="147" spans="1:28" ht="29.25" customHeight="1" x14ac:dyDescent="0.25">
      <c r="A147" s="2317"/>
      <c r="B147" s="2316"/>
      <c r="C147" s="2317"/>
      <c r="D147" s="2317"/>
      <c r="E147" s="2317"/>
      <c r="F147" s="2320"/>
      <c r="G147" s="2310" t="s">
        <v>16719</v>
      </c>
      <c r="H147" s="2310" t="s">
        <v>20276</v>
      </c>
      <c r="I147" s="2337" t="s">
        <v>20277</v>
      </c>
      <c r="J147" s="2315">
        <f>0.0966*0.9</f>
        <v>8.6940000000000003E-2</v>
      </c>
      <c r="K147" s="311"/>
      <c r="L147" s="311"/>
      <c r="M147" s="2308"/>
      <c r="N147" s="2309"/>
      <c r="O147" s="2315"/>
      <c r="P147" s="62"/>
      <c r="Q147" s="62"/>
      <c r="R147" s="1799"/>
      <c r="S147" s="1800"/>
      <c r="T147" s="1801"/>
      <c r="U147" s="360"/>
      <c r="V147" s="360"/>
      <c r="W147" s="362"/>
      <c r="X147" s="82"/>
      <c r="Y147" s="82"/>
      <c r="Z147" s="82"/>
      <c r="AA147" s="82"/>
      <c r="AB147" s="82"/>
    </row>
    <row r="148" spans="1:28" ht="15.75" customHeight="1" thickBot="1" x14ac:dyDescent="0.3">
      <c r="A148" s="396"/>
      <c r="B148" s="395"/>
      <c r="C148" s="396"/>
      <c r="D148" s="396"/>
      <c r="E148" s="396"/>
      <c r="F148" s="397"/>
      <c r="G148" s="2578" t="s">
        <v>1833</v>
      </c>
      <c r="H148" s="2578"/>
      <c r="I148" s="2579"/>
      <c r="J148" s="13">
        <f>SUM(J144:J147)</f>
        <v>0.26094000000000001</v>
      </c>
      <c r="K148" s="14">
        <v>0.92</v>
      </c>
      <c r="L148" s="13">
        <f>J148/K148</f>
        <v>0.28363043478260869</v>
      </c>
      <c r="M148" s="2577" t="s">
        <v>1834</v>
      </c>
      <c r="N148" s="2579"/>
      <c r="O148" s="13">
        <f>SUM(O142:O144)</f>
        <v>3.5000000000000003E-2</v>
      </c>
      <c r="P148" s="14">
        <v>0.92</v>
      </c>
      <c r="Q148" s="13">
        <f>O148/P148</f>
        <v>3.8043478260869568E-2</v>
      </c>
      <c r="R148" s="2587" t="s">
        <v>1833</v>
      </c>
      <c r="S148" s="2588"/>
      <c r="T148" s="2589"/>
      <c r="U148" s="21">
        <f>SUM(U142:U145)</f>
        <v>0.25</v>
      </c>
      <c r="V148" s="24">
        <v>0.92</v>
      </c>
      <c r="W148" s="21">
        <f>U148/V148</f>
        <v>0.27173913043478259</v>
      </c>
      <c r="X148" s="82"/>
      <c r="Y148" s="82"/>
      <c r="Z148" s="82"/>
      <c r="AA148" s="82"/>
      <c r="AB148" s="82"/>
    </row>
    <row r="149" spans="1:28" x14ac:dyDescent="0.25">
      <c r="A149" s="2633" t="str">
        <f>Итоговая!C121</f>
        <v xml:space="preserve">ПС 35/10 кВ Рождество </v>
      </c>
      <c r="B149" s="2631">
        <f>Итоговая!D121</f>
        <v>2.5</v>
      </c>
      <c r="C149" s="2633" t="str">
        <f>Итоговая!E121</f>
        <v>+</v>
      </c>
      <c r="D149" s="2633">
        <f>Итоговая!F121</f>
        <v>2.5</v>
      </c>
      <c r="E149" s="2633"/>
      <c r="F149" s="2635"/>
      <c r="G149" s="2598" t="s">
        <v>2032</v>
      </c>
      <c r="H149" s="2626"/>
      <c r="I149" s="2626"/>
      <c r="J149" s="2626"/>
      <c r="K149" s="2626"/>
      <c r="L149" s="2626"/>
      <c r="M149" s="51"/>
      <c r="N149" s="51"/>
      <c r="O149" s="51"/>
      <c r="P149" s="51"/>
      <c r="Q149" s="51"/>
      <c r="R149" s="315"/>
      <c r="S149" s="315"/>
      <c r="T149" s="315"/>
      <c r="U149" s="315"/>
      <c r="V149" s="315"/>
      <c r="W149" s="315"/>
      <c r="X149" s="82"/>
      <c r="Y149" s="82"/>
      <c r="Z149" s="82"/>
      <c r="AA149" s="82"/>
      <c r="AB149" s="82"/>
    </row>
    <row r="150" spans="1:28" ht="67.5" customHeight="1" x14ac:dyDescent="0.25">
      <c r="A150" s="2633"/>
      <c r="B150" s="2631"/>
      <c r="C150" s="2633"/>
      <c r="D150" s="2633"/>
      <c r="E150" s="2633"/>
      <c r="F150" s="2635"/>
      <c r="G150" s="272" t="s">
        <v>1936</v>
      </c>
      <c r="H150" s="22" t="s">
        <v>1937</v>
      </c>
      <c r="I150" s="22" t="s">
        <v>2218</v>
      </c>
      <c r="J150" s="22">
        <f>0.06*0.9</f>
        <v>5.3999999999999999E-2</v>
      </c>
      <c r="K150" s="22"/>
      <c r="L150" s="22"/>
      <c r="M150" s="22" t="s">
        <v>2394</v>
      </c>
      <c r="N150" s="22" t="s">
        <v>2395</v>
      </c>
      <c r="O150" s="22">
        <v>2.1000000000000001E-2</v>
      </c>
      <c r="P150" s="22"/>
      <c r="Q150" s="22"/>
      <c r="R150" s="315"/>
      <c r="S150" s="315"/>
      <c r="T150" s="315"/>
      <c r="U150" s="315"/>
      <c r="V150" s="315"/>
      <c r="W150" s="315"/>
      <c r="X150" s="82"/>
      <c r="Y150" s="82"/>
      <c r="Z150" s="82"/>
      <c r="AA150" s="82"/>
      <c r="AB150" s="82"/>
    </row>
    <row r="151" spans="1:28" ht="120" customHeight="1" x14ac:dyDescent="0.25">
      <c r="A151" s="1187"/>
      <c r="B151" s="1183"/>
      <c r="C151" s="1187"/>
      <c r="D151" s="1187"/>
      <c r="E151" s="1187"/>
      <c r="F151" s="1184"/>
      <c r="G151" s="272"/>
      <c r="H151" s="22"/>
      <c r="I151" s="22"/>
      <c r="J151" s="22"/>
      <c r="K151" s="22"/>
      <c r="L151" s="22"/>
      <c r="M151" s="22" t="s">
        <v>3410</v>
      </c>
      <c r="N151" s="22" t="s">
        <v>3411</v>
      </c>
      <c r="O151" s="22">
        <f>0.053-0.023</f>
        <v>0.03</v>
      </c>
      <c r="P151" s="22"/>
      <c r="Q151" s="22"/>
      <c r="R151" s="315"/>
      <c r="S151" s="315"/>
      <c r="T151" s="315"/>
      <c r="U151" s="315"/>
      <c r="V151" s="315"/>
      <c r="W151" s="315"/>
      <c r="X151" s="82"/>
      <c r="Y151" s="82"/>
      <c r="Z151" s="82"/>
      <c r="AA151" s="82"/>
      <c r="AB151" s="82"/>
    </row>
    <row r="152" spans="1:28" ht="15.75" customHeight="1" thickBot="1" x14ac:dyDescent="0.3">
      <c r="A152" s="396"/>
      <c r="B152" s="395"/>
      <c r="C152" s="396"/>
      <c r="D152" s="396"/>
      <c r="E152" s="396"/>
      <c r="F152" s="397"/>
      <c r="G152" s="2619" t="s">
        <v>1833</v>
      </c>
      <c r="H152" s="2580"/>
      <c r="I152" s="2580"/>
      <c r="J152" s="235">
        <f>SUM(J151)</f>
        <v>0</v>
      </c>
      <c r="K152" s="1">
        <v>0.92</v>
      </c>
      <c r="L152" s="235">
        <f>J152/K152</f>
        <v>0</v>
      </c>
      <c r="M152" s="2580" t="s">
        <v>1834</v>
      </c>
      <c r="N152" s="2580"/>
      <c r="O152" s="235">
        <f>SUM(O150:O151)</f>
        <v>5.1000000000000004E-2</v>
      </c>
      <c r="P152" s="1">
        <v>0.92</v>
      </c>
      <c r="Q152" s="235">
        <f>O152/P152</f>
        <v>5.5434782608695651E-2</v>
      </c>
      <c r="R152" s="2580" t="s">
        <v>1833</v>
      </c>
      <c r="S152" s="2580"/>
      <c r="T152" s="2580"/>
      <c r="U152" s="235">
        <f>SUM(U150:U150)</f>
        <v>0</v>
      </c>
      <c r="V152" s="1">
        <v>0.92</v>
      </c>
      <c r="W152" s="235">
        <f>U152/V152</f>
        <v>0</v>
      </c>
      <c r="X152" s="82"/>
      <c r="Y152" s="82"/>
      <c r="Z152" s="82"/>
      <c r="AA152" s="82"/>
      <c r="AB152" s="82"/>
    </row>
    <row r="153" spans="1:28" ht="34.5" customHeight="1" x14ac:dyDescent="0.25">
      <c r="A153" s="2657" t="str">
        <f>Итоговая!C122</f>
        <v xml:space="preserve">ПС 35/10 кВ Ряд </v>
      </c>
      <c r="B153" s="1824">
        <f>Итоговая!D122</f>
        <v>2.5</v>
      </c>
      <c r="C153" s="1826" t="str">
        <f>Итоговая!E122</f>
        <v>+</v>
      </c>
      <c r="D153" s="1826">
        <f>Итоговая!F122</f>
        <v>2.5</v>
      </c>
      <c r="E153" s="1826"/>
      <c r="F153" s="1828"/>
      <c r="G153" s="104"/>
      <c r="H153" s="9"/>
      <c r="I153" s="9"/>
      <c r="J153" s="9"/>
      <c r="K153" s="9"/>
      <c r="L153" s="51"/>
      <c r="M153" s="9" t="s">
        <v>2531</v>
      </c>
      <c r="N153" s="9" t="s">
        <v>2532</v>
      </c>
      <c r="O153" s="1830">
        <f>0.0622-0.012</f>
        <v>5.0199999999999995E-2</v>
      </c>
      <c r="P153" s="9"/>
      <c r="Q153" s="9"/>
      <c r="R153" s="9"/>
      <c r="S153" s="9"/>
      <c r="T153" s="9"/>
      <c r="U153" s="9"/>
      <c r="V153" s="9"/>
      <c r="W153" s="51"/>
      <c r="X153" s="82"/>
      <c r="Y153" s="82"/>
      <c r="Z153" s="82"/>
      <c r="AA153" s="82"/>
      <c r="AB153" s="82"/>
    </row>
    <row r="154" spans="1:28" ht="34.5" customHeight="1" x14ac:dyDescent="0.25">
      <c r="A154" s="2658"/>
      <c r="B154" s="1825"/>
      <c r="C154" s="1827"/>
      <c r="D154" s="1827"/>
      <c r="E154" s="1827"/>
      <c r="F154" s="1829"/>
      <c r="G154" s="1823"/>
      <c r="H154" s="1823"/>
      <c r="I154" s="1832"/>
      <c r="J154" s="1822"/>
      <c r="K154" s="1822"/>
      <c r="L154" s="69"/>
      <c r="M154" s="1820" t="s">
        <v>16954</v>
      </c>
      <c r="N154" s="1820" t="s">
        <v>16955</v>
      </c>
      <c r="O154" s="1820">
        <f>0.0622-0.012</f>
        <v>5.0199999999999995E-2</v>
      </c>
      <c r="P154" s="1820"/>
      <c r="Q154" s="1820"/>
      <c r="R154" s="1831"/>
      <c r="S154" s="1823"/>
      <c r="T154" s="1832"/>
      <c r="U154" s="1822"/>
      <c r="V154" s="1822"/>
      <c r="W154" s="69"/>
      <c r="X154" s="82"/>
      <c r="Y154" s="82"/>
      <c r="Z154" s="82"/>
      <c r="AA154" s="82"/>
      <c r="AB154" s="82"/>
    </row>
    <row r="155" spans="1:28" ht="15.75" customHeight="1" thickBot="1" x14ac:dyDescent="0.3">
      <c r="A155" s="2659"/>
      <c r="B155" s="1835"/>
      <c r="C155" s="639"/>
      <c r="D155" s="639"/>
      <c r="E155" s="639"/>
      <c r="F155" s="397"/>
      <c r="G155" s="2578" t="s">
        <v>1833</v>
      </c>
      <c r="H155" s="2578"/>
      <c r="I155" s="2579"/>
      <c r="J155" s="13">
        <f>SUM(J153:J153)</f>
        <v>0</v>
      </c>
      <c r="K155" s="14">
        <v>0.92</v>
      </c>
      <c r="L155" s="13">
        <f>J155/K155</f>
        <v>0</v>
      </c>
      <c r="M155" s="2587" t="s">
        <v>1834</v>
      </c>
      <c r="N155" s="2589"/>
      <c r="O155" s="21">
        <f>SUM(O153:O154)</f>
        <v>0.10039999999999999</v>
      </c>
      <c r="P155" s="24">
        <v>0.92</v>
      </c>
      <c r="Q155" s="21">
        <f>O155/P155</f>
        <v>0.10913043478260868</v>
      </c>
      <c r="R155" s="2587" t="s">
        <v>1833</v>
      </c>
      <c r="S155" s="2588"/>
      <c r="T155" s="2589"/>
      <c r="U155" s="21">
        <f>SUM(U153:U153)</f>
        <v>0</v>
      </c>
      <c r="V155" s="24">
        <v>0.92</v>
      </c>
      <c r="W155" s="21">
        <f>U155/V155</f>
        <v>0</v>
      </c>
      <c r="X155" s="82"/>
      <c r="Y155" s="82"/>
      <c r="Z155" s="82"/>
      <c r="AA155" s="82"/>
      <c r="AB155" s="82"/>
    </row>
    <row r="156" spans="1:28" ht="15" customHeight="1" x14ac:dyDescent="0.25">
      <c r="A156" s="2638" t="str">
        <f>Итоговая!C123</f>
        <v xml:space="preserve">ПС 35/10 кВ Сеглино  </v>
      </c>
      <c r="B156" s="2630">
        <f>Итоговая!D123</f>
        <v>1.6</v>
      </c>
      <c r="C156" s="2632" t="str">
        <f>Итоговая!E123</f>
        <v>+</v>
      </c>
      <c r="D156" s="2632">
        <f>Итоговая!F123</f>
        <v>1.6</v>
      </c>
      <c r="E156" s="400"/>
      <c r="F156" s="401"/>
      <c r="G156" s="2584" t="s">
        <v>2640</v>
      </c>
      <c r="H156" s="2627"/>
      <c r="I156" s="2627"/>
      <c r="J156" s="2627"/>
      <c r="K156" s="2627"/>
      <c r="L156" s="2627"/>
      <c r="M156" s="300"/>
      <c r="N156" s="300"/>
      <c r="O156" s="17"/>
      <c r="P156" s="17"/>
      <c r="Q156" s="17"/>
      <c r="R156" s="315"/>
      <c r="S156" s="315"/>
      <c r="T156" s="315"/>
      <c r="U156" s="315"/>
      <c r="V156" s="315"/>
      <c r="W156" s="315"/>
      <c r="X156" s="82"/>
      <c r="Y156" s="82"/>
      <c r="Z156" s="82"/>
      <c r="AA156" s="82"/>
      <c r="AB156" s="82"/>
    </row>
    <row r="157" spans="1:28" ht="82.5" customHeight="1" x14ac:dyDescent="0.25">
      <c r="A157" s="2639"/>
      <c r="B157" s="2631"/>
      <c r="C157" s="2633"/>
      <c r="D157" s="2633"/>
      <c r="E157" s="404"/>
      <c r="F157" s="405"/>
      <c r="G157" s="127" t="s">
        <v>2439</v>
      </c>
      <c r="H157" s="1513" t="s">
        <v>2440</v>
      </c>
      <c r="I157" s="312" t="s">
        <v>2744</v>
      </c>
      <c r="J157" s="69">
        <v>2.3E-2</v>
      </c>
      <c r="K157" s="69"/>
      <c r="L157" s="69"/>
      <c r="M157" s="1268"/>
      <c r="N157" s="1512"/>
      <c r="O157" s="1"/>
      <c r="P157" s="1"/>
      <c r="Q157" s="1"/>
      <c r="R157" s="315"/>
      <c r="S157" s="315"/>
      <c r="T157" s="315"/>
      <c r="U157" s="315"/>
      <c r="V157" s="315"/>
      <c r="W157" s="315"/>
      <c r="X157" s="82"/>
      <c r="Y157" s="82"/>
      <c r="Z157" s="82"/>
      <c r="AA157" s="82"/>
      <c r="AB157" s="82"/>
    </row>
    <row r="158" spans="1:28" ht="15.75" customHeight="1" thickBot="1" x14ac:dyDescent="0.3">
      <c r="A158" s="394"/>
      <c r="B158" s="395"/>
      <c r="C158" s="396"/>
      <c r="D158" s="396"/>
      <c r="E158" s="396"/>
      <c r="F158" s="397"/>
      <c r="G158" s="2578" t="s">
        <v>1833</v>
      </c>
      <c r="H158" s="2578"/>
      <c r="I158" s="2579"/>
      <c r="J158" s="321">
        <f>SUM(0)</f>
        <v>0</v>
      </c>
      <c r="K158" s="322">
        <v>0.92</v>
      </c>
      <c r="L158" s="321">
        <f>J158/K158</f>
        <v>0</v>
      </c>
      <c r="M158" s="2577" t="s">
        <v>1834</v>
      </c>
      <c r="N158" s="2579"/>
      <c r="O158" s="13">
        <f>SUM(O156:O157)</f>
        <v>0</v>
      </c>
      <c r="P158" s="14">
        <v>0.92</v>
      </c>
      <c r="Q158" s="13">
        <f>O158/P158</f>
        <v>0</v>
      </c>
      <c r="R158" s="2577" t="s">
        <v>1833</v>
      </c>
      <c r="S158" s="2578"/>
      <c r="T158" s="2579"/>
      <c r="U158" s="13">
        <f>SUM(U157)</f>
        <v>0</v>
      </c>
      <c r="V158" s="14">
        <v>0.92</v>
      </c>
      <c r="W158" s="13">
        <f>U158/V158</f>
        <v>0</v>
      </c>
      <c r="X158" s="82"/>
      <c r="Y158" s="82"/>
      <c r="Z158" s="82"/>
      <c r="AA158" s="82"/>
      <c r="AB158" s="82"/>
    </row>
    <row r="159" spans="1:28" ht="41.25" customHeight="1" thickBot="1" x14ac:dyDescent="0.3">
      <c r="A159" s="398" t="str">
        <f>Итоговая!C124</f>
        <v xml:space="preserve">ПС 35/10 кВ Сороки </v>
      </c>
      <c r="B159" s="399">
        <f>Итоговая!D124</f>
        <v>2.5</v>
      </c>
      <c r="C159" s="400" t="str">
        <f>Итоговая!E124</f>
        <v>+</v>
      </c>
      <c r="D159" s="400">
        <f>Итоговая!F124</f>
        <v>2.5</v>
      </c>
      <c r="E159" s="400"/>
      <c r="F159" s="401"/>
      <c r="G159" s="2611" t="s">
        <v>3447</v>
      </c>
      <c r="H159" s="2611"/>
      <c r="I159" s="2611"/>
      <c r="J159" s="2611"/>
      <c r="K159" s="2611"/>
      <c r="L159" s="2612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73"/>
      <c r="X159" s="82"/>
      <c r="Y159" s="82"/>
      <c r="Z159" s="82"/>
      <c r="AA159" s="82"/>
      <c r="AB159" s="82"/>
    </row>
    <row r="160" spans="1:28" ht="165" x14ac:dyDescent="0.25">
      <c r="A160" s="1705"/>
      <c r="B160" s="1706"/>
      <c r="C160" s="1707"/>
      <c r="D160" s="1707"/>
      <c r="E160" s="1707"/>
      <c r="F160" s="1711"/>
      <c r="G160" s="17" t="s">
        <v>15289</v>
      </c>
      <c r="H160" s="17" t="s">
        <v>15290</v>
      </c>
      <c r="I160" s="1746" t="s">
        <v>16855</v>
      </c>
      <c r="J160" s="1701">
        <f>0.05*0.9</f>
        <v>4.5000000000000005E-2</v>
      </c>
      <c r="K160" s="1701"/>
      <c r="L160" s="69"/>
      <c r="M160" s="17"/>
      <c r="N160" s="17"/>
      <c r="O160" s="17"/>
      <c r="P160" s="1701"/>
      <c r="Q160" s="1701"/>
      <c r="R160" s="1708"/>
      <c r="S160" s="1694"/>
      <c r="T160" s="1709"/>
      <c r="U160" s="1701"/>
      <c r="V160" s="1701"/>
      <c r="W160" s="69"/>
      <c r="X160" s="82"/>
      <c r="Y160" s="82"/>
      <c r="Z160" s="82"/>
      <c r="AA160" s="82"/>
      <c r="AB160" s="82"/>
    </row>
    <row r="161" spans="1:28" x14ac:dyDescent="0.25">
      <c r="A161" s="2178"/>
      <c r="B161" s="2175"/>
      <c r="C161" s="2176"/>
      <c r="D161" s="2176"/>
      <c r="E161" s="2176"/>
      <c r="F161" s="2177"/>
      <c r="G161" s="2611" t="s">
        <v>17005</v>
      </c>
      <c r="H161" s="2611"/>
      <c r="I161" s="2611"/>
      <c r="J161" s="2611"/>
      <c r="K161" s="2611"/>
      <c r="L161" s="2612"/>
      <c r="M161" s="2179"/>
      <c r="N161" s="2180"/>
      <c r="O161" s="2172"/>
      <c r="P161" s="2172"/>
      <c r="Q161" s="2172"/>
      <c r="R161" s="2179"/>
      <c r="S161" s="2173"/>
      <c r="T161" s="2180"/>
      <c r="U161" s="2172"/>
      <c r="V161" s="2172"/>
      <c r="W161" s="69"/>
      <c r="X161" s="82"/>
      <c r="Y161" s="82"/>
      <c r="Z161" s="82"/>
      <c r="AA161" s="82"/>
      <c r="AB161" s="82"/>
    </row>
    <row r="162" spans="1:28" ht="255" x14ac:dyDescent="0.25">
      <c r="A162" s="2178"/>
      <c r="B162" s="2175"/>
      <c r="C162" s="2176"/>
      <c r="D162" s="2176"/>
      <c r="E162" s="2176"/>
      <c r="F162" s="2177"/>
      <c r="G162" s="2173" t="s">
        <v>15307</v>
      </c>
      <c r="H162" s="2173" t="s">
        <v>19997</v>
      </c>
      <c r="I162" s="2180" t="s">
        <v>19998</v>
      </c>
      <c r="J162" s="2172">
        <f>0.035*0.9</f>
        <v>3.1500000000000007E-2</v>
      </c>
      <c r="K162" s="2172"/>
      <c r="L162" s="69"/>
      <c r="M162" s="2179"/>
      <c r="N162" s="2180"/>
      <c r="O162" s="2172"/>
      <c r="P162" s="2172"/>
      <c r="Q162" s="2172"/>
      <c r="R162" s="2179"/>
      <c r="S162" s="2173"/>
      <c r="T162" s="2180"/>
      <c r="U162" s="2172"/>
      <c r="V162" s="2172"/>
      <c r="W162" s="69"/>
      <c r="X162" s="82"/>
      <c r="Y162" s="82"/>
      <c r="Z162" s="82"/>
      <c r="AA162" s="82"/>
      <c r="AB162" s="82"/>
    </row>
    <row r="163" spans="1:28" ht="15.75" customHeight="1" thickBot="1" x14ac:dyDescent="0.3">
      <c r="A163" s="394"/>
      <c r="B163" s="395"/>
      <c r="C163" s="396"/>
      <c r="D163" s="396"/>
      <c r="E163" s="396"/>
      <c r="F163" s="397"/>
      <c r="G163" s="2578" t="s">
        <v>1833</v>
      </c>
      <c r="H163" s="2578"/>
      <c r="I163" s="2579"/>
      <c r="J163" s="13">
        <f>SUM(J159:J160)</f>
        <v>4.5000000000000005E-2</v>
      </c>
      <c r="K163" s="14">
        <v>0.92</v>
      </c>
      <c r="L163" s="13">
        <f>J163/K163</f>
        <v>4.8913043478260872E-2</v>
      </c>
      <c r="M163" s="2577" t="s">
        <v>1834</v>
      </c>
      <c r="N163" s="2579"/>
      <c r="O163" s="13">
        <f>SUM(O159:O160)</f>
        <v>0</v>
      </c>
      <c r="P163" s="14">
        <v>0.92</v>
      </c>
      <c r="Q163" s="13">
        <f>O163/P163</f>
        <v>0</v>
      </c>
      <c r="R163" s="2577" t="s">
        <v>1833</v>
      </c>
      <c r="S163" s="2578"/>
      <c r="T163" s="2579"/>
      <c r="U163" s="13">
        <f>SUM(U159:U159)</f>
        <v>0</v>
      </c>
      <c r="V163" s="14">
        <v>0.92</v>
      </c>
      <c r="W163" s="13">
        <f>U163/V163</f>
        <v>0</v>
      </c>
      <c r="X163" s="82"/>
      <c r="Y163" s="82"/>
      <c r="Z163" s="82"/>
      <c r="AA163" s="82"/>
      <c r="AB163" s="82"/>
    </row>
    <row r="164" spans="1:28" ht="195" x14ac:dyDescent="0.25">
      <c r="A164" s="398" t="str">
        <f>Итоговая!C125</f>
        <v xml:space="preserve">ПС 35/10 кВ Терелесово </v>
      </c>
      <c r="B164" s="399">
        <f>Итоговая!D125</f>
        <v>1.6</v>
      </c>
      <c r="C164" s="400" t="str">
        <f>Итоговая!E125</f>
        <v>+</v>
      </c>
      <c r="D164" s="400">
        <f>Итоговая!F125</f>
        <v>1.6</v>
      </c>
      <c r="E164" s="400"/>
      <c r="F164" s="401"/>
      <c r="G164" s="43"/>
      <c r="H164" s="17"/>
      <c r="I164" s="17"/>
      <c r="J164" s="17"/>
      <c r="K164" s="17"/>
      <c r="L164" s="73"/>
      <c r="M164" s="17" t="s">
        <v>15307</v>
      </c>
      <c r="N164" s="17" t="s">
        <v>16806</v>
      </c>
      <c r="O164" s="17">
        <v>2.5000000000000001E-2</v>
      </c>
      <c r="P164" s="17"/>
      <c r="Q164" s="17"/>
      <c r="R164" s="17"/>
      <c r="S164" s="17"/>
      <c r="T164" s="17"/>
      <c r="U164" s="17"/>
      <c r="V164" s="17"/>
      <c r="W164" s="73"/>
      <c r="X164" s="82"/>
      <c r="Y164" s="82"/>
      <c r="Z164" s="82"/>
      <c r="AA164" s="82"/>
      <c r="AB164" s="82"/>
    </row>
    <row r="165" spans="1:28" x14ac:dyDescent="0.25">
      <c r="A165" s="1705"/>
      <c r="B165" s="1706"/>
      <c r="C165" s="1707"/>
      <c r="D165" s="1707"/>
      <c r="E165" s="1707"/>
      <c r="F165" s="1711"/>
      <c r="G165" s="1694"/>
      <c r="H165" s="1694"/>
      <c r="I165" s="1709"/>
      <c r="J165" s="1701"/>
      <c r="K165" s="1701"/>
      <c r="L165" s="69"/>
      <c r="M165" s="80"/>
      <c r="N165" s="80"/>
      <c r="O165" s="80"/>
      <c r="P165" s="1701"/>
      <c r="Q165" s="1701"/>
      <c r="R165" s="1708"/>
      <c r="S165" s="1694"/>
      <c r="T165" s="1709"/>
      <c r="U165" s="1701"/>
      <c r="V165" s="1701"/>
      <c r="W165" s="69"/>
      <c r="X165" s="82"/>
      <c r="Y165" s="82"/>
      <c r="Z165" s="82"/>
      <c r="AA165" s="82"/>
      <c r="AB165" s="82"/>
    </row>
    <row r="166" spans="1:28" ht="15.75" customHeight="1" thickBot="1" x14ac:dyDescent="0.3">
      <c r="A166" s="394"/>
      <c r="B166" s="395"/>
      <c r="C166" s="396"/>
      <c r="D166" s="396"/>
      <c r="E166" s="396"/>
      <c r="F166" s="397"/>
      <c r="G166" s="2578" t="s">
        <v>1833</v>
      </c>
      <c r="H166" s="2578"/>
      <c r="I166" s="2579"/>
      <c r="J166" s="13">
        <f>SUM(J164:J164)</f>
        <v>0</v>
      </c>
      <c r="K166" s="14">
        <v>0.92</v>
      </c>
      <c r="L166" s="13">
        <f>J166/K166</f>
        <v>0</v>
      </c>
      <c r="M166" s="2587" t="s">
        <v>1834</v>
      </c>
      <c r="N166" s="2589"/>
      <c r="O166" s="21">
        <f>SUM(O164:O165)</f>
        <v>2.5000000000000001E-2</v>
      </c>
      <c r="P166" s="24">
        <v>0.92</v>
      </c>
      <c r="Q166" s="21">
        <f>O166/P166</f>
        <v>2.717391304347826E-2</v>
      </c>
      <c r="R166" s="2587" t="s">
        <v>1833</v>
      </c>
      <c r="S166" s="2588"/>
      <c r="T166" s="2589"/>
      <c r="U166" s="21">
        <f>SUM(U164:U164)</f>
        <v>0</v>
      </c>
      <c r="V166" s="24">
        <v>0.92</v>
      </c>
      <c r="W166" s="21">
        <f>U166/V166</f>
        <v>0</v>
      </c>
      <c r="X166" s="82"/>
      <c r="Y166" s="82"/>
      <c r="Z166" s="82"/>
      <c r="AA166" s="82"/>
      <c r="AB166" s="82"/>
    </row>
    <row r="167" spans="1:28" x14ac:dyDescent="0.25">
      <c r="A167" s="2638" t="str">
        <f>Итоговая!C126</f>
        <v xml:space="preserve">ПС 35/10 кВ Тимково </v>
      </c>
      <c r="B167" s="2630">
        <f>Итоговая!D126</f>
        <v>1.6</v>
      </c>
      <c r="C167" s="2632" t="str">
        <f>Итоговая!E126</f>
        <v>+</v>
      </c>
      <c r="D167" s="2632">
        <f>Итоговая!F126</f>
        <v>1.6</v>
      </c>
      <c r="E167" s="400"/>
      <c r="F167" s="401"/>
      <c r="G167" s="2583" t="s">
        <v>1961</v>
      </c>
      <c r="H167" s="2583"/>
      <c r="I167" s="2583"/>
      <c r="J167" s="2583"/>
      <c r="K167" s="2583"/>
      <c r="L167" s="2584"/>
      <c r="M167" s="22"/>
      <c r="N167" s="22"/>
      <c r="O167" s="22"/>
      <c r="P167" s="22"/>
      <c r="Q167" s="22"/>
      <c r="R167" s="315"/>
      <c r="S167" s="315"/>
      <c r="T167" s="315"/>
      <c r="U167" s="315"/>
      <c r="V167" s="315"/>
      <c r="W167" s="315"/>
      <c r="X167" s="82"/>
      <c r="Y167" s="82"/>
      <c r="Z167" s="82"/>
      <c r="AA167" s="82"/>
      <c r="AB167" s="82"/>
    </row>
    <row r="168" spans="1:28" ht="30.75" thickBot="1" x14ac:dyDescent="0.3">
      <c r="A168" s="2639"/>
      <c r="B168" s="2631"/>
      <c r="C168" s="2633"/>
      <c r="D168" s="2633"/>
      <c r="E168" s="404"/>
      <c r="F168" s="405"/>
      <c r="G168" s="272" t="s">
        <v>1897</v>
      </c>
      <c r="H168" s="22" t="s">
        <v>1898</v>
      </c>
      <c r="I168" s="22" t="s">
        <v>1899</v>
      </c>
      <c r="J168" s="22">
        <v>0.06</v>
      </c>
      <c r="K168" s="51"/>
      <c r="L168" s="51"/>
      <c r="M168" s="22"/>
      <c r="N168" s="22"/>
      <c r="O168" s="22"/>
      <c r="P168" s="22"/>
      <c r="Q168" s="22"/>
      <c r="R168" s="315"/>
      <c r="S168" s="315"/>
      <c r="T168" s="315"/>
      <c r="U168" s="315"/>
      <c r="V168" s="315"/>
      <c r="W168" s="315"/>
      <c r="X168" s="82"/>
      <c r="Y168" s="82"/>
      <c r="Z168" s="82"/>
      <c r="AA168" s="82"/>
      <c r="AB168" s="82"/>
    </row>
    <row r="169" spans="1:28" x14ac:dyDescent="0.25">
      <c r="A169" s="408"/>
      <c r="B169" s="403"/>
      <c r="C169" s="404"/>
      <c r="D169" s="404"/>
      <c r="E169" s="404"/>
      <c r="F169" s="405"/>
      <c r="G169" s="2583" t="s">
        <v>17005</v>
      </c>
      <c r="H169" s="2583"/>
      <c r="I169" s="2583"/>
      <c r="J169" s="2583"/>
      <c r="K169" s="2583"/>
      <c r="L169" s="2584"/>
      <c r="M169" s="22"/>
      <c r="N169" s="22"/>
      <c r="O169" s="22"/>
      <c r="P169" s="22"/>
      <c r="Q169" s="22"/>
      <c r="R169" s="315"/>
      <c r="S169" s="315"/>
      <c r="T169" s="315"/>
      <c r="U169" s="315"/>
      <c r="V169" s="315"/>
      <c r="W169" s="315"/>
      <c r="X169" s="82"/>
      <c r="Y169" s="82"/>
      <c r="Z169" s="82"/>
      <c r="AA169" s="82"/>
      <c r="AB169" s="82"/>
    </row>
    <row r="170" spans="1:28" ht="75" x14ac:dyDescent="0.25">
      <c r="A170" s="408"/>
      <c r="B170" s="403"/>
      <c r="C170" s="404"/>
      <c r="D170" s="404"/>
      <c r="E170" s="404"/>
      <c r="F170" s="405"/>
      <c r="G170" s="152" t="s">
        <v>15353</v>
      </c>
      <c r="H170" s="1" t="s">
        <v>19929</v>
      </c>
      <c r="I170" s="1" t="s">
        <v>19930</v>
      </c>
      <c r="J170" s="1">
        <f>0.025</f>
        <v>2.5000000000000001E-2</v>
      </c>
      <c r="K170" s="1"/>
      <c r="L170" s="22"/>
      <c r="M170" s="22"/>
      <c r="N170" s="22"/>
      <c r="O170" s="22"/>
      <c r="P170" s="22"/>
      <c r="Q170" s="22"/>
      <c r="R170" s="315"/>
      <c r="S170" s="315"/>
      <c r="T170" s="315"/>
      <c r="U170" s="315"/>
      <c r="V170" s="315"/>
      <c r="W170" s="315"/>
      <c r="X170" s="82"/>
      <c r="Y170" s="82"/>
      <c r="Z170" s="82"/>
      <c r="AA170" s="82"/>
      <c r="AB170" s="82"/>
    </row>
    <row r="171" spans="1:28" ht="15.75" customHeight="1" thickBot="1" x14ac:dyDescent="0.3">
      <c r="A171" s="394"/>
      <c r="B171" s="395"/>
      <c r="C171" s="396"/>
      <c r="D171" s="396"/>
      <c r="E171" s="396"/>
      <c r="F171" s="397"/>
      <c r="G171" s="2578" t="s">
        <v>1833</v>
      </c>
      <c r="H171" s="2578"/>
      <c r="I171" s="2579"/>
      <c r="J171" s="13">
        <f>SUM(J170)</f>
        <v>2.5000000000000001E-2</v>
      </c>
      <c r="K171" s="14">
        <v>0.92</v>
      </c>
      <c r="L171" s="13">
        <f>J171/K171</f>
        <v>2.717391304347826E-2</v>
      </c>
      <c r="M171" s="2577" t="s">
        <v>1834</v>
      </c>
      <c r="N171" s="2579"/>
      <c r="O171" s="13">
        <f>SUM(O168:O168)</f>
        <v>0</v>
      </c>
      <c r="P171" s="14">
        <v>0.92</v>
      </c>
      <c r="Q171" s="13">
        <f>O171/P171</f>
        <v>0</v>
      </c>
      <c r="R171" s="2577" t="s">
        <v>1833</v>
      </c>
      <c r="S171" s="2578"/>
      <c r="T171" s="2579"/>
      <c r="U171" s="13">
        <f>SUM(U169:U170)</f>
        <v>0</v>
      </c>
      <c r="V171" s="14">
        <v>0.92</v>
      </c>
      <c r="W171" s="13">
        <f>U171/V171</f>
        <v>0</v>
      </c>
      <c r="X171" s="82"/>
      <c r="Y171" s="82"/>
      <c r="Z171" s="82"/>
      <c r="AA171" s="82"/>
      <c r="AB171" s="82"/>
    </row>
    <row r="172" spans="1:28" ht="45" x14ac:dyDescent="0.25">
      <c r="A172" s="398" t="str">
        <f>Итоговая!C127</f>
        <v xml:space="preserve">ПС 35/10 кВ Фирово </v>
      </c>
      <c r="B172" s="399">
        <f>Итоговая!D127</f>
        <v>2.5</v>
      </c>
      <c r="C172" s="400" t="str">
        <f>Итоговая!E127</f>
        <v>+</v>
      </c>
      <c r="D172" s="400">
        <f>Итоговая!F127</f>
        <v>2.5</v>
      </c>
      <c r="E172" s="400"/>
      <c r="F172" s="401"/>
      <c r="G172" s="152"/>
      <c r="H172" s="1"/>
      <c r="I172" s="17"/>
      <c r="J172" s="17"/>
      <c r="K172" s="17"/>
      <c r="L172" s="73"/>
      <c r="M172" s="17" t="s">
        <v>1864</v>
      </c>
      <c r="N172" s="17" t="s">
        <v>1931</v>
      </c>
      <c r="O172" s="17">
        <v>0.05</v>
      </c>
      <c r="P172" s="17"/>
      <c r="Q172" s="17"/>
      <c r="R172" s="1"/>
      <c r="S172" s="1"/>
      <c r="T172" s="17"/>
      <c r="U172" s="17"/>
      <c r="V172" s="17"/>
      <c r="W172" s="73"/>
      <c r="X172" s="82"/>
      <c r="Y172" s="82"/>
      <c r="Z172" s="82"/>
      <c r="AA172" s="82"/>
      <c r="AB172" s="82"/>
    </row>
    <row r="173" spans="1:28" ht="75" x14ac:dyDescent="0.25">
      <c r="A173" s="408"/>
      <c r="B173" s="403"/>
      <c r="C173" s="404"/>
      <c r="D173" s="404"/>
      <c r="E173" s="404"/>
      <c r="F173" s="405"/>
      <c r="G173" s="152"/>
      <c r="H173" s="1"/>
      <c r="I173" s="1"/>
      <c r="J173" s="1"/>
      <c r="K173" s="1"/>
      <c r="L173" s="22"/>
      <c r="M173" s="1" t="s">
        <v>2404</v>
      </c>
      <c r="N173" s="1" t="s">
        <v>2405</v>
      </c>
      <c r="O173" s="1">
        <v>0.04</v>
      </c>
      <c r="P173" s="128"/>
      <c r="Q173" s="128"/>
      <c r="R173" s="19"/>
      <c r="S173" s="265"/>
      <c r="T173" s="41"/>
      <c r="U173" s="128"/>
      <c r="V173" s="128"/>
      <c r="W173" s="69"/>
      <c r="X173" s="82"/>
      <c r="Y173" s="82"/>
      <c r="Z173" s="82"/>
      <c r="AA173" s="82"/>
      <c r="AB173" s="82"/>
    </row>
    <row r="174" spans="1:28" ht="15.75" customHeight="1" thickBot="1" x14ac:dyDescent="0.3">
      <c r="A174" s="394"/>
      <c r="B174" s="395"/>
      <c r="C174" s="396"/>
      <c r="D174" s="396"/>
      <c r="E174" s="396"/>
      <c r="F174" s="397"/>
      <c r="G174" s="2578" t="s">
        <v>1833</v>
      </c>
      <c r="H174" s="2578"/>
      <c r="I174" s="2579"/>
      <c r="J174" s="13">
        <f>SUM(J172:J172)</f>
        <v>0</v>
      </c>
      <c r="K174" s="14">
        <v>0.92</v>
      </c>
      <c r="L174" s="13">
        <f>J174/K174</f>
        <v>0</v>
      </c>
      <c r="M174" s="2577" t="s">
        <v>1834</v>
      </c>
      <c r="N174" s="2579"/>
      <c r="O174" s="13">
        <f>SUM(O172:O173)</f>
        <v>0.09</v>
      </c>
      <c r="P174" s="14">
        <v>0.92</v>
      </c>
      <c r="Q174" s="13">
        <f>O174/P174</f>
        <v>9.7826086956521729E-2</v>
      </c>
      <c r="R174" s="2587" t="s">
        <v>1833</v>
      </c>
      <c r="S174" s="2588"/>
      <c r="T174" s="2589"/>
      <c r="U174" s="21">
        <f>SUM(U172:U172)</f>
        <v>0</v>
      </c>
      <c r="V174" s="24">
        <v>0.92</v>
      </c>
      <c r="W174" s="21">
        <f>U174/V174</f>
        <v>0</v>
      </c>
      <c r="X174" s="82"/>
      <c r="Y174" s="82"/>
      <c r="Z174" s="82"/>
      <c r="AA174" s="82"/>
      <c r="AB174" s="82"/>
    </row>
    <row r="175" spans="1:28" ht="38.25" customHeight="1" x14ac:dyDescent="0.25">
      <c r="A175" s="2638" t="str">
        <f>Итоговая!C128</f>
        <v xml:space="preserve">ПС 35/6 кВ Юбилейная </v>
      </c>
      <c r="B175" s="2630">
        <f>Итоговая!D128</f>
        <v>7.5</v>
      </c>
      <c r="C175" s="2632" t="str">
        <f>Итоговая!E128</f>
        <v>+</v>
      </c>
      <c r="D175" s="2632">
        <f>Итоговая!F128</f>
        <v>10</v>
      </c>
      <c r="E175" s="400"/>
      <c r="F175" s="401"/>
      <c r="G175" s="2597" t="s">
        <v>1961</v>
      </c>
      <c r="H175" s="2597"/>
      <c r="I175" s="2597"/>
      <c r="J175" s="2597"/>
      <c r="K175" s="2597"/>
      <c r="L175" s="2598"/>
      <c r="M175" s="51"/>
      <c r="N175" s="51"/>
      <c r="O175" s="51"/>
      <c r="P175" s="51"/>
      <c r="Q175" s="51"/>
      <c r="R175" s="315"/>
      <c r="S175" s="315"/>
      <c r="T175" s="315"/>
      <c r="U175" s="315"/>
      <c r="V175" s="315"/>
      <c r="W175" s="315"/>
      <c r="X175" s="82"/>
      <c r="Y175" s="82"/>
      <c r="Z175" s="82"/>
      <c r="AA175" s="82"/>
      <c r="AB175" s="82"/>
    </row>
    <row r="176" spans="1:28" ht="55.5" customHeight="1" x14ac:dyDescent="0.25">
      <c r="A176" s="2639"/>
      <c r="B176" s="2631"/>
      <c r="C176" s="2633"/>
      <c r="D176" s="2633"/>
      <c r="E176" s="404"/>
      <c r="F176" s="405"/>
      <c r="G176" s="127" t="s">
        <v>1864</v>
      </c>
      <c r="H176" s="51" t="s">
        <v>1889</v>
      </c>
      <c r="I176" s="51" t="s">
        <v>1890</v>
      </c>
      <c r="J176" s="51">
        <v>0.3</v>
      </c>
      <c r="K176" s="51"/>
      <c r="L176" s="51"/>
      <c r="M176" s="266"/>
      <c r="N176" s="266"/>
      <c r="O176" s="266"/>
      <c r="P176" s="22"/>
      <c r="Q176" s="22"/>
      <c r="R176" s="315"/>
      <c r="S176" s="315"/>
      <c r="T176" s="315"/>
      <c r="U176" s="315"/>
      <c r="V176" s="315"/>
      <c r="W176" s="315"/>
      <c r="X176" s="82"/>
      <c r="Y176" s="82"/>
      <c r="Z176" s="82"/>
      <c r="AA176" s="82"/>
      <c r="AB176" s="82"/>
    </row>
    <row r="177" spans="1:28" x14ac:dyDescent="0.25">
      <c r="A177" s="408"/>
      <c r="B177" s="403"/>
      <c r="C177" s="404"/>
      <c r="D177" s="404"/>
      <c r="E177" s="404"/>
      <c r="F177" s="405"/>
      <c r="G177" s="2611" t="s">
        <v>1959</v>
      </c>
      <c r="H177" s="2611"/>
      <c r="I177" s="2611"/>
      <c r="J177" s="2611"/>
      <c r="K177" s="2611"/>
      <c r="L177" s="2612"/>
      <c r="M177" s="266"/>
      <c r="N177" s="266"/>
      <c r="O177" s="266"/>
      <c r="P177" s="22"/>
      <c r="Q177" s="22"/>
      <c r="R177" s="315"/>
      <c r="S177" s="315"/>
      <c r="T177" s="315"/>
      <c r="U177" s="315"/>
      <c r="V177" s="315"/>
      <c r="W177" s="315"/>
      <c r="X177" s="82"/>
      <c r="Y177" s="82"/>
      <c r="Z177" s="82"/>
      <c r="AA177" s="82"/>
      <c r="AB177" s="82"/>
    </row>
    <row r="178" spans="1:28" ht="30" x14ac:dyDescent="0.25">
      <c r="A178" s="408"/>
      <c r="B178" s="403"/>
      <c r="C178" s="404"/>
      <c r="D178" s="404"/>
      <c r="E178" s="404"/>
      <c r="F178" s="405"/>
      <c r="G178" s="272" t="s">
        <v>1891</v>
      </c>
      <c r="H178" s="22" t="s">
        <v>1892</v>
      </c>
      <c r="I178" s="22" t="s">
        <v>77</v>
      </c>
      <c r="J178" s="22">
        <v>7.8E-2</v>
      </c>
      <c r="K178" s="22"/>
      <c r="L178" s="22"/>
      <c r="M178" s="22"/>
      <c r="N178" s="22"/>
      <c r="O178" s="22"/>
      <c r="P178" s="22"/>
      <c r="Q178" s="22"/>
      <c r="R178" s="315"/>
      <c r="S178" s="315"/>
      <c r="T178" s="315"/>
      <c r="U178" s="315"/>
      <c r="V178" s="315"/>
      <c r="W178" s="315"/>
      <c r="X178" s="82"/>
      <c r="Y178" s="82"/>
      <c r="Z178" s="82"/>
      <c r="AA178" s="82"/>
      <c r="AB178" s="82"/>
    </row>
    <row r="179" spans="1:28" x14ac:dyDescent="0.25">
      <c r="A179" s="795"/>
      <c r="B179" s="794"/>
      <c r="C179" s="796"/>
      <c r="D179" s="796"/>
      <c r="E179" s="796"/>
      <c r="F179" s="792"/>
      <c r="G179" s="2611" t="s">
        <v>2477</v>
      </c>
      <c r="H179" s="2611"/>
      <c r="I179" s="2611"/>
      <c r="J179" s="2611"/>
      <c r="K179" s="2611"/>
      <c r="L179" s="2612"/>
      <c r="M179" s="129"/>
      <c r="N179" s="130"/>
      <c r="O179" s="62"/>
      <c r="P179" s="62"/>
      <c r="Q179" s="62"/>
      <c r="R179" s="808"/>
      <c r="S179" s="809"/>
      <c r="T179" s="810"/>
      <c r="U179" s="811"/>
      <c r="V179" s="811"/>
      <c r="W179" s="811"/>
      <c r="X179" s="82"/>
      <c r="Y179" s="82"/>
      <c r="Z179" s="82"/>
      <c r="AA179" s="82"/>
      <c r="AB179" s="82"/>
    </row>
    <row r="180" spans="1:28" ht="90" x14ac:dyDescent="0.25">
      <c r="A180" s="795"/>
      <c r="B180" s="794"/>
      <c r="C180" s="796"/>
      <c r="D180" s="796"/>
      <c r="E180" s="796"/>
      <c r="F180" s="792"/>
      <c r="G180" s="22" t="s">
        <v>2695</v>
      </c>
      <c r="H180" s="22" t="s">
        <v>2780</v>
      </c>
      <c r="I180" s="22" t="s">
        <v>2860</v>
      </c>
      <c r="J180" s="22">
        <v>0.32</v>
      </c>
      <c r="K180" s="22"/>
      <c r="L180" s="22"/>
      <c r="M180" s="129"/>
      <c r="N180" s="130"/>
      <c r="O180" s="62"/>
      <c r="P180" s="62"/>
      <c r="Q180" s="62"/>
      <c r="R180" s="808"/>
      <c r="S180" s="809"/>
      <c r="T180" s="810"/>
      <c r="U180" s="811"/>
      <c r="V180" s="811"/>
      <c r="W180" s="811"/>
      <c r="X180" s="82"/>
      <c r="Y180" s="82"/>
      <c r="Z180" s="82"/>
      <c r="AA180" s="82"/>
      <c r="AB180" s="82"/>
    </row>
    <row r="181" spans="1:28" ht="15.75" customHeight="1" thickBot="1" x14ac:dyDescent="0.3">
      <c r="A181" s="394"/>
      <c r="B181" s="395"/>
      <c r="C181" s="396"/>
      <c r="D181" s="396"/>
      <c r="E181" s="396"/>
      <c r="F181" s="397"/>
      <c r="G181" s="2578" t="s">
        <v>1833</v>
      </c>
      <c r="H181" s="2578"/>
      <c r="I181" s="2579"/>
      <c r="J181" s="13">
        <f>SUM(0)</f>
        <v>0</v>
      </c>
      <c r="K181" s="14">
        <v>0.92</v>
      </c>
      <c r="L181" s="13">
        <f>J181/K181</f>
        <v>0</v>
      </c>
      <c r="M181" s="2577" t="s">
        <v>1834</v>
      </c>
      <c r="N181" s="2579"/>
      <c r="O181" s="13">
        <f>SUM(O175:O178)</f>
        <v>0</v>
      </c>
      <c r="P181" s="14">
        <v>0.92</v>
      </c>
      <c r="Q181" s="13">
        <f>O181/P181</f>
        <v>0</v>
      </c>
      <c r="R181" s="2577" t="s">
        <v>1833</v>
      </c>
      <c r="S181" s="2578"/>
      <c r="T181" s="2579"/>
      <c r="U181" s="13">
        <f>SUM(U178:U178)</f>
        <v>0</v>
      </c>
      <c r="V181" s="14">
        <v>0.92</v>
      </c>
      <c r="W181" s="13">
        <f>U181/V181</f>
        <v>0</v>
      </c>
      <c r="X181" s="82"/>
      <c r="Y181" s="82"/>
      <c r="Z181" s="82"/>
      <c r="AA181" s="82"/>
      <c r="AB181" s="82"/>
    </row>
    <row r="182" spans="1:28" x14ac:dyDescent="0.25">
      <c r="A182" s="398" t="str">
        <f>Итоговая!C129</f>
        <v xml:space="preserve">ПС 35/10 кВ Яконово </v>
      </c>
      <c r="B182" s="399">
        <f>Итоговая!D129</f>
        <v>2.5</v>
      </c>
      <c r="C182" s="400" t="str">
        <f>Итоговая!E129</f>
        <v>+</v>
      </c>
      <c r="D182" s="400">
        <f>Итоговая!F129</f>
        <v>2.5</v>
      </c>
      <c r="E182" s="400"/>
      <c r="F182" s="401"/>
      <c r="G182" s="43"/>
      <c r="H182" s="17"/>
      <c r="I182" s="17"/>
      <c r="J182" s="17"/>
      <c r="K182" s="17"/>
      <c r="L182" s="73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73"/>
      <c r="X182" s="82"/>
      <c r="Y182" s="82"/>
      <c r="Z182" s="82"/>
      <c r="AA182" s="82"/>
      <c r="AB182" s="82"/>
    </row>
    <row r="183" spans="1:28" ht="15.75" customHeight="1" thickBot="1" x14ac:dyDescent="0.3">
      <c r="A183" s="394"/>
      <c r="B183" s="395"/>
      <c r="C183" s="396"/>
      <c r="D183" s="396"/>
      <c r="E183" s="396"/>
      <c r="F183" s="397"/>
      <c r="G183" s="2578" t="s">
        <v>1833</v>
      </c>
      <c r="H183" s="2578"/>
      <c r="I183" s="2579"/>
      <c r="J183" s="13">
        <f>SUM(J182:J182)</f>
        <v>0</v>
      </c>
      <c r="K183" s="14">
        <v>0.92</v>
      </c>
      <c r="L183" s="13">
        <f>J183/K183</f>
        <v>0</v>
      </c>
      <c r="M183" s="2587" t="s">
        <v>1834</v>
      </c>
      <c r="N183" s="2589"/>
      <c r="O183" s="21">
        <f>SUM(O182:O182)</f>
        <v>0</v>
      </c>
      <c r="P183" s="1356">
        <v>0.92</v>
      </c>
      <c r="Q183" s="21">
        <f>O183/P183</f>
        <v>0</v>
      </c>
      <c r="R183" s="2587" t="s">
        <v>1833</v>
      </c>
      <c r="S183" s="2588"/>
      <c r="T183" s="2589"/>
      <c r="U183" s="21">
        <f>SUM(U182:U182)</f>
        <v>0</v>
      </c>
      <c r="V183" s="24">
        <v>0.92</v>
      </c>
      <c r="W183" s="21">
        <f>U183/V183</f>
        <v>0</v>
      </c>
      <c r="X183" s="82"/>
      <c r="Y183" s="82"/>
      <c r="Z183" s="82"/>
      <c r="AA183" s="82"/>
      <c r="AB183" s="82"/>
    </row>
    <row r="184" spans="1:28" x14ac:dyDescent="0.25">
      <c r="A184" s="2638" t="str">
        <f>Итоговая!C130</f>
        <v xml:space="preserve">ПС 110/35/10 кВ Брусово  </v>
      </c>
      <c r="B184" s="2630">
        <f>Итоговая!D130</f>
        <v>10</v>
      </c>
      <c r="C184" s="2632" t="str">
        <f>Итоговая!E130</f>
        <v>+</v>
      </c>
      <c r="D184" s="2632">
        <f>Итоговая!F130</f>
        <v>10</v>
      </c>
      <c r="E184" s="400"/>
      <c r="F184" s="401"/>
      <c r="G184" s="2583" t="s">
        <v>1960</v>
      </c>
      <c r="H184" s="2583"/>
      <c r="I184" s="2583"/>
      <c r="J184" s="2583"/>
      <c r="K184" s="2583"/>
      <c r="L184" s="2584"/>
      <c r="M184" s="1362"/>
      <c r="N184" s="1362"/>
      <c r="O184" s="1362"/>
      <c r="P184" s="1362"/>
      <c r="Q184" s="1362"/>
      <c r="R184" s="2650"/>
      <c r="S184" s="2650"/>
      <c r="T184" s="2650"/>
      <c r="U184" s="2650"/>
      <c r="V184" s="2650"/>
      <c r="W184" s="2650"/>
      <c r="X184" s="82"/>
      <c r="Y184" s="82"/>
      <c r="Z184" s="82"/>
      <c r="AA184" s="82"/>
      <c r="AB184" s="82"/>
    </row>
    <row r="185" spans="1:28" ht="240" x14ac:dyDescent="0.25">
      <c r="A185" s="2639"/>
      <c r="B185" s="2631"/>
      <c r="C185" s="2633"/>
      <c r="D185" s="2633"/>
      <c r="E185" s="404"/>
      <c r="F185" s="405"/>
      <c r="G185" s="127" t="s">
        <v>1921</v>
      </c>
      <c r="H185" s="51" t="s">
        <v>1922</v>
      </c>
      <c r="I185" s="51" t="s">
        <v>1923</v>
      </c>
      <c r="J185" s="51">
        <v>0.24</v>
      </c>
      <c r="K185" s="51"/>
      <c r="L185" s="51"/>
      <c r="M185" s="1362" t="s">
        <v>3297</v>
      </c>
      <c r="N185" s="1362" t="s">
        <v>3599</v>
      </c>
      <c r="O185" s="1362">
        <v>0</v>
      </c>
      <c r="P185" s="1362"/>
      <c r="Q185" s="1362"/>
      <c r="R185" s="1362"/>
      <c r="S185" s="1362"/>
      <c r="T185" s="1362"/>
      <c r="U185" s="1362"/>
      <c r="V185" s="1362"/>
      <c r="W185" s="1362"/>
      <c r="X185" s="82"/>
      <c r="Y185" s="82"/>
      <c r="Z185" s="82"/>
      <c r="AA185" s="82"/>
      <c r="AB185" s="82"/>
    </row>
    <row r="186" spans="1:28" x14ac:dyDescent="0.25">
      <c r="A186" s="1017"/>
      <c r="B186" s="1014"/>
      <c r="C186" s="1018"/>
      <c r="D186" s="1018"/>
      <c r="E186" s="1018"/>
      <c r="F186" s="1015"/>
      <c r="G186" s="2611" t="s">
        <v>3020</v>
      </c>
      <c r="H186" s="2611"/>
      <c r="I186" s="2611"/>
      <c r="J186" s="2611"/>
      <c r="K186" s="2611"/>
      <c r="L186" s="2612"/>
      <c r="M186" s="1362"/>
      <c r="N186" s="1362"/>
      <c r="O186" s="1362"/>
      <c r="P186" s="1362"/>
      <c r="Q186" s="1362"/>
      <c r="R186" s="1362"/>
      <c r="S186" s="1362"/>
      <c r="T186" s="1362"/>
      <c r="U186" s="1362"/>
      <c r="V186" s="1362"/>
      <c r="W186" s="1362"/>
      <c r="X186" s="82"/>
      <c r="Y186" s="82"/>
      <c r="Z186" s="82"/>
      <c r="AA186" s="82"/>
      <c r="AB186" s="82"/>
    </row>
    <row r="187" spans="1:28" ht="54.75" customHeight="1" x14ac:dyDescent="0.25">
      <c r="A187" s="1017"/>
      <c r="B187" s="1014"/>
      <c r="C187" s="1018"/>
      <c r="D187" s="1018"/>
      <c r="E187" s="1018"/>
      <c r="F187" s="1015"/>
      <c r="G187" s="22" t="s">
        <v>2528</v>
      </c>
      <c r="H187" s="1512" t="s">
        <v>2586</v>
      </c>
      <c r="I187" s="22" t="s">
        <v>3086</v>
      </c>
      <c r="J187" s="51">
        <f>(0.028-0.0093)*0.5</f>
        <v>9.3500000000000007E-3</v>
      </c>
      <c r="K187" s="22"/>
      <c r="L187" s="22"/>
      <c r="M187" s="1362"/>
      <c r="N187" s="1362"/>
      <c r="O187" s="1362"/>
      <c r="P187" s="1362"/>
      <c r="Q187" s="1362"/>
      <c r="R187" s="1362"/>
      <c r="S187" s="1362"/>
      <c r="T187" s="1362"/>
      <c r="U187" s="1362"/>
      <c r="V187" s="1362"/>
      <c r="W187" s="1362"/>
      <c r="X187" s="82"/>
      <c r="Y187" s="82"/>
      <c r="Z187" s="82"/>
      <c r="AA187" s="82"/>
      <c r="AB187" s="82"/>
    </row>
    <row r="188" spans="1:28" ht="15.75" customHeight="1" thickBot="1" x14ac:dyDescent="0.3">
      <c r="A188" s="394"/>
      <c r="B188" s="395"/>
      <c r="C188" s="396"/>
      <c r="D188" s="396"/>
      <c r="E188" s="396"/>
      <c r="F188" s="397"/>
      <c r="G188" s="2578" t="s">
        <v>1833</v>
      </c>
      <c r="H188" s="2578"/>
      <c r="I188" s="2579"/>
      <c r="J188" s="13">
        <f>SUM(J187)</f>
        <v>9.3500000000000007E-3</v>
      </c>
      <c r="K188" s="14">
        <v>0.92</v>
      </c>
      <c r="L188" s="13">
        <f>J188/K188</f>
        <v>1.016304347826087E-2</v>
      </c>
      <c r="M188" s="2577" t="s">
        <v>1834</v>
      </c>
      <c r="N188" s="2579"/>
      <c r="O188" s="13">
        <f>SUM(O185:O185)</f>
        <v>0</v>
      </c>
      <c r="P188" s="14">
        <v>0.92</v>
      </c>
      <c r="Q188" s="13">
        <f>O188/P188</f>
        <v>0</v>
      </c>
      <c r="R188" s="2577" t="s">
        <v>1833</v>
      </c>
      <c r="S188" s="2578"/>
      <c r="T188" s="2579"/>
      <c r="U188" s="13">
        <f>SUM(U185:U185)</f>
        <v>0</v>
      </c>
      <c r="V188" s="14">
        <v>0.92</v>
      </c>
      <c r="W188" s="13">
        <f>U188/V188</f>
        <v>0</v>
      </c>
      <c r="X188" s="82"/>
      <c r="Y188" s="82"/>
      <c r="Z188" s="82"/>
      <c r="AA188" s="82"/>
      <c r="AB188" s="82"/>
    </row>
    <row r="189" spans="1:28" ht="14.25" customHeight="1" x14ac:dyDescent="0.25">
      <c r="A189" s="398" t="str">
        <f>Итоговая!C133</f>
        <v xml:space="preserve">ПС 110/35/6 кВ Выползово </v>
      </c>
      <c r="B189" s="399">
        <f>Итоговая!D133</f>
        <v>10</v>
      </c>
      <c r="C189" s="400" t="str">
        <f>Итоговая!E133</f>
        <v>+</v>
      </c>
      <c r="D189" s="400">
        <f>Итоговая!F133</f>
        <v>10</v>
      </c>
      <c r="E189" s="400"/>
      <c r="F189" s="401"/>
      <c r="G189" s="2611" t="s">
        <v>17005</v>
      </c>
      <c r="H189" s="2611"/>
      <c r="I189" s="2611"/>
      <c r="J189" s="2611"/>
      <c r="K189" s="2611"/>
      <c r="L189" s="2612"/>
      <c r="M189" s="17" t="s">
        <v>73</v>
      </c>
      <c r="N189" s="17" t="s">
        <v>78</v>
      </c>
      <c r="O189" s="17">
        <v>0.8075</v>
      </c>
      <c r="P189" s="17"/>
      <c r="Q189" s="17"/>
      <c r="R189" s="17"/>
      <c r="S189" s="17"/>
      <c r="T189" s="17"/>
      <c r="U189" s="17"/>
      <c r="V189" s="17"/>
      <c r="W189" s="73"/>
      <c r="X189" s="82"/>
      <c r="Y189" s="82"/>
      <c r="Z189" s="82"/>
      <c r="AA189" s="82"/>
      <c r="AB189" s="82"/>
    </row>
    <row r="190" spans="1:28" ht="63" customHeight="1" x14ac:dyDescent="0.25">
      <c r="A190" s="1172"/>
      <c r="B190" s="1174"/>
      <c r="C190" s="1176"/>
      <c r="D190" s="1176"/>
      <c r="E190" s="1176"/>
      <c r="F190" s="1175"/>
      <c r="G190" s="2123" t="s">
        <v>15307</v>
      </c>
      <c r="H190" s="2124" t="s">
        <v>20012</v>
      </c>
      <c r="I190" s="314" t="s">
        <v>20013</v>
      </c>
      <c r="J190" s="314">
        <f>0.025*0.9</f>
        <v>2.2500000000000003E-2</v>
      </c>
      <c r="K190" s="69"/>
      <c r="L190" s="69"/>
      <c r="M190" s="1696" t="s">
        <v>15307</v>
      </c>
      <c r="N190" s="1696" t="s">
        <v>16805</v>
      </c>
      <c r="O190" s="1696">
        <v>2.5000000000000001E-2</v>
      </c>
      <c r="P190" s="128"/>
      <c r="Q190" s="128"/>
      <c r="R190" s="581"/>
      <c r="S190" s="40"/>
      <c r="T190" s="41"/>
      <c r="U190" s="128"/>
      <c r="V190" s="128"/>
      <c r="W190" s="69"/>
      <c r="X190" s="82"/>
      <c r="Y190" s="82"/>
      <c r="Z190" s="82"/>
      <c r="AA190" s="82"/>
      <c r="AB190" s="82"/>
    </row>
    <row r="191" spans="1:28" ht="63" customHeight="1" x14ac:dyDescent="0.25">
      <c r="A191" s="2282"/>
      <c r="B191" s="2279"/>
      <c r="C191" s="2280"/>
      <c r="D191" s="2280"/>
      <c r="E191" s="2280"/>
      <c r="F191" s="2281"/>
      <c r="G191" s="809" t="s">
        <v>20207</v>
      </c>
      <c r="H191" s="809" t="s">
        <v>20208</v>
      </c>
      <c r="I191" s="810" t="s">
        <v>20209</v>
      </c>
      <c r="J191" s="810">
        <f>0.16*0.75</f>
        <v>0.12</v>
      </c>
      <c r="K191" s="69"/>
      <c r="L191" s="69"/>
      <c r="M191" s="2274"/>
      <c r="N191" s="2276"/>
      <c r="O191" s="2273"/>
      <c r="P191" s="2277"/>
      <c r="Q191" s="2277"/>
      <c r="R191" s="2283"/>
      <c r="S191" s="2278"/>
      <c r="T191" s="2284"/>
      <c r="U191" s="2277"/>
      <c r="V191" s="2277"/>
      <c r="W191" s="69"/>
      <c r="X191" s="82"/>
      <c r="Y191" s="82"/>
      <c r="Z191" s="82"/>
      <c r="AA191" s="82"/>
      <c r="AB191" s="82"/>
    </row>
    <row r="192" spans="1:28" ht="15.75" customHeight="1" thickBot="1" x14ac:dyDescent="0.3">
      <c r="A192" s="394"/>
      <c r="B192" s="395"/>
      <c r="C192" s="396"/>
      <c r="D192" s="396"/>
      <c r="E192" s="396"/>
      <c r="F192" s="397"/>
      <c r="G192" s="2578" t="s">
        <v>1833</v>
      </c>
      <c r="H192" s="2578"/>
      <c r="I192" s="2579"/>
      <c r="J192" s="13">
        <f>SUM(J190:J191)</f>
        <v>0.14249999999999999</v>
      </c>
      <c r="K192" s="14">
        <v>0.92</v>
      </c>
      <c r="L192" s="13">
        <f>J192/K192</f>
        <v>0.15489130434782605</v>
      </c>
      <c r="M192" s="2577" t="s">
        <v>1834</v>
      </c>
      <c r="N192" s="2579"/>
      <c r="O192" s="13">
        <f>SUM(O189:O190)</f>
        <v>0.83250000000000002</v>
      </c>
      <c r="P192" s="14">
        <v>0.92</v>
      </c>
      <c r="Q192" s="13">
        <f>O192/P192</f>
        <v>0.90489130434782605</v>
      </c>
      <c r="R192" s="2577" t="s">
        <v>1833</v>
      </c>
      <c r="S192" s="2578"/>
      <c r="T192" s="2579"/>
      <c r="U192" s="13">
        <f>SUM(U189:U189)</f>
        <v>0</v>
      </c>
      <c r="V192" s="14">
        <v>0.92</v>
      </c>
      <c r="W192" s="13">
        <f>U192/V192</f>
        <v>0</v>
      </c>
      <c r="X192" s="82"/>
      <c r="Y192" s="82"/>
      <c r="Z192" s="82"/>
      <c r="AA192" s="82"/>
      <c r="AB192" s="82"/>
    </row>
    <row r="193" spans="1:28" x14ac:dyDescent="0.25">
      <c r="A193" s="2638" t="str">
        <f>Итоговая!C136</f>
        <v xml:space="preserve">ПС 110/35/6 кВ Вышний Волочек </v>
      </c>
      <c r="B193" s="2630">
        <f>Итоговая!D136</f>
        <v>40</v>
      </c>
      <c r="C193" s="2632" t="str">
        <f>Итоговая!E136</f>
        <v>+</v>
      </c>
      <c r="D193" s="2632">
        <f>Итоговая!F136</f>
        <v>40</v>
      </c>
      <c r="E193" s="400"/>
      <c r="F193" s="401"/>
      <c r="G193" s="2583" t="s">
        <v>1959</v>
      </c>
      <c r="H193" s="2583"/>
      <c r="I193" s="2583"/>
      <c r="J193" s="2583"/>
      <c r="K193" s="2583"/>
      <c r="L193" s="2584"/>
      <c r="M193" s="131"/>
      <c r="N193" s="132"/>
      <c r="O193" s="73"/>
      <c r="P193" s="73"/>
      <c r="Q193" s="73"/>
      <c r="R193" s="2644"/>
      <c r="S193" s="2645"/>
      <c r="T193" s="2645"/>
      <c r="U193" s="2645"/>
      <c r="V193" s="2645"/>
      <c r="W193" s="2646"/>
      <c r="X193" s="82"/>
      <c r="Y193" s="82"/>
      <c r="Z193" s="82"/>
      <c r="AA193" s="82"/>
      <c r="AB193" s="82"/>
    </row>
    <row r="194" spans="1:28" ht="64.5" customHeight="1" x14ac:dyDescent="0.25">
      <c r="A194" s="2639"/>
      <c r="B194" s="2631"/>
      <c r="C194" s="2633"/>
      <c r="D194" s="2633"/>
      <c r="E194" s="404"/>
      <c r="F194" s="405"/>
      <c r="G194" s="312" t="s">
        <v>1881</v>
      </c>
      <c r="H194" s="69" t="s">
        <v>1882</v>
      </c>
      <c r="I194" s="69" t="s">
        <v>1883</v>
      </c>
      <c r="J194" s="69">
        <v>0.03</v>
      </c>
      <c r="K194" s="51"/>
      <c r="L194" s="51"/>
      <c r="M194" s="51"/>
      <c r="N194" s="51"/>
      <c r="O194" s="51"/>
      <c r="P194" s="51"/>
      <c r="Q194" s="51"/>
      <c r="R194" s="69"/>
      <c r="S194" s="69"/>
      <c r="T194" s="69"/>
      <c r="U194" s="69"/>
      <c r="V194" s="51"/>
      <c r="W194" s="51"/>
      <c r="X194" s="82"/>
      <c r="Y194" s="82"/>
      <c r="Z194" s="82"/>
      <c r="AA194" s="82"/>
      <c r="AB194" s="82"/>
    </row>
    <row r="195" spans="1:28" ht="60" customHeight="1" x14ac:dyDescent="0.25">
      <c r="A195" s="408"/>
      <c r="B195" s="403"/>
      <c r="C195" s="404"/>
      <c r="D195" s="404"/>
      <c r="E195" s="404"/>
      <c r="F195" s="405"/>
      <c r="G195" s="272" t="s">
        <v>1864</v>
      </c>
      <c r="H195" s="22" t="s">
        <v>79</v>
      </c>
      <c r="I195" s="22" t="s">
        <v>77</v>
      </c>
      <c r="J195" s="22">
        <v>7.8E-2</v>
      </c>
      <c r="K195" s="51"/>
      <c r="L195" s="51"/>
      <c r="M195" s="148"/>
      <c r="N195" s="148"/>
      <c r="O195" s="148"/>
      <c r="P195" s="9"/>
      <c r="Q195" s="9"/>
      <c r="R195" s="22"/>
      <c r="S195" s="22"/>
      <c r="T195" s="22"/>
      <c r="U195" s="22"/>
      <c r="V195" s="51"/>
      <c r="W195" s="51"/>
      <c r="X195" s="82"/>
      <c r="Y195" s="82"/>
      <c r="Z195" s="82"/>
      <c r="AA195" s="82"/>
      <c r="AB195" s="82"/>
    </row>
    <row r="196" spans="1:28" ht="15.75" customHeight="1" thickBot="1" x14ac:dyDescent="0.3">
      <c r="A196" s="394"/>
      <c r="B196" s="395"/>
      <c r="C196" s="396"/>
      <c r="D196" s="396"/>
      <c r="E196" s="396"/>
      <c r="F196" s="397"/>
      <c r="G196" s="2588" t="s">
        <v>1833</v>
      </c>
      <c r="H196" s="2588"/>
      <c r="I196" s="2589"/>
      <c r="J196" s="21">
        <f>SUM(0)</f>
        <v>0</v>
      </c>
      <c r="K196" s="24">
        <v>0.92</v>
      </c>
      <c r="L196" s="21">
        <f>J196/K196</f>
        <v>0</v>
      </c>
      <c r="M196" s="2587" t="s">
        <v>1834</v>
      </c>
      <c r="N196" s="2589"/>
      <c r="O196" s="21">
        <f>SUM(O194:O195)</f>
        <v>0</v>
      </c>
      <c r="P196" s="24">
        <v>0.92</v>
      </c>
      <c r="Q196" s="21">
        <f>O196/P196</f>
        <v>0</v>
      </c>
      <c r="R196" s="2587" t="s">
        <v>1833</v>
      </c>
      <c r="S196" s="2588"/>
      <c r="T196" s="2589"/>
      <c r="U196" s="21">
        <f>SUM(U194:U195)</f>
        <v>0</v>
      </c>
      <c r="V196" s="24">
        <v>0.92</v>
      </c>
      <c r="W196" s="21">
        <f>U196/V196</f>
        <v>0</v>
      </c>
      <c r="X196" s="82"/>
      <c r="Y196" s="82"/>
      <c r="Z196" s="82"/>
      <c r="AA196" s="82"/>
      <c r="AB196" s="82"/>
    </row>
    <row r="197" spans="1:28" x14ac:dyDescent="0.25">
      <c r="A197" s="2638" t="str">
        <f>Итоговая!C139</f>
        <v xml:space="preserve">ПС 110/35/10-6 кВ Кашарово </v>
      </c>
      <c r="B197" s="2630">
        <f>Итоговая!D139</f>
        <v>25</v>
      </c>
      <c r="C197" s="2632" t="str">
        <f>Итоговая!E139</f>
        <v>+</v>
      </c>
      <c r="D197" s="2632">
        <f>Итоговая!F139</f>
        <v>20</v>
      </c>
      <c r="E197" s="400"/>
      <c r="F197" s="401"/>
      <c r="G197" s="2583" t="s">
        <v>1961</v>
      </c>
      <c r="H197" s="2583"/>
      <c r="I197" s="2583"/>
      <c r="J197" s="2583"/>
      <c r="K197" s="2583"/>
      <c r="L197" s="2584"/>
      <c r="M197" s="131"/>
      <c r="N197" s="132"/>
      <c r="O197" s="73"/>
      <c r="P197" s="73"/>
      <c r="Q197" s="73"/>
      <c r="R197" s="2644"/>
      <c r="S197" s="2645"/>
      <c r="T197" s="2645"/>
      <c r="U197" s="2645"/>
      <c r="V197" s="2645"/>
      <c r="W197" s="2646"/>
      <c r="X197" s="82"/>
      <c r="Y197" s="82"/>
      <c r="Z197" s="82"/>
      <c r="AA197" s="82"/>
      <c r="AB197" s="82"/>
    </row>
    <row r="198" spans="1:28" ht="76.5" customHeight="1" x14ac:dyDescent="0.25">
      <c r="A198" s="2639"/>
      <c r="B198" s="2631"/>
      <c r="C198" s="2633"/>
      <c r="D198" s="2633"/>
      <c r="E198" s="404"/>
      <c r="F198" s="405"/>
      <c r="G198" s="127" t="s">
        <v>1864</v>
      </c>
      <c r="H198" s="51" t="s">
        <v>1884</v>
      </c>
      <c r="I198" s="51" t="s">
        <v>1885</v>
      </c>
      <c r="J198" s="51">
        <v>2.5000000000000001E-2</v>
      </c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82"/>
      <c r="Y198" s="82"/>
      <c r="Z198" s="82"/>
      <c r="AA198" s="82"/>
      <c r="AB198" s="82"/>
    </row>
    <row r="199" spans="1:28" ht="15.75" customHeight="1" thickBot="1" x14ac:dyDescent="0.3">
      <c r="A199" s="394"/>
      <c r="B199" s="395"/>
      <c r="C199" s="396"/>
      <c r="D199" s="396"/>
      <c r="E199" s="396"/>
      <c r="F199" s="397"/>
      <c r="G199" s="2588" t="s">
        <v>1833</v>
      </c>
      <c r="H199" s="2588"/>
      <c r="I199" s="2589"/>
      <c r="J199" s="21">
        <f>SUM(0)</f>
        <v>0</v>
      </c>
      <c r="K199" s="1951">
        <v>0.92</v>
      </c>
      <c r="L199" s="21">
        <f>J199/K199</f>
        <v>0</v>
      </c>
      <c r="M199" s="2577" t="s">
        <v>1834</v>
      </c>
      <c r="N199" s="2579"/>
      <c r="O199" s="13">
        <f>SUM(O198:O198)</f>
        <v>0</v>
      </c>
      <c r="P199" s="14">
        <v>0.92</v>
      </c>
      <c r="Q199" s="13">
        <f>O199/P199</f>
        <v>0</v>
      </c>
      <c r="R199" s="2577" t="s">
        <v>1833</v>
      </c>
      <c r="S199" s="2578"/>
      <c r="T199" s="2579"/>
      <c r="U199" s="13">
        <f>SUM(U198:U198)-U198</f>
        <v>0</v>
      </c>
      <c r="V199" s="14">
        <v>0.92</v>
      </c>
      <c r="W199" s="13">
        <f>U199/V199</f>
        <v>0</v>
      </c>
      <c r="X199" s="82"/>
      <c r="Y199" s="82"/>
      <c r="Z199" s="82"/>
      <c r="AA199" s="82"/>
      <c r="AB199" s="82"/>
    </row>
    <row r="200" spans="1:28" ht="75" x14ac:dyDescent="0.25">
      <c r="A200" s="398" t="str">
        <f>Итоговая!C142</f>
        <v xml:space="preserve">ПС 110/35/10 кВ Спирово </v>
      </c>
      <c r="B200" s="399">
        <f>Итоговая!D142</f>
        <v>16</v>
      </c>
      <c r="C200" s="400" t="str">
        <f>Итоговая!E142</f>
        <v>+</v>
      </c>
      <c r="D200" s="400">
        <f>Итоговая!F142</f>
        <v>16</v>
      </c>
      <c r="E200" s="400"/>
      <c r="F200" s="401"/>
      <c r="G200" s="1947"/>
      <c r="H200" s="1947"/>
      <c r="I200" s="1947"/>
      <c r="J200" s="1947"/>
      <c r="K200" s="1947"/>
      <c r="L200" s="1954"/>
      <c r="M200" s="17" t="s">
        <v>2435</v>
      </c>
      <c r="N200" s="17" t="s">
        <v>2436</v>
      </c>
      <c r="O200" s="17">
        <v>2.1000000000000001E-2</v>
      </c>
      <c r="P200" s="17"/>
      <c r="Q200" s="17"/>
      <c r="R200" s="17"/>
      <c r="S200" s="17"/>
      <c r="T200" s="17"/>
      <c r="U200" s="17"/>
      <c r="V200" s="17"/>
      <c r="W200" s="73"/>
      <c r="X200" s="82"/>
      <c r="Y200" s="82"/>
      <c r="Z200" s="82"/>
      <c r="AA200" s="82"/>
      <c r="AB200" s="82"/>
    </row>
    <row r="201" spans="1:28" ht="120" x14ac:dyDescent="0.25">
      <c r="A201" s="832"/>
      <c r="B201" s="831"/>
      <c r="C201" s="833"/>
      <c r="D201" s="833"/>
      <c r="E201" s="833"/>
      <c r="F201" s="829"/>
      <c r="G201" s="1947"/>
      <c r="H201" s="1947"/>
      <c r="I201" s="1947"/>
      <c r="J201" s="1947"/>
      <c r="K201" s="1947"/>
      <c r="L201" s="1954"/>
      <c r="M201" s="24" t="s">
        <v>2968</v>
      </c>
      <c r="N201" s="24" t="s">
        <v>2969</v>
      </c>
      <c r="O201" s="24">
        <v>2.2999999999999998</v>
      </c>
      <c r="P201" s="24"/>
      <c r="Q201" s="24"/>
      <c r="R201" s="581"/>
      <c r="S201" s="40"/>
      <c r="T201" s="41"/>
      <c r="U201" s="128"/>
      <c r="V201" s="128"/>
      <c r="W201" s="69"/>
      <c r="X201" s="82"/>
      <c r="Y201" s="82"/>
      <c r="Z201" s="82"/>
      <c r="AA201" s="82"/>
      <c r="AB201" s="82"/>
    </row>
    <row r="202" spans="1:28" ht="120" x14ac:dyDescent="0.25">
      <c r="A202" s="846"/>
      <c r="B202" s="847"/>
      <c r="C202" s="848"/>
      <c r="D202" s="848"/>
      <c r="E202" s="848"/>
      <c r="F202" s="844"/>
      <c r="G202" s="1947"/>
      <c r="H202" s="1947"/>
      <c r="I202" s="1947"/>
      <c r="J202" s="1947"/>
      <c r="K202" s="1947"/>
      <c r="L202" s="1954"/>
      <c r="M202" s="1" t="s">
        <v>2991</v>
      </c>
      <c r="N202" s="1" t="s">
        <v>2992</v>
      </c>
      <c r="O202" s="1">
        <f>0.03-0.015</f>
        <v>1.4999999999999999E-2</v>
      </c>
      <c r="P202" s="1"/>
      <c r="Q202" s="1"/>
      <c r="R202" s="1"/>
      <c r="S202" s="1"/>
      <c r="T202" s="1"/>
      <c r="U202" s="1"/>
      <c r="V202" s="1"/>
      <c r="W202" s="22"/>
      <c r="X202" s="82"/>
      <c r="Y202" s="82"/>
      <c r="Z202" s="82"/>
      <c r="AA202" s="82"/>
      <c r="AB202" s="82"/>
    </row>
    <row r="203" spans="1:28" ht="15.75" customHeight="1" thickBot="1" x14ac:dyDescent="0.3">
      <c r="A203" s="394"/>
      <c r="B203" s="395"/>
      <c r="C203" s="396"/>
      <c r="D203" s="396"/>
      <c r="E203" s="396"/>
      <c r="F203" s="397"/>
      <c r="G203" s="2578" t="s">
        <v>1833</v>
      </c>
      <c r="H203" s="2578"/>
      <c r="I203" s="2579"/>
      <c r="J203" s="13">
        <f>SUM(J200:J200)</f>
        <v>0</v>
      </c>
      <c r="K203" s="14">
        <v>0.92</v>
      </c>
      <c r="L203" s="13">
        <f>J203/K203</f>
        <v>0</v>
      </c>
      <c r="M203" s="2577" t="s">
        <v>1834</v>
      </c>
      <c r="N203" s="2579"/>
      <c r="O203" s="13">
        <f>SUM(O200:O202)</f>
        <v>2.3359999999999999</v>
      </c>
      <c r="P203" s="14">
        <v>0.92</v>
      </c>
      <c r="Q203" s="13">
        <f>O203/P203</f>
        <v>2.5391304347826082</v>
      </c>
      <c r="R203" s="2577" t="s">
        <v>1833</v>
      </c>
      <c r="S203" s="2578"/>
      <c r="T203" s="2579"/>
      <c r="U203" s="13">
        <f>SUM(U200:U200)</f>
        <v>0</v>
      </c>
      <c r="V203" s="14">
        <v>0.92</v>
      </c>
      <c r="W203" s="13">
        <f>U203/V203</f>
        <v>0</v>
      </c>
      <c r="X203" s="82"/>
      <c r="Y203" s="82"/>
      <c r="Z203" s="82"/>
      <c r="AA203" s="82"/>
      <c r="AB203" s="82"/>
    </row>
    <row r="204" spans="1:28" ht="54.75" customHeight="1" x14ac:dyDescent="0.25">
      <c r="A204" s="398" t="str">
        <f>Итоговая!C145</f>
        <v>ПС 110/35/10 кВ Труд</v>
      </c>
      <c r="B204" s="399">
        <f>Итоговая!D145</f>
        <v>16</v>
      </c>
      <c r="C204" s="400" t="str">
        <f>Итоговая!E145</f>
        <v>+</v>
      </c>
      <c r="D204" s="400">
        <f>Итоговая!F145</f>
        <v>16</v>
      </c>
      <c r="E204" s="400"/>
      <c r="F204" s="401"/>
      <c r="G204" s="43"/>
      <c r="H204" s="17"/>
      <c r="I204" s="17"/>
      <c r="J204" s="17"/>
      <c r="K204" s="17"/>
      <c r="L204" s="73"/>
      <c r="M204" s="1"/>
      <c r="N204" s="1"/>
      <c r="O204" s="1"/>
      <c r="P204" s="17"/>
      <c r="Q204" s="17"/>
      <c r="R204" s="17"/>
      <c r="S204" s="17"/>
      <c r="T204" s="17"/>
      <c r="U204" s="17"/>
      <c r="V204" s="17"/>
      <c r="W204" s="73"/>
      <c r="X204" s="82"/>
      <c r="Y204" s="82"/>
      <c r="Z204" s="82"/>
      <c r="AA204" s="82"/>
      <c r="AB204" s="82"/>
    </row>
    <row r="205" spans="1:28" ht="15.75" customHeight="1" thickBot="1" x14ac:dyDescent="0.3">
      <c r="A205" s="394"/>
      <c r="B205" s="395"/>
      <c r="C205" s="396"/>
      <c r="D205" s="396"/>
      <c r="E205" s="396"/>
      <c r="F205" s="397"/>
      <c r="G205" s="2578" t="s">
        <v>1833</v>
      </c>
      <c r="H205" s="2578"/>
      <c r="I205" s="2579"/>
      <c r="J205" s="13">
        <f>SUM(J204:J204)</f>
        <v>0</v>
      </c>
      <c r="K205" s="14">
        <v>0.92</v>
      </c>
      <c r="L205" s="13">
        <f>J205/K205</f>
        <v>0</v>
      </c>
      <c r="M205" s="2577" t="s">
        <v>1834</v>
      </c>
      <c r="N205" s="2579"/>
      <c r="O205" s="13">
        <f>SUM(O204:O204)</f>
        <v>0</v>
      </c>
      <c r="P205" s="14">
        <v>0.92</v>
      </c>
      <c r="Q205" s="13">
        <f>O205/P205</f>
        <v>0</v>
      </c>
      <c r="R205" s="2577" t="s">
        <v>1833</v>
      </c>
      <c r="S205" s="2578"/>
      <c r="T205" s="2579"/>
      <c r="U205" s="13">
        <f>SUM(U204:U204)</f>
        <v>0</v>
      </c>
      <c r="V205" s="14">
        <v>0.92</v>
      </c>
      <c r="W205" s="13">
        <f>U205/V205</f>
        <v>0</v>
      </c>
      <c r="X205" s="82"/>
      <c r="Y205" s="82"/>
      <c r="Z205" s="82"/>
      <c r="AA205" s="82"/>
      <c r="AB205" s="82"/>
    </row>
    <row r="206" spans="1:28" s="82" customFormat="1" x14ac:dyDescent="0.25">
      <c r="A206" s="2630" t="str">
        <f>Итоговая!C148</f>
        <v xml:space="preserve">ПС 110/35/10 кВ Удомля  </v>
      </c>
      <c r="B206" s="2630">
        <f>Итоговая!D148</f>
        <v>25</v>
      </c>
      <c r="C206" s="2632" t="str">
        <f>Итоговая!E148</f>
        <v>+</v>
      </c>
      <c r="D206" s="2632">
        <f>Итоговая!F148</f>
        <v>25</v>
      </c>
      <c r="E206" s="400"/>
      <c r="F206" s="401"/>
      <c r="G206" s="2597" t="s">
        <v>1961</v>
      </c>
      <c r="H206" s="2597"/>
      <c r="I206" s="2597"/>
      <c r="J206" s="2597"/>
      <c r="K206" s="2597"/>
      <c r="L206" s="2598"/>
      <c r="M206" s="126"/>
      <c r="N206" s="127"/>
      <c r="O206" s="51"/>
      <c r="P206" s="51"/>
      <c r="Q206" s="51"/>
      <c r="R206" s="2653"/>
      <c r="S206" s="2653"/>
      <c r="T206" s="2653"/>
      <c r="U206" s="2653"/>
      <c r="V206" s="2653"/>
      <c r="W206" s="2654"/>
    </row>
    <row r="207" spans="1:28" s="82" customFormat="1" ht="52.5" customHeight="1" x14ac:dyDescent="0.25">
      <c r="A207" s="2631"/>
      <c r="B207" s="2631"/>
      <c r="C207" s="2633"/>
      <c r="D207" s="2633"/>
      <c r="E207" s="404"/>
      <c r="F207" s="405"/>
      <c r="G207" s="127" t="s">
        <v>1971</v>
      </c>
      <c r="H207" s="51" t="s">
        <v>1908</v>
      </c>
      <c r="I207" s="51" t="s">
        <v>1909</v>
      </c>
      <c r="J207" s="51">
        <v>3.5830000000000002</v>
      </c>
      <c r="K207" s="51"/>
      <c r="L207" s="51"/>
      <c r="M207" s="266"/>
      <c r="N207" s="266"/>
      <c r="O207" s="22"/>
      <c r="P207" s="22"/>
      <c r="Q207" s="22"/>
      <c r="R207" s="127"/>
      <c r="S207" s="51"/>
      <c r="T207" s="51"/>
      <c r="U207" s="51"/>
      <c r="V207" s="51"/>
      <c r="W207" s="51"/>
    </row>
    <row r="208" spans="1:28" s="82" customFormat="1" ht="45" x14ac:dyDescent="0.25">
      <c r="A208" s="403"/>
      <c r="B208" s="403"/>
      <c r="C208" s="404"/>
      <c r="D208" s="404"/>
      <c r="E208" s="404"/>
      <c r="F208" s="405"/>
      <c r="G208" s="127" t="s">
        <v>1912</v>
      </c>
      <c r="H208" s="51" t="s">
        <v>1913</v>
      </c>
      <c r="I208" s="51" t="s">
        <v>1914</v>
      </c>
      <c r="J208" s="51">
        <v>0.10299999999999999</v>
      </c>
      <c r="K208" s="51"/>
      <c r="L208" s="51"/>
      <c r="M208" s="22" t="s">
        <v>1906</v>
      </c>
      <c r="N208" s="22" t="s">
        <v>1907</v>
      </c>
      <c r="O208" s="22">
        <v>2.7E-2</v>
      </c>
      <c r="P208" s="51"/>
      <c r="Q208" s="51"/>
      <c r="R208" s="127"/>
      <c r="S208" s="51"/>
      <c r="T208" s="51"/>
      <c r="U208" s="51"/>
      <c r="V208" s="51"/>
      <c r="W208" s="51"/>
    </row>
    <row r="209" spans="1:23" s="82" customFormat="1" ht="68.25" customHeight="1" x14ac:dyDescent="0.25">
      <c r="A209" s="403"/>
      <c r="B209" s="403"/>
      <c r="C209" s="404"/>
      <c r="D209" s="404"/>
      <c r="E209" s="404"/>
      <c r="F209" s="405"/>
      <c r="G209" s="130" t="s">
        <v>1918</v>
      </c>
      <c r="H209" s="62" t="s">
        <v>1919</v>
      </c>
      <c r="I209" s="344" t="s">
        <v>1920</v>
      </c>
      <c r="J209" s="62">
        <v>0.02</v>
      </c>
      <c r="K209" s="51"/>
      <c r="L209" s="51"/>
      <c r="M209" s="22" t="s">
        <v>1910</v>
      </c>
      <c r="N209" s="22" t="s">
        <v>1911</v>
      </c>
      <c r="O209" s="22">
        <v>0.17499999999999999</v>
      </c>
      <c r="P209" s="51"/>
      <c r="Q209" s="51"/>
      <c r="R209" s="130"/>
      <c r="S209" s="62"/>
      <c r="T209" s="344"/>
      <c r="U209" s="62"/>
      <c r="V209" s="51"/>
      <c r="W209" s="51"/>
    </row>
    <row r="210" spans="1:23" s="82" customFormat="1" ht="59.25" customHeight="1" x14ac:dyDescent="0.25">
      <c r="A210" s="403"/>
      <c r="B210" s="403"/>
      <c r="C210" s="404"/>
      <c r="D210" s="404"/>
      <c r="E210" s="404"/>
      <c r="F210" s="405"/>
      <c r="G210" s="345"/>
      <c r="H210" s="266"/>
      <c r="I210" s="266"/>
      <c r="J210" s="266"/>
      <c r="K210" s="22"/>
      <c r="L210" s="22"/>
      <c r="M210" s="266"/>
      <c r="N210" s="266"/>
      <c r="O210" s="266"/>
      <c r="P210" s="22"/>
      <c r="Q210" s="22"/>
      <c r="R210" s="345"/>
      <c r="S210" s="266"/>
      <c r="T210" s="266"/>
      <c r="U210" s="266"/>
      <c r="V210" s="22"/>
      <c r="W210" s="22"/>
    </row>
    <row r="211" spans="1:23" s="82" customFormat="1" x14ac:dyDescent="0.25">
      <c r="A211" s="403"/>
      <c r="B211" s="403"/>
      <c r="C211" s="404"/>
      <c r="D211" s="404"/>
      <c r="E211" s="404"/>
      <c r="F211" s="405"/>
      <c r="G211" s="2611" t="s">
        <v>1959</v>
      </c>
      <c r="H211" s="2611"/>
      <c r="I211" s="2611"/>
      <c r="J211" s="2611"/>
      <c r="K211" s="2611"/>
      <c r="L211" s="2612"/>
      <c r="M211" s="22"/>
      <c r="N211" s="272"/>
      <c r="O211" s="22"/>
      <c r="P211" s="22"/>
      <c r="Q211" s="22"/>
      <c r="R211" s="2599"/>
      <c r="S211" s="2599"/>
      <c r="T211" s="2599"/>
      <c r="U211" s="2599"/>
      <c r="V211" s="2599"/>
      <c r="W211" s="2600"/>
    </row>
    <row r="212" spans="1:23" s="82" customFormat="1" ht="65.25" customHeight="1" x14ac:dyDescent="0.25">
      <c r="A212" s="403"/>
      <c r="B212" s="403"/>
      <c r="C212" s="404"/>
      <c r="D212" s="404"/>
      <c r="E212" s="404"/>
      <c r="F212" s="405"/>
      <c r="G212" s="272" t="s">
        <v>1915</v>
      </c>
      <c r="H212" s="22" t="s">
        <v>1916</v>
      </c>
      <c r="I212" s="22" t="s">
        <v>1917</v>
      </c>
      <c r="J212" s="22">
        <v>0.04</v>
      </c>
      <c r="K212" s="22"/>
      <c r="L212" s="22"/>
      <c r="M212" s="51" t="s">
        <v>98</v>
      </c>
      <c r="N212" s="51" t="s">
        <v>99</v>
      </c>
      <c r="O212" s="51">
        <v>0.01</v>
      </c>
      <c r="P212" s="51"/>
      <c r="Q212" s="51"/>
      <c r="R212" s="22"/>
      <c r="S212" s="22"/>
      <c r="T212" s="22"/>
      <c r="U212" s="22"/>
      <c r="V212" s="22"/>
      <c r="W212" s="22"/>
    </row>
    <row r="213" spans="1:23" s="82" customFormat="1" ht="65.25" customHeight="1" x14ac:dyDescent="0.25">
      <c r="A213" s="403"/>
      <c r="B213" s="403"/>
      <c r="C213" s="404"/>
      <c r="D213" s="404"/>
      <c r="E213" s="404"/>
      <c r="F213" s="405"/>
      <c r="G213" s="596"/>
      <c r="H213" s="596"/>
      <c r="I213" s="596"/>
      <c r="J213" s="596"/>
      <c r="K213" s="22"/>
      <c r="L213" s="22"/>
      <c r="M213" s="22" t="s">
        <v>1435</v>
      </c>
      <c r="N213" s="22" t="s">
        <v>1987</v>
      </c>
      <c r="O213" s="22">
        <v>0.1</v>
      </c>
      <c r="P213" s="69"/>
      <c r="Q213" s="69"/>
      <c r="R213" s="62"/>
      <c r="S213" s="62"/>
      <c r="T213" s="62"/>
      <c r="U213" s="62"/>
      <c r="V213" s="62"/>
      <c r="W213" s="62"/>
    </row>
    <row r="214" spans="1:23" s="82" customFormat="1" ht="19.5" customHeight="1" x14ac:dyDescent="0.25">
      <c r="A214" s="403"/>
      <c r="B214" s="403"/>
      <c r="C214" s="404"/>
      <c r="D214" s="404"/>
      <c r="E214" s="404"/>
      <c r="F214" s="405"/>
      <c r="G214" s="648" t="s">
        <v>2452</v>
      </c>
      <c r="H214" s="649"/>
      <c r="I214" s="649"/>
      <c r="J214" s="649"/>
      <c r="K214" s="649"/>
      <c r="L214" s="650"/>
      <c r="M214" s="62" t="s">
        <v>1457</v>
      </c>
      <c r="N214" s="62" t="s">
        <v>1988</v>
      </c>
      <c r="O214" s="62">
        <v>6.8699999999999997E-2</v>
      </c>
      <c r="P214" s="22"/>
      <c r="Q214" s="22"/>
      <c r="R214" s="698"/>
      <c r="S214" s="315"/>
      <c r="T214" s="315"/>
      <c r="U214" s="315"/>
      <c r="V214" s="315"/>
      <c r="W214" s="315"/>
    </row>
    <row r="215" spans="1:23" s="82" customFormat="1" ht="68.25" customHeight="1" x14ac:dyDescent="0.25">
      <c r="A215" s="579"/>
      <c r="B215" s="579"/>
      <c r="C215" s="580"/>
      <c r="D215" s="580"/>
      <c r="E215" s="580"/>
      <c r="F215" s="577"/>
      <c r="G215" s="272" t="s">
        <v>2367</v>
      </c>
      <c r="H215" s="22" t="s">
        <v>2502</v>
      </c>
      <c r="I215" s="22" t="s">
        <v>2240</v>
      </c>
      <c r="J215" s="22">
        <v>0.26</v>
      </c>
      <c r="K215" s="315"/>
      <c r="L215" s="315"/>
      <c r="M215" s="62"/>
      <c r="N215" s="62"/>
      <c r="O215" s="62"/>
      <c r="P215" s="22"/>
      <c r="Q215" s="22"/>
      <c r="R215" s="698"/>
      <c r="S215" s="315"/>
      <c r="T215" s="315"/>
      <c r="U215" s="315"/>
      <c r="V215" s="315"/>
      <c r="W215" s="315"/>
    </row>
    <row r="216" spans="1:23" s="82" customFormat="1" ht="65.25" customHeight="1" x14ac:dyDescent="0.25">
      <c r="A216" s="403"/>
      <c r="B216" s="403"/>
      <c r="C216" s="404"/>
      <c r="D216" s="404"/>
      <c r="E216" s="404"/>
      <c r="F216" s="405"/>
      <c r="G216" s="272" t="s">
        <v>1989</v>
      </c>
      <c r="H216" s="22" t="s">
        <v>1990</v>
      </c>
      <c r="I216" s="22" t="s">
        <v>2451</v>
      </c>
      <c r="J216" s="22">
        <v>0.25600000000000001</v>
      </c>
      <c r="K216" s="22"/>
      <c r="L216" s="22"/>
      <c r="M216" s="22" t="s">
        <v>1989</v>
      </c>
      <c r="N216" s="22" t="s">
        <v>2013</v>
      </c>
      <c r="O216" s="22">
        <v>0.16</v>
      </c>
      <c r="P216" s="51"/>
      <c r="Q216" s="69"/>
      <c r="R216" s="51"/>
      <c r="S216" s="51"/>
      <c r="T216" s="51"/>
      <c r="U216" s="51"/>
      <c r="V216" s="51"/>
      <c r="W216" s="51"/>
    </row>
    <row r="217" spans="1:23" s="82" customFormat="1" ht="65.25" customHeight="1" x14ac:dyDescent="0.25">
      <c r="A217" s="403"/>
      <c r="B217" s="403"/>
      <c r="C217" s="404"/>
      <c r="D217" s="404"/>
      <c r="E217" s="404"/>
      <c r="F217" s="405"/>
      <c r="G217" s="127" t="s">
        <v>2367</v>
      </c>
      <c r="H217" s="51" t="s">
        <v>1905</v>
      </c>
      <c r="I217" s="22" t="s">
        <v>2454</v>
      </c>
      <c r="J217" s="22">
        <v>0.16550000000000001</v>
      </c>
      <c r="K217" s="22"/>
      <c r="L217" s="22"/>
      <c r="M217" s="22" t="s">
        <v>98</v>
      </c>
      <c r="N217" s="22" t="s">
        <v>2014</v>
      </c>
      <c r="O217" s="22">
        <v>3.4000000000000002E-2</v>
      </c>
      <c r="P217" s="22"/>
      <c r="Q217" s="22"/>
      <c r="R217" s="51"/>
      <c r="S217" s="51"/>
      <c r="T217" s="22"/>
      <c r="U217" s="22"/>
      <c r="V217" s="22"/>
      <c r="W217" s="22"/>
    </row>
    <row r="218" spans="1:23" s="82" customFormat="1" ht="65.25" customHeight="1" x14ac:dyDescent="0.25">
      <c r="A218" s="403"/>
      <c r="B218" s="403"/>
      <c r="C218" s="404"/>
      <c r="D218" s="404"/>
      <c r="E218" s="404"/>
      <c r="F218" s="405"/>
      <c r="G218" s="272" t="s">
        <v>2368</v>
      </c>
      <c r="H218" s="22" t="s">
        <v>2369</v>
      </c>
      <c r="I218" s="22" t="s">
        <v>2466</v>
      </c>
      <c r="J218" s="22">
        <v>0.16</v>
      </c>
      <c r="K218" s="22"/>
      <c r="L218" s="22"/>
      <c r="M218" s="22" t="s">
        <v>2334</v>
      </c>
      <c r="N218" s="22" t="s">
        <v>2335</v>
      </c>
      <c r="O218" s="22">
        <v>1.6E-2</v>
      </c>
      <c r="P218" s="22"/>
      <c r="Q218" s="62"/>
      <c r="R218" s="22"/>
      <c r="S218" s="22"/>
      <c r="T218" s="22"/>
      <c r="U218" s="22"/>
      <c r="V218" s="22"/>
      <c r="W218" s="22"/>
    </row>
    <row r="219" spans="1:23" s="82" customFormat="1" ht="18" customHeight="1" x14ac:dyDescent="0.25">
      <c r="A219" s="403"/>
      <c r="B219" s="403"/>
      <c r="C219" s="404"/>
      <c r="D219" s="404"/>
      <c r="E219" s="404"/>
      <c r="F219" s="405"/>
      <c r="G219" s="2623" t="s">
        <v>2640</v>
      </c>
      <c r="H219" s="2611"/>
      <c r="I219" s="2611"/>
      <c r="J219" s="2611"/>
      <c r="K219" s="2611"/>
      <c r="L219" s="2612"/>
      <c r="M219" s="22" t="s">
        <v>1989</v>
      </c>
      <c r="N219" s="22" t="s">
        <v>2718</v>
      </c>
      <c r="O219" s="22">
        <f>1.8-1.6</f>
        <v>0.19999999999999996</v>
      </c>
      <c r="P219" s="22"/>
      <c r="Q219" s="22"/>
      <c r="R219" s="22"/>
      <c r="S219" s="22"/>
      <c r="T219" s="22"/>
      <c r="U219" s="22"/>
      <c r="V219" s="22"/>
      <c r="W219" s="22"/>
    </row>
    <row r="220" spans="1:23" s="82" customFormat="1" ht="46.5" customHeight="1" x14ac:dyDescent="0.25">
      <c r="A220" s="403"/>
      <c r="B220" s="403"/>
      <c r="C220" s="404"/>
      <c r="D220" s="404"/>
      <c r="E220" s="404"/>
      <c r="F220" s="405"/>
      <c r="G220" s="22" t="s">
        <v>2396</v>
      </c>
      <c r="H220" s="22" t="s">
        <v>2397</v>
      </c>
      <c r="I220" s="22" t="s">
        <v>2681</v>
      </c>
      <c r="J220" s="22">
        <v>0.15</v>
      </c>
      <c r="K220" s="62"/>
      <c r="L220" s="62"/>
      <c r="M220" s="22" t="s">
        <v>3147</v>
      </c>
      <c r="N220" s="1362" t="s">
        <v>3148</v>
      </c>
      <c r="O220" s="22">
        <v>0.2</v>
      </c>
      <c r="P220" s="22"/>
      <c r="Q220" s="62"/>
      <c r="R220" s="22"/>
      <c r="S220" s="22"/>
      <c r="T220" s="22"/>
      <c r="U220" s="22"/>
      <c r="V220" s="62"/>
      <c r="W220" s="62"/>
    </row>
    <row r="221" spans="1:23" s="82" customFormat="1" ht="30.75" customHeight="1" x14ac:dyDescent="0.25">
      <c r="A221" s="403"/>
      <c r="B221" s="403"/>
      <c r="C221" s="404"/>
      <c r="D221" s="404"/>
      <c r="E221" s="404"/>
      <c r="F221" s="405"/>
      <c r="G221" s="2623" t="s">
        <v>3019</v>
      </c>
      <c r="H221" s="2611"/>
      <c r="I221" s="2611"/>
      <c r="J221" s="2611"/>
      <c r="K221" s="2611"/>
      <c r="L221" s="2612"/>
      <c r="M221" s="1362" t="s">
        <v>3147</v>
      </c>
      <c r="N221" s="1362" t="s">
        <v>3149</v>
      </c>
      <c r="O221" s="22">
        <v>0.15</v>
      </c>
      <c r="P221" s="62"/>
      <c r="Q221" s="62"/>
      <c r="R221" s="22"/>
      <c r="S221" s="22"/>
      <c r="T221" s="22"/>
      <c r="U221" s="22"/>
      <c r="V221" s="62"/>
      <c r="W221" s="62"/>
    </row>
    <row r="222" spans="1:23" s="82" customFormat="1" ht="46.5" customHeight="1" x14ac:dyDescent="0.25">
      <c r="A222" s="1045"/>
      <c r="B222" s="1045"/>
      <c r="C222" s="1047"/>
      <c r="D222" s="1047"/>
      <c r="E222" s="1047"/>
      <c r="F222" s="1046"/>
      <c r="G222" s="2624"/>
      <c r="H222" s="2599"/>
      <c r="I222" s="2600"/>
      <c r="J222" s="1954"/>
      <c r="K222" s="1954"/>
      <c r="L222" s="1954"/>
      <c r="M222" s="22" t="s">
        <v>3153</v>
      </c>
      <c r="N222" s="1362" t="s">
        <v>16916</v>
      </c>
      <c r="O222" s="22">
        <v>0.15</v>
      </c>
      <c r="P222" s="22"/>
      <c r="Q222" s="22"/>
      <c r="R222" s="22"/>
      <c r="S222" s="22"/>
      <c r="T222" s="22"/>
      <c r="U222" s="22"/>
      <c r="V222" s="22"/>
      <c r="W222" s="22"/>
    </row>
    <row r="223" spans="1:23" s="82" customFormat="1" ht="24.75" customHeight="1" x14ac:dyDescent="0.25">
      <c r="A223" s="1045"/>
      <c r="B223" s="1045"/>
      <c r="C223" s="1047"/>
      <c r="D223" s="1047"/>
      <c r="E223" s="1047"/>
      <c r="F223" s="1046"/>
      <c r="G223" s="2623" t="s">
        <v>3405</v>
      </c>
      <c r="H223" s="2611"/>
      <c r="I223" s="2611"/>
      <c r="J223" s="2611"/>
      <c r="K223" s="2611"/>
      <c r="L223" s="2612"/>
      <c r="M223" s="1362" t="s">
        <v>3201</v>
      </c>
      <c r="N223" s="1362" t="s">
        <v>3202</v>
      </c>
      <c r="O223" s="1362">
        <v>0.02</v>
      </c>
      <c r="P223" s="22"/>
      <c r="Q223" s="22"/>
      <c r="R223" s="22"/>
      <c r="S223" s="22"/>
      <c r="T223" s="22"/>
      <c r="U223" s="22"/>
      <c r="V223" s="22"/>
      <c r="W223" s="22"/>
    </row>
    <row r="224" spans="1:23" s="82" customFormat="1" ht="46.5" customHeight="1" x14ac:dyDescent="0.25">
      <c r="A224" s="1071"/>
      <c r="B224" s="1071"/>
      <c r="C224" s="1075"/>
      <c r="D224" s="1075"/>
      <c r="E224" s="1075"/>
      <c r="F224" s="1072"/>
      <c r="K224" s="62"/>
      <c r="L224" s="62"/>
      <c r="M224" s="1362" t="s">
        <v>2368</v>
      </c>
      <c r="N224" s="1362" t="s">
        <v>3585</v>
      </c>
      <c r="O224" s="22">
        <f>0.18-0.058</f>
        <v>0.122</v>
      </c>
      <c r="P224" s="22"/>
      <c r="Q224" s="22"/>
      <c r="R224" s="22"/>
      <c r="S224" s="22"/>
      <c r="T224" s="22"/>
      <c r="U224" s="22"/>
      <c r="V224" s="22"/>
      <c r="W224" s="22"/>
    </row>
    <row r="225" spans="1:28" s="82" customFormat="1" ht="18.75" customHeight="1" x14ac:dyDescent="0.25">
      <c r="A225" s="1071"/>
      <c r="B225" s="1071"/>
      <c r="C225" s="1075"/>
      <c r="D225" s="1075"/>
      <c r="E225" s="1075"/>
      <c r="F225" s="1072"/>
      <c r="G225" s="2623" t="s">
        <v>17067</v>
      </c>
      <c r="H225" s="2611"/>
      <c r="I225" s="2611"/>
      <c r="J225" s="2611"/>
      <c r="K225" s="2611"/>
      <c r="L225" s="2612"/>
      <c r="M225" s="1362" t="s">
        <v>2368</v>
      </c>
      <c r="N225" s="1362" t="s">
        <v>3586</v>
      </c>
      <c r="O225" s="22">
        <f>0.117-0.048</f>
        <v>6.9000000000000006E-2</v>
      </c>
      <c r="P225" s="22"/>
      <c r="Q225" s="22"/>
      <c r="R225" s="22"/>
      <c r="S225" s="22"/>
      <c r="T225" s="22"/>
      <c r="U225" s="62"/>
      <c r="V225" s="62"/>
      <c r="W225" s="62"/>
    </row>
    <row r="226" spans="1:28" s="82" customFormat="1" ht="46.5" customHeight="1" x14ac:dyDescent="0.25">
      <c r="A226" s="1816"/>
      <c r="B226" s="1816"/>
      <c r="C226" s="1817"/>
      <c r="D226" s="1817"/>
      <c r="E226" s="1817"/>
      <c r="F226" s="1818"/>
      <c r="G226" s="652" t="s">
        <v>3153</v>
      </c>
      <c r="H226" s="652" t="s">
        <v>19848</v>
      </c>
      <c r="I226" s="130" t="s">
        <v>19849</v>
      </c>
      <c r="J226" s="62">
        <f>0.15*0.9</f>
        <v>0.13500000000000001</v>
      </c>
      <c r="K226" s="62"/>
      <c r="L226" s="62"/>
      <c r="M226" s="129"/>
      <c r="N226" s="130"/>
      <c r="O226" s="62"/>
      <c r="P226" s="62"/>
      <c r="Q226" s="62"/>
      <c r="R226" s="652"/>
      <c r="S226" s="652"/>
      <c r="T226" s="130"/>
      <c r="U226" s="62"/>
      <c r="V226" s="62"/>
      <c r="W226" s="62"/>
    </row>
    <row r="227" spans="1:28" s="82" customFormat="1" ht="46.5" customHeight="1" x14ac:dyDescent="0.25">
      <c r="A227" s="2073"/>
      <c r="B227" s="2073"/>
      <c r="C227" s="2074"/>
      <c r="D227" s="2074"/>
      <c r="E227" s="2074"/>
      <c r="F227" s="2077"/>
      <c r="G227" s="22" t="s">
        <v>3193</v>
      </c>
      <c r="H227" s="22" t="s">
        <v>19853</v>
      </c>
      <c r="I227" s="22" t="s">
        <v>19854</v>
      </c>
      <c r="J227" s="22">
        <f>0.09*0.9</f>
        <v>8.1000000000000003E-2</v>
      </c>
      <c r="K227" s="62"/>
      <c r="L227" s="62"/>
      <c r="M227" s="2086"/>
      <c r="N227" s="2088"/>
      <c r="O227" s="62"/>
      <c r="P227" s="62"/>
      <c r="Q227" s="62"/>
      <c r="R227" s="2087"/>
      <c r="S227" s="2087"/>
      <c r="T227" s="2088"/>
      <c r="U227" s="62"/>
      <c r="V227" s="62"/>
      <c r="W227" s="62"/>
    </row>
    <row r="228" spans="1:28" s="82" customFormat="1" ht="46.5" customHeight="1" x14ac:dyDescent="0.25">
      <c r="A228" s="2073"/>
      <c r="B228" s="2073"/>
      <c r="C228" s="2074"/>
      <c r="D228" s="2074"/>
      <c r="E228" s="2074"/>
      <c r="F228" s="2077"/>
      <c r="G228" s="2087" t="s">
        <v>19864</v>
      </c>
      <c r="H228" s="2087" t="s">
        <v>19865</v>
      </c>
      <c r="I228" s="2088" t="s">
        <v>19866</v>
      </c>
      <c r="J228" s="62">
        <f>0.35*0.9</f>
        <v>0.315</v>
      </c>
      <c r="K228" s="62"/>
      <c r="L228" s="62"/>
      <c r="M228" s="2086"/>
      <c r="N228" s="2088"/>
      <c r="O228" s="62"/>
      <c r="P228" s="62"/>
      <c r="Q228" s="62"/>
      <c r="R228" s="2087"/>
      <c r="S228" s="2087"/>
      <c r="T228" s="2088"/>
      <c r="U228" s="62"/>
      <c r="V228" s="62"/>
      <c r="W228" s="62"/>
    </row>
    <row r="229" spans="1:28" ht="15.75" customHeight="1" thickBot="1" x14ac:dyDescent="0.3">
      <c r="A229" s="395"/>
      <c r="B229" s="395"/>
      <c r="C229" s="396"/>
      <c r="D229" s="396"/>
      <c r="E229" s="396"/>
      <c r="F229" s="397"/>
      <c r="G229" s="2578" t="s">
        <v>1833</v>
      </c>
      <c r="H229" s="2578"/>
      <c r="I229" s="2579"/>
      <c r="J229" s="13">
        <f>SUM(J226:J228)</f>
        <v>0.53100000000000003</v>
      </c>
      <c r="K229" s="14">
        <v>0.92</v>
      </c>
      <c r="L229" s="13">
        <f>J229/K229</f>
        <v>0.57717391304347831</v>
      </c>
      <c r="M229" s="2577" t="s">
        <v>1834</v>
      </c>
      <c r="N229" s="2579"/>
      <c r="O229" s="13">
        <f>SUM(O207:O225)</f>
        <v>1.5016999999999996</v>
      </c>
      <c r="P229" s="14">
        <v>0.92</v>
      </c>
      <c r="Q229" s="13">
        <f>O229/P229</f>
        <v>1.6322826086956517</v>
      </c>
      <c r="R229" s="2578" t="s">
        <v>1833</v>
      </c>
      <c r="S229" s="2578"/>
      <c r="T229" s="2579"/>
      <c r="U229" s="13">
        <f>SUM(U212:U218)</f>
        <v>0</v>
      </c>
      <c r="V229" s="14">
        <v>0.92</v>
      </c>
      <c r="W229" s="13">
        <f>U229/V229</f>
        <v>0</v>
      </c>
      <c r="X229" s="82"/>
      <c r="Y229" s="82"/>
      <c r="Z229" s="82"/>
      <c r="AA229" s="82"/>
      <c r="AB229" s="82"/>
    </row>
    <row r="230" spans="1:28" s="82" customFormat="1" ht="15.75" customHeight="1" x14ac:dyDescent="0.25">
      <c r="A230" s="2670" t="str">
        <f>Итоговая!C151</f>
        <v xml:space="preserve">ПС 110/35/10 кВ Холохоленка </v>
      </c>
      <c r="B230" s="2631">
        <f>Итоговая!D151</f>
        <v>6.3</v>
      </c>
      <c r="C230" s="2633" t="str">
        <f>Итоговая!E151</f>
        <v>+</v>
      </c>
      <c r="D230" s="2633">
        <f>Итоговая!F151</f>
        <v>6.3</v>
      </c>
      <c r="E230" s="404"/>
      <c r="F230" s="405"/>
      <c r="G230" s="2598" t="s">
        <v>1961</v>
      </c>
      <c r="H230" s="2626"/>
      <c r="I230" s="2626"/>
      <c r="J230" s="2626"/>
      <c r="K230" s="2626"/>
      <c r="L230" s="2626"/>
      <c r="M230" s="51"/>
      <c r="N230" s="51"/>
      <c r="O230" s="51"/>
      <c r="P230" s="51"/>
      <c r="Q230" s="51"/>
      <c r="R230" s="2642"/>
      <c r="S230" s="2642"/>
      <c r="T230" s="2642"/>
      <c r="U230" s="2642"/>
      <c r="V230" s="2642"/>
      <c r="W230" s="2642"/>
    </row>
    <row r="231" spans="1:28" s="82" customFormat="1" ht="63" customHeight="1" x14ac:dyDescent="0.25">
      <c r="A231" s="2670"/>
      <c r="B231" s="2631"/>
      <c r="C231" s="2633"/>
      <c r="D231" s="2633"/>
      <c r="E231" s="404"/>
      <c r="F231" s="405"/>
      <c r="G231" s="272" t="s">
        <v>1886</v>
      </c>
      <c r="H231" s="22" t="s">
        <v>1887</v>
      </c>
      <c r="I231" s="22" t="s">
        <v>1888</v>
      </c>
      <c r="J231" s="22">
        <v>2.8</v>
      </c>
      <c r="K231" s="22"/>
      <c r="L231" s="22"/>
      <c r="M231" s="1268" t="s">
        <v>2437</v>
      </c>
      <c r="N231" s="1268" t="s">
        <v>16970</v>
      </c>
      <c r="O231" s="22">
        <v>2.5000000000000001E-2</v>
      </c>
      <c r="P231" s="22"/>
      <c r="Q231" s="22"/>
      <c r="R231" s="22"/>
      <c r="S231" s="22"/>
      <c r="T231" s="22"/>
      <c r="U231" s="22"/>
      <c r="V231" s="22"/>
      <c r="W231" s="22"/>
    </row>
    <row r="232" spans="1:28" s="82" customFormat="1" ht="18" customHeight="1" x14ac:dyDescent="0.25">
      <c r="A232" s="2670"/>
      <c r="B232" s="403"/>
      <c r="C232" s="404"/>
      <c r="D232" s="404"/>
      <c r="E232" s="404"/>
      <c r="F232" s="405"/>
      <c r="G232" s="27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</row>
    <row r="233" spans="1:28" ht="15.75" customHeight="1" thickBot="1" x14ac:dyDescent="0.3">
      <c r="A233" s="396"/>
      <c r="B233" s="395"/>
      <c r="C233" s="396"/>
      <c r="D233" s="396"/>
      <c r="E233" s="396"/>
      <c r="F233" s="397"/>
      <c r="G233" s="2643" t="s">
        <v>1833</v>
      </c>
      <c r="H233" s="2643"/>
      <c r="I233" s="2603"/>
      <c r="J233" s="140">
        <f>SUM(J232:J232)</f>
        <v>0</v>
      </c>
      <c r="K233" s="141">
        <v>0.92</v>
      </c>
      <c r="L233" s="140">
        <f>J233/K233</f>
        <v>0</v>
      </c>
      <c r="M233" s="2613" t="s">
        <v>1834</v>
      </c>
      <c r="N233" s="2603"/>
      <c r="O233" s="140">
        <f>SUM(O231:O231)</f>
        <v>2.5000000000000001E-2</v>
      </c>
      <c r="P233" s="141">
        <v>0.92</v>
      </c>
      <c r="Q233" s="140">
        <f>O233/P233</f>
        <v>2.717391304347826E-2</v>
      </c>
      <c r="R233" s="2613" t="s">
        <v>1833</v>
      </c>
      <c r="S233" s="2643"/>
      <c r="T233" s="2603"/>
      <c r="U233" s="140">
        <f>SUM(U232:U232)</f>
        <v>0</v>
      </c>
      <c r="V233" s="141">
        <v>0.92</v>
      </c>
      <c r="W233" s="140">
        <f>U233/V233</f>
        <v>0</v>
      </c>
      <c r="X233" s="82"/>
      <c r="Y233" s="82"/>
      <c r="Z233" s="82"/>
      <c r="AA233" s="82"/>
      <c r="AB233" s="82"/>
    </row>
    <row r="234" spans="1:28" x14ac:dyDescent="0.25">
      <c r="A234" s="398" t="str">
        <f>Итоговая!C154</f>
        <v xml:space="preserve">ПС 110/35/10 кВ Леонтьево </v>
      </c>
      <c r="B234" s="425">
        <f>Итоговая!D154</f>
        <v>25</v>
      </c>
      <c r="C234" s="426" t="str">
        <f>Итоговая!E154</f>
        <v>+</v>
      </c>
      <c r="D234" s="426">
        <f>Итоговая!F154</f>
        <v>25</v>
      </c>
      <c r="E234" s="426"/>
      <c r="F234" s="427"/>
      <c r="G234" s="43"/>
      <c r="H234" s="17"/>
      <c r="I234" s="17"/>
      <c r="J234" s="17"/>
      <c r="K234" s="17"/>
      <c r="L234" s="73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73"/>
      <c r="X234" s="82"/>
      <c r="Y234" s="82"/>
      <c r="Z234" s="82"/>
      <c r="AA234" s="82"/>
      <c r="AB234" s="82"/>
    </row>
    <row r="235" spans="1:28" ht="15.75" customHeight="1" thickBot="1" x14ac:dyDescent="0.3">
      <c r="A235" s="394"/>
      <c r="B235" s="395"/>
      <c r="C235" s="396"/>
      <c r="D235" s="396"/>
      <c r="E235" s="396"/>
      <c r="F235" s="397"/>
      <c r="G235" s="2588" t="s">
        <v>1833</v>
      </c>
      <c r="H235" s="2588"/>
      <c r="I235" s="2589"/>
      <c r="J235" s="21">
        <f>SUM(J234:J234)</f>
        <v>0</v>
      </c>
      <c r="K235" s="24">
        <v>0.92</v>
      </c>
      <c r="L235" s="21">
        <f>J235/K235</f>
        <v>0</v>
      </c>
      <c r="M235" s="2587" t="s">
        <v>1834</v>
      </c>
      <c r="N235" s="2589"/>
      <c r="O235" s="21">
        <f>SUM(O234:O234)</f>
        <v>0</v>
      </c>
      <c r="P235" s="24">
        <v>0.92</v>
      </c>
      <c r="Q235" s="21">
        <f>O235/P235</f>
        <v>0</v>
      </c>
      <c r="R235" s="2587" t="s">
        <v>1833</v>
      </c>
      <c r="S235" s="2588"/>
      <c r="T235" s="2589"/>
      <c r="U235" s="21">
        <f>SUM(U234:U234)</f>
        <v>0</v>
      </c>
      <c r="V235" s="24">
        <v>0.92</v>
      </c>
      <c r="W235" s="21">
        <f>U235/V235</f>
        <v>0</v>
      </c>
      <c r="X235" s="82"/>
      <c r="Y235" s="82"/>
      <c r="Z235" s="82"/>
      <c r="AA235" s="82"/>
      <c r="AB235" s="82"/>
    </row>
    <row r="236" spans="1:28" ht="19.5" thickBot="1" x14ac:dyDescent="0.3">
      <c r="A236" s="2668" t="s">
        <v>1962</v>
      </c>
      <c r="B236" s="2669"/>
      <c r="C236" s="423"/>
      <c r="D236" s="423"/>
      <c r="E236" s="423"/>
      <c r="F236" s="423"/>
      <c r="G236" s="190"/>
      <c r="H236" s="191"/>
      <c r="I236" s="191"/>
      <c r="J236" s="191">
        <f>J235+J233+J229+J205+J203+J199+J196+J192+J188+J183+J181+J174+J171+J166+J163+J158+J155+J152+J148+J140+J138+J133+J130+J128+J126+J123+J121+J118+J116+J102+J99+J97+J92+J90+J87+J84+J82+J79+J77+J75+J72+J66+J60+J58+J55+J52+J45+J43+J39+J37+J35+J30+J27+J25+J23+J21+J16+J13+J10+J8</f>
        <v>5.1050300000000002</v>
      </c>
      <c r="K236" s="191"/>
      <c r="L236" s="191">
        <f>L235+L233+L229+L205+L203+L199+L196+L192+L188+L183+L181+L174+L171+L166+L163+L158+L155+L152+L148+L140+L138+L133+L130+L128+L126+L123+L121+L118+L116+L102+L99+L97+L92+L90+L87+L84+L82+L79+L77+L75+L72+L66+L60+L58+L55+L52+L45+L43+L39+L37+L35+L30+L27+L25+L23+L21+L16+L13+L10+L8</f>
        <v>5.5489456521739129</v>
      </c>
      <c r="M236" s="191"/>
      <c r="N236" s="191"/>
      <c r="O236" s="191"/>
      <c r="P236" s="190"/>
      <c r="Q236" s="190"/>
      <c r="R236" s="317"/>
      <c r="S236" s="317"/>
      <c r="T236" s="317"/>
      <c r="U236" s="317"/>
      <c r="V236" s="317"/>
      <c r="W236" s="318"/>
    </row>
    <row r="237" spans="1:28" x14ac:dyDescent="0.25">
      <c r="A237" s="185"/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M237" s="196"/>
      <c r="N237" s="196"/>
      <c r="O237" s="196"/>
      <c r="R237" s="313"/>
      <c r="S237" s="313"/>
      <c r="T237" s="313"/>
      <c r="U237" s="313"/>
      <c r="V237" s="313"/>
      <c r="W237" s="313"/>
    </row>
    <row r="238" spans="1:28" x14ac:dyDescent="0.25">
      <c r="A238" s="185"/>
      <c r="B238" s="196"/>
      <c r="C238" s="196"/>
      <c r="D238" s="196"/>
      <c r="E238" s="196"/>
      <c r="F238" s="196"/>
      <c r="G238" s="196"/>
      <c r="H238" s="196"/>
      <c r="I238" s="196"/>
      <c r="J238" s="196"/>
      <c r="K238" s="196"/>
      <c r="M238" s="196"/>
      <c r="N238" s="196"/>
      <c r="O238" s="196"/>
      <c r="R238" s="313"/>
      <c r="S238" s="313"/>
      <c r="T238" s="313"/>
      <c r="U238" s="313"/>
      <c r="V238" s="313"/>
      <c r="W238" s="313"/>
    </row>
    <row r="239" spans="1:28" x14ac:dyDescent="0.25">
      <c r="A239" s="185"/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M239" s="196"/>
      <c r="N239" s="196"/>
      <c r="O239" s="196"/>
      <c r="R239" s="313"/>
      <c r="S239" s="313"/>
      <c r="T239" s="313"/>
      <c r="U239" s="313"/>
      <c r="V239" s="313"/>
      <c r="W239" s="313"/>
    </row>
    <row r="240" spans="1:28" x14ac:dyDescent="0.25">
      <c r="A240" s="185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M240" s="196"/>
      <c r="N240" s="196"/>
      <c r="O240" s="196"/>
      <c r="R240" s="313"/>
      <c r="S240" s="313"/>
      <c r="T240" s="313"/>
      <c r="U240" s="313"/>
      <c r="V240" s="313"/>
      <c r="W240" s="313"/>
    </row>
    <row r="241" spans="1:18" x14ac:dyDescent="0.25">
      <c r="A241" s="185"/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M241" s="196"/>
      <c r="N241" s="196"/>
      <c r="O241" s="196"/>
      <c r="R241" s="80"/>
    </row>
    <row r="242" spans="1:18" x14ac:dyDescent="0.25">
      <c r="A242" s="185"/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M242" s="196"/>
      <c r="N242" s="196"/>
      <c r="O242" s="196"/>
      <c r="R242" s="80"/>
    </row>
    <row r="243" spans="1:18" x14ac:dyDescent="0.25">
      <c r="A243" s="185"/>
      <c r="B243" s="196"/>
      <c r="C243" s="196"/>
      <c r="D243" s="196"/>
      <c r="E243" s="196"/>
      <c r="F243" s="196"/>
      <c r="G243" s="196"/>
      <c r="H243" s="196"/>
      <c r="I243" s="196"/>
      <c r="J243" s="196"/>
      <c r="K243" s="196"/>
      <c r="M243" s="196"/>
      <c r="N243" s="196"/>
      <c r="O243" s="196"/>
      <c r="R243" s="80"/>
    </row>
    <row r="244" spans="1:18" x14ac:dyDescent="0.25">
      <c r="A244" s="185"/>
      <c r="B244" s="196"/>
      <c r="C244" s="196"/>
      <c r="D244" s="196"/>
      <c r="E244" s="196"/>
      <c r="F244" s="196"/>
      <c r="G244" s="196"/>
      <c r="H244" s="196"/>
      <c r="I244" s="196"/>
      <c r="J244" s="196"/>
      <c r="K244" s="196"/>
      <c r="M244" s="196"/>
      <c r="N244" s="196"/>
      <c r="O244" s="196"/>
      <c r="R244" s="80"/>
    </row>
    <row r="245" spans="1:18" x14ac:dyDescent="0.25">
      <c r="A245" s="185"/>
      <c r="B245" s="196"/>
      <c r="C245" s="196"/>
      <c r="D245" s="196"/>
      <c r="E245" s="196"/>
      <c r="F245" s="196"/>
      <c r="G245" s="196"/>
      <c r="H245" s="196"/>
      <c r="I245" s="196"/>
      <c r="J245" s="196"/>
      <c r="K245" s="196"/>
      <c r="M245" s="196"/>
      <c r="N245" s="196"/>
      <c r="O245" s="196"/>
      <c r="R245" s="80"/>
    </row>
    <row r="246" spans="1:18" x14ac:dyDescent="0.25">
      <c r="A246" s="185"/>
      <c r="B246" s="196"/>
      <c r="C246" s="196"/>
      <c r="D246" s="196"/>
      <c r="E246" s="196"/>
      <c r="F246" s="196"/>
      <c r="G246" s="196"/>
      <c r="H246" s="196"/>
      <c r="I246" s="196"/>
      <c r="J246" s="196"/>
      <c r="K246" s="196"/>
      <c r="M246" s="196"/>
      <c r="N246" s="196"/>
      <c r="O246" s="196"/>
      <c r="R246" s="80"/>
    </row>
    <row r="247" spans="1:18" x14ac:dyDescent="0.25">
      <c r="A247" s="185"/>
      <c r="B247" s="196"/>
      <c r="C247" s="196"/>
      <c r="D247" s="196"/>
      <c r="E247" s="196"/>
      <c r="F247" s="196"/>
      <c r="G247" s="196"/>
      <c r="H247" s="196"/>
      <c r="I247" s="196"/>
      <c r="J247" s="196"/>
      <c r="K247" s="196"/>
      <c r="M247" s="196"/>
      <c r="N247" s="196"/>
      <c r="O247" s="196"/>
      <c r="R247" s="80"/>
    </row>
    <row r="248" spans="1:18" x14ac:dyDescent="0.25">
      <c r="A248" s="185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M248" s="196"/>
      <c r="N248" s="196"/>
      <c r="O248" s="196"/>
      <c r="R248" s="80"/>
    </row>
    <row r="249" spans="1:18" x14ac:dyDescent="0.25">
      <c r="A249" s="185"/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M249" s="196"/>
      <c r="N249" s="196"/>
      <c r="O249" s="196"/>
      <c r="R249" s="80"/>
    </row>
    <row r="250" spans="1:18" x14ac:dyDescent="0.25">
      <c r="A250" s="185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M250" s="196"/>
      <c r="N250" s="196"/>
      <c r="O250" s="196"/>
      <c r="R250" s="80"/>
    </row>
    <row r="251" spans="1:18" x14ac:dyDescent="0.25">
      <c r="A251" s="185"/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M251" s="196"/>
      <c r="N251" s="196"/>
      <c r="O251" s="196"/>
      <c r="R251" s="80"/>
    </row>
    <row r="252" spans="1:18" x14ac:dyDescent="0.25">
      <c r="A252" s="185"/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M252" s="196"/>
      <c r="N252" s="196"/>
      <c r="O252" s="196"/>
      <c r="R252" s="80"/>
    </row>
    <row r="253" spans="1:18" x14ac:dyDescent="0.25">
      <c r="A253" s="185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M253" s="196"/>
      <c r="N253" s="196"/>
      <c r="O253" s="196"/>
      <c r="R253" s="80"/>
    </row>
    <row r="254" spans="1:18" x14ac:dyDescent="0.25">
      <c r="A254" s="185"/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M254" s="196"/>
      <c r="N254" s="196"/>
      <c r="O254" s="196"/>
      <c r="R254" s="80"/>
    </row>
    <row r="255" spans="1:18" x14ac:dyDescent="0.25">
      <c r="A255" s="185"/>
      <c r="B255" s="196"/>
      <c r="C255" s="196"/>
      <c r="D255" s="196"/>
      <c r="E255" s="196"/>
      <c r="F255" s="196"/>
      <c r="G255" s="196"/>
      <c r="H255" s="196"/>
      <c r="I255" s="196"/>
      <c r="J255" s="196"/>
      <c r="K255" s="196"/>
      <c r="M255" s="196"/>
      <c r="N255" s="196"/>
      <c r="O255" s="196"/>
      <c r="R255" s="80"/>
    </row>
    <row r="256" spans="1:18" x14ac:dyDescent="0.25">
      <c r="A256" s="185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M256" s="196"/>
      <c r="N256" s="196"/>
      <c r="O256" s="196"/>
      <c r="R256" s="80"/>
    </row>
    <row r="257" spans="1:18" x14ac:dyDescent="0.25">
      <c r="A257" s="185"/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M257" s="196"/>
      <c r="N257" s="196"/>
      <c r="O257" s="196"/>
      <c r="R257" s="80"/>
    </row>
    <row r="258" spans="1:18" x14ac:dyDescent="0.25">
      <c r="A258" s="185"/>
      <c r="B258" s="196"/>
      <c r="C258" s="196"/>
      <c r="D258" s="196"/>
      <c r="E258" s="196"/>
      <c r="F258" s="196"/>
      <c r="G258" s="196"/>
      <c r="H258" s="196"/>
      <c r="I258" s="196"/>
      <c r="J258" s="196"/>
      <c r="K258" s="196"/>
      <c r="M258" s="196"/>
      <c r="N258" s="196"/>
      <c r="O258" s="196"/>
      <c r="R258" s="80"/>
    </row>
    <row r="259" spans="1:18" x14ac:dyDescent="0.25">
      <c r="A259" s="185"/>
      <c r="B259" s="196"/>
      <c r="C259" s="196"/>
      <c r="D259" s="196"/>
      <c r="E259" s="196"/>
      <c r="F259" s="196"/>
      <c r="G259" s="196"/>
      <c r="H259" s="196"/>
      <c r="I259" s="196"/>
      <c r="J259" s="196"/>
      <c r="K259" s="196"/>
      <c r="M259" s="196"/>
      <c r="N259" s="196"/>
      <c r="O259" s="196"/>
      <c r="R259" s="80"/>
    </row>
    <row r="260" spans="1:18" x14ac:dyDescent="0.25">
      <c r="A260" s="185"/>
      <c r="B260" s="196"/>
      <c r="C260" s="196"/>
      <c r="D260" s="196"/>
      <c r="E260" s="196"/>
      <c r="F260" s="196"/>
      <c r="G260" s="196"/>
      <c r="H260" s="196"/>
      <c r="I260" s="196"/>
      <c r="J260" s="196"/>
      <c r="K260" s="196"/>
      <c r="M260" s="196"/>
      <c r="N260" s="196"/>
      <c r="O260" s="196"/>
      <c r="R260" s="80"/>
    </row>
    <row r="261" spans="1:18" x14ac:dyDescent="0.25">
      <c r="A261" s="185"/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M261" s="196"/>
      <c r="N261" s="196"/>
      <c r="O261" s="196"/>
      <c r="R261" s="80"/>
    </row>
    <row r="262" spans="1:18" x14ac:dyDescent="0.25">
      <c r="A262" s="185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M262" s="196"/>
      <c r="N262" s="196"/>
      <c r="O262" s="196"/>
      <c r="R262" s="80"/>
    </row>
    <row r="263" spans="1:18" x14ac:dyDescent="0.25">
      <c r="A263" s="185"/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M263" s="196"/>
      <c r="N263" s="196"/>
      <c r="O263" s="196"/>
      <c r="R263" s="80"/>
    </row>
    <row r="264" spans="1:18" x14ac:dyDescent="0.25">
      <c r="A264" s="185"/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M264" s="196"/>
      <c r="N264" s="196"/>
      <c r="O264" s="196"/>
      <c r="R264" s="80"/>
    </row>
    <row r="265" spans="1:18" x14ac:dyDescent="0.25">
      <c r="A265" s="185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M265" s="196"/>
      <c r="N265" s="196"/>
      <c r="O265" s="196"/>
      <c r="R265" s="80"/>
    </row>
    <row r="266" spans="1:18" x14ac:dyDescent="0.25">
      <c r="A266" s="185"/>
      <c r="B266" s="196"/>
      <c r="C266" s="196"/>
      <c r="D266" s="196"/>
      <c r="E266" s="196"/>
      <c r="F266" s="196"/>
      <c r="G266" s="196"/>
      <c r="H266" s="196"/>
      <c r="I266" s="196"/>
      <c r="J266" s="196"/>
      <c r="K266" s="196"/>
      <c r="M266" s="196"/>
      <c r="N266" s="196"/>
      <c r="O266" s="196"/>
      <c r="R266" s="80"/>
    </row>
    <row r="267" spans="1:18" x14ac:dyDescent="0.25">
      <c r="A267" s="185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M267" s="196"/>
      <c r="N267" s="196"/>
      <c r="O267" s="196"/>
      <c r="R267" s="80"/>
    </row>
    <row r="268" spans="1:18" x14ac:dyDescent="0.25">
      <c r="A268" s="185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M268" s="196"/>
      <c r="N268" s="196"/>
      <c r="O268" s="196"/>
      <c r="R268" s="80"/>
    </row>
    <row r="269" spans="1:18" x14ac:dyDescent="0.25">
      <c r="A269" s="185"/>
      <c r="B269" s="196"/>
      <c r="C269" s="196"/>
      <c r="D269" s="196"/>
      <c r="E269" s="196"/>
      <c r="F269" s="196"/>
      <c r="G269" s="196"/>
      <c r="H269" s="196"/>
      <c r="I269" s="196"/>
      <c r="J269" s="196"/>
      <c r="K269" s="196"/>
      <c r="M269" s="196"/>
      <c r="N269" s="196"/>
      <c r="O269" s="196"/>
      <c r="R269" s="80"/>
    </row>
    <row r="270" spans="1:18" x14ac:dyDescent="0.25">
      <c r="A270" s="185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M270" s="196"/>
      <c r="N270" s="196"/>
      <c r="O270" s="196"/>
      <c r="R270" s="80"/>
    </row>
    <row r="271" spans="1:18" x14ac:dyDescent="0.25">
      <c r="A271" s="185"/>
      <c r="B271" s="196"/>
      <c r="C271" s="196"/>
      <c r="D271" s="196"/>
      <c r="E271" s="196"/>
      <c r="F271" s="196"/>
      <c r="G271" s="196"/>
      <c r="H271" s="196"/>
      <c r="I271" s="196"/>
      <c r="J271" s="196"/>
      <c r="K271" s="196"/>
      <c r="M271" s="196"/>
      <c r="N271" s="196"/>
      <c r="O271" s="196"/>
      <c r="R271" s="80"/>
    </row>
    <row r="272" spans="1:18" x14ac:dyDescent="0.25">
      <c r="A272" s="185"/>
      <c r="B272" s="196"/>
      <c r="C272" s="196"/>
      <c r="D272" s="196"/>
      <c r="E272" s="196"/>
      <c r="F272" s="196"/>
      <c r="G272" s="196"/>
      <c r="H272" s="196"/>
      <c r="I272" s="196"/>
      <c r="J272" s="196"/>
      <c r="K272" s="196"/>
      <c r="M272" s="196"/>
      <c r="N272" s="196"/>
      <c r="O272" s="196"/>
      <c r="R272" s="80"/>
    </row>
    <row r="273" spans="1:18" x14ac:dyDescent="0.25">
      <c r="A273" s="185"/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M273" s="196"/>
      <c r="N273" s="196"/>
      <c r="O273" s="196"/>
      <c r="R273" s="80"/>
    </row>
    <row r="274" spans="1:18" x14ac:dyDescent="0.25">
      <c r="A274" s="185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M274" s="196"/>
      <c r="N274" s="196"/>
      <c r="O274" s="196"/>
      <c r="R274" s="80"/>
    </row>
    <row r="275" spans="1:18" x14ac:dyDescent="0.25">
      <c r="A275" s="185"/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M275" s="196"/>
      <c r="N275" s="196"/>
      <c r="O275" s="196"/>
      <c r="R275" s="80"/>
    </row>
    <row r="276" spans="1:18" x14ac:dyDescent="0.25">
      <c r="A276" s="185"/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M276" s="196"/>
      <c r="N276" s="196"/>
      <c r="O276" s="196"/>
      <c r="R276" s="80"/>
    </row>
    <row r="277" spans="1:18" x14ac:dyDescent="0.25">
      <c r="A277" s="185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M277" s="196"/>
      <c r="N277" s="196"/>
      <c r="O277" s="196"/>
      <c r="R277" s="80"/>
    </row>
    <row r="278" spans="1:18" x14ac:dyDescent="0.25">
      <c r="A278" s="185"/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M278" s="196"/>
      <c r="N278" s="196"/>
      <c r="O278" s="196"/>
      <c r="R278" s="80"/>
    </row>
    <row r="279" spans="1:18" x14ac:dyDescent="0.25">
      <c r="A279" s="185"/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M279" s="196"/>
      <c r="N279" s="196"/>
      <c r="O279" s="196"/>
      <c r="R279" s="80"/>
    </row>
    <row r="280" spans="1:18" x14ac:dyDescent="0.25">
      <c r="A280" s="185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M280" s="196"/>
      <c r="N280" s="196"/>
      <c r="O280" s="196"/>
      <c r="R280" s="80"/>
    </row>
    <row r="281" spans="1:18" x14ac:dyDescent="0.25">
      <c r="A281" s="185"/>
      <c r="B281" s="196"/>
      <c r="C281" s="196"/>
      <c r="D281" s="196"/>
      <c r="E281" s="196"/>
      <c r="F281" s="196"/>
      <c r="G281" s="196"/>
      <c r="H281" s="196"/>
      <c r="I281" s="196"/>
      <c r="J281" s="196"/>
      <c r="K281" s="196"/>
      <c r="M281" s="196"/>
      <c r="N281" s="196"/>
      <c r="O281" s="196"/>
      <c r="R281" s="80"/>
    </row>
    <row r="282" spans="1:18" x14ac:dyDescent="0.25">
      <c r="A282" s="185"/>
      <c r="B282" s="196"/>
      <c r="C282" s="196"/>
      <c r="D282" s="196"/>
      <c r="E282" s="196"/>
      <c r="F282" s="196"/>
      <c r="G282" s="196"/>
      <c r="H282" s="196"/>
      <c r="I282" s="196"/>
      <c r="J282" s="196"/>
      <c r="K282" s="196"/>
      <c r="M282" s="196"/>
      <c r="N282" s="196"/>
      <c r="O282" s="196"/>
      <c r="R282" s="80"/>
    </row>
    <row r="283" spans="1:18" x14ac:dyDescent="0.25">
      <c r="A283" s="185"/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M283" s="196"/>
      <c r="N283" s="196"/>
      <c r="O283" s="196"/>
      <c r="R283" s="80"/>
    </row>
    <row r="284" spans="1:18" x14ac:dyDescent="0.25">
      <c r="A284" s="185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M284" s="196"/>
      <c r="N284" s="196"/>
      <c r="O284" s="196"/>
      <c r="R284" s="80"/>
    </row>
    <row r="285" spans="1:18" x14ac:dyDescent="0.25">
      <c r="A285" s="185"/>
      <c r="B285" s="196"/>
      <c r="C285" s="196"/>
      <c r="D285" s="196"/>
      <c r="E285" s="196"/>
      <c r="F285" s="196"/>
      <c r="G285" s="196"/>
      <c r="H285" s="196"/>
      <c r="I285" s="196"/>
      <c r="J285" s="196"/>
      <c r="K285" s="196"/>
      <c r="M285" s="196"/>
      <c r="N285" s="196"/>
      <c r="O285" s="196"/>
      <c r="R285" s="80"/>
    </row>
    <row r="286" spans="1:18" x14ac:dyDescent="0.25">
      <c r="A286" s="185"/>
      <c r="B286" s="196"/>
      <c r="C286" s="196"/>
      <c r="D286" s="196"/>
      <c r="E286" s="196"/>
      <c r="F286" s="196"/>
      <c r="G286" s="196"/>
      <c r="H286" s="196"/>
      <c r="I286" s="196"/>
      <c r="J286" s="196"/>
      <c r="K286" s="196"/>
      <c r="M286" s="196"/>
      <c r="N286" s="196"/>
      <c r="O286" s="196"/>
      <c r="R286" s="80"/>
    </row>
    <row r="287" spans="1:18" x14ac:dyDescent="0.25">
      <c r="A287" s="185"/>
      <c r="B287" s="196"/>
      <c r="C287" s="196"/>
      <c r="D287" s="196"/>
      <c r="E287" s="196"/>
      <c r="F287" s="196"/>
      <c r="G287" s="196"/>
      <c r="H287" s="196"/>
      <c r="I287" s="196"/>
      <c r="J287" s="196"/>
      <c r="K287" s="196"/>
      <c r="M287" s="196"/>
      <c r="N287" s="196"/>
      <c r="O287" s="196"/>
      <c r="R287" s="80"/>
    </row>
    <row r="288" spans="1:18" x14ac:dyDescent="0.25">
      <c r="A288" s="185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M288" s="196"/>
      <c r="N288" s="196"/>
      <c r="O288" s="196"/>
      <c r="R288" s="80"/>
    </row>
    <row r="289" spans="1:18" x14ac:dyDescent="0.25">
      <c r="A289" s="185"/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M289" s="196"/>
      <c r="N289" s="196"/>
      <c r="O289" s="196"/>
      <c r="R289" s="80"/>
    </row>
    <row r="290" spans="1:18" x14ac:dyDescent="0.25">
      <c r="A290" s="185"/>
      <c r="B290" s="196"/>
      <c r="C290" s="196"/>
      <c r="D290" s="196"/>
      <c r="E290" s="196"/>
      <c r="F290" s="196"/>
      <c r="G290" s="196"/>
      <c r="H290" s="196"/>
      <c r="I290" s="196"/>
      <c r="J290" s="196"/>
      <c r="K290" s="196"/>
      <c r="M290" s="196"/>
      <c r="N290" s="196"/>
      <c r="O290" s="196"/>
      <c r="R290" s="80"/>
    </row>
    <row r="291" spans="1:18" x14ac:dyDescent="0.25">
      <c r="A291" s="185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M291" s="196"/>
      <c r="N291" s="196"/>
      <c r="O291" s="196"/>
      <c r="R291" s="80"/>
    </row>
    <row r="292" spans="1:18" x14ac:dyDescent="0.25">
      <c r="A292" s="185"/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M292" s="196"/>
      <c r="N292" s="196"/>
      <c r="O292" s="196"/>
      <c r="R292" s="80"/>
    </row>
    <row r="293" spans="1:18" x14ac:dyDescent="0.25">
      <c r="A293" s="185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M293" s="196"/>
      <c r="N293" s="196"/>
      <c r="O293" s="196"/>
      <c r="R293" s="80"/>
    </row>
    <row r="294" spans="1:18" x14ac:dyDescent="0.25">
      <c r="A294" s="185"/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M294" s="196"/>
      <c r="N294" s="196"/>
      <c r="O294" s="196"/>
      <c r="R294" s="80"/>
    </row>
    <row r="295" spans="1:18" x14ac:dyDescent="0.25">
      <c r="A295" s="185"/>
      <c r="B295" s="196"/>
      <c r="C295" s="196"/>
      <c r="D295" s="196"/>
      <c r="E295" s="196"/>
      <c r="F295" s="196"/>
      <c r="G295" s="196"/>
      <c r="H295" s="196"/>
      <c r="I295" s="196"/>
      <c r="J295" s="196"/>
      <c r="K295" s="196"/>
      <c r="M295" s="196"/>
      <c r="N295" s="196"/>
      <c r="O295" s="196"/>
      <c r="R295" s="80"/>
    </row>
    <row r="296" spans="1:18" x14ac:dyDescent="0.25">
      <c r="A296" s="185"/>
      <c r="B296" s="196"/>
      <c r="C296" s="196"/>
      <c r="D296" s="196"/>
      <c r="E296" s="196"/>
      <c r="F296" s="196"/>
      <c r="G296" s="196"/>
      <c r="H296" s="196"/>
      <c r="I296" s="196"/>
      <c r="J296" s="196"/>
      <c r="K296" s="196"/>
      <c r="M296" s="196"/>
      <c r="N296" s="196"/>
      <c r="O296" s="196"/>
      <c r="R296" s="80"/>
    </row>
    <row r="297" spans="1:18" x14ac:dyDescent="0.25">
      <c r="A297" s="185"/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M297" s="196"/>
      <c r="N297" s="196"/>
      <c r="O297" s="196"/>
      <c r="R297" s="80"/>
    </row>
    <row r="298" spans="1:18" x14ac:dyDescent="0.25">
      <c r="A298" s="185"/>
      <c r="B298" s="196"/>
      <c r="C298" s="196"/>
      <c r="D298" s="196"/>
      <c r="E298" s="196"/>
      <c r="F298" s="196"/>
      <c r="G298" s="196"/>
      <c r="H298" s="196"/>
      <c r="I298" s="196"/>
      <c r="J298" s="196"/>
      <c r="K298" s="196"/>
      <c r="M298" s="196"/>
      <c r="N298" s="196"/>
      <c r="O298" s="196"/>
      <c r="R298" s="80"/>
    </row>
    <row r="299" spans="1:18" x14ac:dyDescent="0.25">
      <c r="A299" s="185"/>
      <c r="B299" s="196"/>
      <c r="C299" s="196"/>
      <c r="D299" s="196"/>
      <c r="E299" s="196"/>
      <c r="F299" s="196"/>
      <c r="G299" s="196"/>
      <c r="H299" s="196"/>
      <c r="I299" s="196"/>
      <c r="J299" s="196"/>
      <c r="K299" s="196"/>
      <c r="M299" s="196"/>
      <c r="N299" s="196"/>
      <c r="O299" s="196"/>
      <c r="R299" s="80"/>
    </row>
    <row r="300" spans="1:18" x14ac:dyDescent="0.25">
      <c r="A300" s="185"/>
      <c r="B300" s="196"/>
      <c r="C300" s="196"/>
      <c r="D300" s="196"/>
      <c r="E300" s="196"/>
      <c r="F300" s="196"/>
      <c r="G300" s="196"/>
      <c r="H300" s="196"/>
      <c r="I300" s="196"/>
      <c r="J300" s="196"/>
      <c r="K300" s="196"/>
      <c r="M300" s="196"/>
      <c r="N300" s="196"/>
      <c r="O300" s="196"/>
      <c r="R300" s="80"/>
    </row>
    <row r="301" spans="1:18" x14ac:dyDescent="0.25">
      <c r="A301" s="185"/>
      <c r="B301" s="196"/>
      <c r="C301" s="196"/>
      <c r="D301" s="196"/>
      <c r="E301" s="196"/>
      <c r="F301" s="196"/>
      <c r="G301" s="196"/>
      <c r="H301" s="196"/>
      <c r="I301" s="196"/>
      <c r="J301" s="196"/>
      <c r="K301" s="196"/>
      <c r="M301" s="196"/>
      <c r="N301" s="196"/>
      <c r="O301" s="196"/>
      <c r="R301" s="80"/>
    </row>
    <row r="302" spans="1:18" x14ac:dyDescent="0.25">
      <c r="A302" s="185"/>
      <c r="B302" s="196"/>
      <c r="C302" s="196"/>
      <c r="D302" s="196"/>
      <c r="E302" s="196"/>
      <c r="F302" s="196"/>
      <c r="G302" s="196"/>
      <c r="H302" s="196"/>
      <c r="I302" s="196"/>
      <c r="J302" s="196"/>
      <c r="K302" s="196"/>
      <c r="M302" s="196"/>
      <c r="N302" s="196"/>
      <c r="O302" s="196"/>
      <c r="R302" s="80"/>
    </row>
    <row r="303" spans="1:18" x14ac:dyDescent="0.25">
      <c r="A303" s="185"/>
      <c r="B303" s="196"/>
      <c r="C303" s="196"/>
      <c r="D303" s="196"/>
      <c r="E303" s="196"/>
      <c r="F303" s="196"/>
      <c r="G303" s="196"/>
      <c r="H303" s="196"/>
      <c r="I303" s="196"/>
      <c r="J303" s="196"/>
      <c r="K303" s="196"/>
      <c r="M303" s="196"/>
      <c r="N303" s="196"/>
      <c r="O303" s="196"/>
      <c r="R303" s="80"/>
    </row>
    <row r="304" spans="1:18" x14ac:dyDescent="0.25">
      <c r="A304" s="185"/>
      <c r="B304" s="196"/>
      <c r="C304" s="196"/>
      <c r="D304" s="196"/>
      <c r="E304" s="196"/>
      <c r="F304" s="196"/>
      <c r="G304" s="196"/>
      <c r="H304" s="196"/>
      <c r="I304" s="196"/>
      <c r="J304" s="196"/>
      <c r="K304" s="196"/>
      <c r="M304" s="196"/>
      <c r="N304" s="196"/>
      <c r="O304" s="196"/>
      <c r="R304" s="80"/>
    </row>
    <row r="305" spans="1:18" x14ac:dyDescent="0.25">
      <c r="A305" s="185"/>
      <c r="B305" s="196"/>
      <c r="C305" s="196"/>
      <c r="D305" s="196"/>
      <c r="E305" s="196"/>
      <c r="F305" s="196"/>
      <c r="G305" s="196"/>
      <c r="H305" s="196"/>
      <c r="L305" s="195"/>
      <c r="R305" s="80"/>
    </row>
    <row r="306" spans="1:18" x14ac:dyDescent="0.25">
      <c r="A306" s="185"/>
      <c r="B306" s="196"/>
      <c r="C306" s="196"/>
      <c r="D306" s="196"/>
      <c r="E306" s="196"/>
      <c r="F306" s="196"/>
      <c r="G306" s="196"/>
      <c r="H306" s="196"/>
      <c r="L306" s="195"/>
      <c r="R306" s="80"/>
    </row>
    <row r="307" spans="1:18" x14ac:dyDescent="0.25">
      <c r="A307" s="185"/>
      <c r="B307" s="196"/>
      <c r="C307" s="196"/>
      <c r="D307" s="196"/>
      <c r="E307" s="196"/>
      <c r="F307" s="196"/>
      <c r="G307" s="196"/>
      <c r="H307" s="196"/>
      <c r="L307" s="195"/>
      <c r="R307" s="80"/>
    </row>
    <row r="308" spans="1:18" x14ac:dyDescent="0.25">
      <c r="A308" s="185"/>
      <c r="B308" s="196"/>
      <c r="C308" s="196"/>
      <c r="D308" s="196"/>
      <c r="E308" s="196"/>
      <c r="F308" s="196"/>
      <c r="G308" s="196"/>
      <c r="H308" s="196"/>
      <c r="L308" s="195"/>
      <c r="R308" s="80"/>
    </row>
    <row r="309" spans="1:18" x14ac:dyDescent="0.25">
      <c r="A309" s="185"/>
      <c r="B309" s="196"/>
      <c r="C309" s="196"/>
      <c r="D309" s="196"/>
      <c r="E309" s="196"/>
      <c r="F309" s="196"/>
      <c r="G309" s="196"/>
      <c r="H309" s="196"/>
      <c r="L309" s="195"/>
      <c r="R309" s="80"/>
    </row>
    <row r="310" spans="1:18" x14ac:dyDescent="0.25">
      <c r="A310" s="185"/>
      <c r="B310" s="196"/>
      <c r="C310" s="196"/>
      <c r="D310" s="196"/>
      <c r="E310" s="196"/>
      <c r="F310" s="196"/>
      <c r="G310" s="196"/>
      <c r="H310" s="196"/>
      <c r="L310" s="195"/>
      <c r="R310" s="80"/>
    </row>
    <row r="311" spans="1:18" x14ac:dyDescent="0.25">
      <c r="A311" s="185"/>
      <c r="B311" s="196"/>
      <c r="C311" s="196"/>
      <c r="D311" s="196"/>
      <c r="E311" s="196"/>
      <c r="F311" s="196"/>
      <c r="G311" s="196"/>
      <c r="H311" s="196"/>
      <c r="L311" s="195"/>
      <c r="R311" s="80"/>
    </row>
    <row r="312" spans="1:18" x14ac:dyDescent="0.25">
      <c r="A312" s="185"/>
      <c r="B312" s="196"/>
      <c r="C312" s="196"/>
      <c r="D312" s="196"/>
      <c r="E312" s="196"/>
      <c r="F312" s="196"/>
      <c r="G312" s="196"/>
      <c r="H312" s="196"/>
      <c r="L312" s="195"/>
      <c r="R312" s="80"/>
    </row>
    <row r="313" spans="1:18" x14ac:dyDescent="0.25">
      <c r="A313" s="185"/>
      <c r="B313" s="196"/>
      <c r="C313" s="196"/>
      <c r="D313" s="196"/>
      <c r="E313" s="196"/>
      <c r="F313" s="196"/>
      <c r="G313" s="196"/>
      <c r="H313" s="196"/>
      <c r="L313" s="195"/>
      <c r="R313" s="80"/>
    </row>
    <row r="314" spans="1:18" x14ac:dyDescent="0.25">
      <c r="A314" s="185"/>
      <c r="B314" s="196"/>
      <c r="C314" s="196"/>
      <c r="D314" s="196"/>
      <c r="E314" s="196"/>
      <c r="F314" s="196"/>
      <c r="G314" s="196"/>
      <c r="H314" s="196"/>
      <c r="L314" s="195"/>
      <c r="R314" s="80"/>
    </row>
    <row r="315" spans="1:18" x14ac:dyDescent="0.25">
      <c r="A315" s="185"/>
      <c r="B315" s="196"/>
      <c r="C315" s="196"/>
      <c r="D315" s="196"/>
      <c r="E315" s="196"/>
      <c r="F315" s="196"/>
      <c r="G315" s="196"/>
      <c r="H315" s="196"/>
      <c r="L315" s="195"/>
      <c r="R315" s="80"/>
    </row>
    <row r="316" spans="1:18" x14ac:dyDescent="0.25">
      <c r="A316" s="185"/>
      <c r="B316" s="196"/>
      <c r="C316" s="196"/>
      <c r="D316" s="196"/>
      <c r="E316" s="196"/>
      <c r="F316" s="196"/>
      <c r="G316" s="196"/>
      <c r="H316" s="196"/>
      <c r="L316" s="195"/>
      <c r="R316" s="80"/>
    </row>
    <row r="317" spans="1:18" x14ac:dyDescent="0.25">
      <c r="A317" s="185"/>
      <c r="B317" s="196"/>
      <c r="C317" s="196"/>
      <c r="D317" s="196"/>
      <c r="E317" s="196"/>
      <c r="F317" s="196"/>
      <c r="G317" s="196"/>
      <c r="H317" s="196"/>
      <c r="L317" s="195"/>
      <c r="R317" s="80"/>
    </row>
    <row r="318" spans="1:18" x14ac:dyDescent="0.25">
      <c r="A318" s="185"/>
      <c r="B318" s="196"/>
      <c r="C318" s="196"/>
      <c r="D318" s="196"/>
      <c r="E318" s="196"/>
      <c r="F318" s="196"/>
      <c r="G318" s="196"/>
      <c r="H318" s="196"/>
      <c r="L318" s="195"/>
      <c r="R318" s="80"/>
    </row>
    <row r="319" spans="1:18" x14ac:dyDescent="0.25">
      <c r="A319" s="185"/>
      <c r="B319" s="196"/>
      <c r="C319" s="196"/>
      <c r="D319" s="196"/>
      <c r="E319" s="196"/>
      <c r="F319" s="196"/>
      <c r="G319" s="196"/>
      <c r="H319" s="196"/>
      <c r="L319" s="195"/>
      <c r="R319" s="80"/>
    </row>
    <row r="320" spans="1:18" x14ac:dyDescent="0.25">
      <c r="A320" s="185"/>
      <c r="B320" s="196"/>
      <c r="C320" s="196"/>
      <c r="D320" s="196"/>
      <c r="E320" s="196"/>
      <c r="F320" s="196"/>
      <c r="G320" s="196"/>
      <c r="H320" s="196"/>
      <c r="L320" s="195"/>
      <c r="R320" s="80"/>
    </row>
    <row r="321" spans="1:18" x14ac:dyDescent="0.25">
      <c r="A321" s="185"/>
      <c r="B321" s="196"/>
      <c r="C321" s="196"/>
      <c r="D321" s="196"/>
      <c r="E321" s="196"/>
      <c r="F321" s="196"/>
      <c r="G321" s="196"/>
      <c r="H321" s="196"/>
      <c r="L321" s="195"/>
      <c r="R321" s="80"/>
    </row>
    <row r="322" spans="1:18" x14ac:dyDescent="0.25">
      <c r="A322" s="185"/>
      <c r="B322" s="196"/>
      <c r="C322" s="196"/>
      <c r="D322" s="196"/>
      <c r="E322" s="196"/>
      <c r="F322" s="196"/>
      <c r="G322" s="196"/>
      <c r="H322" s="196"/>
      <c r="L322" s="195"/>
      <c r="R322" s="80"/>
    </row>
    <row r="323" spans="1:18" ht="15" customHeight="1" x14ac:dyDescent="0.25">
      <c r="A323" s="185"/>
      <c r="B323" s="196"/>
      <c r="C323" s="196"/>
      <c r="D323" s="196"/>
      <c r="E323" s="196"/>
      <c r="F323" s="196"/>
      <c r="G323" s="196"/>
      <c r="H323" s="196"/>
      <c r="L323" s="195"/>
      <c r="R323" s="80"/>
    </row>
    <row r="324" spans="1:18" x14ac:dyDescent="0.25">
      <c r="A324" s="185"/>
      <c r="B324" s="196"/>
      <c r="C324" s="196"/>
      <c r="D324" s="196"/>
      <c r="E324" s="196"/>
      <c r="F324" s="196"/>
      <c r="G324" s="196"/>
      <c r="H324" s="196"/>
      <c r="L324" s="195"/>
      <c r="R324" s="80"/>
    </row>
    <row r="325" spans="1:18" x14ac:dyDescent="0.25">
      <c r="A325" s="185"/>
      <c r="B325" s="196"/>
      <c r="C325" s="196"/>
      <c r="D325" s="196"/>
      <c r="E325" s="196"/>
      <c r="F325" s="196"/>
      <c r="G325" s="196"/>
      <c r="H325" s="196"/>
      <c r="L325" s="195"/>
      <c r="R325" s="80"/>
    </row>
    <row r="326" spans="1:18" x14ac:dyDescent="0.25">
      <c r="A326" s="185"/>
      <c r="B326" s="196"/>
      <c r="C326" s="196"/>
      <c r="D326" s="196"/>
      <c r="E326" s="196"/>
      <c r="F326" s="196"/>
      <c r="G326" s="196"/>
      <c r="H326" s="196"/>
      <c r="L326" s="195"/>
      <c r="R326" s="80"/>
    </row>
    <row r="327" spans="1:18" x14ac:dyDescent="0.25">
      <c r="A327" s="185"/>
      <c r="B327" s="196"/>
      <c r="C327" s="196"/>
      <c r="D327" s="196"/>
      <c r="E327" s="196"/>
      <c r="F327" s="196"/>
      <c r="G327" s="196"/>
      <c r="H327" s="196"/>
      <c r="L327" s="195"/>
      <c r="R327" s="80"/>
    </row>
    <row r="328" spans="1:18" x14ac:dyDescent="0.25">
      <c r="A328" s="185"/>
      <c r="B328" s="196"/>
      <c r="C328" s="196"/>
      <c r="D328" s="196"/>
      <c r="E328" s="196"/>
      <c r="F328" s="196"/>
      <c r="G328" s="196"/>
      <c r="H328" s="196"/>
      <c r="L328" s="195"/>
      <c r="R328" s="80"/>
    </row>
    <row r="329" spans="1:18" x14ac:dyDescent="0.25">
      <c r="A329" s="185"/>
      <c r="B329" s="196"/>
      <c r="C329" s="196"/>
      <c r="D329" s="196"/>
      <c r="E329" s="196"/>
      <c r="F329" s="196"/>
      <c r="G329" s="196"/>
      <c r="H329" s="196"/>
      <c r="L329" s="195"/>
      <c r="R329" s="80"/>
    </row>
    <row r="330" spans="1:18" x14ac:dyDescent="0.25">
      <c r="A330" s="185"/>
      <c r="B330" s="196"/>
      <c r="C330" s="196"/>
      <c r="D330" s="196"/>
      <c r="E330" s="196"/>
      <c r="F330" s="196"/>
      <c r="G330" s="196"/>
      <c r="H330" s="196"/>
      <c r="L330" s="195"/>
      <c r="R330" s="80"/>
    </row>
    <row r="331" spans="1:18" x14ac:dyDescent="0.25">
      <c r="A331" s="185"/>
      <c r="B331" s="196"/>
      <c r="C331" s="196"/>
      <c r="D331" s="196"/>
      <c r="E331" s="196"/>
      <c r="F331" s="196"/>
      <c r="G331" s="196"/>
      <c r="H331" s="196"/>
      <c r="L331" s="195"/>
      <c r="R331" s="80"/>
    </row>
    <row r="332" spans="1:18" x14ac:dyDescent="0.25">
      <c r="A332" s="185"/>
      <c r="B332" s="196"/>
      <c r="C332" s="196"/>
      <c r="D332" s="196"/>
      <c r="E332" s="196"/>
      <c r="F332" s="196"/>
      <c r="G332" s="196"/>
      <c r="H332" s="196"/>
      <c r="L332" s="195"/>
      <c r="R332" s="80"/>
    </row>
    <row r="333" spans="1:18" x14ac:dyDescent="0.25">
      <c r="A333" s="185"/>
      <c r="B333" s="196"/>
      <c r="C333" s="196"/>
      <c r="D333" s="196"/>
      <c r="E333" s="196"/>
      <c r="F333" s="196"/>
      <c r="G333" s="196"/>
      <c r="H333" s="196"/>
      <c r="L333" s="195"/>
      <c r="R333" s="80"/>
    </row>
    <row r="334" spans="1:18" x14ac:dyDescent="0.25">
      <c r="A334" s="185"/>
      <c r="B334" s="196"/>
      <c r="C334" s="196"/>
      <c r="D334" s="196"/>
      <c r="E334" s="196"/>
      <c r="F334" s="196"/>
      <c r="G334" s="196"/>
      <c r="H334" s="196"/>
      <c r="L334" s="195"/>
      <c r="R334" s="80"/>
    </row>
    <row r="335" spans="1:18" x14ac:dyDescent="0.25">
      <c r="A335" s="185"/>
      <c r="B335" s="196"/>
      <c r="C335" s="196"/>
      <c r="D335" s="196"/>
      <c r="E335" s="196"/>
      <c r="F335" s="196"/>
      <c r="G335" s="196"/>
      <c r="H335" s="196"/>
      <c r="L335" s="195"/>
      <c r="R335" s="80"/>
    </row>
    <row r="336" spans="1:18" x14ac:dyDescent="0.25">
      <c r="A336" s="185"/>
      <c r="B336" s="196"/>
      <c r="C336" s="196"/>
      <c r="D336" s="196"/>
      <c r="E336" s="196"/>
      <c r="F336" s="196"/>
      <c r="G336" s="196"/>
      <c r="H336" s="196"/>
      <c r="L336" s="195"/>
      <c r="R336" s="80"/>
    </row>
    <row r="337" spans="1:18" x14ac:dyDescent="0.25">
      <c r="A337" s="185"/>
      <c r="B337" s="196"/>
      <c r="C337" s="196"/>
      <c r="D337" s="196"/>
      <c r="E337" s="196"/>
      <c r="F337" s="196"/>
      <c r="G337" s="196"/>
      <c r="H337" s="196"/>
      <c r="L337" s="195"/>
      <c r="R337" s="80"/>
    </row>
    <row r="338" spans="1:18" x14ac:dyDescent="0.25">
      <c r="A338" s="185"/>
      <c r="B338" s="196"/>
      <c r="C338" s="196"/>
      <c r="D338" s="196"/>
      <c r="E338" s="196"/>
      <c r="F338" s="196"/>
      <c r="G338" s="196"/>
      <c r="H338" s="196"/>
      <c r="L338" s="195"/>
      <c r="R338" s="80"/>
    </row>
    <row r="339" spans="1:18" x14ac:dyDescent="0.25">
      <c r="A339" s="185"/>
      <c r="B339" s="196"/>
      <c r="C339" s="196"/>
      <c r="D339" s="196"/>
      <c r="E339" s="196"/>
      <c r="F339" s="196"/>
      <c r="G339" s="196"/>
      <c r="H339" s="196"/>
      <c r="L339" s="195"/>
      <c r="R339" s="80"/>
    </row>
    <row r="340" spans="1:18" x14ac:dyDescent="0.25">
      <c r="A340" s="185"/>
      <c r="B340" s="196"/>
      <c r="C340" s="196"/>
      <c r="D340" s="196"/>
      <c r="E340" s="196"/>
      <c r="F340" s="196"/>
      <c r="G340" s="196"/>
      <c r="H340" s="196"/>
      <c r="L340" s="195"/>
      <c r="R340" s="80"/>
    </row>
    <row r="341" spans="1:18" x14ac:dyDescent="0.25">
      <c r="A341" s="185"/>
      <c r="B341" s="196"/>
      <c r="C341" s="196"/>
      <c r="D341" s="196"/>
      <c r="E341" s="196"/>
      <c r="F341" s="196"/>
      <c r="G341" s="196"/>
      <c r="H341" s="196"/>
      <c r="L341" s="195"/>
      <c r="R341" s="80"/>
    </row>
    <row r="342" spans="1:18" x14ac:dyDescent="0.25">
      <c r="A342" s="185"/>
      <c r="B342" s="196"/>
      <c r="C342" s="196"/>
      <c r="D342" s="196"/>
      <c r="E342" s="196"/>
      <c r="F342" s="196"/>
      <c r="G342" s="196"/>
      <c r="H342" s="196"/>
      <c r="L342" s="195"/>
      <c r="R342" s="80"/>
    </row>
    <row r="343" spans="1:18" x14ac:dyDescent="0.25">
      <c r="A343" s="185"/>
      <c r="B343" s="196"/>
      <c r="C343" s="196"/>
      <c r="D343" s="196"/>
      <c r="E343" s="196"/>
      <c r="F343" s="196"/>
      <c r="G343" s="196"/>
      <c r="H343" s="196"/>
      <c r="L343" s="195"/>
      <c r="R343" s="80"/>
    </row>
    <row r="344" spans="1:18" x14ac:dyDescent="0.25">
      <c r="A344" s="185"/>
      <c r="B344" s="196"/>
      <c r="C344" s="196"/>
      <c r="D344" s="196"/>
      <c r="E344" s="196"/>
      <c r="F344" s="196"/>
      <c r="G344" s="196"/>
      <c r="H344" s="196"/>
      <c r="L344" s="195"/>
      <c r="R344" s="80"/>
    </row>
    <row r="345" spans="1:18" x14ac:dyDescent="0.25">
      <c r="A345" s="185"/>
      <c r="B345" s="196"/>
      <c r="C345" s="196"/>
      <c r="D345" s="196"/>
      <c r="E345" s="196"/>
      <c r="F345" s="196"/>
      <c r="G345" s="196"/>
      <c r="H345" s="196"/>
      <c r="L345" s="195"/>
      <c r="R345" s="80"/>
    </row>
    <row r="346" spans="1:18" x14ac:dyDescent="0.25">
      <c r="A346" s="185"/>
      <c r="B346" s="196"/>
      <c r="C346" s="196"/>
      <c r="D346" s="196"/>
      <c r="E346" s="196"/>
      <c r="F346" s="196"/>
      <c r="G346" s="196"/>
      <c r="H346" s="196"/>
      <c r="L346" s="195"/>
      <c r="R346" s="80"/>
    </row>
    <row r="347" spans="1:18" x14ac:dyDescent="0.25">
      <c r="A347" s="185"/>
      <c r="B347" s="196"/>
      <c r="C347" s="196"/>
      <c r="D347" s="196"/>
      <c r="E347" s="196"/>
      <c r="F347" s="196"/>
      <c r="G347" s="196"/>
      <c r="H347" s="196"/>
      <c r="L347" s="195"/>
      <c r="R347" s="80"/>
    </row>
    <row r="348" spans="1:18" x14ac:dyDescent="0.25">
      <c r="A348" s="185"/>
      <c r="B348" s="196"/>
      <c r="C348" s="196"/>
      <c r="D348" s="196"/>
      <c r="E348" s="196"/>
      <c r="F348" s="196"/>
      <c r="G348" s="196"/>
      <c r="H348" s="196"/>
      <c r="L348" s="195"/>
      <c r="R348" s="80"/>
    </row>
    <row r="349" spans="1:18" x14ac:dyDescent="0.25">
      <c r="A349" s="185"/>
      <c r="B349" s="196"/>
      <c r="C349" s="196"/>
      <c r="D349" s="196"/>
      <c r="E349" s="196"/>
      <c r="F349" s="196"/>
      <c r="G349" s="196"/>
      <c r="H349" s="196"/>
      <c r="L349" s="195"/>
      <c r="R349" s="80"/>
    </row>
    <row r="350" spans="1:18" x14ac:dyDescent="0.25">
      <c r="A350" s="185"/>
      <c r="B350" s="196"/>
      <c r="C350" s="196"/>
      <c r="D350" s="196"/>
      <c r="E350" s="196"/>
      <c r="F350" s="196"/>
      <c r="G350" s="196"/>
      <c r="H350" s="196"/>
      <c r="L350" s="195"/>
      <c r="R350" s="80"/>
    </row>
    <row r="351" spans="1:18" x14ac:dyDescent="0.25">
      <c r="A351" s="185"/>
      <c r="B351" s="196"/>
      <c r="C351" s="196"/>
      <c r="D351" s="196"/>
      <c r="E351" s="196"/>
      <c r="F351" s="196"/>
      <c r="G351" s="196"/>
      <c r="H351" s="196"/>
      <c r="L351" s="195"/>
      <c r="R351" s="80"/>
    </row>
    <row r="352" spans="1:18" x14ac:dyDescent="0.25">
      <c r="A352" s="185"/>
      <c r="B352" s="196"/>
      <c r="C352" s="196"/>
      <c r="D352" s="196"/>
      <c r="E352" s="196"/>
      <c r="F352" s="196"/>
      <c r="G352" s="196"/>
      <c r="H352" s="196"/>
      <c r="L352" s="195"/>
      <c r="R352" s="80"/>
    </row>
    <row r="353" spans="1:18" x14ac:dyDescent="0.25">
      <c r="A353" s="185"/>
      <c r="B353" s="196"/>
      <c r="C353" s="196"/>
      <c r="D353" s="196"/>
      <c r="E353" s="196"/>
      <c r="F353" s="196"/>
      <c r="G353" s="196"/>
      <c r="H353" s="196"/>
      <c r="L353" s="195"/>
      <c r="R353" s="80"/>
    </row>
    <row r="354" spans="1:18" x14ac:dyDescent="0.25">
      <c r="A354" s="185"/>
      <c r="B354" s="196"/>
      <c r="C354" s="196"/>
      <c r="D354" s="196"/>
      <c r="E354" s="196"/>
      <c r="F354" s="196"/>
      <c r="G354" s="196"/>
      <c r="H354" s="196"/>
      <c r="L354" s="195"/>
      <c r="R354" s="80"/>
    </row>
    <row r="355" spans="1:18" x14ac:dyDescent="0.25">
      <c r="A355" s="185"/>
      <c r="B355" s="196"/>
      <c r="C355" s="196"/>
      <c r="D355" s="196"/>
      <c r="E355" s="196"/>
      <c r="F355" s="196"/>
      <c r="G355" s="196"/>
      <c r="H355" s="196"/>
      <c r="L355" s="195"/>
      <c r="R355" s="80"/>
    </row>
    <row r="356" spans="1:18" x14ac:dyDescent="0.25">
      <c r="A356" s="185"/>
      <c r="B356" s="196"/>
      <c r="C356" s="196"/>
      <c r="D356" s="196"/>
      <c r="E356" s="196"/>
      <c r="F356" s="196"/>
      <c r="G356" s="196"/>
      <c r="H356" s="196"/>
      <c r="L356" s="195"/>
      <c r="R356" s="80"/>
    </row>
    <row r="357" spans="1:18" x14ac:dyDescent="0.25">
      <c r="A357" s="185"/>
      <c r="B357" s="196"/>
      <c r="C357" s="196"/>
      <c r="D357" s="196"/>
      <c r="E357" s="196"/>
      <c r="F357" s="196"/>
      <c r="G357" s="196"/>
      <c r="H357" s="196"/>
      <c r="L357" s="195"/>
      <c r="R357" s="80"/>
    </row>
    <row r="358" spans="1:18" x14ac:dyDescent="0.25">
      <c r="A358" s="185"/>
      <c r="B358" s="196"/>
      <c r="C358" s="196"/>
      <c r="D358" s="196"/>
      <c r="E358" s="196"/>
      <c r="F358" s="196"/>
      <c r="G358" s="196"/>
      <c r="H358" s="196"/>
      <c r="L358" s="195"/>
      <c r="R358" s="80"/>
    </row>
    <row r="359" spans="1:18" x14ac:dyDescent="0.25">
      <c r="A359" s="185"/>
      <c r="B359" s="196"/>
      <c r="C359" s="196"/>
      <c r="D359" s="196"/>
      <c r="E359" s="196"/>
      <c r="F359" s="196"/>
      <c r="G359" s="196"/>
      <c r="H359" s="196"/>
      <c r="L359" s="195"/>
      <c r="R359" s="80"/>
    </row>
    <row r="360" spans="1:18" x14ac:dyDescent="0.25">
      <c r="A360" s="185"/>
      <c r="B360" s="196"/>
      <c r="C360" s="196"/>
      <c r="D360" s="196"/>
      <c r="E360" s="196"/>
      <c r="F360" s="196"/>
      <c r="G360" s="196"/>
      <c r="H360" s="196"/>
      <c r="L360" s="195"/>
      <c r="R360" s="80"/>
    </row>
    <row r="361" spans="1:18" x14ac:dyDescent="0.25">
      <c r="A361" s="185"/>
      <c r="B361" s="196"/>
      <c r="C361" s="196"/>
      <c r="D361" s="196"/>
      <c r="E361" s="196"/>
      <c r="F361" s="196"/>
      <c r="G361" s="196"/>
      <c r="H361" s="196"/>
      <c r="L361" s="195"/>
      <c r="R361" s="80"/>
    </row>
    <row r="362" spans="1:18" x14ac:dyDescent="0.25">
      <c r="A362" s="185"/>
      <c r="B362" s="196"/>
      <c r="C362" s="196"/>
      <c r="D362" s="196"/>
      <c r="E362" s="196"/>
      <c r="F362" s="196"/>
      <c r="G362" s="196"/>
      <c r="H362" s="196"/>
      <c r="L362" s="195"/>
      <c r="R362" s="80"/>
    </row>
    <row r="363" spans="1:18" x14ac:dyDescent="0.25">
      <c r="A363" s="185"/>
      <c r="B363" s="196"/>
      <c r="C363" s="196"/>
      <c r="D363" s="196"/>
      <c r="E363" s="196"/>
      <c r="F363" s="196"/>
      <c r="G363" s="196"/>
      <c r="H363" s="196"/>
      <c r="L363" s="195"/>
      <c r="R363" s="80"/>
    </row>
    <row r="364" spans="1:18" x14ac:dyDescent="0.25">
      <c r="A364" s="185"/>
      <c r="B364" s="196"/>
      <c r="C364" s="196"/>
      <c r="D364" s="196"/>
      <c r="E364" s="196"/>
      <c r="F364" s="196"/>
      <c r="G364" s="196"/>
      <c r="H364" s="196"/>
      <c r="L364" s="195"/>
      <c r="R364" s="80"/>
    </row>
    <row r="365" spans="1:18" x14ac:dyDescent="0.25">
      <c r="A365" s="185"/>
      <c r="B365" s="196"/>
      <c r="C365" s="196"/>
      <c r="D365" s="196"/>
      <c r="E365" s="196"/>
      <c r="F365" s="196"/>
      <c r="G365" s="196"/>
      <c r="H365" s="196"/>
      <c r="L365" s="195"/>
      <c r="R365" s="80"/>
    </row>
    <row r="366" spans="1:18" x14ac:dyDescent="0.25">
      <c r="A366" s="185"/>
      <c r="B366" s="196"/>
      <c r="C366" s="196"/>
      <c r="D366" s="196"/>
      <c r="E366" s="196"/>
      <c r="F366" s="196"/>
      <c r="G366" s="196"/>
      <c r="H366" s="196"/>
      <c r="L366" s="195"/>
      <c r="R366" s="80"/>
    </row>
    <row r="367" spans="1:18" x14ac:dyDescent="0.25">
      <c r="A367" s="185"/>
      <c r="B367" s="196"/>
      <c r="C367" s="196"/>
      <c r="D367" s="196"/>
      <c r="E367" s="196"/>
      <c r="F367" s="196"/>
      <c r="G367" s="196"/>
      <c r="H367" s="196"/>
      <c r="L367" s="195"/>
      <c r="R367" s="80"/>
    </row>
    <row r="368" spans="1:18" x14ac:dyDescent="0.25">
      <c r="A368" s="185"/>
      <c r="B368" s="196"/>
      <c r="C368" s="196"/>
      <c r="D368" s="196"/>
      <c r="E368" s="196"/>
      <c r="F368" s="196"/>
      <c r="G368" s="196"/>
      <c r="H368" s="196"/>
      <c r="L368" s="195"/>
      <c r="R368" s="80"/>
    </row>
    <row r="369" spans="1:18" x14ac:dyDescent="0.25">
      <c r="A369" s="185"/>
      <c r="B369" s="196"/>
      <c r="C369" s="196"/>
      <c r="D369" s="196"/>
      <c r="E369" s="196"/>
      <c r="F369" s="196"/>
      <c r="G369" s="196"/>
      <c r="H369" s="196"/>
      <c r="L369" s="195"/>
      <c r="R369" s="80"/>
    </row>
    <row r="370" spans="1:18" x14ac:dyDescent="0.25">
      <c r="A370" s="185"/>
      <c r="B370" s="196"/>
      <c r="C370" s="196"/>
      <c r="D370" s="196"/>
      <c r="E370" s="196"/>
      <c r="F370" s="196"/>
      <c r="G370" s="196"/>
      <c r="H370" s="196"/>
      <c r="L370" s="195"/>
      <c r="R370" s="80"/>
    </row>
    <row r="371" spans="1:18" x14ac:dyDescent="0.25">
      <c r="A371" s="185"/>
      <c r="B371" s="196"/>
      <c r="C371" s="196"/>
      <c r="D371" s="196"/>
      <c r="E371" s="196"/>
      <c r="F371" s="196"/>
      <c r="G371" s="196"/>
      <c r="H371" s="196"/>
      <c r="L371" s="195"/>
      <c r="R371" s="80"/>
    </row>
    <row r="372" spans="1:18" x14ac:dyDescent="0.25">
      <c r="A372" s="185"/>
      <c r="B372" s="196"/>
      <c r="C372" s="196"/>
      <c r="D372" s="196"/>
      <c r="E372" s="196"/>
      <c r="F372" s="196"/>
      <c r="G372" s="196"/>
      <c r="H372" s="196"/>
      <c r="L372" s="195"/>
      <c r="R372" s="80"/>
    </row>
    <row r="373" spans="1:18" x14ac:dyDescent="0.25">
      <c r="A373" s="185"/>
      <c r="B373" s="196"/>
      <c r="C373" s="196"/>
      <c r="D373" s="196"/>
      <c r="E373" s="196"/>
      <c r="F373" s="196"/>
      <c r="G373" s="196"/>
      <c r="H373" s="196"/>
      <c r="L373" s="195"/>
      <c r="R373" s="80"/>
    </row>
    <row r="374" spans="1:18" x14ac:dyDescent="0.25">
      <c r="A374" s="185"/>
      <c r="B374" s="196"/>
      <c r="C374" s="196"/>
      <c r="D374" s="196"/>
      <c r="E374" s="196"/>
      <c r="F374" s="196"/>
      <c r="G374" s="196"/>
      <c r="H374" s="196"/>
      <c r="L374" s="195"/>
      <c r="R374" s="80"/>
    </row>
    <row r="375" spans="1:18" x14ac:dyDescent="0.25">
      <c r="A375" s="185"/>
      <c r="B375" s="196"/>
      <c r="C375" s="196"/>
      <c r="D375" s="196"/>
      <c r="E375" s="196"/>
      <c r="F375" s="196"/>
      <c r="G375" s="196"/>
      <c r="H375" s="196"/>
      <c r="L375" s="195"/>
      <c r="R375" s="80"/>
    </row>
    <row r="376" spans="1:18" x14ac:dyDescent="0.25">
      <c r="A376" s="185"/>
      <c r="B376" s="196"/>
      <c r="C376" s="196"/>
      <c r="D376" s="196"/>
      <c r="E376" s="196"/>
      <c r="F376" s="196"/>
      <c r="G376" s="196"/>
      <c r="H376" s="196"/>
      <c r="L376" s="195"/>
      <c r="R376" s="80"/>
    </row>
    <row r="377" spans="1:18" x14ac:dyDescent="0.25">
      <c r="A377" s="185"/>
      <c r="B377" s="196"/>
      <c r="C377" s="196"/>
      <c r="D377" s="196"/>
      <c r="E377" s="196"/>
      <c r="F377" s="196"/>
      <c r="G377" s="196"/>
      <c r="H377" s="196"/>
      <c r="L377" s="195"/>
      <c r="R377" s="80"/>
    </row>
    <row r="378" spans="1:18" x14ac:dyDescent="0.25">
      <c r="A378" s="185"/>
      <c r="B378" s="196"/>
      <c r="C378" s="196"/>
      <c r="D378" s="196"/>
      <c r="E378" s="196"/>
      <c r="F378" s="196"/>
      <c r="G378" s="196"/>
      <c r="H378" s="196"/>
      <c r="L378" s="195"/>
      <c r="R378" s="80"/>
    </row>
    <row r="379" spans="1:18" x14ac:dyDescent="0.25">
      <c r="A379" s="185"/>
      <c r="B379" s="196"/>
      <c r="C379" s="196"/>
      <c r="D379" s="196"/>
      <c r="E379" s="196"/>
      <c r="F379" s="196"/>
      <c r="G379" s="196"/>
      <c r="H379" s="196"/>
      <c r="L379" s="195"/>
      <c r="R379" s="80"/>
    </row>
    <row r="380" spans="1:18" x14ac:dyDescent="0.25">
      <c r="A380" s="185"/>
      <c r="B380" s="196"/>
      <c r="C380" s="196"/>
      <c r="D380" s="196"/>
      <c r="E380" s="196"/>
      <c r="F380" s="196"/>
      <c r="G380" s="196"/>
      <c r="H380" s="196"/>
      <c r="L380" s="195"/>
      <c r="R380" s="80"/>
    </row>
    <row r="381" spans="1:18" x14ac:dyDescent="0.25">
      <c r="A381" s="185"/>
      <c r="B381" s="196"/>
      <c r="C381" s="196"/>
      <c r="D381" s="196"/>
      <c r="E381" s="196"/>
      <c r="F381" s="196"/>
      <c r="G381" s="196"/>
      <c r="H381" s="196"/>
      <c r="L381" s="195"/>
      <c r="R381" s="80"/>
    </row>
    <row r="382" spans="1:18" x14ac:dyDescent="0.25">
      <c r="A382" s="185"/>
      <c r="B382" s="196"/>
      <c r="C382" s="196"/>
      <c r="D382" s="196"/>
      <c r="E382" s="196"/>
      <c r="F382" s="196"/>
      <c r="G382" s="196"/>
      <c r="H382" s="196"/>
      <c r="L382" s="195"/>
      <c r="R382" s="80"/>
    </row>
    <row r="383" spans="1:18" x14ac:dyDescent="0.25">
      <c r="A383" s="185"/>
      <c r="B383" s="196"/>
      <c r="C383" s="196"/>
      <c r="D383" s="196"/>
      <c r="E383" s="196"/>
      <c r="F383" s="196"/>
      <c r="G383" s="196"/>
      <c r="H383" s="196"/>
      <c r="L383" s="195"/>
      <c r="R383" s="80"/>
    </row>
    <row r="384" spans="1:18" x14ac:dyDescent="0.25">
      <c r="A384" s="185"/>
      <c r="B384" s="196"/>
      <c r="C384" s="196"/>
      <c r="D384" s="196"/>
      <c r="E384" s="196"/>
      <c r="F384" s="196"/>
      <c r="G384" s="196"/>
      <c r="H384" s="196"/>
      <c r="L384" s="195"/>
      <c r="R384" s="80"/>
    </row>
    <row r="385" spans="1:18" x14ac:dyDescent="0.25">
      <c r="A385" s="185"/>
      <c r="B385" s="196"/>
      <c r="C385" s="196"/>
      <c r="D385" s="196"/>
      <c r="E385" s="196"/>
      <c r="F385" s="196"/>
      <c r="G385" s="196"/>
      <c r="H385" s="196"/>
      <c r="L385" s="195"/>
      <c r="R385" s="80"/>
    </row>
    <row r="386" spans="1:18" x14ac:dyDescent="0.25">
      <c r="A386" s="185"/>
      <c r="B386" s="196"/>
      <c r="C386" s="196"/>
      <c r="D386" s="196"/>
      <c r="E386" s="196"/>
      <c r="F386" s="196"/>
      <c r="G386" s="196"/>
      <c r="H386" s="196"/>
      <c r="L386" s="195"/>
      <c r="R386" s="80"/>
    </row>
    <row r="387" spans="1:18" x14ac:dyDescent="0.25">
      <c r="A387" s="185"/>
      <c r="B387" s="196"/>
      <c r="C387" s="196"/>
      <c r="D387" s="196"/>
      <c r="E387" s="196"/>
      <c r="F387" s="196"/>
      <c r="G387" s="196"/>
      <c r="H387" s="196"/>
      <c r="L387" s="195"/>
      <c r="R387" s="80"/>
    </row>
    <row r="388" spans="1:18" x14ac:dyDescent="0.25">
      <c r="A388" s="185"/>
      <c r="B388" s="196"/>
      <c r="C388" s="196"/>
      <c r="D388" s="196"/>
      <c r="E388" s="196"/>
      <c r="F388" s="196"/>
      <c r="G388" s="196"/>
      <c r="H388" s="196"/>
      <c r="L388" s="195"/>
      <c r="R388" s="80"/>
    </row>
    <row r="389" spans="1:18" x14ac:dyDescent="0.25">
      <c r="A389" s="185"/>
      <c r="B389" s="196"/>
      <c r="C389" s="196"/>
      <c r="D389" s="196"/>
      <c r="E389" s="196"/>
      <c r="F389" s="196"/>
      <c r="G389" s="196"/>
      <c r="H389" s="196"/>
      <c r="L389" s="195"/>
      <c r="R389" s="80"/>
    </row>
    <row r="390" spans="1:18" x14ac:dyDescent="0.25">
      <c r="A390" s="185"/>
      <c r="B390" s="196"/>
      <c r="C390" s="196"/>
      <c r="D390" s="196"/>
      <c r="E390" s="196"/>
      <c r="F390" s="196"/>
      <c r="G390" s="196"/>
      <c r="H390" s="196"/>
      <c r="L390" s="195"/>
      <c r="R390" s="80"/>
    </row>
    <row r="391" spans="1:18" ht="15.75" customHeight="1" x14ac:dyDescent="0.25">
      <c r="A391" s="185"/>
      <c r="B391" s="196"/>
      <c r="C391" s="196"/>
      <c r="D391" s="196"/>
      <c r="E391" s="196"/>
      <c r="F391" s="196"/>
      <c r="G391" s="196"/>
      <c r="H391" s="196"/>
      <c r="L391" s="195"/>
      <c r="R391" s="80"/>
    </row>
    <row r="392" spans="1:18" ht="15.75" customHeight="1" x14ac:dyDescent="0.25">
      <c r="A392" s="185"/>
      <c r="B392" s="196"/>
      <c r="C392" s="196"/>
      <c r="D392" s="196"/>
      <c r="E392" s="196"/>
      <c r="F392" s="196"/>
      <c r="G392" s="196"/>
      <c r="H392" s="196"/>
      <c r="L392" s="195"/>
      <c r="R392" s="80"/>
    </row>
    <row r="393" spans="1:18" x14ac:dyDescent="0.25">
      <c r="A393" s="185"/>
      <c r="B393" s="196"/>
      <c r="C393" s="196"/>
      <c r="D393" s="196"/>
      <c r="E393" s="196"/>
      <c r="F393" s="196"/>
      <c r="G393" s="196"/>
      <c r="H393" s="196"/>
      <c r="L393" s="195"/>
      <c r="R393" s="80"/>
    </row>
    <row r="394" spans="1:18" x14ac:dyDescent="0.25">
      <c r="A394" s="185"/>
      <c r="B394" s="196"/>
      <c r="C394" s="196"/>
      <c r="D394" s="196"/>
      <c r="E394" s="196"/>
      <c r="F394" s="196"/>
      <c r="G394" s="196"/>
      <c r="H394" s="196"/>
      <c r="L394" s="195"/>
      <c r="R394" s="80"/>
    </row>
    <row r="395" spans="1:18" x14ac:dyDescent="0.25">
      <c r="A395" s="185"/>
      <c r="B395" s="196"/>
      <c r="C395" s="196"/>
      <c r="D395" s="196"/>
      <c r="E395" s="196"/>
      <c r="F395" s="196"/>
      <c r="G395" s="196"/>
      <c r="H395" s="196"/>
      <c r="L395" s="195"/>
      <c r="R395" s="80"/>
    </row>
    <row r="396" spans="1:18" ht="15" customHeight="1" x14ac:dyDescent="0.25">
      <c r="A396" s="185"/>
      <c r="B396" s="196"/>
      <c r="C396" s="196"/>
      <c r="D396" s="196"/>
      <c r="E396" s="196"/>
      <c r="F396" s="196"/>
      <c r="G396" s="196"/>
      <c r="H396" s="196"/>
      <c r="L396" s="195"/>
      <c r="R396" s="80"/>
    </row>
    <row r="397" spans="1:18" x14ac:dyDescent="0.25">
      <c r="A397" s="185"/>
      <c r="B397" s="196"/>
      <c r="C397" s="196"/>
      <c r="D397" s="196"/>
      <c r="E397" s="196"/>
      <c r="F397" s="196"/>
      <c r="G397" s="196"/>
      <c r="H397" s="196"/>
      <c r="L397" s="195"/>
      <c r="R397" s="80"/>
    </row>
    <row r="398" spans="1:18" x14ac:dyDescent="0.25">
      <c r="A398" s="185"/>
      <c r="B398" s="196"/>
      <c r="C398" s="196"/>
      <c r="D398" s="196"/>
      <c r="E398" s="196"/>
      <c r="F398" s="196"/>
      <c r="G398" s="196"/>
      <c r="H398" s="196"/>
      <c r="L398" s="195"/>
      <c r="R398" s="80"/>
    </row>
    <row r="399" spans="1:18" x14ac:dyDescent="0.25">
      <c r="A399" s="185"/>
      <c r="B399" s="196"/>
      <c r="C399" s="196"/>
      <c r="D399" s="196"/>
      <c r="E399" s="196"/>
      <c r="F399" s="196"/>
      <c r="G399" s="196"/>
      <c r="H399" s="196"/>
      <c r="L399" s="195"/>
      <c r="R399" s="80"/>
    </row>
    <row r="400" spans="1:18" x14ac:dyDescent="0.25">
      <c r="A400" s="185"/>
      <c r="B400" s="196"/>
      <c r="C400" s="196"/>
      <c r="D400" s="196"/>
      <c r="E400" s="196"/>
      <c r="F400" s="196"/>
      <c r="G400" s="196"/>
      <c r="H400" s="196"/>
      <c r="L400" s="195"/>
      <c r="R400" s="80"/>
    </row>
    <row r="401" spans="1:18" x14ac:dyDescent="0.25">
      <c r="A401" s="185"/>
      <c r="B401" s="196"/>
      <c r="C401" s="196"/>
      <c r="D401" s="196"/>
      <c r="E401" s="196"/>
      <c r="F401" s="196"/>
      <c r="G401" s="196"/>
      <c r="H401" s="196"/>
      <c r="L401" s="195"/>
      <c r="R401" s="80"/>
    </row>
    <row r="402" spans="1:18" x14ac:dyDescent="0.25">
      <c r="A402" s="185"/>
      <c r="B402" s="196"/>
      <c r="C402" s="196"/>
      <c r="D402" s="196"/>
      <c r="E402" s="196"/>
      <c r="F402" s="196"/>
      <c r="G402" s="196"/>
      <c r="H402" s="196"/>
      <c r="L402" s="195"/>
      <c r="R402" s="80"/>
    </row>
    <row r="403" spans="1:18" x14ac:dyDescent="0.25">
      <c r="A403" s="185"/>
      <c r="B403" s="196"/>
      <c r="C403" s="196"/>
      <c r="D403" s="196"/>
      <c r="E403" s="196"/>
      <c r="F403" s="196"/>
      <c r="G403" s="196"/>
      <c r="H403" s="196"/>
      <c r="L403" s="195"/>
      <c r="R403" s="80"/>
    </row>
    <row r="404" spans="1:18" x14ac:dyDescent="0.25">
      <c r="A404" s="185"/>
      <c r="B404" s="196"/>
      <c r="C404" s="196"/>
      <c r="D404" s="196"/>
      <c r="E404" s="196"/>
      <c r="F404" s="196"/>
      <c r="G404" s="196"/>
      <c r="H404" s="196"/>
      <c r="L404" s="195"/>
      <c r="R404" s="80"/>
    </row>
    <row r="405" spans="1:18" x14ac:dyDescent="0.25">
      <c r="A405" s="185"/>
      <c r="B405" s="196"/>
      <c r="C405" s="196"/>
      <c r="D405" s="196"/>
      <c r="E405" s="196"/>
      <c r="F405" s="196"/>
      <c r="G405" s="196"/>
      <c r="H405" s="196"/>
      <c r="L405" s="195"/>
      <c r="R405" s="80"/>
    </row>
    <row r="406" spans="1:18" x14ac:dyDescent="0.25">
      <c r="A406" s="185"/>
      <c r="B406" s="196"/>
      <c r="C406" s="196"/>
      <c r="D406" s="196"/>
      <c r="E406" s="196"/>
      <c r="F406" s="196"/>
      <c r="G406" s="196"/>
      <c r="H406" s="196"/>
      <c r="L406" s="195"/>
      <c r="R406" s="80"/>
    </row>
    <row r="407" spans="1:18" x14ac:dyDescent="0.25">
      <c r="A407" s="185"/>
      <c r="B407" s="196"/>
      <c r="C407" s="196"/>
      <c r="D407" s="196"/>
      <c r="E407" s="196"/>
      <c r="F407" s="196"/>
      <c r="G407" s="196"/>
      <c r="H407" s="196"/>
      <c r="L407" s="195"/>
      <c r="R407" s="80"/>
    </row>
    <row r="408" spans="1:18" x14ac:dyDescent="0.25">
      <c r="A408" s="185"/>
      <c r="B408" s="196"/>
      <c r="C408" s="196"/>
      <c r="D408" s="196"/>
      <c r="E408" s="196"/>
      <c r="F408" s="196"/>
      <c r="G408" s="196"/>
      <c r="H408" s="196"/>
      <c r="L408" s="195"/>
      <c r="R408" s="80"/>
    </row>
    <row r="409" spans="1:18" x14ac:dyDescent="0.25">
      <c r="A409" s="185"/>
      <c r="B409" s="196"/>
      <c r="C409" s="196"/>
      <c r="D409" s="196"/>
      <c r="E409" s="196"/>
      <c r="F409" s="196"/>
      <c r="G409" s="196"/>
      <c r="H409" s="196"/>
      <c r="L409" s="195"/>
      <c r="R409" s="80"/>
    </row>
    <row r="410" spans="1:18" x14ac:dyDescent="0.25">
      <c r="A410" s="185"/>
      <c r="B410" s="196"/>
      <c r="C410" s="196"/>
      <c r="D410" s="196"/>
      <c r="E410" s="196"/>
      <c r="F410" s="196"/>
      <c r="G410" s="196"/>
      <c r="H410" s="196"/>
      <c r="L410" s="195"/>
      <c r="R410" s="80"/>
    </row>
    <row r="411" spans="1:18" x14ac:dyDescent="0.25">
      <c r="A411" s="185"/>
      <c r="B411" s="196"/>
      <c r="C411" s="196"/>
      <c r="D411" s="196"/>
      <c r="E411" s="196"/>
      <c r="F411" s="196"/>
      <c r="G411" s="196"/>
      <c r="H411" s="196"/>
      <c r="L411" s="195"/>
      <c r="R411" s="80"/>
    </row>
    <row r="412" spans="1:18" x14ac:dyDescent="0.25">
      <c r="A412" s="185"/>
      <c r="B412" s="196"/>
      <c r="C412" s="196"/>
      <c r="D412" s="196"/>
      <c r="E412" s="196"/>
      <c r="F412" s="196"/>
      <c r="G412" s="196"/>
      <c r="H412" s="196"/>
      <c r="L412" s="195"/>
      <c r="R412" s="80"/>
    </row>
    <row r="413" spans="1:18" x14ac:dyDescent="0.25">
      <c r="A413" s="185"/>
      <c r="B413" s="196"/>
      <c r="C413" s="196"/>
      <c r="D413" s="196"/>
      <c r="E413" s="196"/>
      <c r="F413" s="196"/>
      <c r="G413" s="196"/>
      <c r="H413" s="196"/>
      <c r="L413" s="195"/>
      <c r="R413" s="80"/>
    </row>
    <row r="414" spans="1:18" x14ac:dyDescent="0.25">
      <c r="A414" s="185"/>
      <c r="B414" s="196"/>
      <c r="C414" s="196"/>
      <c r="D414" s="196"/>
      <c r="E414" s="196"/>
      <c r="F414" s="196"/>
      <c r="G414" s="196"/>
      <c r="H414" s="196"/>
      <c r="L414" s="195"/>
      <c r="R414" s="80"/>
    </row>
    <row r="415" spans="1:18" x14ac:dyDescent="0.25">
      <c r="A415" s="185"/>
      <c r="B415" s="196"/>
      <c r="C415" s="196"/>
      <c r="D415" s="196"/>
      <c r="E415" s="196"/>
      <c r="F415" s="196"/>
      <c r="G415" s="196"/>
      <c r="H415" s="196"/>
      <c r="L415" s="195"/>
      <c r="R415" s="80"/>
    </row>
    <row r="416" spans="1:18" x14ac:dyDescent="0.25">
      <c r="A416" s="185"/>
      <c r="B416" s="196"/>
      <c r="C416" s="196"/>
      <c r="D416" s="196"/>
      <c r="E416" s="196"/>
      <c r="F416" s="196"/>
      <c r="G416" s="196"/>
      <c r="H416" s="196"/>
      <c r="L416" s="195"/>
      <c r="R416" s="80"/>
    </row>
    <row r="417" spans="1:18" x14ac:dyDescent="0.25">
      <c r="A417" s="185"/>
      <c r="B417" s="196"/>
      <c r="C417" s="196"/>
      <c r="D417" s="196"/>
      <c r="E417" s="196"/>
      <c r="F417" s="196"/>
      <c r="G417" s="196"/>
      <c r="H417" s="196"/>
      <c r="L417" s="195"/>
      <c r="R417" s="80"/>
    </row>
    <row r="418" spans="1:18" x14ac:dyDescent="0.25">
      <c r="A418" s="185"/>
      <c r="B418" s="196"/>
      <c r="C418" s="196"/>
      <c r="D418" s="196"/>
      <c r="E418" s="196"/>
      <c r="F418" s="196"/>
      <c r="G418" s="196"/>
      <c r="H418" s="196"/>
      <c r="L418" s="195"/>
      <c r="R418" s="80"/>
    </row>
    <row r="419" spans="1:18" x14ac:dyDescent="0.25">
      <c r="A419" s="185"/>
      <c r="B419" s="196"/>
      <c r="C419" s="196"/>
      <c r="D419" s="196"/>
      <c r="E419" s="196"/>
      <c r="F419" s="196"/>
      <c r="G419" s="196"/>
      <c r="H419" s="196"/>
      <c r="L419" s="195"/>
      <c r="R419" s="80"/>
    </row>
    <row r="420" spans="1:18" x14ac:dyDescent="0.25">
      <c r="A420" s="185"/>
      <c r="B420" s="196"/>
      <c r="C420" s="196"/>
      <c r="D420" s="196"/>
      <c r="E420" s="196"/>
      <c r="F420" s="196"/>
      <c r="G420" s="196"/>
      <c r="H420" s="196"/>
      <c r="L420" s="195"/>
      <c r="R420" s="80"/>
    </row>
    <row r="421" spans="1:18" x14ac:dyDescent="0.25">
      <c r="A421" s="185"/>
      <c r="B421" s="196"/>
      <c r="C421" s="196"/>
      <c r="D421" s="196"/>
      <c r="E421" s="196"/>
      <c r="F421" s="196"/>
      <c r="G421" s="196"/>
      <c r="H421" s="196"/>
      <c r="L421" s="195"/>
      <c r="R421" s="80"/>
    </row>
    <row r="422" spans="1:18" x14ac:dyDescent="0.25">
      <c r="A422" s="185"/>
      <c r="B422" s="196"/>
      <c r="C422" s="196"/>
      <c r="D422" s="196"/>
      <c r="E422" s="196"/>
      <c r="F422" s="196"/>
      <c r="G422" s="196"/>
      <c r="H422" s="196"/>
      <c r="L422" s="195"/>
      <c r="R422" s="80"/>
    </row>
    <row r="423" spans="1:18" x14ac:dyDescent="0.25">
      <c r="A423" s="185"/>
      <c r="B423" s="196"/>
      <c r="C423" s="196"/>
      <c r="D423" s="196"/>
      <c r="E423" s="196"/>
      <c r="F423" s="196"/>
      <c r="G423" s="196"/>
      <c r="H423" s="196"/>
      <c r="L423" s="195"/>
      <c r="R423" s="80"/>
    </row>
    <row r="424" spans="1:18" x14ac:dyDescent="0.25">
      <c r="A424" s="185"/>
      <c r="B424" s="196"/>
      <c r="C424" s="196"/>
      <c r="D424" s="196"/>
      <c r="E424" s="196"/>
      <c r="F424" s="196"/>
      <c r="G424" s="196"/>
      <c r="H424" s="196"/>
      <c r="L424" s="195"/>
      <c r="R424" s="80"/>
    </row>
    <row r="425" spans="1:18" x14ac:dyDescent="0.25">
      <c r="A425" s="185"/>
      <c r="B425" s="196"/>
      <c r="C425" s="196"/>
      <c r="D425" s="196"/>
      <c r="E425" s="196"/>
      <c r="F425" s="196"/>
      <c r="G425" s="196"/>
      <c r="H425" s="196"/>
      <c r="L425" s="195"/>
      <c r="R425" s="80"/>
    </row>
    <row r="426" spans="1:18" x14ac:dyDescent="0.25">
      <c r="A426" s="185"/>
      <c r="B426" s="196"/>
      <c r="C426" s="196"/>
      <c r="D426" s="196"/>
      <c r="E426" s="196"/>
      <c r="F426" s="196"/>
      <c r="G426" s="196"/>
      <c r="H426" s="196"/>
      <c r="L426" s="195"/>
      <c r="R426" s="80"/>
    </row>
    <row r="427" spans="1:18" x14ac:dyDescent="0.25">
      <c r="A427" s="185"/>
      <c r="B427" s="196"/>
      <c r="C427" s="196"/>
      <c r="D427" s="196"/>
      <c r="E427" s="196"/>
      <c r="F427" s="196"/>
      <c r="G427" s="196"/>
      <c r="H427" s="196"/>
      <c r="L427" s="195"/>
      <c r="R427" s="80"/>
    </row>
    <row r="428" spans="1:18" ht="15.75" customHeight="1" x14ac:dyDescent="0.25">
      <c r="A428" s="185"/>
      <c r="B428" s="196"/>
      <c r="C428" s="196"/>
      <c r="D428" s="196"/>
      <c r="E428" s="196"/>
      <c r="F428" s="196"/>
      <c r="G428" s="196"/>
      <c r="H428" s="196"/>
      <c r="L428" s="195"/>
      <c r="R428" s="80"/>
    </row>
    <row r="429" spans="1:18" ht="15.75" customHeight="1" x14ac:dyDescent="0.25">
      <c r="A429" s="185"/>
      <c r="B429" s="196"/>
      <c r="C429" s="196"/>
      <c r="D429" s="196"/>
      <c r="E429" s="196"/>
      <c r="F429" s="196"/>
      <c r="G429" s="196"/>
      <c r="H429" s="196"/>
      <c r="L429" s="195"/>
      <c r="R429" s="80"/>
    </row>
    <row r="430" spans="1:18" x14ac:dyDescent="0.25">
      <c r="A430" s="185"/>
      <c r="B430" s="196"/>
      <c r="C430" s="196"/>
      <c r="D430" s="196"/>
      <c r="E430" s="196"/>
      <c r="F430" s="196"/>
      <c r="G430" s="196"/>
      <c r="H430" s="196"/>
      <c r="L430" s="195"/>
      <c r="R430" s="80"/>
    </row>
    <row r="431" spans="1:18" x14ac:dyDescent="0.25">
      <c r="A431" s="185"/>
      <c r="B431" s="196"/>
      <c r="C431" s="196"/>
      <c r="D431" s="196"/>
      <c r="E431" s="196"/>
      <c r="F431" s="196"/>
      <c r="G431" s="196"/>
      <c r="H431" s="196"/>
      <c r="L431" s="195"/>
      <c r="R431" s="80"/>
    </row>
    <row r="432" spans="1:18" x14ac:dyDescent="0.25">
      <c r="A432" s="185"/>
      <c r="B432" s="196"/>
      <c r="C432" s="196"/>
      <c r="D432" s="196"/>
      <c r="E432" s="196"/>
      <c r="F432" s="196"/>
      <c r="G432" s="196"/>
      <c r="H432" s="196"/>
      <c r="L432" s="195"/>
      <c r="R432" s="80"/>
    </row>
    <row r="433" spans="1:18" x14ac:dyDescent="0.25">
      <c r="A433" s="185"/>
      <c r="B433" s="196"/>
      <c r="C433" s="196"/>
      <c r="D433" s="196"/>
      <c r="E433" s="196"/>
      <c r="F433" s="196"/>
      <c r="G433" s="196"/>
      <c r="H433" s="196"/>
      <c r="L433" s="195"/>
      <c r="R433" s="80"/>
    </row>
    <row r="434" spans="1:18" x14ac:dyDescent="0.25">
      <c r="A434" s="185"/>
      <c r="B434" s="196"/>
      <c r="C434" s="196"/>
      <c r="D434" s="196"/>
      <c r="E434" s="196"/>
      <c r="F434" s="196"/>
      <c r="G434" s="196"/>
      <c r="H434" s="196"/>
      <c r="L434" s="195"/>
      <c r="R434" s="80"/>
    </row>
    <row r="435" spans="1:18" x14ac:dyDescent="0.25">
      <c r="A435" s="185"/>
      <c r="B435" s="196"/>
      <c r="C435" s="196"/>
      <c r="D435" s="196"/>
      <c r="E435" s="196"/>
      <c r="F435" s="196"/>
      <c r="G435" s="196"/>
      <c r="H435" s="196"/>
      <c r="L435" s="195"/>
      <c r="R435" s="80"/>
    </row>
    <row r="436" spans="1:18" x14ac:dyDescent="0.25">
      <c r="A436" s="185"/>
      <c r="B436" s="196"/>
      <c r="C436" s="196"/>
      <c r="D436" s="196"/>
      <c r="E436" s="196"/>
      <c r="F436" s="196"/>
      <c r="G436" s="196"/>
      <c r="H436" s="196"/>
      <c r="L436" s="195"/>
      <c r="R436" s="80"/>
    </row>
    <row r="437" spans="1:18" x14ac:dyDescent="0.25">
      <c r="A437" s="185"/>
      <c r="B437" s="196"/>
      <c r="C437" s="196"/>
      <c r="D437" s="196"/>
      <c r="E437" s="196"/>
      <c r="F437" s="196"/>
      <c r="G437" s="196"/>
      <c r="H437" s="196"/>
      <c r="L437" s="195"/>
      <c r="R437" s="80"/>
    </row>
    <row r="438" spans="1:18" x14ac:dyDescent="0.25">
      <c r="A438" s="185"/>
      <c r="B438" s="196"/>
      <c r="C438" s="196"/>
      <c r="D438" s="196"/>
      <c r="E438" s="196"/>
      <c r="F438" s="196"/>
      <c r="G438" s="196"/>
      <c r="H438" s="196"/>
      <c r="L438" s="195"/>
      <c r="R438" s="80"/>
    </row>
    <row r="439" spans="1:18" ht="15.75" customHeight="1" x14ac:dyDescent="0.25">
      <c r="A439" s="185"/>
      <c r="B439" s="196"/>
      <c r="C439" s="196"/>
      <c r="D439" s="196"/>
      <c r="E439" s="196"/>
      <c r="F439" s="196"/>
      <c r="G439" s="196"/>
      <c r="H439" s="196"/>
      <c r="L439" s="195"/>
      <c r="R439" s="80"/>
    </row>
    <row r="440" spans="1:18" x14ac:dyDescent="0.25">
      <c r="A440" s="185"/>
      <c r="B440" s="196"/>
      <c r="C440" s="196"/>
      <c r="D440" s="196"/>
      <c r="E440" s="196"/>
      <c r="F440" s="196"/>
      <c r="G440" s="196"/>
      <c r="H440" s="196"/>
      <c r="L440" s="195"/>
      <c r="R440" s="80"/>
    </row>
    <row r="441" spans="1:18" x14ac:dyDescent="0.25">
      <c r="A441" s="185"/>
      <c r="B441" s="196"/>
      <c r="C441" s="196"/>
      <c r="D441" s="196"/>
      <c r="E441" s="196"/>
      <c r="F441" s="196"/>
      <c r="G441" s="196"/>
      <c r="H441" s="196"/>
      <c r="L441" s="195"/>
      <c r="R441" s="80"/>
    </row>
    <row r="442" spans="1:18" x14ac:dyDescent="0.25">
      <c r="A442" s="185"/>
      <c r="B442" s="196"/>
      <c r="C442" s="196"/>
      <c r="D442" s="196"/>
      <c r="E442" s="196"/>
      <c r="F442" s="196"/>
      <c r="G442" s="196"/>
      <c r="H442" s="196"/>
      <c r="L442" s="195"/>
      <c r="R442" s="80"/>
    </row>
    <row r="443" spans="1:18" x14ac:dyDescent="0.25">
      <c r="A443" s="185"/>
      <c r="B443" s="196"/>
      <c r="C443" s="196"/>
      <c r="D443" s="196"/>
      <c r="E443" s="196"/>
      <c r="F443" s="196"/>
      <c r="G443" s="196"/>
      <c r="H443" s="196"/>
      <c r="L443" s="195"/>
      <c r="R443" s="80"/>
    </row>
    <row r="444" spans="1:18" x14ac:dyDescent="0.25">
      <c r="A444" s="185"/>
      <c r="B444" s="196"/>
      <c r="C444" s="196"/>
      <c r="D444" s="196"/>
      <c r="E444" s="196"/>
      <c r="F444" s="196"/>
      <c r="G444" s="196"/>
      <c r="H444" s="196"/>
      <c r="L444" s="195"/>
      <c r="R444" s="80"/>
    </row>
    <row r="445" spans="1:18" x14ac:dyDescent="0.25">
      <c r="A445" s="185"/>
      <c r="B445" s="196"/>
      <c r="C445" s="196"/>
      <c r="D445" s="196"/>
      <c r="E445" s="196"/>
      <c r="F445" s="196"/>
      <c r="G445" s="196"/>
      <c r="H445" s="196"/>
      <c r="L445" s="195"/>
      <c r="R445" s="80"/>
    </row>
    <row r="446" spans="1:18" x14ac:dyDescent="0.25">
      <c r="A446" s="185"/>
      <c r="B446" s="196"/>
      <c r="C446" s="196"/>
      <c r="D446" s="196"/>
      <c r="E446" s="196"/>
      <c r="F446" s="196"/>
      <c r="G446" s="196"/>
      <c r="H446" s="196"/>
      <c r="L446" s="195"/>
      <c r="R446" s="80"/>
    </row>
    <row r="447" spans="1:18" x14ac:dyDescent="0.25">
      <c r="A447" s="185"/>
      <c r="B447" s="196"/>
      <c r="C447" s="196"/>
      <c r="D447" s="196"/>
      <c r="E447" s="196"/>
      <c r="F447" s="196"/>
      <c r="G447" s="196"/>
      <c r="H447" s="196"/>
      <c r="L447" s="195"/>
      <c r="R447" s="80"/>
    </row>
    <row r="448" spans="1:18" x14ac:dyDescent="0.25">
      <c r="A448" s="185"/>
      <c r="B448" s="196"/>
      <c r="C448" s="196"/>
      <c r="D448" s="196"/>
      <c r="E448" s="196"/>
      <c r="F448" s="196"/>
      <c r="G448" s="196"/>
      <c r="H448" s="196"/>
      <c r="L448" s="195"/>
      <c r="R448" s="80"/>
    </row>
    <row r="449" spans="1:18" x14ac:dyDescent="0.25">
      <c r="A449" s="185"/>
      <c r="B449" s="196"/>
      <c r="C449" s="196"/>
      <c r="D449" s="196"/>
      <c r="E449" s="196"/>
      <c r="F449" s="196"/>
      <c r="G449" s="196"/>
      <c r="H449" s="196"/>
      <c r="L449" s="195"/>
      <c r="R449" s="80"/>
    </row>
    <row r="450" spans="1:18" x14ac:dyDescent="0.25">
      <c r="A450" s="185"/>
      <c r="B450" s="196"/>
      <c r="C450" s="196"/>
      <c r="D450" s="196"/>
      <c r="E450" s="196"/>
      <c r="F450" s="196"/>
      <c r="G450" s="196"/>
      <c r="H450" s="196"/>
      <c r="L450" s="195"/>
      <c r="R450" s="80"/>
    </row>
    <row r="451" spans="1:18" x14ac:dyDescent="0.25">
      <c r="A451" s="185"/>
      <c r="B451" s="196"/>
      <c r="C451" s="196"/>
      <c r="D451" s="196"/>
      <c r="E451" s="196"/>
      <c r="F451" s="196"/>
      <c r="G451" s="196"/>
      <c r="H451" s="196"/>
      <c r="L451" s="195"/>
      <c r="R451" s="80"/>
    </row>
    <row r="452" spans="1:18" x14ac:dyDescent="0.25">
      <c r="A452" s="185"/>
      <c r="B452" s="196"/>
      <c r="C452" s="196"/>
      <c r="D452" s="196"/>
      <c r="E452" s="196"/>
      <c r="F452" s="196"/>
      <c r="G452" s="196"/>
      <c r="H452" s="196"/>
      <c r="L452" s="195"/>
      <c r="R452" s="80"/>
    </row>
    <row r="453" spans="1:18" x14ac:dyDescent="0.25">
      <c r="A453" s="185"/>
      <c r="B453" s="196"/>
      <c r="C453" s="196"/>
      <c r="D453" s="196"/>
      <c r="E453" s="196"/>
      <c r="F453" s="196"/>
      <c r="G453" s="196"/>
      <c r="H453" s="196"/>
      <c r="L453" s="195"/>
      <c r="R453" s="80"/>
    </row>
    <row r="454" spans="1:18" x14ac:dyDescent="0.25">
      <c r="A454" s="185"/>
      <c r="B454" s="196"/>
      <c r="C454" s="196"/>
      <c r="D454" s="196"/>
      <c r="E454" s="196"/>
      <c r="F454" s="196"/>
      <c r="G454" s="196"/>
      <c r="H454" s="196"/>
      <c r="L454" s="195"/>
      <c r="R454" s="80"/>
    </row>
    <row r="455" spans="1:18" x14ac:dyDescent="0.25">
      <c r="A455" s="185"/>
      <c r="B455" s="196"/>
      <c r="C455" s="196"/>
      <c r="D455" s="196"/>
      <c r="E455" s="196"/>
      <c r="F455" s="196"/>
      <c r="G455" s="196"/>
      <c r="H455" s="196"/>
      <c r="L455" s="195"/>
      <c r="R455" s="80"/>
    </row>
    <row r="456" spans="1:18" x14ac:dyDescent="0.25">
      <c r="A456" s="185"/>
      <c r="B456" s="196"/>
      <c r="C456" s="196"/>
      <c r="D456" s="196"/>
      <c r="E456" s="196"/>
      <c r="F456" s="196"/>
      <c r="G456" s="196"/>
      <c r="H456" s="196"/>
      <c r="L456" s="195"/>
      <c r="R456" s="80"/>
    </row>
    <row r="457" spans="1:18" x14ac:dyDescent="0.25">
      <c r="A457" s="185"/>
      <c r="B457" s="196"/>
      <c r="C457" s="196"/>
      <c r="D457" s="196"/>
      <c r="E457" s="196"/>
      <c r="F457" s="196"/>
      <c r="G457" s="196"/>
      <c r="H457" s="196"/>
      <c r="L457" s="195"/>
      <c r="R457" s="80"/>
    </row>
    <row r="458" spans="1:18" x14ac:dyDescent="0.25">
      <c r="A458" s="185"/>
      <c r="B458" s="196"/>
      <c r="C458" s="196"/>
      <c r="D458" s="196"/>
      <c r="E458" s="196"/>
      <c r="F458" s="196"/>
      <c r="G458" s="196"/>
      <c r="H458" s="196"/>
      <c r="L458" s="195"/>
      <c r="R458" s="80"/>
    </row>
    <row r="459" spans="1:18" x14ac:dyDescent="0.25">
      <c r="A459" s="185"/>
      <c r="B459" s="196"/>
      <c r="C459" s="196"/>
      <c r="D459" s="196"/>
      <c r="E459" s="196"/>
      <c r="F459" s="196"/>
      <c r="G459" s="196"/>
      <c r="H459" s="196"/>
      <c r="L459" s="195"/>
      <c r="R459" s="80"/>
    </row>
    <row r="460" spans="1:18" x14ac:dyDescent="0.25">
      <c r="A460" s="185"/>
      <c r="B460" s="196"/>
      <c r="C460" s="196"/>
      <c r="D460" s="196"/>
      <c r="E460" s="196"/>
      <c r="F460" s="196"/>
      <c r="G460" s="196"/>
      <c r="H460" s="196"/>
      <c r="L460" s="195"/>
      <c r="R460" s="80"/>
    </row>
    <row r="461" spans="1:18" ht="15.75" customHeight="1" x14ac:dyDescent="0.25">
      <c r="A461" s="185"/>
      <c r="B461" s="196"/>
      <c r="C461" s="196"/>
      <c r="D461" s="196"/>
      <c r="E461" s="196"/>
      <c r="F461" s="196"/>
      <c r="G461" s="196"/>
      <c r="H461" s="196"/>
      <c r="L461" s="195"/>
      <c r="R461" s="80"/>
    </row>
    <row r="462" spans="1:18" ht="15.75" customHeight="1" x14ac:dyDescent="0.25">
      <c r="A462" s="185"/>
      <c r="B462" s="196"/>
      <c r="C462" s="196"/>
      <c r="D462" s="196"/>
      <c r="E462" s="196"/>
      <c r="F462" s="196"/>
      <c r="G462" s="196"/>
      <c r="H462" s="196"/>
      <c r="L462" s="195"/>
      <c r="R462" s="80"/>
    </row>
    <row r="463" spans="1:18" x14ac:dyDescent="0.25">
      <c r="A463" s="185"/>
      <c r="B463" s="196"/>
      <c r="C463" s="196"/>
      <c r="D463" s="196"/>
      <c r="E463" s="196"/>
      <c r="F463" s="196"/>
      <c r="G463" s="196"/>
      <c r="H463" s="196"/>
      <c r="L463" s="195"/>
      <c r="R463" s="80"/>
    </row>
    <row r="464" spans="1:18" x14ac:dyDescent="0.25">
      <c r="A464" s="185"/>
      <c r="B464" s="196"/>
      <c r="C464" s="196"/>
      <c r="D464" s="196"/>
      <c r="E464" s="196"/>
      <c r="F464" s="196"/>
      <c r="G464" s="196"/>
      <c r="H464" s="196"/>
      <c r="L464" s="195"/>
      <c r="R464" s="80"/>
    </row>
    <row r="465" spans="1:18" x14ac:dyDescent="0.25">
      <c r="A465" s="185"/>
      <c r="B465" s="196"/>
      <c r="C465" s="196"/>
      <c r="D465" s="196"/>
      <c r="E465" s="196"/>
      <c r="F465" s="196"/>
      <c r="G465" s="196"/>
      <c r="H465" s="196"/>
      <c r="L465" s="195"/>
      <c r="R465" s="80"/>
    </row>
    <row r="466" spans="1:18" x14ac:dyDescent="0.25">
      <c r="A466" s="185"/>
      <c r="B466" s="196"/>
      <c r="C466" s="196"/>
      <c r="D466" s="196"/>
      <c r="E466" s="196"/>
      <c r="F466" s="196"/>
      <c r="G466" s="196"/>
      <c r="H466" s="196"/>
      <c r="L466" s="195"/>
      <c r="R466" s="80"/>
    </row>
    <row r="467" spans="1:18" x14ac:dyDescent="0.25">
      <c r="A467" s="185"/>
      <c r="B467" s="196"/>
      <c r="C467" s="196"/>
      <c r="D467" s="196"/>
      <c r="E467" s="196"/>
      <c r="F467" s="196"/>
      <c r="G467" s="196"/>
      <c r="H467" s="196"/>
      <c r="L467" s="195"/>
      <c r="R467" s="80"/>
    </row>
    <row r="468" spans="1:18" x14ac:dyDescent="0.25">
      <c r="A468" s="185"/>
      <c r="B468" s="196"/>
      <c r="C468" s="196"/>
      <c r="D468" s="196"/>
      <c r="E468" s="196"/>
      <c r="F468" s="196"/>
      <c r="G468" s="196"/>
      <c r="H468" s="196"/>
      <c r="L468" s="195"/>
      <c r="R468" s="80"/>
    </row>
    <row r="469" spans="1:18" x14ac:dyDescent="0.25">
      <c r="A469" s="185"/>
      <c r="B469" s="196"/>
      <c r="C469" s="196"/>
      <c r="D469" s="196"/>
      <c r="E469" s="196"/>
      <c r="F469" s="196"/>
      <c r="G469" s="196"/>
      <c r="H469" s="196"/>
      <c r="L469" s="195"/>
      <c r="R469" s="80"/>
    </row>
    <row r="470" spans="1:18" x14ac:dyDescent="0.25">
      <c r="A470" s="185"/>
      <c r="B470" s="196"/>
      <c r="C470" s="196"/>
      <c r="D470" s="196"/>
      <c r="E470" s="196"/>
      <c r="F470" s="196"/>
      <c r="G470" s="196"/>
      <c r="H470" s="196"/>
      <c r="L470" s="195"/>
      <c r="R470" s="80"/>
    </row>
    <row r="471" spans="1:18" x14ac:dyDescent="0.25">
      <c r="A471" s="185"/>
      <c r="B471" s="196"/>
      <c r="C471" s="196"/>
      <c r="D471" s="196"/>
      <c r="E471" s="196"/>
      <c r="F471" s="196"/>
      <c r="G471" s="196"/>
      <c r="H471" s="196"/>
      <c r="L471" s="195"/>
      <c r="R471" s="80"/>
    </row>
    <row r="472" spans="1:18" x14ac:dyDescent="0.25">
      <c r="A472" s="185"/>
      <c r="B472" s="196"/>
      <c r="C472" s="196"/>
      <c r="D472" s="196"/>
      <c r="E472" s="196"/>
      <c r="F472" s="196"/>
      <c r="G472" s="196"/>
      <c r="H472" s="196"/>
      <c r="L472" s="195"/>
      <c r="R472" s="80"/>
    </row>
    <row r="473" spans="1:18" x14ac:dyDescent="0.25">
      <c r="A473" s="185"/>
      <c r="B473" s="196"/>
      <c r="C473" s="196"/>
      <c r="D473" s="196"/>
      <c r="E473" s="196"/>
      <c r="F473" s="196"/>
      <c r="G473" s="196"/>
      <c r="H473" s="196"/>
      <c r="L473" s="195"/>
      <c r="R473" s="80"/>
    </row>
    <row r="474" spans="1:18" x14ac:dyDescent="0.25">
      <c r="A474" s="185"/>
      <c r="B474" s="196"/>
      <c r="C474" s="196"/>
      <c r="D474" s="196"/>
      <c r="E474" s="196"/>
      <c r="F474" s="196"/>
      <c r="G474" s="196"/>
      <c r="H474" s="196"/>
      <c r="L474" s="195"/>
      <c r="R474" s="80"/>
    </row>
    <row r="475" spans="1:18" x14ac:dyDescent="0.25">
      <c r="A475" s="185"/>
      <c r="B475" s="196"/>
      <c r="C475" s="196"/>
      <c r="D475" s="196"/>
      <c r="E475" s="196"/>
      <c r="F475" s="196"/>
      <c r="G475" s="196"/>
      <c r="H475" s="196"/>
      <c r="L475" s="195"/>
      <c r="R475" s="80"/>
    </row>
    <row r="476" spans="1:18" x14ac:dyDescent="0.25">
      <c r="A476" s="185"/>
      <c r="B476" s="196"/>
      <c r="C476" s="196"/>
      <c r="D476" s="196"/>
      <c r="E476" s="196"/>
      <c r="F476" s="196"/>
      <c r="G476" s="196"/>
      <c r="H476" s="196"/>
      <c r="L476" s="195"/>
      <c r="R476" s="80"/>
    </row>
    <row r="477" spans="1:18" x14ac:dyDescent="0.25">
      <c r="A477" s="185"/>
      <c r="B477" s="196"/>
      <c r="C477" s="196"/>
      <c r="D477" s="196"/>
      <c r="E477" s="196"/>
      <c r="F477" s="196"/>
      <c r="G477" s="196"/>
      <c r="H477" s="196"/>
      <c r="L477" s="195"/>
      <c r="R477" s="80"/>
    </row>
    <row r="478" spans="1:18" ht="15.75" customHeight="1" x14ac:dyDescent="0.25">
      <c r="A478" s="185"/>
      <c r="B478" s="196"/>
      <c r="C478" s="196"/>
      <c r="D478" s="196"/>
      <c r="E478" s="196"/>
      <c r="F478" s="196"/>
      <c r="G478" s="196"/>
      <c r="H478" s="196"/>
      <c r="L478" s="195"/>
      <c r="R478" s="80"/>
    </row>
    <row r="479" spans="1:18" ht="15.75" customHeight="1" x14ac:dyDescent="0.25">
      <c r="A479" s="185"/>
      <c r="B479" s="196"/>
      <c r="C479" s="196"/>
      <c r="D479" s="196"/>
      <c r="E479" s="196"/>
      <c r="F479" s="196"/>
      <c r="G479" s="196"/>
      <c r="H479" s="196"/>
      <c r="L479" s="195"/>
      <c r="R479" s="80"/>
    </row>
    <row r="480" spans="1:18" x14ac:dyDescent="0.25">
      <c r="A480" s="185"/>
      <c r="B480" s="196"/>
      <c r="C480" s="196"/>
      <c r="D480" s="196"/>
      <c r="E480" s="196"/>
      <c r="F480" s="196"/>
      <c r="G480" s="196"/>
      <c r="H480" s="196"/>
      <c r="L480" s="195"/>
      <c r="R480" s="80"/>
    </row>
    <row r="481" spans="1:18" x14ac:dyDescent="0.25">
      <c r="A481" s="185"/>
      <c r="B481" s="196"/>
      <c r="C481" s="196"/>
      <c r="D481" s="196"/>
      <c r="E481" s="196"/>
      <c r="F481" s="196"/>
      <c r="G481" s="196"/>
      <c r="H481" s="196"/>
      <c r="L481" s="195"/>
      <c r="R481" s="80"/>
    </row>
    <row r="482" spans="1:18" x14ac:dyDescent="0.25">
      <c r="A482" s="185"/>
      <c r="B482" s="196"/>
      <c r="C482" s="196"/>
      <c r="D482" s="196"/>
      <c r="E482" s="196"/>
      <c r="F482" s="196"/>
      <c r="G482" s="196"/>
      <c r="H482" s="196"/>
      <c r="L482" s="195"/>
      <c r="R482" s="80"/>
    </row>
    <row r="483" spans="1:18" ht="15.75" customHeight="1" x14ac:dyDescent="0.25">
      <c r="A483" s="185"/>
      <c r="B483" s="196"/>
      <c r="C483" s="196"/>
      <c r="D483" s="196"/>
      <c r="E483" s="196"/>
      <c r="F483" s="196"/>
      <c r="G483" s="196"/>
      <c r="H483" s="196"/>
      <c r="L483" s="195"/>
      <c r="R483" s="80"/>
    </row>
    <row r="484" spans="1:18" x14ac:dyDescent="0.25">
      <c r="A484" s="185"/>
      <c r="B484" s="196"/>
      <c r="C484" s="196"/>
      <c r="D484" s="196"/>
      <c r="E484" s="196"/>
      <c r="F484" s="196"/>
      <c r="G484" s="196"/>
      <c r="H484" s="196"/>
      <c r="L484" s="195"/>
      <c r="R484" s="80"/>
    </row>
    <row r="485" spans="1:18" x14ac:dyDescent="0.25">
      <c r="A485" s="185"/>
      <c r="B485" s="196"/>
      <c r="C485" s="196"/>
      <c r="D485" s="196"/>
      <c r="E485" s="196"/>
      <c r="F485" s="196"/>
      <c r="G485" s="196"/>
      <c r="H485" s="196"/>
      <c r="L485" s="195"/>
      <c r="R485" s="80"/>
    </row>
    <row r="486" spans="1:18" x14ac:dyDescent="0.25">
      <c r="A486" s="185"/>
      <c r="B486" s="196"/>
      <c r="C486" s="196"/>
      <c r="D486" s="196"/>
      <c r="E486" s="196"/>
      <c r="F486" s="196"/>
      <c r="G486" s="196"/>
      <c r="H486" s="196"/>
      <c r="L486" s="195"/>
      <c r="R486" s="80"/>
    </row>
    <row r="487" spans="1:18" x14ac:dyDescent="0.25">
      <c r="A487" s="185"/>
      <c r="B487" s="196"/>
      <c r="C487" s="196"/>
      <c r="D487" s="196"/>
      <c r="E487" s="196"/>
      <c r="F487" s="196"/>
      <c r="G487" s="196"/>
      <c r="H487" s="196"/>
      <c r="L487" s="195"/>
      <c r="R487" s="80"/>
    </row>
    <row r="488" spans="1:18" x14ac:dyDescent="0.25">
      <c r="A488" s="185"/>
      <c r="B488" s="196"/>
      <c r="C488" s="196"/>
      <c r="D488" s="196"/>
      <c r="E488" s="196"/>
      <c r="F488" s="196"/>
      <c r="G488" s="196"/>
      <c r="H488" s="196"/>
      <c r="L488" s="195"/>
      <c r="R488" s="80"/>
    </row>
    <row r="489" spans="1:18" x14ac:dyDescent="0.25">
      <c r="A489" s="185"/>
      <c r="B489" s="196"/>
      <c r="C489" s="196"/>
      <c r="D489" s="196"/>
      <c r="E489" s="196"/>
      <c r="F489" s="196"/>
      <c r="G489" s="196"/>
      <c r="H489" s="196"/>
      <c r="L489" s="195"/>
      <c r="R489" s="80"/>
    </row>
    <row r="490" spans="1:18" x14ac:dyDescent="0.25">
      <c r="A490" s="185"/>
      <c r="B490" s="196"/>
      <c r="C490" s="196"/>
      <c r="D490" s="196"/>
      <c r="E490" s="196"/>
      <c r="F490" s="196"/>
      <c r="G490" s="196"/>
      <c r="H490" s="196"/>
      <c r="L490" s="195"/>
      <c r="R490" s="80"/>
    </row>
    <row r="491" spans="1:18" x14ac:dyDescent="0.25">
      <c r="A491" s="185"/>
      <c r="B491" s="196"/>
      <c r="C491" s="196"/>
      <c r="D491" s="196"/>
      <c r="E491" s="196"/>
      <c r="F491" s="196"/>
      <c r="G491" s="196"/>
      <c r="H491" s="196"/>
      <c r="L491" s="195"/>
      <c r="R491" s="80"/>
    </row>
    <row r="492" spans="1:18" x14ac:dyDescent="0.25">
      <c r="A492" s="185"/>
      <c r="B492" s="196"/>
      <c r="C492" s="196"/>
      <c r="D492" s="196"/>
      <c r="E492" s="196"/>
      <c r="F492" s="196"/>
      <c r="G492" s="196"/>
      <c r="H492" s="196"/>
      <c r="L492" s="195"/>
      <c r="R492" s="80"/>
    </row>
    <row r="493" spans="1:18" x14ac:dyDescent="0.25">
      <c r="A493" s="185"/>
      <c r="B493" s="196"/>
      <c r="C493" s="196"/>
      <c r="D493" s="196"/>
      <c r="E493" s="196"/>
      <c r="F493" s="196"/>
      <c r="G493" s="196"/>
      <c r="H493" s="196"/>
      <c r="L493" s="195"/>
      <c r="R493" s="80"/>
    </row>
    <row r="494" spans="1:18" x14ac:dyDescent="0.25">
      <c r="A494" s="185"/>
      <c r="B494" s="196"/>
      <c r="C494" s="196"/>
      <c r="D494" s="196"/>
      <c r="E494" s="196"/>
      <c r="F494" s="196"/>
      <c r="G494" s="196"/>
      <c r="H494" s="196"/>
      <c r="L494" s="195"/>
      <c r="R494" s="80"/>
    </row>
    <row r="495" spans="1:18" x14ac:dyDescent="0.25">
      <c r="A495" s="185"/>
      <c r="B495" s="196"/>
      <c r="C495" s="196"/>
      <c r="D495" s="196"/>
      <c r="E495" s="196"/>
      <c r="F495" s="196"/>
      <c r="G495" s="196"/>
      <c r="H495" s="196"/>
      <c r="L495" s="195"/>
      <c r="R495" s="80"/>
    </row>
    <row r="496" spans="1:18" x14ac:dyDescent="0.25">
      <c r="A496" s="185"/>
      <c r="B496" s="196"/>
      <c r="C496" s="196"/>
      <c r="D496" s="196"/>
      <c r="E496" s="196"/>
      <c r="F496" s="196"/>
      <c r="G496" s="196"/>
      <c r="H496" s="196"/>
      <c r="L496" s="195"/>
      <c r="R496" s="80"/>
    </row>
    <row r="497" spans="1:18" x14ac:dyDescent="0.25">
      <c r="A497" s="185"/>
      <c r="B497" s="196"/>
      <c r="C497" s="196"/>
      <c r="D497" s="196"/>
      <c r="E497" s="196"/>
      <c r="F497" s="196"/>
      <c r="G497" s="196"/>
      <c r="H497" s="196"/>
      <c r="L497" s="195"/>
      <c r="R497" s="80"/>
    </row>
    <row r="498" spans="1:18" x14ac:dyDescent="0.25">
      <c r="A498" s="185"/>
      <c r="B498" s="196"/>
      <c r="C498" s="196"/>
      <c r="D498" s="196"/>
      <c r="E498" s="196"/>
      <c r="F498" s="196"/>
      <c r="G498" s="196"/>
      <c r="H498" s="196"/>
      <c r="L498" s="195"/>
      <c r="R498" s="80"/>
    </row>
    <row r="499" spans="1:18" x14ac:dyDescent="0.25">
      <c r="A499" s="185"/>
      <c r="B499" s="196"/>
      <c r="C499" s="196"/>
      <c r="D499" s="196"/>
      <c r="E499" s="196"/>
      <c r="F499" s="196"/>
      <c r="G499" s="196"/>
      <c r="H499" s="196"/>
      <c r="L499" s="195"/>
      <c r="R499" s="80"/>
    </row>
    <row r="500" spans="1:18" x14ac:dyDescent="0.25">
      <c r="A500" s="185"/>
      <c r="B500" s="196"/>
      <c r="C500" s="196"/>
      <c r="D500" s="196"/>
      <c r="E500" s="196"/>
      <c r="F500" s="196"/>
      <c r="G500" s="196"/>
      <c r="H500" s="196"/>
      <c r="L500" s="195"/>
      <c r="R500" s="80"/>
    </row>
    <row r="501" spans="1:18" x14ac:dyDescent="0.25">
      <c r="A501" s="185"/>
      <c r="B501" s="196"/>
      <c r="C501" s="196"/>
      <c r="D501" s="196"/>
      <c r="E501" s="196"/>
      <c r="F501" s="196"/>
      <c r="G501" s="196"/>
      <c r="H501" s="196"/>
      <c r="L501" s="195"/>
      <c r="R501" s="80"/>
    </row>
    <row r="502" spans="1:18" x14ac:dyDescent="0.25">
      <c r="A502" s="185"/>
      <c r="B502" s="196"/>
      <c r="C502" s="196"/>
      <c r="D502" s="196"/>
      <c r="E502" s="196"/>
      <c r="F502" s="196"/>
      <c r="G502" s="196"/>
      <c r="H502" s="196"/>
      <c r="L502" s="195"/>
      <c r="R502" s="80"/>
    </row>
    <row r="503" spans="1:18" x14ac:dyDescent="0.25">
      <c r="A503" s="185"/>
      <c r="B503" s="196"/>
      <c r="C503" s="196"/>
      <c r="D503" s="196"/>
      <c r="E503" s="196"/>
      <c r="F503" s="196"/>
      <c r="G503" s="196"/>
      <c r="H503" s="196"/>
      <c r="L503" s="195"/>
      <c r="R503" s="80"/>
    </row>
    <row r="504" spans="1:18" x14ac:dyDescent="0.25">
      <c r="A504" s="185"/>
      <c r="B504" s="196"/>
      <c r="C504" s="196"/>
      <c r="D504" s="196"/>
      <c r="E504" s="196"/>
      <c r="F504" s="196"/>
      <c r="G504" s="196"/>
      <c r="H504" s="196"/>
      <c r="L504" s="195"/>
      <c r="R504" s="80"/>
    </row>
    <row r="505" spans="1:18" x14ac:dyDescent="0.25">
      <c r="A505" s="185"/>
      <c r="B505" s="196"/>
      <c r="C505" s="196"/>
      <c r="D505" s="196"/>
      <c r="E505" s="196"/>
      <c r="F505" s="196"/>
      <c r="G505" s="196"/>
      <c r="H505" s="196"/>
      <c r="L505" s="195"/>
      <c r="R505" s="80"/>
    </row>
    <row r="506" spans="1:18" x14ac:dyDescent="0.25">
      <c r="A506" s="185"/>
      <c r="B506" s="196"/>
      <c r="C506" s="196"/>
      <c r="D506" s="196"/>
      <c r="E506" s="196"/>
      <c r="F506" s="196"/>
      <c r="G506" s="196"/>
      <c r="H506" s="196"/>
      <c r="L506" s="195"/>
      <c r="R506" s="80"/>
    </row>
    <row r="507" spans="1:18" x14ac:dyDescent="0.25">
      <c r="A507" s="185"/>
      <c r="B507" s="196"/>
      <c r="C507" s="196"/>
      <c r="D507" s="196"/>
      <c r="E507" s="196"/>
      <c r="F507" s="196"/>
      <c r="G507" s="196"/>
      <c r="H507" s="196"/>
      <c r="L507" s="195"/>
      <c r="R507" s="80"/>
    </row>
    <row r="508" spans="1:18" x14ac:dyDescent="0.25">
      <c r="A508" s="185"/>
      <c r="B508" s="196"/>
      <c r="C508" s="196"/>
      <c r="D508" s="196"/>
      <c r="E508" s="196"/>
      <c r="F508" s="196"/>
      <c r="G508" s="196"/>
      <c r="H508" s="196"/>
      <c r="L508" s="195"/>
      <c r="R508" s="80"/>
    </row>
    <row r="509" spans="1:18" x14ac:dyDescent="0.25">
      <c r="A509" s="185"/>
      <c r="B509" s="196"/>
      <c r="C509" s="196"/>
      <c r="D509" s="196"/>
      <c r="E509" s="196"/>
      <c r="F509" s="196"/>
      <c r="G509" s="196"/>
      <c r="H509" s="196"/>
      <c r="L509" s="195"/>
      <c r="R509" s="80"/>
    </row>
  </sheetData>
  <mergeCells count="328">
    <mergeCell ref="G225:L225"/>
    <mergeCell ref="G169:L169"/>
    <mergeCell ref="G19:L19"/>
    <mergeCell ref="A236:B236"/>
    <mergeCell ref="G235:I235"/>
    <mergeCell ref="G229:I229"/>
    <mergeCell ref="G196:I196"/>
    <mergeCell ref="G211:L211"/>
    <mergeCell ref="G174:I174"/>
    <mergeCell ref="G205:I205"/>
    <mergeCell ref="G152:I152"/>
    <mergeCell ref="A230:A232"/>
    <mergeCell ref="A193:A194"/>
    <mergeCell ref="G233:I233"/>
    <mergeCell ref="B230:B231"/>
    <mergeCell ref="C230:C231"/>
    <mergeCell ref="D230:D231"/>
    <mergeCell ref="G230:L230"/>
    <mergeCell ref="C193:C194"/>
    <mergeCell ref="C156:C157"/>
    <mergeCell ref="C175:C176"/>
    <mergeCell ref="D175:D176"/>
    <mergeCell ref="D156:D157"/>
    <mergeCell ref="C167:C168"/>
    <mergeCell ref="C73:C74"/>
    <mergeCell ref="D73:D74"/>
    <mergeCell ref="G126:I126"/>
    <mergeCell ref="G87:I87"/>
    <mergeCell ref="G116:I116"/>
    <mergeCell ref="G27:I27"/>
    <mergeCell ref="G25:I25"/>
    <mergeCell ref="G77:I77"/>
    <mergeCell ref="G39:I39"/>
    <mergeCell ref="G55:I55"/>
    <mergeCell ref="G30:I30"/>
    <mergeCell ref="G37:I37"/>
    <mergeCell ref="G79:I79"/>
    <mergeCell ref="G35:I35"/>
    <mergeCell ref="G50:L50"/>
    <mergeCell ref="G107:L107"/>
    <mergeCell ref="G69:L69"/>
    <mergeCell ref="G53:L53"/>
    <mergeCell ref="G100:L100"/>
    <mergeCell ref="M30:N30"/>
    <mergeCell ref="M27:N27"/>
    <mergeCell ref="M25:N25"/>
    <mergeCell ref="M21:N21"/>
    <mergeCell ref="M99:N99"/>
    <mergeCell ref="M84:N84"/>
    <mergeCell ref="M37:N37"/>
    <mergeCell ref="M23:N23"/>
    <mergeCell ref="M102:N102"/>
    <mergeCell ref="M45:N45"/>
    <mergeCell ref="M79:N79"/>
    <mergeCell ref="A80:A81"/>
    <mergeCell ref="B80:B81"/>
    <mergeCell ref="G21:I21"/>
    <mergeCell ref="M35:N35"/>
    <mergeCell ref="M39:N39"/>
    <mergeCell ref="M75:N75"/>
    <mergeCell ref="M66:N66"/>
    <mergeCell ref="M116:N116"/>
    <mergeCell ref="G82:I82"/>
    <mergeCell ref="G46:L46"/>
    <mergeCell ref="G44:I44"/>
    <mergeCell ref="G72:I72"/>
    <mergeCell ref="C40:C41"/>
    <mergeCell ref="D40:D41"/>
    <mergeCell ref="D61:D62"/>
    <mergeCell ref="C67:C68"/>
    <mergeCell ref="G90:I90"/>
    <mergeCell ref="A61:A62"/>
    <mergeCell ref="B61:B62"/>
    <mergeCell ref="D67:D68"/>
    <mergeCell ref="B67:B68"/>
    <mergeCell ref="C61:C62"/>
    <mergeCell ref="A73:A74"/>
    <mergeCell ref="B73:B74"/>
    <mergeCell ref="A2:A5"/>
    <mergeCell ref="G2:L2"/>
    <mergeCell ref="M2:Q2"/>
    <mergeCell ref="M16:N16"/>
    <mergeCell ref="G3:L4"/>
    <mergeCell ref="B2:F5"/>
    <mergeCell ref="B6:F6"/>
    <mergeCell ref="M3:Q4"/>
    <mergeCell ref="M8:N8"/>
    <mergeCell ref="M10:N10"/>
    <mergeCell ref="M13:N13"/>
    <mergeCell ref="G13:I13"/>
    <mergeCell ref="G8:I8"/>
    <mergeCell ref="G10:I10"/>
    <mergeCell ref="G16:I16"/>
    <mergeCell ref="G11:L11"/>
    <mergeCell ref="G14:L14"/>
    <mergeCell ref="M235:N235"/>
    <mergeCell ref="M203:N203"/>
    <mergeCell ref="M233:N233"/>
    <mergeCell ref="M205:N205"/>
    <mergeCell ref="A40:A41"/>
    <mergeCell ref="B40:B41"/>
    <mergeCell ref="G58:I58"/>
    <mergeCell ref="G67:L67"/>
    <mergeCell ref="A67:A68"/>
    <mergeCell ref="M174:N174"/>
    <mergeCell ref="M229:N229"/>
    <mergeCell ref="M199:N199"/>
    <mergeCell ref="M181:N181"/>
    <mergeCell ref="M188:N188"/>
    <mergeCell ref="M183:N183"/>
    <mergeCell ref="M196:N196"/>
    <mergeCell ref="M192:N192"/>
    <mergeCell ref="M138:N138"/>
    <mergeCell ref="M130:N130"/>
    <mergeCell ref="M121:N121"/>
    <mergeCell ref="M123:N123"/>
    <mergeCell ref="M140:N140"/>
    <mergeCell ref="M128:N128"/>
    <mergeCell ref="M126:N126"/>
    <mergeCell ref="D193:D194"/>
    <mergeCell ref="C206:C207"/>
    <mergeCell ref="D206:D207"/>
    <mergeCell ref="C197:C198"/>
    <mergeCell ref="D197:D198"/>
    <mergeCell ref="G186:L186"/>
    <mergeCell ref="M171:N171"/>
    <mergeCell ref="M166:N166"/>
    <mergeCell ref="G171:I171"/>
    <mergeCell ref="G192:I192"/>
    <mergeCell ref="G166:I166"/>
    <mergeCell ref="G193:L193"/>
    <mergeCell ref="G189:L189"/>
    <mergeCell ref="G184:L184"/>
    <mergeCell ref="G206:L206"/>
    <mergeCell ref="G167:L167"/>
    <mergeCell ref="G199:I199"/>
    <mergeCell ref="D184:D185"/>
    <mergeCell ref="C184:C185"/>
    <mergeCell ref="D167:D168"/>
    <mergeCell ref="A206:A207"/>
    <mergeCell ref="B206:B207"/>
    <mergeCell ref="A103:A104"/>
    <mergeCell ref="B103:B104"/>
    <mergeCell ref="A141:A142"/>
    <mergeCell ref="A167:A168"/>
    <mergeCell ref="A149:A150"/>
    <mergeCell ref="B149:B150"/>
    <mergeCell ref="A184:A185"/>
    <mergeCell ref="B184:B185"/>
    <mergeCell ref="A197:A198"/>
    <mergeCell ref="B197:B198"/>
    <mergeCell ref="B141:B142"/>
    <mergeCell ref="B167:B168"/>
    <mergeCell ref="A175:A176"/>
    <mergeCell ref="A153:A155"/>
    <mergeCell ref="R72:T72"/>
    <mergeCell ref="R52:T52"/>
    <mergeCell ref="R118:T118"/>
    <mergeCell ref="R116:T116"/>
    <mergeCell ref="R90:T90"/>
    <mergeCell ref="M158:N158"/>
    <mergeCell ref="M163:N163"/>
    <mergeCell ref="M155:N155"/>
    <mergeCell ref="M148:N148"/>
    <mergeCell ref="M133:N133"/>
    <mergeCell ref="M118:N118"/>
    <mergeCell ref="M55:N55"/>
    <mergeCell ref="M60:N60"/>
    <mergeCell ref="M87:N87"/>
    <mergeCell ref="M58:N58"/>
    <mergeCell ref="M52:N52"/>
    <mergeCell ref="M77:N77"/>
    <mergeCell ref="M82:N82"/>
    <mergeCell ref="M152:N152"/>
    <mergeCell ref="R21:T21"/>
    <mergeCell ref="R23:T23"/>
    <mergeCell ref="R25:T25"/>
    <mergeCell ref="R27:T27"/>
    <mergeCell ref="R148:T148"/>
    <mergeCell ref="R126:T126"/>
    <mergeCell ref="R128:T128"/>
    <mergeCell ref="G56:L56"/>
    <mergeCell ref="G131:L131"/>
    <mergeCell ref="G93:L93"/>
    <mergeCell ref="G92:I92"/>
    <mergeCell ref="G99:I99"/>
    <mergeCell ref="G118:I118"/>
    <mergeCell ref="M97:N97"/>
    <mergeCell ref="G140:I140"/>
    <mergeCell ref="G48:L48"/>
    <mergeCell ref="G23:I23"/>
    <mergeCell ref="G40:L40"/>
    <mergeCell ref="M43:N43"/>
    <mergeCell ref="M90:N90"/>
    <mergeCell ref="M92:N92"/>
    <mergeCell ref="M72:N72"/>
    <mergeCell ref="G60:I60"/>
    <mergeCell ref="G66:I66"/>
    <mergeCell ref="R235:T235"/>
    <mergeCell ref="R184:W184"/>
    <mergeCell ref="R188:T188"/>
    <mergeCell ref="R192:T192"/>
    <mergeCell ref="R193:W193"/>
    <mergeCell ref="R28:W28"/>
    <mergeCell ref="R30:T30"/>
    <mergeCell ref="R35:T35"/>
    <mergeCell ref="R37:T37"/>
    <mergeCell ref="R39:T39"/>
    <mergeCell ref="R183:T183"/>
    <mergeCell ref="R152:T152"/>
    <mergeCell ref="R155:T155"/>
    <mergeCell ref="R121:T121"/>
    <mergeCell ref="R123:T123"/>
    <mergeCell ref="R181:T181"/>
    <mergeCell ref="R102:T102"/>
    <mergeCell ref="R75:T75"/>
    <mergeCell ref="R77:T77"/>
    <mergeCell ref="R99:T99"/>
    <mergeCell ref="R97:T97"/>
    <mergeCell ref="R206:W206"/>
    <mergeCell ref="R211:W211"/>
    <mergeCell ref="R229:T229"/>
    <mergeCell ref="A1:W1"/>
    <mergeCell ref="R133:T133"/>
    <mergeCell ref="R138:T138"/>
    <mergeCell ref="R140:T140"/>
    <mergeCell ref="R141:W141"/>
    <mergeCell ref="D141:D142"/>
    <mergeCell ref="R92:T92"/>
    <mergeCell ref="R45:T45"/>
    <mergeCell ref="R43:T43"/>
    <mergeCell ref="R2:W2"/>
    <mergeCell ref="R55:T55"/>
    <mergeCell ref="R58:T58"/>
    <mergeCell ref="R60:T60"/>
    <mergeCell ref="R3:W4"/>
    <mergeCell ref="R8:T8"/>
    <mergeCell ref="R10:T10"/>
    <mergeCell ref="R13:T13"/>
    <mergeCell ref="R16:T16"/>
    <mergeCell ref="R79:T79"/>
    <mergeCell ref="R82:T82"/>
    <mergeCell ref="R84:T84"/>
    <mergeCell ref="R87:T87"/>
    <mergeCell ref="R130:T130"/>
    <mergeCell ref="R66:T66"/>
    <mergeCell ref="R230:W230"/>
    <mergeCell ref="R233:T233"/>
    <mergeCell ref="R158:T158"/>
    <mergeCell ref="R163:T163"/>
    <mergeCell ref="R166:T166"/>
    <mergeCell ref="R171:T171"/>
    <mergeCell ref="R196:T196"/>
    <mergeCell ref="R197:W197"/>
    <mergeCell ref="R199:T199"/>
    <mergeCell ref="R203:T203"/>
    <mergeCell ref="R205:T205"/>
    <mergeCell ref="R174:T174"/>
    <mergeCell ref="A17:A18"/>
    <mergeCell ref="B17:F18"/>
    <mergeCell ref="G17:L17"/>
    <mergeCell ref="C149:C150"/>
    <mergeCell ref="D149:D150"/>
    <mergeCell ref="E149:E150"/>
    <mergeCell ref="F149:F150"/>
    <mergeCell ref="G103:L103"/>
    <mergeCell ref="A28:A29"/>
    <mergeCell ref="B28:B29"/>
    <mergeCell ref="C80:C81"/>
    <mergeCell ref="D80:D81"/>
    <mergeCell ref="C103:C104"/>
    <mergeCell ref="D103:D104"/>
    <mergeCell ref="C141:C142"/>
    <mergeCell ref="G61:L61"/>
    <mergeCell ref="G75:I75"/>
    <mergeCell ref="G63:L63"/>
    <mergeCell ref="G43:I43"/>
    <mergeCell ref="G52:I52"/>
    <mergeCell ref="G45:I45"/>
    <mergeCell ref="G141:L141"/>
    <mergeCell ref="G128:I128"/>
    <mergeCell ref="G73:L73"/>
    <mergeCell ref="A85:A86"/>
    <mergeCell ref="B85:B86"/>
    <mergeCell ref="C85:C86"/>
    <mergeCell ref="D85:D86"/>
    <mergeCell ref="E85:F86"/>
    <mergeCell ref="G134:L134"/>
    <mergeCell ref="B193:B194"/>
    <mergeCell ref="B175:B176"/>
    <mergeCell ref="G102:I102"/>
    <mergeCell ref="G97:I97"/>
    <mergeCell ref="A156:A157"/>
    <mergeCell ref="B156:B157"/>
    <mergeCell ref="G177:L177"/>
    <mergeCell ref="G175:L175"/>
    <mergeCell ref="G138:I138"/>
    <mergeCell ref="G149:L149"/>
    <mergeCell ref="G148:I148"/>
    <mergeCell ref="G130:I130"/>
    <mergeCell ref="G121:I121"/>
    <mergeCell ref="G123:I123"/>
    <mergeCell ref="G179:L179"/>
    <mergeCell ref="G183:I183"/>
    <mergeCell ref="G188:I188"/>
    <mergeCell ref="G181:I181"/>
    <mergeCell ref="G221:L221"/>
    <mergeCell ref="G222:I222"/>
    <mergeCell ref="G223:L223"/>
    <mergeCell ref="G85:L85"/>
    <mergeCell ref="G80:L80"/>
    <mergeCell ref="G197:L197"/>
    <mergeCell ref="G84:I84"/>
    <mergeCell ref="G203:I203"/>
    <mergeCell ref="G105:L105"/>
    <mergeCell ref="G133:I133"/>
    <mergeCell ref="G219:L219"/>
    <mergeCell ref="G158:I158"/>
    <mergeCell ref="G155:I155"/>
    <mergeCell ref="G163:I163"/>
    <mergeCell ref="G156:L156"/>
    <mergeCell ref="G109:L109"/>
    <mergeCell ref="G119:L119"/>
    <mergeCell ref="G124:L124"/>
    <mergeCell ref="G159:L159"/>
    <mergeCell ref="G143:L143"/>
    <mergeCell ref="G161:L161"/>
    <mergeCell ref="G146:L146"/>
  </mergeCells>
  <phoneticPr fontId="4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G617"/>
  <sheetViews>
    <sheetView topLeftCell="A323" zoomScale="55" zoomScaleNormal="55" workbookViewId="0">
      <selection activeCell="J340" sqref="J340"/>
    </sheetView>
  </sheetViews>
  <sheetFormatPr defaultRowHeight="15" x14ac:dyDescent="0.25"/>
  <cols>
    <col min="1" max="1" width="36.7109375" style="135" customWidth="1"/>
    <col min="2" max="2" width="6.7109375" style="195" customWidth="1"/>
    <col min="3" max="3" width="3.7109375" style="195" customWidth="1"/>
    <col min="4" max="4" width="6.7109375" style="195" customWidth="1"/>
    <col min="5" max="5" width="3.7109375" style="195" customWidth="1"/>
    <col min="6" max="6" width="6.7109375" style="195" customWidth="1"/>
    <col min="7" max="7" width="22.85546875" style="195" customWidth="1"/>
    <col min="8" max="8" width="32" style="195" customWidth="1"/>
    <col min="9" max="11" width="15.7109375" style="195" customWidth="1"/>
    <col min="12" max="12" width="15.7109375" style="196" customWidth="1"/>
    <col min="13" max="13" width="34.28515625" style="195" customWidth="1"/>
    <col min="14" max="14" width="26.140625" style="195" customWidth="1"/>
    <col min="15" max="15" width="15.7109375" style="195" customWidth="1"/>
    <col min="16" max="16" width="11.7109375" style="195" customWidth="1"/>
    <col min="17" max="17" width="15.7109375" style="195" customWidth="1"/>
    <col min="18" max="26" width="9.140625" style="80" hidden="1" customWidth="1"/>
    <col min="27" max="27" width="8.85546875" style="80" hidden="1" customWidth="1"/>
    <col min="28" max="28" width="16.85546875" style="80" customWidth="1"/>
    <col min="29" max="29" width="26.85546875" style="80" customWidth="1"/>
    <col min="30" max="30" width="15.85546875" style="80" customWidth="1"/>
    <col min="31" max="31" width="13.42578125" style="80" customWidth="1"/>
    <col min="32" max="16384" width="9.140625" style="80"/>
  </cols>
  <sheetData>
    <row r="1" spans="1:33" ht="15" customHeight="1" x14ac:dyDescent="0.25">
      <c r="A1" s="2713" t="s">
        <v>2203</v>
      </c>
      <c r="B1" s="2714"/>
      <c r="C1" s="2714"/>
      <c r="D1" s="2714"/>
      <c r="E1" s="2714"/>
      <c r="F1" s="2714"/>
      <c r="G1" s="2714"/>
      <c r="H1" s="2714"/>
      <c r="I1" s="2714"/>
      <c r="J1" s="2714"/>
      <c r="K1" s="2714"/>
      <c r="L1" s="2714"/>
      <c r="M1" s="2714"/>
      <c r="N1" s="2714"/>
      <c r="O1" s="2714"/>
      <c r="P1" s="2714"/>
      <c r="Q1" s="2714"/>
      <c r="R1" s="2714"/>
      <c r="S1" s="2714"/>
      <c r="T1" s="2714"/>
      <c r="U1" s="2714"/>
      <c r="V1" s="2714"/>
      <c r="W1" s="2714"/>
      <c r="X1" s="2714"/>
      <c r="Y1" s="2714"/>
      <c r="Z1" s="2714"/>
      <c r="AA1" s="2714"/>
      <c r="AB1" s="2714"/>
      <c r="AC1" s="2714"/>
      <c r="AD1" s="2714"/>
      <c r="AE1" s="2714"/>
      <c r="AF1" s="2714"/>
      <c r="AG1" s="2714"/>
    </row>
    <row r="2" spans="1:33" ht="15" customHeight="1" x14ac:dyDescent="0.25">
      <c r="A2" s="2740" t="s">
        <v>330</v>
      </c>
      <c r="B2" s="2715" t="s">
        <v>1762</v>
      </c>
      <c r="C2" s="2716"/>
      <c r="D2" s="2716"/>
      <c r="E2" s="2716"/>
      <c r="F2" s="2717"/>
      <c r="G2" s="2723" t="s">
        <v>1814</v>
      </c>
      <c r="H2" s="2724"/>
      <c r="I2" s="2724"/>
      <c r="J2" s="2724"/>
      <c r="K2" s="2724"/>
      <c r="L2" s="2619"/>
      <c r="M2" s="2580" t="s">
        <v>1815</v>
      </c>
      <c r="N2" s="2580"/>
      <c r="O2" s="2580"/>
      <c r="P2" s="2580"/>
      <c r="Q2" s="2580"/>
      <c r="R2" s="2744" t="s">
        <v>1816</v>
      </c>
      <c r="S2" s="2744"/>
      <c r="T2" s="2744"/>
      <c r="U2" s="2744"/>
      <c r="V2" s="2744"/>
      <c r="W2" s="2744" t="s">
        <v>1817</v>
      </c>
      <c r="X2" s="2744"/>
      <c r="Y2" s="2744"/>
      <c r="Z2" s="2744"/>
      <c r="AA2" s="2745"/>
      <c r="AB2" s="2580" t="s">
        <v>2500</v>
      </c>
      <c r="AC2" s="2580"/>
      <c r="AD2" s="2580"/>
      <c r="AE2" s="2580"/>
      <c r="AF2" s="2580"/>
      <c r="AG2" s="2580"/>
    </row>
    <row r="3" spans="1:33" ht="15" customHeight="1" x14ac:dyDescent="0.25">
      <c r="A3" s="2741"/>
      <c r="B3" s="2718"/>
      <c r="C3" s="2610"/>
      <c r="D3" s="2610"/>
      <c r="E3" s="2610"/>
      <c r="F3" s="2719"/>
      <c r="G3" s="2581" t="s">
        <v>1818</v>
      </c>
      <c r="H3" s="2580"/>
      <c r="I3" s="2580"/>
      <c r="J3" s="2580"/>
      <c r="K3" s="2580"/>
      <c r="L3" s="2580"/>
      <c r="M3" s="2581" t="s">
        <v>1819</v>
      </c>
      <c r="N3" s="2580"/>
      <c r="O3" s="2580"/>
      <c r="P3" s="2580"/>
      <c r="Q3" s="2580"/>
      <c r="R3" s="2746" t="s">
        <v>1820</v>
      </c>
      <c r="S3" s="2744"/>
      <c r="T3" s="2744"/>
      <c r="U3" s="2744"/>
      <c r="V3" s="2744"/>
      <c r="W3" s="2746" t="s">
        <v>1821</v>
      </c>
      <c r="X3" s="2744"/>
      <c r="Y3" s="2744"/>
      <c r="Z3" s="2744"/>
      <c r="AA3" s="2745"/>
      <c r="AB3" s="2581" t="s">
        <v>2501</v>
      </c>
      <c r="AC3" s="2580"/>
      <c r="AD3" s="2580"/>
      <c r="AE3" s="2580"/>
      <c r="AF3" s="2580"/>
      <c r="AG3" s="2580"/>
    </row>
    <row r="4" spans="1:33" x14ac:dyDescent="0.25">
      <c r="A4" s="2741"/>
      <c r="B4" s="2718"/>
      <c r="C4" s="2610"/>
      <c r="D4" s="2610"/>
      <c r="E4" s="2610"/>
      <c r="F4" s="2719"/>
      <c r="G4" s="2580"/>
      <c r="H4" s="2580"/>
      <c r="I4" s="2580"/>
      <c r="J4" s="2580"/>
      <c r="K4" s="2580"/>
      <c r="L4" s="2580"/>
      <c r="M4" s="2580"/>
      <c r="N4" s="2580"/>
      <c r="O4" s="2580"/>
      <c r="P4" s="2580"/>
      <c r="Q4" s="2580"/>
      <c r="R4" s="2744"/>
      <c r="S4" s="2744"/>
      <c r="T4" s="2744"/>
      <c r="U4" s="2744"/>
      <c r="V4" s="2744"/>
      <c r="W4" s="2744"/>
      <c r="X4" s="2744"/>
      <c r="Y4" s="2744"/>
      <c r="Z4" s="2744"/>
      <c r="AA4" s="2745"/>
      <c r="AB4" s="2580"/>
      <c r="AC4" s="2580"/>
      <c r="AD4" s="2580"/>
      <c r="AE4" s="2580"/>
      <c r="AF4" s="2580"/>
      <c r="AG4" s="2580"/>
    </row>
    <row r="5" spans="1:33" ht="89.25" x14ac:dyDescent="0.25">
      <c r="A5" s="2742"/>
      <c r="B5" s="2720"/>
      <c r="C5" s="2721"/>
      <c r="D5" s="2721"/>
      <c r="E5" s="2721"/>
      <c r="F5" s="2722"/>
      <c r="G5" s="1" t="s">
        <v>1822</v>
      </c>
      <c r="H5" s="1" t="s">
        <v>1828</v>
      </c>
      <c r="I5" s="1" t="s">
        <v>1824</v>
      </c>
      <c r="J5" s="1" t="s">
        <v>1825</v>
      </c>
      <c r="K5" s="1" t="s">
        <v>1826</v>
      </c>
      <c r="L5" s="22" t="s">
        <v>1827</v>
      </c>
      <c r="M5" s="1" t="s">
        <v>1822</v>
      </c>
      <c r="N5" s="1" t="s">
        <v>1828</v>
      </c>
      <c r="O5" s="1" t="s">
        <v>1825</v>
      </c>
      <c r="P5" s="1" t="s">
        <v>1826</v>
      </c>
      <c r="Q5" s="1" t="s">
        <v>1827</v>
      </c>
      <c r="R5" s="11" t="s">
        <v>1822</v>
      </c>
      <c r="S5" s="11" t="s">
        <v>1828</v>
      </c>
      <c r="T5" s="11" t="s">
        <v>1825</v>
      </c>
      <c r="U5" s="11" t="s">
        <v>1826</v>
      </c>
      <c r="V5" s="11" t="s">
        <v>1827</v>
      </c>
      <c r="W5" s="11" t="s">
        <v>1822</v>
      </c>
      <c r="X5" s="11" t="s">
        <v>1828</v>
      </c>
      <c r="Y5" s="11" t="s">
        <v>1825</v>
      </c>
      <c r="Z5" s="11" t="s">
        <v>1826</v>
      </c>
      <c r="AA5" s="29" t="s">
        <v>1827</v>
      </c>
      <c r="AB5" s="1" t="s">
        <v>1822</v>
      </c>
      <c r="AC5" s="1" t="s">
        <v>1828</v>
      </c>
      <c r="AD5" s="1" t="s">
        <v>1824</v>
      </c>
      <c r="AE5" s="1" t="s">
        <v>1825</v>
      </c>
      <c r="AF5" s="1" t="s">
        <v>1826</v>
      </c>
      <c r="AG5" s="22" t="s">
        <v>1827</v>
      </c>
    </row>
    <row r="6" spans="1:33" x14ac:dyDescent="0.25">
      <c r="A6" s="155">
        <v>1</v>
      </c>
      <c r="B6" s="2723">
        <v>2</v>
      </c>
      <c r="C6" s="2724"/>
      <c r="D6" s="2724"/>
      <c r="E6" s="2724"/>
      <c r="F6" s="2619"/>
      <c r="G6" s="152">
        <v>3</v>
      </c>
      <c r="H6" s="1">
        <v>4</v>
      </c>
      <c r="I6" s="1">
        <v>5</v>
      </c>
      <c r="J6" s="1">
        <v>6</v>
      </c>
      <c r="K6" s="1">
        <v>7</v>
      </c>
      <c r="L6" s="22">
        <v>8</v>
      </c>
      <c r="M6" s="1">
        <v>9</v>
      </c>
      <c r="N6" s="1">
        <v>10</v>
      </c>
      <c r="O6" s="1">
        <v>11</v>
      </c>
      <c r="P6" s="1">
        <v>12</v>
      </c>
      <c r="Q6" s="1">
        <v>13</v>
      </c>
      <c r="R6" s="11">
        <v>14</v>
      </c>
      <c r="S6" s="11">
        <v>15</v>
      </c>
      <c r="T6" s="11">
        <v>16</v>
      </c>
      <c r="U6" s="11">
        <v>17</v>
      </c>
      <c r="V6" s="11">
        <v>18</v>
      </c>
      <c r="W6" s="11">
        <v>20</v>
      </c>
      <c r="X6" s="11">
        <v>21</v>
      </c>
      <c r="Y6" s="11">
        <v>22</v>
      </c>
      <c r="Z6" s="11">
        <v>23</v>
      </c>
      <c r="AA6" s="29">
        <v>24</v>
      </c>
      <c r="AB6" s="1">
        <v>14</v>
      </c>
      <c r="AC6" s="1">
        <v>15</v>
      </c>
      <c r="AD6" s="1">
        <v>16</v>
      </c>
      <c r="AE6" s="1">
        <v>17</v>
      </c>
      <c r="AF6" s="1">
        <v>18</v>
      </c>
      <c r="AG6" s="22">
        <v>19</v>
      </c>
    </row>
    <row r="7" spans="1:33" s="434" customFormat="1" ht="12.75" customHeight="1" x14ac:dyDescent="0.25">
      <c r="A7" s="499" t="str">
        <f>Итоговая!C157</f>
        <v xml:space="preserve">ПС  35/6 кВ Микрорайонная </v>
      </c>
      <c r="B7" s="500">
        <f>Итоговая!D157</f>
        <v>6.3</v>
      </c>
      <c r="C7" s="501"/>
      <c r="D7" s="501"/>
      <c r="E7" s="501"/>
      <c r="F7" s="502"/>
      <c r="G7" s="2743" t="s">
        <v>2033</v>
      </c>
      <c r="H7" s="2743"/>
      <c r="I7" s="2743"/>
      <c r="J7" s="2743"/>
      <c r="K7" s="2743"/>
      <c r="L7" s="2674"/>
      <c r="N7" s="431"/>
      <c r="O7" s="414"/>
      <c r="P7" s="414"/>
      <c r="Q7" s="414"/>
      <c r="R7" s="418"/>
      <c r="S7" s="418"/>
      <c r="T7" s="418"/>
      <c r="U7" s="432"/>
      <c r="V7" s="418"/>
      <c r="W7" s="418"/>
      <c r="X7" s="418"/>
      <c r="Y7" s="418"/>
      <c r="Z7" s="418"/>
      <c r="AA7" s="433"/>
      <c r="AB7" s="2732"/>
      <c r="AC7" s="2732"/>
      <c r="AD7" s="2732"/>
      <c r="AE7" s="2732"/>
      <c r="AF7" s="2732"/>
      <c r="AG7" s="2735"/>
    </row>
    <row r="8" spans="1:33" s="434" customFormat="1" ht="60" x14ac:dyDescent="0.25">
      <c r="A8" s="499"/>
      <c r="B8" s="500"/>
      <c r="C8" s="501"/>
      <c r="D8" s="501"/>
      <c r="E8" s="501"/>
      <c r="F8" s="502"/>
      <c r="G8" s="436" t="s">
        <v>2370</v>
      </c>
      <c r="H8" s="435" t="s">
        <v>2371</v>
      </c>
      <c r="I8" s="436" t="s">
        <v>2465</v>
      </c>
      <c r="J8" s="435">
        <v>9.9000000000000005E-2</v>
      </c>
      <c r="K8" s="435"/>
      <c r="L8" s="435"/>
      <c r="M8" s="431"/>
      <c r="N8" s="1516"/>
      <c r="O8" s="1273"/>
      <c r="P8" s="1273"/>
      <c r="Q8" s="1273"/>
      <c r="R8" s="301"/>
      <c r="S8" s="301"/>
      <c r="T8" s="301"/>
      <c r="U8" s="301"/>
      <c r="V8" s="301"/>
      <c r="W8" s="301"/>
      <c r="X8" s="301"/>
      <c r="Y8" s="301"/>
      <c r="Z8" s="301"/>
      <c r="AA8" s="301"/>
      <c r="AB8" s="1273"/>
      <c r="AC8" s="1273"/>
      <c r="AD8" s="1273"/>
      <c r="AE8" s="1273"/>
      <c r="AF8" s="1273"/>
      <c r="AG8" s="1273"/>
    </row>
    <row r="9" spans="1:33" s="434" customFormat="1" x14ac:dyDescent="0.25">
      <c r="A9" s="1190"/>
      <c r="B9" s="1196"/>
      <c r="C9" s="1194"/>
      <c r="D9" s="1194"/>
      <c r="E9" s="1194"/>
      <c r="F9" s="1195"/>
      <c r="G9" s="2683" t="s">
        <v>3019</v>
      </c>
      <c r="H9" s="2682"/>
      <c r="I9" s="2682"/>
      <c r="J9" s="2682"/>
      <c r="K9" s="2682"/>
      <c r="L9" s="2678"/>
      <c r="M9" s="431"/>
      <c r="N9" s="1273"/>
      <c r="O9" s="1273"/>
      <c r="P9" s="1273"/>
      <c r="Q9" s="1273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1273"/>
      <c r="AC9" s="1273"/>
      <c r="AD9" s="1273"/>
      <c r="AE9" s="1273"/>
      <c r="AF9" s="1273"/>
      <c r="AG9" s="1273"/>
    </row>
    <row r="10" spans="1:33" s="434" customFormat="1" x14ac:dyDescent="0.25">
      <c r="A10" s="1190"/>
      <c r="B10" s="1196"/>
      <c r="C10" s="1194"/>
      <c r="D10" s="1194"/>
      <c r="E10" s="1194"/>
      <c r="F10" s="1195"/>
      <c r="G10" s="2624"/>
      <c r="H10" s="2599"/>
      <c r="I10" s="2600"/>
      <c r="J10" s="69"/>
      <c r="K10" s="69"/>
      <c r="L10" s="69"/>
      <c r="M10" s="431"/>
      <c r="N10" s="1273"/>
      <c r="O10" s="1273"/>
      <c r="P10" s="1273"/>
      <c r="Q10" s="1273"/>
      <c r="R10" s="301"/>
      <c r="S10" s="301"/>
      <c r="T10" s="301"/>
      <c r="U10" s="301"/>
      <c r="V10" s="301"/>
      <c r="W10" s="301"/>
      <c r="X10" s="301"/>
      <c r="Y10" s="301"/>
      <c r="Z10" s="301"/>
      <c r="AA10" s="301"/>
      <c r="AB10" s="1273"/>
      <c r="AC10" s="1273"/>
      <c r="AD10" s="1273"/>
      <c r="AE10" s="1273"/>
      <c r="AF10" s="1273"/>
      <c r="AG10" s="1273"/>
    </row>
    <row r="11" spans="1:33" s="434" customFormat="1" x14ac:dyDescent="0.25">
      <c r="A11" s="1749"/>
      <c r="B11" s="1766"/>
      <c r="C11" s="1762"/>
      <c r="D11" s="1762"/>
      <c r="E11" s="1762"/>
      <c r="F11" s="1763"/>
      <c r="G11" s="2683" t="s">
        <v>3405</v>
      </c>
      <c r="H11" s="2682"/>
      <c r="I11" s="2682"/>
      <c r="J11" s="2682"/>
      <c r="K11" s="2682"/>
      <c r="L11" s="2678"/>
      <c r="M11" s="1067"/>
      <c r="N11" s="455"/>
      <c r="O11" s="450"/>
      <c r="P11" s="450"/>
      <c r="Q11" s="450"/>
      <c r="R11" s="451"/>
      <c r="S11" s="452"/>
      <c r="T11" s="453"/>
      <c r="U11" s="453"/>
      <c r="V11" s="453"/>
      <c r="W11" s="451"/>
      <c r="X11" s="452"/>
      <c r="Y11" s="453"/>
      <c r="Z11" s="453"/>
      <c r="AA11" s="451"/>
      <c r="AB11" s="601"/>
      <c r="AC11" s="699"/>
      <c r="AD11" s="455"/>
      <c r="AE11" s="450"/>
      <c r="AF11" s="450"/>
      <c r="AG11" s="450"/>
    </row>
    <row r="12" spans="1:33" s="434" customFormat="1" ht="60" x14ac:dyDescent="0.25">
      <c r="A12" s="1749"/>
      <c r="B12" s="1766"/>
      <c r="C12" s="1762"/>
      <c r="D12" s="1762"/>
      <c r="E12" s="1762"/>
      <c r="F12" s="1763"/>
      <c r="G12" s="431" t="s">
        <v>15316</v>
      </c>
      <c r="H12" s="1751" t="s">
        <v>15317</v>
      </c>
      <c r="I12" s="1751" t="s">
        <v>16876</v>
      </c>
      <c r="J12" s="69">
        <f>0.1*0.9</f>
        <v>9.0000000000000011E-2</v>
      </c>
      <c r="K12" s="69"/>
      <c r="L12" s="69"/>
      <c r="M12" s="1067"/>
      <c r="N12" s="455"/>
      <c r="O12" s="450"/>
      <c r="P12" s="450"/>
      <c r="Q12" s="450"/>
      <c r="R12" s="451"/>
      <c r="S12" s="452"/>
      <c r="T12" s="453"/>
      <c r="U12" s="453"/>
      <c r="V12" s="453"/>
      <c r="W12" s="451"/>
      <c r="X12" s="452"/>
      <c r="Y12" s="453"/>
      <c r="Z12" s="453"/>
      <c r="AA12" s="451"/>
      <c r="AB12" s="601"/>
      <c r="AC12" s="699"/>
      <c r="AD12" s="455"/>
      <c r="AE12" s="450"/>
      <c r="AF12" s="450"/>
      <c r="AG12" s="450"/>
    </row>
    <row r="13" spans="1:33" s="434" customFormat="1" x14ac:dyDescent="0.25">
      <c r="A13" s="2013"/>
      <c r="B13" s="2031"/>
      <c r="C13" s="2027"/>
      <c r="D13" s="2027"/>
      <c r="E13" s="2027"/>
      <c r="F13" s="2028"/>
      <c r="G13" s="2683" t="s">
        <v>17067</v>
      </c>
      <c r="H13" s="2682"/>
      <c r="I13" s="2682"/>
      <c r="J13" s="2682"/>
      <c r="K13" s="2682"/>
      <c r="L13" s="2678"/>
      <c r="M13" s="1067"/>
      <c r="N13" s="455"/>
      <c r="O13" s="450"/>
      <c r="P13" s="450"/>
      <c r="Q13" s="450"/>
      <c r="R13" s="451"/>
      <c r="S13" s="452"/>
      <c r="T13" s="453"/>
      <c r="U13" s="453"/>
      <c r="V13" s="453"/>
      <c r="W13" s="451"/>
      <c r="X13" s="452"/>
      <c r="Y13" s="453"/>
      <c r="Z13" s="453"/>
      <c r="AA13" s="451"/>
      <c r="AB13" s="601"/>
      <c r="AC13" s="699"/>
      <c r="AD13" s="455"/>
      <c r="AE13" s="450"/>
      <c r="AF13" s="450"/>
      <c r="AG13" s="450"/>
    </row>
    <row r="14" spans="1:33" s="434" customFormat="1" ht="120" x14ac:dyDescent="0.25">
      <c r="A14" s="2013"/>
      <c r="B14" s="2031"/>
      <c r="C14" s="2027"/>
      <c r="D14" s="2027"/>
      <c r="E14" s="2027"/>
      <c r="F14" s="2028"/>
      <c r="G14" s="431" t="s">
        <v>16989</v>
      </c>
      <c r="H14" s="2227" t="s">
        <v>16990</v>
      </c>
      <c r="I14" s="2227" t="s">
        <v>17077</v>
      </c>
      <c r="J14" s="2218">
        <v>0.1</v>
      </c>
      <c r="K14" s="2218"/>
      <c r="L14" s="2218"/>
      <c r="M14" s="1067"/>
      <c r="N14" s="455"/>
      <c r="O14" s="450"/>
      <c r="P14" s="450"/>
      <c r="Q14" s="450"/>
      <c r="R14" s="451"/>
      <c r="S14" s="452"/>
      <c r="T14" s="453"/>
      <c r="U14" s="453"/>
      <c r="V14" s="453"/>
      <c r="W14" s="451"/>
      <c r="X14" s="452"/>
      <c r="Y14" s="453"/>
      <c r="Z14" s="453"/>
      <c r="AA14" s="451"/>
      <c r="AB14" s="601"/>
      <c r="AC14" s="699"/>
      <c r="AD14" s="455"/>
      <c r="AE14" s="450"/>
      <c r="AF14" s="450"/>
      <c r="AG14" s="450"/>
    </row>
    <row r="15" spans="1:33" s="434" customFormat="1" x14ac:dyDescent="0.25">
      <c r="A15" s="2222"/>
      <c r="B15" s="2250"/>
      <c r="C15" s="2247"/>
      <c r="D15" s="2247"/>
      <c r="E15" s="2247"/>
      <c r="F15" s="2248"/>
      <c r="G15" s="2758" t="s">
        <v>3401</v>
      </c>
      <c r="H15" s="2758"/>
      <c r="I15" s="2758"/>
      <c r="J15" s="1608">
        <f>0.145*0.9</f>
        <v>0.1305</v>
      </c>
      <c r="K15" s="1608"/>
      <c r="L15" s="1608"/>
      <c r="M15" s="1067"/>
      <c r="N15" s="455"/>
      <c r="O15" s="450"/>
      <c r="P15" s="450"/>
      <c r="Q15" s="450"/>
      <c r="R15" s="451"/>
      <c r="S15" s="452"/>
      <c r="T15" s="453"/>
      <c r="U15" s="453"/>
      <c r="V15" s="453"/>
      <c r="W15" s="451"/>
      <c r="X15" s="452"/>
      <c r="Y15" s="453"/>
      <c r="Z15" s="453"/>
      <c r="AA15" s="451"/>
      <c r="AB15" s="601"/>
      <c r="AC15" s="699"/>
      <c r="AD15" s="455"/>
      <c r="AE15" s="450"/>
      <c r="AF15" s="450"/>
      <c r="AG15" s="450"/>
    </row>
    <row r="16" spans="1:33" ht="15.75" thickBot="1" x14ac:dyDescent="0.3">
      <c r="A16" s="503"/>
      <c r="B16" s="504"/>
      <c r="C16" s="505"/>
      <c r="D16" s="505"/>
      <c r="E16" s="505"/>
      <c r="F16" s="506"/>
      <c r="G16" s="2578" t="s">
        <v>1833</v>
      </c>
      <c r="H16" s="2578"/>
      <c r="I16" s="2579"/>
      <c r="J16" s="13">
        <f>SUM(J12:J15)</f>
        <v>0.32050000000000001</v>
      </c>
      <c r="K16" s="14">
        <v>0.92</v>
      </c>
      <c r="L16" s="13">
        <f>J16/K16</f>
        <v>0.34836956521739132</v>
      </c>
      <c r="M16" s="2577" t="s">
        <v>1834</v>
      </c>
      <c r="N16" s="2579"/>
      <c r="O16" s="13">
        <f>SUM(O7:O8)</f>
        <v>0</v>
      </c>
      <c r="P16" s="14">
        <v>0.92</v>
      </c>
      <c r="Q16" s="13">
        <f>O16/P16</f>
        <v>0</v>
      </c>
      <c r="R16" s="2738" t="s">
        <v>1835</v>
      </c>
      <c r="S16" s="2739"/>
      <c r="T16" s="30">
        <f>SUM(T7:T7)</f>
        <v>0</v>
      </c>
      <c r="U16" s="31">
        <v>0.8</v>
      </c>
      <c r="V16" s="30">
        <f>T16/U16</f>
        <v>0</v>
      </c>
      <c r="W16" s="2738" t="s">
        <v>1836</v>
      </c>
      <c r="X16" s="2739"/>
      <c r="Y16" s="30">
        <f>SUM(Y7:Y7)</f>
        <v>0</v>
      </c>
      <c r="Z16" s="31">
        <v>0.8</v>
      </c>
      <c r="AA16" s="32">
        <f>Y16/Z16</f>
        <v>0</v>
      </c>
      <c r="AB16" s="2577" t="s">
        <v>1833</v>
      </c>
      <c r="AC16" s="2578"/>
      <c r="AD16" s="2579"/>
      <c r="AE16" s="13">
        <f>SUM(AE8)</f>
        <v>0</v>
      </c>
      <c r="AF16" s="14">
        <v>0.92</v>
      </c>
      <c r="AG16" s="13">
        <f>AE16/AF16</f>
        <v>0</v>
      </c>
    </row>
    <row r="17" spans="1:33" s="434" customFormat="1" ht="15.75" thickBot="1" x14ac:dyDescent="0.3">
      <c r="A17" s="2689" t="str">
        <f>Итоговая!C158</f>
        <v xml:space="preserve">ПС  35/10 кВ Барыково </v>
      </c>
      <c r="B17" s="2689">
        <f>Итоговая!D158</f>
        <v>2.5</v>
      </c>
      <c r="C17" s="2691" t="str">
        <f>Итоговая!E158</f>
        <v>+</v>
      </c>
      <c r="D17" s="2691">
        <f>Итоговая!F158</f>
        <v>2.5</v>
      </c>
      <c r="E17" s="508"/>
      <c r="F17" s="509"/>
      <c r="G17" s="2743" t="s">
        <v>1960</v>
      </c>
      <c r="H17" s="2743"/>
      <c r="I17" s="2743"/>
      <c r="J17" s="2743"/>
      <c r="K17" s="2743"/>
      <c r="L17" s="2674"/>
      <c r="M17" s="440"/>
      <c r="N17" s="440"/>
      <c r="O17" s="440"/>
      <c r="P17" s="440"/>
      <c r="Q17" s="441"/>
      <c r="R17" s="437"/>
      <c r="S17" s="438"/>
      <c r="T17" s="417"/>
      <c r="U17" s="417"/>
      <c r="V17" s="417"/>
      <c r="W17" s="437"/>
      <c r="X17" s="438"/>
      <c r="Y17" s="417"/>
      <c r="Z17" s="417"/>
      <c r="AA17" s="439"/>
      <c r="AB17" s="2732"/>
      <c r="AC17" s="2732"/>
      <c r="AD17" s="2732"/>
      <c r="AE17" s="2732"/>
      <c r="AF17" s="2732"/>
      <c r="AG17" s="2735"/>
    </row>
    <row r="18" spans="1:33" s="434" customFormat="1" ht="168.75" customHeight="1" x14ac:dyDescent="0.25">
      <c r="A18" s="2690"/>
      <c r="B18" s="2690"/>
      <c r="C18" s="2692"/>
      <c r="D18" s="2692"/>
      <c r="E18" s="499"/>
      <c r="F18" s="510"/>
      <c r="G18" s="442" t="s">
        <v>593</v>
      </c>
      <c r="H18" s="443" t="s">
        <v>594</v>
      </c>
      <c r="I18" s="443" t="s">
        <v>595</v>
      </c>
      <c r="J18" s="443">
        <v>0.03</v>
      </c>
      <c r="K18" s="443"/>
      <c r="L18" s="443"/>
      <c r="M18" s="1516"/>
      <c r="N18" s="1516"/>
      <c r="O18" s="444"/>
      <c r="P18" s="414"/>
      <c r="Q18" s="414"/>
      <c r="R18" s="445"/>
      <c r="S18" s="445"/>
      <c r="T18" s="445"/>
      <c r="U18" s="445"/>
      <c r="V18" s="445"/>
      <c r="W18" s="445"/>
      <c r="X18" s="445"/>
      <c r="Y18" s="445"/>
      <c r="Z18" s="445"/>
      <c r="AA18" s="446"/>
      <c r="AB18" s="442"/>
      <c r="AC18" s="443"/>
      <c r="AD18" s="443"/>
      <c r="AE18" s="443"/>
      <c r="AF18" s="443"/>
      <c r="AG18" s="443"/>
    </row>
    <row r="19" spans="1:33" s="434" customFormat="1" ht="30" x14ac:dyDescent="0.25">
      <c r="A19" s="2690"/>
      <c r="B19" s="2690"/>
      <c r="C19" s="2692"/>
      <c r="D19" s="2692"/>
      <c r="E19" s="499"/>
      <c r="F19" s="510"/>
      <c r="G19" s="442" t="s">
        <v>596</v>
      </c>
      <c r="H19" s="443" t="s">
        <v>597</v>
      </c>
      <c r="I19" s="443" t="s">
        <v>598</v>
      </c>
      <c r="J19" s="443">
        <v>0.03</v>
      </c>
      <c r="K19" s="443"/>
      <c r="L19" s="443"/>
      <c r="M19" s="1130"/>
      <c r="N19" s="1130"/>
      <c r="O19" s="414"/>
      <c r="P19" s="414"/>
      <c r="Q19" s="414"/>
      <c r="R19" s="418"/>
      <c r="S19" s="418"/>
      <c r="T19" s="418"/>
      <c r="U19" s="418"/>
      <c r="V19" s="418"/>
      <c r="W19" s="418"/>
      <c r="X19" s="418"/>
      <c r="Y19" s="418"/>
      <c r="Z19" s="418"/>
      <c r="AA19" s="433"/>
      <c r="AB19" s="442"/>
      <c r="AC19" s="443"/>
      <c r="AD19" s="443"/>
      <c r="AE19" s="443"/>
      <c r="AF19" s="443"/>
      <c r="AG19" s="443"/>
    </row>
    <row r="20" spans="1:33" s="434" customFormat="1" ht="30" x14ac:dyDescent="0.25">
      <c r="A20" s="2690"/>
      <c r="B20" s="2690"/>
      <c r="C20" s="2692"/>
      <c r="D20" s="2692"/>
      <c r="E20" s="499"/>
      <c r="F20" s="510"/>
      <c r="G20" s="436" t="s">
        <v>599</v>
      </c>
      <c r="H20" s="435" t="s">
        <v>600</v>
      </c>
      <c r="I20" s="435" t="s">
        <v>601</v>
      </c>
      <c r="J20" s="435">
        <v>0.03</v>
      </c>
      <c r="K20" s="435"/>
      <c r="L20" s="435"/>
      <c r="M20" s="694"/>
      <c r="N20" s="694"/>
      <c r="O20" s="414"/>
      <c r="P20" s="414"/>
      <c r="Q20" s="414"/>
      <c r="R20" s="418"/>
      <c r="S20" s="418"/>
      <c r="T20" s="418"/>
      <c r="U20" s="418"/>
      <c r="V20" s="418"/>
      <c r="W20" s="418"/>
      <c r="X20" s="418"/>
      <c r="Y20" s="418"/>
      <c r="Z20" s="418"/>
      <c r="AA20" s="433"/>
      <c r="AB20" s="436"/>
      <c r="AC20" s="435"/>
      <c r="AD20" s="435"/>
      <c r="AE20" s="435"/>
      <c r="AF20" s="435"/>
      <c r="AG20" s="435"/>
    </row>
    <row r="21" spans="1:33" s="434" customFormat="1" x14ac:dyDescent="0.25">
      <c r="A21" s="511"/>
      <c r="B21" s="511"/>
      <c r="C21" s="499"/>
      <c r="D21" s="499"/>
      <c r="E21" s="499"/>
      <c r="F21" s="510"/>
      <c r="G21" s="2682" t="s">
        <v>1959</v>
      </c>
      <c r="H21" s="2682"/>
      <c r="I21" s="2682"/>
      <c r="J21" s="2682"/>
      <c r="K21" s="2682"/>
      <c r="L21" s="2678"/>
      <c r="M21" s="447"/>
      <c r="N21" s="447"/>
      <c r="O21" s="447"/>
      <c r="P21" s="447"/>
      <c r="Q21" s="447"/>
      <c r="R21" s="418"/>
      <c r="S21" s="418"/>
      <c r="T21" s="418"/>
      <c r="U21" s="418"/>
      <c r="V21" s="418"/>
      <c r="W21" s="418"/>
      <c r="X21" s="418"/>
      <c r="Y21" s="418"/>
      <c r="Z21" s="418"/>
      <c r="AA21" s="433"/>
      <c r="AB21" s="2736"/>
      <c r="AC21" s="2736"/>
      <c r="AD21" s="2736"/>
      <c r="AE21" s="2736"/>
      <c r="AF21" s="2736"/>
      <c r="AG21" s="2733"/>
    </row>
    <row r="22" spans="1:33" s="434" customFormat="1" ht="30" x14ac:dyDescent="0.25">
      <c r="A22" s="511"/>
      <c r="B22" s="511"/>
      <c r="C22" s="499"/>
      <c r="D22" s="499"/>
      <c r="E22" s="499"/>
      <c r="F22" s="510"/>
      <c r="G22" s="442" t="s">
        <v>605</v>
      </c>
      <c r="H22" s="443" t="s">
        <v>603</v>
      </c>
      <c r="I22" s="443" t="s">
        <v>100</v>
      </c>
      <c r="J22" s="443">
        <v>1.7000000000000001E-2</v>
      </c>
      <c r="K22" s="443"/>
      <c r="L22" s="443"/>
      <c r="M22" s="414"/>
      <c r="N22" s="414"/>
      <c r="O22" s="414"/>
      <c r="P22" s="414"/>
      <c r="Q22" s="414"/>
      <c r="R22" s="418"/>
      <c r="S22" s="418"/>
      <c r="T22" s="418"/>
      <c r="U22" s="418"/>
      <c r="V22" s="418"/>
      <c r="W22" s="418"/>
      <c r="X22" s="418"/>
      <c r="Y22" s="418"/>
      <c r="Z22" s="418"/>
      <c r="AA22" s="433"/>
      <c r="AB22" s="442"/>
      <c r="AC22" s="443"/>
      <c r="AD22" s="443"/>
      <c r="AE22" s="443"/>
      <c r="AF22" s="443"/>
      <c r="AG22" s="443"/>
    </row>
    <row r="23" spans="1:33" s="434" customFormat="1" ht="30" x14ac:dyDescent="0.25">
      <c r="A23" s="511"/>
      <c r="B23" s="511"/>
      <c r="C23" s="499"/>
      <c r="D23" s="499"/>
      <c r="E23" s="499"/>
      <c r="F23" s="510"/>
      <c r="G23" s="448" t="s">
        <v>607</v>
      </c>
      <c r="H23" s="414" t="s">
        <v>603</v>
      </c>
      <c r="I23" s="443" t="s">
        <v>101</v>
      </c>
      <c r="J23" s="443">
        <v>1.7000000000000001E-2</v>
      </c>
      <c r="K23" s="443"/>
      <c r="L23" s="443"/>
      <c r="M23" s="444"/>
      <c r="N23" s="444"/>
      <c r="O23" s="444"/>
      <c r="P23" s="414"/>
      <c r="Q23" s="414"/>
      <c r="R23" s="418"/>
      <c r="S23" s="418"/>
      <c r="T23" s="418"/>
      <c r="U23" s="418"/>
      <c r="V23" s="418"/>
      <c r="W23" s="418"/>
      <c r="X23" s="418"/>
      <c r="Y23" s="418"/>
      <c r="Z23" s="418"/>
      <c r="AA23" s="433"/>
      <c r="AB23" s="448"/>
      <c r="AC23" s="414"/>
      <c r="AD23" s="443"/>
      <c r="AE23" s="443"/>
      <c r="AF23" s="443"/>
      <c r="AG23" s="443"/>
    </row>
    <row r="24" spans="1:33" s="434" customFormat="1" ht="30" x14ac:dyDescent="0.25">
      <c r="A24" s="511"/>
      <c r="B24" s="511"/>
      <c r="C24" s="499"/>
      <c r="D24" s="499"/>
      <c r="E24" s="499"/>
      <c r="F24" s="510"/>
      <c r="G24" s="448" t="s">
        <v>602</v>
      </c>
      <c r="H24" s="414" t="s">
        <v>603</v>
      </c>
      <c r="I24" s="443" t="s">
        <v>101</v>
      </c>
      <c r="J24" s="443">
        <v>1.7000000000000001E-2</v>
      </c>
      <c r="K24" s="443"/>
      <c r="L24" s="443"/>
      <c r="M24" s="444"/>
      <c r="N24" s="444"/>
      <c r="O24" s="444"/>
      <c r="P24" s="414"/>
      <c r="Q24" s="414"/>
      <c r="R24" s="418"/>
      <c r="S24" s="418"/>
      <c r="T24" s="418"/>
      <c r="U24" s="418"/>
      <c r="V24" s="418"/>
      <c r="W24" s="418"/>
      <c r="X24" s="418"/>
      <c r="Y24" s="418"/>
      <c r="Z24" s="418"/>
      <c r="AA24" s="433"/>
      <c r="AB24" s="448"/>
      <c r="AC24" s="414"/>
      <c r="AD24" s="443"/>
      <c r="AE24" s="443"/>
      <c r="AF24" s="443"/>
      <c r="AG24" s="443"/>
    </row>
    <row r="25" spans="1:33" s="434" customFormat="1" ht="30" x14ac:dyDescent="0.25">
      <c r="A25" s="403"/>
      <c r="B25" s="512"/>
      <c r="C25" s="513"/>
      <c r="D25" s="513"/>
      <c r="E25" s="513"/>
      <c r="F25" s="514"/>
      <c r="G25" s="442" t="s">
        <v>606</v>
      </c>
      <c r="H25" s="414" t="s">
        <v>603</v>
      </c>
      <c r="I25" s="443" t="s">
        <v>102</v>
      </c>
      <c r="J25" s="443">
        <v>1.7000000000000001E-2</v>
      </c>
      <c r="K25" s="414"/>
      <c r="L25" s="414"/>
      <c r="M25" s="444"/>
      <c r="N25" s="444"/>
      <c r="O25" s="444"/>
      <c r="P25" s="414"/>
      <c r="Q25" s="414"/>
      <c r="R25" s="301"/>
      <c r="S25" s="301"/>
      <c r="T25" s="301"/>
      <c r="U25" s="301"/>
      <c r="V25" s="301"/>
      <c r="W25" s="301"/>
      <c r="X25" s="301"/>
      <c r="Y25" s="301"/>
      <c r="Z25" s="301"/>
      <c r="AA25" s="449"/>
      <c r="AB25" s="442"/>
      <c r="AC25" s="414"/>
      <c r="AD25" s="443"/>
      <c r="AE25" s="443"/>
      <c r="AF25" s="414"/>
      <c r="AG25" s="414"/>
    </row>
    <row r="26" spans="1:33" s="434" customFormat="1" ht="30" x14ac:dyDescent="0.25">
      <c r="A26" s="511"/>
      <c r="B26" s="511"/>
      <c r="C26" s="499"/>
      <c r="D26" s="499"/>
      <c r="E26" s="499"/>
      <c r="F26" s="510"/>
      <c r="G26" s="448" t="s">
        <v>604</v>
      </c>
      <c r="H26" s="414" t="s">
        <v>603</v>
      </c>
      <c r="I26" s="443" t="s">
        <v>103</v>
      </c>
      <c r="J26" s="443">
        <v>1.7000000000000001E-2</v>
      </c>
      <c r="K26" s="414"/>
      <c r="L26" s="414"/>
      <c r="M26" s="444"/>
      <c r="N26" s="444"/>
      <c r="O26" s="444"/>
      <c r="P26" s="414"/>
      <c r="Q26" s="414"/>
      <c r="R26" s="301"/>
      <c r="S26" s="301"/>
      <c r="T26" s="301"/>
      <c r="U26" s="301"/>
      <c r="V26" s="301"/>
      <c r="W26" s="301"/>
      <c r="X26" s="432"/>
      <c r="Y26" s="418"/>
      <c r="Z26" s="418"/>
      <c r="AA26" s="433"/>
      <c r="AB26" s="448"/>
      <c r="AC26" s="414"/>
      <c r="AD26" s="443"/>
      <c r="AE26" s="443"/>
      <c r="AF26" s="414"/>
      <c r="AG26" s="414"/>
    </row>
    <row r="27" spans="1:33" s="434" customFormat="1" x14ac:dyDescent="0.25">
      <c r="A27" s="585"/>
      <c r="B27" s="585"/>
      <c r="C27" s="582"/>
      <c r="D27" s="582"/>
      <c r="E27" s="582"/>
      <c r="F27" s="586"/>
      <c r="G27" s="2682" t="s">
        <v>2032</v>
      </c>
      <c r="H27" s="2682"/>
      <c r="I27" s="2682"/>
      <c r="J27" s="2682"/>
      <c r="K27" s="2682"/>
      <c r="L27" s="2678"/>
      <c r="M27" s="444"/>
      <c r="N27" s="444"/>
      <c r="O27" s="444"/>
      <c r="P27" s="584"/>
      <c r="Q27" s="584"/>
      <c r="R27" s="451"/>
      <c r="S27" s="452"/>
      <c r="T27" s="453"/>
      <c r="U27" s="453"/>
      <c r="V27" s="453"/>
      <c r="W27" s="451"/>
      <c r="X27" s="438"/>
      <c r="Y27" s="417"/>
      <c r="Z27" s="417"/>
      <c r="AA27" s="439"/>
      <c r="AB27" s="436"/>
      <c r="AC27" s="435"/>
      <c r="AD27" s="435"/>
      <c r="AE27" s="435"/>
      <c r="AF27" s="450"/>
      <c r="AG27" s="450"/>
    </row>
    <row r="28" spans="1:33" s="434" customFormat="1" ht="75" x14ac:dyDescent="0.25">
      <c r="A28" s="511"/>
      <c r="B28" s="511"/>
      <c r="C28" s="499"/>
      <c r="D28" s="499"/>
      <c r="E28" s="499"/>
      <c r="F28" s="510"/>
      <c r="G28" s="442" t="s">
        <v>608</v>
      </c>
      <c r="H28" s="443" t="s">
        <v>609</v>
      </c>
      <c r="I28" s="443" t="s">
        <v>2279</v>
      </c>
      <c r="J28" s="435">
        <v>0.3</v>
      </c>
      <c r="K28" s="450"/>
      <c r="L28" s="450"/>
      <c r="M28" s="444"/>
      <c r="N28" s="444"/>
      <c r="O28" s="444"/>
      <c r="P28" s="414"/>
      <c r="Q28" s="414"/>
      <c r="R28" s="451"/>
      <c r="S28" s="452"/>
      <c r="T28" s="453"/>
      <c r="U28" s="453"/>
      <c r="V28" s="453"/>
      <c r="W28" s="451"/>
      <c r="X28" s="438"/>
      <c r="Y28" s="417"/>
      <c r="Z28" s="417"/>
      <c r="AA28" s="437"/>
      <c r="AB28" s="2227"/>
      <c r="AC28" s="2227"/>
      <c r="AD28" s="2227"/>
      <c r="AE28" s="2227"/>
      <c r="AF28" s="2227"/>
      <c r="AG28" s="450"/>
    </row>
    <row r="29" spans="1:33" s="434" customFormat="1" x14ac:dyDescent="0.25">
      <c r="A29" s="667"/>
      <c r="B29" s="667"/>
      <c r="C29" s="668"/>
      <c r="D29" s="668"/>
      <c r="E29" s="668"/>
      <c r="F29" s="670"/>
      <c r="G29" s="2682" t="s">
        <v>2477</v>
      </c>
      <c r="H29" s="2682"/>
      <c r="I29" s="2682"/>
      <c r="J29" s="2682"/>
      <c r="K29" s="2682"/>
      <c r="L29" s="2678"/>
      <c r="M29" s="676"/>
      <c r="N29" s="677"/>
      <c r="O29" s="678"/>
      <c r="P29" s="450"/>
      <c r="Q29" s="450"/>
      <c r="R29" s="451"/>
      <c r="S29" s="452"/>
      <c r="T29" s="453"/>
      <c r="U29" s="453"/>
      <c r="V29" s="453"/>
      <c r="W29" s="451"/>
      <c r="X29" s="438"/>
      <c r="Y29" s="417"/>
      <c r="Z29" s="417"/>
      <c r="AA29" s="437"/>
      <c r="AB29" s="2227"/>
      <c r="AC29" s="2227"/>
      <c r="AD29" s="2227"/>
      <c r="AE29" s="2227"/>
      <c r="AF29" s="2227"/>
      <c r="AG29" s="450"/>
    </row>
    <row r="30" spans="1:33" s="434" customFormat="1" ht="60" x14ac:dyDescent="0.25">
      <c r="A30" s="667"/>
      <c r="B30" s="667"/>
      <c r="C30" s="668"/>
      <c r="D30" s="668"/>
      <c r="E30" s="668"/>
      <c r="F30" s="670"/>
      <c r="G30" s="669" t="s">
        <v>2441</v>
      </c>
      <c r="H30" s="669" t="s">
        <v>2442</v>
      </c>
      <c r="I30" s="436" t="s">
        <v>2637</v>
      </c>
      <c r="J30" s="669">
        <f>0.57-0.3</f>
        <v>0.26999999999999996</v>
      </c>
      <c r="K30" s="450"/>
      <c r="L30" s="450"/>
      <c r="M30" s="676"/>
      <c r="N30" s="677"/>
      <c r="O30" s="678"/>
      <c r="P30" s="450"/>
      <c r="Q30" s="450"/>
      <c r="R30" s="451"/>
      <c r="S30" s="452"/>
      <c r="T30" s="453"/>
      <c r="U30" s="453"/>
      <c r="V30" s="453"/>
      <c r="W30" s="451"/>
      <c r="X30" s="438"/>
      <c r="Y30" s="417"/>
      <c r="Z30" s="417"/>
      <c r="AA30" s="437"/>
      <c r="AB30" s="2227"/>
      <c r="AC30" s="2227"/>
      <c r="AD30" s="2227"/>
      <c r="AE30" s="2227"/>
      <c r="AF30" s="2227"/>
      <c r="AG30" s="450"/>
    </row>
    <row r="31" spans="1:33" s="434" customFormat="1" x14ac:dyDescent="0.25">
      <c r="A31" s="691"/>
      <c r="B31" s="691"/>
      <c r="C31" s="692"/>
      <c r="D31" s="692"/>
      <c r="E31" s="692"/>
      <c r="F31" s="696"/>
      <c r="G31" s="694"/>
      <c r="H31" s="694"/>
      <c r="I31" s="694"/>
      <c r="J31" s="694"/>
      <c r="K31" s="694"/>
      <c r="L31" s="694"/>
      <c r="M31" s="676"/>
      <c r="N31" s="677"/>
      <c r="O31" s="678"/>
      <c r="P31" s="450"/>
      <c r="Q31" s="450"/>
      <c r="R31" s="451"/>
      <c r="S31" s="452"/>
      <c r="T31" s="453"/>
      <c r="U31" s="453"/>
      <c r="V31" s="453"/>
      <c r="W31" s="451"/>
      <c r="X31" s="438"/>
      <c r="Y31" s="417"/>
      <c r="Z31" s="417"/>
      <c r="AA31" s="437"/>
      <c r="AB31" s="2227"/>
      <c r="AC31" s="2227"/>
      <c r="AD31" s="2227"/>
      <c r="AE31" s="2227"/>
      <c r="AF31" s="2227"/>
      <c r="AG31" s="450"/>
    </row>
    <row r="32" spans="1:33" s="434" customFormat="1" ht="150" x14ac:dyDescent="0.25">
      <c r="A32" s="799"/>
      <c r="B32" s="799"/>
      <c r="C32" s="797"/>
      <c r="D32" s="797"/>
      <c r="E32" s="797"/>
      <c r="F32" s="800"/>
      <c r="G32" s="798"/>
      <c r="H32" s="798"/>
      <c r="I32" s="825"/>
      <c r="J32" s="798"/>
      <c r="K32" s="798"/>
      <c r="L32" s="798"/>
      <c r="M32" s="676"/>
      <c r="N32" s="677"/>
      <c r="O32" s="678"/>
      <c r="P32" s="450"/>
      <c r="Q32" s="450"/>
      <c r="R32" s="451"/>
      <c r="S32" s="452"/>
      <c r="T32" s="453"/>
      <c r="U32" s="453"/>
      <c r="V32" s="453"/>
      <c r="W32" s="451"/>
      <c r="X32" s="438"/>
      <c r="Y32" s="417"/>
      <c r="Z32" s="417"/>
      <c r="AA32" s="437"/>
      <c r="AB32" s="2227" t="s">
        <v>2725</v>
      </c>
      <c r="AC32" s="2227" t="s">
        <v>2726</v>
      </c>
      <c r="AD32" s="2227" t="s">
        <v>20034</v>
      </c>
      <c r="AE32" s="2227">
        <v>0.25</v>
      </c>
      <c r="AF32" s="2227"/>
      <c r="AG32" s="450"/>
    </row>
    <row r="33" spans="1:33" s="434" customFormat="1" ht="29.25" customHeight="1" x14ac:dyDescent="0.25">
      <c r="A33" s="1158"/>
      <c r="B33" s="1158"/>
      <c r="C33" s="1159"/>
      <c r="D33" s="1159"/>
      <c r="E33" s="1159"/>
      <c r="F33" s="1157"/>
      <c r="G33" s="2682" t="s">
        <v>3020</v>
      </c>
      <c r="H33" s="2682"/>
      <c r="I33" s="2682"/>
      <c r="J33" s="2682"/>
      <c r="K33" s="2682"/>
      <c r="L33" s="2678"/>
      <c r="M33" s="676"/>
      <c r="N33" s="677"/>
      <c r="O33" s="678"/>
      <c r="P33" s="450"/>
      <c r="Q33" s="450"/>
      <c r="R33" s="451"/>
      <c r="S33" s="452"/>
      <c r="T33" s="453"/>
      <c r="U33" s="453"/>
      <c r="V33" s="453"/>
      <c r="W33" s="451"/>
      <c r="X33" s="438"/>
      <c r="Y33" s="417"/>
      <c r="Z33" s="417"/>
      <c r="AA33" s="437"/>
      <c r="AB33" s="2227" t="s">
        <v>608</v>
      </c>
      <c r="AC33" s="2227" t="s">
        <v>2682</v>
      </c>
      <c r="AD33" s="2227" t="s">
        <v>20054</v>
      </c>
      <c r="AE33" s="2227">
        <v>7.0000000000000007E-2</v>
      </c>
      <c r="AF33" s="2227"/>
      <c r="AG33" s="450"/>
    </row>
    <row r="34" spans="1:33" s="434" customFormat="1" ht="90" x14ac:dyDescent="0.25">
      <c r="A34" s="1158"/>
      <c r="B34" s="1158"/>
      <c r="C34" s="1159"/>
      <c r="D34" s="1159"/>
      <c r="E34" s="1159"/>
      <c r="F34" s="1157"/>
      <c r="G34" s="1160" t="s">
        <v>3235</v>
      </c>
      <c r="H34" s="1160" t="s">
        <v>3291</v>
      </c>
      <c r="I34" s="1160" t="s">
        <v>3357</v>
      </c>
      <c r="J34" s="450">
        <f>0.15*0.9</f>
        <v>0.13500000000000001</v>
      </c>
      <c r="K34" s="450"/>
      <c r="L34" s="450"/>
      <c r="M34" s="676"/>
      <c r="N34" s="677"/>
      <c r="O34" s="678"/>
      <c r="P34" s="450"/>
      <c r="Q34" s="450"/>
      <c r="R34" s="451"/>
      <c r="S34" s="452"/>
      <c r="T34" s="453"/>
      <c r="U34" s="453"/>
      <c r="V34" s="453"/>
      <c r="W34" s="451"/>
      <c r="X34" s="438"/>
      <c r="Y34" s="417"/>
      <c r="Z34" s="417"/>
      <c r="AA34" s="437"/>
      <c r="AB34" s="2227"/>
      <c r="AC34" s="2227"/>
      <c r="AD34" s="2227"/>
      <c r="AE34" s="2227"/>
      <c r="AF34" s="2227"/>
      <c r="AG34" s="450"/>
    </row>
    <row r="35" spans="1:33" s="434" customFormat="1" x14ac:dyDescent="0.25">
      <c r="A35" s="1178"/>
      <c r="B35" s="1178"/>
      <c r="C35" s="1179"/>
      <c r="D35" s="1179"/>
      <c r="E35" s="1179"/>
      <c r="F35" s="1180"/>
      <c r="G35" s="2624"/>
      <c r="H35" s="2599"/>
      <c r="I35" s="2600"/>
      <c r="J35" s="62"/>
      <c r="K35" s="62"/>
      <c r="L35" s="62"/>
      <c r="M35" s="676"/>
      <c r="N35" s="677"/>
      <c r="O35" s="678"/>
      <c r="P35" s="450"/>
      <c r="Q35" s="450"/>
      <c r="R35" s="451"/>
      <c r="S35" s="452"/>
      <c r="T35" s="453"/>
      <c r="U35" s="453"/>
      <c r="V35" s="453"/>
      <c r="W35" s="451"/>
      <c r="X35" s="438"/>
      <c r="Y35" s="417"/>
      <c r="Z35" s="417"/>
      <c r="AA35" s="437"/>
      <c r="AB35" s="2227"/>
      <c r="AC35" s="2227"/>
      <c r="AD35" s="2227"/>
      <c r="AE35" s="2227"/>
      <c r="AF35" s="2227"/>
      <c r="AG35" s="450"/>
    </row>
    <row r="36" spans="1:33" s="434" customFormat="1" x14ac:dyDescent="0.25">
      <c r="A36" s="1603"/>
      <c r="B36" s="1603"/>
      <c r="C36" s="1604"/>
      <c r="D36" s="1604"/>
      <c r="E36" s="1604"/>
      <c r="F36" s="1607"/>
      <c r="G36" s="2682" t="s">
        <v>3447</v>
      </c>
      <c r="H36" s="2682"/>
      <c r="I36" s="2682"/>
      <c r="J36" s="2682"/>
      <c r="K36" s="2682"/>
      <c r="L36" s="2678"/>
      <c r="M36" s="676"/>
      <c r="N36" s="677"/>
      <c r="O36" s="678"/>
      <c r="P36" s="450"/>
      <c r="Q36" s="450"/>
      <c r="R36" s="451"/>
      <c r="S36" s="452"/>
      <c r="T36" s="453"/>
      <c r="U36" s="453"/>
      <c r="V36" s="453"/>
      <c r="W36" s="451"/>
      <c r="X36" s="438"/>
      <c r="Y36" s="417"/>
      <c r="Z36" s="417"/>
      <c r="AA36" s="437"/>
      <c r="AB36" s="2227"/>
      <c r="AC36" s="2227"/>
      <c r="AD36" s="2227"/>
      <c r="AE36" s="2227"/>
      <c r="AF36" s="2227"/>
      <c r="AG36" s="450"/>
    </row>
    <row r="37" spans="1:33" s="434" customFormat="1" x14ac:dyDescent="0.25">
      <c r="A37" s="1603"/>
      <c r="B37" s="1603"/>
      <c r="C37" s="1604"/>
      <c r="D37" s="1604"/>
      <c r="E37" s="1604"/>
      <c r="F37" s="1607"/>
      <c r="G37" s="2679" t="s">
        <v>3401</v>
      </c>
      <c r="H37" s="2680"/>
      <c r="I37" s="2681"/>
      <c r="J37" s="1197">
        <f>0.139*0.9</f>
        <v>0.12510000000000002</v>
      </c>
      <c r="K37" s="1197"/>
      <c r="L37" s="1197"/>
      <c r="M37" s="676"/>
      <c r="N37" s="677"/>
      <c r="O37" s="678"/>
      <c r="P37" s="450"/>
      <c r="Q37" s="450"/>
      <c r="R37" s="451"/>
      <c r="S37" s="452"/>
      <c r="T37" s="453"/>
      <c r="U37" s="453"/>
      <c r="V37" s="453"/>
      <c r="W37" s="451"/>
      <c r="X37" s="438"/>
      <c r="Y37" s="417"/>
      <c r="Z37" s="417"/>
      <c r="AA37" s="437"/>
      <c r="AB37" s="2227"/>
      <c r="AC37" s="2227"/>
      <c r="AD37" s="2227"/>
      <c r="AE37" s="2227"/>
      <c r="AF37" s="2227"/>
      <c r="AG37" s="450"/>
    </row>
    <row r="38" spans="1:33" s="434" customFormat="1" ht="105" x14ac:dyDescent="0.25">
      <c r="A38" s="1712"/>
      <c r="B38" s="1712"/>
      <c r="C38" s="1713"/>
      <c r="D38" s="1713"/>
      <c r="E38" s="1713"/>
      <c r="F38" s="1718"/>
      <c r="G38" s="1714" t="s">
        <v>15349</v>
      </c>
      <c r="H38" s="1714" t="s">
        <v>15350</v>
      </c>
      <c r="I38" s="130" t="s">
        <v>16850</v>
      </c>
      <c r="J38" s="62">
        <f>0.01*0.9</f>
        <v>9.0000000000000011E-3</v>
      </c>
      <c r="K38" s="62"/>
      <c r="L38" s="62"/>
      <c r="M38" s="676"/>
      <c r="N38" s="677"/>
      <c r="O38" s="678"/>
      <c r="P38" s="450"/>
      <c r="Q38" s="450"/>
      <c r="R38" s="451"/>
      <c r="S38" s="452"/>
      <c r="T38" s="453"/>
      <c r="U38" s="453"/>
      <c r="V38" s="453"/>
      <c r="W38" s="451"/>
      <c r="X38" s="438"/>
      <c r="Y38" s="417"/>
      <c r="Z38" s="417"/>
      <c r="AA38" s="437"/>
      <c r="AB38" s="2227"/>
      <c r="AC38" s="2227"/>
      <c r="AD38" s="2227"/>
      <c r="AE38" s="2227"/>
      <c r="AF38" s="2227"/>
      <c r="AG38" s="450"/>
    </row>
    <row r="39" spans="1:33" s="434" customFormat="1" x14ac:dyDescent="0.25">
      <c r="A39" s="2221"/>
      <c r="B39" s="2221"/>
      <c r="C39" s="2222"/>
      <c r="D39" s="2222"/>
      <c r="E39" s="2222"/>
      <c r="F39" s="2234"/>
      <c r="G39" s="2682" t="s">
        <v>17005</v>
      </c>
      <c r="H39" s="2682"/>
      <c r="I39" s="2682"/>
      <c r="J39" s="2682"/>
      <c r="K39" s="2682"/>
      <c r="L39" s="2678"/>
      <c r="M39" s="676"/>
      <c r="N39" s="677"/>
      <c r="O39" s="678"/>
      <c r="P39" s="450"/>
      <c r="Q39" s="450"/>
      <c r="R39" s="451"/>
      <c r="S39" s="452"/>
      <c r="T39" s="453"/>
      <c r="U39" s="453"/>
      <c r="V39" s="453"/>
      <c r="W39" s="451"/>
      <c r="X39" s="438"/>
      <c r="Y39" s="417"/>
      <c r="Z39" s="417"/>
      <c r="AA39" s="437"/>
      <c r="AB39" s="699"/>
      <c r="AC39" s="699"/>
      <c r="AD39" s="455"/>
      <c r="AE39" s="450"/>
      <c r="AF39" s="450"/>
      <c r="AG39" s="450"/>
    </row>
    <row r="40" spans="1:33" s="434" customFormat="1" x14ac:dyDescent="0.25">
      <c r="A40" s="2221"/>
      <c r="B40" s="2221"/>
      <c r="C40" s="2222"/>
      <c r="D40" s="2222"/>
      <c r="E40" s="2222"/>
      <c r="F40" s="2234"/>
      <c r="G40" s="2679" t="s">
        <v>3401</v>
      </c>
      <c r="H40" s="2680"/>
      <c r="I40" s="2681"/>
      <c r="J40" s="1197">
        <f>0.316*0.9</f>
        <v>0.28439999999999999</v>
      </c>
      <c r="K40" s="1197"/>
      <c r="L40" s="1197"/>
      <c r="M40" s="676"/>
      <c r="N40" s="677"/>
      <c r="O40" s="678"/>
      <c r="P40" s="450"/>
      <c r="Q40" s="450"/>
      <c r="R40" s="451"/>
      <c r="S40" s="452"/>
      <c r="T40" s="453"/>
      <c r="U40" s="453"/>
      <c r="V40" s="453"/>
      <c r="W40" s="451"/>
      <c r="X40" s="438"/>
      <c r="Y40" s="417"/>
      <c r="Z40" s="417"/>
      <c r="AA40" s="437"/>
      <c r="AB40" s="699"/>
      <c r="AC40" s="699"/>
      <c r="AD40" s="455"/>
      <c r="AE40" s="450"/>
      <c r="AF40" s="450"/>
      <c r="AG40" s="450"/>
    </row>
    <row r="41" spans="1:33" s="434" customFormat="1" ht="105" x14ac:dyDescent="0.25">
      <c r="A41" s="2286"/>
      <c r="B41" s="2286"/>
      <c r="C41" s="2287"/>
      <c r="D41" s="2287"/>
      <c r="E41" s="2287"/>
      <c r="F41" s="2285"/>
      <c r="G41" s="2290" t="s">
        <v>20202</v>
      </c>
      <c r="H41" s="2290" t="s">
        <v>20203</v>
      </c>
      <c r="I41" s="2291" t="s">
        <v>20204</v>
      </c>
      <c r="J41" s="62">
        <f>0.015*0.9</f>
        <v>1.35E-2</v>
      </c>
      <c r="K41" s="62"/>
      <c r="L41" s="62"/>
      <c r="M41" s="676"/>
      <c r="N41" s="677"/>
      <c r="O41" s="678"/>
      <c r="P41" s="450"/>
      <c r="Q41" s="450"/>
      <c r="R41" s="451"/>
      <c r="S41" s="452"/>
      <c r="T41" s="453"/>
      <c r="U41" s="453"/>
      <c r="V41" s="453"/>
      <c r="W41" s="451"/>
      <c r="X41" s="438"/>
      <c r="Y41" s="417"/>
      <c r="Z41" s="417"/>
      <c r="AA41" s="437"/>
      <c r="AB41" s="699"/>
      <c r="AC41" s="699"/>
      <c r="AD41" s="455"/>
      <c r="AE41" s="450"/>
      <c r="AF41" s="450"/>
      <c r="AG41" s="450"/>
    </row>
    <row r="42" spans="1:33" ht="15.75" thickBot="1" x14ac:dyDescent="0.3">
      <c r="A42" s="515"/>
      <c r="B42" s="516"/>
      <c r="C42" s="503"/>
      <c r="D42" s="503"/>
      <c r="E42" s="503"/>
      <c r="F42" s="517"/>
      <c r="G42" s="2578" t="s">
        <v>1833</v>
      </c>
      <c r="H42" s="2578"/>
      <c r="I42" s="2579"/>
      <c r="J42" s="13">
        <f>SUM(J34:J41)</f>
        <v>0.56699999999999995</v>
      </c>
      <c r="K42" s="14">
        <v>0.92</v>
      </c>
      <c r="L42" s="13">
        <f>J42/K42</f>
        <v>0.6163043478260869</v>
      </c>
      <c r="M42" s="2587" t="s">
        <v>1834</v>
      </c>
      <c r="N42" s="2589"/>
      <c r="O42" s="21">
        <f>SUM(O18:O26)</f>
        <v>0</v>
      </c>
      <c r="P42" s="24">
        <v>0.92</v>
      </c>
      <c r="Q42" s="21">
        <f>O42/P42</f>
        <v>0</v>
      </c>
      <c r="R42" s="2738" t="s">
        <v>1835</v>
      </c>
      <c r="S42" s="2739"/>
      <c r="T42" s="30">
        <f>SUM(T18:T26)</f>
        <v>0</v>
      </c>
      <c r="U42" s="31">
        <v>0.8</v>
      </c>
      <c r="V42" s="30">
        <f>T42/U42</f>
        <v>0</v>
      </c>
      <c r="W42" s="2738" t="s">
        <v>1836</v>
      </c>
      <c r="X42" s="2739"/>
      <c r="Y42" s="30">
        <f>SUM(Y18:Y26)</f>
        <v>0</v>
      </c>
      <c r="Z42" s="31">
        <v>0.8</v>
      </c>
      <c r="AA42" s="32">
        <f>Y42/Z42</f>
        <v>0</v>
      </c>
      <c r="AB42" s="2578" t="s">
        <v>1833</v>
      </c>
      <c r="AC42" s="2578"/>
      <c r="AD42" s="2579"/>
      <c r="AE42" s="13">
        <f>SUM(AE32:AE38)</f>
        <v>0.32</v>
      </c>
      <c r="AF42" s="14">
        <v>0.92</v>
      </c>
      <c r="AG42" s="13">
        <f>AE42/AF42</f>
        <v>0.34782608695652173</v>
      </c>
    </row>
    <row r="43" spans="1:33" s="434" customFormat="1" x14ac:dyDescent="0.25">
      <c r="A43" s="2689" t="str">
        <f>Итоговая!C159</f>
        <v xml:space="preserve">ПС  35/6 кВ Б.Городок </v>
      </c>
      <c r="B43" s="2689">
        <f>Итоговая!D159</f>
        <v>5.6</v>
      </c>
      <c r="C43" s="2691" t="str">
        <f>Итоговая!E159</f>
        <v>+</v>
      </c>
      <c r="D43" s="2691">
        <f>Итоговая!F159</f>
        <v>6.3</v>
      </c>
      <c r="E43" s="508"/>
      <c r="F43" s="509"/>
      <c r="G43" s="2743" t="s">
        <v>1961</v>
      </c>
      <c r="H43" s="2743"/>
      <c r="I43" s="2743"/>
      <c r="J43" s="2743"/>
      <c r="K43" s="2743"/>
      <c r="L43" s="2743"/>
      <c r="M43" s="745"/>
      <c r="N43" s="745"/>
      <c r="O43" s="447"/>
      <c r="P43" s="447"/>
      <c r="Q43" s="447"/>
      <c r="R43" s="437"/>
      <c r="S43" s="438"/>
      <c r="T43" s="417"/>
      <c r="U43" s="417"/>
      <c r="V43" s="417"/>
      <c r="W43" s="437"/>
      <c r="X43" s="452"/>
      <c r="Y43" s="417"/>
      <c r="Z43" s="417"/>
      <c r="AA43" s="439"/>
      <c r="AB43" s="2732"/>
      <c r="AC43" s="2732"/>
      <c r="AD43" s="2732"/>
      <c r="AE43" s="2732"/>
      <c r="AF43" s="2732"/>
      <c r="AG43" s="2732"/>
    </row>
    <row r="44" spans="1:33" s="434" customFormat="1" ht="86.25" customHeight="1" x14ac:dyDescent="0.25">
      <c r="A44" s="2690"/>
      <c r="B44" s="2690"/>
      <c r="C44" s="2692"/>
      <c r="D44" s="2692"/>
      <c r="E44" s="499"/>
      <c r="F44" s="510"/>
      <c r="G44" s="442" t="s">
        <v>1945</v>
      </c>
      <c r="H44" s="443" t="s">
        <v>1939</v>
      </c>
      <c r="I44" s="443" t="s">
        <v>1946</v>
      </c>
      <c r="J44" s="443">
        <v>0.02</v>
      </c>
      <c r="K44" s="443"/>
      <c r="L44" s="454"/>
      <c r="M44" s="745"/>
      <c r="N44" s="745"/>
      <c r="O44" s="444"/>
      <c r="P44" s="414"/>
      <c r="Q44" s="414"/>
      <c r="R44" s="418"/>
      <c r="S44" s="418"/>
      <c r="T44" s="418"/>
      <c r="U44" s="418"/>
      <c r="V44" s="418"/>
      <c r="W44" s="418"/>
      <c r="X44" s="418"/>
      <c r="Y44" s="418"/>
      <c r="Z44" s="418"/>
      <c r="AA44" s="433"/>
      <c r="AB44" s="442"/>
      <c r="AC44" s="443"/>
      <c r="AD44" s="443"/>
      <c r="AE44" s="443"/>
      <c r="AF44" s="443"/>
      <c r="AG44" s="454"/>
    </row>
    <row r="45" spans="1:33" s="434" customFormat="1" ht="24.75" customHeight="1" x14ac:dyDescent="0.25">
      <c r="A45" s="2690"/>
      <c r="B45" s="2690"/>
      <c r="C45" s="2692"/>
      <c r="D45" s="2692"/>
      <c r="E45" s="499"/>
      <c r="F45" s="510"/>
      <c r="G45" s="455" t="s">
        <v>1947</v>
      </c>
      <c r="H45" s="424" t="s">
        <v>1948</v>
      </c>
      <c r="I45" s="435" t="s">
        <v>1949</v>
      </c>
      <c r="J45" s="424">
        <v>2</v>
      </c>
      <c r="K45" s="435"/>
      <c r="L45" s="456"/>
      <c r="M45" s="746" t="s">
        <v>2773</v>
      </c>
      <c r="N45" s="746" t="s">
        <v>2774</v>
      </c>
      <c r="O45" s="444">
        <v>3.4000000000000002E-2</v>
      </c>
      <c r="P45" s="414"/>
      <c r="Q45" s="414"/>
      <c r="R45" s="418"/>
      <c r="S45" s="418"/>
      <c r="T45" s="418"/>
      <c r="U45" s="418"/>
      <c r="V45" s="418"/>
      <c r="W45" s="418"/>
      <c r="X45" s="418"/>
      <c r="Y45" s="418"/>
      <c r="Z45" s="418"/>
      <c r="AA45" s="433"/>
      <c r="AB45" s="455"/>
      <c r="AC45" s="424"/>
      <c r="AD45" s="435"/>
      <c r="AE45" s="424"/>
      <c r="AF45" s="435"/>
      <c r="AG45" s="456"/>
    </row>
    <row r="46" spans="1:33" s="434" customFormat="1" ht="30.75" customHeight="1" thickBot="1" x14ac:dyDescent="0.3">
      <c r="A46" s="511"/>
      <c r="B46" s="511"/>
      <c r="C46" s="499"/>
      <c r="D46" s="499"/>
      <c r="E46" s="499"/>
      <c r="F46" s="510"/>
      <c r="G46" s="2682" t="s">
        <v>1960</v>
      </c>
      <c r="H46" s="2682"/>
      <c r="I46" s="2682"/>
      <c r="J46" s="2682"/>
      <c r="K46" s="2682"/>
      <c r="L46" s="2682"/>
      <c r="M46" s="1320" t="s">
        <v>3533</v>
      </c>
      <c r="N46" s="1320" t="s">
        <v>3534</v>
      </c>
      <c r="O46" s="447">
        <v>0</v>
      </c>
      <c r="P46" s="447"/>
      <c r="Q46" s="447"/>
      <c r="R46" s="432"/>
      <c r="S46" s="418"/>
      <c r="T46" s="418"/>
      <c r="U46" s="418"/>
      <c r="V46" s="418"/>
      <c r="W46" s="418"/>
      <c r="X46" s="418"/>
      <c r="Y46" s="418"/>
      <c r="Z46" s="418"/>
      <c r="AA46" s="433"/>
      <c r="AB46" s="2736"/>
      <c r="AC46" s="2736"/>
      <c r="AD46" s="2736"/>
      <c r="AE46" s="2736"/>
      <c r="AF46" s="2736"/>
      <c r="AG46" s="2736"/>
    </row>
    <row r="47" spans="1:33" s="434" customFormat="1" ht="90" x14ac:dyDescent="0.25">
      <c r="A47" s="511"/>
      <c r="B47" s="512"/>
      <c r="C47" s="513"/>
      <c r="D47" s="513"/>
      <c r="E47" s="513"/>
      <c r="F47" s="514"/>
      <c r="G47" s="448" t="s">
        <v>1938</v>
      </c>
      <c r="H47" s="414" t="s">
        <v>1939</v>
      </c>
      <c r="I47" s="414" t="s">
        <v>1940</v>
      </c>
      <c r="J47" s="414">
        <v>2.5000000000000001E-2</v>
      </c>
      <c r="K47" s="414"/>
      <c r="L47" s="457"/>
      <c r="M47" s="1390" t="s">
        <v>17054</v>
      </c>
      <c r="N47" s="1390" t="s">
        <v>17055</v>
      </c>
      <c r="O47" s="414">
        <f>0.1</f>
        <v>0.1</v>
      </c>
      <c r="P47" s="414"/>
      <c r="Q47" s="414"/>
      <c r="R47" s="458"/>
      <c r="S47" s="445"/>
      <c r="T47" s="445"/>
      <c r="U47" s="445"/>
      <c r="V47" s="445"/>
      <c r="W47" s="445" t="s">
        <v>1941</v>
      </c>
      <c r="X47" s="301" t="s">
        <v>1942</v>
      </c>
      <c r="Y47" s="445">
        <v>7.5999999999999998E-2</v>
      </c>
      <c r="Z47" s="445"/>
      <c r="AA47" s="446"/>
      <c r="AB47" s="448"/>
      <c r="AC47" s="414"/>
      <c r="AD47" s="414"/>
      <c r="AE47" s="414"/>
      <c r="AF47" s="414"/>
      <c r="AG47" s="457"/>
    </row>
    <row r="48" spans="1:33" s="434" customFormat="1" x14ac:dyDescent="0.25">
      <c r="A48" s="511"/>
      <c r="B48" s="511"/>
      <c r="C48" s="499"/>
      <c r="D48" s="499"/>
      <c r="E48" s="499"/>
      <c r="F48" s="510"/>
      <c r="G48" s="448" t="s">
        <v>1943</v>
      </c>
      <c r="H48" s="414" t="s">
        <v>1939</v>
      </c>
      <c r="I48" s="414" t="s">
        <v>1944</v>
      </c>
      <c r="J48" s="414">
        <v>2.5000000000000001E-2</v>
      </c>
      <c r="K48" s="414"/>
      <c r="L48" s="457"/>
      <c r="M48" s="414"/>
      <c r="N48" s="414"/>
      <c r="O48" s="414"/>
      <c r="P48" s="414"/>
      <c r="Q48" s="414"/>
      <c r="R48" s="432"/>
      <c r="S48" s="418"/>
      <c r="T48" s="418"/>
      <c r="U48" s="418"/>
      <c r="V48" s="418"/>
      <c r="W48" s="418"/>
      <c r="X48" s="418"/>
      <c r="Y48" s="418"/>
      <c r="Z48" s="418"/>
      <c r="AA48" s="433"/>
      <c r="AB48" s="448"/>
      <c r="AC48" s="414"/>
      <c r="AD48" s="414"/>
      <c r="AE48" s="414"/>
      <c r="AF48" s="414"/>
      <c r="AG48" s="457"/>
    </row>
    <row r="49" spans="1:33" s="434" customFormat="1" x14ac:dyDescent="0.25">
      <c r="A49" s="585"/>
      <c r="B49" s="585"/>
      <c r="C49" s="582"/>
      <c r="D49" s="582"/>
      <c r="E49" s="582"/>
      <c r="F49" s="586"/>
      <c r="G49" s="2682" t="s">
        <v>2032</v>
      </c>
      <c r="H49" s="2682"/>
      <c r="I49" s="2682"/>
      <c r="J49" s="2682"/>
      <c r="K49" s="2682"/>
      <c r="L49" s="2682"/>
      <c r="M49" s="584"/>
      <c r="N49" s="584"/>
      <c r="O49" s="584"/>
      <c r="P49" s="584"/>
      <c r="Q49" s="584"/>
      <c r="R49" s="487"/>
      <c r="S49" s="438"/>
      <c r="T49" s="417"/>
      <c r="U49" s="417"/>
      <c r="V49" s="417"/>
      <c r="W49" s="437"/>
      <c r="X49" s="438"/>
      <c r="Y49" s="417"/>
      <c r="Z49" s="417"/>
      <c r="AA49" s="439"/>
      <c r="AB49" s="583"/>
      <c r="AC49" s="584"/>
      <c r="AD49" s="584"/>
      <c r="AE49" s="584"/>
      <c r="AF49" s="584"/>
      <c r="AG49" s="601"/>
    </row>
    <row r="50" spans="1:33" s="467" customFormat="1" ht="78.75" x14ac:dyDescent="0.25">
      <c r="A50" s="518"/>
      <c r="B50" s="518"/>
      <c r="C50" s="519"/>
      <c r="D50" s="519"/>
      <c r="E50" s="519"/>
      <c r="F50" s="520"/>
      <c r="G50" s="459" t="s">
        <v>39</v>
      </c>
      <c r="H50" s="460" t="s">
        <v>40</v>
      </c>
      <c r="I50" s="460" t="s">
        <v>2268</v>
      </c>
      <c r="J50" s="460">
        <v>0.03</v>
      </c>
      <c r="K50" s="460"/>
      <c r="L50" s="461"/>
      <c r="M50" s="460"/>
      <c r="N50" s="460"/>
      <c r="O50" s="460"/>
      <c r="P50" s="460"/>
      <c r="Q50" s="460"/>
      <c r="R50" s="462"/>
      <c r="S50" s="463"/>
      <c r="T50" s="464"/>
      <c r="U50" s="464"/>
      <c r="V50" s="464"/>
      <c r="W50" s="465"/>
      <c r="X50" s="463"/>
      <c r="Y50" s="464"/>
      <c r="Z50" s="464"/>
      <c r="AA50" s="466"/>
      <c r="AB50" s="459"/>
      <c r="AC50" s="460"/>
      <c r="AD50" s="460"/>
      <c r="AE50" s="460"/>
      <c r="AF50" s="460"/>
      <c r="AG50" s="461"/>
    </row>
    <row r="51" spans="1:33" s="467" customFormat="1" ht="63" x14ac:dyDescent="0.25">
      <c r="A51" s="518"/>
      <c r="B51" s="518"/>
      <c r="C51" s="519"/>
      <c r="D51" s="519"/>
      <c r="E51" s="519"/>
      <c r="F51" s="520"/>
      <c r="G51" s="448" t="s">
        <v>37</v>
      </c>
      <c r="H51" s="769" t="s">
        <v>38</v>
      </c>
      <c r="I51" s="460" t="s">
        <v>2267</v>
      </c>
      <c r="J51" s="414">
        <v>0.03</v>
      </c>
      <c r="K51" s="460"/>
      <c r="L51" s="461"/>
      <c r="M51" s="460"/>
      <c r="N51" s="460"/>
      <c r="O51" s="460"/>
      <c r="P51" s="460"/>
      <c r="Q51" s="460"/>
      <c r="R51" s="462"/>
      <c r="S51" s="463"/>
      <c r="T51" s="464"/>
      <c r="U51" s="464"/>
      <c r="V51" s="464"/>
      <c r="W51" s="465"/>
      <c r="X51" s="463"/>
      <c r="Y51" s="464"/>
      <c r="Z51" s="464"/>
      <c r="AA51" s="466"/>
      <c r="AB51" s="448"/>
      <c r="AC51" s="414"/>
      <c r="AD51" s="460"/>
      <c r="AE51" s="414"/>
      <c r="AF51" s="460"/>
      <c r="AG51" s="461"/>
    </row>
    <row r="52" spans="1:33" s="467" customFormat="1" ht="15.75" x14ac:dyDescent="0.25">
      <c r="A52" s="518"/>
      <c r="B52" s="518"/>
      <c r="C52" s="519"/>
      <c r="D52" s="519"/>
      <c r="E52" s="519"/>
      <c r="F52" s="520"/>
      <c r="G52" s="2682" t="s">
        <v>2477</v>
      </c>
      <c r="H52" s="2682"/>
      <c r="I52" s="2682"/>
      <c r="J52" s="2682"/>
      <c r="K52" s="2682"/>
      <c r="L52" s="2682"/>
      <c r="M52" s="461"/>
      <c r="N52" s="787"/>
      <c r="O52" s="788"/>
      <c r="P52" s="788"/>
      <c r="Q52" s="788"/>
      <c r="R52" s="462"/>
      <c r="S52" s="463"/>
      <c r="T52" s="464"/>
      <c r="U52" s="464"/>
      <c r="V52" s="464"/>
      <c r="W52" s="465"/>
      <c r="X52" s="463"/>
      <c r="Y52" s="464"/>
      <c r="Z52" s="464"/>
      <c r="AA52" s="466"/>
      <c r="AB52" s="699"/>
      <c r="AC52" s="699"/>
      <c r="AD52" s="787"/>
      <c r="AE52" s="450"/>
      <c r="AF52" s="788"/>
      <c r="AG52" s="461"/>
    </row>
    <row r="53" spans="1:33" s="467" customFormat="1" ht="75" x14ac:dyDescent="0.25">
      <c r="A53" s="518"/>
      <c r="B53" s="518"/>
      <c r="C53" s="519"/>
      <c r="D53" s="519"/>
      <c r="E53" s="519"/>
      <c r="F53" s="520"/>
      <c r="G53" s="770" t="s">
        <v>2766</v>
      </c>
      <c r="H53" s="770" t="s">
        <v>2767</v>
      </c>
      <c r="I53" s="787" t="s">
        <v>2825</v>
      </c>
      <c r="J53" s="444">
        <v>0.4</v>
      </c>
      <c r="K53" s="788"/>
      <c r="L53" s="461"/>
      <c r="M53" s="461"/>
      <c r="N53" s="787"/>
      <c r="O53" s="788"/>
      <c r="P53" s="788"/>
      <c r="Q53" s="788"/>
      <c r="R53" s="462"/>
      <c r="S53" s="463"/>
      <c r="T53" s="464"/>
      <c r="U53" s="464"/>
      <c r="V53" s="464"/>
      <c r="W53" s="465"/>
      <c r="X53" s="463"/>
      <c r="Y53" s="464"/>
      <c r="Z53" s="464"/>
      <c r="AA53" s="466"/>
      <c r="AB53" s="699"/>
      <c r="AC53" s="699"/>
      <c r="AD53" s="787"/>
      <c r="AE53" s="450"/>
      <c r="AF53" s="788"/>
      <c r="AG53" s="461"/>
    </row>
    <row r="54" spans="1:33" s="467" customFormat="1" ht="15.75" x14ac:dyDescent="0.25">
      <c r="A54" s="518"/>
      <c r="B54" s="518"/>
      <c r="C54" s="519"/>
      <c r="D54" s="519"/>
      <c r="E54" s="519"/>
      <c r="F54" s="520"/>
      <c r="G54" s="2682" t="s">
        <v>3020</v>
      </c>
      <c r="H54" s="2682"/>
      <c r="I54" s="2682"/>
      <c r="J54" s="2682"/>
      <c r="K54" s="2682"/>
      <c r="L54" s="2682"/>
      <c r="M54" s="461"/>
      <c r="N54" s="787"/>
      <c r="O54" s="788"/>
      <c r="P54" s="788"/>
      <c r="Q54" s="788"/>
      <c r="R54" s="462"/>
      <c r="S54" s="463"/>
      <c r="T54" s="464"/>
      <c r="U54" s="464"/>
      <c r="V54" s="464"/>
      <c r="W54" s="465"/>
      <c r="X54" s="463"/>
      <c r="Y54" s="464"/>
      <c r="Z54" s="464"/>
      <c r="AA54" s="466"/>
      <c r="AB54" s="699"/>
      <c r="AC54" s="699"/>
      <c r="AD54" s="787"/>
      <c r="AE54" s="450"/>
      <c r="AF54" s="788"/>
      <c r="AG54" s="461"/>
    </row>
    <row r="55" spans="1:33" s="467" customFormat="1" ht="120" x14ac:dyDescent="0.25">
      <c r="A55" s="518"/>
      <c r="B55" s="518"/>
      <c r="C55" s="519"/>
      <c r="D55" s="519"/>
      <c r="E55" s="519"/>
      <c r="F55" s="520"/>
      <c r="G55" s="1043" t="s">
        <v>3114</v>
      </c>
      <c r="H55" s="1043" t="s">
        <v>3115</v>
      </c>
      <c r="I55" s="787" t="s">
        <v>3131</v>
      </c>
      <c r="J55" s="1043">
        <f>(0.02-0.015)*0.9</f>
        <v>4.5000000000000014E-3</v>
      </c>
      <c r="K55" s="788"/>
      <c r="L55" s="461"/>
      <c r="M55" s="461"/>
      <c r="N55" s="787"/>
      <c r="O55" s="788"/>
      <c r="P55" s="788"/>
      <c r="Q55" s="788"/>
      <c r="R55" s="462"/>
      <c r="S55" s="463"/>
      <c r="T55" s="464"/>
      <c r="U55" s="464"/>
      <c r="V55" s="464"/>
      <c r="W55" s="465"/>
      <c r="X55" s="463"/>
      <c r="Y55" s="464"/>
      <c r="Z55" s="464"/>
      <c r="AA55" s="466"/>
      <c r="AB55" s="699"/>
      <c r="AC55" s="699"/>
      <c r="AD55" s="787"/>
      <c r="AE55" s="450"/>
      <c r="AF55" s="788"/>
      <c r="AG55" s="461"/>
    </row>
    <row r="56" spans="1:33" s="467" customFormat="1" ht="78" customHeight="1" x14ac:dyDescent="0.25">
      <c r="A56" s="518"/>
      <c r="B56" s="518"/>
      <c r="C56" s="519"/>
      <c r="D56" s="519"/>
      <c r="E56" s="519"/>
      <c r="F56" s="520"/>
      <c r="G56" s="1089" t="s">
        <v>3205</v>
      </c>
      <c r="H56" s="1089" t="s">
        <v>3206</v>
      </c>
      <c r="I56" s="460" t="s">
        <v>3207</v>
      </c>
      <c r="J56" s="1089">
        <f>(0.05-0.015)*0.75</f>
        <v>2.6250000000000002E-2</v>
      </c>
      <c r="K56" s="460"/>
      <c r="L56" s="460"/>
      <c r="M56" s="461"/>
      <c r="N56" s="787"/>
      <c r="O56" s="788"/>
      <c r="P56" s="788"/>
      <c r="Q56" s="788"/>
      <c r="R56" s="462"/>
      <c r="S56" s="463"/>
      <c r="T56" s="464"/>
      <c r="U56" s="464"/>
      <c r="V56" s="464"/>
      <c r="W56" s="465"/>
      <c r="X56" s="463"/>
      <c r="Y56" s="464"/>
      <c r="Z56" s="464"/>
      <c r="AA56" s="466"/>
      <c r="AB56" s="699"/>
      <c r="AC56" s="699"/>
      <c r="AD56" s="787"/>
      <c r="AE56" s="450"/>
      <c r="AF56" s="788"/>
      <c r="AG56" s="461"/>
    </row>
    <row r="57" spans="1:33" s="467" customFormat="1" ht="19.5" customHeight="1" x14ac:dyDescent="0.25">
      <c r="A57" s="518"/>
      <c r="B57" s="518"/>
      <c r="C57" s="519"/>
      <c r="D57" s="519"/>
      <c r="E57" s="519"/>
      <c r="F57" s="520"/>
      <c r="G57" s="2671"/>
      <c r="H57" s="2672"/>
      <c r="I57" s="2673"/>
      <c r="J57" s="1586"/>
      <c r="K57" s="1587"/>
      <c r="L57" s="1588"/>
      <c r="M57" s="461"/>
      <c r="N57" s="787"/>
      <c r="O57" s="788"/>
      <c r="P57" s="788"/>
      <c r="Q57" s="788"/>
      <c r="R57" s="462"/>
      <c r="S57" s="463"/>
      <c r="T57" s="464"/>
      <c r="U57" s="464"/>
      <c r="V57" s="464"/>
      <c r="W57" s="465"/>
      <c r="X57" s="463"/>
      <c r="Y57" s="464"/>
      <c r="Z57" s="464"/>
      <c r="AA57" s="466"/>
      <c r="AB57" s="699"/>
      <c r="AC57" s="699"/>
      <c r="AD57" s="787"/>
      <c r="AE57" s="450"/>
      <c r="AF57" s="788"/>
      <c r="AG57" s="461"/>
    </row>
    <row r="58" spans="1:33" s="467" customFormat="1" ht="19.5" customHeight="1" x14ac:dyDescent="0.25">
      <c r="A58" s="518"/>
      <c r="B58" s="518"/>
      <c r="C58" s="519"/>
      <c r="D58" s="519"/>
      <c r="E58" s="519"/>
      <c r="F58" s="520"/>
      <c r="G58" s="2682" t="s">
        <v>3447</v>
      </c>
      <c r="H58" s="2682"/>
      <c r="I58" s="2682"/>
      <c r="J58" s="2682"/>
      <c r="K58" s="2682"/>
      <c r="L58" s="2682"/>
      <c r="M58" s="461"/>
      <c r="N58" s="787"/>
      <c r="O58" s="788"/>
      <c r="P58" s="788"/>
      <c r="Q58" s="788"/>
      <c r="R58" s="462"/>
      <c r="S58" s="463"/>
      <c r="T58" s="464"/>
      <c r="U58" s="464"/>
      <c r="V58" s="464"/>
      <c r="W58" s="465"/>
      <c r="X58" s="463"/>
      <c r="Y58" s="464"/>
      <c r="Z58" s="464"/>
      <c r="AA58" s="466"/>
      <c r="AB58" s="699"/>
      <c r="AC58" s="699"/>
      <c r="AD58" s="787"/>
      <c r="AE58" s="450"/>
      <c r="AF58" s="788"/>
      <c r="AG58" s="461"/>
    </row>
    <row r="59" spans="1:33" s="467" customFormat="1" ht="19.5" customHeight="1" x14ac:dyDescent="0.25">
      <c r="A59" s="518"/>
      <c r="B59" s="518"/>
      <c r="C59" s="519"/>
      <c r="D59" s="519"/>
      <c r="E59" s="519"/>
      <c r="F59" s="520"/>
      <c r="G59" s="1578" t="s">
        <v>2773</v>
      </c>
      <c r="H59" s="1578" t="s">
        <v>3617</v>
      </c>
      <c r="I59" s="1585" t="s">
        <v>16736</v>
      </c>
      <c r="J59" s="1586">
        <f>0.1*0.75</f>
        <v>7.5000000000000011E-2</v>
      </c>
      <c r="K59" s="1587"/>
      <c r="L59" s="1588"/>
      <c r="M59" s="461"/>
      <c r="N59" s="787"/>
      <c r="O59" s="788"/>
      <c r="P59" s="788"/>
      <c r="Q59" s="788"/>
      <c r="R59" s="462"/>
      <c r="S59" s="463"/>
      <c r="T59" s="464"/>
      <c r="U59" s="464"/>
      <c r="V59" s="464"/>
      <c r="W59" s="465"/>
      <c r="X59" s="463"/>
      <c r="Y59" s="464"/>
      <c r="Z59" s="464"/>
      <c r="AA59" s="466"/>
      <c r="AB59" s="699"/>
      <c r="AC59" s="699"/>
      <c r="AD59" s="787"/>
      <c r="AE59" s="450"/>
      <c r="AF59" s="788"/>
      <c r="AG59" s="461"/>
    </row>
    <row r="60" spans="1:33" s="467" customFormat="1" ht="19.5" customHeight="1" x14ac:dyDescent="0.25">
      <c r="A60" s="518"/>
      <c r="B60" s="518"/>
      <c r="C60" s="519"/>
      <c r="D60" s="519"/>
      <c r="E60" s="519"/>
      <c r="F60" s="520"/>
      <c r="G60" s="2684" t="s">
        <v>3401</v>
      </c>
      <c r="H60" s="2685"/>
      <c r="I60" s="2686"/>
      <c r="J60" s="1199">
        <f>0.367*0.9</f>
        <v>0.33029999999999998</v>
      </c>
      <c r="K60" s="1587"/>
      <c r="L60" s="1588"/>
      <c r="M60" s="461"/>
      <c r="N60" s="787"/>
      <c r="O60" s="788"/>
      <c r="P60" s="788"/>
      <c r="Q60" s="788"/>
      <c r="R60" s="462"/>
      <c r="S60" s="463"/>
      <c r="T60" s="464"/>
      <c r="U60" s="464"/>
      <c r="V60" s="464"/>
      <c r="W60" s="465"/>
      <c r="X60" s="463"/>
      <c r="Y60" s="464"/>
      <c r="Z60" s="464"/>
      <c r="AA60" s="466"/>
      <c r="AB60" s="699"/>
      <c r="AC60" s="699"/>
      <c r="AD60" s="787"/>
      <c r="AE60" s="450"/>
      <c r="AF60" s="788"/>
      <c r="AG60" s="461"/>
    </row>
    <row r="61" spans="1:33" s="467" customFormat="1" ht="19.5" customHeight="1" x14ac:dyDescent="0.25">
      <c r="A61" s="518"/>
      <c r="B61" s="518"/>
      <c r="C61" s="519"/>
      <c r="D61" s="519"/>
      <c r="E61" s="519"/>
      <c r="F61" s="520"/>
      <c r="G61" s="2682" t="s">
        <v>17005</v>
      </c>
      <c r="H61" s="2682"/>
      <c r="I61" s="2682"/>
      <c r="J61" s="2682"/>
      <c r="K61" s="2682"/>
      <c r="L61" s="2682"/>
      <c r="M61" s="461"/>
      <c r="N61" s="787"/>
      <c r="O61" s="788"/>
      <c r="P61" s="788"/>
      <c r="Q61" s="788"/>
      <c r="R61" s="462"/>
      <c r="S61" s="463"/>
      <c r="T61" s="464"/>
      <c r="U61" s="464"/>
      <c r="V61" s="464"/>
      <c r="W61" s="465"/>
      <c r="X61" s="463"/>
      <c r="Y61" s="464"/>
      <c r="Z61" s="464"/>
      <c r="AA61" s="466"/>
      <c r="AB61" s="699"/>
      <c r="AC61" s="699"/>
      <c r="AD61" s="787"/>
      <c r="AE61" s="450"/>
      <c r="AF61" s="788"/>
      <c r="AG61" s="461"/>
    </row>
    <row r="62" spans="1:33" s="467" customFormat="1" ht="19.5" customHeight="1" x14ac:dyDescent="0.25">
      <c r="A62" s="518"/>
      <c r="B62" s="518"/>
      <c r="C62" s="519"/>
      <c r="D62" s="519"/>
      <c r="E62" s="519"/>
      <c r="F62" s="520"/>
      <c r="G62" s="2130" t="s">
        <v>17054</v>
      </c>
      <c r="H62" s="2130" t="s">
        <v>19894</v>
      </c>
      <c r="I62" s="1585" t="s">
        <v>19895</v>
      </c>
      <c r="J62" s="1586">
        <f>(0.115-0.015)*0.9</f>
        <v>9.0000000000000011E-2</v>
      </c>
      <c r="K62" s="1587"/>
      <c r="L62" s="1588"/>
      <c r="M62" s="461"/>
      <c r="N62" s="787"/>
      <c r="O62" s="788"/>
      <c r="P62" s="788"/>
      <c r="Q62" s="788"/>
      <c r="R62" s="462"/>
      <c r="S62" s="463"/>
      <c r="T62" s="464"/>
      <c r="U62" s="464"/>
      <c r="V62" s="464"/>
      <c r="W62" s="465"/>
      <c r="X62" s="463"/>
      <c r="Y62" s="464"/>
      <c r="Z62" s="464"/>
      <c r="AA62" s="466"/>
      <c r="AB62" s="699"/>
      <c r="AC62" s="699"/>
      <c r="AD62" s="787"/>
      <c r="AE62" s="450"/>
      <c r="AF62" s="788"/>
      <c r="AG62" s="461"/>
    </row>
    <row r="63" spans="1:33" s="467" customFormat="1" ht="19.5" customHeight="1" x14ac:dyDescent="0.25">
      <c r="A63" s="518"/>
      <c r="B63" s="518"/>
      <c r="C63" s="519"/>
      <c r="D63" s="519"/>
      <c r="E63" s="519"/>
      <c r="F63" s="520"/>
      <c r="G63" s="2684" t="s">
        <v>3401</v>
      </c>
      <c r="H63" s="2685"/>
      <c r="I63" s="2686"/>
      <c r="J63" s="1199">
        <f>0.365*0.9</f>
        <v>0.32850000000000001</v>
      </c>
      <c r="K63" s="1587"/>
      <c r="L63" s="1588"/>
      <c r="M63" s="461"/>
      <c r="N63" s="787"/>
      <c r="O63" s="788"/>
      <c r="P63" s="788"/>
      <c r="Q63" s="788"/>
      <c r="R63" s="462"/>
      <c r="S63" s="463"/>
      <c r="T63" s="464"/>
      <c r="U63" s="464"/>
      <c r="V63" s="464"/>
      <c r="W63" s="465"/>
      <c r="X63" s="463"/>
      <c r="Y63" s="464"/>
      <c r="Z63" s="464"/>
      <c r="AA63" s="466"/>
      <c r="AB63" s="699"/>
      <c r="AC63" s="699"/>
      <c r="AD63" s="787"/>
      <c r="AE63" s="450"/>
      <c r="AF63" s="788"/>
      <c r="AG63" s="461"/>
    </row>
    <row r="64" spans="1:33" ht="15.75" thickBot="1" x14ac:dyDescent="0.3">
      <c r="A64" s="516"/>
      <c r="B64" s="516"/>
      <c r="C64" s="503"/>
      <c r="D64" s="503"/>
      <c r="E64" s="503"/>
      <c r="F64" s="517"/>
      <c r="G64" s="2578" t="s">
        <v>1833</v>
      </c>
      <c r="H64" s="2578"/>
      <c r="I64" s="2579"/>
      <c r="J64" s="13">
        <f>SUM(J55:J63)</f>
        <v>0.85455000000000003</v>
      </c>
      <c r="K64" s="14">
        <v>0.93</v>
      </c>
      <c r="L64" s="13">
        <f>J64/K64</f>
        <v>0.91887096774193544</v>
      </c>
      <c r="M64" s="2577" t="s">
        <v>1834</v>
      </c>
      <c r="N64" s="2579"/>
      <c r="O64" s="13">
        <f>SUM(O44:O51)</f>
        <v>0.13400000000000001</v>
      </c>
      <c r="P64" s="14">
        <v>0.92</v>
      </c>
      <c r="Q64" s="13">
        <f>O64/P64</f>
        <v>0.14565217391304347</v>
      </c>
      <c r="R64" s="2738" t="s">
        <v>1835</v>
      </c>
      <c r="S64" s="2739"/>
      <c r="T64" s="30">
        <f>SUM(T47:T48)</f>
        <v>0</v>
      </c>
      <c r="U64" s="31">
        <v>0.8</v>
      </c>
      <c r="V64" s="30">
        <f>T64/U64</f>
        <v>0</v>
      </c>
      <c r="W64" s="2738" t="s">
        <v>1836</v>
      </c>
      <c r="X64" s="2739"/>
      <c r="Y64" s="30">
        <f>SUM(Y47:Y48)</f>
        <v>7.5999999999999998E-2</v>
      </c>
      <c r="Z64" s="31">
        <v>0.8</v>
      </c>
      <c r="AA64" s="32">
        <f>Y64/Z64</f>
        <v>9.4999999999999987E-2</v>
      </c>
      <c r="AB64" s="2578" t="s">
        <v>1833</v>
      </c>
      <c r="AC64" s="2578"/>
      <c r="AD64" s="2579"/>
      <c r="AE64" s="13">
        <f>SUM(AE47:AE51)</f>
        <v>0</v>
      </c>
      <c r="AF64" s="14">
        <v>0.92</v>
      </c>
      <c r="AG64" s="13">
        <f>AE64/AF64</f>
        <v>0</v>
      </c>
    </row>
    <row r="65" spans="1:33" s="434" customFormat="1" ht="15" customHeight="1" thickBot="1" x14ac:dyDescent="0.3">
      <c r="A65" s="2689" t="str">
        <f>Итоговая!C160</f>
        <v xml:space="preserve">ПС 35/10 кВ Вега </v>
      </c>
      <c r="B65" s="2689">
        <f>Итоговая!D160</f>
        <v>2.5</v>
      </c>
      <c r="C65" s="2691" t="str">
        <f>Итоговая!E160</f>
        <v>+</v>
      </c>
      <c r="D65" s="2691">
        <f>Итоговая!F160</f>
        <v>2.5</v>
      </c>
      <c r="E65" s="508"/>
      <c r="F65" s="509"/>
      <c r="G65" s="2743" t="s">
        <v>1961</v>
      </c>
      <c r="H65" s="2743"/>
      <c r="I65" s="2743"/>
      <c r="J65" s="2743"/>
      <c r="K65" s="2743"/>
      <c r="L65" s="2743"/>
      <c r="M65" s="443"/>
      <c r="N65" s="443"/>
      <c r="O65" s="443"/>
      <c r="P65" s="468"/>
      <c r="Q65" s="441"/>
      <c r="R65" s="437"/>
      <c r="S65" s="438"/>
      <c r="T65" s="417"/>
      <c r="U65" s="417"/>
      <c r="V65" s="417"/>
      <c r="W65" s="437"/>
      <c r="X65" s="438"/>
      <c r="Y65" s="417"/>
      <c r="Z65" s="417"/>
      <c r="AA65" s="439"/>
      <c r="AB65" s="2732"/>
      <c r="AC65" s="2732"/>
      <c r="AD65" s="2732"/>
      <c r="AE65" s="2732"/>
      <c r="AF65" s="2732"/>
      <c r="AG65" s="2732"/>
    </row>
    <row r="66" spans="1:33" s="434" customFormat="1" ht="24.75" customHeight="1" x14ac:dyDescent="0.25">
      <c r="A66" s="2690"/>
      <c r="B66" s="2690"/>
      <c r="C66" s="2692"/>
      <c r="D66" s="2692"/>
      <c r="E66" s="499"/>
      <c r="F66" s="510"/>
      <c r="G66" s="448" t="s">
        <v>658</v>
      </c>
      <c r="H66" s="414" t="s">
        <v>659</v>
      </c>
      <c r="I66" s="414" t="s">
        <v>660</v>
      </c>
      <c r="J66" s="414">
        <v>8.5000000000000006E-2</v>
      </c>
      <c r="K66" s="414"/>
      <c r="L66" s="414"/>
      <c r="M66" s="414" t="s">
        <v>666</v>
      </c>
      <c r="N66" s="414" t="s">
        <v>667</v>
      </c>
      <c r="O66" s="414">
        <v>5.33E-2</v>
      </c>
      <c r="P66" s="414"/>
      <c r="Q66" s="414"/>
      <c r="R66" s="445" t="s">
        <v>661</v>
      </c>
      <c r="S66" s="445" t="s">
        <v>662</v>
      </c>
      <c r="T66" s="445">
        <v>1</v>
      </c>
      <c r="U66" s="445"/>
      <c r="V66" s="445"/>
      <c r="W66" s="445"/>
      <c r="X66" s="445"/>
      <c r="Y66" s="445"/>
      <c r="Z66" s="445"/>
      <c r="AA66" s="446"/>
      <c r="AB66" s="448"/>
      <c r="AC66" s="414"/>
      <c r="AD66" s="414"/>
      <c r="AE66" s="414"/>
      <c r="AF66" s="414"/>
      <c r="AG66" s="414"/>
    </row>
    <row r="67" spans="1:33" s="434" customFormat="1" ht="19.5" customHeight="1" x14ac:dyDescent="0.25">
      <c r="A67" s="2690"/>
      <c r="B67" s="2690"/>
      <c r="C67" s="2692"/>
      <c r="D67" s="2692"/>
      <c r="E67" s="499"/>
      <c r="F67" s="510"/>
      <c r="G67" s="2678" t="s">
        <v>1959</v>
      </c>
      <c r="H67" s="2676"/>
      <c r="I67" s="2676"/>
      <c r="J67" s="2676"/>
      <c r="K67" s="2676"/>
      <c r="L67" s="2676"/>
      <c r="M67" s="414" t="s">
        <v>668</v>
      </c>
      <c r="N67" s="414" t="s">
        <v>667</v>
      </c>
      <c r="O67" s="414">
        <v>5.2999999999999999E-2</v>
      </c>
      <c r="P67" s="447"/>
      <c r="Q67" s="447"/>
      <c r="R67" s="418"/>
      <c r="S67" s="418"/>
      <c r="T67" s="418"/>
      <c r="U67" s="418"/>
      <c r="V67" s="418"/>
      <c r="W67" s="418"/>
      <c r="X67" s="418"/>
      <c r="Y67" s="418"/>
      <c r="Z67" s="418"/>
      <c r="AA67" s="433"/>
      <c r="AB67" s="2733"/>
      <c r="AC67" s="2734"/>
      <c r="AD67" s="2734"/>
      <c r="AE67" s="2734"/>
      <c r="AF67" s="2734"/>
      <c r="AG67" s="2734"/>
    </row>
    <row r="68" spans="1:33" s="434" customFormat="1" ht="34.5" customHeight="1" x14ac:dyDescent="0.25">
      <c r="A68" s="2690"/>
      <c r="B68" s="2690"/>
      <c r="C68" s="2692"/>
      <c r="D68" s="2692"/>
      <c r="E68" s="499"/>
      <c r="F68" s="510"/>
      <c r="G68" s="448" t="s">
        <v>663</v>
      </c>
      <c r="H68" s="414" t="s">
        <v>664</v>
      </c>
      <c r="I68" s="414" t="s">
        <v>665</v>
      </c>
      <c r="J68" s="414">
        <v>0.1</v>
      </c>
      <c r="K68" s="414"/>
      <c r="L68" s="414"/>
      <c r="M68" s="414" t="s">
        <v>669</v>
      </c>
      <c r="N68" s="414" t="s">
        <v>667</v>
      </c>
      <c r="O68" s="414">
        <v>5.2999999999999999E-2</v>
      </c>
      <c r="P68" s="414"/>
      <c r="Q68" s="414"/>
      <c r="R68" s="301"/>
      <c r="S68" s="301"/>
      <c r="T68" s="301"/>
      <c r="U68" s="301"/>
      <c r="V68" s="418"/>
      <c r="W68" s="418"/>
      <c r="X68" s="418"/>
      <c r="Y68" s="418"/>
      <c r="Z68" s="418"/>
      <c r="AA68" s="433"/>
      <c r="AB68" s="448"/>
      <c r="AC68" s="414"/>
      <c r="AD68" s="414"/>
      <c r="AE68" s="414"/>
      <c r="AF68" s="414"/>
      <c r="AG68" s="414"/>
    </row>
    <row r="69" spans="1:33" s="434" customFormat="1" ht="16.5" customHeight="1" x14ac:dyDescent="0.25">
      <c r="A69" s="2690"/>
      <c r="B69" s="2690"/>
      <c r="C69" s="2692"/>
      <c r="D69" s="2692"/>
      <c r="E69" s="499"/>
      <c r="F69" s="510"/>
      <c r="G69" s="2678" t="s">
        <v>2033</v>
      </c>
      <c r="H69" s="2676"/>
      <c r="I69" s="2676"/>
      <c r="J69" s="2676"/>
      <c r="K69" s="2676"/>
      <c r="L69" s="2676"/>
      <c r="M69" s="414"/>
      <c r="N69" s="414"/>
      <c r="O69" s="414"/>
      <c r="P69" s="414"/>
      <c r="Q69" s="414"/>
      <c r="R69" s="301"/>
      <c r="S69" s="301"/>
      <c r="T69" s="301"/>
      <c r="U69" s="301"/>
      <c r="V69" s="418"/>
      <c r="W69" s="418"/>
      <c r="X69" s="418"/>
      <c r="Y69" s="418"/>
      <c r="Z69" s="418"/>
      <c r="AA69" s="433"/>
      <c r="AB69" s="2733"/>
      <c r="AC69" s="2734"/>
      <c r="AD69" s="2734"/>
      <c r="AE69" s="2734"/>
      <c r="AF69" s="2734"/>
      <c r="AG69" s="2734"/>
    </row>
    <row r="70" spans="1:33" s="434" customFormat="1" ht="62.25" customHeight="1" x14ac:dyDescent="0.25">
      <c r="A70" s="2690"/>
      <c r="B70" s="2690"/>
      <c r="C70" s="2692"/>
      <c r="D70" s="2692"/>
      <c r="E70" s="499"/>
      <c r="F70" s="510"/>
      <c r="G70" s="448" t="s">
        <v>2015</v>
      </c>
      <c r="H70" s="1578" t="s">
        <v>2016</v>
      </c>
      <c r="I70" s="414" t="s">
        <v>2241</v>
      </c>
      <c r="J70" s="414">
        <v>0.22</v>
      </c>
      <c r="K70" s="414"/>
      <c r="L70" s="414"/>
      <c r="M70" s="414" t="s">
        <v>670</v>
      </c>
      <c r="N70" s="414" t="s">
        <v>671</v>
      </c>
      <c r="O70" s="414">
        <v>0.24</v>
      </c>
      <c r="P70" s="414"/>
      <c r="Q70" s="414"/>
      <c r="R70" s="301"/>
      <c r="S70" s="301"/>
      <c r="T70" s="301"/>
      <c r="U70" s="301"/>
      <c r="V70" s="418"/>
      <c r="W70" s="418"/>
      <c r="X70" s="418"/>
      <c r="Y70" s="418"/>
      <c r="Z70" s="418"/>
      <c r="AA70" s="433"/>
      <c r="AB70" s="448"/>
      <c r="AC70" s="414"/>
      <c r="AD70" s="414"/>
      <c r="AE70" s="414"/>
      <c r="AF70" s="414"/>
      <c r="AG70" s="414"/>
    </row>
    <row r="71" spans="1:33" s="434" customFormat="1" ht="57" customHeight="1" x14ac:dyDescent="0.25">
      <c r="A71" s="2690"/>
      <c r="B71" s="2690"/>
      <c r="C71" s="2692"/>
      <c r="D71" s="2692"/>
      <c r="E71" s="499"/>
      <c r="F71" s="510"/>
      <c r="G71" s="448" t="s">
        <v>31</v>
      </c>
      <c r="H71" s="414" t="s">
        <v>32</v>
      </c>
      <c r="I71" s="414" t="s">
        <v>2283</v>
      </c>
      <c r="J71" s="444">
        <v>0.2</v>
      </c>
      <c r="K71" s="414"/>
      <c r="L71" s="414"/>
      <c r="M71" s="414" t="s">
        <v>672</v>
      </c>
      <c r="N71" s="414" t="s">
        <v>673</v>
      </c>
      <c r="O71" s="414">
        <v>0.22500000000000001</v>
      </c>
      <c r="P71" s="414"/>
      <c r="Q71" s="414"/>
      <c r="R71" s="301"/>
      <c r="S71" s="301"/>
      <c r="T71" s="301"/>
      <c r="U71" s="301"/>
      <c r="V71" s="418"/>
      <c r="W71" s="418"/>
      <c r="X71" s="418"/>
      <c r="Y71" s="418"/>
      <c r="Z71" s="418"/>
      <c r="AA71" s="433"/>
      <c r="AB71" s="448"/>
      <c r="AC71" s="414"/>
      <c r="AD71" s="414"/>
      <c r="AE71" s="444"/>
      <c r="AF71" s="414"/>
      <c r="AG71" s="414"/>
    </row>
    <row r="72" spans="1:33" s="434" customFormat="1" ht="60" x14ac:dyDescent="0.25">
      <c r="A72" s="2690"/>
      <c r="B72" s="2690"/>
      <c r="C72" s="2692"/>
      <c r="D72" s="2692"/>
      <c r="E72" s="499"/>
      <c r="F72" s="510"/>
      <c r="G72" s="448" t="s">
        <v>789</v>
      </c>
      <c r="H72" s="414" t="s">
        <v>790</v>
      </c>
      <c r="I72" s="414" t="s">
        <v>2467</v>
      </c>
      <c r="J72" s="414">
        <v>1</v>
      </c>
      <c r="K72" s="414"/>
      <c r="L72" s="414"/>
      <c r="M72" s="414" t="s">
        <v>674</v>
      </c>
      <c r="N72" s="414" t="s">
        <v>675</v>
      </c>
      <c r="O72" s="414">
        <v>0.2</v>
      </c>
      <c r="P72" s="414"/>
      <c r="Q72" s="414"/>
      <c r="R72" s="301"/>
      <c r="S72" s="301"/>
      <c r="T72" s="301"/>
      <c r="U72" s="301"/>
      <c r="V72" s="418"/>
      <c r="W72" s="418"/>
      <c r="X72" s="418"/>
      <c r="Y72" s="418"/>
      <c r="Z72" s="418"/>
      <c r="AA72" s="433"/>
      <c r="AB72" s="414"/>
      <c r="AC72" s="414"/>
      <c r="AD72" s="414"/>
      <c r="AE72" s="414"/>
      <c r="AF72" s="414"/>
      <c r="AG72" s="414"/>
    </row>
    <row r="73" spans="1:33" s="434" customFormat="1" ht="20.25" customHeight="1" x14ac:dyDescent="0.25">
      <c r="A73" s="2690"/>
      <c r="B73" s="2690"/>
      <c r="C73" s="2692"/>
      <c r="D73" s="2692"/>
      <c r="E73" s="499"/>
      <c r="F73" s="510"/>
      <c r="G73" s="2678" t="s">
        <v>3019</v>
      </c>
      <c r="H73" s="2676"/>
      <c r="I73" s="2676"/>
      <c r="J73" s="2676"/>
      <c r="K73" s="2676"/>
      <c r="L73" s="2676"/>
      <c r="M73" s="414" t="s">
        <v>104</v>
      </c>
      <c r="N73" s="414" t="s">
        <v>105</v>
      </c>
      <c r="O73" s="414">
        <v>7.4999999999999997E-2</v>
      </c>
      <c r="P73" s="414"/>
      <c r="Q73" s="414"/>
      <c r="R73" s="301"/>
      <c r="S73" s="301"/>
      <c r="T73" s="301"/>
      <c r="U73" s="301"/>
      <c r="V73" s="418"/>
      <c r="W73" s="418"/>
      <c r="X73" s="418"/>
      <c r="Y73" s="418"/>
      <c r="Z73" s="418"/>
      <c r="AA73" s="433"/>
      <c r="AB73" s="448"/>
      <c r="AC73" s="414"/>
      <c r="AD73" s="414"/>
      <c r="AE73" s="414"/>
      <c r="AF73" s="414"/>
      <c r="AG73" s="414"/>
    </row>
    <row r="74" spans="1:33" s="434" customFormat="1" ht="24.75" customHeight="1" x14ac:dyDescent="0.25">
      <c r="A74" s="2690"/>
      <c r="B74" s="2690"/>
      <c r="C74" s="2692"/>
      <c r="D74" s="2692"/>
      <c r="E74" s="499"/>
      <c r="F74" s="510"/>
      <c r="G74" s="2671"/>
      <c r="H74" s="2672"/>
      <c r="I74" s="2673"/>
      <c r="J74" s="1586"/>
      <c r="K74" s="1587"/>
      <c r="L74" s="1588"/>
      <c r="M74" s="414" t="s">
        <v>1957</v>
      </c>
      <c r="N74" s="414" t="s">
        <v>549</v>
      </c>
      <c r="O74" s="414">
        <v>0.05</v>
      </c>
      <c r="P74" s="414"/>
      <c r="Q74" s="414"/>
      <c r="R74" s="451"/>
      <c r="S74" s="452"/>
      <c r="T74" s="453"/>
      <c r="U74" s="453"/>
      <c r="V74" s="417"/>
      <c r="W74" s="437"/>
      <c r="X74" s="438"/>
      <c r="Y74" s="417"/>
      <c r="Z74" s="417"/>
      <c r="AA74" s="439"/>
      <c r="AB74" s="448"/>
      <c r="AC74" s="414"/>
      <c r="AD74" s="414"/>
      <c r="AE74" s="414"/>
      <c r="AF74" s="414"/>
      <c r="AG74" s="414"/>
    </row>
    <row r="75" spans="1:33" s="434" customFormat="1" ht="24.75" customHeight="1" x14ac:dyDescent="0.25">
      <c r="A75" s="2690"/>
      <c r="B75" s="2690"/>
      <c r="C75" s="2692"/>
      <c r="D75" s="2692"/>
      <c r="E75" s="1411"/>
      <c r="F75" s="1410"/>
      <c r="G75" s="2678" t="s">
        <v>3405</v>
      </c>
      <c r="H75" s="2676"/>
      <c r="I75" s="2676"/>
      <c r="J75" s="2676"/>
      <c r="K75" s="2676"/>
      <c r="L75" s="2676"/>
      <c r="M75" s="1412"/>
      <c r="N75" s="1412"/>
      <c r="O75" s="1412"/>
      <c r="P75" s="1412"/>
      <c r="Q75" s="1412"/>
      <c r="R75" s="451"/>
      <c r="S75" s="452"/>
      <c r="T75" s="453"/>
      <c r="U75" s="453"/>
      <c r="V75" s="417"/>
      <c r="W75" s="437"/>
      <c r="X75" s="438"/>
      <c r="Y75" s="417"/>
      <c r="Z75" s="417"/>
      <c r="AA75" s="439"/>
      <c r="AB75" s="1409"/>
      <c r="AC75" s="1412"/>
      <c r="AD75" s="1412"/>
      <c r="AE75" s="1412"/>
      <c r="AF75" s="1412"/>
      <c r="AG75" s="1412"/>
    </row>
    <row r="76" spans="1:33" s="434" customFormat="1" ht="90.75" customHeight="1" x14ac:dyDescent="0.25">
      <c r="A76" s="2690"/>
      <c r="B76" s="2690"/>
      <c r="C76" s="2692"/>
      <c r="D76" s="2692"/>
      <c r="E76" s="499"/>
      <c r="F76" s="510"/>
      <c r="G76" s="1412" t="s">
        <v>3511</v>
      </c>
      <c r="H76" s="1412" t="s">
        <v>3512</v>
      </c>
      <c r="I76" s="1412" t="s">
        <v>3642</v>
      </c>
      <c r="J76" s="414">
        <f>0.005*0.9</f>
        <v>4.5000000000000005E-3</v>
      </c>
      <c r="K76" s="414"/>
      <c r="L76" s="414"/>
      <c r="M76" s="1319"/>
      <c r="N76" s="1319"/>
      <c r="O76" s="444"/>
      <c r="P76" s="414"/>
      <c r="Q76" s="414"/>
      <c r="R76" s="451"/>
      <c r="S76" s="452"/>
      <c r="T76" s="453"/>
      <c r="U76" s="453"/>
      <c r="V76" s="417"/>
      <c r="W76" s="437"/>
      <c r="X76" s="438"/>
      <c r="Y76" s="417"/>
      <c r="Z76" s="417"/>
      <c r="AA76" s="439"/>
      <c r="AB76" s="448"/>
      <c r="AC76" s="414"/>
      <c r="AD76" s="414"/>
      <c r="AE76" s="414"/>
      <c r="AF76" s="414"/>
      <c r="AG76" s="414"/>
    </row>
    <row r="77" spans="1:33" s="434" customFormat="1" ht="23.25" customHeight="1" x14ac:dyDescent="0.25">
      <c r="A77" s="2079"/>
      <c r="B77" s="2079"/>
      <c r="C77" s="2080"/>
      <c r="D77" s="2080"/>
      <c r="E77" s="2080"/>
      <c r="F77" s="2089"/>
      <c r="G77" s="2678" t="s">
        <v>17067</v>
      </c>
      <c r="H77" s="2676"/>
      <c r="I77" s="2676"/>
      <c r="J77" s="2676"/>
      <c r="K77" s="2676"/>
      <c r="L77" s="2676"/>
      <c r="M77" s="450"/>
      <c r="N77" s="450"/>
      <c r="O77" s="678"/>
      <c r="P77" s="450"/>
      <c r="Q77" s="450"/>
      <c r="R77" s="451"/>
      <c r="S77" s="452"/>
      <c r="T77" s="453"/>
      <c r="U77" s="453"/>
      <c r="V77" s="417"/>
      <c r="W77" s="437"/>
      <c r="X77" s="438"/>
      <c r="Y77" s="417"/>
      <c r="Z77" s="417"/>
      <c r="AA77" s="439"/>
      <c r="AB77" s="455"/>
      <c r="AC77" s="450"/>
      <c r="AD77" s="450"/>
      <c r="AE77" s="450"/>
      <c r="AF77" s="450"/>
      <c r="AG77" s="450"/>
    </row>
    <row r="78" spans="1:33" s="434" customFormat="1" ht="26.25" customHeight="1" x14ac:dyDescent="0.25">
      <c r="A78" s="1639"/>
      <c r="B78" s="1639"/>
      <c r="C78" s="1640"/>
      <c r="D78" s="1640"/>
      <c r="E78" s="1640"/>
      <c r="F78" s="1646"/>
      <c r="G78" s="2117" t="s">
        <v>19822</v>
      </c>
      <c r="H78" s="2118" t="s">
        <v>19823</v>
      </c>
      <c r="I78" s="2119" t="s">
        <v>19824</v>
      </c>
      <c r="J78" s="1586">
        <f>1.5*0.15</f>
        <v>0.22499999999999998</v>
      </c>
      <c r="K78" s="62"/>
      <c r="L78" s="62"/>
      <c r="M78" s="450"/>
      <c r="N78" s="450"/>
      <c r="O78" s="678"/>
      <c r="P78" s="450"/>
      <c r="Q78" s="450"/>
      <c r="R78" s="451"/>
      <c r="S78" s="452"/>
      <c r="T78" s="453"/>
      <c r="U78" s="453"/>
      <c r="V78" s="417"/>
      <c r="W78" s="437"/>
      <c r="X78" s="438"/>
      <c r="Y78" s="417"/>
      <c r="Z78" s="417"/>
      <c r="AA78" s="439"/>
      <c r="AB78" s="455"/>
      <c r="AC78" s="450"/>
      <c r="AD78" s="450"/>
      <c r="AE78" s="450"/>
      <c r="AF78" s="450"/>
      <c r="AG78" s="450"/>
    </row>
    <row r="79" spans="1:33" s="434" customFormat="1" ht="26.25" customHeight="1" x14ac:dyDescent="0.25">
      <c r="A79" s="2221"/>
      <c r="B79" s="2221"/>
      <c r="C79" s="2222"/>
      <c r="D79" s="2222"/>
      <c r="E79" s="2222"/>
      <c r="F79" s="2234"/>
      <c r="G79" s="2684" t="s">
        <v>3401</v>
      </c>
      <c r="H79" s="2685"/>
      <c r="I79" s="2686"/>
      <c r="J79" s="1199">
        <f>0.354*0.9</f>
        <v>0.31859999999999999</v>
      </c>
      <c r="K79" s="62"/>
      <c r="L79" s="62"/>
      <c r="M79" s="450"/>
      <c r="N79" s="450"/>
      <c r="O79" s="678"/>
      <c r="P79" s="450"/>
      <c r="Q79" s="450"/>
      <c r="R79" s="451"/>
      <c r="S79" s="452"/>
      <c r="T79" s="453"/>
      <c r="U79" s="453"/>
      <c r="V79" s="417"/>
      <c r="W79" s="437"/>
      <c r="X79" s="438"/>
      <c r="Y79" s="417"/>
      <c r="Z79" s="417"/>
      <c r="AA79" s="439"/>
      <c r="AB79" s="455"/>
      <c r="AC79" s="450"/>
      <c r="AD79" s="450"/>
      <c r="AE79" s="450"/>
      <c r="AF79" s="450"/>
      <c r="AG79" s="450"/>
    </row>
    <row r="80" spans="1:33" ht="15.75" thickBot="1" x14ac:dyDescent="0.3">
      <c r="A80" s="516"/>
      <c r="B80" s="516"/>
      <c r="C80" s="503"/>
      <c r="D80" s="503"/>
      <c r="E80" s="503"/>
      <c r="F80" s="517"/>
      <c r="G80" s="2579" t="s">
        <v>1833</v>
      </c>
      <c r="H80" s="2601"/>
      <c r="I80" s="2601"/>
      <c r="J80" s="13">
        <f>SUM(J74:J79)</f>
        <v>0.54810000000000003</v>
      </c>
      <c r="K80" s="14">
        <v>0.92</v>
      </c>
      <c r="L80" s="13">
        <f>J80/K80</f>
        <v>0.59576086956521745</v>
      </c>
      <c r="M80" s="2601" t="s">
        <v>1834</v>
      </c>
      <c r="N80" s="2601"/>
      <c r="O80" s="13">
        <f>SUM(O65:O76)</f>
        <v>0.94930000000000003</v>
      </c>
      <c r="P80" s="14">
        <v>0.92</v>
      </c>
      <c r="Q80" s="13">
        <f>O80/P80</f>
        <v>1.0318478260869566</v>
      </c>
      <c r="R80" s="2738" t="s">
        <v>1835</v>
      </c>
      <c r="S80" s="2739"/>
      <c r="T80" s="30">
        <f>SUM(T66:T73)</f>
        <v>1</v>
      </c>
      <c r="U80" s="31">
        <v>0.8</v>
      </c>
      <c r="V80" s="30">
        <f>T80/U80</f>
        <v>1.25</v>
      </c>
      <c r="W80" s="2738" t="s">
        <v>1836</v>
      </c>
      <c r="X80" s="2739"/>
      <c r="Y80" s="30">
        <f>SUM(Y66:Y73)</f>
        <v>0</v>
      </c>
      <c r="Z80" s="31">
        <v>0.8</v>
      </c>
      <c r="AA80" s="32">
        <f>Y80/Z80</f>
        <v>0</v>
      </c>
      <c r="AB80" s="2579" t="s">
        <v>1833</v>
      </c>
      <c r="AC80" s="2601"/>
      <c r="AD80" s="2601"/>
      <c r="AE80" s="13">
        <f>SUM(AE68:AE74)</f>
        <v>0</v>
      </c>
      <c r="AF80" s="14">
        <v>0.92</v>
      </c>
      <c r="AG80" s="13">
        <f>AE80/AF80</f>
        <v>0</v>
      </c>
    </row>
    <row r="81" spans="1:33" ht="26.25" customHeight="1" x14ac:dyDescent="0.25">
      <c r="A81" s="507" t="str">
        <f>Итоговая!C161</f>
        <v xml:space="preserve"> ПС 35/10 кВ Волга </v>
      </c>
      <c r="B81" s="507">
        <f>Итоговая!D161</f>
        <v>6.3</v>
      </c>
      <c r="C81" s="508" t="str">
        <f>Итоговая!E161</f>
        <v>+</v>
      </c>
      <c r="D81" s="508">
        <f>Итоговая!F161</f>
        <v>6.3</v>
      </c>
      <c r="E81" s="508"/>
      <c r="F81" s="509"/>
      <c r="G81" s="104"/>
      <c r="H81" s="9"/>
      <c r="I81" s="9"/>
      <c r="J81" s="9"/>
      <c r="K81" s="9"/>
      <c r="L81" s="51"/>
      <c r="M81" s="194"/>
      <c r="N81" s="194"/>
      <c r="O81" s="194"/>
      <c r="P81" s="194"/>
      <c r="Q81" s="194"/>
      <c r="R81" s="27"/>
      <c r="S81" s="27"/>
      <c r="T81" s="27"/>
      <c r="U81" s="27"/>
      <c r="V81" s="27"/>
      <c r="W81" s="27"/>
      <c r="X81" s="27"/>
      <c r="Y81" s="27"/>
      <c r="Z81" s="27"/>
      <c r="AA81" s="28"/>
      <c r="AB81" s="104"/>
      <c r="AC81" s="9"/>
      <c r="AD81" s="9"/>
      <c r="AE81" s="9"/>
      <c r="AF81" s="9"/>
      <c r="AG81" s="51"/>
    </row>
    <row r="82" spans="1:33" ht="15.75" thickBot="1" x14ac:dyDescent="0.3">
      <c r="A82" s="516"/>
      <c r="B82" s="516"/>
      <c r="C82" s="503"/>
      <c r="D82" s="503"/>
      <c r="E82" s="503"/>
      <c r="F82" s="517"/>
      <c r="G82" s="2579" t="s">
        <v>1833</v>
      </c>
      <c r="H82" s="2601"/>
      <c r="I82" s="2601"/>
      <c r="J82" s="13">
        <f>SUM(J81)</f>
        <v>0</v>
      </c>
      <c r="K82" s="14">
        <v>0.92</v>
      </c>
      <c r="L82" s="13">
        <f>J82/K82</f>
        <v>0</v>
      </c>
      <c r="M82" s="2601" t="s">
        <v>1834</v>
      </c>
      <c r="N82" s="2601"/>
      <c r="O82" s="13">
        <f>SUM(O65:O76)</f>
        <v>0.94930000000000003</v>
      </c>
      <c r="P82" s="14">
        <v>0.92</v>
      </c>
      <c r="Q82" s="13">
        <f>O82/P82</f>
        <v>1.0318478260869566</v>
      </c>
      <c r="R82" s="2738" t="s">
        <v>1835</v>
      </c>
      <c r="S82" s="2739"/>
      <c r="T82" s="30">
        <f>SUM(T81:T81)</f>
        <v>0</v>
      </c>
      <c r="U82" s="31">
        <v>0.8</v>
      </c>
      <c r="V82" s="30">
        <f>T82/U82</f>
        <v>0</v>
      </c>
      <c r="W82" s="2738" t="s">
        <v>1836</v>
      </c>
      <c r="X82" s="2739"/>
      <c r="Y82" s="30">
        <f>SUM(Y81:Y81)</f>
        <v>0</v>
      </c>
      <c r="Z82" s="31">
        <v>0.8</v>
      </c>
      <c r="AA82" s="32">
        <f>Y82/Z82</f>
        <v>0</v>
      </c>
      <c r="AB82" s="2579" t="s">
        <v>1833</v>
      </c>
      <c r="AC82" s="2601"/>
      <c r="AD82" s="2601"/>
      <c r="AE82" s="13">
        <f>SUM(AE81)</f>
        <v>0</v>
      </c>
      <c r="AF82" s="14">
        <v>0.92</v>
      </c>
      <c r="AG82" s="13">
        <f>AE82/AF82</f>
        <v>0</v>
      </c>
    </row>
    <row r="83" spans="1:33" s="434" customFormat="1" ht="15.75" thickBot="1" x14ac:dyDescent="0.3">
      <c r="A83" s="2689" t="str">
        <f>Итоговая!C162</f>
        <v xml:space="preserve">ПС 35/10 кВ Ильинское </v>
      </c>
      <c r="B83" s="2689">
        <f>Итоговая!D162</f>
        <v>4</v>
      </c>
      <c r="C83" s="2691" t="str">
        <f>Итоговая!E162</f>
        <v>+</v>
      </c>
      <c r="D83" s="2691">
        <f>Итоговая!F162</f>
        <v>2.5</v>
      </c>
      <c r="E83" s="508"/>
      <c r="F83" s="509"/>
      <c r="G83" s="2674" t="s">
        <v>2032</v>
      </c>
      <c r="H83" s="2675"/>
      <c r="I83" s="2675"/>
      <c r="J83" s="2675"/>
      <c r="K83" s="2675"/>
      <c r="L83" s="2675"/>
      <c r="M83" s="468"/>
      <c r="N83" s="468"/>
      <c r="O83" s="468"/>
      <c r="P83" s="468"/>
      <c r="Q83" s="468"/>
      <c r="R83" s="451"/>
      <c r="S83" s="452"/>
      <c r="T83" s="453"/>
      <c r="U83" s="417"/>
      <c r="V83" s="417"/>
      <c r="W83" s="437"/>
      <c r="X83" s="438"/>
      <c r="Y83" s="417"/>
      <c r="Z83" s="417"/>
      <c r="AA83" s="439"/>
      <c r="AB83" s="2737"/>
      <c r="AC83" s="2737"/>
      <c r="AD83" s="2737"/>
      <c r="AE83" s="2737"/>
      <c r="AF83" s="2737"/>
      <c r="AG83" s="2737"/>
    </row>
    <row r="84" spans="1:33" s="434" customFormat="1" ht="57" customHeight="1" x14ac:dyDescent="0.25">
      <c r="A84" s="2690"/>
      <c r="B84" s="2690"/>
      <c r="C84" s="2692"/>
      <c r="D84" s="2692"/>
      <c r="E84" s="499"/>
      <c r="F84" s="510"/>
      <c r="G84" s="448" t="s">
        <v>107</v>
      </c>
      <c r="H84" s="414" t="s">
        <v>108</v>
      </c>
      <c r="I84" s="414" t="s">
        <v>2290</v>
      </c>
      <c r="J84" s="414">
        <v>0.2</v>
      </c>
      <c r="K84" s="414"/>
      <c r="L84" s="414"/>
      <c r="M84" s="413" t="s">
        <v>109</v>
      </c>
      <c r="N84" s="636" t="s">
        <v>110</v>
      </c>
      <c r="O84" s="414">
        <v>2.5000000000000001E-2</v>
      </c>
      <c r="P84" s="414"/>
      <c r="Q84" s="414"/>
      <c r="R84" s="301" t="s">
        <v>550</v>
      </c>
      <c r="S84" s="301" t="s">
        <v>551</v>
      </c>
      <c r="T84" s="301">
        <v>0.05</v>
      </c>
      <c r="U84" s="445"/>
      <c r="V84" s="445"/>
      <c r="W84" s="445"/>
      <c r="X84" s="445"/>
      <c r="Y84" s="445"/>
      <c r="Z84" s="445"/>
      <c r="AA84" s="446"/>
      <c r="AB84" s="414"/>
      <c r="AC84" s="414"/>
      <c r="AD84" s="414"/>
      <c r="AE84" s="414"/>
      <c r="AF84" s="414"/>
      <c r="AG84" s="414"/>
    </row>
    <row r="85" spans="1:33" s="434" customFormat="1" ht="24.75" customHeight="1" x14ac:dyDescent="0.25">
      <c r="A85" s="511"/>
      <c r="B85" s="511"/>
      <c r="C85" s="499"/>
      <c r="D85" s="499"/>
      <c r="E85" s="499"/>
      <c r="F85" s="510"/>
      <c r="G85" s="2674" t="s">
        <v>2477</v>
      </c>
      <c r="H85" s="2675"/>
      <c r="I85" s="2675"/>
      <c r="J85" s="2675"/>
      <c r="K85" s="2675"/>
      <c r="L85" s="2675"/>
      <c r="M85" s="414" t="s">
        <v>2017</v>
      </c>
      <c r="N85" s="414" t="s">
        <v>2018</v>
      </c>
      <c r="O85" s="414">
        <v>0.05</v>
      </c>
      <c r="P85" s="414"/>
      <c r="Q85" s="414"/>
      <c r="R85" s="301"/>
      <c r="S85" s="301"/>
      <c r="T85" s="301"/>
      <c r="U85" s="301"/>
      <c r="V85" s="301"/>
      <c r="W85" s="301"/>
      <c r="X85" s="301"/>
      <c r="Y85" s="301"/>
      <c r="Z85" s="301"/>
      <c r="AA85" s="449"/>
      <c r="AB85" s="414"/>
      <c r="AC85" s="414"/>
      <c r="AD85" s="414"/>
      <c r="AE85" s="414"/>
      <c r="AF85" s="414"/>
      <c r="AG85" s="414"/>
    </row>
    <row r="86" spans="1:33" s="434" customFormat="1" ht="74.25" customHeight="1" x14ac:dyDescent="0.25">
      <c r="A86" s="726"/>
      <c r="B86" s="726"/>
      <c r="C86" s="727"/>
      <c r="D86" s="727"/>
      <c r="E86" s="727"/>
      <c r="F86" s="728"/>
      <c r="G86" s="455" t="s">
        <v>2745</v>
      </c>
      <c r="H86" s="450" t="s">
        <v>2746</v>
      </c>
      <c r="I86" s="450" t="s">
        <v>2747</v>
      </c>
      <c r="J86" s="450">
        <f>0.06-0.015</f>
        <v>4.4999999999999998E-2</v>
      </c>
      <c r="K86" s="450"/>
      <c r="L86" s="450"/>
      <c r="M86" s="450"/>
      <c r="N86" s="450"/>
      <c r="O86" s="450"/>
      <c r="P86" s="450"/>
      <c r="Q86" s="450"/>
      <c r="R86" s="451"/>
      <c r="S86" s="452"/>
      <c r="T86" s="453"/>
      <c r="U86" s="453"/>
      <c r="V86" s="453"/>
      <c r="W86" s="451"/>
      <c r="X86" s="452"/>
      <c r="Y86" s="453"/>
      <c r="Z86" s="453"/>
      <c r="AA86" s="486"/>
      <c r="AB86" s="450"/>
      <c r="AC86" s="450"/>
      <c r="AD86" s="450"/>
      <c r="AE86" s="450"/>
      <c r="AF86" s="450"/>
      <c r="AG86" s="450"/>
    </row>
    <row r="87" spans="1:33" s="434" customFormat="1" ht="24" customHeight="1" x14ac:dyDescent="0.25">
      <c r="A87" s="1178"/>
      <c r="B87" s="1178"/>
      <c r="C87" s="1179"/>
      <c r="D87" s="1179"/>
      <c r="E87" s="1179"/>
      <c r="F87" s="1180"/>
      <c r="G87" s="2676" t="s">
        <v>3020</v>
      </c>
      <c r="H87" s="2676"/>
      <c r="I87" s="2676"/>
      <c r="J87" s="2676"/>
      <c r="K87" s="2676"/>
      <c r="L87" s="2676"/>
      <c r="M87" s="450"/>
      <c r="N87" s="450"/>
      <c r="O87" s="450"/>
      <c r="P87" s="450"/>
      <c r="Q87" s="450"/>
      <c r="R87" s="451"/>
      <c r="S87" s="452"/>
      <c r="T87" s="453"/>
      <c r="U87" s="453"/>
      <c r="V87" s="453"/>
      <c r="W87" s="451"/>
      <c r="X87" s="452"/>
      <c r="Y87" s="453"/>
      <c r="Z87" s="453"/>
      <c r="AA87" s="486"/>
      <c r="AB87" s="450"/>
      <c r="AC87" s="450"/>
      <c r="AD87" s="450"/>
      <c r="AE87" s="450"/>
      <c r="AF87" s="450"/>
      <c r="AG87" s="450"/>
    </row>
    <row r="88" spans="1:33" s="434" customFormat="1" ht="29.25" customHeight="1" x14ac:dyDescent="0.25">
      <c r="A88" s="1178"/>
      <c r="B88" s="1178"/>
      <c r="C88" s="1179"/>
      <c r="D88" s="1179"/>
      <c r="E88" s="1179"/>
      <c r="F88" s="1180"/>
      <c r="G88" s="2677"/>
      <c r="H88" s="2677"/>
      <c r="I88" s="2677"/>
      <c r="J88" s="266"/>
      <c r="K88" s="2370"/>
      <c r="L88" s="2370"/>
      <c r="M88" s="450"/>
      <c r="N88" s="450"/>
      <c r="O88" s="450"/>
      <c r="P88" s="450"/>
      <c r="Q88" s="450"/>
      <c r="R88" s="451"/>
      <c r="S88" s="452"/>
      <c r="T88" s="453"/>
      <c r="U88" s="453"/>
      <c r="V88" s="453"/>
      <c r="W88" s="451"/>
      <c r="X88" s="452"/>
      <c r="Y88" s="453"/>
      <c r="Z88" s="453"/>
      <c r="AA88" s="486"/>
      <c r="AB88" s="450"/>
      <c r="AC88" s="450"/>
      <c r="AD88" s="450"/>
      <c r="AE88" s="450"/>
      <c r="AF88" s="450"/>
      <c r="AG88" s="450"/>
    </row>
    <row r="89" spans="1:33" s="434" customFormat="1" ht="29.25" customHeight="1" x14ac:dyDescent="0.25">
      <c r="A89" s="1603"/>
      <c r="B89" s="1603"/>
      <c r="C89" s="1604"/>
      <c r="D89" s="1604"/>
      <c r="E89" s="1604"/>
      <c r="F89" s="1607"/>
      <c r="G89" s="2676" t="s">
        <v>3447</v>
      </c>
      <c r="H89" s="2676"/>
      <c r="I89" s="2676"/>
      <c r="J89" s="2676"/>
      <c r="K89" s="2676"/>
      <c r="L89" s="2676"/>
      <c r="M89" s="450"/>
      <c r="N89" s="450"/>
      <c r="O89" s="450"/>
      <c r="P89" s="450"/>
      <c r="Q89" s="450"/>
      <c r="R89" s="451"/>
      <c r="S89" s="452"/>
      <c r="T89" s="453"/>
      <c r="U89" s="453"/>
      <c r="V89" s="453"/>
      <c r="W89" s="451"/>
      <c r="X89" s="452"/>
      <c r="Y89" s="453"/>
      <c r="Z89" s="453"/>
      <c r="AA89" s="486"/>
      <c r="AB89" s="450"/>
      <c r="AC89" s="450"/>
      <c r="AD89" s="450"/>
      <c r="AE89" s="450"/>
      <c r="AF89" s="450"/>
      <c r="AG89" s="450"/>
    </row>
    <row r="90" spans="1:33" s="434" customFormat="1" ht="29.25" customHeight="1" x14ac:dyDescent="0.25">
      <c r="A90" s="1603"/>
      <c r="B90" s="1603"/>
      <c r="C90" s="1604"/>
      <c r="D90" s="1604"/>
      <c r="E90" s="1604"/>
      <c r="F90" s="1607"/>
      <c r="G90" s="2698" t="s">
        <v>3401</v>
      </c>
      <c r="H90" s="2698"/>
      <c r="I90" s="2698"/>
      <c r="J90" s="2371">
        <f>0.1315*0.9</f>
        <v>0.11835000000000001</v>
      </c>
      <c r="K90" s="2372"/>
      <c r="L90" s="2372"/>
      <c r="M90" s="450"/>
      <c r="N90" s="450"/>
      <c r="O90" s="450"/>
      <c r="P90" s="450"/>
      <c r="Q90" s="450"/>
      <c r="R90" s="451"/>
      <c r="S90" s="452"/>
      <c r="T90" s="453"/>
      <c r="U90" s="453"/>
      <c r="V90" s="453"/>
      <c r="W90" s="451"/>
      <c r="X90" s="452"/>
      <c r="Y90" s="453"/>
      <c r="Z90" s="453"/>
      <c r="AA90" s="486"/>
      <c r="AB90" s="450"/>
      <c r="AC90" s="450"/>
      <c r="AD90" s="450"/>
      <c r="AE90" s="450"/>
      <c r="AF90" s="450"/>
      <c r="AG90" s="450"/>
    </row>
    <row r="91" spans="1:33" s="434" customFormat="1" ht="29.25" customHeight="1" x14ac:dyDescent="0.25">
      <c r="A91" s="2221"/>
      <c r="B91" s="2221"/>
      <c r="C91" s="2222"/>
      <c r="D91" s="2222"/>
      <c r="E91" s="2222"/>
      <c r="F91" s="2234"/>
      <c r="G91" s="2676" t="s">
        <v>17005</v>
      </c>
      <c r="H91" s="2676"/>
      <c r="I91" s="2676"/>
      <c r="J91" s="2676"/>
      <c r="K91" s="2676"/>
      <c r="L91" s="2676"/>
      <c r="M91" s="450"/>
      <c r="N91" s="450"/>
      <c r="O91" s="450"/>
      <c r="P91" s="450"/>
      <c r="Q91" s="450"/>
      <c r="R91" s="451"/>
      <c r="S91" s="452"/>
      <c r="T91" s="453"/>
      <c r="U91" s="453"/>
      <c r="V91" s="453"/>
      <c r="W91" s="451"/>
      <c r="X91" s="452"/>
      <c r="Y91" s="453"/>
      <c r="Z91" s="453"/>
      <c r="AA91" s="486"/>
      <c r="AB91" s="450"/>
      <c r="AC91" s="450"/>
      <c r="AD91" s="450"/>
      <c r="AE91" s="450"/>
      <c r="AF91" s="450"/>
      <c r="AG91" s="450"/>
    </row>
    <row r="92" spans="1:33" s="434" customFormat="1" ht="29.25" customHeight="1" x14ac:dyDescent="0.25">
      <c r="A92" s="2221"/>
      <c r="B92" s="2221"/>
      <c r="C92" s="2222"/>
      <c r="D92" s="2222"/>
      <c r="E92" s="2222"/>
      <c r="F92" s="2234"/>
      <c r="G92" s="2698" t="s">
        <v>3401</v>
      </c>
      <c r="H92" s="2698"/>
      <c r="I92" s="2698"/>
      <c r="J92" s="2371">
        <f>0.3005*0.9</f>
        <v>0.27045000000000002</v>
      </c>
      <c r="K92" s="2372"/>
      <c r="L92" s="2372"/>
      <c r="M92" s="450"/>
      <c r="N92" s="450"/>
      <c r="O92" s="450"/>
      <c r="P92" s="450"/>
      <c r="Q92" s="450"/>
      <c r="R92" s="451"/>
      <c r="S92" s="452"/>
      <c r="T92" s="453"/>
      <c r="U92" s="453"/>
      <c r="V92" s="453"/>
      <c r="W92" s="451"/>
      <c r="X92" s="452"/>
      <c r="Y92" s="453"/>
      <c r="Z92" s="453"/>
      <c r="AA92" s="486"/>
      <c r="AB92" s="450"/>
      <c r="AC92" s="450"/>
      <c r="AD92" s="450"/>
      <c r="AE92" s="450"/>
      <c r="AF92" s="450"/>
      <c r="AG92" s="450"/>
    </row>
    <row r="93" spans="1:33" ht="21" customHeight="1" thickBot="1" x14ac:dyDescent="0.3">
      <c r="A93" s="516"/>
      <c r="B93" s="516"/>
      <c r="C93" s="503"/>
      <c r="D93" s="503"/>
      <c r="E93" s="503"/>
      <c r="F93" s="517"/>
      <c r="G93" s="2579" t="s">
        <v>1833</v>
      </c>
      <c r="H93" s="2601"/>
      <c r="I93" s="2601"/>
      <c r="J93" s="13">
        <f>SUM(J90:J92)</f>
        <v>0.38880000000000003</v>
      </c>
      <c r="K93" s="14">
        <v>0.92</v>
      </c>
      <c r="L93" s="13">
        <f>J93/K93</f>
        <v>0.4226086956521739</v>
      </c>
      <c r="M93" s="2601" t="s">
        <v>1834</v>
      </c>
      <c r="N93" s="2601"/>
      <c r="O93" s="13">
        <f>SUM(O84:O85)</f>
        <v>7.5000000000000011E-2</v>
      </c>
      <c r="P93" s="14">
        <v>0.92</v>
      </c>
      <c r="Q93" s="13">
        <f>O93/P93</f>
        <v>8.1521739130434798E-2</v>
      </c>
      <c r="R93" s="2747" t="s">
        <v>1835</v>
      </c>
      <c r="S93" s="2748"/>
      <c r="T93" s="33">
        <f>SUM(T84:T85)</f>
        <v>0.05</v>
      </c>
      <c r="U93" s="34">
        <v>0.8</v>
      </c>
      <c r="V93" s="33">
        <f>T93/U93</f>
        <v>6.25E-2</v>
      </c>
      <c r="W93" s="2747" t="s">
        <v>1836</v>
      </c>
      <c r="X93" s="2748"/>
      <c r="Y93" s="33">
        <f>SUM(Y84:Y85)</f>
        <v>0</v>
      </c>
      <c r="Z93" s="34">
        <v>0.8</v>
      </c>
      <c r="AA93" s="101">
        <f>Y93/Z93</f>
        <v>0</v>
      </c>
      <c r="AB93" s="2601" t="s">
        <v>1833</v>
      </c>
      <c r="AC93" s="2601"/>
      <c r="AD93" s="2601"/>
      <c r="AE93" s="13">
        <f>SUM(AE84:AE85)</f>
        <v>0</v>
      </c>
      <c r="AF93" s="14">
        <v>0.92</v>
      </c>
      <c r="AG93" s="13">
        <f>AE93/AF93</f>
        <v>0</v>
      </c>
    </row>
    <row r="94" spans="1:33" s="434" customFormat="1" ht="15.75" thickBot="1" x14ac:dyDescent="0.3">
      <c r="A94" s="2689" t="str">
        <f>Итоговая!C163</f>
        <v xml:space="preserve">ПС  35/10 кВ Калязин </v>
      </c>
      <c r="B94" s="2689">
        <f>Итоговая!D163</f>
        <v>6.3</v>
      </c>
      <c r="C94" s="2691" t="str">
        <f>Итоговая!E163</f>
        <v>+</v>
      </c>
      <c r="D94" s="2691">
        <f>Итоговая!F163</f>
        <v>6.3</v>
      </c>
      <c r="E94" s="508"/>
      <c r="F94" s="509"/>
      <c r="G94" s="2674" t="s">
        <v>2508</v>
      </c>
      <c r="H94" s="2675"/>
      <c r="I94" s="2675"/>
      <c r="J94" s="2675"/>
      <c r="K94" s="2675"/>
      <c r="L94" s="2675"/>
      <c r="M94" s="468"/>
      <c r="N94" s="468"/>
      <c r="O94" s="468"/>
      <c r="P94" s="468"/>
      <c r="Q94" s="468"/>
      <c r="R94" s="437"/>
      <c r="S94" s="438"/>
      <c r="T94" s="417"/>
      <c r="U94" s="417"/>
      <c r="V94" s="417"/>
      <c r="W94" s="437"/>
      <c r="X94" s="438"/>
      <c r="Y94" s="417"/>
      <c r="Z94" s="417"/>
      <c r="AA94" s="439"/>
      <c r="AB94" s="2737"/>
      <c r="AC94" s="2737"/>
      <c r="AD94" s="2737"/>
      <c r="AE94" s="2737"/>
      <c r="AF94" s="2737"/>
      <c r="AG94" s="2737"/>
    </row>
    <row r="95" spans="1:33" s="434" customFormat="1" ht="55.5" customHeight="1" x14ac:dyDescent="0.25">
      <c r="A95" s="2690"/>
      <c r="B95" s="2690"/>
      <c r="C95" s="2692"/>
      <c r="D95" s="2692"/>
      <c r="E95" s="499"/>
      <c r="F95" s="510"/>
      <c r="G95" s="590" t="s">
        <v>1864</v>
      </c>
      <c r="H95" s="593" t="s">
        <v>1193</v>
      </c>
      <c r="I95" s="593" t="s">
        <v>1194</v>
      </c>
      <c r="J95" s="593">
        <v>3.0000000000000001E-3</v>
      </c>
      <c r="K95" s="413"/>
      <c r="L95" s="413"/>
      <c r="M95" s="413" t="s">
        <v>679</v>
      </c>
      <c r="N95" s="413" t="s">
        <v>680</v>
      </c>
      <c r="O95" s="413">
        <v>2.4E-2</v>
      </c>
      <c r="P95" s="469"/>
      <c r="Q95" s="469"/>
      <c r="R95" s="445"/>
      <c r="S95" s="445"/>
      <c r="T95" s="445"/>
      <c r="U95" s="445"/>
      <c r="V95" s="445"/>
      <c r="W95" s="445" t="s">
        <v>681</v>
      </c>
      <c r="X95" s="445" t="s">
        <v>682</v>
      </c>
      <c r="Y95" s="445">
        <v>4</v>
      </c>
      <c r="Z95" s="445"/>
      <c r="AA95" s="446"/>
      <c r="AB95" s="413"/>
      <c r="AC95" s="413"/>
      <c r="AD95" s="413"/>
      <c r="AE95" s="413"/>
      <c r="AF95" s="413"/>
      <c r="AG95" s="413"/>
    </row>
    <row r="96" spans="1:33" s="434" customFormat="1" ht="55.5" customHeight="1" x14ac:dyDescent="0.25">
      <c r="A96" s="589"/>
      <c r="B96" s="589"/>
      <c r="C96" s="591"/>
      <c r="D96" s="591"/>
      <c r="E96" s="591"/>
      <c r="F96" s="595"/>
      <c r="G96" s="590" t="s">
        <v>1864</v>
      </c>
      <c r="H96" s="593" t="s">
        <v>1197</v>
      </c>
      <c r="I96" s="593" t="s">
        <v>1198</v>
      </c>
      <c r="J96" s="593">
        <v>2E-3</v>
      </c>
      <c r="K96" s="592"/>
      <c r="L96" s="592"/>
      <c r="M96" s="413" t="s">
        <v>686</v>
      </c>
      <c r="N96" s="413" t="s">
        <v>1178</v>
      </c>
      <c r="O96" s="413">
        <v>0.09</v>
      </c>
      <c r="P96" s="469"/>
      <c r="Q96" s="469"/>
      <c r="R96" s="418"/>
      <c r="S96" s="418"/>
      <c r="T96" s="418"/>
      <c r="U96" s="418"/>
      <c r="V96" s="418"/>
      <c r="W96" s="418"/>
      <c r="X96" s="418"/>
      <c r="Y96" s="418"/>
      <c r="Z96" s="418"/>
      <c r="AA96" s="433"/>
      <c r="AB96" s="593"/>
      <c r="AC96" s="593"/>
      <c r="AD96" s="593"/>
      <c r="AE96" s="593"/>
      <c r="AF96" s="593"/>
      <c r="AG96" s="593"/>
    </row>
    <row r="97" spans="1:33" s="434" customFormat="1" ht="20.25" customHeight="1" x14ac:dyDescent="0.25">
      <c r="A97" s="589"/>
      <c r="B97" s="589"/>
      <c r="C97" s="591"/>
      <c r="D97" s="591"/>
      <c r="E97" s="591"/>
      <c r="F97" s="595"/>
      <c r="G97" s="2674" t="s">
        <v>1961</v>
      </c>
      <c r="H97" s="2675"/>
      <c r="I97" s="2675"/>
      <c r="J97" s="2675"/>
      <c r="K97" s="2675"/>
      <c r="L97" s="2675"/>
      <c r="M97" s="593"/>
      <c r="N97" s="593"/>
      <c r="O97" s="593"/>
      <c r="P97" s="469"/>
      <c r="Q97" s="469"/>
      <c r="R97" s="418"/>
      <c r="S97" s="418"/>
      <c r="T97" s="418"/>
      <c r="U97" s="418"/>
      <c r="V97" s="418"/>
      <c r="W97" s="418"/>
      <c r="X97" s="418"/>
      <c r="Y97" s="418"/>
      <c r="Z97" s="418"/>
      <c r="AA97" s="433"/>
      <c r="AB97" s="593"/>
      <c r="AC97" s="593"/>
      <c r="AD97" s="593"/>
      <c r="AE97" s="593"/>
      <c r="AF97" s="593"/>
      <c r="AG97" s="593"/>
    </row>
    <row r="98" spans="1:33" s="434" customFormat="1" ht="55.5" customHeight="1" x14ac:dyDescent="0.25">
      <c r="A98" s="589"/>
      <c r="B98" s="589"/>
      <c r="C98" s="591"/>
      <c r="D98" s="591"/>
      <c r="E98" s="591"/>
      <c r="F98" s="595"/>
      <c r="G98" s="590" t="s">
        <v>676</v>
      </c>
      <c r="H98" s="593" t="s">
        <v>677</v>
      </c>
      <c r="I98" s="593" t="s">
        <v>678</v>
      </c>
      <c r="J98" s="593">
        <v>7.2999999999999995E-2</v>
      </c>
      <c r="K98" s="593"/>
      <c r="L98" s="593"/>
      <c r="M98" s="413" t="s">
        <v>1186</v>
      </c>
      <c r="N98" s="413" t="s">
        <v>1187</v>
      </c>
      <c r="O98" s="413">
        <v>4.2000000000000003E-2</v>
      </c>
      <c r="P98" s="469"/>
      <c r="Q98" s="469"/>
      <c r="R98" s="418"/>
      <c r="S98" s="418"/>
      <c r="T98" s="418"/>
      <c r="U98" s="418"/>
      <c r="V98" s="418"/>
      <c r="W98" s="418"/>
      <c r="X98" s="418"/>
      <c r="Y98" s="418"/>
      <c r="Z98" s="418"/>
      <c r="AA98" s="433"/>
      <c r="AB98" s="593"/>
      <c r="AC98" s="593"/>
      <c r="AD98" s="593"/>
      <c r="AE98" s="593"/>
      <c r="AF98" s="593"/>
      <c r="AG98" s="593"/>
    </row>
    <row r="99" spans="1:33" s="434" customFormat="1" ht="16.5" customHeight="1" x14ac:dyDescent="0.25">
      <c r="A99" s="511"/>
      <c r="B99" s="511"/>
      <c r="C99" s="499"/>
      <c r="D99" s="499"/>
      <c r="E99" s="499"/>
      <c r="F99" s="510"/>
      <c r="G99" s="2678" t="s">
        <v>1959</v>
      </c>
      <c r="H99" s="2676"/>
      <c r="I99" s="2676"/>
      <c r="J99" s="2676"/>
      <c r="K99" s="2676"/>
      <c r="L99" s="2676"/>
      <c r="M99" s="413" t="s">
        <v>1191</v>
      </c>
      <c r="N99" s="413" t="s">
        <v>1192</v>
      </c>
      <c r="O99" s="413">
        <v>0.12</v>
      </c>
      <c r="P99" s="447"/>
      <c r="Q99" s="447"/>
      <c r="R99" s="418"/>
      <c r="S99" s="418"/>
      <c r="T99" s="418"/>
      <c r="U99" s="418"/>
      <c r="V99" s="418"/>
      <c r="W99" s="418"/>
      <c r="X99" s="418"/>
      <c r="Y99" s="418"/>
      <c r="Z99" s="418"/>
      <c r="AA99" s="433"/>
      <c r="AB99" s="2734"/>
      <c r="AC99" s="2734"/>
      <c r="AD99" s="2734"/>
      <c r="AE99" s="2734"/>
      <c r="AF99" s="2734"/>
      <c r="AG99" s="2734"/>
    </row>
    <row r="100" spans="1:33" s="434" customFormat="1" ht="30" x14ac:dyDescent="0.25">
      <c r="A100" s="511"/>
      <c r="B100" s="521"/>
      <c r="C100" s="522"/>
      <c r="D100" s="522"/>
      <c r="E100" s="522"/>
      <c r="F100" s="523"/>
      <c r="G100" s="495" t="s">
        <v>683</v>
      </c>
      <c r="H100" s="413" t="s">
        <v>684</v>
      </c>
      <c r="I100" s="413" t="s">
        <v>685</v>
      </c>
      <c r="J100" s="413">
        <v>0.2</v>
      </c>
      <c r="K100" s="413"/>
      <c r="L100" s="413"/>
      <c r="M100" s="414" t="s">
        <v>1195</v>
      </c>
      <c r="N100" s="414" t="s">
        <v>1196</v>
      </c>
      <c r="O100" s="414">
        <v>9.8000000000000004E-2</v>
      </c>
      <c r="P100" s="469"/>
      <c r="Q100" s="469"/>
      <c r="R100" s="418"/>
      <c r="S100" s="418"/>
      <c r="T100" s="418"/>
      <c r="U100" s="418"/>
      <c r="V100" s="418"/>
      <c r="W100" s="418"/>
      <c r="X100" s="418"/>
      <c r="Y100" s="418"/>
      <c r="Z100" s="418"/>
      <c r="AA100" s="433"/>
      <c r="AB100" s="413"/>
      <c r="AC100" s="413"/>
      <c r="AD100" s="413"/>
      <c r="AE100" s="413"/>
      <c r="AF100" s="413"/>
      <c r="AG100" s="413"/>
    </row>
    <row r="101" spans="1:33" s="434" customFormat="1" ht="42" customHeight="1" x14ac:dyDescent="0.25">
      <c r="A101" s="511"/>
      <c r="B101" s="521"/>
      <c r="C101" s="522"/>
      <c r="D101" s="522"/>
      <c r="E101" s="522"/>
      <c r="F101" s="523"/>
      <c r="G101" s="495" t="s">
        <v>1179</v>
      </c>
      <c r="H101" s="413" t="s">
        <v>1180</v>
      </c>
      <c r="I101" s="413" t="s">
        <v>1181</v>
      </c>
      <c r="J101" s="413">
        <v>2.4E-2</v>
      </c>
      <c r="K101" s="413"/>
      <c r="L101" s="413"/>
      <c r="M101" s="413" t="s">
        <v>1199</v>
      </c>
      <c r="N101" s="413" t="s">
        <v>1200</v>
      </c>
      <c r="O101" s="413">
        <v>6.7000000000000004E-2</v>
      </c>
      <c r="P101" s="469"/>
      <c r="Q101" s="469"/>
      <c r="R101" s="418"/>
      <c r="S101" s="418"/>
      <c r="T101" s="418"/>
      <c r="U101" s="418"/>
      <c r="V101" s="418"/>
      <c r="W101" s="418"/>
      <c r="X101" s="418"/>
      <c r="Y101" s="418"/>
      <c r="Z101" s="418"/>
      <c r="AA101" s="433"/>
      <c r="AB101" s="413"/>
      <c r="AC101" s="413"/>
      <c r="AD101" s="413"/>
      <c r="AE101" s="413"/>
      <c r="AF101" s="413"/>
      <c r="AG101" s="413"/>
    </row>
    <row r="102" spans="1:33" s="434" customFormat="1" ht="84.75" customHeight="1" x14ac:dyDescent="0.25">
      <c r="A102" s="511"/>
      <c r="B102" s="521"/>
      <c r="C102" s="522"/>
      <c r="D102" s="522"/>
      <c r="E102" s="522"/>
      <c r="F102" s="523"/>
      <c r="G102" s="495" t="s">
        <v>1183</v>
      </c>
      <c r="H102" s="414" t="s">
        <v>1184</v>
      </c>
      <c r="I102" s="413" t="s">
        <v>1185</v>
      </c>
      <c r="J102" s="413">
        <v>0.5</v>
      </c>
      <c r="K102" s="413"/>
      <c r="L102" s="413"/>
      <c r="M102" s="413" t="s">
        <v>1199</v>
      </c>
      <c r="N102" s="413" t="s">
        <v>111</v>
      </c>
      <c r="O102" s="413">
        <v>4.2000000000000003E-2</v>
      </c>
      <c r="P102" s="469"/>
      <c r="Q102" s="469"/>
      <c r="R102" s="418"/>
      <c r="S102" s="418"/>
      <c r="T102" s="418"/>
      <c r="U102" s="418"/>
      <c r="V102" s="418"/>
      <c r="W102" s="418"/>
      <c r="X102" s="418"/>
      <c r="Y102" s="418"/>
      <c r="Z102" s="418"/>
      <c r="AA102" s="433"/>
      <c r="AB102" s="413"/>
      <c r="AC102" s="414"/>
      <c r="AD102" s="413"/>
      <c r="AE102" s="413"/>
      <c r="AF102" s="413"/>
      <c r="AG102" s="413"/>
    </row>
    <row r="103" spans="1:33" s="434" customFormat="1" ht="55.5" customHeight="1" x14ac:dyDescent="0.25">
      <c r="A103" s="511"/>
      <c r="B103" s="521"/>
      <c r="C103" s="522"/>
      <c r="D103" s="522"/>
      <c r="E103" s="522"/>
      <c r="F103" s="523"/>
      <c r="G103" s="495" t="s">
        <v>1188</v>
      </c>
      <c r="H103" s="413" t="s">
        <v>1189</v>
      </c>
      <c r="I103" s="413" t="s">
        <v>1190</v>
      </c>
      <c r="J103" s="413">
        <v>0.74</v>
      </c>
      <c r="K103" s="413"/>
      <c r="L103" s="413"/>
      <c r="M103" s="414" t="s">
        <v>112</v>
      </c>
      <c r="N103" s="414" t="s">
        <v>113</v>
      </c>
      <c r="O103" s="413">
        <v>0.02</v>
      </c>
      <c r="P103" s="469"/>
      <c r="Q103" s="469"/>
      <c r="R103" s="418"/>
      <c r="S103" s="418"/>
      <c r="T103" s="418"/>
      <c r="U103" s="418"/>
      <c r="V103" s="418"/>
      <c r="W103" s="418"/>
      <c r="X103" s="418"/>
      <c r="Y103" s="418"/>
      <c r="Z103" s="418"/>
      <c r="AA103" s="433"/>
      <c r="AB103" s="413"/>
      <c r="AC103" s="413"/>
      <c r="AD103" s="413"/>
      <c r="AE103" s="413"/>
      <c r="AF103" s="413"/>
      <c r="AG103" s="413"/>
    </row>
    <row r="104" spans="1:33" s="434" customFormat="1" ht="60" customHeight="1" x14ac:dyDescent="0.25">
      <c r="A104" s="511"/>
      <c r="B104" s="521"/>
      <c r="C104" s="522"/>
      <c r="D104" s="522"/>
      <c r="E104" s="522"/>
      <c r="F104" s="523"/>
      <c r="G104" s="495" t="s">
        <v>686</v>
      </c>
      <c r="H104" s="413" t="s">
        <v>1182</v>
      </c>
      <c r="I104" s="413" t="s">
        <v>114</v>
      </c>
      <c r="J104" s="413">
        <v>7.0000000000000007E-2</v>
      </c>
      <c r="K104" s="413"/>
      <c r="L104" s="413"/>
      <c r="M104" s="614" t="s">
        <v>1199</v>
      </c>
      <c r="N104" s="663" t="s">
        <v>2521</v>
      </c>
      <c r="O104" s="617">
        <v>5.5E-2</v>
      </c>
      <c r="P104" s="413"/>
      <c r="Q104" s="413"/>
      <c r="R104" s="418"/>
      <c r="S104" s="418"/>
      <c r="T104" s="418"/>
      <c r="U104" s="418"/>
      <c r="V104" s="418"/>
      <c r="W104" s="418"/>
      <c r="X104" s="418"/>
      <c r="Y104" s="418"/>
      <c r="Z104" s="418"/>
      <c r="AA104" s="433"/>
      <c r="AB104" s="413"/>
      <c r="AC104" s="413"/>
      <c r="AD104" s="413"/>
      <c r="AE104" s="413"/>
      <c r="AF104" s="413"/>
      <c r="AG104" s="413"/>
    </row>
    <row r="105" spans="1:33" s="434" customFormat="1" ht="17.25" customHeight="1" x14ac:dyDescent="0.25">
      <c r="A105" s="629"/>
      <c r="B105" s="521"/>
      <c r="C105" s="522"/>
      <c r="D105" s="522"/>
      <c r="E105" s="522"/>
      <c r="F105" s="523"/>
      <c r="G105" s="2678" t="s">
        <v>2032</v>
      </c>
      <c r="H105" s="2676"/>
      <c r="I105" s="2676"/>
      <c r="J105" s="2676"/>
      <c r="K105" s="2676"/>
      <c r="L105" s="2676"/>
      <c r="M105" s="769" t="s">
        <v>2842</v>
      </c>
      <c r="N105" s="769" t="s">
        <v>2843</v>
      </c>
      <c r="O105" s="636">
        <v>1.25</v>
      </c>
      <c r="P105" s="636"/>
      <c r="Q105" s="636"/>
      <c r="R105" s="437"/>
      <c r="S105" s="438"/>
      <c r="T105" s="417"/>
      <c r="U105" s="417"/>
      <c r="V105" s="417"/>
      <c r="W105" s="437"/>
      <c r="X105" s="438"/>
      <c r="Y105" s="417"/>
      <c r="Z105" s="417"/>
      <c r="AA105" s="439"/>
      <c r="AB105" s="636"/>
      <c r="AC105" s="636"/>
      <c r="AD105" s="636"/>
      <c r="AE105" s="636"/>
      <c r="AF105" s="636"/>
      <c r="AG105" s="636"/>
    </row>
    <row r="106" spans="1:33" s="434" customFormat="1" ht="60" customHeight="1" x14ac:dyDescent="0.25">
      <c r="A106" s="511"/>
      <c r="B106" s="521"/>
      <c r="C106" s="522"/>
      <c r="D106" s="522"/>
      <c r="E106" s="522"/>
      <c r="F106" s="523"/>
      <c r="G106" s="628" t="s">
        <v>1992</v>
      </c>
      <c r="H106" s="414" t="s">
        <v>1991</v>
      </c>
      <c r="I106" s="636" t="s">
        <v>2256</v>
      </c>
      <c r="J106" s="413">
        <v>0.5</v>
      </c>
      <c r="K106" s="413"/>
      <c r="L106" s="413"/>
      <c r="M106" s="1319"/>
      <c r="N106" s="1319"/>
      <c r="O106" s="413"/>
      <c r="P106" s="413"/>
      <c r="Q106" s="413"/>
      <c r="R106" s="437"/>
      <c r="S106" s="438"/>
      <c r="T106" s="417"/>
      <c r="U106" s="417"/>
      <c r="V106" s="417"/>
      <c r="W106" s="437"/>
      <c r="X106" s="438"/>
      <c r="Y106" s="417"/>
      <c r="Z106" s="417"/>
      <c r="AA106" s="439"/>
      <c r="AB106" s="414"/>
      <c r="AC106" s="414"/>
      <c r="AD106" s="413"/>
      <c r="AE106" s="413"/>
      <c r="AF106" s="413"/>
      <c r="AG106" s="413"/>
    </row>
    <row r="107" spans="1:33" s="434" customFormat="1" ht="60" customHeight="1" x14ac:dyDescent="0.25">
      <c r="A107" s="799"/>
      <c r="B107" s="521"/>
      <c r="C107" s="522"/>
      <c r="D107" s="522"/>
      <c r="E107" s="522"/>
      <c r="F107" s="523"/>
      <c r="G107" s="798" t="s">
        <v>2853</v>
      </c>
      <c r="H107" s="798" t="s">
        <v>2854</v>
      </c>
      <c r="I107" s="176" t="s">
        <v>2859</v>
      </c>
      <c r="J107" s="636">
        <v>0.03</v>
      </c>
      <c r="K107" s="807"/>
      <c r="L107" s="807"/>
      <c r="M107" s="1751" t="s">
        <v>15351</v>
      </c>
      <c r="N107" s="1516" t="s">
        <v>15352</v>
      </c>
      <c r="O107" s="636">
        <v>0.155</v>
      </c>
      <c r="P107" s="636"/>
      <c r="Q107" s="636"/>
      <c r="R107" s="437"/>
      <c r="S107" s="438"/>
      <c r="T107" s="417"/>
      <c r="U107" s="417"/>
      <c r="V107" s="417"/>
      <c r="W107" s="437"/>
      <c r="X107" s="438"/>
      <c r="Y107" s="417"/>
      <c r="Z107" s="417"/>
      <c r="AA107" s="439"/>
      <c r="AB107" s="699"/>
      <c r="AC107" s="699"/>
      <c r="AD107" s="806"/>
      <c r="AE107" s="807"/>
      <c r="AF107" s="807"/>
      <c r="AG107" s="807"/>
    </row>
    <row r="108" spans="1:33" s="434" customFormat="1" ht="18.75" customHeight="1" x14ac:dyDescent="0.25">
      <c r="A108" s="1178"/>
      <c r="B108" s="521"/>
      <c r="C108" s="522"/>
      <c r="D108" s="522"/>
      <c r="E108" s="522"/>
      <c r="F108" s="523"/>
      <c r="G108" s="2678" t="s">
        <v>3020</v>
      </c>
      <c r="H108" s="2676"/>
      <c r="I108" s="2676"/>
      <c r="J108" s="2676"/>
      <c r="K108" s="2676"/>
      <c r="L108" s="2676"/>
      <c r="M108" s="601"/>
      <c r="N108" s="455"/>
      <c r="O108" s="807"/>
      <c r="P108" s="807"/>
      <c r="Q108" s="807"/>
      <c r="R108" s="437"/>
      <c r="S108" s="438"/>
      <c r="T108" s="417"/>
      <c r="U108" s="417"/>
      <c r="V108" s="417"/>
      <c r="W108" s="437"/>
      <c r="X108" s="438"/>
      <c r="Y108" s="417"/>
      <c r="Z108" s="417"/>
      <c r="AA108" s="439"/>
      <c r="AB108" s="699"/>
      <c r="AC108" s="699"/>
      <c r="AD108" s="806"/>
      <c r="AE108" s="807"/>
      <c r="AF108" s="807"/>
      <c r="AG108" s="807"/>
    </row>
    <row r="109" spans="1:33" s="434" customFormat="1" ht="23.25" customHeight="1" x14ac:dyDescent="0.25">
      <c r="A109" s="1178"/>
      <c r="B109" s="521"/>
      <c r="C109" s="522"/>
      <c r="D109" s="522"/>
      <c r="E109" s="522"/>
      <c r="F109" s="523"/>
      <c r="G109" s="2671"/>
      <c r="H109" s="2672"/>
      <c r="I109" s="2673"/>
      <c r="J109" s="1586"/>
      <c r="K109" s="1587"/>
      <c r="L109" s="1588"/>
      <c r="M109" s="601"/>
      <c r="N109" s="455"/>
      <c r="O109" s="807"/>
      <c r="P109" s="807"/>
      <c r="Q109" s="807"/>
      <c r="R109" s="437"/>
      <c r="S109" s="438"/>
      <c r="T109" s="417"/>
      <c r="U109" s="417"/>
      <c r="V109" s="417"/>
      <c r="W109" s="437"/>
      <c r="X109" s="438"/>
      <c r="Y109" s="417"/>
      <c r="Z109" s="417"/>
      <c r="AA109" s="439"/>
      <c r="AB109" s="699"/>
      <c r="AC109" s="699"/>
      <c r="AD109" s="806"/>
      <c r="AE109" s="807"/>
      <c r="AF109" s="807"/>
      <c r="AG109" s="807"/>
    </row>
    <row r="110" spans="1:33" s="434" customFormat="1" ht="23.25" customHeight="1" x14ac:dyDescent="0.25">
      <c r="A110" s="1748"/>
      <c r="B110" s="521"/>
      <c r="C110" s="522"/>
      <c r="D110" s="522"/>
      <c r="E110" s="522"/>
      <c r="F110" s="523"/>
      <c r="G110" s="2678" t="s">
        <v>3447</v>
      </c>
      <c r="H110" s="2676"/>
      <c r="I110" s="2676"/>
      <c r="J110" s="2676"/>
      <c r="K110" s="2676"/>
      <c r="L110" s="2676"/>
      <c r="M110" s="601"/>
      <c r="N110" s="455"/>
      <c r="O110" s="807"/>
      <c r="P110" s="807"/>
      <c r="Q110" s="807"/>
      <c r="R110" s="437"/>
      <c r="S110" s="438"/>
      <c r="T110" s="417"/>
      <c r="U110" s="417"/>
      <c r="V110" s="417"/>
      <c r="W110" s="437"/>
      <c r="X110" s="438"/>
      <c r="Y110" s="417"/>
      <c r="Z110" s="417"/>
      <c r="AA110" s="439"/>
      <c r="AB110" s="699"/>
      <c r="AC110" s="699"/>
      <c r="AD110" s="806"/>
      <c r="AE110" s="807"/>
      <c r="AF110" s="807"/>
      <c r="AG110" s="807"/>
    </row>
    <row r="111" spans="1:33" s="434" customFormat="1" ht="23.25" customHeight="1" x14ac:dyDescent="0.25">
      <c r="A111" s="1748"/>
      <c r="B111" s="521"/>
      <c r="C111" s="522"/>
      <c r="D111" s="522"/>
      <c r="E111" s="522"/>
      <c r="F111" s="523"/>
      <c r="G111" s="1751" t="s">
        <v>3527</v>
      </c>
      <c r="H111" s="1751" t="s">
        <v>3528</v>
      </c>
      <c r="I111" s="1585" t="s">
        <v>16858</v>
      </c>
      <c r="J111" s="1586">
        <f>0.6*0.9</f>
        <v>0.54</v>
      </c>
      <c r="K111" s="1587"/>
      <c r="L111" s="1588"/>
      <c r="M111" s="601"/>
      <c r="N111" s="455"/>
      <c r="O111" s="807"/>
      <c r="P111" s="807"/>
      <c r="Q111" s="807"/>
      <c r="R111" s="437"/>
      <c r="S111" s="438"/>
      <c r="T111" s="417"/>
      <c r="U111" s="417"/>
      <c r="V111" s="417"/>
      <c r="W111" s="437"/>
      <c r="X111" s="438"/>
      <c r="Y111" s="417"/>
      <c r="Z111" s="417"/>
      <c r="AA111" s="439"/>
      <c r="AB111" s="699"/>
      <c r="AC111" s="699"/>
      <c r="AD111" s="806"/>
      <c r="AE111" s="807"/>
      <c r="AF111" s="807"/>
      <c r="AG111" s="807"/>
    </row>
    <row r="112" spans="1:33" s="434" customFormat="1" ht="23.25" customHeight="1" x14ac:dyDescent="0.25">
      <c r="A112" s="2145"/>
      <c r="B112" s="521"/>
      <c r="C112" s="522"/>
      <c r="D112" s="522"/>
      <c r="E112" s="522"/>
      <c r="F112" s="523"/>
      <c r="G112" s="2678" t="s">
        <v>17005</v>
      </c>
      <c r="H112" s="2676"/>
      <c r="I112" s="2676"/>
      <c r="J112" s="2676"/>
      <c r="K112" s="2676"/>
      <c r="L112" s="2676"/>
      <c r="M112" s="601"/>
      <c r="N112" s="455"/>
      <c r="O112" s="807"/>
      <c r="P112" s="807"/>
      <c r="Q112" s="807"/>
      <c r="R112" s="437"/>
      <c r="S112" s="438"/>
      <c r="T112" s="417"/>
      <c r="U112" s="417"/>
      <c r="V112" s="417"/>
      <c r="W112" s="437"/>
      <c r="X112" s="438"/>
      <c r="Y112" s="417"/>
      <c r="Z112" s="417"/>
      <c r="AA112" s="439"/>
      <c r="AB112" s="699"/>
      <c r="AC112" s="699"/>
      <c r="AD112" s="806"/>
      <c r="AE112" s="807"/>
      <c r="AF112" s="807"/>
      <c r="AG112" s="807"/>
    </row>
    <row r="113" spans="1:33" s="434" customFormat="1" ht="23.25" customHeight="1" x14ac:dyDescent="0.25">
      <c r="A113" s="2145"/>
      <c r="B113" s="521"/>
      <c r="C113" s="522"/>
      <c r="D113" s="522"/>
      <c r="E113" s="522"/>
      <c r="F113" s="523"/>
      <c r="G113" s="699" t="s">
        <v>19984</v>
      </c>
      <c r="H113" s="699" t="s">
        <v>19985</v>
      </c>
      <c r="I113" s="1585" t="s">
        <v>19986</v>
      </c>
      <c r="J113" s="1586">
        <f>(0.1-0.048)*0.9</f>
        <v>4.6800000000000008E-2</v>
      </c>
      <c r="K113" s="1587"/>
      <c r="L113" s="1588"/>
      <c r="M113" s="601"/>
      <c r="N113" s="455"/>
      <c r="O113" s="807"/>
      <c r="P113" s="807"/>
      <c r="Q113" s="807"/>
      <c r="R113" s="437"/>
      <c r="S113" s="438"/>
      <c r="T113" s="417"/>
      <c r="U113" s="417"/>
      <c r="V113" s="417"/>
      <c r="W113" s="437"/>
      <c r="X113" s="438"/>
      <c r="Y113" s="417"/>
      <c r="Z113" s="417"/>
      <c r="AA113" s="439"/>
      <c r="AB113" s="699"/>
      <c r="AC113" s="699"/>
      <c r="AD113" s="806"/>
      <c r="AE113" s="807"/>
      <c r="AF113" s="807"/>
      <c r="AG113" s="807"/>
    </row>
    <row r="114" spans="1:33" ht="15.75" thickBot="1" x14ac:dyDescent="0.3">
      <c r="A114" s="516"/>
      <c r="B114" s="516"/>
      <c r="C114" s="503"/>
      <c r="D114" s="503"/>
      <c r="E114" s="503"/>
      <c r="F114" s="517"/>
      <c r="G114" s="2578" t="s">
        <v>1833</v>
      </c>
      <c r="H114" s="2578"/>
      <c r="I114" s="2579"/>
      <c r="J114" s="13">
        <f>SUM(J111:J113)</f>
        <v>0.58679999999999999</v>
      </c>
      <c r="K114" s="14">
        <v>0.92</v>
      </c>
      <c r="L114" s="13">
        <f>J114/K114</f>
        <v>0.63782608695652165</v>
      </c>
      <c r="M114" s="2577" t="s">
        <v>1834</v>
      </c>
      <c r="N114" s="2579"/>
      <c r="O114" s="13">
        <f>SUM(O95:O107)</f>
        <v>1.9630000000000001</v>
      </c>
      <c r="P114" s="14">
        <v>0.92</v>
      </c>
      <c r="Q114" s="13">
        <f>O114/P114</f>
        <v>2.133695652173913</v>
      </c>
      <c r="R114" s="2738" t="s">
        <v>1835</v>
      </c>
      <c r="S114" s="2739"/>
      <c r="T114" s="30">
        <f>SUM(T95:T104)</f>
        <v>0</v>
      </c>
      <c r="U114" s="31">
        <v>0.8</v>
      </c>
      <c r="V114" s="30">
        <f>T114/U114</f>
        <v>0</v>
      </c>
      <c r="W114" s="2738" t="s">
        <v>1836</v>
      </c>
      <c r="X114" s="2739"/>
      <c r="Y114" s="30">
        <f>SUM(Y95:Y104)</f>
        <v>4</v>
      </c>
      <c r="Z114" s="31">
        <v>0.8</v>
      </c>
      <c r="AA114" s="32">
        <f>Y114/Z114</f>
        <v>5</v>
      </c>
      <c r="AB114" s="2578" t="s">
        <v>1833</v>
      </c>
      <c r="AC114" s="2578"/>
      <c r="AD114" s="2579"/>
      <c r="AE114" s="13">
        <f>SUM(AE100:AE106)</f>
        <v>0</v>
      </c>
      <c r="AF114" s="14">
        <v>0.92</v>
      </c>
      <c r="AG114" s="13">
        <f>AE114/AF114</f>
        <v>0</v>
      </c>
    </row>
    <row r="115" spans="1:33" ht="36.75" customHeight="1" x14ac:dyDescent="0.25">
      <c r="A115" s="524" t="str">
        <f>Итоговая!C164</f>
        <v xml:space="preserve">ПС 35/10 кВ Кимры </v>
      </c>
      <c r="B115" s="507">
        <f>Итоговая!D164</f>
        <v>16</v>
      </c>
      <c r="C115" s="508" t="str">
        <f>Итоговая!E164</f>
        <v>+</v>
      </c>
      <c r="D115" s="508">
        <f>Итоговая!F164</f>
        <v>16</v>
      </c>
      <c r="E115" s="508"/>
      <c r="F115" s="509"/>
      <c r="G115" s="104"/>
      <c r="H115" s="9"/>
      <c r="I115" s="9"/>
      <c r="J115" s="9"/>
      <c r="K115" s="9"/>
      <c r="L115" s="51"/>
      <c r="M115" s="36"/>
      <c r="N115" s="9"/>
      <c r="O115" s="9"/>
      <c r="P115" s="9"/>
      <c r="Q115" s="9"/>
      <c r="R115" s="27" t="s">
        <v>552</v>
      </c>
      <c r="S115" s="27" t="s">
        <v>553</v>
      </c>
      <c r="T115" s="27">
        <v>0.03</v>
      </c>
      <c r="U115" s="27"/>
      <c r="V115" s="27"/>
      <c r="W115" s="27"/>
      <c r="X115" s="27"/>
      <c r="Y115" s="27"/>
      <c r="Z115" s="27"/>
      <c r="AA115" s="28"/>
      <c r="AB115" s="9"/>
      <c r="AC115" s="9"/>
      <c r="AD115" s="9"/>
      <c r="AE115" s="9"/>
      <c r="AF115" s="9"/>
      <c r="AG115" s="51"/>
    </row>
    <row r="116" spans="1:33" ht="15.75" thickBot="1" x14ac:dyDescent="0.3">
      <c r="A116" s="525"/>
      <c r="B116" s="516"/>
      <c r="C116" s="503"/>
      <c r="D116" s="503"/>
      <c r="E116" s="503"/>
      <c r="F116" s="517"/>
      <c r="G116" s="2578" t="s">
        <v>1833</v>
      </c>
      <c r="H116" s="2578"/>
      <c r="I116" s="2579"/>
      <c r="J116" s="13">
        <f>SUM(J115:J115)</f>
        <v>0</v>
      </c>
      <c r="K116" s="14">
        <v>0.92</v>
      </c>
      <c r="L116" s="13">
        <f>J116/K116</f>
        <v>0</v>
      </c>
      <c r="M116" s="2587" t="s">
        <v>1834</v>
      </c>
      <c r="N116" s="2589"/>
      <c r="O116" s="21">
        <f>SUM(O115:O115)</f>
        <v>0</v>
      </c>
      <c r="P116" s="24">
        <v>0.92</v>
      </c>
      <c r="Q116" s="21">
        <f>O116/P116</f>
        <v>0</v>
      </c>
      <c r="R116" s="2738" t="s">
        <v>1835</v>
      </c>
      <c r="S116" s="2739"/>
      <c r="T116" s="30">
        <f>SUM(T115:T115)</f>
        <v>0.03</v>
      </c>
      <c r="U116" s="31">
        <v>0.8</v>
      </c>
      <c r="V116" s="30">
        <f>T116/U116</f>
        <v>3.7499999999999999E-2</v>
      </c>
      <c r="W116" s="2738" t="s">
        <v>1836</v>
      </c>
      <c r="X116" s="2739"/>
      <c r="Y116" s="30">
        <f>SUM(Y115:Y115)</f>
        <v>0</v>
      </c>
      <c r="Z116" s="31">
        <v>0.8</v>
      </c>
      <c r="AA116" s="32">
        <f>Y116/Z116</f>
        <v>0</v>
      </c>
      <c r="AB116" s="2577" t="s">
        <v>1833</v>
      </c>
      <c r="AC116" s="2578"/>
      <c r="AD116" s="2579"/>
      <c r="AE116" s="13">
        <f>SUM(AE115:AE115)</f>
        <v>0</v>
      </c>
      <c r="AF116" s="14">
        <v>0.92</v>
      </c>
      <c r="AG116" s="13">
        <f>AE116/AF116</f>
        <v>0</v>
      </c>
    </row>
    <row r="117" spans="1:33" ht="16.5" customHeight="1" x14ac:dyDescent="0.25">
      <c r="A117" s="524" t="str">
        <f>Итоговая!C165</f>
        <v xml:space="preserve"> ПС 35/10 кВ Козьмодемьяновская </v>
      </c>
      <c r="B117" s="507">
        <f>Итоговая!D165</f>
        <v>2.5</v>
      </c>
      <c r="C117" s="508" t="str">
        <f>Итоговая!E165</f>
        <v>+</v>
      </c>
      <c r="D117" s="508">
        <f>Итоговая!F165</f>
        <v>2.5</v>
      </c>
      <c r="E117" s="508"/>
      <c r="F117" s="509"/>
      <c r="G117" s="2705" t="s">
        <v>2032</v>
      </c>
      <c r="H117" s="2706"/>
      <c r="I117" s="2706"/>
      <c r="J117" s="2706"/>
      <c r="K117" s="2706"/>
      <c r="L117" s="2706"/>
      <c r="M117" s="148"/>
      <c r="N117" s="148"/>
      <c r="O117" s="148"/>
      <c r="P117" s="1"/>
      <c r="Q117" s="1"/>
      <c r="R117" s="27"/>
      <c r="S117" s="27"/>
      <c r="T117" s="27"/>
      <c r="U117" s="27"/>
      <c r="V117" s="27"/>
      <c r="W117" s="27"/>
      <c r="X117" s="27"/>
      <c r="Y117" s="27"/>
      <c r="Z117" s="27"/>
      <c r="AA117" s="28"/>
      <c r="AB117" s="17"/>
      <c r="AC117" s="17"/>
      <c r="AD117" s="17"/>
      <c r="AE117" s="17"/>
      <c r="AF117" s="17"/>
      <c r="AG117" s="73"/>
    </row>
    <row r="118" spans="1:33" ht="72" customHeight="1" x14ac:dyDescent="0.25">
      <c r="A118" s="588"/>
      <c r="B118" s="585"/>
      <c r="C118" s="582"/>
      <c r="D118" s="582"/>
      <c r="E118" s="582"/>
      <c r="F118" s="586"/>
      <c r="G118" s="1" t="s">
        <v>2152</v>
      </c>
      <c r="H118" s="1" t="s">
        <v>42</v>
      </c>
      <c r="I118" s="1" t="s">
        <v>2384</v>
      </c>
      <c r="J118" s="1">
        <v>0.05</v>
      </c>
      <c r="K118" s="1"/>
      <c r="L118" s="22"/>
      <c r="M118" s="602"/>
      <c r="N118" s="603"/>
      <c r="O118" s="604"/>
      <c r="P118" s="24"/>
      <c r="Q118" s="24"/>
      <c r="R118" s="110"/>
      <c r="S118" s="111"/>
      <c r="T118" s="39"/>
      <c r="U118" s="39"/>
      <c r="V118" s="39"/>
      <c r="W118" s="110"/>
      <c r="X118" s="111"/>
      <c r="Y118" s="39"/>
      <c r="Z118" s="39"/>
      <c r="AA118" s="605"/>
      <c r="AB118" s="581"/>
      <c r="AC118" s="40"/>
      <c r="AD118" s="41"/>
      <c r="AE118" s="128"/>
      <c r="AF118" s="128"/>
      <c r="AG118" s="69"/>
    </row>
    <row r="119" spans="1:33" ht="15.75" thickBot="1" x14ac:dyDescent="0.3">
      <c r="A119" s="525"/>
      <c r="B119" s="516"/>
      <c r="C119" s="503"/>
      <c r="D119" s="503"/>
      <c r="E119" s="503"/>
      <c r="F119" s="517"/>
      <c r="G119" s="2588" t="s">
        <v>1833</v>
      </c>
      <c r="H119" s="2588"/>
      <c r="I119" s="2589"/>
      <c r="J119" s="21">
        <f>SUM(0)</f>
        <v>0</v>
      </c>
      <c r="K119" s="24">
        <v>0.92</v>
      </c>
      <c r="L119" s="21">
        <f>J119/K119</f>
        <v>0</v>
      </c>
      <c r="M119" s="2587" t="s">
        <v>1834</v>
      </c>
      <c r="N119" s="2589"/>
      <c r="O119" s="21">
        <f>SUM(O117)</f>
        <v>0</v>
      </c>
      <c r="P119" s="24">
        <v>0.92</v>
      </c>
      <c r="Q119" s="21">
        <f>O119/P119</f>
        <v>0</v>
      </c>
      <c r="R119" s="2738" t="s">
        <v>1835</v>
      </c>
      <c r="S119" s="2739"/>
      <c r="T119" s="30">
        <f>SUM(T117:T117)</f>
        <v>0</v>
      </c>
      <c r="U119" s="31">
        <v>0.8</v>
      </c>
      <c r="V119" s="30">
        <f>T119/U119</f>
        <v>0</v>
      </c>
      <c r="W119" s="2738" t="s">
        <v>1836</v>
      </c>
      <c r="X119" s="2739"/>
      <c r="Y119" s="30">
        <f>SUM(Y117:Y117)</f>
        <v>0</v>
      </c>
      <c r="Z119" s="31">
        <v>0.8</v>
      </c>
      <c r="AA119" s="32">
        <f>Y119/Z119</f>
        <v>0</v>
      </c>
      <c r="AB119" s="2587" t="s">
        <v>1833</v>
      </c>
      <c r="AC119" s="2588"/>
      <c r="AD119" s="2589"/>
      <c r="AE119" s="21">
        <f>SUM(AE117:AE117)</f>
        <v>0</v>
      </c>
      <c r="AF119" s="24">
        <v>0.92</v>
      </c>
      <c r="AG119" s="21">
        <f>AE119/AF119</f>
        <v>0</v>
      </c>
    </row>
    <row r="120" spans="1:33" ht="15.75" thickBot="1" x14ac:dyDescent="0.3">
      <c r="A120" s="526"/>
      <c r="B120" s="527"/>
      <c r="C120" s="508"/>
      <c r="D120" s="508"/>
      <c r="E120" s="508"/>
      <c r="F120" s="509"/>
      <c r="G120" s="2645"/>
      <c r="H120" s="2645"/>
      <c r="I120" s="2645"/>
      <c r="J120" s="2645"/>
      <c r="K120" s="2645"/>
      <c r="L120" s="2646"/>
      <c r="M120" s="131"/>
      <c r="N120" s="132"/>
      <c r="O120" s="73"/>
      <c r="P120" s="73"/>
      <c r="Q120" s="73"/>
      <c r="R120" s="110"/>
      <c r="S120" s="111"/>
      <c r="T120" s="138"/>
      <c r="U120" s="39"/>
      <c r="V120" s="138"/>
      <c r="W120" s="110"/>
      <c r="X120" s="111"/>
      <c r="Y120" s="138"/>
      <c r="Z120" s="39"/>
      <c r="AA120" s="139"/>
      <c r="AB120" s="2647" t="s">
        <v>1961</v>
      </c>
      <c r="AC120" s="2648"/>
      <c r="AD120" s="2648"/>
      <c r="AE120" s="2648"/>
      <c r="AF120" s="2648"/>
      <c r="AG120" s="2649"/>
    </row>
    <row r="121" spans="1:33" s="434" customFormat="1" ht="69" customHeight="1" x14ac:dyDescent="0.25">
      <c r="A121" s="528" t="str">
        <f>Итоговая!C166</f>
        <v xml:space="preserve">ПС  35/10 кВ Курортная </v>
      </c>
      <c r="B121" s="511">
        <f>Итоговая!D166</f>
        <v>4</v>
      </c>
      <c r="C121" s="499" t="str">
        <f>Итоговая!E166</f>
        <v>+</v>
      </c>
      <c r="D121" s="499">
        <f>Итоговая!F166</f>
        <v>4</v>
      </c>
      <c r="E121" s="499"/>
      <c r="F121" s="510"/>
      <c r="G121" s="496"/>
      <c r="H121" s="470"/>
      <c r="I121" s="471"/>
      <c r="J121" s="470"/>
      <c r="K121" s="470"/>
      <c r="L121" s="470"/>
      <c r="M121" s="443" t="s">
        <v>623</v>
      </c>
      <c r="N121" s="443" t="s">
        <v>624</v>
      </c>
      <c r="O121" s="443">
        <v>0.09</v>
      </c>
      <c r="P121" s="443"/>
      <c r="Q121" s="443"/>
      <c r="R121" s="445"/>
      <c r="S121" s="445"/>
      <c r="T121" s="445"/>
      <c r="U121" s="445"/>
      <c r="V121" s="445"/>
      <c r="W121" s="445"/>
      <c r="X121" s="445"/>
      <c r="Y121" s="445"/>
      <c r="Z121" s="445"/>
      <c r="AA121" s="446"/>
      <c r="AB121" s="472" t="s">
        <v>621</v>
      </c>
      <c r="AC121" s="472" t="s">
        <v>622</v>
      </c>
      <c r="AD121" s="473" t="s">
        <v>2493</v>
      </c>
      <c r="AE121" s="472">
        <v>0.02</v>
      </c>
      <c r="AF121" s="472"/>
      <c r="AG121" s="472"/>
    </row>
    <row r="122" spans="1:33" s="434" customFormat="1" x14ac:dyDescent="0.25">
      <c r="A122" s="528"/>
      <c r="B122" s="511"/>
      <c r="C122" s="499"/>
      <c r="D122" s="499"/>
      <c r="E122" s="499"/>
      <c r="F122" s="510"/>
      <c r="G122" s="2611" t="s">
        <v>1959</v>
      </c>
      <c r="H122" s="2611"/>
      <c r="I122" s="2611"/>
      <c r="J122" s="2611"/>
      <c r="K122" s="2611"/>
      <c r="L122" s="2612"/>
      <c r="M122" s="443"/>
      <c r="N122" s="443"/>
      <c r="O122" s="443"/>
      <c r="P122" s="443"/>
      <c r="Q122" s="443"/>
      <c r="R122" s="418"/>
      <c r="S122" s="418"/>
      <c r="T122" s="418"/>
      <c r="U122" s="418"/>
      <c r="V122" s="418"/>
      <c r="W122" s="418"/>
      <c r="X122" s="418"/>
      <c r="Y122" s="418"/>
      <c r="Z122" s="418"/>
      <c r="AA122" s="474"/>
      <c r="AB122" s="475"/>
      <c r="AC122" s="475"/>
      <c r="AD122" s="475"/>
      <c r="AE122" s="475"/>
      <c r="AF122" s="475"/>
      <c r="AG122" s="475"/>
    </row>
    <row r="123" spans="1:33" s="434" customFormat="1" ht="53.25" customHeight="1" x14ac:dyDescent="0.25">
      <c r="A123" s="528"/>
      <c r="B123" s="511"/>
      <c r="C123" s="499"/>
      <c r="D123" s="499"/>
      <c r="E123" s="499"/>
      <c r="F123" s="510"/>
      <c r="G123" s="448" t="s">
        <v>625</v>
      </c>
      <c r="H123" s="414" t="s">
        <v>626</v>
      </c>
      <c r="I123" s="414" t="s">
        <v>627</v>
      </c>
      <c r="J123" s="443">
        <v>0.13600000000000001</v>
      </c>
      <c r="K123" s="443"/>
      <c r="L123" s="443"/>
      <c r="M123" s="450" t="s">
        <v>2528</v>
      </c>
      <c r="N123" s="450" t="s">
        <v>2587</v>
      </c>
      <c r="O123" s="630">
        <f>0.082-0.05</f>
        <v>3.2000000000000001E-2</v>
      </c>
      <c r="P123" s="443"/>
      <c r="Q123" s="443"/>
      <c r="R123" s="418"/>
      <c r="S123" s="418"/>
      <c r="T123" s="418"/>
      <c r="U123" s="418"/>
      <c r="V123" s="418"/>
      <c r="W123" s="418"/>
      <c r="X123" s="418"/>
      <c r="Y123" s="418"/>
      <c r="Z123" s="418"/>
      <c r="AA123" s="474"/>
      <c r="AB123" s="475"/>
      <c r="AC123" s="475"/>
      <c r="AD123" s="475"/>
      <c r="AE123" s="475"/>
      <c r="AF123" s="475"/>
      <c r="AG123" s="475"/>
    </row>
    <row r="124" spans="1:33" s="434" customFormat="1" ht="60" x14ac:dyDescent="0.25">
      <c r="A124" s="528"/>
      <c r="B124" s="511"/>
      <c r="C124" s="499"/>
      <c r="D124" s="499"/>
      <c r="E124" s="499"/>
      <c r="F124" s="510"/>
      <c r="G124" s="628" t="s">
        <v>2605</v>
      </c>
      <c r="H124" s="414" t="s">
        <v>629</v>
      </c>
      <c r="I124" s="630" t="s">
        <v>2604</v>
      </c>
      <c r="J124" s="443">
        <v>0.125</v>
      </c>
      <c r="K124" s="443"/>
      <c r="L124" s="443"/>
      <c r="M124" s="414"/>
      <c r="N124" s="414"/>
      <c r="O124" s="443"/>
      <c r="P124" s="443"/>
      <c r="Q124" s="443"/>
      <c r="R124" s="418"/>
      <c r="S124" s="418"/>
      <c r="T124" s="418"/>
      <c r="U124" s="418"/>
      <c r="V124" s="418"/>
      <c r="W124" s="418"/>
      <c r="X124" s="418"/>
      <c r="Y124" s="418"/>
      <c r="Z124" s="418"/>
      <c r="AA124" s="474"/>
      <c r="AB124" s="475"/>
      <c r="AC124" s="475"/>
      <c r="AD124" s="475"/>
      <c r="AE124" s="475"/>
      <c r="AF124" s="475"/>
      <c r="AG124" s="475"/>
    </row>
    <row r="125" spans="1:33" ht="15.75" thickBot="1" x14ac:dyDescent="0.3">
      <c r="A125" s="529"/>
      <c r="B125" s="530"/>
      <c r="C125" s="531"/>
      <c r="D125" s="531"/>
      <c r="E125" s="531"/>
      <c r="F125" s="532"/>
      <c r="G125" s="2588" t="s">
        <v>1833</v>
      </c>
      <c r="H125" s="2588"/>
      <c r="I125" s="2589"/>
      <c r="J125" s="21">
        <f>SUM(0)</f>
        <v>0</v>
      </c>
      <c r="K125" s="24">
        <v>0.92</v>
      </c>
      <c r="L125" s="21">
        <f>J125/K125</f>
        <v>0</v>
      </c>
      <c r="M125" s="2587" t="s">
        <v>1834</v>
      </c>
      <c r="N125" s="2589"/>
      <c r="O125" s="21">
        <f>SUM(O121:O124)</f>
        <v>0.122</v>
      </c>
      <c r="P125" s="24">
        <v>0.92</v>
      </c>
      <c r="Q125" s="21">
        <f>O125/P125</f>
        <v>0.1326086956521739</v>
      </c>
      <c r="R125" s="2738" t="s">
        <v>1835</v>
      </c>
      <c r="S125" s="2739"/>
      <c r="T125" s="30">
        <f>SUM(T121:T124)</f>
        <v>0</v>
      </c>
      <c r="U125" s="31">
        <v>0.8</v>
      </c>
      <c r="V125" s="30">
        <f>T125/U125</f>
        <v>0</v>
      </c>
      <c r="W125" s="2738" t="s">
        <v>1836</v>
      </c>
      <c r="X125" s="2739"/>
      <c r="Y125" s="30">
        <f>SUM(Y121:Y124)</f>
        <v>0</v>
      </c>
      <c r="Z125" s="31">
        <v>0.8</v>
      </c>
      <c r="AA125" s="32">
        <f>Y125/Z125</f>
        <v>0</v>
      </c>
      <c r="AB125" s="2587" t="s">
        <v>1833</v>
      </c>
      <c r="AC125" s="2588"/>
      <c r="AD125" s="2589"/>
      <c r="AE125" s="21">
        <f>SUM(AE121)</f>
        <v>0.02</v>
      </c>
      <c r="AF125" s="24">
        <v>0.92</v>
      </c>
      <c r="AG125" s="21">
        <f>AE125/AF125</f>
        <v>2.1739130434782608E-2</v>
      </c>
    </row>
    <row r="126" spans="1:33" s="434" customFormat="1" ht="15.75" thickBot="1" x14ac:dyDescent="0.3">
      <c r="A126" s="499"/>
      <c r="B126" s="511"/>
      <c r="C126" s="499"/>
      <c r="D126" s="499"/>
      <c r="E126" s="499"/>
      <c r="F126" s="510"/>
      <c r="G126" s="2583" t="s">
        <v>1961</v>
      </c>
      <c r="H126" s="2583"/>
      <c r="I126" s="2583"/>
      <c r="J126" s="2583"/>
      <c r="K126" s="2583"/>
      <c r="L126" s="2584"/>
      <c r="M126" s="476"/>
      <c r="N126" s="477"/>
      <c r="O126" s="478"/>
      <c r="P126" s="478"/>
      <c r="Q126" s="478"/>
      <c r="R126" s="437"/>
      <c r="S126" s="438"/>
      <c r="T126" s="417"/>
      <c r="U126" s="417"/>
      <c r="V126" s="417"/>
      <c r="W126" s="437"/>
      <c r="X126" s="438"/>
      <c r="Y126" s="417"/>
      <c r="Z126" s="417"/>
      <c r="AA126" s="437"/>
      <c r="AB126" s="475"/>
      <c r="AC126" s="475"/>
      <c r="AD126" s="475"/>
      <c r="AE126" s="475"/>
      <c r="AF126" s="475"/>
      <c r="AG126" s="475"/>
    </row>
    <row r="127" spans="1:33" s="434" customFormat="1" ht="63" customHeight="1" x14ac:dyDescent="0.25">
      <c r="A127" s="499" t="str">
        <f>Итоговая!C167</f>
        <v xml:space="preserve"> ПС 35/10 кВ Маяк </v>
      </c>
      <c r="B127" s="511">
        <f>Итоговая!D167</f>
        <v>6.3</v>
      </c>
      <c r="C127" s="499" t="str">
        <f>Итоговая!E167</f>
        <v>+</v>
      </c>
      <c r="D127" s="499">
        <f>Итоговая!F167</f>
        <v>6.3</v>
      </c>
      <c r="E127" s="499"/>
      <c r="F127" s="510"/>
      <c r="G127" s="436" t="s">
        <v>554</v>
      </c>
      <c r="H127" s="435" t="s">
        <v>555</v>
      </c>
      <c r="I127" s="435" t="s">
        <v>556</v>
      </c>
      <c r="J127" s="435">
        <v>0.77</v>
      </c>
      <c r="K127" s="435"/>
      <c r="L127" s="435"/>
      <c r="M127" s="443" t="s">
        <v>115</v>
      </c>
      <c r="N127" s="443" t="s">
        <v>116</v>
      </c>
      <c r="O127" s="443">
        <v>3.5000000000000003E-2</v>
      </c>
      <c r="P127" s="443"/>
      <c r="Q127" s="443"/>
      <c r="R127" s="445"/>
      <c r="S127" s="445"/>
      <c r="T127" s="445"/>
      <c r="U127" s="445"/>
      <c r="V127" s="445"/>
      <c r="W127" s="445" t="s">
        <v>557</v>
      </c>
      <c r="X127" s="445"/>
      <c r="Y127" s="445">
        <v>2.5</v>
      </c>
      <c r="Z127" s="445"/>
      <c r="AA127" s="479"/>
      <c r="AB127" s="475"/>
      <c r="AC127" s="475"/>
      <c r="AD127" s="475"/>
      <c r="AE127" s="475"/>
      <c r="AF127" s="475"/>
      <c r="AG127" s="475"/>
    </row>
    <row r="128" spans="1:33" s="434" customFormat="1" ht="21" customHeight="1" x14ac:dyDescent="0.25">
      <c r="A128" s="499"/>
      <c r="B128" s="511"/>
      <c r="C128" s="499"/>
      <c r="D128" s="499"/>
      <c r="E128" s="499"/>
      <c r="F128" s="510"/>
      <c r="G128" s="2625" t="s">
        <v>2321</v>
      </c>
      <c r="H128" s="2625"/>
      <c r="I128" s="2625"/>
      <c r="J128" s="2625"/>
      <c r="K128" s="2625"/>
      <c r="L128" s="2625"/>
      <c r="M128" s="443"/>
      <c r="N128" s="443"/>
      <c r="O128" s="443"/>
      <c r="P128" s="443"/>
      <c r="Q128" s="443"/>
      <c r="R128" s="418"/>
      <c r="S128" s="418"/>
      <c r="T128" s="418"/>
      <c r="U128" s="418"/>
      <c r="V128" s="418"/>
      <c r="W128" s="418"/>
      <c r="X128" s="418"/>
      <c r="Y128" s="418"/>
      <c r="Z128" s="418"/>
      <c r="AA128" s="474"/>
      <c r="AB128" s="2702" t="s">
        <v>1960</v>
      </c>
      <c r="AC128" s="2703"/>
      <c r="AD128" s="2703"/>
      <c r="AE128" s="2703"/>
      <c r="AF128" s="2703"/>
      <c r="AG128" s="2704"/>
    </row>
    <row r="129" spans="1:33" s="434" customFormat="1" ht="45" customHeight="1" x14ac:dyDescent="0.25">
      <c r="A129" s="499"/>
      <c r="B129" s="511"/>
      <c r="C129" s="499"/>
      <c r="D129" s="499"/>
      <c r="E129" s="499"/>
      <c r="F129" s="510"/>
      <c r="G129" s="448" t="s">
        <v>558</v>
      </c>
      <c r="H129" s="414" t="s">
        <v>559</v>
      </c>
      <c r="I129" s="414" t="s">
        <v>560</v>
      </c>
      <c r="J129" s="414">
        <v>0.74</v>
      </c>
      <c r="K129" s="435"/>
      <c r="L129" s="435"/>
      <c r="M129" s="443"/>
      <c r="N129" s="443"/>
      <c r="O129" s="443"/>
      <c r="P129" s="443"/>
      <c r="Q129" s="443"/>
      <c r="R129" s="418"/>
      <c r="S129" s="418"/>
      <c r="T129" s="418"/>
      <c r="U129" s="418"/>
      <c r="V129" s="418"/>
      <c r="W129" s="418"/>
      <c r="X129" s="418"/>
      <c r="Y129" s="418"/>
      <c r="Z129" s="418"/>
      <c r="AA129" s="433"/>
      <c r="AB129" s="472" t="s">
        <v>2496</v>
      </c>
      <c r="AC129" s="472" t="s">
        <v>2497</v>
      </c>
      <c r="AD129" s="472" t="s">
        <v>2498</v>
      </c>
      <c r="AE129" s="472">
        <v>1.25</v>
      </c>
      <c r="AF129" s="472"/>
      <c r="AG129" s="472"/>
    </row>
    <row r="130" spans="1:33" ht="24" customHeight="1" thickBot="1" x14ac:dyDescent="0.3">
      <c r="A130" s="503"/>
      <c r="B130" s="516"/>
      <c r="C130" s="503"/>
      <c r="D130" s="503"/>
      <c r="E130" s="503"/>
      <c r="F130" s="517"/>
      <c r="G130" s="2578" t="s">
        <v>1833</v>
      </c>
      <c r="H130" s="2578"/>
      <c r="I130" s="2579"/>
      <c r="J130" s="13">
        <f>SUM(0)</f>
        <v>0</v>
      </c>
      <c r="K130" s="14">
        <v>0.92</v>
      </c>
      <c r="L130" s="13">
        <f>J130/K130</f>
        <v>0</v>
      </c>
      <c r="M130" s="2577" t="s">
        <v>1834</v>
      </c>
      <c r="N130" s="2579"/>
      <c r="O130" s="13">
        <f>SUM(O127:O129)</f>
        <v>3.5000000000000003E-2</v>
      </c>
      <c r="P130" s="14">
        <v>0.92</v>
      </c>
      <c r="Q130" s="13">
        <f>O130/P130</f>
        <v>3.8043478260869568E-2</v>
      </c>
      <c r="R130" s="2738" t="s">
        <v>1835</v>
      </c>
      <c r="S130" s="2739"/>
      <c r="T130" s="30">
        <f>SUM(T127:T129)</f>
        <v>0</v>
      </c>
      <c r="U130" s="31">
        <v>0.8</v>
      </c>
      <c r="V130" s="30">
        <f>T130/U130</f>
        <v>0</v>
      </c>
      <c r="W130" s="2738" t="s">
        <v>1836</v>
      </c>
      <c r="X130" s="2739"/>
      <c r="Y130" s="30">
        <f>SUM(Y127:Y129)</f>
        <v>2.5</v>
      </c>
      <c r="Z130" s="31">
        <v>0.8</v>
      </c>
      <c r="AA130" s="32">
        <f>Y130/Z130</f>
        <v>3.125</v>
      </c>
      <c r="AB130" s="2577" t="s">
        <v>1833</v>
      </c>
      <c r="AC130" s="2578"/>
      <c r="AD130" s="2579"/>
      <c r="AE130" s="13" t="e">
        <f>SUM(#REF!)</f>
        <v>#REF!</v>
      </c>
      <c r="AF130" s="14">
        <v>0.92</v>
      </c>
      <c r="AG130" s="13" t="e">
        <f>AE130/AF130</f>
        <v>#REF!</v>
      </c>
    </row>
    <row r="131" spans="1:33" ht="24" customHeight="1" x14ac:dyDescent="0.25">
      <c r="A131" s="2687" t="str">
        <f>Итоговая!C168</f>
        <v xml:space="preserve"> ПС 35/10 кВ Микрорайонная </v>
      </c>
      <c r="B131" s="2689">
        <f>Итоговая!D168</f>
        <v>4</v>
      </c>
      <c r="C131" s="2691" t="str">
        <f>Итоговая!E168</f>
        <v>+</v>
      </c>
      <c r="D131" s="2691">
        <f>Итоговая!F168</f>
        <v>4</v>
      </c>
      <c r="E131" s="2691"/>
      <c r="F131" s="2687"/>
      <c r="G131" s="2655" t="s">
        <v>2032</v>
      </c>
      <c r="H131" s="2655"/>
      <c r="I131" s="2655"/>
      <c r="J131" s="2655"/>
      <c r="K131" s="2655"/>
      <c r="L131" s="2656"/>
      <c r="M131" s="646"/>
      <c r="N131" s="312"/>
      <c r="O131" s="69"/>
      <c r="P131" s="69"/>
      <c r="Q131" s="69"/>
      <c r="R131" s="110"/>
      <c r="S131" s="111"/>
      <c r="T131" s="138"/>
      <c r="U131" s="39"/>
      <c r="V131" s="138"/>
      <c r="W131" s="110"/>
      <c r="X131" s="111"/>
      <c r="Y131" s="138"/>
      <c r="Z131" s="39"/>
      <c r="AA131" s="139"/>
      <c r="AB131" s="581"/>
      <c r="AC131" s="40"/>
      <c r="AD131" s="41"/>
      <c r="AE131" s="160"/>
      <c r="AF131" s="128"/>
      <c r="AG131" s="160"/>
    </row>
    <row r="132" spans="1:33" ht="69" customHeight="1" x14ac:dyDescent="0.25">
      <c r="A132" s="2688"/>
      <c r="B132" s="2690"/>
      <c r="C132" s="2692"/>
      <c r="D132" s="2692"/>
      <c r="E132" s="2692"/>
      <c r="F132" s="2688"/>
      <c r="G132" s="1" t="s">
        <v>2166</v>
      </c>
      <c r="H132" s="1" t="s">
        <v>2167</v>
      </c>
      <c r="I132" s="1" t="s">
        <v>2265</v>
      </c>
      <c r="J132" s="1">
        <v>0.04</v>
      </c>
      <c r="K132" s="1"/>
      <c r="L132" s="22"/>
      <c r="M132" s="1268"/>
      <c r="N132" s="1268"/>
      <c r="O132" s="22"/>
      <c r="P132" s="22"/>
      <c r="Q132" s="22"/>
      <c r="R132" s="11" t="s">
        <v>561</v>
      </c>
      <c r="S132" s="11" t="s">
        <v>562</v>
      </c>
      <c r="T132" s="11">
        <v>7.0000000000000007E-2</v>
      </c>
      <c r="U132" s="11"/>
      <c r="V132" s="11"/>
      <c r="W132" s="11"/>
      <c r="X132" s="11"/>
      <c r="Y132" s="11"/>
      <c r="Z132" s="11"/>
      <c r="AA132" s="11"/>
      <c r="AB132" s="1"/>
      <c r="AC132" s="1"/>
      <c r="AD132" s="1"/>
      <c r="AE132" s="1"/>
      <c r="AF132" s="1"/>
      <c r="AG132" s="22"/>
    </row>
    <row r="133" spans="1:33" ht="28.5" customHeight="1" x14ac:dyDescent="0.25">
      <c r="A133" s="885"/>
      <c r="B133" s="875"/>
      <c r="C133" s="874"/>
      <c r="D133" s="874"/>
      <c r="E133" s="874"/>
      <c r="F133" s="879"/>
      <c r="G133" s="2625" t="s">
        <v>3019</v>
      </c>
      <c r="H133" s="2625"/>
      <c r="I133" s="2625"/>
      <c r="J133" s="2625"/>
      <c r="K133" s="2625"/>
      <c r="L133" s="2625"/>
      <c r="M133" s="1"/>
      <c r="N133" s="1"/>
      <c r="O133" s="1"/>
      <c r="P133" s="1"/>
      <c r="Q133" s="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"/>
      <c r="AC133" s="1"/>
      <c r="AD133" s="1"/>
      <c r="AE133" s="1"/>
      <c r="AF133" s="1"/>
      <c r="AG133" s="22"/>
    </row>
    <row r="134" spans="1:33" ht="35.25" customHeight="1" x14ac:dyDescent="0.25">
      <c r="A134" s="884"/>
      <c r="B134" s="875"/>
      <c r="C134" s="874"/>
      <c r="D134" s="874"/>
      <c r="E134" s="886"/>
      <c r="F134" s="887"/>
      <c r="G134" s="9" t="s">
        <v>2957</v>
      </c>
      <c r="H134" s="9" t="s">
        <v>2958</v>
      </c>
      <c r="I134" s="9" t="s">
        <v>3018</v>
      </c>
      <c r="J134" s="9">
        <f>0.03*0.9</f>
        <v>2.7E-2</v>
      </c>
      <c r="K134" s="1"/>
      <c r="L134" s="22"/>
      <c r="M134" s="1"/>
      <c r="N134" s="1"/>
      <c r="O134" s="1"/>
      <c r="P134" s="1"/>
      <c r="Q134" s="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"/>
      <c r="AC134" s="1"/>
      <c r="AD134" s="1"/>
      <c r="AE134" s="1"/>
      <c r="AF134" s="1"/>
      <c r="AG134" s="22"/>
    </row>
    <row r="135" spans="1:33" ht="35.25" customHeight="1" x14ac:dyDescent="0.25">
      <c r="A135" s="1298"/>
      <c r="B135" s="1299"/>
      <c r="C135" s="1300"/>
      <c r="D135" s="1300"/>
      <c r="E135" s="1307"/>
      <c r="F135" s="1308"/>
      <c r="G135" s="2625" t="s">
        <v>3405</v>
      </c>
      <c r="H135" s="2625"/>
      <c r="I135" s="2625"/>
      <c r="J135" s="2625"/>
      <c r="K135" s="2625"/>
      <c r="L135" s="2625"/>
      <c r="M135" s="1286"/>
      <c r="N135" s="1285"/>
      <c r="O135" s="1293"/>
      <c r="P135" s="1293"/>
      <c r="Q135" s="1293"/>
      <c r="R135" s="1301"/>
      <c r="S135" s="1302"/>
      <c r="T135" s="34"/>
      <c r="U135" s="34"/>
      <c r="V135" s="34"/>
      <c r="W135" s="1301"/>
      <c r="X135" s="1302"/>
      <c r="Y135" s="34"/>
      <c r="Z135" s="34"/>
      <c r="AA135" s="1301"/>
      <c r="AB135" s="1286"/>
      <c r="AC135" s="1284"/>
      <c r="AD135" s="1285"/>
      <c r="AE135" s="1293"/>
      <c r="AF135" s="1293"/>
      <c r="AG135" s="62"/>
    </row>
    <row r="136" spans="1:33" ht="35.25" customHeight="1" x14ac:dyDescent="0.25">
      <c r="A136" s="1298"/>
      <c r="B136" s="1299"/>
      <c r="C136" s="1300"/>
      <c r="D136" s="1300"/>
      <c r="E136" s="1307"/>
      <c r="F136" s="1308"/>
      <c r="G136" s="1297" t="s">
        <v>2166</v>
      </c>
      <c r="H136" s="1297" t="s">
        <v>3475</v>
      </c>
      <c r="I136" s="1295" t="s">
        <v>3501</v>
      </c>
      <c r="J136" s="1294">
        <f>0.023*0.9</f>
        <v>2.07E-2</v>
      </c>
      <c r="K136" s="1293"/>
      <c r="L136" s="62"/>
      <c r="M136" s="1286"/>
      <c r="N136" s="1285"/>
      <c r="O136" s="1293"/>
      <c r="P136" s="1293"/>
      <c r="Q136" s="1293"/>
      <c r="R136" s="1301"/>
      <c r="S136" s="1302"/>
      <c r="T136" s="34"/>
      <c r="U136" s="34"/>
      <c r="V136" s="34"/>
      <c r="W136" s="1301"/>
      <c r="X136" s="1302"/>
      <c r="Y136" s="34"/>
      <c r="Z136" s="34"/>
      <c r="AA136" s="1301"/>
      <c r="AB136" s="1286"/>
      <c r="AC136" s="1284"/>
      <c r="AD136" s="1285"/>
      <c r="AE136" s="1293"/>
      <c r="AF136" s="1293"/>
      <c r="AG136" s="62"/>
    </row>
    <row r="137" spans="1:33" ht="35.25" customHeight="1" x14ac:dyDescent="0.25">
      <c r="A137" s="1602"/>
      <c r="B137" s="1603"/>
      <c r="C137" s="1604"/>
      <c r="D137" s="1604"/>
      <c r="E137" s="1616"/>
      <c r="F137" s="1617"/>
      <c r="G137" s="2695" t="s">
        <v>3401</v>
      </c>
      <c r="H137" s="2696"/>
      <c r="I137" s="2697"/>
      <c r="J137" s="1197">
        <f>0.1945*0.9</f>
        <v>0.17505000000000001</v>
      </c>
      <c r="K137" s="1600"/>
      <c r="L137" s="62"/>
      <c r="M137" s="1591"/>
      <c r="N137" s="1590"/>
      <c r="O137" s="1600"/>
      <c r="P137" s="1600"/>
      <c r="Q137" s="1600"/>
      <c r="R137" s="1605"/>
      <c r="S137" s="1606"/>
      <c r="T137" s="34"/>
      <c r="U137" s="34"/>
      <c r="V137" s="34"/>
      <c r="W137" s="1605"/>
      <c r="X137" s="1606"/>
      <c r="Y137" s="34"/>
      <c r="Z137" s="34"/>
      <c r="AA137" s="1605"/>
      <c r="AB137" s="1591"/>
      <c r="AC137" s="1589"/>
      <c r="AD137" s="1590"/>
      <c r="AE137" s="1600"/>
      <c r="AF137" s="1600"/>
      <c r="AG137" s="62"/>
    </row>
    <row r="138" spans="1:33" ht="35.25" customHeight="1" x14ac:dyDescent="0.25">
      <c r="A138" s="2078"/>
      <c r="B138" s="2079"/>
      <c r="C138" s="2080"/>
      <c r="D138" s="2080"/>
      <c r="E138" s="2098"/>
      <c r="F138" s="2099"/>
      <c r="G138" s="2625" t="s">
        <v>17067</v>
      </c>
      <c r="H138" s="2625"/>
      <c r="I138" s="2625"/>
      <c r="J138" s="2625"/>
      <c r="K138" s="2625"/>
      <c r="L138" s="2625"/>
      <c r="M138" s="2060"/>
      <c r="N138" s="2061"/>
      <c r="O138" s="2070"/>
      <c r="P138" s="2070"/>
      <c r="Q138" s="2070"/>
      <c r="R138" s="2081"/>
      <c r="S138" s="2082"/>
      <c r="T138" s="34"/>
      <c r="U138" s="34"/>
      <c r="V138" s="34"/>
      <c r="W138" s="2081"/>
      <c r="X138" s="2082"/>
      <c r="Y138" s="34"/>
      <c r="Z138" s="34"/>
      <c r="AA138" s="2081"/>
      <c r="AB138" s="2060"/>
      <c r="AC138" s="2062"/>
      <c r="AD138" s="2061"/>
      <c r="AE138" s="2070"/>
      <c r="AF138" s="2070"/>
      <c r="AG138" s="62"/>
    </row>
    <row r="139" spans="1:33" ht="35.25" customHeight="1" x14ac:dyDescent="0.25">
      <c r="A139" s="2078"/>
      <c r="B139" s="2079"/>
      <c r="C139" s="2080"/>
      <c r="D139" s="2080"/>
      <c r="E139" s="2098"/>
      <c r="F139" s="2099"/>
      <c r="G139" s="355" t="s">
        <v>3235</v>
      </c>
      <c r="H139" s="355" t="s">
        <v>19889</v>
      </c>
      <c r="I139" s="355" t="s">
        <v>19890</v>
      </c>
      <c r="J139" s="2343">
        <f>(0.05-0.015)*0.9</f>
        <v>3.1500000000000007E-2</v>
      </c>
      <c r="K139" s="2343"/>
      <c r="L139" s="2343"/>
      <c r="M139" s="2060"/>
      <c r="N139" s="2061"/>
      <c r="O139" s="2070"/>
      <c r="P139" s="2070"/>
      <c r="Q139" s="2070"/>
      <c r="R139" s="2081"/>
      <c r="S139" s="2082"/>
      <c r="T139" s="34"/>
      <c r="U139" s="34"/>
      <c r="V139" s="34"/>
      <c r="W139" s="2081"/>
      <c r="X139" s="2082"/>
      <c r="Y139" s="34"/>
      <c r="Z139" s="34"/>
      <c r="AA139" s="2081"/>
      <c r="AB139" s="2060"/>
      <c r="AC139" s="2062"/>
      <c r="AD139" s="2061"/>
      <c r="AE139" s="2070"/>
      <c r="AF139" s="2070"/>
      <c r="AG139" s="62"/>
    </row>
    <row r="140" spans="1:33" ht="35.25" customHeight="1" x14ac:dyDescent="0.25">
      <c r="A140" s="2078"/>
      <c r="B140" s="2079"/>
      <c r="C140" s="2080"/>
      <c r="D140" s="2080"/>
      <c r="E140" s="2098"/>
      <c r="F140" s="2099"/>
      <c r="G140" s="355" t="s">
        <v>19898</v>
      </c>
      <c r="H140" s="355" t="s">
        <v>19899</v>
      </c>
      <c r="I140" s="355" t="s">
        <v>19900</v>
      </c>
      <c r="J140" s="2343">
        <f>(0.21-0.11)*0.15</f>
        <v>1.4999999999999998E-2</v>
      </c>
      <c r="K140" s="2343"/>
      <c r="L140" s="2343"/>
      <c r="M140" s="2060"/>
      <c r="N140" s="2061"/>
      <c r="O140" s="2070"/>
      <c r="P140" s="2070"/>
      <c r="Q140" s="2070"/>
      <c r="R140" s="2081"/>
      <c r="S140" s="2082"/>
      <c r="T140" s="34"/>
      <c r="U140" s="34"/>
      <c r="V140" s="34"/>
      <c r="W140" s="2081"/>
      <c r="X140" s="2082"/>
      <c r="Y140" s="34"/>
      <c r="Z140" s="34"/>
      <c r="AA140" s="2081"/>
      <c r="AB140" s="2060"/>
      <c r="AC140" s="2062"/>
      <c r="AD140" s="2061"/>
      <c r="AE140" s="2070"/>
      <c r="AF140" s="2070"/>
      <c r="AG140" s="62"/>
    </row>
    <row r="141" spans="1:33" ht="15.75" thickBot="1" x14ac:dyDescent="0.3">
      <c r="A141" s="525"/>
      <c r="B141" s="504"/>
      <c r="C141" s="505"/>
      <c r="D141" s="505"/>
      <c r="E141" s="505"/>
      <c r="F141" s="506"/>
      <c r="G141" s="2578" t="s">
        <v>1833</v>
      </c>
      <c r="H141" s="2578"/>
      <c r="I141" s="2579"/>
      <c r="J141" s="13">
        <f>SUM(J134:J140)</f>
        <v>0.26925000000000004</v>
      </c>
      <c r="K141" s="14">
        <v>0.92</v>
      </c>
      <c r="L141" s="13">
        <f>J141/K141</f>
        <v>0.29266304347826089</v>
      </c>
      <c r="M141" s="2577" t="s">
        <v>1834</v>
      </c>
      <c r="N141" s="2579"/>
      <c r="O141" s="13">
        <f>SUM(O132:O132)</f>
        <v>0</v>
      </c>
      <c r="P141" s="14">
        <v>0.92</v>
      </c>
      <c r="Q141" s="13">
        <f>O141/P141</f>
        <v>0</v>
      </c>
      <c r="R141" s="2738" t="s">
        <v>1835</v>
      </c>
      <c r="S141" s="2739"/>
      <c r="T141" s="30">
        <f>SUM(T132:T132)</f>
        <v>7.0000000000000007E-2</v>
      </c>
      <c r="U141" s="31">
        <v>0.8</v>
      </c>
      <c r="V141" s="30">
        <f>T141/U141</f>
        <v>8.7500000000000008E-2</v>
      </c>
      <c r="W141" s="2738" t="s">
        <v>1836</v>
      </c>
      <c r="X141" s="2739"/>
      <c r="Y141" s="30">
        <f>SUM(Y132:Y132)</f>
        <v>0</v>
      </c>
      <c r="Z141" s="31">
        <v>0.8</v>
      </c>
      <c r="AA141" s="32">
        <f>Y141/Z141</f>
        <v>0</v>
      </c>
      <c r="AB141" s="2587" t="s">
        <v>1833</v>
      </c>
      <c r="AC141" s="2588"/>
      <c r="AD141" s="2589"/>
      <c r="AE141" s="21">
        <f>SUM(AE132:AE132)</f>
        <v>0</v>
      </c>
      <c r="AF141" s="24">
        <v>0.92</v>
      </c>
      <c r="AG141" s="21">
        <f>AE141/AF141</f>
        <v>0</v>
      </c>
    </row>
    <row r="142" spans="1:33" s="434" customFormat="1" x14ac:dyDescent="0.25">
      <c r="A142" s="526"/>
      <c r="B142" s="533"/>
      <c r="C142" s="533"/>
      <c r="D142" s="533"/>
      <c r="E142" s="533"/>
      <c r="F142" s="534"/>
      <c r="G142" s="2583" t="s">
        <v>1959</v>
      </c>
      <c r="H142" s="2583"/>
      <c r="I142" s="2583"/>
      <c r="J142" s="2583"/>
      <c r="K142" s="2583"/>
      <c r="L142" s="2584"/>
      <c r="M142" s="476"/>
      <c r="N142" s="477"/>
      <c r="O142" s="478"/>
      <c r="P142" s="478"/>
      <c r="Q142" s="478"/>
      <c r="R142" s="437"/>
      <c r="S142" s="438"/>
      <c r="T142" s="417"/>
      <c r="U142" s="417"/>
      <c r="V142" s="417"/>
      <c r="W142" s="437"/>
      <c r="X142" s="438"/>
      <c r="Y142" s="417"/>
      <c r="Z142" s="417"/>
      <c r="AA142" s="437"/>
      <c r="AB142" s="2727"/>
      <c r="AC142" s="2727"/>
      <c r="AD142" s="2727"/>
      <c r="AE142" s="2727"/>
      <c r="AF142" s="2727"/>
      <c r="AG142" s="2727"/>
    </row>
    <row r="143" spans="1:33" s="434" customFormat="1" ht="65.25" customHeight="1" x14ac:dyDescent="0.25">
      <c r="A143" s="528" t="str">
        <f>Итоговая!C169</f>
        <v>ПС 35/10 кВ Нагорское</v>
      </c>
      <c r="B143" s="499">
        <f>Итоговая!D169</f>
        <v>2.5</v>
      </c>
      <c r="C143" s="499" t="str">
        <f>Итоговая!E169</f>
        <v>+</v>
      </c>
      <c r="D143" s="499">
        <f>Итоговая!F169</f>
        <v>1.8</v>
      </c>
      <c r="E143" s="499"/>
      <c r="F143" s="510"/>
      <c r="G143" s="455" t="s">
        <v>1228</v>
      </c>
      <c r="H143" s="450" t="s">
        <v>1229</v>
      </c>
      <c r="I143" s="606" t="s">
        <v>2293</v>
      </c>
      <c r="J143" s="450">
        <f>0.03-0.006</f>
        <v>2.4E-2</v>
      </c>
      <c r="K143" s="435"/>
      <c r="L143" s="435"/>
      <c r="M143" s="414"/>
      <c r="N143" s="414"/>
      <c r="O143" s="414"/>
      <c r="P143" s="414"/>
      <c r="Q143" s="414"/>
      <c r="R143" s="481"/>
      <c r="S143" s="482"/>
      <c r="T143" s="483"/>
      <c r="U143" s="417"/>
      <c r="V143" s="417"/>
      <c r="W143" s="437"/>
      <c r="X143" s="438"/>
      <c r="Y143" s="417"/>
      <c r="Z143" s="417"/>
      <c r="AA143" s="437"/>
      <c r="AB143" s="414"/>
      <c r="AC143" s="414"/>
      <c r="AD143" s="480"/>
      <c r="AE143" s="414"/>
      <c r="AF143" s="414"/>
      <c r="AG143" s="414"/>
    </row>
    <row r="144" spans="1:33" s="434" customFormat="1" ht="16.5" customHeight="1" x14ac:dyDescent="0.25">
      <c r="A144" s="528"/>
      <c r="B144" s="499"/>
      <c r="C144" s="499"/>
      <c r="D144" s="499"/>
      <c r="E144" s="499"/>
      <c r="F144" s="510"/>
      <c r="G144" s="2625" t="s">
        <v>2033</v>
      </c>
      <c r="H144" s="2625"/>
      <c r="I144" s="2625"/>
      <c r="J144" s="2625"/>
      <c r="K144" s="2625"/>
      <c r="L144" s="2625"/>
      <c r="M144" s="414"/>
      <c r="N144" s="414"/>
      <c r="O144" s="414"/>
      <c r="P144" s="414"/>
      <c r="Q144" s="414"/>
      <c r="R144" s="481"/>
      <c r="S144" s="482"/>
      <c r="T144" s="483"/>
      <c r="U144" s="417"/>
      <c r="V144" s="417"/>
      <c r="W144" s="437"/>
      <c r="X144" s="438"/>
      <c r="Y144" s="417"/>
      <c r="Z144" s="417"/>
      <c r="AA144" s="437"/>
      <c r="AB144" s="2727"/>
      <c r="AC144" s="2727"/>
      <c r="AD144" s="2727"/>
      <c r="AE144" s="2727"/>
      <c r="AF144" s="2727"/>
      <c r="AG144" s="2727"/>
    </row>
    <row r="145" spans="1:33" s="434" customFormat="1" ht="65.25" customHeight="1" x14ac:dyDescent="0.25">
      <c r="A145" s="587"/>
      <c r="B145" s="582"/>
      <c r="C145" s="582"/>
      <c r="D145" s="582"/>
      <c r="E145" s="582"/>
      <c r="F145" s="586"/>
      <c r="G145" s="442" t="s">
        <v>610</v>
      </c>
      <c r="H145" s="443" t="s">
        <v>611</v>
      </c>
      <c r="I145" s="584" t="s">
        <v>2234</v>
      </c>
      <c r="J145" s="414">
        <v>0.25</v>
      </c>
      <c r="K145" s="443"/>
      <c r="L145" s="443"/>
      <c r="M145" s="584"/>
      <c r="N145" s="584"/>
      <c r="O145" s="584"/>
      <c r="P145" s="584"/>
      <c r="Q145" s="584"/>
      <c r="R145" s="481"/>
      <c r="S145" s="482"/>
      <c r="T145" s="483"/>
      <c r="U145" s="417"/>
      <c r="V145" s="417"/>
      <c r="W145" s="437"/>
      <c r="X145" s="438"/>
      <c r="Y145" s="417"/>
      <c r="Z145" s="417"/>
      <c r="AA145" s="437"/>
      <c r="AB145" s="584"/>
      <c r="AC145" s="584"/>
      <c r="AD145" s="584"/>
      <c r="AE145" s="584"/>
      <c r="AF145" s="584"/>
      <c r="AG145" s="584"/>
    </row>
    <row r="146" spans="1:33" s="434" customFormat="1" ht="56.25" customHeight="1" x14ac:dyDescent="0.25">
      <c r="A146" s="528"/>
      <c r="B146" s="499"/>
      <c r="C146" s="499"/>
      <c r="D146" s="499"/>
      <c r="E146" s="499"/>
      <c r="F146" s="510"/>
      <c r="G146" s="653" t="s">
        <v>2402</v>
      </c>
      <c r="H146" s="489" t="s">
        <v>2403</v>
      </c>
      <c r="I146" s="485" t="s">
        <v>2471</v>
      </c>
      <c r="J146" s="450">
        <v>2.5000000000000001E-2</v>
      </c>
      <c r="K146" s="435"/>
      <c r="L146" s="435"/>
      <c r="M146" s="414"/>
      <c r="N146" s="414"/>
      <c r="O146" s="414"/>
      <c r="P146" s="414"/>
      <c r="Q146" s="414"/>
      <c r="R146" s="481"/>
      <c r="S146" s="482"/>
      <c r="T146" s="483"/>
      <c r="U146" s="417"/>
      <c r="V146" s="417"/>
      <c r="W146" s="437"/>
      <c r="X146" s="438"/>
      <c r="Y146" s="417"/>
      <c r="Z146" s="417"/>
      <c r="AA146" s="437"/>
      <c r="AB146" s="484"/>
      <c r="AC146" s="484"/>
      <c r="AD146" s="480"/>
      <c r="AE146" s="414"/>
      <c r="AF146" s="414"/>
      <c r="AG146" s="414"/>
    </row>
    <row r="147" spans="1:33" s="434" customFormat="1" ht="21" customHeight="1" x14ac:dyDescent="0.25">
      <c r="A147" s="1193"/>
      <c r="B147" s="1190"/>
      <c r="C147" s="1190"/>
      <c r="D147" s="1190"/>
      <c r="E147" s="1190"/>
      <c r="F147" s="1188"/>
      <c r="G147" s="2625" t="s">
        <v>17067</v>
      </c>
      <c r="H147" s="2625"/>
      <c r="I147" s="2625"/>
      <c r="J147" s="2625"/>
      <c r="K147" s="2625"/>
      <c r="L147" s="2625"/>
      <c r="M147" s="601"/>
      <c r="N147" s="455"/>
      <c r="O147" s="450"/>
      <c r="P147" s="450"/>
      <c r="Q147" s="450"/>
      <c r="R147" s="481"/>
      <c r="S147" s="482"/>
      <c r="T147" s="483"/>
      <c r="U147" s="417"/>
      <c r="V147" s="417"/>
      <c r="W147" s="437"/>
      <c r="X147" s="438"/>
      <c r="Y147" s="417"/>
      <c r="Z147" s="417"/>
      <c r="AA147" s="437"/>
      <c r="AB147" s="1206"/>
      <c r="AC147" s="1207"/>
      <c r="AD147" s="485"/>
      <c r="AE147" s="450"/>
      <c r="AF147" s="450"/>
      <c r="AG147" s="450"/>
    </row>
    <row r="148" spans="1:33" s="434" customFormat="1" ht="38.25" customHeight="1" x14ac:dyDescent="0.25">
      <c r="A148" s="1193"/>
      <c r="B148" s="1190"/>
      <c r="C148" s="1190"/>
      <c r="D148" s="1190"/>
      <c r="E148" s="1190"/>
      <c r="F148" s="1188"/>
      <c r="G148" s="2695" t="s">
        <v>3401</v>
      </c>
      <c r="H148" s="2696"/>
      <c r="I148" s="2697"/>
      <c r="J148" s="1197">
        <f>0.146*0.9</f>
        <v>0.13139999999999999</v>
      </c>
      <c r="K148" s="2253"/>
      <c r="L148" s="2253"/>
      <c r="M148" s="601"/>
      <c r="N148" s="455"/>
      <c r="O148" s="450"/>
      <c r="P148" s="450"/>
      <c r="Q148" s="450"/>
      <c r="R148" s="481"/>
      <c r="S148" s="482"/>
      <c r="T148" s="483"/>
      <c r="U148" s="417"/>
      <c r="V148" s="417"/>
      <c r="W148" s="437"/>
      <c r="X148" s="438"/>
      <c r="Y148" s="417"/>
      <c r="Z148" s="417"/>
      <c r="AA148" s="437"/>
      <c r="AB148" s="1206"/>
      <c r="AC148" s="1207"/>
      <c r="AD148" s="485"/>
      <c r="AE148" s="450"/>
      <c r="AF148" s="450"/>
      <c r="AG148" s="450"/>
    </row>
    <row r="149" spans="1:33" s="434" customFormat="1" ht="18" customHeight="1" x14ac:dyDescent="0.25">
      <c r="A149" s="1654"/>
      <c r="B149" s="1640"/>
      <c r="C149" s="1640"/>
      <c r="D149" s="1640"/>
      <c r="E149" s="1640"/>
      <c r="F149" s="1646"/>
      <c r="G149" s="2253"/>
      <c r="H149" s="2253"/>
      <c r="I149" s="2253"/>
      <c r="J149" s="2253"/>
      <c r="K149" s="2253"/>
      <c r="L149" s="2253"/>
      <c r="M149" s="601"/>
      <c r="N149" s="455"/>
      <c r="O149" s="450"/>
      <c r="P149" s="450"/>
      <c r="Q149" s="450"/>
      <c r="R149" s="481"/>
      <c r="S149" s="482"/>
      <c r="T149" s="483"/>
      <c r="U149" s="417"/>
      <c r="V149" s="417"/>
      <c r="W149" s="437"/>
      <c r="X149" s="438"/>
      <c r="Y149" s="417"/>
      <c r="Z149" s="417"/>
      <c r="AA149" s="437"/>
      <c r="AB149" s="1206"/>
      <c r="AC149" s="1207"/>
      <c r="AD149" s="485"/>
      <c r="AE149" s="450"/>
      <c r="AF149" s="450"/>
      <c r="AG149" s="450"/>
    </row>
    <row r="150" spans="1:33" s="434" customFormat="1" ht="38.25" customHeight="1" x14ac:dyDescent="0.25">
      <c r="A150" s="1306"/>
      <c r="B150" s="1300"/>
      <c r="C150" s="1300"/>
      <c r="D150" s="1300"/>
      <c r="E150" s="1300"/>
      <c r="F150" s="1304"/>
      <c r="G150" s="2253"/>
      <c r="H150" s="2253"/>
      <c r="I150" s="2253"/>
      <c r="J150" s="2253"/>
      <c r="K150" s="2253"/>
      <c r="L150" s="2253"/>
      <c r="M150" s="601"/>
      <c r="N150" s="455"/>
      <c r="O150" s="450"/>
      <c r="P150" s="450"/>
      <c r="Q150" s="450"/>
      <c r="R150" s="481"/>
      <c r="S150" s="482"/>
      <c r="T150" s="483"/>
      <c r="U150" s="417"/>
      <c r="V150" s="417"/>
      <c r="W150" s="437"/>
      <c r="X150" s="438"/>
      <c r="Y150" s="417"/>
      <c r="Z150" s="417"/>
      <c r="AA150" s="437"/>
      <c r="AB150" s="1206"/>
      <c r="AC150" s="1207"/>
      <c r="AD150" s="485"/>
      <c r="AE150" s="450"/>
      <c r="AF150" s="450"/>
      <c r="AG150" s="450"/>
    </row>
    <row r="151" spans="1:33" ht="22.5" customHeight="1" thickBot="1" x14ac:dyDescent="0.3">
      <c r="A151" s="529"/>
      <c r="B151" s="503"/>
      <c r="C151" s="503"/>
      <c r="D151" s="503"/>
      <c r="E151" s="503"/>
      <c r="F151" s="517"/>
      <c r="G151" s="2588" t="s">
        <v>1833</v>
      </c>
      <c r="H151" s="2588"/>
      <c r="I151" s="2589"/>
      <c r="J151" s="21">
        <f>SUM(J148:J150)</f>
        <v>0.13139999999999999</v>
      </c>
      <c r="K151" s="24">
        <v>0.92</v>
      </c>
      <c r="L151" s="21">
        <f>J151/K151</f>
        <v>0.14282608695652171</v>
      </c>
      <c r="M151" s="2587" t="s">
        <v>1834</v>
      </c>
      <c r="N151" s="2589"/>
      <c r="O151" s="219">
        <f>SUM(O142:O143)</f>
        <v>0</v>
      </c>
      <c r="P151" s="24">
        <v>0.92</v>
      </c>
      <c r="Q151" s="21">
        <f>O151/P151</f>
        <v>0</v>
      </c>
      <c r="R151" s="2747" t="s">
        <v>1835</v>
      </c>
      <c r="S151" s="2748"/>
      <c r="T151" s="33" t="e">
        <f>SUM(#REF!)</f>
        <v>#REF!</v>
      </c>
      <c r="U151" s="34">
        <v>0.8</v>
      </c>
      <c r="V151" s="33" t="e">
        <f>T151/U151</f>
        <v>#REF!</v>
      </c>
      <c r="W151" s="2747" t="s">
        <v>1836</v>
      </c>
      <c r="X151" s="2748"/>
      <c r="Y151" s="33" t="e">
        <f>SUM(#REF!)</f>
        <v>#REF!</v>
      </c>
      <c r="Z151" s="34">
        <v>0.8</v>
      </c>
      <c r="AA151" s="101" t="e">
        <f>Y151/Z151</f>
        <v>#REF!</v>
      </c>
      <c r="AB151" s="2587" t="s">
        <v>1833</v>
      </c>
      <c r="AC151" s="2588"/>
      <c r="AD151" s="2589"/>
      <c r="AE151" s="21">
        <f>SUM(AE143:AE143,AE146)</f>
        <v>0</v>
      </c>
      <c r="AF151" s="24">
        <v>0.92</v>
      </c>
      <c r="AG151" s="21">
        <f>AE151/AF151</f>
        <v>0</v>
      </c>
    </row>
    <row r="152" spans="1:33" s="434" customFormat="1" x14ac:dyDescent="0.25">
      <c r="A152" s="526"/>
      <c r="B152" s="508"/>
      <c r="C152" s="508"/>
      <c r="D152" s="508"/>
      <c r="E152" s="508"/>
      <c r="F152" s="509"/>
      <c r="G152" s="2583" t="s">
        <v>1960</v>
      </c>
      <c r="H152" s="2583"/>
      <c r="I152" s="2583"/>
      <c r="J152" s="2583"/>
      <c r="K152" s="2583"/>
      <c r="L152" s="2584"/>
      <c r="M152" s="1773"/>
      <c r="N152" s="1774"/>
      <c r="O152" s="1775"/>
      <c r="P152" s="1775"/>
      <c r="Q152" s="1775"/>
      <c r="R152" s="437"/>
      <c r="S152" s="438"/>
      <c r="T152" s="417"/>
      <c r="U152" s="417"/>
      <c r="V152" s="417"/>
      <c r="W152" s="437"/>
      <c r="X152" s="438"/>
      <c r="Y152" s="417"/>
      <c r="Z152" s="417"/>
      <c r="AA152" s="439"/>
      <c r="AB152" s="2728"/>
      <c r="AC152" s="2729"/>
      <c r="AD152" s="2729"/>
      <c r="AE152" s="2729"/>
      <c r="AF152" s="2729"/>
      <c r="AG152" s="2730"/>
    </row>
    <row r="153" spans="1:33" s="434" customFormat="1" ht="36.75" customHeight="1" x14ac:dyDescent="0.25">
      <c r="A153" s="528" t="str">
        <f>Итоговая!C170</f>
        <v>ПС 35/10 кВ Неклюдово</v>
      </c>
      <c r="B153" s="499">
        <f>Итоговая!D170</f>
        <v>1.6</v>
      </c>
      <c r="C153" s="499" t="str">
        <f>Итоговая!E170</f>
        <v>+</v>
      </c>
      <c r="D153" s="499">
        <f>Итоговая!F170</f>
        <v>1.6</v>
      </c>
      <c r="E153" s="499"/>
      <c r="F153" s="510"/>
      <c r="G153" s="442" t="s">
        <v>563</v>
      </c>
      <c r="H153" s="443" t="s">
        <v>564</v>
      </c>
      <c r="I153" s="443" t="s">
        <v>565</v>
      </c>
      <c r="J153" s="443">
        <v>0.06</v>
      </c>
      <c r="K153" s="443"/>
      <c r="L153" s="443"/>
      <c r="M153" s="1751" t="s">
        <v>16695</v>
      </c>
      <c r="N153" s="1751" t="s">
        <v>16977</v>
      </c>
      <c r="O153" s="1751">
        <v>0.4</v>
      </c>
      <c r="P153" s="1751"/>
      <c r="Q153" s="1751"/>
      <c r="R153" s="301"/>
      <c r="S153" s="301"/>
      <c r="T153" s="301"/>
      <c r="U153" s="301"/>
      <c r="V153" s="301"/>
      <c r="W153" s="301"/>
      <c r="X153" s="301"/>
      <c r="Y153" s="301"/>
      <c r="Z153" s="301"/>
      <c r="AA153" s="301"/>
      <c r="AB153" s="1751"/>
      <c r="AC153" s="1751"/>
      <c r="AD153" s="1751"/>
      <c r="AE153" s="1751"/>
      <c r="AF153" s="1751"/>
      <c r="AG153" s="1751"/>
    </row>
    <row r="154" spans="1:33" s="434" customFormat="1" ht="20.25" customHeight="1" x14ac:dyDescent="0.25">
      <c r="A154" s="1193"/>
      <c r="B154" s="1190"/>
      <c r="C154" s="1190"/>
      <c r="D154" s="1190"/>
      <c r="E154" s="1190"/>
      <c r="F154" s="1188"/>
      <c r="G154" s="2625" t="s">
        <v>3019</v>
      </c>
      <c r="H154" s="2625"/>
      <c r="I154" s="2625"/>
      <c r="J154" s="2625"/>
      <c r="K154" s="2625"/>
      <c r="L154" s="2625"/>
      <c r="M154" s="1751"/>
      <c r="N154" s="1751"/>
      <c r="O154" s="1751"/>
      <c r="P154" s="1751"/>
      <c r="Q154" s="1751"/>
      <c r="R154" s="301"/>
      <c r="S154" s="301"/>
      <c r="T154" s="301"/>
      <c r="U154" s="301"/>
      <c r="V154" s="301"/>
      <c r="W154" s="301"/>
      <c r="X154" s="301"/>
      <c r="Y154" s="301"/>
      <c r="Z154" s="301"/>
      <c r="AA154" s="301"/>
      <c r="AB154" s="1751"/>
      <c r="AC154" s="1751"/>
      <c r="AD154" s="1751"/>
      <c r="AE154" s="1751"/>
      <c r="AF154" s="1751"/>
      <c r="AG154" s="1751"/>
    </row>
    <row r="155" spans="1:33" s="434" customFormat="1" ht="36.75" customHeight="1" x14ac:dyDescent="0.25">
      <c r="A155" s="1193"/>
      <c r="B155" s="1190"/>
      <c r="C155" s="1190"/>
      <c r="D155" s="1190"/>
      <c r="E155" s="1190"/>
      <c r="F155" s="1188"/>
      <c r="G155" s="2699"/>
      <c r="H155" s="2700"/>
      <c r="I155" s="2701"/>
      <c r="J155" s="69"/>
      <c r="K155" s="69"/>
      <c r="L155" s="69"/>
      <c r="M155" s="1751"/>
      <c r="N155" s="1751"/>
      <c r="O155" s="1751"/>
      <c r="P155" s="1751"/>
      <c r="Q155" s="1751"/>
      <c r="R155" s="301"/>
      <c r="S155" s="301"/>
      <c r="T155" s="301"/>
      <c r="U155" s="301"/>
      <c r="V155" s="301"/>
      <c r="W155" s="301"/>
      <c r="X155" s="301"/>
      <c r="Y155" s="301"/>
      <c r="Z155" s="301"/>
      <c r="AA155" s="301"/>
      <c r="AB155" s="1751"/>
      <c r="AC155" s="1751"/>
      <c r="AD155" s="1751"/>
      <c r="AE155" s="1751"/>
      <c r="AF155" s="1751"/>
      <c r="AG155" s="1751"/>
    </row>
    <row r="156" spans="1:33" s="82" customFormat="1" ht="36.75" customHeight="1" x14ac:dyDescent="0.25">
      <c r="A156" s="1769"/>
      <c r="B156" s="1771"/>
      <c r="C156" s="1771"/>
      <c r="D156" s="1771"/>
      <c r="E156" s="1771"/>
      <c r="F156" s="1772"/>
      <c r="G156" s="1751" t="s">
        <v>16695</v>
      </c>
      <c r="H156" s="1751" t="s">
        <v>16696</v>
      </c>
      <c r="I156" s="1744" t="s">
        <v>16866</v>
      </c>
      <c r="J156" s="1744">
        <f>0.4*0.75</f>
        <v>0.30000000000000004</v>
      </c>
      <c r="K156" s="69"/>
      <c r="L156" s="69"/>
      <c r="M156" s="1744"/>
      <c r="N156" s="1744"/>
      <c r="O156" s="1744"/>
      <c r="P156" s="1744"/>
      <c r="Q156" s="1744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1744"/>
      <c r="AC156" s="1744"/>
      <c r="AD156" s="1744"/>
      <c r="AE156" s="1744"/>
      <c r="AF156" s="1744"/>
      <c r="AG156" s="1744"/>
    </row>
    <row r="157" spans="1:33" s="82" customFormat="1" ht="36.75" customHeight="1" x14ac:dyDescent="0.25">
      <c r="A157" s="1769"/>
      <c r="B157" s="1771"/>
      <c r="C157" s="1771"/>
      <c r="D157" s="1771"/>
      <c r="E157" s="1771"/>
      <c r="F157" s="1772"/>
      <c r="G157" s="2625" t="s">
        <v>17067</v>
      </c>
      <c r="H157" s="2625"/>
      <c r="I157" s="2625"/>
      <c r="J157" s="2625"/>
      <c r="K157" s="2625"/>
      <c r="L157" s="2625"/>
      <c r="M157" s="2086"/>
      <c r="N157" s="2088"/>
      <c r="O157" s="62"/>
      <c r="P157" s="62"/>
      <c r="Q157" s="62"/>
      <c r="R157" s="1031"/>
      <c r="S157" s="1213"/>
      <c r="T157" s="731"/>
      <c r="U157" s="731"/>
      <c r="V157" s="731"/>
      <c r="W157" s="1031"/>
      <c r="X157" s="1213"/>
      <c r="Y157" s="731"/>
      <c r="Z157" s="731"/>
      <c r="AA157" s="1031"/>
      <c r="AB157" s="2086"/>
      <c r="AC157" s="2087"/>
      <c r="AD157" s="2088"/>
      <c r="AE157" s="62"/>
      <c r="AF157" s="62"/>
      <c r="AG157" s="62"/>
    </row>
    <row r="158" spans="1:33" s="82" customFormat="1" ht="36.75" customHeight="1" x14ac:dyDescent="0.25">
      <c r="A158" s="1769"/>
      <c r="B158" s="1771"/>
      <c r="C158" s="1771"/>
      <c r="D158" s="1771"/>
      <c r="E158" s="1771"/>
      <c r="F158" s="1772"/>
      <c r="G158" s="699" t="s">
        <v>109</v>
      </c>
      <c r="H158" s="699" t="s">
        <v>19901</v>
      </c>
      <c r="I158" s="2088" t="s">
        <v>19902</v>
      </c>
      <c r="J158" s="62">
        <f>0.09*0.15</f>
        <v>1.35E-2</v>
      </c>
      <c r="K158" s="69"/>
      <c r="L158" s="69"/>
      <c r="M158" s="2086"/>
      <c r="N158" s="2088"/>
      <c r="O158" s="62"/>
      <c r="P158" s="62"/>
      <c r="Q158" s="62"/>
      <c r="R158" s="1031"/>
      <c r="S158" s="1213"/>
      <c r="T158" s="731"/>
      <c r="U158" s="731"/>
      <c r="V158" s="731"/>
      <c r="W158" s="1031"/>
      <c r="X158" s="1213"/>
      <c r="Y158" s="731"/>
      <c r="Z158" s="731"/>
      <c r="AA158" s="1031"/>
      <c r="AB158" s="2086"/>
      <c r="AC158" s="2087"/>
      <c r="AD158" s="2088"/>
      <c r="AE158" s="62"/>
      <c r="AF158" s="62"/>
      <c r="AG158" s="62"/>
    </row>
    <row r="159" spans="1:33" s="82" customFormat="1" ht="36.75" customHeight="1" x14ac:dyDescent="0.25">
      <c r="A159" s="1769"/>
      <c r="B159" s="1771"/>
      <c r="C159" s="1771"/>
      <c r="D159" s="1771"/>
      <c r="E159" s="1771"/>
      <c r="F159" s="1772"/>
      <c r="G159" s="2695" t="s">
        <v>3401</v>
      </c>
      <c r="H159" s="2696"/>
      <c r="I159" s="2697"/>
      <c r="J159" s="1197">
        <f>0.161*0.9</f>
        <v>0.1449</v>
      </c>
      <c r="K159" s="69"/>
      <c r="L159" s="69"/>
      <c r="M159" s="2231"/>
      <c r="N159" s="2233"/>
      <c r="O159" s="62"/>
      <c r="P159" s="62"/>
      <c r="Q159" s="62"/>
      <c r="R159" s="1031"/>
      <c r="S159" s="1213"/>
      <c r="T159" s="731"/>
      <c r="U159" s="731"/>
      <c r="V159" s="731"/>
      <c r="W159" s="1031"/>
      <c r="X159" s="1213"/>
      <c r="Y159" s="731"/>
      <c r="Z159" s="731"/>
      <c r="AA159" s="1031"/>
      <c r="AB159" s="2231"/>
      <c r="AC159" s="2232"/>
      <c r="AD159" s="2233"/>
      <c r="AE159" s="62"/>
      <c r="AF159" s="62"/>
      <c r="AG159" s="62"/>
    </row>
    <row r="160" spans="1:33" ht="24" customHeight="1" thickBot="1" x14ac:dyDescent="0.3">
      <c r="A160" s="529"/>
      <c r="B160" s="503"/>
      <c r="C160" s="503"/>
      <c r="D160" s="503"/>
      <c r="E160" s="503"/>
      <c r="F160" s="517"/>
      <c r="G160" s="2578" t="s">
        <v>1833</v>
      </c>
      <c r="H160" s="2578"/>
      <c r="I160" s="2579"/>
      <c r="J160" s="13">
        <f>SUM(J156:J159)</f>
        <v>0.45840000000000003</v>
      </c>
      <c r="K160" s="14">
        <v>0.92</v>
      </c>
      <c r="L160" s="13">
        <f>J160/K160</f>
        <v>0.49826086956521742</v>
      </c>
      <c r="M160" s="2577" t="s">
        <v>1834</v>
      </c>
      <c r="N160" s="2579"/>
      <c r="O160" s="13">
        <f>SUM(O153:O153)</f>
        <v>0.4</v>
      </c>
      <c r="P160" s="14">
        <v>0.92</v>
      </c>
      <c r="Q160" s="13">
        <f>O160/P160</f>
        <v>0.43478260869565216</v>
      </c>
      <c r="R160" s="2738" t="s">
        <v>1835</v>
      </c>
      <c r="S160" s="2739"/>
      <c r="T160" s="30">
        <f>SUM(T153:T153)</f>
        <v>0</v>
      </c>
      <c r="U160" s="31">
        <v>0.8</v>
      </c>
      <c r="V160" s="30">
        <f>T160/U160</f>
        <v>0</v>
      </c>
      <c r="W160" s="2738" t="s">
        <v>1836</v>
      </c>
      <c r="X160" s="2739"/>
      <c r="Y160" s="30">
        <f>SUM(Y153:Y153)</f>
        <v>0</v>
      </c>
      <c r="Z160" s="31">
        <v>0.8</v>
      </c>
      <c r="AA160" s="32">
        <f>Y160/Z160</f>
        <v>0</v>
      </c>
      <c r="AB160" s="2577" t="s">
        <v>1833</v>
      </c>
      <c r="AC160" s="2578"/>
      <c r="AD160" s="2579"/>
      <c r="AE160" s="13">
        <f>SUM(AE153:AE153)</f>
        <v>0</v>
      </c>
      <c r="AF160" s="14">
        <v>0.92</v>
      </c>
      <c r="AG160" s="13">
        <f>AE160/AF160</f>
        <v>0</v>
      </c>
    </row>
    <row r="161" spans="1:33" s="434" customFormat="1" ht="15.75" thickBot="1" x14ac:dyDescent="0.3">
      <c r="A161" s="509"/>
      <c r="B161" s="508"/>
      <c r="C161" s="508"/>
      <c r="D161" s="508"/>
      <c r="E161" s="508"/>
      <c r="F161" s="509"/>
      <c r="G161" s="2583" t="s">
        <v>1960</v>
      </c>
      <c r="H161" s="2583"/>
      <c r="I161" s="2583"/>
      <c r="J161" s="2583"/>
      <c r="K161" s="2583"/>
      <c r="L161" s="2584"/>
      <c r="M161" s="476"/>
      <c r="N161" s="477"/>
      <c r="O161" s="478"/>
      <c r="P161" s="478"/>
      <c r="Q161" s="478"/>
      <c r="R161" s="437"/>
      <c r="S161" s="438"/>
      <c r="T161" s="417"/>
      <c r="U161" s="417"/>
      <c r="V161" s="417"/>
      <c r="W161" s="437"/>
      <c r="X161" s="438"/>
      <c r="Y161" s="417"/>
      <c r="Z161" s="417"/>
      <c r="AA161" s="439"/>
      <c r="AB161" s="2707"/>
      <c r="AC161" s="2708"/>
      <c r="AD161" s="2708"/>
      <c r="AE161" s="2708"/>
      <c r="AF161" s="2708"/>
      <c r="AG161" s="2709"/>
    </row>
    <row r="162" spans="1:33" s="434" customFormat="1" ht="45" x14ac:dyDescent="0.25">
      <c r="A162" s="510" t="str">
        <f>Итоговая!C171</f>
        <v>ПС 35/10 кВ Нерль</v>
      </c>
      <c r="B162" s="499">
        <f>Итоговая!D171</f>
        <v>4</v>
      </c>
      <c r="C162" s="499" t="str">
        <f>Итоговая!E171</f>
        <v>+</v>
      </c>
      <c r="D162" s="499">
        <f>Итоговая!F171</f>
        <v>2.5</v>
      </c>
      <c r="E162" s="499"/>
      <c r="F162" s="510"/>
      <c r="G162" s="442" t="s">
        <v>1254</v>
      </c>
      <c r="H162" s="443" t="s">
        <v>1255</v>
      </c>
      <c r="I162" s="443" t="s">
        <v>1256</v>
      </c>
      <c r="J162" s="443">
        <v>0.19500000000000001</v>
      </c>
      <c r="K162" s="443"/>
      <c r="L162" s="443"/>
      <c r="M162" s="443" t="s">
        <v>1257</v>
      </c>
      <c r="N162" s="443" t="s">
        <v>1258</v>
      </c>
      <c r="O162" s="443">
        <v>0.55000000000000004</v>
      </c>
      <c r="P162" s="443"/>
      <c r="Q162" s="443"/>
      <c r="R162" s="445"/>
      <c r="S162" s="445"/>
      <c r="T162" s="445"/>
      <c r="U162" s="445"/>
      <c r="V162" s="445"/>
      <c r="W162" s="445"/>
      <c r="X162" s="445"/>
      <c r="Y162" s="445"/>
      <c r="Z162" s="445"/>
      <c r="AA162" s="446"/>
      <c r="AB162" s="443"/>
      <c r="AC162" s="443"/>
      <c r="AD162" s="443"/>
      <c r="AE162" s="443"/>
      <c r="AF162" s="443"/>
      <c r="AG162" s="443"/>
    </row>
    <row r="163" spans="1:33" s="434" customFormat="1" ht="20.25" customHeight="1" x14ac:dyDescent="0.25">
      <c r="A163" s="510"/>
      <c r="B163" s="499"/>
      <c r="C163" s="499"/>
      <c r="D163" s="499"/>
      <c r="E163" s="499"/>
      <c r="F163" s="510"/>
      <c r="G163" s="2625" t="s">
        <v>2640</v>
      </c>
      <c r="H163" s="2625"/>
      <c r="I163" s="2625"/>
      <c r="J163" s="2625"/>
      <c r="K163" s="2625"/>
      <c r="L163" s="2625"/>
      <c r="M163" s="414" t="s">
        <v>1891</v>
      </c>
      <c r="N163" s="414" t="s">
        <v>1259</v>
      </c>
      <c r="O163" s="414">
        <v>0.05</v>
      </c>
      <c r="P163" s="414"/>
      <c r="Q163" s="414"/>
      <c r="R163" s="301"/>
      <c r="S163" s="301"/>
      <c r="T163" s="301"/>
      <c r="U163" s="301"/>
      <c r="V163" s="301"/>
      <c r="W163" s="301"/>
      <c r="X163" s="301"/>
      <c r="Y163" s="301"/>
      <c r="Z163" s="301"/>
      <c r="AA163" s="449"/>
      <c r="AB163" s="475"/>
      <c r="AC163" s="475"/>
      <c r="AD163" s="475"/>
      <c r="AE163" s="414"/>
      <c r="AF163" s="414"/>
      <c r="AG163" s="414"/>
    </row>
    <row r="164" spans="1:33" s="434" customFormat="1" ht="20.25" customHeight="1" x14ac:dyDescent="0.25">
      <c r="A164" s="510"/>
      <c r="B164" s="499"/>
      <c r="C164" s="499"/>
      <c r="D164" s="499"/>
      <c r="E164" s="499"/>
      <c r="F164" s="510"/>
      <c r="G164" s="2702"/>
      <c r="H164" s="2703"/>
      <c r="I164" s="2704"/>
      <c r="J164" s="414"/>
      <c r="K164" s="414"/>
      <c r="L164" s="414"/>
      <c r="M164" s="414" t="s">
        <v>2326</v>
      </c>
      <c r="N164" s="851" t="s">
        <v>2327</v>
      </c>
      <c r="O164" s="414">
        <v>0.1</v>
      </c>
      <c r="P164" s="450"/>
      <c r="Q164" s="450"/>
      <c r="R164" s="451"/>
      <c r="S164" s="452"/>
      <c r="T164" s="453"/>
      <c r="U164" s="453"/>
      <c r="V164" s="453"/>
      <c r="W164" s="451"/>
      <c r="X164" s="452"/>
      <c r="Y164" s="453"/>
      <c r="Z164" s="453"/>
      <c r="AA164" s="486"/>
      <c r="AB164" s="414"/>
      <c r="AC164" s="414"/>
      <c r="AD164" s="414"/>
      <c r="AE164" s="414"/>
      <c r="AF164" s="414"/>
      <c r="AG164" s="414"/>
    </row>
    <row r="165" spans="1:33" s="434" customFormat="1" ht="20.25" customHeight="1" x14ac:dyDescent="0.25">
      <c r="A165" s="853"/>
      <c r="B165" s="850"/>
      <c r="C165" s="850"/>
      <c r="D165" s="850"/>
      <c r="E165" s="850"/>
      <c r="F165" s="853"/>
      <c r="G165" s="2625" t="s">
        <v>3019</v>
      </c>
      <c r="H165" s="2625"/>
      <c r="I165" s="2625"/>
      <c r="J165" s="2625"/>
      <c r="K165" s="2625"/>
      <c r="L165" s="2625"/>
      <c r="M165" s="851" t="s">
        <v>2986</v>
      </c>
      <c r="N165" s="1516" t="s">
        <v>2987</v>
      </c>
      <c r="O165" s="851">
        <f>0.05-0.015</f>
        <v>3.5000000000000003E-2</v>
      </c>
      <c r="P165" s="450"/>
      <c r="Q165" s="450"/>
      <c r="R165" s="451"/>
      <c r="S165" s="452"/>
      <c r="T165" s="453"/>
      <c r="U165" s="453"/>
      <c r="V165" s="453"/>
      <c r="W165" s="451"/>
      <c r="X165" s="452"/>
      <c r="Y165" s="453"/>
      <c r="Z165" s="453"/>
      <c r="AA165" s="486"/>
      <c r="AB165" s="601"/>
      <c r="AC165" s="699"/>
      <c r="AD165" s="455"/>
      <c r="AE165" s="450"/>
      <c r="AF165" s="450"/>
      <c r="AG165" s="450"/>
    </row>
    <row r="166" spans="1:33" s="434" customFormat="1" ht="20.25" customHeight="1" x14ac:dyDescent="0.25">
      <c r="A166" s="1188"/>
      <c r="B166" s="1190"/>
      <c r="C166" s="1190"/>
      <c r="D166" s="1190"/>
      <c r="E166" s="1190"/>
      <c r="F166" s="1188"/>
      <c r="G166" s="2624"/>
      <c r="H166" s="2599"/>
      <c r="I166" s="2600"/>
      <c r="J166" s="62"/>
      <c r="K166" s="62"/>
      <c r="L166" s="62"/>
      <c r="M166" s="601"/>
      <c r="N166" s="455"/>
      <c r="O166" s="450"/>
      <c r="P166" s="450"/>
      <c r="Q166" s="450"/>
      <c r="R166" s="451"/>
      <c r="S166" s="452"/>
      <c r="T166" s="453"/>
      <c r="U166" s="453"/>
      <c r="V166" s="453"/>
      <c r="W166" s="451"/>
      <c r="X166" s="452"/>
      <c r="Y166" s="453"/>
      <c r="Z166" s="453"/>
      <c r="AA166" s="486"/>
      <c r="AB166" s="601"/>
      <c r="AC166" s="699"/>
      <c r="AD166" s="455"/>
      <c r="AE166" s="450"/>
      <c r="AF166" s="450"/>
      <c r="AG166" s="450"/>
    </row>
    <row r="167" spans="1:33" s="434" customFormat="1" ht="20.25" customHeight="1" x14ac:dyDescent="0.25">
      <c r="A167" s="1539"/>
      <c r="B167" s="1537"/>
      <c r="C167" s="1537"/>
      <c r="D167" s="1537"/>
      <c r="E167" s="1537"/>
      <c r="F167" s="1539"/>
      <c r="G167" s="2625" t="s">
        <v>3405</v>
      </c>
      <c r="H167" s="2625"/>
      <c r="I167" s="2625"/>
      <c r="J167" s="2625"/>
      <c r="K167" s="2625"/>
      <c r="L167" s="2625"/>
      <c r="M167" s="601"/>
      <c r="N167" s="455"/>
      <c r="O167" s="450"/>
      <c r="P167" s="450"/>
      <c r="Q167" s="450"/>
      <c r="R167" s="451"/>
      <c r="S167" s="452"/>
      <c r="T167" s="453"/>
      <c r="U167" s="453"/>
      <c r="V167" s="453"/>
      <c r="W167" s="451"/>
      <c r="X167" s="452"/>
      <c r="Y167" s="453"/>
      <c r="Z167" s="453"/>
      <c r="AA167" s="486"/>
      <c r="AB167" s="601"/>
      <c r="AC167" s="699"/>
      <c r="AD167" s="455"/>
      <c r="AE167" s="450"/>
      <c r="AF167" s="450"/>
      <c r="AG167" s="450"/>
    </row>
    <row r="168" spans="1:33" s="434" customFormat="1" ht="20.25" customHeight="1" x14ac:dyDescent="0.25">
      <c r="A168" s="1539"/>
      <c r="B168" s="1537"/>
      <c r="C168" s="1537"/>
      <c r="D168" s="1537"/>
      <c r="E168" s="1537"/>
      <c r="F168" s="1539"/>
      <c r="G168" s="129" t="s">
        <v>15312</v>
      </c>
      <c r="H168" s="130" t="s">
        <v>15313</v>
      </c>
      <c r="I168" s="130" t="s">
        <v>16655</v>
      </c>
      <c r="J168" s="62">
        <f>0.121*0.75</f>
        <v>9.0749999999999997E-2</v>
      </c>
      <c r="K168" s="62"/>
      <c r="L168" s="62"/>
      <c r="M168" s="601"/>
      <c r="N168" s="455"/>
      <c r="O168" s="450"/>
      <c r="P168" s="450"/>
      <c r="Q168" s="450"/>
      <c r="R168" s="451"/>
      <c r="S168" s="452"/>
      <c r="T168" s="453"/>
      <c r="U168" s="453"/>
      <c r="V168" s="453"/>
      <c r="W168" s="451"/>
      <c r="X168" s="452"/>
      <c r="Y168" s="453"/>
      <c r="Z168" s="453"/>
      <c r="AA168" s="486"/>
      <c r="AB168" s="601"/>
      <c r="AC168" s="699"/>
      <c r="AD168" s="455"/>
      <c r="AE168" s="450"/>
      <c r="AF168" s="450"/>
      <c r="AG168" s="450"/>
    </row>
    <row r="169" spans="1:33" s="434" customFormat="1" ht="20.25" customHeight="1" x14ac:dyDescent="0.25">
      <c r="A169" s="1607"/>
      <c r="B169" s="1604"/>
      <c r="C169" s="1604"/>
      <c r="D169" s="1604"/>
      <c r="E169" s="1604"/>
      <c r="F169" s="1607"/>
      <c r="G169" s="2679" t="s">
        <v>3401</v>
      </c>
      <c r="H169" s="2680"/>
      <c r="I169" s="2681"/>
      <c r="J169" s="1197">
        <f>0.219*0.9</f>
        <v>0.1971</v>
      </c>
      <c r="K169" s="62"/>
      <c r="L169" s="62"/>
      <c r="M169" s="601"/>
      <c r="N169" s="455"/>
      <c r="O169" s="450"/>
      <c r="P169" s="450"/>
      <c r="Q169" s="450"/>
      <c r="R169" s="451"/>
      <c r="S169" s="452"/>
      <c r="T169" s="453"/>
      <c r="U169" s="453"/>
      <c r="V169" s="453"/>
      <c r="W169" s="451"/>
      <c r="X169" s="452"/>
      <c r="Y169" s="453"/>
      <c r="Z169" s="453"/>
      <c r="AA169" s="486"/>
      <c r="AB169" s="601"/>
      <c r="AC169" s="699"/>
      <c r="AD169" s="455"/>
      <c r="AE169" s="450"/>
      <c r="AF169" s="450"/>
      <c r="AG169" s="450"/>
    </row>
    <row r="170" spans="1:33" s="434" customFormat="1" ht="20.25" customHeight="1" x14ac:dyDescent="0.25">
      <c r="A170" s="2234"/>
      <c r="B170" s="2222"/>
      <c r="C170" s="2222"/>
      <c r="D170" s="2222"/>
      <c r="E170" s="2222"/>
      <c r="F170" s="2234"/>
      <c r="G170" s="2625" t="s">
        <v>17067</v>
      </c>
      <c r="H170" s="2625"/>
      <c r="I170" s="2625"/>
      <c r="J170" s="2625"/>
      <c r="K170" s="2625"/>
      <c r="L170" s="2625"/>
      <c r="M170" s="601"/>
      <c r="N170" s="455"/>
      <c r="O170" s="450"/>
      <c r="P170" s="450"/>
      <c r="Q170" s="450"/>
      <c r="R170" s="451"/>
      <c r="S170" s="452"/>
      <c r="T170" s="453"/>
      <c r="U170" s="453"/>
      <c r="V170" s="453"/>
      <c r="W170" s="451"/>
      <c r="X170" s="452"/>
      <c r="Y170" s="453"/>
      <c r="Z170" s="453"/>
      <c r="AA170" s="486"/>
      <c r="AB170" s="601"/>
      <c r="AC170" s="699"/>
      <c r="AD170" s="455"/>
      <c r="AE170" s="450"/>
      <c r="AF170" s="450"/>
      <c r="AG170" s="450"/>
    </row>
    <row r="171" spans="1:33" s="434" customFormat="1" ht="20.25" customHeight="1" x14ac:dyDescent="0.25">
      <c r="A171" s="2234"/>
      <c r="B171" s="2222"/>
      <c r="C171" s="2222"/>
      <c r="D171" s="2222"/>
      <c r="E171" s="2222"/>
      <c r="F171" s="2234"/>
      <c r="G171" s="2679" t="s">
        <v>3401</v>
      </c>
      <c r="H171" s="2680"/>
      <c r="I171" s="2681"/>
      <c r="J171" s="1197">
        <f>0.44*0.9</f>
        <v>0.39600000000000002</v>
      </c>
      <c r="K171" s="62"/>
      <c r="L171" s="62"/>
      <c r="M171" s="601"/>
      <c r="N171" s="455"/>
      <c r="O171" s="450"/>
      <c r="P171" s="450"/>
      <c r="Q171" s="450"/>
      <c r="R171" s="451"/>
      <c r="S171" s="452"/>
      <c r="T171" s="453"/>
      <c r="U171" s="453"/>
      <c r="V171" s="453"/>
      <c r="W171" s="451"/>
      <c r="X171" s="452"/>
      <c r="Y171" s="453"/>
      <c r="Z171" s="453"/>
      <c r="AA171" s="486"/>
      <c r="AB171" s="601"/>
      <c r="AC171" s="699"/>
      <c r="AD171" s="455"/>
      <c r="AE171" s="450"/>
      <c r="AF171" s="450"/>
      <c r="AG171" s="450"/>
    </row>
    <row r="172" spans="1:33" ht="16.5" customHeight="1" thickBot="1" x14ac:dyDescent="0.3">
      <c r="A172" s="517"/>
      <c r="B172" s="503"/>
      <c r="C172" s="503"/>
      <c r="D172" s="503"/>
      <c r="E172" s="503"/>
      <c r="F172" s="517"/>
      <c r="G172" s="2578" t="s">
        <v>1833</v>
      </c>
      <c r="H172" s="2578"/>
      <c r="I172" s="2579"/>
      <c r="J172" s="13">
        <f>SUM(J164:J171)</f>
        <v>0.68385000000000007</v>
      </c>
      <c r="K172" s="14">
        <v>0.92</v>
      </c>
      <c r="L172" s="13">
        <f>J172/K172</f>
        <v>0.74331521739130435</v>
      </c>
      <c r="M172" s="2577" t="s">
        <v>1834</v>
      </c>
      <c r="N172" s="2579"/>
      <c r="O172" s="13">
        <f>SUM(O162:O166)</f>
        <v>0.7350000000000001</v>
      </c>
      <c r="P172" s="14">
        <v>0.92</v>
      </c>
      <c r="Q172" s="13">
        <f>O172/P172</f>
        <v>0.79891304347826098</v>
      </c>
      <c r="R172" s="2738" t="s">
        <v>1835</v>
      </c>
      <c r="S172" s="2739"/>
      <c r="T172" s="30">
        <f>SUM(T162:T163)</f>
        <v>0</v>
      </c>
      <c r="U172" s="31">
        <v>0.8</v>
      </c>
      <c r="V172" s="30">
        <f>T172/U172</f>
        <v>0</v>
      </c>
      <c r="W172" s="2738" t="s">
        <v>1836</v>
      </c>
      <c r="X172" s="2739"/>
      <c r="Y172" s="30">
        <f>SUM(Y162:Y163)</f>
        <v>0</v>
      </c>
      <c r="Z172" s="31">
        <v>0.8</v>
      </c>
      <c r="AA172" s="32">
        <f>Y172/Z172</f>
        <v>0</v>
      </c>
      <c r="AB172" s="2577" t="s">
        <v>1833</v>
      </c>
      <c r="AC172" s="2578"/>
      <c r="AD172" s="2579"/>
      <c r="AE172" s="13">
        <f>SUM(AE162:AE163)</f>
        <v>0</v>
      </c>
      <c r="AF172" s="14">
        <v>0.92</v>
      </c>
      <c r="AG172" s="13">
        <f>AE172/AF172</f>
        <v>0</v>
      </c>
    </row>
    <row r="173" spans="1:33" s="434" customFormat="1" ht="19.5" customHeight="1" thickBot="1" x14ac:dyDescent="0.3">
      <c r="A173" s="2693" t="str">
        <f>Итоговая!C172</f>
        <v xml:space="preserve">ПС 35/10 кВ Плутково  </v>
      </c>
      <c r="B173" s="2689">
        <f>Итоговая!D172</f>
        <v>2.5</v>
      </c>
      <c r="C173" s="2691" t="str">
        <f>Итоговая!E172</f>
        <v>+</v>
      </c>
      <c r="D173" s="2691">
        <f>Итоговая!F172</f>
        <v>2.5</v>
      </c>
      <c r="E173" s="508"/>
      <c r="F173" s="509"/>
      <c r="G173" s="2598" t="s">
        <v>1959</v>
      </c>
      <c r="H173" s="2626"/>
      <c r="I173" s="2626"/>
      <c r="J173" s="2626"/>
      <c r="K173" s="2626"/>
      <c r="L173" s="2626"/>
      <c r="M173" s="443" t="s">
        <v>1188</v>
      </c>
      <c r="N173" s="443" t="s">
        <v>1231</v>
      </c>
      <c r="O173" s="443">
        <v>0.74</v>
      </c>
      <c r="P173" s="443"/>
      <c r="Q173" s="443"/>
      <c r="R173" s="437"/>
      <c r="S173" s="438"/>
      <c r="T173" s="417"/>
      <c r="U173" s="417"/>
      <c r="V173" s="417"/>
      <c r="W173" s="437"/>
      <c r="X173" s="438"/>
      <c r="Y173" s="417"/>
      <c r="Z173" s="417"/>
      <c r="AA173" s="439"/>
      <c r="AB173" s="2731"/>
      <c r="AC173" s="2731"/>
      <c r="AD173" s="2731"/>
      <c r="AE173" s="2731"/>
      <c r="AF173" s="2731"/>
      <c r="AG173" s="2731"/>
    </row>
    <row r="174" spans="1:33" s="434" customFormat="1" ht="54.75" customHeight="1" x14ac:dyDescent="0.25">
      <c r="A174" s="2694"/>
      <c r="B174" s="2690"/>
      <c r="C174" s="2692"/>
      <c r="D174" s="2692"/>
      <c r="E174" s="499"/>
      <c r="F174" s="510"/>
      <c r="G174" s="448" t="s">
        <v>1234</v>
      </c>
      <c r="H174" s="414" t="s">
        <v>1235</v>
      </c>
      <c r="I174" s="414" t="s">
        <v>1230</v>
      </c>
      <c r="J174" s="414">
        <v>0.1</v>
      </c>
      <c r="K174" s="414"/>
      <c r="L174" s="414"/>
      <c r="M174" s="414" t="s">
        <v>1236</v>
      </c>
      <c r="N174" s="851" t="s">
        <v>1237</v>
      </c>
      <c r="O174" s="414">
        <v>0.03</v>
      </c>
      <c r="P174" s="414"/>
      <c r="Q174" s="414"/>
      <c r="R174" s="445" t="s">
        <v>1232</v>
      </c>
      <c r="S174" s="445" t="s">
        <v>1233</v>
      </c>
      <c r="T174" s="445">
        <v>0.2</v>
      </c>
      <c r="U174" s="445"/>
      <c r="V174" s="445"/>
      <c r="W174" s="445"/>
      <c r="X174" s="445"/>
      <c r="Y174" s="445"/>
      <c r="Z174" s="445"/>
      <c r="AA174" s="446"/>
      <c r="AB174" s="414"/>
      <c r="AC174" s="414"/>
      <c r="AD174" s="414"/>
      <c r="AE174" s="414"/>
      <c r="AF174" s="414"/>
      <c r="AG174" s="414"/>
    </row>
    <row r="175" spans="1:33" s="434" customFormat="1" ht="59.25" customHeight="1" x14ac:dyDescent="0.25">
      <c r="A175" s="535"/>
      <c r="B175" s="511"/>
      <c r="C175" s="499"/>
      <c r="D175" s="499"/>
      <c r="E175" s="499"/>
      <c r="F175" s="510"/>
      <c r="G175" s="448" t="s">
        <v>1240</v>
      </c>
      <c r="H175" s="414" t="s">
        <v>1235</v>
      </c>
      <c r="I175" s="414" t="s">
        <v>1241</v>
      </c>
      <c r="J175" s="414">
        <v>0.1</v>
      </c>
      <c r="K175" s="414"/>
      <c r="L175" s="414"/>
      <c r="M175" s="414" t="s">
        <v>1236</v>
      </c>
      <c r="N175" s="414" t="s">
        <v>1242</v>
      </c>
      <c r="O175" s="414">
        <v>0.65</v>
      </c>
      <c r="P175" s="414"/>
      <c r="Q175" s="414"/>
      <c r="R175" s="418" t="s">
        <v>1238</v>
      </c>
      <c r="S175" s="418" t="s">
        <v>1239</v>
      </c>
      <c r="T175" s="418">
        <v>0.115</v>
      </c>
      <c r="U175" s="418"/>
      <c r="V175" s="418"/>
      <c r="W175" s="418"/>
      <c r="X175" s="418"/>
      <c r="Y175" s="418"/>
      <c r="Z175" s="418"/>
      <c r="AA175" s="433"/>
      <c r="AB175" s="414"/>
      <c r="AC175" s="414"/>
      <c r="AD175" s="414"/>
      <c r="AE175" s="414"/>
      <c r="AF175" s="414"/>
      <c r="AG175" s="414"/>
    </row>
    <row r="176" spans="1:33" s="434" customFormat="1" ht="66.75" customHeight="1" x14ac:dyDescent="0.25">
      <c r="A176" s="535"/>
      <c r="B176" s="511"/>
      <c r="C176" s="499"/>
      <c r="D176" s="499"/>
      <c r="E176" s="499"/>
      <c r="F176" s="510"/>
      <c r="G176" s="448" t="s">
        <v>117</v>
      </c>
      <c r="H176" s="414" t="s">
        <v>118</v>
      </c>
      <c r="I176" s="480" t="s">
        <v>2303</v>
      </c>
      <c r="J176" s="444">
        <v>0.1</v>
      </c>
      <c r="K176" s="414"/>
      <c r="L176" s="414"/>
      <c r="M176" s="414" t="s">
        <v>1244</v>
      </c>
      <c r="N176" s="851" t="s">
        <v>1245</v>
      </c>
      <c r="O176" s="414">
        <v>0.182</v>
      </c>
      <c r="P176" s="414"/>
      <c r="Q176" s="414"/>
      <c r="R176" s="418" t="s">
        <v>1243</v>
      </c>
      <c r="S176" s="418" t="s">
        <v>1239</v>
      </c>
      <c r="T176" s="418">
        <v>0.115</v>
      </c>
      <c r="U176" s="418"/>
      <c r="V176" s="418"/>
      <c r="W176" s="418"/>
      <c r="X176" s="418"/>
      <c r="Y176" s="418"/>
      <c r="Z176" s="418"/>
      <c r="AA176" s="433"/>
      <c r="AB176" s="414"/>
      <c r="AC176" s="414"/>
      <c r="AD176" s="480"/>
      <c r="AE176" s="444"/>
      <c r="AF176" s="414"/>
      <c r="AG176" s="414"/>
    </row>
    <row r="177" spans="1:33" s="434" customFormat="1" ht="17.25" customHeight="1" x14ac:dyDescent="0.25">
      <c r="A177" s="535"/>
      <c r="B177" s="511"/>
      <c r="C177" s="499"/>
      <c r="D177" s="499"/>
      <c r="E177" s="499"/>
      <c r="F177" s="510"/>
      <c r="G177" s="2612" t="s">
        <v>2032</v>
      </c>
      <c r="H177" s="2625"/>
      <c r="I177" s="2625"/>
      <c r="J177" s="2625"/>
      <c r="K177" s="2625"/>
      <c r="L177" s="2625"/>
      <c r="M177" s="414" t="s">
        <v>1247</v>
      </c>
      <c r="N177" s="414" t="s">
        <v>1248</v>
      </c>
      <c r="O177" s="414">
        <v>0.23</v>
      </c>
      <c r="P177" s="414"/>
      <c r="Q177" s="414"/>
      <c r="R177" s="418"/>
      <c r="S177" s="418"/>
      <c r="T177" s="418"/>
      <c r="U177" s="418"/>
      <c r="V177" s="418"/>
      <c r="W177" s="418"/>
      <c r="X177" s="418"/>
      <c r="Y177" s="418"/>
      <c r="Z177" s="418"/>
      <c r="AA177" s="433"/>
      <c r="AB177" s="2727"/>
      <c r="AC177" s="2727"/>
      <c r="AD177" s="2727"/>
      <c r="AE177" s="2727"/>
      <c r="AF177" s="2727"/>
      <c r="AG177" s="2727"/>
    </row>
    <row r="178" spans="1:33" s="434" customFormat="1" ht="59.25" customHeight="1" x14ac:dyDescent="0.25">
      <c r="A178" s="535"/>
      <c r="B178" s="511"/>
      <c r="C178" s="499"/>
      <c r="D178" s="499"/>
      <c r="E178" s="499"/>
      <c r="F178" s="510"/>
      <c r="G178" s="448" t="s">
        <v>795</v>
      </c>
      <c r="H178" s="414" t="s">
        <v>796</v>
      </c>
      <c r="I178" s="414" t="s">
        <v>2260</v>
      </c>
      <c r="J178" s="444">
        <v>0.04</v>
      </c>
      <c r="K178" s="414"/>
      <c r="L178" s="414"/>
      <c r="M178" s="444" t="s">
        <v>1993</v>
      </c>
      <c r="N178" s="444" t="s">
        <v>1994</v>
      </c>
      <c r="O178" s="444">
        <v>0.1</v>
      </c>
      <c r="P178" s="414"/>
      <c r="Q178" s="414"/>
      <c r="R178" s="301" t="s">
        <v>1244</v>
      </c>
      <c r="S178" s="301" t="s">
        <v>1246</v>
      </c>
      <c r="T178" s="301">
        <v>0.182</v>
      </c>
      <c r="U178" s="301"/>
      <c r="V178" s="301"/>
      <c r="W178" s="301"/>
      <c r="X178" s="301"/>
      <c r="Y178" s="301"/>
      <c r="Z178" s="301"/>
      <c r="AA178" s="449"/>
      <c r="AB178" s="414"/>
      <c r="AC178" s="414"/>
      <c r="AD178" s="414"/>
      <c r="AE178" s="444"/>
      <c r="AF178" s="414"/>
      <c r="AG178" s="414"/>
    </row>
    <row r="179" spans="1:33" s="434" customFormat="1" ht="57" customHeight="1" x14ac:dyDescent="0.25">
      <c r="A179" s="535"/>
      <c r="B179" s="511"/>
      <c r="C179" s="499"/>
      <c r="D179" s="499"/>
      <c r="E179" s="499"/>
      <c r="F179" s="510"/>
      <c r="G179" s="448" t="s">
        <v>33</v>
      </c>
      <c r="H179" s="414" t="s">
        <v>34</v>
      </c>
      <c r="I179" s="414" t="s">
        <v>2284</v>
      </c>
      <c r="J179" s="444">
        <v>0.2</v>
      </c>
      <c r="K179" s="414"/>
      <c r="L179" s="414"/>
      <c r="M179" s="414" t="s">
        <v>787</v>
      </c>
      <c r="N179" s="414" t="s">
        <v>788</v>
      </c>
      <c r="O179" s="444">
        <v>0.1</v>
      </c>
      <c r="P179" s="414"/>
      <c r="Q179" s="414"/>
      <c r="R179" s="451"/>
      <c r="S179" s="452"/>
      <c r="T179" s="453"/>
      <c r="U179" s="453"/>
      <c r="V179" s="453"/>
      <c r="W179" s="451"/>
      <c r="X179" s="452"/>
      <c r="Y179" s="453"/>
      <c r="Z179" s="453"/>
      <c r="AA179" s="486"/>
      <c r="AB179" s="414"/>
      <c r="AC179" s="414"/>
      <c r="AD179" s="414"/>
      <c r="AE179" s="444"/>
      <c r="AF179" s="414"/>
      <c r="AG179" s="414"/>
    </row>
    <row r="180" spans="1:33" s="434" customFormat="1" ht="15.75" customHeight="1" x14ac:dyDescent="0.25">
      <c r="A180" s="535"/>
      <c r="B180" s="511"/>
      <c r="C180" s="499"/>
      <c r="D180" s="499"/>
      <c r="E180" s="499"/>
      <c r="F180" s="510"/>
      <c r="G180" s="2612" t="s">
        <v>2477</v>
      </c>
      <c r="H180" s="2625"/>
      <c r="I180" s="2625"/>
      <c r="J180" s="2625"/>
      <c r="K180" s="2625"/>
      <c r="L180" s="2625"/>
      <c r="M180" s="414" t="s">
        <v>6</v>
      </c>
      <c r="N180" s="414" t="s">
        <v>8</v>
      </c>
      <c r="O180" s="444">
        <v>0.23</v>
      </c>
      <c r="P180" s="414"/>
      <c r="Q180" s="414"/>
      <c r="R180" s="451"/>
      <c r="S180" s="452"/>
      <c r="T180" s="453"/>
      <c r="U180" s="453"/>
      <c r="V180" s="453"/>
      <c r="W180" s="451"/>
      <c r="X180" s="452"/>
      <c r="Y180" s="453"/>
      <c r="Z180" s="453"/>
      <c r="AA180" s="486"/>
      <c r="AB180" s="414"/>
      <c r="AC180" s="414"/>
      <c r="AD180" s="414"/>
      <c r="AE180" s="414"/>
      <c r="AF180" s="414"/>
      <c r="AG180" s="414"/>
    </row>
    <row r="181" spans="1:33" s="434" customFormat="1" ht="60.75" customHeight="1" x14ac:dyDescent="0.25">
      <c r="A181" s="535"/>
      <c r="B181" s="511"/>
      <c r="C181" s="499"/>
      <c r="D181" s="499"/>
      <c r="E181" s="499"/>
      <c r="F181" s="510"/>
      <c r="G181" s="694" t="s">
        <v>2608</v>
      </c>
      <c r="H181" s="694" t="s">
        <v>2685</v>
      </c>
      <c r="I181" s="694" t="s">
        <v>2686</v>
      </c>
      <c r="J181" s="444">
        <v>0.04</v>
      </c>
      <c r="K181" s="414"/>
      <c r="L181" s="414"/>
      <c r="M181" s="414" t="s">
        <v>6</v>
      </c>
      <c r="N181" s="414" t="s">
        <v>7</v>
      </c>
      <c r="O181" s="444">
        <v>0.24</v>
      </c>
      <c r="P181" s="414"/>
      <c r="Q181" s="414"/>
      <c r="R181" s="451"/>
      <c r="S181" s="452"/>
      <c r="T181" s="453"/>
      <c r="U181" s="453"/>
      <c r="V181" s="453"/>
      <c r="W181" s="451"/>
      <c r="X181" s="452"/>
      <c r="Y181" s="453"/>
      <c r="Z181" s="453"/>
      <c r="AA181" s="486"/>
      <c r="AB181" s="414"/>
      <c r="AC181" s="414"/>
      <c r="AD181" s="414"/>
      <c r="AE181" s="414"/>
      <c r="AF181" s="414"/>
      <c r="AG181" s="414"/>
    </row>
    <row r="182" spans="1:33" s="434" customFormat="1" ht="60.75" customHeight="1" x14ac:dyDescent="0.25">
      <c r="A182" s="535"/>
      <c r="B182" s="511"/>
      <c r="C182" s="499"/>
      <c r="D182" s="499"/>
      <c r="E182" s="499"/>
      <c r="F182" s="510"/>
      <c r="G182" s="708" t="s">
        <v>2660</v>
      </c>
      <c r="H182" s="708" t="s">
        <v>2661</v>
      </c>
      <c r="I182" s="708" t="s">
        <v>2702</v>
      </c>
      <c r="J182" s="414">
        <v>0.4</v>
      </c>
      <c r="K182" s="414"/>
      <c r="L182" s="414"/>
      <c r="M182" s="414" t="s">
        <v>15</v>
      </c>
      <c r="N182" s="663" t="s">
        <v>16</v>
      </c>
      <c r="O182" s="444">
        <v>0.2</v>
      </c>
      <c r="P182" s="414"/>
      <c r="Q182" s="414"/>
      <c r="R182" s="451"/>
      <c r="S182" s="452"/>
      <c r="T182" s="453"/>
      <c r="U182" s="453"/>
      <c r="V182" s="453"/>
      <c r="W182" s="451"/>
      <c r="X182" s="452"/>
      <c r="Y182" s="453"/>
      <c r="Z182" s="453"/>
      <c r="AA182" s="486"/>
      <c r="AB182" s="414"/>
      <c r="AC182" s="414"/>
      <c r="AD182" s="414"/>
      <c r="AE182" s="414"/>
      <c r="AF182" s="414"/>
      <c r="AG182" s="414"/>
    </row>
    <row r="183" spans="1:33" s="434" customFormat="1" ht="16.5" customHeight="1" x14ac:dyDescent="0.25">
      <c r="A183" s="535"/>
      <c r="B183" s="511"/>
      <c r="C183" s="499"/>
      <c r="D183" s="499"/>
      <c r="E183" s="499"/>
      <c r="F183" s="510"/>
      <c r="G183" s="2612" t="s">
        <v>17067</v>
      </c>
      <c r="H183" s="2625"/>
      <c r="I183" s="2625"/>
      <c r="J183" s="2625"/>
      <c r="K183" s="2625"/>
      <c r="L183" s="2625"/>
      <c r="M183" s="663"/>
      <c r="N183" s="663"/>
      <c r="O183" s="444"/>
      <c r="P183" s="414"/>
      <c r="Q183" s="414"/>
      <c r="R183" s="451"/>
      <c r="S183" s="452"/>
      <c r="T183" s="453"/>
      <c r="U183" s="453"/>
      <c r="V183" s="453"/>
      <c r="W183" s="451"/>
      <c r="X183" s="452"/>
      <c r="Y183" s="453"/>
      <c r="Z183" s="453"/>
      <c r="AA183" s="486"/>
      <c r="AB183" s="414"/>
      <c r="AC183" s="414"/>
      <c r="AD183" s="414"/>
      <c r="AE183" s="414"/>
      <c r="AF183" s="414"/>
      <c r="AG183" s="414"/>
    </row>
    <row r="184" spans="1:33" s="434" customFormat="1" ht="38.25" customHeight="1" x14ac:dyDescent="0.25">
      <c r="A184" s="535"/>
      <c r="B184" s="511"/>
      <c r="C184" s="499"/>
      <c r="D184" s="499"/>
      <c r="E184" s="499"/>
      <c r="F184" s="510"/>
      <c r="G184" s="2123" t="s">
        <v>19843</v>
      </c>
      <c r="H184" s="2124" t="s">
        <v>19844</v>
      </c>
      <c r="I184" s="314" t="s">
        <v>19845</v>
      </c>
      <c r="J184" s="1954">
        <v>0.03</v>
      </c>
      <c r="K184" s="1954"/>
      <c r="L184" s="1954"/>
      <c r="M184" s="684"/>
      <c r="N184" s="684"/>
      <c r="O184" s="444"/>
      <c r="P184" s="414"/>
      <c r="Q184" s="414"/>
      <c r="R184" s="451"/>
      <c r="S184" s="452"/>
      <c r="T184" s="453"/>
      <c r="U184" s="453"/>
      <c r="V184" s="453"/>
      <c r="W184" s="451"/>
      <c r="X184" s="452"/>
      <c r="Y184" s="453"/>
      <c r="Z184" s="453"/>
      <c r="AA184" s="486"/>
      <c r="AB184" s="414"/>
      <c r="AC184" s="414"/>
      <c r="AD184" s="414"/>
      <c r="AE184" s="414"/>
      <c r="AF184" s="414"/>
      <c r="AG184" s="414"/>
    </row>
    <row r="185" spans="1:33" s="434" customFormat="1" ht="26.25" customHeight="1" x14ac:dyDescent="0.25">
      <c r="A185" s="1602"/>
      <c r="B185" s="1603"/>
      <c r="C185" s="1604"/>
      <c r="D185" s="1604"/>
      <c r="E185" s="1604"/>
      <c r="F185" s="1607"/>
      <c r="G185" s="2679" t="s">
        <v>3401</v>
      </c>
      <c r="H185" s="2680"/>
      <c r="I185" s="2681"/>
      <c r="J185" s="1197">
        <f>0.509*0.9</f>
        <v>0.45810000000000001</v>
      </c>
      <c r="K185" s="62"/>
      <c r="L185" s="62"/>
      <c r="M185" s="601"/>
      <c r="N185" s="455"/>
      <c r="O185" s="678"/>
      <c r="P185" s="450"/>
      <c r="Q185" s="450"/>
      <c r="R185" s="451"/>
      <c r="S185" s="452"/>
      <c r="T185" s="453"/>
      <c r="U185" s="453"/>
      <c r="V185" s="453"/>
      <c r="W185" s="451"/>
      <c r="X185" s="452"/>
      <c r="Y185" s="453"/>
      <c r="Z185" s="453"/>
      <c r="AA185" s="486"/>
      <c r="AB185" s="601"/>
      <c r="AC185" s="699"/>
      <c r="AD185" s="455"/>
      <c r="AE185" s="450"/>
      <c r="AF185" s="450"/>
      <c r="AG185" s="450"/>
    </row>
    <row r="186" spans="1:33" s="434" customFormat="1" ht="26.25" customHeight="1" x14ac:dyDescent="0.25">
      <c r="A186" s="2288"/>
      <c r="B186" s="2286"/>
      <c r="C186" s="2287"/>
      <c r="D186" s="2287"/>
      <c r="E186" s="2287"/>
      <c r="F186" s="2285"/>
      <c r="G186" s="2290" t="s">
        <v>20225</v>
      </c>
      <c r="H186" s="2290" t="s">
        <v>20226</v>
      </c>
      <c r="I186" s="2291" t="s">
        <v>20227</v>
      </c>
      <c r="J186" s="62">
        <f>0.02*0.9</f>
        <v>1.8000000000000002E-2</v>
      </c>
      <c r="K186" s="62"/>
      <c r="L186" s="62"/>
      <c r="M186" s="601"/>
      <c r="N186" s="455"/>
      <c r="O186" s="678"/>
      <c r="P186" s="450"/>
      <c r="Q186" s="450"/>
      <c r="R186" s="451"/>
      <c r="S186" s="452"/>
      <c r="T186" s="453"/>
      <c r="U186" s="453"/>
      <c r="V186" s="453"/>
      <c r="W186" s="451"/>
      <c r="X186" s="452"/>
      <c r="Y186" s="453"/>
      <c r="Z186" s="453"/>
      <c r="AA186" s="486"/>
      <c r="AB186" s="601"/>
      <c r="AC186" s="699"/>
      <c r="AD186" s="455"/>
      <c r="AE186" s="450"/>
      <c r="AF186" s="450"/>
      <c r="AG186" s="450"/>
    </row>
    <row r="187" spans="1:33" s="434" customFormat="1" ht="26.25" customHeight="1" x14ac:dyDescent="0.25">
      <c r="A187" s="2288"/>
      <c r="B187" s="2286"/>
      <c r="C187" s="2287"/>
      <c r="D187" s="2287"/>
      <c r="E187" s="2287"/>
      <c r="F187" s="2285"/>
      <c r="G187" s="2290" t="s">
        <v>20225</v>
      </c>
      <c r="H187" s="2290" t="s">
        <v>20228</v>
      </c>
      <c r="I187" s="2291" t="s">
        <v>20229</v>
      </c>
      <c r="J187" s="62">
        <f>0.11*0.9</f>
        <v>9.9000000000000005E-2</v>
      </c>
      <c r="K187" s="62"/>
      <c r="L187" s="62"/>
      <c r="M187" s="601"/>
      <c r="N187" s="455"/>
      <c r="O187" s="678"/>
      <c r="P187" s="450"/>
      <c r="Q187" s="450"/>
      <c r="R187" s="451"/>
      <c r="S187" s="452"/>
      <c r="T187" s="453"/>
      <c r="U187" s="453"/>
      <c r="V187" s="453"/>
      <c r="W187" s="451"/>
      <c r="X187" s="452"/>
      <c r="Y187" s="453"/>
      <c r="Z187" s="453"/>
      <c r="AA187" s="486"/>
      <c r="AB187" s="601"/>
      <c r="AC187" s="699"/>
      <c r="AD187" s="455"/>
      <c r="AE187" s="450"/>
      <c r="AF187" s="450"/>
      <c r="AG187" s="450"/>
    </row>
    <row r="188" spans="1:33" ht="15.75" thickBot="1" x14ac:dyDescent="0.3">
      <c r="A188" s="525"/>
      <c r="B188" s="516"/>
      <c r="C188" s="503"/>
      <c r="D188" s="503"/>
      <c r="E188" s="503"/>
      <c r="F188" s="517"/>
      <c r="G188" s="2578" t="s">
        <v>1833</v>
      </c>
      <c r="H188" s="2578"/>
      <c r="I188" s="2579"/>
      <c r="J188" s="13">
        <f>SUM(J184:J187)</f>
        <v>0.60509999999999997</v>
      </c>
      <c r="K188" s="14">
        <v>0.92</v>
      </c>
      <c r="L188" s="13">
        <f>J188/K188</f>
        <v>0.65771739130434781</v>
      </c>
      <c r="M188" s="2577" t="s">
        <v>1834</v>
      </c>
      <c r="N188" s="2579"/>
      <c r="O188" s="13">
        <f>SUM(O173:O184)</f>
        <v>2.702</v>
      </c>
      <c r="P188" s="14">
        <v>0.92</v>
      </c>
      <c r="Q188" s="13">
        <f>O188/P188</f>
        <v>2.9369565217391305</v>
      </c>
      <c r="R188" s="2738" t="s">
        <v>1835</v>
      </c>
      <c r="S188" s="2739"/>
      <c r="T188" s="30">
        <f>SUM(T174:T178)</f>
        <v>0.61199999999999999</v>
      </c>
      <c r="U188" s="31">
        <v>0.8</v>
      </c>
      <c r="V188" s="30">
        <f>T188/U188</f>
        <v>0.7649999999999999</v>
      </c>
      <c r="W188" s="2738" t="s">
        <v>1836</v>
      </c>
      <c r="X188" s="2739"/>
      <c r="Y188" s="30">
        <f>SUM(Y174:Y178)</f>
        <v>0</v>
      </c>
      <c r="Z188" s="31">
        <v>0.8</v>
      </c>
      <c r="AA188" s="32">
        <f>Y188/Z188</f>
        <v>0</v>
      </c>
      <c r="AB188" s="2577" t="s">
        <v>1833</v>
      </c>
      <c r="AC188" s="2578"/>
      <c r="AD188" s="2579"/>
      <c r="AE188" s="13">
        <f>SUM(AE174:AE180)</f>
        <v>0</v>
      </c>
      <c r="AF188" s="14">
        <v>0.92</v>
      </c>
      <c r="AG188" s="13">
        <f>AE188/AF188</f>
        <v>0</v>
      </c>
    </row>
    <row r="189" spans="1:33" x14ac:dyDescent="0.25">
      <c r="A189" s="524" t="str">
        <f>Итоговая!C173</f>
        <v xml:space="preserve">ПС 35/10 кВ Савцино </v>
      </c>
      <c r="B189" s="507">
        <f>Итоговая!D173</f>
        <v>2.5</v>
      </c>
      <c r="C189" s="508" t="str">
        <f>Итоговая!E173</f>
        <v>+</v>
      </c>
      <c r="D189" s="508">
        <f>Итоговая!F173</f>
        <v>2.5</v>
      </c>
      <c r="E189" s="508"/>
      <c r="F189" s="509"/>
      <c r="G189" s="2598" t="s">
        <v>17005</v>
      </c>
      <c r="H189" s="2626"/>
      <c r="I189" s="2626"/>
      <c r="J189" s="2626"/>
      <c r="K189" s="2626"/>
      <c r="L189" s="2626"/>
      <c r="M189" s="17"/>
      <c r="N189" s="17"/>
      <c r="O189" s="17"/>
      <c r="P189" s="17"/>
      <c r="Q189" s="17"/>
      <c r="R189" s="27"/>
      <c r="S189" s="27"/>
      <c r="T189" s="27"/>
      <c r="U189" s="27"/>
      <c r="V189" s="27"/>
      <c r="W189" s="27"/>
      <c r="X189" s="27"/>
      <c r="Y189" s="27"/>
      <c r="Z189" s="27"/>
      <c r="AA189" s="28"/>
      <c r="AB189" s="17"/>
      <c r="AC189" s="17"/>
      <c r="AD189" s="17"/>
      <c r="AE189" s="17"/>
      <c r="AF189" s="17"/>
      <c r="AG189" s="73"/>
    </row>
    <row r="190" spans="1:33" ht="75" x14ac:dyDescent="0.25">
      <c r="A190" s="2346"/>
      <c r="B190" s="2321"/>
      <c r="C190" s="2322"/>
      <c r="D190" s="2322"/>
      <c r="E190" s="2322"/>
      <c r="F190" s="2330"/>
      <c r="G190" s="2312" t="s">
        <v>20256</v>
      </c>
      <c r="H190" s="2312" t="s">
        <v>20257</v>
      </c>
      <c r="I190" s="2319" t="s">
        <v>20258</v>
      </c>
      <c r="J190" s="2319">
        <f>0.06*0.9</f>
        <v>5.3999999999999999E-2</v>
      </c>
      <c r="K190" s="2314"/>
      <c r="L190" s="69"/>
      <c r="M190" s="2318"/>
      <c r="N190" s="2319"/>
      <c r="O190" s="2314"/>
      <c r="P190" s="2314"/>
      <c r="Q190" s="2314"/>
      <c r="R190" s="110"/>
      <c r="S190" s="111"/>
      <c r="T190" s="39"/>
      <c r="U190" s="39"/>
      <c r="V190" s="39"/>
      <c r="W190" s="110"/>
      <c r="X190" s="111"/>
      <c r="Y190" s="39"/>
      <c r="Z190" s="39"/>
      <c r="AA190" s="605"/>
      <c r="AB190" s="2318"/>
      <c r="AC190" s="2312"/>
      <c r="AD190" s="2319"/>
      <c r="AE190" s="2314"/>
      <c r="AF190" s="2314"/>
      <c r="AG190" s="69"/>
    </row>
    <row r="191" spans="1:33" ht="15.75" thickBot="1" x14ac:dyDescent="0.3">
      <c r="A191" s="525"/>
      <c r="B191" s="516"/>
      <c r="C191" s="503"/>
      <c r="D191" s="503"/>
      <c r="E191" s="503"/>
      <c r="F191" s="517"/>
      <c r="G191" s="2578" t="s">
        <v>1833</v>
      </c>
      <c r="H191" s="2578"/>
      <c r="I191" s="2579"/>
      <c r="J191" s="13">
        <f>SUM(J190)</f>
        <v>5.3999999999999999E-2</v>
      </c>
      <c r="K191" s="14">
        <v>0.92</v>
      </c>
      <c r="L191" s="13">
        <f>J191/K191</f>
        <v>5.8695652173913038E-2</v>
      </c>
      <c r="M191" s="2577" t="s">
        <v>1834</v>
      </c>
      <c r="N191" s="2579"/>
      <c r="O191" s="13">
        <f>SUM(O189:O189)</f>
        <v>0</v>
      </c>
      <c r="P191" s="14">
        <v>0.92</v>
      </c>
      <c r="Q191" s="13">
        <f>O191/P191</f>
        <v>0</v>
      </c>
      <c r="R191" s="2738" t="s">
        <v>1835</v>
      </c>
      <c r="S191" s="2739"/>
      <c r="T191" s="30">
        <f>SUM(T189:T189)</f>
        <v>0</v>
      </c>
      <c r="U191" s="31">
        <v>0.8</v>
      </c>
      <c r="V191" s="30">
        <f>T191/U191</f>
        <v>0</v>
      </c>
      <c r="W191" s="2738" t="s">
        <v>1836</v>
      </c>
      <c r="X191" s="2739"/>
      <c r="Y191" s="30">
        <f>SUM(Y189:Y189)</f>
        <v>0</v>
      </c>
      <c r="Z191" s="31">
        <v>0.8</v>
      </c>
      <c r="AA191" s="32">
        <f>Y191/Z191</f>
        <v>0</v>
      </c>
      <c r="AB191" s="2577" t="s">
        <v>1833</v>
      </c>
      <c r="AC191" s="2578"/>
      <c r="AD191" s="2579"/>
      <c r="AE191" s="13">
        <f>SUM(AE189:AE189)</f>
        <v>0</v>
      </c>
      <c r="AF191" s="14">
        <v>0.92</v>
      </c>
      <c r="AG191" s="13">
        <f>AE191/AF191</f>
        <v>0</v>
      </c>
    </row>
    <row r="192" spans="1:33" x14ac:dyDescent="0.25">
      <c r="A192" s="524" t="str">
        <f>Итоговая!C174</f>
        <v xml:space="preserve">ПС 35/10 кВ Сотское </v>
      </c>
      <c r="B192" s="507">
        <f>Итоговая!D174</f>
        <v>1.6</v>
      </c>
      <c r="C192" s="508" t="str">
        <f>Итоговая!E174</f>
        <v>+</v>
      </c>
      <c r="D192" s="508">
        <f>Итоговая!F174</f>
        <v>2.5</v>
      </c>
      <c r="E192" s="508"/>
      <c r="F192" s="509"/>
      <c r="G192" s="43"/>
      <c r="H192" s="17"/>
      <c r="I192" s="17"/>
      <c r="J192" s="17"/>
      <c r="K192" s="17"/>
      <c r="L192" s="73"/>
      <c r="M192" s="17"/>
      <c r="N192" s="17"/>
      <c r="O192" s="17"/>
      <c r="P192" s="17"/>
      <c r="Q192" s="17"/>
      <c r="R192" s="27"/>
      <c r="S192" s="27"/>
      <c r="T192" s="27"/>
      <c r="U192" s="27"/>
      <c r="V192" s="27"/>
      <c r="W192" s="27"/>
      <c r="X192" s="27"/>
      <c r="Y192" s="27"/>
      <c r="Z192" s="27"/>
      <c r="AA192" s="28"/>
      <c r="AB192" s="17"/>
      <c r="AC192" s="17"/>
      <c r="AD192" s="17"/>
      <c r="AE192" s="17"/>
      <c r="AF192" s="17"/>
      <c r="AG192" s="73"/>
    </row>
    <row r="193" spans="1:33" ht="15.75" thickBot="1" x14ac:dyDescent="0.3">
      <c r="A193" s="525"/>
      <c r="B193" s="516"/>
      <c r="C193" s="503"/>
      <c r="D193" s="503"/>
      <c r="E193" s="503"/>
      <c r="F193" s="517"/>
      <c r="G193" s="2578" t="s">
        <v>1833</v>
      </c>
      <c r="H193" s="2578"/>
      <c r="I193" s="2579"/>
      <c r="J193" s="13">
        <f>SUM(J192:J192)</f>
        <v>0</v>
      </c>
      <c r="K193" s="14">
        <v>0.92</v>
      </c>
      <c r="L193" s="13">
        <f>J193/K193</f>
        <v>0</v>
      </c>
      <c r="M193" s="2577" t="s">
        <v>1834</v>
      </c>
      <c r="N193" s="2579"/>
      <c r="O193" s="13">
        <f>SUM(O192:O192)</f>
        <v>0</v>
      </c>
      <c r="P193" s="14">
        <v>0.92</v>
      </c>
      <c r="Q193" s="13">
        <f>O193/P193</f>
        <v>0</v>
      </c>
      <c r="R193" s="2738" t="s">
        <v>1835</v>
      </c>
      <c r="S193" s="2739"/>
      <c r="T193" s="30">
        <f>SUM(T192:T192)</f>
        <v>0</v>
      </c>
      <c r="U193" s="31">
        <v>0.8</v>
      </c>
      <c r="V193" s="30">
        <f>T193/U193</f>
        <v>0</v>
      </c>
      <c r="W193" s="2738" t="s">
        <v>1836</v>
      </c>
      <c r="X193" s="2739"/>
      <c r="Y193" s="30">
        <f>SUM(Y192:Y192)</f>
        <v>0</v>
      </c>
      <c r="Z193" s="31">
        <v>0.8</v>
      </c>
      <c r="AA193" s="32">
        <f>Y193/Z193</f>
        <v>0</v>
      </c>
      <c r="AB193" s="2577" t="s">
        <v>1833</v>
      </c>
      <c r="AC193" s="2578"/>
      <c r="AD193" s="2579"/>
      <c r="AE193" s="13">
        <f>SUM(AE192:AE192)</f>
        <v>0</v>
      </c>
      <c r="AF193" s="14">
        <v>0.92</v>
      </c>
      <c r="AG193" s="13">
        <f>AE193/AF193</f>
        <v>0</v>
      </c>
    </row>
    <row r="194" spans="1:33" x14ac:dyDescent="0.25">
      <c r="A194" s="524" t="str">
        <f>Итоговая!C175</f>
        <v xml:space="preserve">ПС 35/10 кВ Стоянцы </v>
      </c>
      <c r="B194" s="507">
        <f>Итоговая!D175</f>
        <v>2.5</v>
      </c>
      <c r="C194" s="508" t="str">
        <f>Итоговая!E175</f>
        <v>+</v>
      </c>
      <c r="D194" s="508">
        <f>Итоговая!F175</f>
        <v>2.5</v>
      </c>
      <c r="E194" s="508"/>
      <c r="F194" s="509"/>
      <c r="G194" s="43"/>
      <c r="H194" s="17"/>
      <c r="I194" s="17"/>
      <c r="J194" s="17"/>
      <c r="K194" s="17"/>
      <c r="L194" s="73"/>
      <c r="M194" s="17"/>
      <c r="N194" s="17"/>
      <c r="O194" s="17"/>
      <c r="P194" s="17"/>
      <c r="Q194" s="17"/>
      <c r="R194" s="27"/>
      <c r="S194" s="27"/>
      <c r="T194" s="27"/>
      <c r="U194" s="27"/>
      <c r="V194" s="27"/>
      <c r="W194" s="27"/>
      <c r="X194" s="27"/>
      <c r="Y194" s="27"/>
      <c r="Z194" s="27"/>
      <c r="AA194" s="28"/>
      <c r="AB194" s="17"/>
      <c r="AC194" s="17"/>
      <c r="AD194" s="17"/>
      <c r="AE194" s="17"/>
      <c r="AF194" s="17"/>
      <c r="AG194" s="73"/>
    </row>
    <row r="195" spans="1:33" ht="15.75" thickBot="1" x14ac:dyDescent="0.3">
      <c r="A195" s="525"/>
      <c r="B195" s="516"/>
      <c r="C195" s="503"/>
      <c r="D195" s="503"/>
      <c r="E195" s="503"/>
      <c r="F195" s="517"/>
      <c r="G195" s="2578" t="s">
        <v>1833</v>
      </c>
      <c r="H195" s="2578"/>
      <c r="I195" s="2579"/>
      <c r="J195" s="13">
        <f>SUM(J194:J194)</f>
        <v>0</v>
      </c>
      <c r="K195" s="14">
        <v>0.92</v>
      </c>
      <c r="L195" s="13">
        <f>J195/K195</f>
        <v>0</v>
      </c>
      <c r="M195" s="2577" t="s">
        <v>1834</v>
      </c>
      <c r="N195" s="2579"/>
      <c r="O195" s="13">
        <f>SUM(O194:O194)</f>
        <v>0</v>
      </c>
      <c r="P195" s="14">
        <v>0.92</v>
      </c>
      <c r="Q195" s="13">
        <f>O195/P195</f>
        <v>0</v>
      </c>
      <c r="R195" s="2738" t="s">
        <v>1835</v>
      </c>
      <c r="S195" s="2739"/>
      <c r="T195" s="30">
        <f>SUM(T194:T194)</f>
        <v>0</v>
      </c>
      <c r="U195" s="31">
        <v>0.8</v>
      </c>
      <c r="V195" s="30">
        <f>T195/U195</f>
        <v>0</v>
      </c>
      <c r="W195" s="2738" t="s">
        <v>1836</v>
      </c>
      <c r="X195" s="2739"/>
      <c r="Y195" s="30">
        <f>SUM(Y194:Y194)</f>
        <v>0</v>
      </c>
      <c r="Z195" s="31">
        <v>0.8</v>
      </c>
      <c r="AA195" s="32">
        <f>Y195/Z195</f>
        <v>0</v>
      </c>
      <c r="AB195" s="2577" t="s">
        <v>1833</v>
      </c>
      <c r="AC195" s="2578"/>
      <c r="AD195" s="2579"/>
      <c r="AE195" s="13">
        <f>SUM(AE194:AE194)</f>
        <v>0</v>
      </c>
      <c r="AF195" s="14">
        <v>0.92</v>
      </c>
      <c r="AG195" s="13">
        <f>AE195/AF195</f>
        <v>0</v>
      </c>
    </row>
    <row r="196" spans="1:33" s="434" customFormat="1" ht="15.75" thickBot="1" x14ac:dyDescent="0.3">
      <c r="A196" s="536"/>
      <c r="B196" s="527"/>
      <c r="C196" s="508"/>
      <c r="D196" s="508"/>
      <c r="E196" s="508"/>
      <c r="F196" s="509"/>
      <c r="G196" s="2598" t="s">
        <v>1959</v>
      </c>
      <c r="H196" s="2626"/>
      <c r="I196" s="2626"/>
      <c r="J196" s="2626"/>
      <c r="K196" s="2626"/>
      <c r="L196" s="2626"/>
      <c r="M196" s="414" t="s">
        <v>1250</v>
      </c>
      <c r="N196" s="1113" t="s">
        <v>1251</v>
      </c>
      <c r="O196" s="414">
        <v>0.03</v>
      </c>
      <c r="P196" s="443"/>
      <c r="Q196" s="443"/>
      <c r="R196" s="437"/>
      <c r="S196" s="438"/>
      <c r="T196" s="417"/>
      <c r="U196" s="417"/>
      <c r="V196" s="417"/>
      <c r="W196" s="437"/>
      <c r="X196" s="438"/>
      <c r="Y196" s="417"/>
      <c r="Z196" s="417"/>
      <c r="AA196" s="439"/>
      <c r="AB196" s="2731"/>
      <c r="AC196" s="2731"/>
      <c r="AD196" s="2731"/>
      <c r="AE196" s="2731"/>
      <c r="AF196" s="2731"/>
      <c r="AG196" s="2731"/>
    </row>
    <row r="197" spans="1:33" s="434" customFormat="1" ht="57.75" customHeight="1" x14ac:dyDescent="0.25">
      <c r="A197" s="535" t="str">
        <f>Итоговая!C176</f>
        <v xml:space="preserve">ПС 35/10 кВ Уланово </v>
      </c>
      <c r="B197" s="511">
        <f>Итоговая!D176</f>
        <v>1.6</v>
      </c>
      <c r="C197" s="499" t="str">
        <f>Итоговая!E176</f>
        <v>+</v>
      </c>
      <c r="D197" s="499">
        <f>Итоговая!F176</f>
        <v>1.6</v>
      </c>
      <c r="E197" s="499"/>
      <c r="F197" s="510"/>
      <c r="G197" s="448" t="s">
        <v>1249</v>
      </c>
      <c r="H197" s="414" t="s">
        <v>2308</v>
      </c>
      <c r="I197" s="414" t="s">
        <v>2307</v>
      </c>
      <c r="J197" s="414">
        <v>0.05</v>
      </c>
      <c r="K197" s="414"/>
      <c r="L197" s="414"/>
      <c r="M197" s="414" t="s">
        <v>1252</v>
      </c>
      <c r="N197" s="414" t="s">
        <v>1253</v>
      </c>
      <c r="O197" s="414">
        <v>2.5000000000000001E-2</v>
      </c>
      <c r="P197" s="414"/>
      <c r="Q197" s="414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6"/>
      <c r="AB197" s="414"/>
      <c r="AC197" s="414"/>
      <c r="AD197" s="414"/>
      <c r="AE197" s="414"/>
      <c r="AF197" s="414"/>
      <c r="AG197" s="414"/>
    </row>
    <row r="198" spans="1:33" s="434" customFormat="1" ht="30" x14ac:dyDescent="0.25">
      <c r="A198" s="535"/>
      <c r="B198" s="511"/>
      <c r="C198" s="499"/>
      <c r="D198" s="499"/>
      <c r="E198" s="499"/>
      <c r="F198" s="510"/>
      <c r="G198" s="2612" t="s">
        <v>2477</v>
      </c>
      <c r="H198" s="2625"/>
      <c r="I198" s="2625"/>
      <c r="J198" s="2625"/>
      <c r="K198" s="2625"/>
      <c r="L198" s="2625"/>
      <c r="M198" s="414" t="s">
        <v>1404</v>
      </c>
      <c r="N198" s="414" t="s">
        <v>1405</v>
      </c>
      <c r="O198" s="414">
        <v>0.02</v>
      </c>
      <c r="P198" s="414"/>
      <c r="Q198" s="414"/>
      <c r="R198" s="418"/>
      <c r="S198" s="418"/>
      <c r="T198" s="418"/>
      <c r="U198" s="418"/>
      <c r="V198" s="418"/>
      <c r="W198" s="418"/>
      <c r="X198" s="418"/>
      <c r="Y198" s="418"/>
      <c r="Z198" s="418"/>
      <c r="AA198" s="433"/>
      <c r="AB198" s="414"/>
      <c r="AC198" s="414"/>
      <c r="AD198" s="414"/>
      <c r="AE198" s="414"/>
      <c r="AF198" s="414"/>
      <c r="AG198" s="414"/>
    </row>
    <row r="199" spans="1:33" s="434" customFormat="1" ht="66" customHeight="1" x14ac:dyDescent="0.25">
      <c r="A199" s="535"/>
      <c r="B199" s="511"/>
      <c r="C199" s="499"/>
      <c r="D199" s="499"/>
      <c r="E199" s="499"/>
      <c r="F199" s="510"/>
      <c r="G199" s="2702"/>
      <c r="H199" s="2703"/>
      <c r="I199" s="2704"/>
      <c r="J199" s="414"/>
      <c r="K199" s="414"/>
      <c r="L199" s="414"/>
      <c r="M199" s="1516" t="s">
        <v>15314</v>
      </c>
      <c r="N199" s="1516" t="s">
        <v>15315</v>
      </c>
      <c r="O199" s="414">
        <v>0.15</v>
      </c>
      <c r="P199" s="414"/>
      <c r="Q199" s="414"/>
      <c r="R199" s="301"/>
      <c r="S199" s="301"/>
      <c r="T199" s="301"/>
      <c r="U199" s="301"/>
      <c r="V199" s="301"/>
      <c r="W199" s="301"/>
      <c r="X199" s="301"/>
      <c r="Y199" s="301"/>
      <c r="Z199" s="301"/>
      <c r="AA199" s="449"/>
      <c r="AB199" s="414"/>
      <c r="AC199" s="414"/>
      <c r="AD199" s="414"/>
      <c r="AE199" s="414"/>
      <c r="AF199" s="414"/>
      <c r="AG199" s="414"/>
    </row>
    <row r="200" spans="1:33" s="434" customFormat="1" ht="25.5" customHeight="1" x14ac:dyDescent="0.25">
      <c r="A200" s="836"/>
      <c r="B200" s="837"/>
      <c r="C200" s="834"/>
      <c r="D200" s="834"/>
      <c r="E200" s="834"/>
      <c r="F200" s="839"/>
      <c r="G200" s="2612" t="s">
        <v>3020</v>
      </c>
      <c r="H200" s="2625"/>
      <c r="I200" s="2625"/>
      <c r="J200" s="2625"/>
      <c r="K200" s="2625"/>
      <c r="L200" s="2625"/>
      <c r="M200" s="1559" t="s">
        <v>16697</v>
      </c>
      <c r="N200" s="1559" t="s">
        <v>16698</v>
      </c>
      <c r="O200" s="1367">
        <v>0.04</v>
      </c>
      <c r="P200" s="1367"/>
      <c r="Q200" s="1367"/>
      <c r="R200" s="301"/>
      <c r="S200" s="301"/>
      <c r="T200" s="301"/>
      <c r="U200" s="301"/>
      <c r="V200" s="301"/>
      <c r="W200" s="301"/>
      <c r="X200" s="301"/>
      <c r="Y200" s="301"/>
      <c r="Z200" s="301"/>
      <c r="AA200" s="301"/>
      <c r="AB200" s="1367"/>
      <c r="AC200" s="1367"/>
      <c r="AD200" s="1367"/>
      <c r="AE200" s="1367"/>
      <c r="AF200" s="1367"/>
      <c r="AG200" s="1367"/>
    </row>
    <row r="201" spans="1:33" s="434" customFormat="1" ht="66" customHeight="1" x14ac:dyDescent="0.25">
      <c r="A201" s="1048"/>
      <c r="B201" s="1049"/>
      <c r="C201" s="1050"/>
      <c r="D201" s="1050"/>
      <c r="E201" s="1050"/>
      <c r="F201" s="1051"/>
      <c r="G201" s="1100" t="s">
        <v>2948</v>
      </c>
      <c r="H201" s="1100" t="s">
        <v>2949</v>
      </c>
      <c r="I201" s="1100" t="s">
        <v>3230</v>
      </c>
      <c r="J201" s="1100">
        <v>0</v>
      </c>
      <c r="K201" s="450"/>
      <c r="L201" s="450"/>
      <c r="M201" s="1367"/>
      <c r="N201" s="1367"/>
      <c r="O201" s="1367"/>
      <c r="P201" s="1367"/>
      <c r="Q201" s="1367"/>
      <c r="R201" s="301"/>
      <c r="S201" s="301"/>
      <c r="T201" s="301"/>
      <c r="U201" s="301"/>
      <c r="V201" s="301"/>
      <c r="W201" s="301"/>
      <c r="X201" s="301"/>
      <c r="Y201" s="301"/>
      <c r="Z201" s="301"/>
      <c r="AA201" s="301"/>
      <c r="AB201" s="1367"/>
      <c r="AC201" s="1367"/>
      <c r="AD201" s="1367"/>
      <c r="AE201" s="1367"/>
      <c r="AF201" s="1367"/>
      <c r="AG201" s="1367"/>
    </row>
    <row r="202" spans="1:33" s="434" customFormat="1" ht="66" customHeight="1" x14ac:dyDescent="0.25">
      <c r="A202" s="1141"/>
      <c r="B202" s="1139"/>
      <c r="C202" s="1140"/>
      <c r="D202" s="1140"/>
      <c r="E202" s="1140"/>
      <c r="F202" s="1138"/>
      <c r="G202" s="1142"/>
      <c r="H202" s="1142"/>
      <c r="I202" s="455"/>
      <c r="J202" s="1142"/>
      <c r="K202" s="450"/>
      <c r="L202" s="450"/>
      <c r="M202" s="1367"/>
      <c r="N202" s="1367"/>
      <c r="O202" s="1367"/>
      <c r="P202" s="1367"/>
      <c r="Q202" s="1367"/>
      <c r="R202" s="301"/>
      <c r="S202" s="301"/>
      <c r="T202" s="301"/>
      <c r="U202" s="301"/>
      <c r="V202" s="301"/>
      <c r="W202" s="301"/>
      <c r="X202" s="301"/>
      <c r="Y202" s="301"/>
      <c r="Z202" s="301"/>
      <c r="AA202" s="301"/>
      <c r="AB202" s="1367"/>
      <c r="AC202" s="1367"/>
      <c r="AD202" s="1367"/>
      <c r="AE202" s="1367"/>
      <c r="AF202" s="1367"/>
      <c r="AG202" s="1367"/>
    </row>
    <row r="203" spans="1:33" s="434" customFormat="1" ht="66" customHeight="1" x14ac:dyDescent="0.25">
      <c r="A203" s="1445"/>
      <c r="B203" s="1446"/>
      <c r="C203" s="1447"/>
      <c r="D203" s="1447"/>
      <c r="E203" s="1447"/>
      <c r="F203" s="1449"/>
      <c r="G203" s="1448" t="s">
        <v>45</v>
      </c>
      <c r="H203" s="1448" t="s">
        <v>46</v>
      </c>
      <c r="I203" s="455" t="s">
        <v>3310</v>
      </c>
      <c r="J203" s="1448">
        <f>(0.15-0.015)*0.75</f>
        <v>0.10125000000000001</v>
      </c>
      <c r="K203" s="450"/>
      <c r="L203" s="450"/>
      <c r="M203" s="1448"/>
      <c r="N203" s="1448"/>
      <c r="O203" s="1448"/>
      <c r="P203" s="1448"/>
      <c r="Q203" s="1448"/>
      <c r="R203" s="301"/>
      <c r="S203" s="301"/>
      <c r="T203" s="301"/>
      <c r="U203" s="301"/>
      <c r="V203" s="301"/>
      <c r="W203" s="301"/>
      <c r="X203" s="301"/>
      <c r="Y203" s="301"/>
      <c r="Z203" s="301"/>
      <c r="AA203" s="301"/>
      <c r="AB203" s="1448"/>
      <c r="AC203" s="1448"/>
      <c r="AD203" s="1448"/>
      <c r="AE203" s="1448"/>
      <c r="AF203" s="1448"/>
      <c r="AG203" s="1448"/>
    </row>
    <row r="204" spans="1:33" s="434" customFormat="1" ht="66" customHeight="1" x14ac:dyDescent="0.25">
      <c r="A204" s="1191"/>
      <c r="B204" s="1189"/>
      <c r="C204" s="1190"/>
      <c r="D204" s="1190"/>
      <c r="E204" s="1190"/>
      <c r="F204" s="1188"/>
      <c r="G204" s="2624"/>
      <c r="H204" s="2599"/>
      <c r="I204" s="2600"/>
      <c r="J204" s="1954"/>
      <c r="K204" s="62"/>
      <c r="L204" s="62"/>
      <c r="M204" s="1367"/>
      <c r="N204" s="1367"/>
      <c r="O204" s="1367"/>
      <c r="P204" s="1367"/>
      <c r="Q204" s="1367"/>
      <c r="R204" s="301"/>
      <c r="S204" s="301"/>
      <c r="T204" s="301"/>
      <c r="U204" s="301"/>
      <c r="V204" s="301"/>
      <c r="W204" s="301"/>
      <c r="X204" s="301"/>
      <c r="Y204" s="301"/>
      <c r="Z204" s="301"/>
      <c r="AA204" s="301"/>
      <c r="AB204" s="1367"/>
      <c r="AC204" s="1367"/>
      <c r="AD204" s="1367"/>
      <c r="AE204" s="1367"/>
      <c r="AF204" s="1367"/>
      <c r="AG204" s="1367"/>
    </row>
    <row r="205" spans="1:33" s="434" customFormat="1" ht="28.5" customHeight="1" x14ac:dyDescent="0.25">
      <c r="A205" s="1481"/>
      <c r="B205" s="1479"/>
      <c r="C205" s="1480"/>
      <c r="D205" s="1480"/>
      <c r="E205" s="1480"/>
      <c r="F205" s="1478"/>
      <c r="G205" s="2612" t="s">
        <v>3447</v>
      </c>
      <c r="H205" s="2625"/>
      <c r="I205" s="2625"/>
      <c r="J205" s="2625"/>
      <c r="K205" s="2625"/>
      <c r="L205" s="2625"/>
      <c r="M205" s="601"/>
      <c r="N205" s="455"/>
      <c r="O205" s="450"/>
      <c r="P205" s="450"/>
      <c r="Q205" s="450"/>
      <c r="R205" s="451"/>
      <c r="S205" s="452"/>
      <c r="T205" s="453"/>
      <c r="U205" s="453"/>
      <c r="V205" s="453"/>
      <c r="W205" s="451"/>
      <c r="X205" s="452"/>
      <c r="Y205" s="453"/>
      <c r="Z205" s="453"/>
      <c r="AA205" s="451"/>
      <c r="AB205" s="601"/>
      <c r="AC205" s="699"/>
      <c r="AD205" s="455"/>
      <c r="AE205" s="450"/>
      <c r="AF205" s="450"/>
      <c r="AG205" s="450"/>
    </row>
    <row r="206" spans="1:33" s="434" customFormat="1" ht="66" customHeight="1" x14ac:dyDescent="0.25">
      <c r="A206" s="1481"/>
      <c r="B206" s="1479"/>
      <c r="C206" s="1480"/>
      <c r="D206" s="1480"/>
      <c r="E206" s="1480"/>
      <c r="F206" s="1478"/>
      <c r="G206" s="1482" t="s">
        <v>1252</v>
      </c>
      <c r="H206" s="1482" t="s">
        <v>3614</v>
      </c>
      <c r="I206" s="130" t="s">
        <v>16645</v>
      </c>
      <c r="J206" s="1482">
        <f>(0.385-0.025)*0.9</f>
        <v>0.32400000000000001</v>
      </c>
      <c r="K206" s="62"/>
      <c r="L206" s="62"/>
      <c r="M206" s="601"/>
      <c r="N206" s="455"/>
      <c r="O206" s="450"/>
      <c r="P206" s="450"/>
      <c r="Q206" s="450"/>
      <c r="R206" s="451"/>
      <c r="S206" s="452"/>
      <c r="T206" s="453"/>
      <c r="U206" s="453"/>
      <c r="V206" s="453"/>
      <c r="W206" s="451"/>
      <c r="X206" s="452"/>
      <c r="Y206" s="453"/>
      <c r="Z206" s="453"/>
      <c r="AA206" s="451"/>
      <c r="AB206" s="601"/>
      <c r="AC206" s="699"/>
      <c r="AD206" s="455"/>
      <c r="AE206" s="450"/>
      <c r="AF206" s="450"/>
      <c r="AG206" s="450"/>
    </row>
    <row r="207" spans="1:33" s="434" customFormat="1" ht="66" customHeight="1" x14ac:dyDescent="0.25">
      <c r="A207" s="2220"/>
      <c r="B207" s="2221"/>
      <c r="C207" s="2222"/>
      <c r="D207" s="2222"/>
      <c r="E207" s="2222"/>
      <c r="F207" s="2234"/>
      <c r="G207" s="2612" t="s">
        <v>17005</v>
      </c>
      <c r="H207" s="2625"/>
      <c r="I207" s="2625"/>
      <c r="J207" s="2625"/>
      <c r="K207" s="2625"/>
      <c r="L207" s="2625"/>
      <c r="M207" s="601"/>
      <c r="N207" s="455"/>
      <c r="O207" s="450"/>
      <c r="P207" s="450"/>
      <c r="Q207" s="450"/>
      <c r="R207" s="451"/>
      <c r="S207" s="452"/>
      <c r="T207" s="453"/>
      <c r="U207" s="453"/>
      <c r="V207" s="453"/>
      <c r="W207" s="451"/>
      <c r="X207" s="452"/>
      <c r="Y207" s="453"/>
      <c r="Z207" s="453"/>
      <c r="AA207" s="451"/>
      <c r="AB207" s="601"/>
      <c r="AC207" s="699"/>
      <c r="AD207" s="455"/>
      <c r="AE207" s="450"/>
      <c r="AF207" s="450"/>
      <c r="AG207" s="450"/>
    </row>
    <row r="208" spans="1:33" s="434" customFormat="1" ht="66" customHeight="1" x14ac:dyDescent="0.25">
      <c r="A208" s="2220"/>
      <c r="B208" s="2221"/>
      <c r="C208" s="2222"/>
      <c r="D208" s="2222"/>
      <c r="E208" s="2222"/>
      <c r="F208" s="2234"/>
      <c r="G208" s="2679" t="s">
        <v>3401</v>
      </c>
      <c r="H208" s="2680"/>
      <c r="I208" s="2681"/>
      <c r="J208" s="1197">
        <f>0.101*0.9</f>
        <v>9.0900000000000009E-2</v>
      </c>
      <c r="K208" s="62"/>
      <c r="L208" s="62"/>
      <c r="M208" s="601"/>
      <c r="N208" s="455"/>
      <c r="O208" s="450"/>
      <c r="P208" s="450"/>
      <c r="Q208" s="450"/>
      <c r="R208" s="451"/>
      <c r="S208" s="452"/>
      <c r="T208" s="453"/>
      <c r="U208" s="453"/>
      <c r="V208" s="453"/>
      <c r="W208" s="451"/>
      <c r="X208" s="452"/>
      <c r="Y208" s="453"/>
      <c r="Z208" s="453"/>
      <c r="AA208" s="451"/>
      <c r="AB208" s="601"/>
      <c r="AC208" s="699"/>
      <c r="AD208" s="455"/>
      <c r="AE208" s="450"/>
      <c r="AF208" s="450"/>
      <c r="AG208" s="450"/>
    </row>
    <row r="209" spans="1:33" ht="15.75" thickBot="1" x14ac:dyDescent="0.3">
      <c r="A209" s="525"/>
      <c r="B209" s="516"/>
      <c r="C209" s="503"/>
      <c r="D209" s="503"/>
      <c r="E209" s="503"/>
      <c r="F209" s="517"/>
      <c r="G209" s="2588" t="s">
        <v>1833</v>
      </c>
      <c r="H209" s="2588"/>
      <c r="I209" s="2589"/>
      <c r="J209" s="21">
        <f>SUM(J201:J208)</f>
        <v>0.51615</v>
      </c>
      <c r="K209" s="24">
        <v>0.92</v>
      </c>
      <c r="L209" s="21">
        <f>J209/K209</f>
        <v>0.56103260869565219</v>
      </c>
      <c r="M209" s="2587" t="s">
        <v>1834</v>
      </c>
      <c r="N209" s="2589"/>
      <c r="O209" s="21">
        <f>SUM(O196:O200)</f>
        <v>0.26499999999999996</v>
      </c>
      <c r="P209" s="24">
        <v>0.92</v>
      </c>
      <c r="Q209" s="21">
        <f>O209/P209</f>
        <v>0.28804347826086951</v>
      </c>
      <c r="R209" s="2747" t="s">
        <v>1835</v>
      </c>
      <c r="S209" s="2748"/>
      <c r="T209" s="33">
        <f>SUM(T197:T199)</f>
        <v>0</v>
      </c>
      <c r="U209" s="34">
        <v>0.8</v>
      </c>
      <c r="V209" s="33">
        <f>T209/U209</f>
        <v>0</v>
      </c>
      <c r="W209" s="2747" t="s">
        <v>1836</v>
      </c>
      <c r="X209" s="2748"/>
      <c r="Y209" s="33">
        <f>SUM(Y197:Y199)</f>
        <v>0</v>
      </c>
      <c r="Z209" s="34">
        <v>0.8</v>
      </c>
      <c r="AA209" s="101">
        <f>Y209/Z209</f>
        <v>0</v>
      </c>
      <c r="AB209" s="2587" t="s">
        <v>1833</v>
      </c>
      <c r="AC209" s="2588"/>
      <c r="AD209" s="2589"/>
      <c r="AE209" s="21">
        <f>SUM(AE197:AE199)</f>
        <v>0</v>
      </c>
      <c r="AF209" s="24">
        <v>0.92</v>
      </c>
      <c r="AG209" s="21">
        <f>AE209/AF209</f>
        <v>0</v>
      </c>
    </row>
    <row r="210" spans="1:33" x14ac:dyDescent="0.25">
      <c r="A210" s="524" t="str">
        <f>Итоговая!C177</f>
        <v xml:space="preserve">ПС 35/10 кВ Уницы </v>
      </c>
      <c r="B210" s="507">
        <f>Итоговая!D177</f>
        <v>4</v>
      </c>
      <c r="C210" s="508" t="str">
        <f>Итоговая!E177</f>
        <v>+</v>
      </c>
      <c r="D210" s="508">
        <f>Итоговая!F177</f>
        <v>4</v>
      </c>
      <c r="E210" s="508"/>
      <c r="F210" s="509"/>
      <c r="G210" s="43"/>
      <c r="H210" s="17"/>
      <c r="I210" s="17"/>
      <c r="J210" s="17"/>
      <c r="K210" s="17"/>
      <c r="L210" s="73"/>
      <c r="M210" s="17"/>
      <c r="N210" s="17"/>
      <c r="O210" s="17"/>
      <c r="P210" s="17"/>
      <c r="Q210" s="17"/>
      <c r="R210" s="27"/>
      <c r="S210" s="27"/>
      <c r="T210" s="27"/>
      <c r="U210" s="27"/>
      <c r="V210" s="27"/>
      <c r="W210" s="27"/>
      <c r="X210" s="27"/>
      <c r="Y210" s="27"/>
      <c r="Z210" s="27"/>
      <c r="AA210" s="28"/>
      <c r="AB210" s="17"/>
      <c r="AC210" s="17"/>
      <c r="AD210" s="17"/>
      <c r="AE210" s="17"/>
      <c r="AF210" s="17"/>
      <c r="AG210" s="73"/>
    </row>
    <row r="211" spans="1:33" ht="15.75" thickBot="1" x14ac:dyDescent="0.3">
      <c r="A211" s="525"/>
      <c r="B211" s="516"/>
      <c r="C211" s="503"/>
      <c r="D211" s="503"/>
      <c r="E211" s="503"/>
      <c r="F211" s="517"/>
      <c r="G211" s="2578" t="s">
        <v>1833</v>
      </c>
      <c r="H211" s="2578"/>
      <c r="I211" s="2579"/>
      <c r="J211" s="13">
        <f>SUM(J210:J210)</f>
        <v>0</v>
      </c>
      <c r="K211" s="14">
        <v>0.92</v>
      </c>
      <c r="L211" s="13">
        <f>J211/K211</f>
        <v>0</v>
      </c>
      <c r="M211" s="2577" t="s">
        <v>1834</v>
      </c>
      <c r="N211" s="2579"/>
      <c r="O211" s="13">
        <f>SUM(O210:O210)</f>
        <v>0</v>
      </c>
      <c r="P211" s="14">
        <v>0.92</v>
      </c>
      <c r="Q211" s="13">
        <f>O211/P211</f>
        <v>0</v>
      </c>
      <c r="R211" s="2738" t="s">
        <v>1835</v>
      </c>
      <c r="S211" s="2739"/>
      <c r="T211" s="30">
        <f>SUM(T210:T210)</f>
        <v>0</v>
      </c>
      <c r="U211" s="31">
        <v>0.8</v>
      </c>
      <c r="V211" s="30">
        <f>T211/U211</f>
        <v>0</v>
      </c>
      <c r="W211" s="2738" t="s">
        <v>1836</v>
      </c>
      <c r="X211" s="2739"/>
      <c r="Y211" s="30">
        <f>SUM(Y210:Y210)</f>
        <v>0</v>
      </c>
      <c r="Z211" s="31">
        <v>0.8</v>
      </c>
      <c r="AA211" s="32">
        <f>Y211/Z211</f>
        <v>0</v>
      </c>
      <c r="AB211" s="2577" t="s">
        <v>1833</v>
      </c>
      <c r="AC211" s="2578"/>
      <c r="AD211" s="2579"/>
      <c r="AE211" s="13">
        <f>SUM(AE210:AE210)</f>
        <v>0</v>
      </c>
      <c r="AF211" s="14">
        <v>0.92</v>
      </c>
      <c r="AG211" s="13">
        <f>AE211/AF211</f>
        <v>0</v>
      </c>
    </row>
    <row r="212" spans="1:33" x14ac:dyDescent="0.25">
      <c r="A212" s="524" t="str">
        <f>Итоговая!C178</f>
        <v xml:space="preserve">ПС 35/10 кВ Фенево </v>
      </c>
      <c r="B212" s="507">
        <f>Итоговая!D178</f>
        <v>2.5</v>
      </c>
      <c r="C212" s="508" t="str">
        <f>Итоговая!E178</f>
        <v>+</v>
      </c>
      <c r="D212" s="508">
        <f>Итоговая!F178</f>
        <v>2.5</v>
      </c>
      <c r="E212" s="508"/>
      <c r="F212" s="509"/>
      <c r="G212" s="43"/>
      <c r="H212" s="17"/>
      <c r="I212" s="17"/>
      <c r="J212" s="17"/>
      <c r="K212" s="17"/>
      <c r="L212" s="73"/>
      <c r="M212" s="17"/>
      <c r="N212" s="17"/>
      <c r="O212" s="17"/>
      <c r="P212" s="17"/>
      <c r="Q212" s="17"/>
      <c r="R212" s="27"/>
      <c r="S212" s="27"/>
      <c r="T212" s="27"/>
      <c r="U212" s="27"/>
      <c r="V212" s="27"/>
      <c r="W212" s="27"/>
      <c r="X212" s="27"/>
      <c r="Y212" s="27"/>
      <c r="Z212" s="27"/>
      <c r="AA212" s="28"/>
      <c r="AB212" s="17"/>
      <c r="AC212" s="17"/>
      <c r="AD212" s="17"/>
      <c r="AE212" s="17"/>
      <c r="AF212" s="17"/>
      <c r="AG212" s="73"/>
    </row>
    <row r="213" spans="1:33" ht="15.75" thickBot="1" x14ac:dyDescent="0.3">
      <c r="A213" s="525"/>
      <c r="B213" s="516"/>
      <c r="C213" s="503"/>
      <c r="D213" s="503"/>
      <c r="E213" s="503"/>
      <c r="F213" s="517"/>
      <c r="G213" s="2578" t="s">
        <v>1833</v>
      </c>
      <c r="H213" s="2578"/>
      <c r="I213" s="2579"/>
      <c r="J213" s="13">
        <f>SUM(J212:J212)</f>
        <v>0</v>
      </c>
      <c r="K213" s="14">
        <v>0.92</v>
      </c>
      <c r="L213" s="13">
        <f>J213/K213</f>
        <v>0</v>
      </c>
      <c r="M213" s="2577" t="s">
        <v>1834</v>
      </c>
      <c r="N213" s="2579"/>
      <c r="O213" s="13">
        <f>SUM(O212:O212)</f>
        <v>0</v>
      </c>
      <c r="P213" s="14">
        <v>0.92</v>
      </c>
      <c r="Q213" s="13">
        <f>O213/P213</f>
        <v>0</v>
      </c>
      <c r="R213" s="2738" t="s">
        <v>1835</v>
      </c>
      <c r="S213" s="2739"/>
      <c r="T213" s="30">
        <f>SUM(T212:T212)</f>
        <v>0</v>
      </c>
      <c r="U213" s="31">
        <v>0.8</v>
      </c>
      <c r="V213" s="30">
        <f>T213/U213</f>
        <v>0</v>
      </c>
      <c r="W213" s="2738" t="s">
        <v>1836</v>
      </c>
      <c r="X213" s="2739"/>
      <c r="Y213" s="30">
        <f>SUM(Y212:Y212)</f>
        <v>0</v>
      </c>
      <c r="Z213" s="31">
        <v>0.8</v>
      </c>
      <c r="AA213" s="32">
        <f>Y213/Z213</f>
        <v>0</v>
      </c>
      <c r="AB213" s="2577" t="s">
        <v>1833</v>
      </c>
      <c r="AC213" s="2578"/>
      <c r="AD213" s="2579"/>
      <c r="AE213" s="13">
        <f>SUM(AE212:AE212)</f>
        <v>0</v>
      </c>
      <c r="AF213" s="14">
        <v>0.92</v>
      </c>
      <c r="AG213" s="13">
        <f>AE213/AF213</f>
        <v>0</v>
      </c>
    </row>
    <row r="214" spans="1:33" s="434" customFormat="1" ht="15.75" thickBot="1" x14ac:dyDescent="0.3">
      <c r="A214" s="509"/>
      <c r="B214" s="508"/>
      <c r="C214" s="508"/>
      <c r="D214" s="508"/>
      <c r="E214" s="508"/>
      <c r="F214" s="509"/>
      <c r="G214" s="2583" t="s">
        <v>1961</v>
      </c>
      <c r="H214" s="2583"/>
      <c r="I214" s="2583"/>
      <c r="J214" s="2583"/>
      <c r="K214" s="2583"/>
      <c r="L214" s="2584"/>
      <c r="M214" s="476"/>
      <c r="N214" s="477"/>
      <c r="O214" s="478"/>
      <c r="P214" s="478"/>
      <c r="Q214" s="478"/>
      <c r="R214" s="437"/>
      <c r="S214" s="438"/>
      <c r="T214" s="417"/>
      <c r="U214" s="417"/>
      <c r="V214" s="417"/>
      <c r="W214" s="437"/>
      <c r="X214" s="438"/>
      <c r="Y214" s="417"/>
      <c r="Z214" s="417"/>
      <c r="AA214" s="439"/>
      <c r="AB214" s="2707"/>
      <c r="AC214" s="2708"/>
      <c r="AD214" s="2708"/>
      <c r="AE214" s="2708"/>
      <c r="AF214" s="2708"/>
      <c r="AG214" s="2709"/>
    </row>
    <row r="215" spans="1:33" s="434" customFormat="1" ht="39.75" customHeight="1" x14ac:dyDescent="0.25">
      <c r="A215" s="510" t="str">
        <f>Итоговая!C179</f>
        <v xml:space="preserve">ПС 35/10 кВ Фролово </v>
      </c>
      <c r="B215" s="499">
        <f>Итоговая!D179</f>
        <v>2.5</v>
      </c>
      <c r="C215" s="499" t="str">
        <f>Итоговая!E179</f>
        <v>+</v>
      </c>
      <c r="D215" s="499">
        <f>Итоговая!F179</f>
        <v>2.5</v>
      </c>
      <c r="E215" s="499"/>
      <c r="F215" s="510"/>
      <c r="G215" s="442" t="s">
        <v>645</v>
      </c>
      <c r="H215" s="443" t="s">
        <v>646</v>
      </c>
      <c r="I215" s="443" t="s">
        <v>647</v>
      </c>
      <c r="J215" s="443">
        <v>5.2999999999999999E-2</v>
      </c>
      <c r="K215" s="443"/>
      <c r="L215" s="443"/>
      <c r="M215" s="443"/>
      <c r="N215" s="443"/>
      <c r="O215" s="443"/>
      <c r="P215" s="443"/>
      <c r="Q215" s="443"/>
      <c r="R215" s="445" t="s">
        <v>648</v>
      </c>
      <c r="S215" s="445" t="s">
        <v>649</v>
      </c>
      <c r="T215" s="445">
        <v>0.06</v>
      </c>
      <c r="U215" s="445"/>
      <c r="V215" s="445"/>
      <c r="W215" s="445"/>
      <c r="X215" s="445"/>
      <c r="Y215" s="445"/>
      <c r="Z215" s="445"/>
      <c r="AA215" s="446"/>
      <c r="AB215" s="443"/>
      <c r="AC215" s="443"/>
      <c r="AD215" s="443"/>
      <c r="AE215" s="443"/>
      <c r="AF215" s="443"/>
      <c r="AG215" s="443"/>
    </row>
    <row r="216" spans="1:33" s="434" customFormat="1" x14ac:dyDescent="0.25">
      <c r="A216" s="510"/>
      <c r="B216" s="499"/>
      <c r="C216" s="499"/>
      <c r="D216" s="499"/>
      <c r="E216" s="499"/>
      <c r="F216" s="510"/>
      <c r="G216" s="2611" t="s">
        <v>1959</v>
      </c>
      <c r="H216" s="2611"/>
      <c r="I216" s="2611"/>
      <c r="J216" s="2611"/>
      <c r="K216" s="2611"/>
      <c r="L216" s="2612"/>
      <c r="M216" s="443"/>
      <c r="N216" s="443"/>
      <c r="O216" s="443"/>
      <c r="P216" s="443"/>
      <c r="Q216" s="443"/>
      <c r="R216" s="418"/>
      <c r="S216" s="418"/>
      <c r="T216" s="418"/>
      <c r="U216" s="418"/>
      <c r="V216" s="418"/>
      <c r="W216" s="418"/>
      <c r="X216" s="418"/>
      <c r="Y216" s="418"/>
      <c r="Z216" s="418"/>
      <c r="AA216" s="433"/>
      <c r="AB216" s="2702"/>
      <c r="AC216" s="2703"/>
      <c r="AD216" s="2703"/>
      <c r="AE216" s="2703"/>
      <c r="AF216" s="2703"/>
      <c r="AG216" s="2704"/>
    </row>
    <row r="217" spans="1:33" s="434" customFormat="1" ht="54" customHeight="1" x14ac:dyDescent="0.25">
      <c r="A217" s="510"/>
      <c r="B217" s="499"/>
      <c r="C217" s="499"/>
      <c r="D217" s="499"/>
      <c r="E217" s="499"/>
      <c r="F217" s="510"/>
      <c r="G217" s="448" t="s">
        <v>650</v>
      </c>
      <c r="H217" s="414" t="s">
        <v>651</v>
      </c>
      <c r="I217" s="443" t="s">
        <v>652</v>
      </c>
      <c r="J217" s="443">
        <v>0.12</v>
      </c>
      <c r="K217" s="443"/>
      <c r="L217" s="443"/>
      <c r="M217" s="414"/>
      <c r="N217" s="414"/>
      <c r="O217" s="414"/>
      <c r="P217" s="443"/>
      <c r="Q217" s="443"/>
      <c r="R217" s="418" t="s">
        <v>653</v>
      </c>
      <c r="S217" s="418" t="s">
        <v>654</v>
      </c>
      <c r="T217" s="418">
        <v>0.06</v>
      </c>
      <c r="U217" s="418"/>
      <c r="V217" s="418"/>
      <c r="W217" s="418"/>
      <c r="X217" s="418"/>
      <c r="Y217" s="418"/>
      <c r="Z217" s="418"/>
      <c r="AA217" s="433"/>
      <c r="AB217" s="414"/>
      <c r="AC217" s="414"/>
      <c r="AD217" s="443"/>
      <c r="AE217" s="443"/>
      <c r="AF217" s="443"/>
      <c r="AG217" s="443"/>
    </row>
    <row r="218" spans="1:33" s="434" customFormat="1" ht="54" customHeight="1" x14ac:dyDescent="0.25">
      <c r="A218" s="641"/>
      <c r="B218" s="635"/>
      <c r="C218" s="635"/>
      <c r="D218" s="635"/>
      <c r="E218" s="635"/>
      <c r="F218" s="641"/>
      <c r="G218" s="1440" t="s">
        <v>2605</v>
      </c>
      <c r="H218" s="630" t="s">
        <v>629</v>
      </c>
      <c r="I218" s="643" t="s">
        <v>2604</v>
      </c>
      <c r="J218" s="630">
        <v>0.125</v>
      </c>
      <c r="K218" s="633"/>
      <c r="L218" s="633"/>
      <c r="M218" s="630"/>
      <c r="N218" s="630"/>
      <c r="O218" s="630"/>
      <c r="P218" s="633"/>
      <c r="Q218" s="633"/>
      <c r="R218" s="418"/>
      <c r="S218" s="418"/>
      <c r="T218" s="418"/>
      <c r="U218" s="418"/>
      <c r="V218" s="418"/>
      <c r="W218" s="418"/>
      <c r="X218" s="418"/>
      <c r="Y218" s="418"/>
      <c r="Z218" s="418"/>
      <c r="AA218" s="433"/>
      <c r="AB218" s="634"/>
      <c r="AC218" s="627"/>
      <c r="AD218" s="631"/>
      <c r="AE218" s="631"/>
      <c r="AF218" s="631"/>
      <c r="AG218" s="632"/>
    </row>
    <row r="219" spans="1:33" s="434" customFormat="1" ht="18.75" customHeight="1" x14ac:dyDescent="0.25">
      <c r="A219" s="510"/>
      <c r="B219" s="499"/>
      <c r="C219" s="499"/>
      <c r="D219" s="499"/>
      <c r="E219" s="499"/>
      <c r="F219" s="510"/>
      <c r="G219" s="2611" t="s">
        <v>2032</v>
      </c>
      <c r="H219" s="2611"/>
      <c r="I219" s="2611"/>
      <c r="J219" s="2611"/>
      <c r="K219" s="2611"/>
      <c r="L219" s="2612"/>
      <c r="M219" s="414"/>
      <c r="N219" s="414"/>
      <c r="O219" s="414"/>
      <c r="P219" s="443"/>
      <c r="Q219" s="443"/>
      <c r="R219" s="418"/>
      <c r="S219" s="418"/>
      <c r="T219" s="418"/>
      <c r="U219" s="418"/>
      <c r="V219" s="418"/>
      <c r="W219" s="418"/>
      <c r="X219" s="418"/>
      <c r="Y219" s="418"/>
      <c r="Z219" s="418"/>
      <c r="AA219" s="433"/>
      <c r="AB219" s="2702"/>
      <c r="AC219" s="2703"/>
      <c r="AD219" s="2703"/>
      <c r="AE219" s="2703"/>
      <c r="AF219" s="2703"/>
      <c r="AG219" s="2704"/>
    </row>
    <row r="220" spans="1:33" s="434" customFormat="1" ht="60" x14ac:dyDescent="0.25">
      <c r="A220" s="510"/>
      <c r="B220" s="499"/>
      <c r="C220" s="499"/>
      <c r="D220" s="499"/>
      <c r="E220" s="499"/>
      <c r="F220" s="510"/>
      <c r="G220" s="448" t="s">
        <v>657</v>
      </c>
      <c r="H220" s="414" t="s">
        <v>656</v>
      </c>
      <c r="I220" s="480" t="s">
        <v>2208</v>
      </c>
      <c r="J220" s="443">
        <v>0.02</v>
      </c>
      <c r="K220" s="443"/>
      <c r="L220" s="443"/>
      <c r="M220" s="414" t="s">
        <v>655</v>
      </c>
      <c r="N220" s="414" t="s">
        <v>656</v>
      </c>
      <c r="O220" s="414">
        <v>0.03</v>
      </c>
      <c r="P220" s="443"/>
      <c r="Q220" s="443"/>
      <c r="R220" s="418"/>
      <c r="S220" s="418"/>
      <c r="T220" s="418"/>
      <c r="U220" s="418"/>
      <c r="V220" s="418"/>
      <c r="W220" s="418"/>
      <c r="X220" s="418"/>
      <c r="Y220" s="418"/>
      <c r="Z220" s="418"/>
      <c r="AA220" s="433"/>
      <c r="AB220" s="414"/>
      <c r="AC220" s="414"/>
      <c r="AD220" s="480"/>
      <c r="AE220" s="443"/>
      <c r="AF220" s="443"/>
      <c r="AG220" s="443"/>
    </row>
    <row r="221" spans="1:33" s="434" customFormat="1" x14ac:dyDescent="0.25">
      <c r="A221" s="1188"/>
      <c r="B221" s="1190"/>
      <c r="C221" s="1190"/>
      <c r="D221" s="1190"/>
      <c r="E221" s="1190"/>
      <c r="F221" s="1188"/>
      <c r="G221" s="2611" t="s">
        <v>17005</v>
      </c>
      <c r="H221" s="2611"/>
      <c r="I221" s="2611"/>
      <c r="J221" s="2611"/>
      <c r="K221" s="2611"/>
      <c r="L221" s="2612"/>
      <c r="M221" s="601"/>
      <c r="N221" s="455"/>
      <c r="O221" s="450"/>
      <c r="P221" s="435"/>
      <c r="Q221" s="435"/>
      <c r="R221" s="437"/>
      <c r="S221" s="438"/>
      <c r="T221" s="417"/>
      <c r="U221" s="417"/>
      <c r="V221" s="417"/>
      <c r="W221" s="437"/>
      <c r="X221" s="438"/>
      <c r="Y221" s="417"/>
      <c r="Z221" s="417"/>
      <c r="AA221" s="439"/>
      <c r="AB221" s="601"/>
      <c r="AC221" s="699"/>
      <c r="AD221" s="485"/>
      <c r="AE221" s="435"/>
      <c r="AF221" s="435"/>
      <c r="AG221" s="435"/>
    </row>
    <row r="222" spans="1:33" s="434" customFormat="1" ht="56.25" customHeight="1" x14ac:dyDescent="0.25">
      <c r="A222" s="1188"/>
      <c r="B222" s="1190"/>
      <c r="C222" s="1190"/>
      <c r="D222" s="1190"/>
      <c r="E222" s="1190"/>
      <c r="F222" s="1188"/>
      <c r="G222" s="2679" t="s">
        <v>3401</v>
      </c>
      <c r="H222" s="2680"/>
      <c r="I222" s="2681"/>
      <c r="J222" s="1197">
        <f>0.10311*0.9</f>
        <v>9.2798999999999993E-2</v>
      </c>
      <c r="K222" s="69"/>
      <c r="L222" s="69"/>
      <c r="M222" s="601"/>
      <c r="N222" s="455"/>
      <c r="O222" s="450"/>
      <c r="P222" s="435"/>
      <c r="Q222" s="435"/>
      <c r="R222" s="437"/>
      <c r="S222" s="438"/>
      <c r="T222" s="417"/>
      <c r="U222" s="417"/>
      <c r="V222" s="417"/>
      <c r="W222" s="437"/>
      <c r="X222" s="438"/>
      <c r="Y222" s="417"/>
      <c r="Z222" s="417"/>
      <c r="AA222" s="439"/>
      <c r="AB222" s="601"/>
      <c r="AC222" s="699"/>
      <c r="AD222" s="485"/>
      <c r="AE222" s="435"/>
      <c r="AF222" s="435"/>
      <c r="AG222" s="435"/>
    </row>
    <row r="223" spans="1:33" ht="15.75" thickBot="1" x14ac:dyDescent="0.3">
      <c r="A223" s="517"/>
      <c r="B223" s="503"/>
      <c r="C223" s="503"/>
      <c r="D223" s="503"/>
      <c r="E223" s="503"/>
      <c r="F223" s="517"/>
      <c r="G223" s="2578" t="s">
        <v>1833</v>
      </c>
      <c r="H223" s="2578"/>
      <c r="I223" s="2579"/>
      <c r="J223" s="13">
        <f>SUM(J222)</f>
        <v>9.2798999999999993E-2</v>
      </c>
      <c r="K223" s="14">
        <v>0.92</v>
      </c>
      <c r="L223" s="13">
        <f>J223/K223</f>
        <v>0.10086847826086956</v>
      </c>
      <c r="M223" s="2577" t="s">
        <v>1834</v>
      </c>
      <c r="N223" s="2579"/>
      <c r="O223" s="13">
        <f>SUM(O215:O220)</f>
        <v>0.03</v>
      </c>
      <c r="P223" s="14">
        <v>0.92</v>
      </c>
      <c r="Q223" s="13">
        <f>O223/P223</f>
        <v>3.2608695652173912E-2</v>
      </c>
      <c r="R223" s="2738" t="s">
        <v>1835</v>
      </c>
      <c r="S223" s="2739"/>
      <c r="T223" s="30">
        <f>SUM(T215:T220)</f>
        <v>0.12</v>
      </c>
      <c r="U223" s="31">
        <v>0.8</v>
      </c>
      <c r="V223" s="30">
        <f>T223/U223</f>
        <v>0.15</v>
      </c>
      <c r="W223" s="2738" t="s">
        <v>1836</v>
      </c>
      <c r="X223" s="2739"/>
      <c r="Y223" s="30">
        <f>SUM(Y215:Y220)</f>
        <v>0</v>
      </c>
      <c r="Z223" s="31">
        <v>0.8</v>
      </c>
      <c r="AA223" s="32">
        <f>Y223/Z223</f>
        <v>0</v>
      </c>
      <c r="AB223" s="2577" t="s">
        <v>1833</v>
      </c>
      <c r="AC223" s="2578"/>
      <c r="AD223" s="2579"/>
      <c r="AE223" s="13">
        <f>SUM(AE217:AE220)</f>
        <v>0</v>
      </c>
      <c r="AF223" s="14">
        <v>0.92</v>
      </c>
      <c r="AG223" s="13">
        <f>AE223/AF223</f>
        <v>0</v>
      </c>
    </row>
    <row r="224" spans="1:33" ht="18.75" customHeight="1" x14ac:dyDescent="0.25">
      <c r="A224" s="537" t="str">
        <f>Итоговая!C180</f>
        <v xml:space="preserve"> ПС 110/10 кВ Зарница </v>
      </c>
      <c r="B224" s="508">
        <f>Итоговая!D180</f>
        <v>10</v>
      </c>
      <c r="C224" s="508" t="str">
        <f>Итоговая!E180</f>
        <v>+</v>
      </c>
      <c r="D224" s="508">
        <f>Итоговая!F180</f>
        <v>10</v>
      </c>
      <c r="E224" s="508"/>
      <c r="F224" s="509"/>
      <c r="G224" s="2611" t="s">
        <v>17005</v>
      </c>
      <c r="H224" s="2611"/>
      <c r="I224" s="2611"/>
      <c r="J224" s="2611"/>
      <c r="K224" s="2611"/>
      <c r="L224" s="2612"/>
      <c r="M224" s="143" t="s">
        <v>109</v>
      </c>
      <c r="N224" s="135" t="s">
        <v>110</v>
      </c>
      <c r="O224" s="1">
        <v>2.5000000000000001E-2</v>
      </c>
      <c r="P224" s="17"/>
      <c r="Q224" s="17"/>
      <c r="R224" s="27"/>
      <c r="S224" s="27"/>
      <c r="T224" s="27"/>
      <c r="U224" s="27"/>
      <c r="V224" s="27"/>
      <c r="W224" s="27"/>
      <c r="X224" s="27"/>
      <c r="Y224" s="27"/>
      <c r="Z224" s="27"/>
      <c r="AA224" s="28"/>
      <c r="AB224" s="17"/>
      <c r="AC224" s="17"/>
      <c r="AD224" s="17"/>
      <c r="AE224" s="17"/>
      <c r="AF224" s="17"/>
      <c r="AG224" s="73"/>
    </row>
    <row r="225" spans="1:33" ht="27" customHeight="1" x14ac:dyDescent="0.25">
      <c r="A225" s="2035"/>
      <c r="B225" s="2013"/>
      <c r="C225" s="2013"/>
      <c r="D225" s="2013"/>
      <c r="E225" s="2013"/>
      <c r="F225" s="2011"/>
      <c r="G225" s="1994" t="s">
        <v>17069</v>
      </c>
      <c r="H225" s="1994" t="s">
        <v>17070</v>
      </c>
      <c r="I225" s="1994" t="s">
        <v>17071</v>
      </c>
      <c r="J225" s="1994">
        <f>0.3*0.75</f>
        <v>0.22499999999999998</v>
      </c>
      <c r="K225" s="1994"/>
      <c r="L225" s="2008"/>
      <c r="M225" s="2014"/>
      <c r="N225" s="135"/>
      <c r="O225" s="1996"/>
      <c r="P225" s="2000"/>
      <c r="Q225" s="2000"/>
      <c r="R225" s="110"/>
      <c r="S225" s="111"/>
      <c r="T225" s="39"/>
      <c r="U225" s="39"/>
      <c r="V225" s="39"/>
      <c r="W225" s="110"/>
      <c r="X225" s="111"/>
      <c r="Y225" s="39"/>
      <c r="Z225" s="39"/>
      <c r="AA225" s="605"/>
      <c r="AB225" s="2009"/>
      <c r="AC225" s="2001"/>
      <c r="AD225" s="2010"/>
      <c r="AE225" s="2000"/>
      <c r="AF225" s="2000"/>
      <c r="AG225" s="69"/>
    </row>
    <row r="226" spans="1:33" ht="15.75" thickBot="1" x14ac:dyDescent="0.3">
      <c r="A226" s="538"/>
      <c r="B226" s="503"/>
      <c r="C226" s="503"/>
      <c r="D226" s="503"/>
      <c r="E226" s="503"/>
      <c r="F226" s="517"/>
      <c r="G226" s="2577"/>
      <c r="H226" s="2578"/>
      <c r="I226" s="2579"/>
      <c r="J226" s="13">
        <f>SUM(J224:J225)</f>
        <v>0.22499999999999998</v>
      </c>
      <c r="K226" s="14">
        <v>0.92</v>
      </c>
      <c r="L226" s="13">
        <f>J226/K226</f>
        <v>0.24456521739130432</v>
      </c>
      <c r="M226" s="2587" t="s">
        <v>1834</v>
      </c>
      <c r="N226" s="2589"/>
      <c r="O226" s="21">
        <f>SUM(O224:O224)</f>
        <v>2.5000000000000001E-2</v>
      </c>
      <c r="P226" s="14">
        <v>0.92</v>
      </c>
      <c r="Q226" s="13">
        <f>O226/P226</f>
        <v>2.717391304347826E-2</v>
      </c>
      <c r="R226" s="2747" t="s">
        <v>1835</v>
      </c>
      <c r="S226" s="2748"/>
      <c r="T226" s="33">
        <f>SUM(T224:T224)</f>
        <v>0</v>
      </c>
      <c r="U226" s="31">
        <v>0.8</v>
      </c>
      <c r="V226" s="30">
        <f>T226/U226</f>
        <v>0</v>
      </c>
      <c r="W226" s="2738" t="s">
        <v>1836</v>
      </c>
      <c r="X226" s="2739"/>
      <c r="Y226" s="30">
        <f>SUM(Y224:Y224)</f>
        <v>0</v>
      </c>
      <c r="Z226" s="31">
        <v>0.8</v>
      </c>
      <c r="AA226" s="32">
        <f>Y226/Z226</f>
        <v>0</v>
      </c>
      <c r="AB226" s="2587" t="s">
        <v>1833</v>
      </c>
      <c r="AC226" s="2588"/>
      <c r="AD226" s="2589"/>
      <c r="AE226" s="21">
        <f>SUM(AE224:AE224)</f>
        <v>0</v>
      </c>
      <c r="AF226" s="24">
        <v>0.92</v>
      </c>
      <c r="AG226" s="13">
        <f>AE226/AF226</f>
        <v>0</v>
      </c>
    </row>
    <row r="227" spans="1:33" ht="16.5" customHeight="1" x14ac:dyDescent="0.25">
      <c r="A227" s="524" t="str">
        <f>Итоговая!C181</f>
        <v xml:space="preserve">ПС 110/10 кВ Зобнино </v>
      </c>
      <c r="B227" s="507">
        <f>Итоговая!D181</f>
        <v>2.5</v>
      </c>
      <c r="C227" s="508" t="str">
        <f>Итоговая!E181</f>
        <v>+</v>
      </c>
      <c r="D227" s="508">
        <f>Итоговая!F181</f>
        <v>2.5</v>
      </c>
      <c r="E227" s="508"/>
      <c r="F227" s="509"/>
      <c r="G227" s="2749" t="s">
        <v>2477</v>
      </c>
      <c r="H227" s="2749"/>
      <c r="I227" s="2749"/>
      <c r="J227" s="2749"/>
      <c r="K227" s="2749"/>
      <c r="L227" s="2640"/>
      <c r="M227" s="17"/>
      <c r="N227" s="17"/>
      <c r="O227" s="17"/>
      <c r="P227" s="17"/>
      <c r="Q227" s="17"/>
      <c r="R227" s="27"/>
      <c r="S227" s="27"/>
      <c r="T227" s="27"/>
      <c r="U227" s="27"/>
      <c r="V227" s="27"/>
      <c r="W227" s="27"/>
      <c r="X227" s="27"/>
      <c r="Y227" s="27"/>
      <c r="Z227" s="27"/>
      <c r="AA227" s="28"/>
      <c r="AB227" s="17"/>
      <c r="AC227" s="17"/>
      <c r="AD227" s="17"/>
      <c r="AE227" s="17"/>
      <c r="AF227" s="17"/>
      <c r="AG227" s="73"/>
    </row>
    <row r="228" spans="1:33" ht="59.25" customHeight="1" x14ac:dyDescent="0.25">
      <c r="A228" s="675"/>
      <c r="B228" s="667"/>
      <c r="C228" s="668"/>
      <c r="D228" s="668"/>
      <c r="E228" s="668"/>
      <c r="F228" s="670"/>
      <c r="G228" s="2341" t="s">
        <v>2188</v>
      </c>
      <c r="H228" s="2341" t="s">
        <v>2546</v>
      </c>
      <c r="I228" s="2341" t="s">
        <v>2636</v>
      </c>
      <c r="J228" s="2341">
        <v>0.06</v>
      </c>
      <c r="K228" s="2341"/>
      <c r="L228" s="2343"/>
      <c r="M228" s="1"/>
      <c r="N228" s="1"/>
      <c r="O228" s="1"/>
      <c r="P228" s="1"/>
      <c r="Q228" s="1"/>
      <c r="R228" s="110"/>
      <c r="S228" s="111"/>
      <c r="T228" s="39"/>
      <c r="U228" s="39"/>
      <c r="V228" s="39"/>
      <c r="W228" s="110"/>
      <c r="X228" s="111"/>
      <c r="Y228" s="39"/>
      <c r="Z228" s="39"/>
      <c r="AA228" s="605"/>
      <c r="AB228" s="581"/>
      <c r="AC228" s="40"/>
      <c r="AD228" s="41"/>
      <c r="AE228" s="128"/>
      <c r="AF228" s="128"/>
      <c r="AG228" s="69"/>
    </row>
    <row r="229" spans="1:33" ht="21.75" customHeight="1" x14ac:dyDescent="0.25">
      <c r="A229" s="1750"/>
      <c r="B229" s="1748"/>
      <c r="C229" s="1749"/>
      <c r="D229" s="1749"/>
      <c r="E229" s="1749"/>
      <c r="F229" s="1747"/>
      <c r="G229" s="2625" t="s">
        <v>3447</v>
      </c>
      <c r="H229" s="2625"/>
      <c r="I229" s="2625"/>
      <c r="J229" s="2625"/>
      <c r="K229" s="2625"/>
      <c r="L229" s="2625"/>
      <c r="M229" s="1735"/>
      <c r="N229" s="1737"/>
      <c r="O229" s="1734"/>
      <c r="P229" s="1734"/>
      <c r="Q229" s="1734"/>
      <c r="R229" s="110"/>
      <c r="S229" s="111"/>
      <c r="T229" s="39"/>
      <c r="U229" s="39"/>
      <c r="V229" s="39"/>
      <c r="W229" s="110"/>
      <c r="X229" s="111"/>
      <c r="Y229" s="39"/>
      <c r="Z229" s="39"/>
      <c r="AA229" s="605"/>
      <c r="AB229" s="1745"/>
      <c r="AC229" s="1739"/>
      <c r="AD229" s="1746"/>
      <c r="AE229" s="1738"/>
      <c r="AF229" s="1738"/>
      <c r="AG229" s="69"/>
    </row>
    <row r="230" spans="1:33" ht="59.25" customHeight="1" x14ac:dyDescent="0.25">
      <c r="A230" s="1750"/>
      <c r="B230" s="1748"/>
      <c r="C230" s="1749"/>
      <c r="D230" s="1749"/>
      <c r="E230" s="1749"/>
      <c r="F230" s="1747"/>
      <c r="G230" s="2341" t="s">
        <v>16702</v>
      </c>
      <c r="H230" s="2341" t="s">
        <v>16703</v>
      </c>
      <c r="I230" s="2341" t="s">
        <v>16877</v>
      </c>
      <c r="J230" s="2341">
        <f>0.015*0.9</f>
        <v>1.35E-2</v>
      </c>
      <c r="K230" s="2341"/>
      <c r="L230" s="2343"/>
      <c r="M230" s="1735"/>
      <c r="N230" s="1737"/>
      <c r="O230" s="1734"/>
      <c r="P230" s="1734"/>
      <c r="Q230" s="1734"/>
      <c r="R230" s="110"/>
      <c r="S230" s="111"/>
      <c r="T230" s="39"/>
      <c r="U230" s="39"/>
      <c r="V230" s="39"/>
      <c r="W230" s="110"/>
      <c r="X230" s="111"/>
      <c r="Y230" s="39"/>
      <c r="Z230" s="39"/>
      <c r="AA230" s="605"/>
      <c r="AB230" s="1745"/>
      <c r="AC230" s="1739"/>
      <c r="AD230" s="1746"/>
      <c r="AE230" s="1738"/>
      <c r="AF230" s="1738"/>
      <c r="AG230" s="69"/>
    </row>
    <row r="231" spans="1:33" ht="15.75" thickBot="1" x14ac:dyDescent="0.3">
      <c r="A231" s="525"/>
      <c r="B231" s="516"/>
      <c r="C231" s="503"/>
      <c r="D231" s="503"/>
      <c r="E231" s="503"/>
      <c r="F231" s="517"/>
      <c r="G231" s="2578" t="s">
        <v>1833</v>
      </c>
      <c r="H231" s="2578"/>
      <c r="I231" s="2579"/>
      <c r="J231" s="13">
        <f>SUM(J230)</f>
        <v>1.35E-2</v>
      </c>
      <c r="K231" s="14">
        <v>0.92</v>
      </c>
      <c r="L231" s="13">
        <f>J231/K231</f>
        <v>1.4673913043478259E-2</v>
      </c>
      <c r="M231" s="2577" t="s">
        <v>1834</v>
      </c>
      <c r="N231" s="2579"/>
      <c r="O231" s="13">
        <f>SUM(O227:O227)</f>
        <v>0</v>
      </c>
      <c r="P231" s="14">
        <v>0.92</v>
      </c>
      <c r="Q231" s="13">
        <f>O231/P231</f>
        <v>0</v>
      </c>
      <c r="R231" s="2738" t="s">
        <v>1835</v>
      </c>
      <c r="S231" s="2739"/>
      <c r="T231" s="30">
        <f>SUM(T227:T227)</f>
        <v>0</v>
      </c>
      <c r="U231" s="31">
        <v>0.8</v>
      </c>
      <c r="V231" s="30">
        <f>T231/U231</f>
        <v>0</v>
      </c>
      <c r="W231" s="2738" t="s">
        <v>1836</v>
      </c>
      <c r="X231" s="2739"/>
      <c r="Y231" s="30">
        <f>SUM(Y227:Y227)</f>
        <v>0</v>
      </c>
      <c r="Z231" s="31">
        <v>0.8</v>
      </c>
      <c r="AA231" s="32">
        <f>Y231/Z231</f>
        <v>0</v>
      </c>
      <c r="AB231" s="2577" t="s">
        <v>1833</v>
      </c>
      <c r="AC231" s="2578"/>
      <c r="AD231" s="2579"/>
      <c r="AE231" s="13">
        <f>SUM(AE227:AE227)</f>
        <v>0</v>
      </c>
      <c r="AF231" s="14">
        <v>0.92</v>
      </c>
      <c r="AG231" s="13">
        <f>AE231/AF231</f>
        <v>0</v>
      </c>
    </row>
    <row r="232" spans="1:33" ht="27.75" customHeight="1" x14ac:dyDescent="0.25">
      <c r="A232" s="524" t="str">
        <f>Итоговая!C182</f>
        <v xml:space="preserve">ПС 110/10 кВ Инякино </v>
      </c>
      <c r="B232" s="507">
        <f>Итоговая!D182</f>
        <v>25</v>
      </c>
      <c r="C232" s="508" t="str">
        <f>Итоговая!E182</f>
        <v>+</v>
      </c>
      <c r="D232" s="508">
        <f>Итоговая!F182</f>
        <v>25</v>
      </c>
      <c r="E232" s="508"/>
      <c r="F232" s="509"/>
      <c r="G232" s="43"/>
      <c r="H232" s="17"/>
      <c r="I232" s="17"/>
      <c r="J232" s="17"/>
      <c r="K232" s="17"/>
      <c r="L232" s="73"/>
      <c r="M232" s="17"/>
      <c r="N232" s="17"/>
      <c r="O232" s="17"/>
      <c r="P232" s="17"/>
      <c r="Q232" s="17"/>
      <c r="R232" s="27"/>
      <c r="S232" s="27"/>
      <c r="T232" s="27"/>
      <c r="U232" s="27"/>
      <c r="V232" s="27"/>
      <c r="W232" s="27"/>
      <c r="X232" s="27"/>
      <c r="Y232" s="27"/>
      <c r="Z232" s="27"/>
      <c r="AA232" s="28"/>
      <c r="AB232" s="17"/>
      <c r="AC232" s="17"/>
      <c r="AD232" s="17"/>
      <c r="AE232" s="17"/>
      <c r="AF232" s="17"/>
      <c r="AG232" s="73"/>
    </row>
    <row r="233" spans="1:33" ht="15.75" thickBot="1" x14ac:dyDescent="0.3">
      <c r="A233" s="525"/>
      <c r="B233" s="516"/>
      <c r="C233" s="503"/>
      <c r="D233" s="503"/>
      <c r="E233" s="503"/>
      <c r="F233" s="517"/>
      <c r="G233" s="2588" t="s">
        <v>1833</v>
      </c>
      <c r="H233" s="2588"/>
      <c r="I233" s="2589"/>
      <c r="J233" s="21">
        <f>SUM(J232:J232)</f>
        <v>0</v>
      </c>
      <c r="K233" s="24">
        <v>0.92</v>
      </c>
      <c r="L233" s="21">
        <f>J233/K233</f>
        <v>0</v>
      </c>
      <c r="M233" s="2587" t="s">
        <v>1834</v>
      </c>
      <c r="N233" s="2589"/>
      <c r="O233" s="21">
        <f>SUM(O232:O232)</f>
        <v>0</v>
      </c>
      <c r="P233" s="24">
        <v>0.92</v>
      </c>
      <c r="Q233" s="21">
        <f>O233/P233</f>
        <v>0</v>
      </c>
      <c r="R233" s="2747" t="s">
        <v>1835</v>
      </c>
      <c r="S233" s="2748"/>
      <c r="T233" s="33">
        <f>SUM(T232:T232)</f>
        <v>0</v>
      </c>
      <c r="U233" s="34">
        <v>0.8</v>
      </c>
      <c r="V233" s="33">
        <f>T233/U233</f>
        <v>0</v>
      </c>
      <c r="W233" s="2747" t="s">
        <v>1836</v>
      </c>
      <c r="X233" s="2748"/>
      <c r="Y233" s="33">
        <f>SUM(Y232:Y232)</f>
        <v>0</v>
      </c>
      <c r="Z233" s="34">
        <v>0.8</v>
      </c>
      <c r="AA233" s="101">
        <f>Y233/Z233</f>
        <v>0</v>
      </c>
      <c r="AB233" s="2587" t="s">
        <v>1833</v>
      </c>
      <c r="AC233" s="2588"/>
      <c r="AD233" s="2589"/>
      <c r="AE233" s="21">
        <f>SUM(AE232:AE232)</f>
        <v>0</v>
      </c>
      <c r="AF233" s="24">
        <v>0.92</v>
      </c>
      <c r="AG233" s="21">
        <f>AE233/AF233</f>
        <v>0</v>
      </c>
    </row>
    <row r="234" spans="1:33" x14ac:dyDescent="0.25">
      <c r="A234" s="524" t="str">
        <f>Итоговая!C183</f>
        <v xml:space="preserve"> ПС 110/35/10 кВ Василево </v>
      </c>
      <c r="B234" s="507">
        <f>Итоговая!D183</f>
        <v>6.3</v>
      </c>
      <c r="C234" s="508" t="str">
        <f>Итоговая!E183</f>
        <v>+</v>
      </c>
      <c r="D234" s="508">
        <f>Итоговая!F183</f>
        <v>6.3</v>
      </c>
      <c r="E234" s="508"/>
      <c r="F234" s="509"/>
      <c r="G234" s="43"/>
      <c r="H234" s="17"/>
      <c r="I234" s="17"/>
      <c r="J234" s="17"/>
      <c r="K234" s="17"/>
      <c r="L234" s="73"/>
      <c r="M234" s="17"/>
      <c r="N234" s="17"/>
      <c r="O234" s="17"/>
      <c r="P234" s="17"/>
      <c r="Q234" s="17"/>
      <c r="R234" s="27"/>
      <c r="S234" s="27"/>
      <c r="T234" s="27"/>
      <c r="U234" s="27"/>
      <c r="V234" s="27"/>
      <c r="W234" s="27"/>
      <c r="X234" s="27"/>
      <c r="Y234" s="27"/>
      <c r="Z234" s="27"/>
      <c r="AA234" s="28"/>
      <c r="AB234" s="17"/>
      <c r="AC234" s="17"/>
      <c r="AD234" s="17"/>
      <c r="AE234" s="17"/>
      <c r="AF234" s="17"/>
      <c r="AG234" s="73"/>
    </row>
    <row r="235" spans="1:33" ht="15.75" thickBot="1" x14ac:dyDescent="0.3">
      <c r="A235" s="525"/>
      <c r="B235" s="516"/>
      <c r="C235" s="503"/>
      <c r="D235" s="503"/>
      <c r="E235" s="503"/>
      <c r="F235" s="517"/>
      <c r="G235" s="2578" t="s">
        <v>1833</v>
      </c>
      <c r="H235" s="2578"/>
      <c r="I235" s="2579"/>
      <c r="J235" s="13">
        <f>SUM(J234:J234)</f>
        <v>0</v>
      </c>
      <c r="K235" s="14">
        <v>0.92</v>
      </c>
      <c r="L235" s="13">
        <f>J235/K235</f>
        <v>0</v>
      </c>
      <c r="M235" s="2577" t="s">
        <v>1834</v>
      </c>
      <c r="N235" s="2579"/>
      <c r="O235" s="13">
        <f>SUM(O234:O234)</f>
        <v>0</v>
      </c>
      <c r="P235" s="14">
        <v>0.92</v>
      </c>
      <c r="Q235" s="13">
        <f>O235/P235</f>
        <v>0</v>
      </c>
      <c r="R235" s="2738" t="s">
        <v>1835</v>
      </c>
      <c r="S235" s="2739"/>
      <c r="T235" s="30">
        <f>SUM(T234:T234)</f>
        <v>0</v>
      </c>
      <c r="U235" s="31">
        <v>0.8</v>
      </c>
      <c r="V235" s="30">
        <f>T235/U235</f>
        <v>0</v>
      </c>
      <c r="W235" s="2738" t="s">
        <v>1836</v>
      </c>
      <c r="X235" s="2739"/>
      <c r="Y235" s="30">
        <f>SUM(Y234:Y234)</f>
        <v>0</v>
      </c>
      <c r="Z235" s="31">
        <v>0.8</v>
      </c>
      <c r="AA235" s="32">
        <f>Y235/Z235</f>
        <v>0</v>
      </c>
      <c r="AB235" s="2577" t="s">
        <v>1833</v>
      </c>
      <c r="AC235" s="2578"/>
      <c r="AD235" s="2579"/>
      <c r="AE235" s="13">
        <f>SUM(AE234:AE234)</f>
        <v>0</v>
      </c>
      <c r="AF235" s="14">
        <v>0.92</v>
      </c>
      <c r="AG235" s="13">
        <f>AE235/AF235</f>
        <v>0</v>
      </c>
    </row>
    <row r="236" spans="1:33" s="434" customFormat="1" ht="15.75" thickBot="1" x14ac:dyDescent="0.3">
      <c r="A236" s="2693" t="str">
        <f>Итоговая!C186</f>
        <v xml:space="preserve">ПС 110/35/10 кВ Борки  </v>
      </c>
      <c r="B236" s="2689">
        <f>Итоговая!D186</f>
        <v>40</v>
      </c>
      <c r="C236" s="2691" t="str">
        <f>Итоговая!E186</f>
        <v>+</v>
      </c>
      <c r="D236" s="2691">
        <f>Итоговая!F186</f>
        <v>25</v>
      </c>
      <c r="E236" s="508"/>
      <c r="F236" s="509"/>
      <c r="G236" s="2583" t="s">
        <v>1959</v>
      </c>
      <c r="H236" s="2583"/>
      <c r="I236" s="2583"/>
      <c r="J236" s="2583"/>
      <c r="K236" s="2583"/>
      <c r="L236" s="2584"/>
      <c r="M236" s="476"/>
      <c r="N236" s="477"/>
      <c r="O236" s="478"/>
      <c r="P236" s="478"/>
      <c r="Q236" s="478"/>
      <c r="R236" s="437"/>
      <c r="S236" s="438"/>
      <c r="T236" s="417"/>
      <c r="U236" s="417"/>
      <c r="V236" s="417"/>
      <c r="W236" s="437"/>
      <c r="X236" s="438"/>
      <c r="Y236" s="417"/>
      <c r="Z236" s="417"/>
      <c r="AA236" s="439"/>
      <c r="AB236" s="2707"/>
      <c r="AC236" s="2708"/>
      <c r="AD236" s="2708"/>
      <c r="AE236" s="2708"/>
      <c r="AF236" s="2708"/>
      <c r="AG236" s="2709"/>
    </row>
    <row r="237" spans="1:33" s="434" customFormat="1" ht="43.5" customHeight="1" x14ac:dyDescent="0.25">
      <c r="A237" s="2694"/>
      <c r="B237" s="2690"/>
      <c r="C237" s="2692"/>
      <c r="D237" s="2692"/>
      <c r="E237" s="499"/>
      <c r="F237" s="510"/>
      <c r="G237" s="436" t="s">
        <v>1950</v>
      </c>
      <c r="H237" s="435" t="s">
        <v>1951</v>
      </c>
      <c r="I237" s="435" t="s">
        <v>1952</v>
      </c>
      <c r="J237" s="443">
        <v>0.13</v>
      </c>
      <c r="K237" s="443"/>
      <c r="L237" s="443"/>
      <c r="M237" s="443" t="s">
        <v>1953</v>
      </c>
      <c r="N237" s="443" t="s">
        <v>1954</v>
      </c>
      <c r="O237" s="443">
        <v>0.4</v>
      </c>
      <c r="P237" s="443"/>
      <c r="Q237" s="443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6"/>
      <c r="AB237" s="435"/>
      <c r="AC237" s="435"/>
      <c r="AD237" s="435"/>
      <c r="AE237" s="443"/>
      <c r="AF237" s="443"/>
      <c r="AG237" s="443"/>
    </row>
    <row r="238" spans="1:33" s="434" customFormat="1" ht="18.75" customHeight="1" x14ac:dyDescent="0.25">
      <c r="A238" s="535"/>
      <c r="B238" s="511"/>
      <c r="C238" s="499"/>
      <c r="D238" s="499"/>
      <c r="E238" s="499"/>
      <c r="F238" s="510"/>
      <c r="G238" s="2611" t="s">
        <v>2032</v>
      </c>
      <c r="H238" s="2611"/>
      <c r="I238" s="2611"/>
      <c r="J238" s="2611"/>
      <c r="K238" s="2611"/>
      <c r="L238" s="2612"/>
      <c r="M238" s="414" t="s">
        <v>1955</v>
      </c>
      <c r="N238" s="414" t="s">
        <v>1956</v>
      </c>
      <c r="O238" s="443">
        <v>1.8</v>
      </c>
      <c r="P238" s="443"/>
      <c r="Q238" s="443"/>
      <c r="R238" s="418"/>
      <c r="S238" s="418"/>
      <c r="T238" s="418"/>
      <c r="U238" s="418"/>
      <c r="V238" s="418"/>
      <c r="W238" s="418"/>
      <c r="X238" s="418"/>
      <c r="Y238" s="418"/>
      <c r="Z238" s="418"/>
      <c r="AA238" s="433"/>
      <c r="AB238" s="2702"/>
      <c r="AC238" s="2703"/>
      <c r="AD238" s="2703"/>
      <c r="AE238" s="2703"/>
      <c r="AF238" s="2703"/>
      <c r="AG238" s="2704"/>
    </row>
    <row r="239" spans="1:33" s="434" customFormat="1" ht="60" x14ac:dyDescent="0.25">
      <c r="A239" s="535"/>
      <c r="B239" s="511"/>
      <c r="C239" s="499"/>
      <c r="D239" s="499"/>
      <c r="E239" s="499"/>
      <c r="F239" s="510"/>
      <c r="G239" s="448" t="s">
        <v>828</v>
      </c>
      <c r="H239" s="414" t="s">
        <v>829</v>
      </c>
      <c r="I239" s="414" t="s">
        <v>2219</v>
      </c>
      <c r="J239" s="414">
        <v>0.4</v>
      </c>
      <c r="K239" s="414"/>
      <c r="L239" s="443"/>
      <c r="M239" s="414" t="s">
        <v>115</v>
      </c>
      <c r="N239" s="414" t="s">
        <v>116</v>
      </c>
      <c r="O239" s="414">
        <v>3.5000000000000003E-2</v>
      </c>
      <c r="P239" s="443"/>
      <c r="Q239" s="443"/>
      <c r="R239" s="418"/>
      <c r="S239" s="418"/>
      <c r="T239" s="418"/>
      <c r="U239" s="418"/>
      <c r="V239" s="418"/>
      <c r="W239" s="418"/>
      <c r="X239" s="418"/>
      <c r="Y239" s="418"/>
      <c r="Z239" s="418"/>
      <c r="AA239" s="433"/>
      <c r="AB239" s="414"/>
      <c r="AC239" s="414"/>
      <c r="AD239" s="414"/>
      <c r="AE239" s="414"/>
      <c r="AF239" s="414"/>
      <c r="AG239" s="443"/>
    </row>
    <row r="240" spans="1:33" s="434" customFormat="1" ht="27" customHeight="1" x14ac:dyDescent="0.25">
      <c r="A240" s="535"/>
      <c r="B240" s="511"/>
      <c r="C240" s="499"/>
      <c r="D240" s="499"/>
      <c r="E240" s="499"/>
      <c r="F240" s="510"/>
      <c r="G240" s="2611" t="s">
        <v>3020</v>
      </c>
      <c r="H240" s="2611"/>
      <c r="I240" s="2611"/>
      <c r="J240" s="2611"/>
      <c r="K240" s="2611"/>
      <c r="L240" s="2612"/>
      <c r="M240" s="414" t="s">
        <v>115</v>
      </c>
      <c r="N240" s="414" t="s">
        <v>116</v>
      </c>
      <c r="O240" s="414">
        <v>3.5000000000000003E-2</v>
      </c>
      <c r="P240" s="443"/>
      <c r="Q240" s="443"/>
      <c r="R240" s="418"/>
      <c r="S240" s="418"/>
      <c r="T240" s="418"/>
      <c r="U240" s="418"/>
      <c r="V240" s="418"/>
      <c r="W240" s="418"/>
      <c r="X240" s="418"/>
      <c r="Y240" s="418"/>
      <c r="Z240" s="418"/>
      <c r="AA240" s="433"/>
      <c r="AB240" s="443"/>
      <c r="AC240" s="443"/>
      <c r="AD240" s="443"/>
      <c r="AE240" s="443"/>
      <c r="AF240" s="443"/>
      <c r="AG240" s="443"/>
    </row>
    <row r="241" spans="1:33" s="434" customFormat="1" ht="31.5" customHeight="1" x14ac:dyDescent="0.25">
      <c r="A241" s="1065"/>
      <c r="B241" s="1062"/>
      <c r="C241" s="1063"/>
      <c r="D241" s="1063"/>
      <c r="E241" s="1063"/>
      <c r="F241" s="1061"/>
      <c r="G241" s="2702"/>
      <c r="H241" s="2703"/>
      <c r="I241" s="2704"/>
      <c r="J241" s="1930"/>
      <c r="K241" s="1930"/>
      <c r="L241" s="1930"/>
      <c r="M241" s="450" t="s">
        <v>3175</v>
      </c>
      <c r="N241" s="450" t="s">
        <v>3176</v>
      </c>
      <c r="O241" s="450">
        <v>0.02</v>
      </c>
      <c r="P241" s="1088"/>
      <c r="Q241" s="1088"/>
      <c r="R241" s="301"/>
      <c r="S241" s="301"/>
      <c r="T241" s="301"/>
      <c r="U241" s="301"/>
      <c r="V241" s="301"/>
      <c r="W241" s="301"/>
      <c r="X241" s="301"/>
      <c r="Y241" s="301"/>
      <c r="Z241" s="301"/>
      <c r="AA241" s="301"/>
      <c r="AB241" s="1088"/>
      <c r="AC241" s="1088"/>
      <c r="AD241" s="1088"/>
      <c r="AE241" s="1088"/>
      <c r="AF241" s="1088"/>
      <c r="AG241" s="1088"/>
    </row>
    <row r="242" spans="1:33" s="434" customFormat="1" ht="18" customHeight="1" x14ac:dyDescent="0.25">
      <c r="A242" s="1087"/>
      <c r="B242" s="1085"/>
      <c r="C242" s="1086"/>
      <c r="D242" s="1086"/>
      <c r="E242" s="1086"/>
      <c r="F242" s="1084"/>
      <c r="G242" s="2611" t="s">
        <v>3447</v>
      </c>
      <c r="H242" s="2611"/>
      <c r="I242" s="2611"/>
      <c r="J242" s="2611"/>
      <c r="K242" s="2611"/>
      <c r="L242" s="2612"/>
      <c r="M242" s="1088" t="s">
        <v>3211</v>
      </c>
      <c r="N242" s="1100" t="s">
        <v>3212</v>
      </c>
      <c r="O242" s="1088">
        <f>0.285-0.15</f>
        <v>0.13499999999999998</v>
      </c>
      <c r="P242" s="1088"/>
      <c r="Q242" s="1088"/>
      <c r="R242" s="301"/>
      <c r="S242" s="301"/>
      <c r="T242" s="301"/>
      <c r="U242" s="301"/>
      <c r="V242" s="301"/>
      <c r="W242" s="301"/>
      <c r="X242" s="301"/>
      <c r="Y242" s="301"/>
      <c r="Z242" s="301"/>
      <c r="AA242" s="301"/>
      <c r="AB242" s="1088"/>
      <c r="AC242" s="1088"/>
      <c r="AD242" s="1088"/>
      <c r="AE242" s="1088"/>
      <c r="AF242" s="1088"/>
      <c r="AG242" s="1088"/>
    </row>
    <row r="243" spans="1:33" s="434" customFormat="1" ht="60" customHeight="1" x14ac:dyDescent="0.25">
      <c r="A243" s="1147"/>
      <c r="B243" s="1148"/>
      <c r="C243" s="1149"/>
      <c r="D243" s="1149"/>
      <c r="E243" s="1149"/>
      <c r="F243" s="1151"/>
      <c r="G243" s="1482" t="s">
        <v>3591</v>
      </c>
      <c r="H243" s="1482" t="s">
        <v>3592</v>
      </c>
      <c r="I243" s="1482" t="s">
        <v>15278</v>
      </c>
      <c r="J243" s="1482">
        <f>(0.25-0.06)*0.9</f>
        <v>0.17100000000000001</v>
      </c>
      <c r="K243" s="1390"/>
      <c r="L243" s="1390"/>
      <c r="M243" s="1390" t="s">
        <v>17056</v>
      </c>
      <c r="N243" s="1390" t="s">
        <v>17057</v>
      </c>
      <c r="O243" s="1390">
        <v>0.3</v>
      </c>
      <c r="P243" s="1390"/>
      <c r="Q243" s="1390"/>
      <c r="R243" s="301"/>
      <c r="S243" s="301"/>
      <c r="T243" s="301"/>
      <c r="U243" s="301"/>
      <c r="V243" s="301"/>
      <c r="W243" s="301"/>
      <c r="X243" s="301"/>
      <c r="Y243" s="301"/>
      <c r="Z243" s="301"/>
      <c r="AA243" s="301"/>
      <c r="AB243" s="1390"/>
      <c r="AC243" s="1390"/>
      <c r="AD243" s="1390"/>
      <c r="AE243" s="1390"/>
      <c r="AF243" s="1390"/>
      <c r="AG243" s="1390"/>
    </row>
    <row r="244" spans="1:33" s="434" customFormat="1" ht="60" customHeight="1" x14ac:dyDescent="0.25">
      <c r="A244" s="1269"/>
      <c r="B244" s="1270"/>
      <c r="C244" s="1271"/>
      <c r="D244" s="1271"/>
      <c r="E244" s="1271"/>
      <c r="F244" s="1274"/>
      <c r="G244" s="1578" t="s">
        <v>3471</v>
      </c>
      <c r="H244" s="1578" t="s">
        <v>3472</v>
      </c>
      <c r="I244" s="1578" t="s">
        <v>16732</v>
      </c>
      <c r="J244" s="1390">
        <f>0.02*0.9</f>
        <v>1.8000000000000002E-2</v>
      </c>
      <c r="K244" s="1390"/>
      <c r="L244" s="1390"/>
      <c r="M244" s="1390"/>
      <c r="N244" s="1578"/>
      <c r="O244" s="1390"/>
      <c r="P244" s="1390"/>
      <c r="Q244" s="1390"/>
      <c r="R244" s="301"/>
      <c r="S244" s="301"/>
      <c r="T244" s="301"/>
      <c r="U244" s="301"/>
      <c r="V244" s="301"/>
      <c r="W244" s="301"/>
      <c r="X244" s="301"/>
      <c r="Y244" s="301"/>
      <c r="Z244" s="301"/>
      <c r="AA244" s="301"/>
      <c r="AB244" s="1390"/>
      <c r="AC244" s="1390"/>
      <c r="AD244" s="1390"/>
      <c r="AE244" s="1390"/>
      <c r="AF244" s="1390"/>
      <c r="AG244" s="1390"/>
    </row>
    <row r="245" spans="1:33" s="434" customFormat="1" ht="27" customHeight="1" x14ac:dyDescent="0.25">
      <c r="A245" s="1366"/>
      <c r="B245" s="1364"/>
      <c r="C245" s="1365"/>
      <c r="D245" s="1365"/>
      <c r="E245" s="1365"/>
      <c r="F245" s="1363"/>
      <c r="G245" s="2679" t="s">
        <v>3401</v>
      </c>
      <c r="H245" s="2680"/>
      <c r="I245" s="2681"/>
      <c r="J245" s="1608">
        <f>0.263*0.9</f>
        <v>0.23670000000000002</v>
      </c>
      <c r="K245" s="1608"/>
      <c r="L245" s="1608"/>
      <c r="M245" s="1390"/>
      <c r="N245" s="1390"/>
      <c r="O245" s="1390"/>
      <c r="P245" s="1390"/>
      <c r="Q245" s="1390"/>
      <c r="R245" s="301"/>
      <c r="S245" s="301"/>
      <c r="T245" s="301"/>
      <c r="U245" s="301"/>
      <c r="V245" s="301"/>
      <c r="W245" s="301"/>
      <c r="X245" s="301"/>
      <c r="Y245" s="301"/>
      <c r="Z245" s="301"/>
      <c r="AA245" s="301"/>
      <c r="AB245" s="1390"/>
      <c r="AC245" s="1390"/>
      <c r="AD245" s="1390"/>
      <c r="AE245" s="1390"/>
      <c r="AF245" s="1390"/>
      <c r="AG245" s="1390"/>
    </row>
    <row r="246" spans="1:33" s="434" customFormat="1" ht="60" customHeight="1" x14ac:dyDescent="0.25">
      <c r="A246" s="1385"/>
      <c r="B246" s="1386"/>
      <c r="C246" s="1387"/>
      <c r="D246" s="1387"/>
      <c r="E246" s="1387"/>
      <c r="F246" s="1391"/>
      <c r="G246" s="1751" t="s">
        <v>3326</v>
      </c>
      <c r="H246" s="1751" t="s">
        <v>3327</v>
      </c>
      <c r="I246" s="1751" t="s">
        <v>16868</v>
      </c>
      <c r="J246" s="1390">
        <f>1*0.9</f>
        <v>0.9</v>
      </c>
      <c r="K246" s="1390"/>
      <c r="L246" s="1390"/>
      <c r="M246" s="1390" t="s">
        <v>3471</v>
      </c>
      <c r="N246" s="1714" t="s">
        <v>3616</v>
      </c>
      <c r="O246" s="1390">
        <f>0.02-0.01</f>
        <v>0.01</v>
      </c>
      <c r="P246" s="1390"/>
      <c r="Q246" s="1390"/>
      <c r="R246" s="301"/>
      <c r="S246" s="301"/>
      <c r="T246" s="301"/>
      <c r="U246" s="301"/>
      <c r="V246" s="301"/>
      <c r="W246" s="301"/>
      <c r="X246" s="301"/>
      <c r="Y246" s="301"/>
      <c r="Z246" s="301"/>
      <c r="AA246" s="301"/>
      <c r="AB246" s="1390"/>
      <c r="AC246" s="1390"/>
      <c r="AD246" s="1390"/>
      <c r="AE246" s="1390"/>
      <c r="AF246" s="1390"/>
      <c r="AG246" s="1390"/>
    </row>
    <row r="247" spans="1:33" s="434" customFormat="1" ht="60" customHeight="1" x14ac:dyDescent="0.25">
      <c r="A247" s="2078"/>
      <c r="B247" s="2079"/>
      <c r="C247" s="2080"/>
      <c r="D247" s="2080"/>
      <c r="E247" s="2080"/>
      <c r="F247" s="2089"/>
      <c r="G247" s="2611" t="s">
        <v>17005</v>
      </c>
      <c r="H247" s="2611"/>
      <c r="I247" s="2611"/>
      <c r="J247" s="2611"/>
      <c r="K247" s="2611"/>
      <c r="L247" s="2612"/>
      <c r="M247" s="601"/>
      <c r="N247" s="455"/>
      <c r="O247" s="450"/>
      <c r="P247" s="450"/>
      <c r="Q247" s="450"/>
      <c r="R247" s="451"/>
      <c r="S247" s="452"/>
      <c r="T247" s="453"/>
      <c r="U247" s="453"/>
      <c r="V247" s="453"/>
      <c r="W247" s="451"/>
      <c r="X247" s="452"/>
      <c r="Y247" s="453"/>
      <c r="Z247" s="453"/>
      <c r="AA247" s="451"/>
      <c r="AB247" s="601"/>
      <c r="AC247" s="699"/>
      <c r="AD247" s="455"/>
      <c r="AE247" s="450"/>
      <c r="AF247" s="450"/>
      <c r="AG247" s="450"/>
    </row>
    <row r="248" spans="1:33" s="434" customFormat="1" ht="60" customHeight="1" x14ac:dyDescent="0.25">
      <c r="A248" s="2078"/>
      <c r="B248" s="2079"/>
      <c r="C248" s="2080"/>
      <c r="D248" s="2080"/>
      <c r="E248" s="2080"/>
      <c r="F248" s="2089"/>
      <c r="G248" s="699" t="s">
        <v>19816</v>
      </c>
      <c r="H248" s="699" t="s">
        <v>19817</v>
      </c>
      <c r="I248" s="455" t="s">
        <v>19818</v>
      </c>
      <c r="J248" s="450">
        <f>0.1*0.9</f>
        <v>9.0000000000000011E-2</v>
      </c>
      <c r="K248" s="450"/>
      <c r="L248" s="450"/>
      <c r="M248" s="601"/>
      <c r="N248" s="455"/>
      <c r="O248" s="450"/>
      <c r="P248" s="450"/>
      <c r="Q248" s="450"/>
      <c r="R248" s="451"/>
      <c r="S248" s="452"/>
      <c r="T248" s="453"/>
      <c r="U248" s="453"/>
      <c r="V248" s="453"/>
      <c r="W248" s="451"/>
      <c r="X248" s="452"/>
      <c r="Y248" s="453"/>
      <c r="Z248" s="453"/>
      <c r="AA248" s="451"/>
      <c r="AB248" s="601"/>
      <c r="AC248" s="699"/>
      <c r="AD248" s="455"/>
      <c r="AE248" s="450"/>
      <c r="AF248" s="450"/>
      <c r="AG248" s="450"/>
    </row>
    <row r="249" spans="1:33" s="434" customFormat="1" ht="35.25" customHeight="1" x14ac:dyDescent="0.25">
      <c r="A249" s="2220"/>
      <c r="B249" s="2221"/>
      <c r="C249" s="2222"/>
      <c r="D249" s="2222"/>
      <c r="E249" s="2222"/>
      <c r="F249" s="2234"/>
      <c r="G249" s="2679" t="s">
        <v>3401</v>
      </c>
      <c r="H249" s="2680"/>
      <c r="I249" s="2681"/>
      <c r="J249" s="1608">
        <f>0.33725*0.9</f>
        <v>0.30352499999999999</v>
      </c>
      <c r="K249" s="1608"/>
      <c r="L249" s="1608"/>
      <c r="M249" s="601"/>
      <c r="N249" s="455"/>
      <c r="O249" s="450"/>
      <c r="P249" s="450"/>
      <c r="Q249" s="450"/>
      <c r="R249" s="451"/>
      <c r="S249" s="452"/>
      <c r="T249" s="453"/>
      <c r="U249" s="453"/>
      <c r="V249" s="453"/>
      <c r="W249" s="451"/>
      <c r="X249" s="452"/>
      <c r="Y249" s="453"/>
      <c r="Z249" s="453"/>
      <c r="AA249" s="451"/>
      <c r="AB249" s="601"/>
      <c r="AC249" s="699"/>
      <c r="AD249" s="455"/>
      <c r="AE249" s="450"/>
      <c r="AF249" s="450"/>
      <c r="AG249" s="450"/>
    </row>
    <row r="250" spans="1:33" ht="26.25" customHeight="1" thickBot="1" x14ac:dyDescent="0.3">
      <c r="A250" s="525"/>
      <c r="B250" s="516"/>
      <c r="C250" s="503"/>
      <c r="D250" s="503"/>
      <c r="E250" s="503"/>
      <c r="F250" s="517"/>
      <c r="G250" s="2578" t="s">
        <v>1833</v>
      </c>
      <c r="H250" s="2578"/>
      <c r="I250" s="2579"/>
      <c r="J250" s="13">
        <f>SUM(J243:J249)</f>
        <v>1.7192250000000002</v>
      </c>
      <c r="K250" s="14">
        <v>0.93</v>
      </c>
      <c r="L250" s="13">
        <f>J250/K250</f>
        <v>1.8486290322580647</v>
      </c>
      <c r="M250" s="2577" t="s">
        <v>1834</v>
      </c>
      <c r="N250" s="2579"/>
      <c r="O250" s="13">
        <f>SUM(O237:O246)</f>
        <v>2.7349999999999999</v>
      </c>
      <c r="P250" s="14">
        <v>0.92</v>
      </c>
      <c r="Q250" s="13">
        <f>O250/P250</f>
        <v>2.9728260869565215</v>
      </c>
      <c r="R250" s="2738" t="s">
        <v>1835</v>
      </c>
      <c r="S250" s="2739"/>
      <c r="T250" s="30">
        <f>SUM(T237:T240)</f>
        <v>0</v>
      </c>
      <c r="U250" s="31">
        <v>0.8</v>
      </c>
      <c r="V250" s="30">
        <f>T250/U250</f>
        <v>0</v>
      </c>
      <c r="W250" s="2738" t="s">
        <v>1836</v>
      </c>
      <c r="X250" s="2739"/>
      <c r="Y250" s="30">
        <f>SUM(Y237:Y240)</f>
        <v>0</v>
      </c>
      <c r="Z250" s="31">
        <v>0.8</v>
      </c>
      <c r="AA250" s="32">
        <f>Y250/Z250</f>
        <v>0</v>
      </c>
      <c r="AB250" s="2577" t="s">
        <v>1833</v>
      </c>
      <c r="AC250" s="2578"/>
      <c r="AD250" s="2579"/>
      <c r="AE250" s="13">
        <f>SUM(AE237:AE240)</f>
        <v>0</v>
      </c>
      <c r="AF250" s="14">
        <v>0.92</v>
      </c>
      <c r="AG250" s="13">
        <f>AE250/AF250</f>
        <v>0</v>
      </c>
    </row>
    <row r="251" spans="1:33" s="434" customFormat="1" ht="41.25" customHeight="1" thickBot="1" x14ac:dyDescent="0.3">
      <c r="A251" s="2693" t="str">
        <f>Итоговая!C189</f>
        <v xml:space="preserve">ПС 110/35/10 кВ  Верхняя Троица </v>
      </c>
      <c r="B251" s="2689">
        <f>Итоговая!D189</f>
        <v>6.3</v>
      </c>
      <c r="C251" s="2691" t="str">
        <f>Итоговая!E189</f>
        <v>+</v>
      </c>
      <c r="D251" s="2691">
        <f>Итоговая!F189</f>
        <v>6.3</v>
      </c>
      <c r="E251" s="508"/>
      <c r="F251" s="509"/>
      <c r="G251" s="2583" t="s">
        <v>1960</v>
      </c>
      <c r="H251" s="2583"/>
      <c r="I251" s="2583"/>
      <c r="J251" s="2583"/>
      <c r="K251" s="2583"/>
      <c r="L251" s="2584"/>
      <c r="M251" s="443" t="s">
        <v>615</v>
      </c>
      <c r="N251" s="443" t="s">
        <v>616</v>
      </c>
      <c r="O251" s="443">
        <v>0.25</v>
      </c>
      <c r="P251" s="478"/>
      <c r="Q251" s="478"/>
      <c r="R251" s="437"/>
      <c r="S251" s="438"/>
      <c r="T251" s="417"/>
      <c r="U251" s="417"/>
      <c r="V251" s="417"/>
      <c r="W251" s="437"/>
      <c r="X251" s="438"/>
      <c r="Y251" s="417"/>
      <c r="Z251" s="417"/>
      <c r="AA251" s="439"/>
      <c r="AB251" s="2707"/>
      <c r="AC251" s="2708"/>
      <c r="AD251" s="2708"/>
      <c r="AE251" s="2708"/>
      <c r="AF251" s="2708"/>
      <c r="AG251" s="2709"/>
    </row>
    <row r="252" spans="1:33" s="434" customFormat="1" ht="41.25" customHeight="1" x14ac:dyDescent="0.25">
      <c r="A252" s="2694"/>
      <c r="B252" s="2690"/>
      <c r="C252" s="2692"/>
      <c r="D252" s="2692"/>
      <c r="E252" s="499"/>
      <c r="F252" s="510"/>
      <c r="G252" s="442" t="s">
        <v>612</v>
      </c>
      <c r="H252" s="443" t="s">
        <v>613</v>
      </c>
      <c r="I252" s="443" t="s">
        <v>614</v>
      </c>
      <c r="J252" s="443">
        <v>2.5000000000000001E-2</v>
      </c>
      <c r="K252" s="443"/>
      <c r="L252" s="443"/>
      <c r="M252" s="414" t="s">
        <v>617</v>
      </c>
      <c r="N252" s="1245" t="s">
        <v>618</v>
      </c>
      <c r="O252" s="414">
        <v>7.0000000000000007E-2</v>
      </c>
      <c r="P252" s="443"/>
      <c r="Q252" s="443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6"/>
      <c r="AB252" s="443"/>
      <c r="AC252" s="443"/>
      <c r="AD252" s="443"/>
      <c r="AE252" s="443"/>
      <c r="AF252" s="443"/>
      <c r="AG252" s="443"/>
    </row>
    <row r="253" spans="1:33" s="434" customFormat="1" ht="17.25" customHeight="1" x14ac:dyDescent="0.25">
      <c r="A253" s="535"/>
      <c r="B253" s="511"/>
      <c r="C253" s="499"/>
      <c r="D253" s="499"/>
      <c r="E253" s="499"/>
      <c r="F253" s="510"/>
      <c r="G253" s="2611" t="s">
        <v>1959</v>
      </c>
      <c r="H253" s="2611"/>
      <c r="I253" s="2611"/>
      <c r="J253" s="2611"/>
      <c r="K253" s="2611"/>
      <c r="L253" s="2612"/>
      <c r="M253" s="414" t="s">
        <v>43</v>
      </c>
      <c r="N253" s="414" t="s">
        <v>44</v>
      </c>
      <c r="O253" s="414">
        <v>0.08</v>
      </c>
      <c r="P253" s="443"/>
      <c r="Q253" s="443"/>
      <c r="R253" s="418"/>
      <c r="S253" s="418"/>
      <c r="T253" s="418"/>
      <c r="U253" s="418"/>
      <c r="V253" s="418"/>
      <c r="W253" s="418"/>
      <c r="X253" s="418"/>
      <c r="Y253" s="418"/>
      <c r="Z253" s="418"/>
      <c r="AA253" s="433"/>
      <c r="AB253" s="2702"/>
      <c r="AC253" s="2703"/>
      <c r="AD253" s="2703"/>
      <c r="AE253" s="2703"/>
      <c r="AF253" s="2703"/>
      <c r="AG253" s="2704"/>
    </row>
    <row r="254" spans="1:33" s="434" customFormat="1" ht="63" customHeight="1" x14ac:dyDescent="0.25">
      <c r="A254" s="535"/>
      <c r="B254" s="511"/>
      <c r="C254" s="499"/>
      <c r="D254" s="499"/>
      <c r="E254" s="499"/>
      <c r="F254" s="510"/>
      <c r="G254" s="448" t="s">
        <v>619</v>
      </c>
      <c r="H254" s="414" t="s">
        <v>620</v>
      </c>
      <c r="I254" s="414" t="s">
        <v>2301</v>
      </c>
      <c r="J254" s="450">
        <v>4.4999999999999998E-2</v>
      </c>
      <c r="K254" s="414"/>
      <c r="L254" s="414"/>
      <c r="M254" s="431" t="s">
        <v>3437</v>
      </c>
      <c r="N254" s="484" t="s">
        <v>3438</v>
      </c>
      <c r="O254" s="431">
        <f>0.3-0.1</f>
        <v>0.19999999999999998</v>
      </c>
      <c r="P254" s="414"/>
      <c r="Q254" s="414"/>
      <c r="R254" s="301"/>
      <c r="S254" s="301"/>
      <c r="T254" s="301"/>
      <c r="U254" s="301"/>
      <c r="V254" s="301"/>
      <c r="W254" s="301"/>
      <c r="X254" s="301"/>
      <c r="Y254" s="301"/>
      <c r="Z254" s="301"/>
      <c r="AA254" s="449"/>
      <c r="AB254" s="414"/>
      <c r="AC254" s="414"/>
      <c r="AD254" s="414"/>
      <c r="AE254" s="450"/>
      <c r="AF254" s="414"/>
      <c r="AG254" s="414"/>
    </row>
    <row r="255" spans="1:33" s="434" customFormat="1" ht="17.25" customHeight="1" x14ac:dyDescent="0.25">
      <c r="A255" s="1177"/>
      <c r="B255" s="1178"/>
      <c r="C255" s="1179"/>
      <c r="D255" s="1179"/>
      <c r="E255" s="1179"/>
      <c r="F255" s="1180"/>
      <c r="G255" s="2611" t="s">
        <v>17005</v>
      </c>
      <c r="H255" s="2611"/>
      <c r="I255" s="2611"/>
      <c r="J255" s="2611"/>
      <c r="K255" s="2611"/>
      <c r="L255" s="2612"/>
      <c r="M255" s="431" t="s">
        <v>3539</v>
      </c>
      <c r="N255" s="431" t="s">
        <v>3540</v>
      </c>
      <c r="O255" s="431">
        <v>0.16</v>
      </c>
      <c r="P255" s="1319"/>
      <c r="Q255" s="1319"/>
      <c r="R255" s="301"/>
      <c r="S255" s="301"/>
      <c r="T255" s="301"/>
      <c r="U255" s="301"/>
      <c r="V255" s="301"/>
      <c r="W255" s="301"/>
      <c r="X255" s="301"/>
      <c r="Y255" s="301"/>
      <c r="Z255" s="301"/>
      <c r="AA255" s="301"/>
      <c r="AB255" s="1319"/>
      <c r="AC255" s="1319"/>
      <c r="AD255" s="1319"/>
      <c r="AE255" s="1319"/>
      <c r="AF255" s="1319"/>
      <c r="AG255" s="1319"/>
    </row>
    <row r="256" spans="1:33" s="434" customFormat="1" ht="63" customHeight="1" x14ac:dyDescent="0.25">
      <c r="A256" s="1177"/>
      <c r="B256" s="1178"/>
      <c r="C256" s="1179"/>
      <c r="D256" s="1179"/>
      <c r="E256" s="1179"/>
      <c r="F256" s="1180"/>
      <c r="G256" s="2679" t="s">
        <v>3401</v>
      </c>
      <c r="H256" s="2680"/>
      <c r="I256" s="2681"/>
      <c r="J256" s="1608">
        <f>0.16714*0.9</f>
        <v>0.150426</v>
      </c>
      <c r="K256" s="1608"/>
      <c r="L256" s="1608"/>
      <c r="M256" s="431" t="s">
        <v>3602</v>
      </c>
      <c r="N256" s="484" t="s">
        <v>3603</v>
      </c>
      <c r="O256" s="431">
        <f>0.333-0.2</f>
        <v>0.13300000000000001</v>
      </c>
      <c r="P256" s="1319"/>
      <c r="Q256" s="1319"/>
      <c r="R256" s="301"/>
      <c r="S256" s="301"/>
      <c r="T256" s="301"/>
      <c r="U256" s="301"/>
      <c r="V256" s="301"/>
      <c r="W256" s="301"/>
      <c r="X256" s="301"/>
      <c r="Y256" s="301"/>
      <c r="Z256" s="301"/>
      <c r="AA256" s="301"/>
      <c r="AB256" s="1319"/>
      <c r="AC256" s="1319"/>
      <c r="AD256" s="1319"/>
      <c r="AE256" s="1319"/>
      <c r="AF256" s="1319"/>
      <c r="AG256" s="1319"/>
    </row>
    <row r="257" spans="1:33" s="434" customFormat="1" ht="20.25" customHeight="1" x14ac:dyDescent="0.25">
      <c r="A257" s="1602"/>
      <c r="B257" s="1603"/>
      <c r="C257" s="1604"/>
      <c r="D257" s="1604"/>
      <c r="E257" s="1604"/>
      <c r="F257" s="1607"/>
      <c r="G257" s="315"/>
      <c r="H257" s="315"/>
      <c r="I257" s="315"/>
      <c r="J257" s="315"/>
      <c r="K257" s="315"/>
      <c r="L257" s="315"/>
      <c r="M257" s="431"/>
      <c r="N257" s="1393"/>
      <c r="O257" s="1069"/>
      <c r="P257" s="450"/>
      <c r="Q257" s="450"/>
      <c r="R257" s="451"/>
      <c r="S257" s="452"/>
      <c r="T257" s="453"/>
      <c r="U257" s="453"/>
      <c r="V257" s="453"/>
      <c r="W257" s="451"/>
      <c r="X257" s="452"/>
      <c r="Y257" s="453"/>
      <c r="Z257" s="453"/>
      <c r="AA257" s="451"/>
      <c r="AB257" s="601"/>
      <c r="AC257" s="699"/>
      <c r="AD257" s="455"/>
      <c r="AE257" s="450"/>
      <c r="AF257" s="450"/>
      <c r="AG257" s="450"/>
    </row>
    <row r="258" spans="1:33" s="434" customFormat="1" ht="63" customHeight="1" x14ac:dyDescent="0.25">
      <c r="A258" s="1366"/>
      <c r="B258" s="1364"/>
      <c r="C258" s="1365"/>
      <c r="D258" s="1365"/>
      <c r="E258" s="1365"/>
      <c r="F258" s="1363"/>
      <c r="G258" s="315"/>
      <c r="H258" s="315"/>
      <c r="I258" s="315"/>
      <c r="J258" s="315"/>
      <c r="K258" s="315"/>
      <c r="L258" s="315"/>
      <c r="M258" s="431" t="s">
        <v>3602</v>
      </c>
      <c r="N258" s="1393" t="s">
        <v>3604</v>
      </c>
      <c r="O258" s="1069">
        <v>0.26</v>
      </c>
      <c r="P258" s="450"/>
      <c r="Q258" s="450"/>
      <c r="R258" s="451"/>
      <c r="S258" s="452"/>
      <c r="T258" s="453"/>
      <c r="U258" s="453"/>
      <c r="V258" s="453"/>
      <c r="W258" s="451"/>
      <c r="X258" s="452"/>
      <c r="Y258" s="453"/>
      <c r="Z258" s="453"/>
      <c r="AA258" s="451"/>
      <c r="AB258" s="601"/>
      <c r="AC258" s="699"/>
      <c r="AD258" s="455"/>
      <c r="AE258" s="450"/>
      <c r="AF258" s="450"/>
      <c r="AG258" s="450"/>
    </row>
    <row r="259" spans="1:33" ht="15.75" thickBot="1" x14ac:dyDescent="0.3">
      <c r="A259" s="525"/>
      <c r="B259" s="516"/>
      <c r="C259" s="503"/>
      <c r="D259" s="503"/>
      <c r="E259" s="503"/>
      <c r="F259" s="517"/>
      <c r="G259" s="2578" t="s">
        <v>1833</v>
      </c>
      <c r="H259" s="2578"/>
      <c r="I259" s="2579"/>
      <c r="J259" s="13">
        <f>SUM(J256:J258)</f>
        <v>0.150426</v>
      </c>
      <c r="K259" s="14">
        <v>0.92</v>
      </c>
      <c r="L259" s="13">
        <f>J259/K259</f>
        <v>0.16350652173913044</v>
      </c>
      <c r="M259" s="2577" t="s">
        <v>1834</v>
      </c>
      <c r="N259" s="2579"/>
      <c r="O259" s="13">
        <f>SUM(O251:O258)</f>
        <v>1.153</v>
      </c>
      <c r="P259" s="14">
        <v>0.92</v>
      </c>
      <c r="Q259" s="13">
        <f>O259/P259</f>
        <v>1.2532608695652174</v>
      </c>
      <c r="R259" s="2738" t="s">
        <v>1835</v>
      </c>
      <c r="S259" s="2739"/>
      <c r="T259" s="30">
        <f>SUM(T252:T254)</f>
        <v>0</v>
      </c>
      <c r="U259" s="31">
        <v>0.8</v>
      </c>
      <c r="V259" s="30">
        <f>T259/U259</f>
        <v>0</v>
      </c>
      <c r="W259" s="2738" t="s">
        <v>1836</v>
      </c>
      <c r="X259" s="2739"/>
      <c r="Y259" s="30">
        <f>SUM(Y252:Y254)</f>
        <v>0</v>
      </c>
      <c r="Z259" s="31">
        <v>0.8</v>
      </c>
      <c r="AA259" s="32">
        <f>Y259/Z259</f>
        <v>0</v>
      </c>
      <c r="AB259" s="2577" t="s">
        <v>1833</v>
      </c>
      <c r="AC259" s="2578"/>
      <c r="AD259" s="2579"/>
      <c r="AE259" s="13">
        <f>SUM(AE252:AE254)</f>
        <v>0</v>
      </c>
      <c r="AF259" s="14">
        <v>0.92</v>
      </c>
      <c r="AG259" s="13">
        <f>AE259/AF259</f>
        <v>0</v>
      </c>
    </row>
    <row r="260" spans="1:33" ht="25.5" customHeight="1" x14ac:dyDescent="0.25">
      <c r="A260" s="524" t="str">
        <f>Итоговая!C192</f>
        <v xml:space="preserve">ПС 110/35/10 кВ Горицы </v>
      </c>
      <c r="B260" s="507">
        <f>Итоговая!D192</f>
        <v>6.3</v>
      </c>
      <c r="C260" s="508" t="str">
        <f>Итоговая!E192</f>
        <v>+</v>
      </c>
      <c r="D260" s="508">
        <f>Итоговая!F192</f>
        <v>6.3</v>
      </c>
      <c r="E260" s="508"/>
      <c r="F260" s="509"/>
      <c r="G260" s="2655" t="s">
        <v>3020</v>
      </c>
      <c r="H260" s="2655"/>
      <c r="I260" s="2655"/>
      <c r="J260" s="2655"/>
      <c r="K260" s="2655"/>
      <c r="L260" s="2656"/>
      <c r="M260" s="9" t="s">
        <v>2511</v>
      </c>
      <c r="N260" s="9" t="s">
        <v>3119</v>
      </c>
      <c r="O260" s="17">
        <v>2.1000000000000001E-2</v>
      </c>
      <c r="P260" s="17"/>
      <c r="Q260" s="17"/>
      <c r="R260" s="27"/>
      <c r="S260" s="27"/>
      <c r="T260" s="27"/>
      <c r="U260" s="27"/>
      <c r="V260" s="27"/>
      <c r="W260" s="27"/>
      <c r="X260" s="27"/>
      <c r="Y260" s="27"/>
      <c r="Z260" s="27"/>
      <c r="AA260" s="28"/>
      <c r="AB260" s="17"/>
      <c r="AC260" s="17"/>
      <c r="AD260" s="17"/>
      <c r="AE260" s="17"/>
      <c r="AF260" s="17"/>
      <c r="AG260" s="73"/>
    </row>
    <row r="261" spans="1:33" ht="25.5" customHeight="1" x14ac:dyDescent="0.25">
      <c r="A261" s="1026"/>
      <c r="B261" s="1020"/>
      <c r="C261" s="1021"/>
      <c r="D261" s="1021"/>
      <c r="E261" s="1021"/>
      <c r="F261" s="1019"/>
      <c r="G261" s="1" t="s">
        <v>2511</v>
      </c>
      <c r="H261" s="1" t="s">
        <v>2559</v>
      </c>
      <c r="I261" s="1" t="s">
        <v>3089</v>
      </c>
      <c r="J261" s="1">
        <v>2.3E-2</v>
      </c>
      <c r="K261" s="1"/>
      <c r="L261" s="22"/>
      <c r="M261" s="581" t="s">
        <v>16936</v>
      </c>
      <c r="N261" s="41" t="s">
        <v>16937</v>
      </c>
      <c r="O261" s="128">
        <f>0.05-0.015</f>
        <v>3.5000000000000003E-2</v>
      </c>
      <c r="P261" s="128"/>
      <c r="Q261" s="128"/>
      <c r="R261" s="110"/>
      <c r="S261" s="111"/>
      <c r="T261" s="39"/>
      <c r="U261" s="39"/>
      <c r="V261" s="39"/>
      <c r="W261" s="110"/>
      <c r="X261" s="111"/>
      <c r="Y261" s="39"/>
      <c r="Z261" s="39"/>
      <c r="AA261" s="605"/>
      <c r="AB261" s="581"/>
      <c r="AC261" s="40"/>
      <c r="AD261" s="41"/>
      <c r="AE261" s="128"/>
      <c r="AF261" s="128"/>
      <c r="AG261" s="69"/>
    </row>
    <row r="262" spans="1:33" ht="25.5" customHeight="1" x14ac:dyDescent="0.25">
      <c r="A262" s="1177"/>
      <c r="B262" s="1178"/>
      <c r="C262" s="1179"/>
      <c r="D262" s="1179"/>
      <c r="E262" s="1179"/>
      <c r="F262" s="1180"/>
      <c r="G262" s="2624"/>
      <c r="H262" s="2599"/>
      <c r="I262" s="2600"/>
      <c r="J262" s="1954"/>
      <c r="K262" s="1954"/>
      <c r="L262" s="1954"/>
      <c r="M262" s="581"/>
      <c r="N262" s="41"/>
      <c r="O262" s="128"/>
      <c r="P262" s="128"/>
      <c r="Q262" s="128"/>
      <c r="R262" s="110"/>
      <c r="S262" s="111"/>
      <c r="T262" s="39"/>
      <c r="U262" s="39"/>
      <c r="V262" s="39"/>
      <c r="W262" s="110"/>
      <c r="X262" s="111"/>
      <c r="Y262" s="39"/>
      <c r="Z262" s="39"/>
      <c r="AA262" s="605"/>
      <c r="AB262" s="581"/>
      <c r="AC262" s="40"/>
      <c r="AD262" s="41"/>
      <c r="AE262" s="128"/>
      <c r="AF262" s="128"/>
      <c r="AG262" s="69"/>
    </row>
    <row r="263" spans="1:33" ht="25.5" customHeight="1" x14ac:dyDescent="0.25">
      <c r="A263" s="1638"/>
      <c r="B263" s="1639"/>
      <c r="C263" s="1640"/>
      <c r="D263" s="1640"/>
      <c r="E263" s="1640"/>
      <c r="F263" s="1646"/>
      <c r="G263" s="2611" t="s">
        <v>17005</v>
      </c>
      <c r="H263" s="2611"/>
      <c r="I263" s="2611"/>
      <c r="J263" s="2611"/>
      <c r="K263" s="2611"/>
      <c r="L263" s="2612"/>
      <c r="M263" s="1632"/>
      <c r="N263" s="1633"/>
      <c r="O263" s="1630"/>
      <c r="P263" s="1630"/>
      <c r="Q263" s="1630"/>
      <c r="R263" s="110"/>
      <c r="S263" s="111"/>
      <c r="T263" s="39"/>
      <c r="U263" s="39"/>
      <c r="V263" s="39"/>
      <c r="W263" s="110"/>
      <c r="X263" s="111"/>
      <c r="Y263" s="39"/>
      <c r="Z263" s="39"/>
      <c r="AA263" s="605"/>
      <c r="AB263" s="1632"/>
      <c r="AC263" s="1628"/>
      <c r="AD263" s="1633"/>
      <c r="AE263" s="1630"/>
      <c r="AF263" s="1630"/>
      <c r="AG263" s="69"/>
    </row>
    <row r="264" spans="1:33" ht="25.5" customHeight="1" x14ac:dyDescent="0.25">
      <c r="A264" s="1638"/>
      <c r="B264" s="1639"/>
      <c r="C264" s="1640"/>
      <c r="D264" s="1640"/>
      <c r="E264" s="1640"/>
      <c r="F264" s="1646"/>
      <c r="G264" s="2679" t="s">
        <v>3401</v>
      </c>
      <c r="H264" s="2680"/>
      <c r="I264" s="2681"/>
      <c r="J264" s="1608">
        <f>0.127*0.9</f>
        <v>0.1143</v>
      </c>
      <c r="K264" s="1608"/>
      <c r="L264" s="1608"/>
      <c r="M264" s="1632"/>
      <c r="N264" s="1633"/>
      <c r="O264" s="1630"/>
      <c r="P264" s="1630"/>
      <c r="Q264" s="1630"/>
      <c r="R264" s="110"/>
      <c r="S264" s="111"/>
      <c r="T264" s="39"/>
      <c r="U264" s="39"/>
      <c r="V264" s="39"/>
      <c r="W264" s="110"/>
      <c r="X264" s="111"/>
      <c r="Y264" s="39"/>
      <c r="Z264" s="39"/>
      <c r="AA264" s="605"/>
      <c r="AB264" s="1632"/>
      <c r="AC264" s="1628"/>
      <c r="AD264" s="1633"/>
      <c r="AE264" s="1630"/>
      <c r="AF264" s="1630"/>
      <c r="AG264" s="69"/>
    </row>
    <row r="265" spans="1:33" ht="18.75" customHeight="1" thickBot="1" x14ac:dyDescent="0.3">
      <c r="A265" s="525"/>
      <c r="B265" s="516"/>
      <c r="C265" s="503"/>
      <c r="D265" s="503"/>
      <c r="E265" s="503"/>
      <c r="F265" s="517"/>
      <c r="G265" s="2578" t="s">
        <v>1833</v>
      </c>
      <c r="H265" s="2578"/>
      <c r="I265" s="2579"/>
      <c r="J265" s="13">
        <f>SUM(J260:J264)</f>
        <v>0.13730000000000001</v>
      </c>
      <c r="K265" s="14">
        <v>0.92</v>
      </c>
      <c r="L265" s="13">
        <f>J265/K265</f>
        <v>0.1492391304347826</v>
      </c>
      <c r="M265" s="2577" t="s">
        <v>1834</v>
      </c>
      <c r="N265" s="2579"/>
      <c r="O265" s="13">
        <f>SUM(O260:O261)</f>
        <v>5.6000000000000008E-2</v>
      </c>
      <c r="P265" s="14">
        <v>0.92</v>
      </c>
      <c r="Q265" s="13">
        <f>O265/P265</f>
        <v>6.0869565217391314E-2</v>
      </c>
      <c r="R265" s="2738" t="s">
        <v>1835</v>
      </c>
      <c r="S265" s="2739"/>
      <c r="T265" s="30">
        <f>SUM(T260:T260)</f>
        <v>0</v>
      </c>
      <c r="U265" s="31">
        <v>0.8</v>
      </c>
      <c r="V265" s="30">
        <f>T265/U265</f>
        <v>0</v>
      </c>
      <c r="W265" s="2738" t="s">
        <v>1836</v>
      </c>
      <c r="X265" s="2739"/>
      <c r="Y265" s="30">
        <f>SUM(Y260:Y260)</f>
        <v>0</v>
      </c>
      <c r="Z265" s="31">
        <v>0.8</v>
      </c>
      <c r="AA265" s="32">
        <f>Y265/Z265</f>
        <v>0</v>
      </c>
      <c r="AB265" s="2577" t="s">
        <v>1833</v>
      </c>
      <c r="AC265" s="2578"/>
      <c r="AD265" s="2579"/>
      <c r="AE265" s="13">
        <f>SUM(AE260:AE260)</f>
        <v>0</v>
      </c>
      <c r="AF265" s="14">
        <v>0.92</v>
      </c>
      <c r="AG265" s="13">
        <f>AE265/AF265</f>
        <v>0</v>
      </c>
    </row>
    <row r="266" spans="1:33" s="434" customFormat="1" ht="15.75" thickBot="1" x14ac:dyDescent="0.3">
      <c r="A266" s="2693" t="str">
        <f>Итоговая!C195</f>
        <v xml:space="preserve">ПС 110/35/10 кВ Луч </v>
      </c>
      <c r="B266" s="2689">
        <f>Итоговая!D195</f>
        <v>16</v>
      </c>
      <c r="C266" s="2691" t="str">
        <f>Итоговая!E195</f>
        <v>+</v>
      </c>
      <c r="D266" s="2691">
        <f>Итоговая!F195</f>
        <v>16</v>
      </c>
      <c r="E266" s="508"/>
      <c r="F266" s="509"/>
      <c r="G266" s="2583" t="s">
        <v>1963</v>
      </c>
      <c r="H266" s="2583"/>
      <c r="I266" s="2583"/>
      <c r="J266" s="2583"/>
      <c r="K266" s="2583"/>
      <c r="L266" s="2584"/>
      <c r="M266" s="476"/>
      <c r="N266" s="477"/>
      <c r="O266" s="478"/>
      <c r="P266" s="478"/>
      <c r="Q266" s="478"/>
      <c r="R266" s="437"/>
      <c r="S266" s="438"/>
      <c r="T266" s="417"/>
      <c r="U266" s="417"/>
      <c r="V266" s="417"/>
      <c r="W266" s="437"/>
      <c r="X266" s="438"/>
      <c r="Y266" s="417"/>
      <c r="Z266" s="417"/>
      <c r="AA266" s="439"/>
      <c r="AB266" s="2707"/>
      <c r="AC266" s="2708"/>
      <c r="AD266" s="2708"/>
      <c r="AE266" s="2708"/>
      <c r="AF266" s="2708"/>
      <c r="AG266" s="2709"/>
    </row>
    <row r="267" spans="1:33" s="434" customFormat="1" ht="44.25" customHeight="1" x14ac:dyDescent="0.25">
      <c r="A267" s="2694"/>
      <c r="B267" s="2690"/>
      <c r="C267" s="2692"/>
      <c r="D267" s="2692"/>
      <c r="E267" s="499"/>
      <c r="F267" s="510"/>
      <c r="G267" s="387" t="s">
        <v>1201</v>
      </c>
      <c r="H267" s="385" t="s">
        <v>1202</v>
      </c>
      <c r="I267" s="385" t="s">
        <v>1203</v>
      </c>
      <c r="J267" s="385">
        <v>0.5</v>
      </c>
      <c r="K267" s="385"/>
      <c r="L267" s="385"/>
      <c r="M267" s="443" t="s">
        <v>1204</v>
      </c>
      <c r="N267" s="443" t="s">
        <v>1205</v>
      </c>
      <c r="O267" s="443">
        <v>1.9800000000000002E-2</v>
      </c>
      <c r="P267" s="443"/>
      <c r="Q267" s="443"/>
      <c r="R267" s="418" t="s">
        <v>1206</v>
      </c>
      <c r="S267" s="418" t="s">
        <v>1207</v>
      </c>
      <c r="T267" s="418">
        <v>0.2</v>
      </c>
      <c r="U267" s="445"/>
      <c r="V267" s="445"/>
      <c r="W267" s="445" t="s">
        <v>1208</v>
      </c>
      <c r="X267" s="445" t="s">
        <v>682</v>
      </c>
      <c r="Y267" s="445">
        <v>4</v>
      </c>
      <c r="Z267" s="445"/>
      <c r="AA267" s="446"/>
      <c r="AB267" s="385"/>
      <c r="AC267" s="385"/>
      <c r="AD267" s="385"/>
      <c r="AE267" s="385"/>
      <c r="AF267" s="385"/>
      <c r="AG267" s="385"/>
    </row>
    <row r="268" spans="1:33" s="434" customFormat="1" ht="19.5" customHeight="1" x14ac:dyDescent="0.25">
      <c r="A268" s="535"/>
      <c r="B268" s="511"/>
      <c r="C268" s="499"/>
      <c r="D268" s="499"/>
      <c r="E268" s="499"/>
      <c r="F268" s="510"/>
      <c r="G268" s="2750" t="s">
        <v>1961</v>
      </c>
      <c r="H268" s="2750"/>
      <c r="I268" s="2750"/>
      <c r="J268" s="2750"/>
      <c r="K268" s="2750"/>
      <c r="L268" s="2751"/>
      <c r="M268" s="443" t="s">
        <v>1210</v>
      </c>
      <c r="N268" s="1514" t="s">
        <v>1211</v>
      </c>
      <c r="O268" s="443">
        <v>1.75</v>
      </c>
      <c r="P268" s="443"/>
      <c r="Q268" s="443"/>
      <c r="R268" s="418"/>
      <c r="S268" s="418"/>
      <c r="T268" s="418"/>
      <c r="U268" s="418"/>
      <c r="V268" s="418"/>
      <c r="W268" s="418"/>
      <c r="X268" s="418"/>
      <c r="Y268" s="418"/>
      <c r="Z268" s="418"/>
      <c r="AA268" s="433"/>
      <c r="AB268" s="2548"/>
      <c r="AC268" s="2725"/>
      <c r="AD268" s="2725"/>
      <c r="AE268" s="2725"/>
      <c r="AF268" s="2725"/>
      <c r="AG268" s="2726"/>
    </row>
    <row r="269" spans="1:33" s="434" customFormat="1" ht="25.5" customHeight="1" x14ac:dyDescent="0.25">
      <c r="A269" s="535"/>
      <c r="B269" s="511"/>
      <c r="C269" s="499"/>
      <c r="D269" s="499"/>
      <c r="E269" s="499"/>
      <c r="F269" s="510"/>
      <c r="G269" s="442" t="s">
        <v>1215</v>
      </c>
      <c r="H269" s="443" t="s">
        <v>1216</v>
      </c>
      <c r="I269" s="413" t="s">
        <v>1217</v>
      </c>
      <c r="J269" s="443">
        <v>0.10199999999999999</v>
      </c>
      <c r="K269" s="443"/>
      <c r="L269" s="443"/>
      <c r="M269" s="443"/>
      <c r="N269" s="1514"/>
      <c r="O269" s="443"/>
      <c r="P269" s="443"/>
      <c r="Q269" s="443"/>
      <c r="R269" s="301"/>
      <c r="S269" s="301"/>
      <c r="T269" s="432"/>
      <c r="U269" s="418"/>
      <c r="V269" s="418"/>
      <c r="W269" s="418"/>
      <c r="X269" s="418"/>
      <c r="Y269" s="418"/>
      <c r="Z269" s="418"/>
      <c r="AA269" s="433"/>
      <c r="AB269" s="443"/>
      <c r="AC269" s="443"/>
      <c r="AD269" s="413"/>
      <c r="AE269" s="443"/>
      <c r="AF269" s="443"/>
      <c r="AG269" s="443"/>
    </row>
    <row r="270" spans="1:33" s="434" customFormat="1" ht="22.5" customHeight="1" x14ac:dyDescent="0.25">
      <c r="A270" s="535"/>
      <c r="B270" s="511"/>
      <c r="C270" s="499"/>
      <c r="D270" s="499"/>
      <c r="E270" s="499"/>
      <c r="F270" s="510"/>
      <c r="G270" s="442" t="s">
        <v>1212</v>
      </c>
      <c r="H270" s="443" t="s">
        <v>1213</v>
      </c>
      <c r="I270" s="413" t="s">
        <v>1214</v>
      </c>
      <c r="J270" s="443">
        <v>0.2</v>
      </c>
      <c r="K270" s="443"/>
      <c r="L270" s="443"/>
      <c r="M270" s="414" t="s">
        <v>1220</v>
      </c>
      <c r="N270" s="443" t="s">
        <v>1221</v>
      </c>
      <c r="O270" s="443">
        <v>0.05</v>
      </c>
      <c r="P270" s="443"/>
      <c r="Q270" s="443"/>
      <c r="R270" s="301"/>
      <c r="S270" s="301"/>
      <c r="T270" s="487"/>
      <c r="U270" s="418"/>
      <c r="V270" s="418"/>
      <c r="W270" s="418"/>
      <c r="X270" s="418"/>
      <c r="Y270" s="418"/>
      <c r="Z270" s="418"/>
      <c r="AA270" s="433"/>
      <c r="AB270" s="443"/>
      <c r="AC270" s="443"/>
      <c r="AD270" s="413"/>
      <c r="AE270" s="443"/>
      <c r="AF270" s="443"/>
      <c r="AG270" s="443"/>
    </row>
    <row r="271" spans="1:33" s="434" customFormat="1" ht="24.75" customHeight="1" x14ac:dyDescent="0.25">
      <c r="A271" s="535"/>
      <c r="B271" s="511"/>
      <c r="C271" s="499"/>
      <c r="D271" s="499"/>
      <c r="E271" s="499"/>
      <c r="F271" s="510"/>
      <c r="G271" s="2611" t="s">
        <v>1959</v>
      </c>
      <c r="H271" s="2611"/>
      <c r="I271" s="2611"/>
      <c r="J271" s="2611"/>
      <c r="K271" s="2611"/>
      <c r="L271" s="2612"/>
      <c r="M271" s="443" t="s">
        <v>1204</v>
      </c>
      <c r="N271" s="443" t="s">
        <v>1222</v>
      </c>
      <c r="O271" s="443">
        <v>5.5E-2</v>
      </c>
      <c r="P271" s="443"/>
      <c r="Q271" s="443"/>
      <c r="R271" s="418"/>
      <c r="S271" s="418"/>
      <c r="T271" s="487"/>
      <c r="U271" s="418"/>
      <c r="V271" s="418"/>
      <c r="W271" s="418"/>
      <c r="X271" s="418"/>
      <c r="Y271" s="418"/>
      <c r="Z271" s="418"/>
      <c r="AA271" s="433"/>
      <c r="AB271" s="2702" t="s">
        <v>1959</v>
      </c>
      <c r="AC271" s="2703"/>
      <c r="AD271" s="2703"/>
      <c r="AE271" s="2703"/>
      <c r="AF271" s="2703"/>
      <c r="AG271" s="2704"/>
    </row>
    <row r="272" spans="1:33" s="434" customFormat="1" ht="19.5" customHeight="1" x14ac:dyDescent="0.25">
      <c r="A272" s="535"/>
      <c r="B272" s="511"/>
      <c r="C272" s="499"/>
      <c r="D272" s="499"/>
      <c r="E272" s="499"/>
      <c r="F272" s="510"/>
      <c r="G272" s="497"/>
      <c r="H272" s="488"/>
      <c r="I272" s="488"/>
      <c r="J272" s="488"/>
      <c r="K272" s="488"/>
      <c r="L272" s="488"/>
      <c r="M272" s="443" t="s">
        <v>1204</v>
      </c>
      <c r="N272" s="443" t="s">
        <v>1223</v>
      </c>
      <c r="O272" s="443">
        <v>5.2999999999999999E-2</v>
      </c>
      <c r="P272" s="443"/>
      <c r="Q272" s="443"/>
      <c r="R272" s="418"/>
      <c r="S272" s="418"/>
      <c r="T272" s="418"/>
      <c r="U272" s="418"/>
      <c r="V272" s="418"/>
      <c r="W272" s="418"/>
      <c r="X272" s="418"/>
      <c r="Y272" s="418"/>
      <c r="Z272" s="418"/>
      <c r="AA272" s="433"/>
      <c r="AB272" s="489" t="s">
        <v>1201</v>
      </c>
      <c r="AC272" s="489" t="s">
        <v>1209</v>
      </c>
      <c r="AD272" s="489" t="s">
        <v>2489</v>
      </c>
      <c r="AE272" s="489">
        <v>3</v>
      </c>
      <c r="AF272" s="488"/>
      <c r="AG272" s="488"/>
    </row>
    <row r="273" spans="1:33" s="434" customFormat="1" ht="30" x14ac:dyDescent="0.25">
      <c r="A273" s="535"/>
      <c r="B273" s="511"/>
      <c r="C273" s="499"/>
      <c r="D273" s="499"/>
      <c r="E273" s="499"/>
      <c r="F273" s="510"/>
      <c r="G273" s="442" t="s">
        <v>1226</v>
      </c>
      <c r="H273" s="443" t="s">
        <v>1227</v>
      </c>
      <c r="I273" s="443" t="s">
        <v>1398</v>
      </c>
      <c r="J273" s="443">
        <v>0.06</v>
      </c>
      <c r="K273" s="443"/>
      <c r="L273" s="443"/>
      <c r="M273" s="414" t="s">
        <v>1224</v>
      </c>
      <c r="N273" s="414" t="s">
        <v>1225</v>
      </c>
      <c r="O273" s="414">
        <v>0.315</v>
      </c>
      <c r="P273" s="443"/>
      <c r="Q273" s="443"/>
      <c r="R273" s="418"/>
      <c r="S273" s="418"/>
      <c r="T273" s="418"/>
      <c r="U273" s="418"/>
      <c r="V273" s="418"/>
      <c r="W273" s="418"/>
      <c r="X273" s="418"/>
      <c r="Y273" s="418"/>
      <c r="Z273" s="418"/>
      <c r="AA273" s="433"/>
      <c r="AB273" s="443"/>
      <c r="AC273" s="443"/>
      <c r="AD273" s="443"/>
      <c r="AE273" s="443"/>
      <c r="AF273" s="443"/>
      <c r="AG273" s="443"/>
    </row>
    <row r="274" spans="1:33" s="434" customFormat="1" ht="19.5" customHeight="1" x14ac:dyDescent="0.25">
      <c r="A274" s="535"/>
      <c r="B274" s="511"/>
      <c r="C274" s="499"/>
      <c r="D274" s="499"/>
      <c r="E274" s="499"/>
      <c r="F274" s="510"/>
      <c r="G274" s="2611" t="s">
        <v>2032</v>
      </c>
      <c r="H274" s="2611"/>
      <c r="I274" s="2611"/>
      <c r="J274" s="2611"/>
      <c r="K274" s="2611"/>
      <c r="L274" s="2612"/>
      <c r="M274" s="835" t="s">
        <v>15</v>
      </c>
      <c r="N274" s="835" t="s">
        <v>2955</v>
      </c>
      <c r="O274" s="414">
        <v>0.2</v>
      </c>
      <c r="P274" s="414"/>
      <c r="Q274" s="443"/>
      <c r="R274" s="487"/>
      <c r="S274" s="487"/>
      <c r="T274" s="487"/>
      <c r="U274" s="418"/>
      <c r="V274" s="418"/>
      <c r="W274" s="418"/>
      <c r="X274" s="418"/>
      <c r="Y274" s="418"/>
      <c r="Z274" s="418"/>
      <c r="AA274" s="433"/>
      <c r="AB274" s="2702" t="s">
        <v>2032</v>
      </c>
      <c r="AC274" s="2703"/>
      <c r="AD274" s="2703"/>
      <c r="AE274" s="2703"/>
      <c r="AF274" s="2703"/>
      <c r="AG274" s="2704"/>
    </row>
    <row r="275" spans="1:33" s="434" customFormat="1" ht="35.25" customHeight="1" x14ac:dyDescent="0.25">
      <c r="A275" s="535"/>
      <c r="B275" s="511"/>
      <c r="C275" s="499"/>
      <c r="D275" s="499"/>
      <c r="E275" s="499"/>
      <c r="F275" s="510"/>
      <c r="G275" s="497"/>
      <c r="H275" s="488"/>
      <c r="I275" s="488"/>
      <c r="J275" s="490"/>
      <c r="K275" s="443"/>
      <c r="L275" s="443"/>
      <c r="M275" s="851"/>
      <c r="N275" s="1100"/>
      <c r="O275" s="414"/>
      <c r="P275" s="414"/>
      <c r="Q275" s="443"/>
      <c r="R275" s="487"/>
      <c r="S275" s="487"/>
      <c r="T275" s="487"/>
      <c r="U275" s="418"/>
      <c r="V275" s="418"/>
      <c r="W275" s="418"/>
      <c r="X275" s="418"/>
      <c r="Y275" s="418"/>
      <c r="Z275" s="418"/>
      <c r="AA275" s="433"/>
      <c r="AB275" s="489" t="s">
        <v>112</v>
      </c>
      <c r="AC275" s="489" t="s">
        <v>1397</v>
      </c>
      <c r="AD275" s="489" t="s">
        <v>2491</v>
      </c>
      <c r="AE275" s="491">
        <v>0.02</v>
      </c>
      <c r="AF275" s="443"/>
      <c r="AG275" s="443"/>
    </row>
    <row r="276" spans="1:33" s="434" customFormat="1" ht="60" x14ac:dyDescent="0.25">
      <c r="A276" s="535"/>
      <c r="B276" s="511"/>
      <c r="C276" s="499"/>
      <c r="D276" s="499"/>
      <c r="E276" s="499"/>
      <c r="F276" s="510"/>
      <c r="G276" s="442" t="s">
        <v>1218</v>
      </c>
      <c r="H276" s="443" t="s">
        <v>1219</v>
      </c>
      <c r="I276" s="443" t="s">
        <v>2256</v>
      </c>
      <c r="J276" s="443">
        <v>0.5</v>
      </c>
      <c r="K276" s="443"/>
      <c r="L276" s="443"/>
      <c r="M276" s="1037"/>
      <c r="N276" s="1037"/>
      <c r="O276" s="1037"/>
      <c r="P276" s="414"/>
      <c r="Q276" s="414"/>
      <c r="R276" s="418"/>
      <c r="S276" s="418"/>
      <c r="T276" s="418"/>
      <c r="U276" s="418"/>
      <c r="V276" s="418"/>
      <c r="W276" s="418"/>
      <c r="X276" s="418"/>
      <c r="Y276" s="418"/>
      <c r="Z276" s="418"/>
      <c r="AA276" s="433"/>
      <c r="AB276" s="443"/>
      <c r="AC276" s="443"/>
      <c r="AD276" s="443"/>
      <c r="AE276" s="443"/>
      <c r="AF276" s="443"/>
      <c r="AG276" s="443"/>
    </row>
    <row r="277" spans="1:33" s="434" customFormat="1" ht="105" x14ac:dyDescent="0.25">
      <c r="A277" s="535"/>
      <c r="B277" s="511"/>
      <c r="C277" s="499"/>
      <c r="D277" s="499"/>
      <c r="E277" s="499"/>
      <c r="F277" s="510"/>
      <c r="G277" s="448" t="s">
        <v>112</v>
      </c>
      <c r="H277" s="414" t="s">
        <v>1397</v>
      </c>
      <c r="I277" s="443" t="s">
        <v>2271</v>
      </c>
      <c r="J277" s="414">
        <v>0.01</v>
      </c>
      <c r="K277" s="443"/>
      <c r="L277" s="443"/>
      <c r="M277" s="1064" t="s">
        <v>3127</v>
      </c>
      <c r="N277" s="1100" t="s">
        <v>3128</v>
      </c>
      <c r="O277" s="1064">
        <v>0.504</v>
      </c>
      <c r="P277" s="414"/>
      <c r="Q277" s="414"/>
      <c r="R277" s="418"/>
      <c r="S277" s="418"/>
      <c r="T277" s="418"/>
      <c r="U277" s="418"/>
      <c r="V277" s="418"/>
      <c r="W277" s="418"/>
      <c r="X277" s="418"/>
      <c r="Y277" s="418"/>
      <c r="Z277" s="418"/>
      <c r="AA277" s="433"/>
      <c r="AB277" s="414"/>
      <c r="AC277" s="414"/>
      <c r="AD277" s="443"/>
      <c r="AE277" s="414"/>
      <c r="AF277" s="443"/>
      <c r="AG277" s="443"/>
    </row>
    <row r="278" spans="1:33" s="434" customFormat="1" ht="60" x14ac:dyDescent="0.25">
      <c r="A278" s="535"/>
      <c r="B278" s="511"/>
      <c r="C278" s="499"/>
      <c r="D278" s="499"/>
      <c r="E278" s="499"/>
      <c r="F278" s="510"/>
      <c r="G278" s="448" t="s">
        <v>24</v>
      </c>
      <c r="H278" s="414" t="s">
        <v>25</v>
      </c>
      <c r="I278" s="414" t="s">
        <v>2351</v>
      </c>
      <c r="J278" s="414">
        <v>0.2</v>
      </c>
      <c r="K278" s="414"/>
      <c r="L278" s="414"/>
      <c r="M278" s="1037"/>
      <c r="N278" s="1037"/>
      <c r="O278" s="1037"/>
      <c r="P278" s="414"/>
      <c r="Q278" s="450"/>
      <c r="R278" s="437"/>
      <c r="S278" s="438"/>
      <c r="T278" s="417"/>
      <c r="U278" s="417"/>
      <c r="V278" s="417"/>
      <c r="W278" s="437"/>
      <c r="X278" s="438"/>
      <c r="Y278" s="417"/>
      <c r="Z278" s="417"/>
      <c r="AA278" s="439"/>
      <c r="AB278" s="414"/>
      <c r="AC278" s="414"/>
      <c r="AD278" s="414"/>
      <c r="AE278" s="414"/>
      <c r="AF278" s="414"/>
      <c r="AG278" s="414"/>
    </row>
    <row r="279" spans="1:33" s="434" customFormat="1" ht="60" x14ac:dyDescent="0.25">
      <c r="A279" s="535"/>
      <c r="B279" s="511"/>
      <c r="C279" s="499"/>
      <c r="D279" s="499"/>
      <c r="E279" s="499"/>
      <c r="F279" s="510"/>
      <c r="G279" s="448" t="s">
        <v>17</v>
      </c>
      <c r="H279" s="414" t="s">
        <v>18</v>
      </c>
      <c r="I279" s="414" t="s">
        <v>2352</v>
      </c>
      <c r="J279" s="414">
        <v>0.2</v>
      </c>
      <c r="K279" s="414"/>
      <c r="L279" s="414"/>
      <c r="M279" s="431"/>
      <c r="N279" s="431"/>
      <c r="O279" s="431"/>
      <c r="P279" s="414"/>
      <c r="Q279" s="450"/>
      <c r="R279" s="437"/>
      <c r="S279" s="438"/>
      <c r="T279" s="417"/>
      <c r="U279" s="417"/>
      <c r="V279" s="417"/>
      <c r="W279" s="437"/>
      <c r="X279" s="438"/>
      <c r="Y279" s="417"/>
      <c r="Z279" s="417"/>
      <c r="AA279" s="439"/>
      <c r="AB279" s="414"/>
      <c r="AC279" s="414"/>
      <c r="AD279" s="414"/>
      <c r="AE279" s="414"/>
      <c r="AF279" s="414"/>
      <c r="AG279" s="414"/>
    </row>
    <row r="280" spans="1:33" s="434" customFormat="1" x14ac:dyDescent="0.25">
      <c r="A280" s="1065"/>
      <c r="B280" s="1062"/>
      <c r="C280" s="1063"/>
      <c r="D280" s="1063"/>
      <c r="E280" s="1063"/>
      <c r="F280" s="1061"/>
      <c r="G280" s="2611" t="s">
        <v>3020</v>
      </c>
      <c r="H280" s="2611"/>
      <c r="I280" s="2611"/>
      <c r="J280" s="2611"/>
      <c r="K280" s="2611"/>
      <c r="L280" s="2612"/>
      <c r="M280" s="1067"/>
      <c r="N280" s="1068"/>
      <c r="O280" s="1069"/>
      <c r="P280" s="450"/>
      <c r="Q280" s="450"/>
      <c r="R280" s="437"/>
      <c r="S280" s="438"/>
      <c r="T280" s="417"/>
      <c r="U280" s="417"/>
      <c r="V280" s="417"/>
      <c r="W280" s="437"/>
      <c r="X280" s="438"/>
      <c r="Y280" s="417"/>
      <c r="Z280" s="417"/>
      <c r="AA280" s="439"/>
      <c r="AB280" s="601"/>
      <c r="AC280" s="699"/>
      <c r="AD280" s="455"/>
      <c r="AE280" s="450"/>
      <c r="AF280" s="450"/>
      <c r="AG280" s="450"/>
    </row>
    <row r="281" spans="1:33" s="434" customFormat="1" ht="90" x14ac:dyDescent="0.25">
      <c r="A281" s="1065"/>
      <c r="B281" s="1062"/>
      <c r="C281" s="1063"/>
      <c r="D281" s="1063"/>
      <c r="E281" s="1063"/>
      <c r="F281" s="1061"/>
      <c r="G281" s="1064" t="s">
        <v>17</v>
      </c>
      <c r="H281" s="1064" t="s">
        <v>3125</v>
      </c>
      <c r="I281" s="455" t="s">
        <v>3158</v>
      </c>
      <c r="J281" s="1064">
        <f>0.04*0.9</f>
        <v>3.6000000000000004E-2</v>
      </c>
      <c r="K281" s="450"/>
      <c r="L281" s="450"/>
      <c r="M281" s="1067"/>
      <c r="N281" s="1068"/>
      <c r="O281" s="1069"/>
      <c r="P281" s="450"/>
      <c r="Q281" s="450"/>
      <c r="R281" s="437"/>
      <c r="S281" s="438"/>
      <c r="T281" s="417"/>
      <c r="U281" s="417"/>
      <c r="V281" s="417"/>
      <c r="W281" s="437"/>
      <c r="X281" s="438"/>
      <c r="Y281" s="417"/>
      <c r="Z281" s="417"/>
      <c r="AA281" s="439"/>
      <c r="AB281" s="601"/>
      <c r="AC281" s="699"/>
      <c r="AD281" s="455"/>
      <c r="AE281" s="450"/>
      <c r="AF281" s="450"/>
      <c r="AG281" s="450"/>
    </row>
    <row r="282" spans="1:33" s="434" customFormat="1" ht="90" x14ac:dyDescent="0.25">
      <c r="A282" s="1065"/>
      <c r="B282" s="1062"/>
      <c r="C282" s="1063"/>
      <c r="D282" s="1063"/>
      <c r="E282" s="1063"/>
      <c r="F282" s="1061"/>
      <c r="G282" s="1064" t="s">
        <v>24</v>
      </c>
      <c r="H282" s="1064" t="s">
        <v>3124</v>
      </c>
      <c r="I282" s="455" t="s">
        <v>3159</v>
      </c>
      <c r="J282" s="1064">
        <f>0.05*0.9</f>
        <v>4.5000000000000005E-2</v>
      </c>
      <c r="K282" s="450"/>
      <c r="L282" s="450"/>
      <c r="M282" s="1067"/>
      <c r="N282" s="1068"/>
      <c r="O282" s="1069"/>
      <c r="P282" s="450"/>
      <c r="Q282" s="450"/>
      <c r="R282" s="437"/>
      <c r="S282" s="438"/>
      <c r="T282" s="417"/>
      <c r="U282" s="417"/>
      <c r="V282" s="417"/>
      <c r="W282" s="437"/>
      <c r="X282" s="438"/>
      <c r="Y282" s="417"/>
      <c r="Z282" s="417"/>
      <c r="AA282" s="439"/>
      <c r="AB282" s="601"/>
      <c r="AC282" s="699"/>
      <c r="AD282" s="455"/>
      <c r="AE282" s="450"/>
      <c r="AF282" s="450"/>
      <c r="AG282" s="450"/>
    </row>
    <row r="283" spans="1:33" s="434" customFormat="1" ht="105" x14ac:dyDescent="0.25">
      <c r="A283" s="1111"/>
      <c r="B283" s="1109"/>
      <c r="C283" s="1110"/>
      <c r="D283" s="1110"/>
      <c r="E283" s="1110"/>
      <c r="F283" s="1108"/>
      <c r="G283" s="1112" t="s">
        <v>2993</v>
      </c>
      <c r="H283" s="1112" t="s">
        <v>3246</v>
      </c>
      <c r="I283" s="455" t="s">
        <v>3255</v>
      </c>
      <c r="J283" s="450">
        <f>0.16*0.9</f>
        <v>0.14400000000000002</v>
      </c>
      <c r="K283" s="450"/>
      <c r="L283" s="450"/>
      <c r="M283" s="1067"/>
      <c r="N283" s="1068"/>
      <c r="O283" s="1069"/>
      <c r="P283" s="450"/>
      <c r="Q283" s="450"/>
      <c r="R283" s="437"/>
      <c r="S283" s="438"/>
      <c r="T283" s="417"/>
      <c r="U283" s="417"/>
      <c r="V283" s="417"/>
      <c r="W283" s="437"/>
      <c r="X283" s="438"/>
      <c r="Y283" s="417"/>
      <c r="Z283" s="417"/>
      <c r="AA283" s="439"/>
      <c r="AB283" s="601"/>
      <c r="AC283" s="699"/>
      <c r="AD283" s="455"/>
      <c r="AE283" s="450"/>
      <c r="AF283" s="450"/>
      <c r="AG283" s="450"/>
    </row>
    <row r="284" spans="1:33" s="434" customFormat="1" x14ac:dyDescent="0.25">
      <c r="A284" s="2220"/>
      <c r="B284" s="2221"/>
      <c r="C284" s="2222"/>
      <c r="D284" s="2222"/>
      <c r="E284" s="2222"/>
      <c r="F284" s="2234"/>
      <c r="G284" s="2611" t="s">
        <v>17005</v>
      </c>
      <c r="H284" s="2611"/>
      <c r="I284" s="2611"/>
      <c r="J284" s="2611"/>
      <c r="K284" s="2611"/>
      <c r="L284" s="2612"/>
      <c r="M284" s="1067"/>
      <c r="N284" s="1068"/>
      <c r="O284" s="1069"/>
      <c r="P284" s="450"/>
      <c r="Q284" s="450"/>
      <c r="R284" s="437"/>
      <c r="S284" s="438"/>
      <c r="T284" s="417"/>
      <c r="U284" s="417"/>
      <c r="V284" s="417"/>
      <c r="W284" s="437"/>
      <c r="X284" s="438"/>
      <c r="Y284" s="417"/>
      <c r="Z284" s="417"/>
      <c r="AA284" s="439"/>
      <c r="AB284" s="601"/>
      <c r="AC284" s="699"/>
      <c r="AD284" s="455"/>
      <c r="AE284" s="450"/>
      <c r="AF284" s="450"/>
      <c r="AG284" s="450"/>
    </row>
    <row r="285" spans="1:33" s="434" customFormat="1" x14ac:dyDescent="0.25">
      <c r="A285" s="1191"/>
      <c r="B285" s="1189"/>
      <c r="C285" s="1190"/>
      <c r="D285" s="1190"/>
      <c r="E285" s="1190"/>
      <c r="F285" s="1188"/>
      <c r="G285" s="2679" t="s">
        <v>3401</v>
      </c>
      <c r="H285" s="2680"/>
      <c r="I285" s="2681"/>
      <c r="J285" s="1608">
        <f>0.116*0.9</f>
        <v>0.10440000000000001</v>
      </c>
      <c r="K285" s="1608"/>
      <c r="L285" s="1608"/>
      <c r="M285" s="1067"/>
      <c r="N285" s="1068"/>
      <c r="O285" s="1069"/>
      <c r="P285" s="450"/>
      <c r="Q285" s="450"/>
      <c r="R285" s="437"/>
      <c r="S285" s="438"/>
      <c r="T285" s="417"/>
      <c r="U285" s="417"/>
      <c r="V285" s="417"/>
      <c r="W285" s="437"/>
      <c r="X285" s="438"/>
      <c r="Y285" s="417"/>
      <c r="Z285" s="417"/>
      <c r="AA285" s="439"/>
      <c r="AB285" s="601"/>
      <c r="AC285" s="699"/>
      <c r="AD285" s="455"/>
      <c r="AE285" s="450"/>
      <c r="AF285" s="450"/>
      <c r="AG285" s="450"/>
    </row>
    <row r="286" spans="1:33" ht="15.75" thickBot="1" x14ac:dyDescent="0.3">
      <c r="A286" s="525"/>
      <c r="B286" s="516"/>
      <c r="C286" s="503"/>
      <c r="D286" s="503"/>
      <c r="E286" s="503"/>
      <c r="F286" s="517"/>
      <c r="G286" s="2578" t="s">
        <v>1833</v>
      </c>
      <c r="H286" s="2578"/>
      <c r="I286" s="2579"/>
      <c r="J286" s="13">
        <f>SUM(J281:J285)</f>
        <v>0.32940000000000003</v>
      </c>
      <c r="K286" s="14">
        <v>0.92</v>
      </c>
      <c r="L286" s="13">
        <f>J286/K286</f>
        <v>0.35804347826086957</v>
      </c>
      <c r="M286" s="2577" t="s">
        <v>1834</v>
      </c>
      <c r="N286" s="2579"/>
      <c r="O286" s="13">
        <f>SUM(O267:O278)</f>
        <v>2.9468000000000001</v>
      </c>
      <c r="P286" s="14">
        <v>0.92</v>
      </c>
      <c r="Q286" s="13">
        <f>O286/P286</f>
        <v>3.2030434782608697</v>
      </c>
      <c r="R286" s="2738" t="s">
        <v>1835</v>
      </c>
      <c r="S286" s="2739"/>
      <c r="T286" s="30">
        <f>SUM(T267:T277)</f>
        <v>0.2</v>
      </c>
      <c r="U286" s="31">
        <v>0.8</v>
      </c>
      <c r="V286" s="30">
        <f>T286/U286</f>
        <v>0.25</v>
      </c>
      <c r="W286" s="2738" t="s">
        <v>1836</v>
      </c>
      <c r="X286" s="2739"/>
      <c r="Y286" s="30">
        <f>SUM(Y267:Y277)</f>
        <v>4</v>
      </c>
      <c r="Z286" s="31">
        <v>0.8</v>
      </c>
      <c r="AA286" s="32">
        <f>Y286/Z286</f>
        <v>5</v>
      </c>
      <c r="AB286" s="2577" t="s">
        <v>1833</v>
      </c>
      <c r="AC286" s="2578"/>
      <c r="AD286" s="2579"/>
      <c r="AE286" s="13">
        <f>SUM(AE272:AE273,AE275:AE279)</f>
        <v>3.02</v>
      </c>
      <c r="AF286" s="14">
        <v>0.92</v>
      </c>
      <c r="AG286" s="13">
        <f>AE286/AF286</f>
        <v>3.2826086956521738</v>
      </c>
    </row>
    <row r="287" spans="1:33" s="434" customFormat="1" ht="14.25" customHeight="1" x14ac:dyDescent="0.25">
      <c r="A287" s="2693" t="str">
        <f>Итоговая!C198</f>
        <v xml:space="preserve">ПС 110/35/10 кВ Простор </v>
      </c>
      <c r="B287" s="2689">
        <f>Итоговая!D198</f>
        <v>25</v>
      </c>
      <c r="C287" s="2691" t="str">
        <f>Итоговая!E198</f>
        <v>+</v>
      </c>
      <c r="D287" s="2691">
        <f>Итоговая!F198</f>
        <v>25</v>
      </c>
      <c r="E287" s="508"/>
      <c r="F287" s="509"/>
      <c r="G287" s="2597" t="s">
        <v>1961</v>
      </c>
      <c r="H287" s="2597"/>
      <c r="I287" s="2597"/>
      <c r="J287" s="2597"/>
      <c r="K287" s="2597"/>
      <c r="L287" s="2598"/>
      <c r="M287" s="443" t="s">
        <v>628</v>
      </c>
      <c r="N287" s="443" t="s">
        <v>639</v>
      </c>
      <c r="O287" s="443">
        <v>0.12</v>
      </c>
      <c r="P287" s="443"/>
      <c r="Q287" s="443"/>
      <c r="R287" s="437"/>
      <c r="S287" s="438"/>
      <c r="T287" s="417"/>
      <c r="U287" s="417"/>
      <c r="V287" s="417"/>
      <c r="W287" s="437"/>
      <c r="X287" s="438"/>
      <c r="Y287" s="417"/>
      <c r="Z287" s="417"/>
      <c r="AA287" s="439"/>
      <c r="AB287" s="2710"/>
      <c r="AC287" s="2711"/>
      <c r="AD287" s="2711"/>
      <c r="AE287" s="2711"/>
      <c r="AF287" s="2711"/>
      <c r="AG287" s="2712"/>
    </row>
    <row r="288" spans="1:33" s="434" customFormat="1" ht="30" x14ac:dyDescent="0.25">
      <c r="A288" s="2694"/>
      <c r="B288" s="2690"/>
      <c r="C288" s="2692"/>
      <c r="D288" s="2692"/>
      <c r="E288" s="499"/>
      <c r="F288" s="510"/>
      <c r="G288" s="448" t="s">
        <v>636</v>
      </c>
      <c r="H288" s="414" t="s">
        <v>637</v>
      </c>
      <c r="I288" s="414" t="s">
        <v>638</v>
      </c>
      <c r="J288" s="414">
        <v>0.22</v>
      </c>
      <c r="K288" s="414"/>
      <c r="L288" s="414"/>
      <c r="M288" s="414" t="s">
        <v>623</v>
      </c>
      <c r="N288" s="414" t="s">
        <v>635</v>
      </c>
      <c r="O288" s="414">
        <v>0.09</v>
      </c>
      <c r="P288" s="414"/>
      <c r="Q288" s="414"/>
      <c r="R288" s="301"/>
      <c r="S288" s="301"/>
      <c r="T288" s="301"/>
      <c r="U288" s="418"/>
      <c r="V288" s="418"/>
      <c r="W288" s="418"/>
      <c r="X288" s="418"/>
      <c r="Y288" s="418"/>
      <c r="Z288" s="418"/>
      <c r="AA288" s="433"/>
      <c r="AB288" s="414"/>
      <c r="AC288" s="414"/>
      <c r="AD288" s="414"/>
      <c r="AE288" s="414"/>
      <c r="AF288" s="414"/>
      <c r="AG288" s="414"/>
    </row>
    <row r="289" spans="1:33" s="434" customFormat="1" ht="18" customHeight="1" x14ac:dyDescent="0.25">
      <c r="A289" s="2694"/>
      <c r="B289" s="2690"/>
      <c r="C289" s="2692"/>
      <c r="D289" s="2692"/>
      <c r="E289" s="499"/>
      <c r="F289" s="510"/>
      <c r="G289" s="2611" t="s">
        <v>1960</v>
      </c>
      <c r="H289" s="2611"/>
      <c r="I289" s="2611"/>
      <c r="J289" s="2611"/>
      <c r="K289" s="2611"/>
      <c r="L289" s="2612"/>
      <c r="M289" s="414"/>
      <c r="N289" s="414"/>
      <c r="O289" s="414"/>
      <c r="P289" s="414"/>
      <c r="Q289" s="414"/>
      <c r="R289" s="418"/>
      <c r="S289" s="418"/>
      <c r="T289" s="418"/>
      <c r="U289" s="418"/>
      <c r="V289" s="418"/>
      <c r="W289" s="418"/>
      <c r="X289" s="418"/>
      <c r="Y289" s="418"/>
      <c r="Z289" s="418"/>
      <c r="AA289" s="433"/>
      <c r="AB289" s="2702"/>
      <c r="AC289" s="2703"/>
      <c r="AD289" s="2703"/>
      <c r="AE289" s="2703"/>
      <c r="AF289" s="2703"/>
      <c r="AG289" s="2704"/>
    </row>
    <row r="290" spans="1:33" s="434" customFormat="1" ht="90.75" thickBot="1" x14ac:dyDescent="0.3">
      <c r="A290" s="2694"/>
      <c r="B290" s="2690"/>
      <c r="C290" s="2692"/>
      <c r="D290" s="2692"/>
      <c r="E290" s="499"/>
      <c r="F290" s="510"/>
      <c r="G290" s="442" t="s">
        <v>623</v>
      </c>
      <c r="H290" s="414" t="s">
        <v>633</v>
      </c>
      <c r="I290" s="414" t="s">
        <v>634</v>
      </c>
      <c r="J290" s="443">
        <v>7.0000000000000007E-2</v>
      </c>
      <c r="K290" s="443"/>
      <c r="L290" s="443"/>
      <c r="M290" s="414" t="s">
        <v>2437</v>
      </c>
      <c r="N290" s="414" t="s">
        <v>2438</v>
      </c>
      <c r="O290" s="444">
        <v>1.95E-2</v>
      </c>
      <c r="P290" s="414"/>
      <c r="Q290" s="414"/>
      <c r="R290" s="418"/>
      <c r="S290" s="418"/>
      <c r="T290" s="418"/>
      <c r="U290" s="418"/>
      <c r="V290" s="418"/>
      <c r="W290" s="418"/>
      <c r="X290" s="418"/>
      <c r="Y290" s="418"/>
      <c r="Z290" s="418"/>
      <c r="AA290" s="433"/>
      <c r="AB290" s="443"/>
      <c r="AC290" s="414"/>
      <c r="AD290" s="414"/>
      <c r="AE290" s="443"/>
      <c r="AF290" s="443"/>
      <c r="AG290" s="443"/>
    </row>
    <row r="291" spans="1:33" s="434" customFormat="1" ht="105" x14ac:dyDescent="0.25">
      <c r="A291" s="2694"/>
      <c r="B291" s="2690"/>
      <c r="C291" s="2692"/>
      <c r="D291" s="2692"/>
      <c r="E291" s="499"/>
      <c r="F291" s="510"/>
      <c r="G291" s="436" t="s">
        <v>630</v>
      </c>
      <c r="H291" s="435" t="s">
        <v>631</v>
      </c>
      <c r="I291" s="435" t="s">
        <v>632</v>
      </c>
      <c r="J291" s="435">
        <v>0.03</v>
      </c>
      <c r="K291" s="435"/>
      <c r="L291" s="435"/>
      <c r="M291" s="450" t="s">
        <v>2528</v>
      </c>
      <c r="N291" s="450" t="s">
        <v>2587</v>
      </c>
      <c r="O291" s="414">
        <f>0.082-0.05</f>
        <v>3.2000000000000001E-2</v>
      </c>
      <c r="P291" s="414"/>
      <c r="Q291" s="414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6"/>
      <c r="AB291" s="435"/>
      <c r="AC291" s="435"/>
      <c r="AD291" s="435"/>
      <c r="AE291" s="435"/>
      <c r="AF291" s="435"/>
      <c r="AG291" s="435"/>
    </row>
    <row r="292" spans="1:33" s="434" customFormat="1" ht="30" x14ac:dyDescent="0.25">
      <c r="A292" s="535"/>
      <c r="B292" s="511"/>
      <c r="C292" s="499"/>
      <c r="D292" s="499"/>
      <c r="E292" s="499"/>
      <c r="F292" s="510"/>
      <c r="G292" s="448" t="s">
        <v>640</v>
      </c>
      <c r="H292" s="414" t="s">
        <v>635</v>
      </c>
      <c r="I292" s="414" t="s">
        <v>641</v>
      </c>
      <c r="J292" s="414">
        <v>0.03</v>
      </c>
      <c r="K292" s="414"/>
      <c r="L292" s="414"/>
      <c r="M292" s="663"/>
      <c r="N292" s="663"/>
      <c r="O292" s="444"/>
      <c r="P292" s="414"/>
      <c r="Q292" s="414"/>
      <c r="R292" s="418"/>
      <c r="S292" s="418"/>
      <c r="T292" s="418"/>
      <c r="U292" s="418"/>
      <c r="V292" s="418"/>
      <c r="W292" s="418"/>
      <c r="X292" s="418"/>
      <c r="Y292" s="418"/>
      <c r="Z292" s="418"/>
      <c r="AA292" s="433"/>
      <c r="AB292" s="414"/>
      <c r="AC292" s="414"/>
      <c r="AD292" s="414"/>
      <c r="AE292" s="414"/>
      <c r="AF292" s="414"/>
      <c r="AG292" s="414"/>
    </row>
    <row r="293" spans="1:33" s="434" customFormat="1" ht="18" customHeight="1" x14ac:dyDescent="0.25">
      <c r="A293" s="535"/>
      <c r="B293" s="511"/>
      <c r="C293" s="499"/>
      <c r="D293" s="499"/>
      <c r="E293" s="499"/>
      <c r="F293" s="510"/>
      <c r="G293" s="2611" t="s">
        <v>1959</v>
      </c>
      <c r="H293" s="2611"/>
      <c r="I293" s="2611"/>
      <c r="J293" s="2611"/>
      <c r="K293" s="2611"/>
      <c r="L293" s="2612"/>
      <c r="M293" s="414"/>
      <c r="N293" s="414"/>
      <c r="O293" s="414"/>
      <c r="P293" s="414"/>
      <c r="Q293" s="414"/>
      <c r="R293" s="418"/>
      <c r="S293" s="418"/>
      <c r="T293" s="418"/>
      <c r="U293" s="418"/>
      <c r="V293" s="418"/>
      <c r="W293" s="418"/>
      <c r="X293" s="418"/>
      <c r="Y293" s="418"/>
      <c r="Z293" s="418"/>
      <c r="AA293" s="433"/>
      <c r="AB293" s="2702"/>
      <c r="AC293" s="2703"/>
      <c r="AD293" s="2703"/>
      <c r="AE293" s="2703"/>
      <c r="AF293" s="2703"/>
      <c r="AG293" s="2704"/>
    </row>
    <row r="294" spans="1:33" s="434" customFormat="1" ht="57" customHeight="1" x14ac:dyDescent="0.25">
      <c r="A294" s="535"/>
      <c r="B294" s="511"/>
      <c r="C294" s="499"/>
      <c r="D294" s="499"/>
      <c r="E294" s="499"/>
      <c r="F294" s="510"/>
      <c r="G294" s="448" t="s">
        <v>642</v>
      </c>
      <c r="H294" s="414" t="s">
        <v>643</v>
      </c>
      <c r="I294" s="414" t="s">
        <v>644</v>
      </c>
      <c r="J294" s="414">
        <v>3.5999999999999997E-2</v>
      </c>
      <c r="K294" s="414"/>
      <c r="L294" s="414"/>
      <c r="M294" s="684" t="s">
        <v>2663</v>
      </c>
      <c r="N294" s="684" t="s">
        <v>2664</v>
      </c>
      <c r="O294" s="414"/>
      <c r="P294" s="414"/>
      <c r="Q294" s="414"/>
      <c r="R294" s="301"/>
      <c r="S294" s="301"/>
      <c r="T294" s="301"/>
      <c r="U294" s="301"/>
      <c r="V294" s="301"/>
      <c r="W294" s="301"/>
      <c r="X294" s="301"/>
      <c r="Y294" s="301"/>
      <c r="Z294" s="301"/>
      <c r="AA294" s="449"/>
      <c r="AB294" s="414"/>
      <c r="AC294" s="414"/>
      <c r="AD294" s="414"/>
      <c r="AE294" s="414"/>
      <c r="AF294" s="414"/>
      <c r="AG294" s="414"/>
    </row>
    <row r="295" spans="1:33" s="434" customFormat="1" ht="15.75" customHeight="1" x14ac:dyDescent="0.25">
      <c r="A295" s="690"/>
      <c r="B295" s="691"/>
      <c r="C295" s="692"/>
      <c r="D295" s="692"/>
      <c r="E295" s="692"/>
      <c r="F295" s="696"/>
      <c r="G295" s="2611" t="s">
        <v>2477</v>
      </c>
      <c r="H295" s="2611"/>
      <c r="I295" s="2611"/>
      <c r="J295" s="2611"/>
      <c r="K295" s="2611"/>
      <c r="L295" s="2612"/>
      <c r="M295" s="2227"/>
      <c r="N295" s="2227"/>
      <c r="O295" s="2227"/>
      <c r="P295" s="2227"/>
      <c r="Q295" s="2227"/>
      <c r="R295" s="451"/>
      <c r="S295" s="452"/>
      <c r="T295" s="453"/>
      <c r="U295" s="453"/>
      <c r="V295" s="453"/>
      <c r="W295" s="451"/>
      <c r="X295" s="452"/>
      <c r="Y295" s="453"/>
      <c r="Z295" s="453"/>
      <c r="AA295" s="486"/>
      <c r="AB295" s="601"/>
      <c r="AC295" s="699"/>
      <c r="AD295" s="455"/>
      <c r="AE295" s="450"/>
      <c r="AF295" s="450"/>
      <c r="AG295" s="450"/>
    </row>
    <row r="296" spans="1:33" s="434" customFormat="1" ht="69.75" customHeight="1" x14ac:dyDescent="0.25">
      <c r="A296" s="690"/>
      <c r="B296" s="691"/>
      <c r="C296" s="692"/>
      <c r="D296" s="692"/>
      <c r="E296" s="692"/>
      <c r="F296" s="696"/>
      <c r="G296" s="694" t="s">
        <v>2633</v>
      </c>
      <c r="H296" s="694" t="s">
        <v>2687</v>
      </c>
      <c r="I296" s="455" t="s">
        <v>2688</v>
      </c>
      <c r="J296" s="444">
        <f>0.715-0.5</f>
        <v>0.21499999999999997</v>
      </c>
      <c r="K296" s="450"/>
      <c r="L296" s="450"/>
      <c r="M296" s="431"/>
      <c r="N296" s="431"/>
      <c r="O296" s="431"/>
      <c r="P296" s="431"/>
      <c r="Q296" s="2227"/>
      <c r="R296" s="451"/>
      <c r="S296" s="452"/>
      <c r="T296" s="453"/>
      <c r="U296" s="453"/>
      <c r="V296" s="453"/>
      <c r="W296" s="451"/>
      <c r="X296" s="452"/>
      <c r="Y296" s="453"/>
      <c r="Z296" s="453"/>
      <c r="AA296" s="451"/>
      <c r="AB296" s="2227" t="s">
        <v>2762</v>
      </c>
      <c r="AC296" s="2227" t="s">
        <v>2763</v>
      </c>
      <c r="AD296" s="455" t="s">
        <v>20053</v>
      </c>
      <c r="AE296" s="678">
        <v>0.3</v>
      </c>
      <c r="AF296" s="450"/>
      <c r="AG296" s="450"/>
    </row>
    <row r="297" spans="1:33" s="434" customFormat="1" ht="69.75" customHeight="1" x14ac:dyDescent="0.25">
      <c r="A297" s="771"/>
      <c r="B297" s="772"/>
      <c r="C297" s="767"/>
      <c r="D297" s="767"/>
      <c r="E297" s="767"/>
      <c r="F297" s="773"/>
      <c r="G297" s="769"/>
      <c r="H297" s="769"/>
      <c r="I297" s="455"/>
      <c r="J297" s="678"/>
      <c r="K297" s="450"/>
      <c r="L297" s="450"/>
      <c r="M297" s="2227"/>
      <c r="N297" s="2227"/>
      <c r="O297" s="2227"/>
      <c r="P297" s="2227"/>
      <c r="Q297" s="2227"/>
      <c r="R297" s="451"/>
      <c r="S297" s="452"/>
      <c r="T297" s="453"/>
      <c r="U297" s="453"/>
      <c r="V297" s="453"/>
      <c r="W297" s="451"/>
      <c r="X297" s="452"/>
      <c r="Y297" s="453"/>
      <c r="Z297" s="453"/>
      <c r="AA297" s="451"/>
      <c r="AB297" s="769"/>
      <c r="AC297" s="769"/>
      <c r="AD297" s="769"/>
      <c r="AE297" s="769"/>
      <c r="AF297" s="450"/>
      <c r="AG297" s="450"/>
    </row>
    <row r="298" spans="1:33" s="434" customFormat="1" ht="22.5" customHeight="1" x14ac:dyDescent="0.25">
      <c r="A298" s="1481"/>
      <c r="B298" s="1479"/>
      <c r="C298" s="1480"/>
      <c r="D298" s="1480"/>
      <c r="E298" s="1480"/>
      <c r="F298" s="1478"/>
      <c r="G298" s="2611" t="s">
        <v>3447</v>
      </c>
      <c r="H298" s="2611"/>
      <c r="I298" s="2611"/>
      <c r="J298" s="2611"/>
      <c r="K298" s="2611"/>
      <c r="L298" s="2612"/>
      <c r="M298" s="2227"/>
      <c r="N298" s="2227"/>
      <c r="O298" s="2227"/>
      <c r="P298" s="2227"/>
      <c r="Q298" s="2227"/>
      <c r="R298" s="451"/>
      <c r="S298" s="452"/>
      <c r="T298" s="453"/>
      <c r="U298" s="453"/>
      <c r="V298" s="453"/>
      <c r="W298" s="451"/>
      <c r="X298" s="452"/>
      <c r="Y298" s="453"/>
      <c r="Z298" s="453"/>
      <c r="AA298" s="451"/>
      <c r="AB298" s="601"/>
      <c r="AC298" s="699"/>
      <c r="AD298" s="455"/>
      <c r="AE298" s="450"/>
      <c r="AF298" s="450"/>
      <c r="AG298" s="450"/>
    </row>
    <row r="299" spans="1:33" s="434" customFormat="1" ht="69.75" customHeight="1" x14ac:dyDescent="0.25">
      <c r="A299" s="1481"/>
      <c r="B299" s="1479"/>
      <c r="C299" s="1480"/>
      <c r="D299" s="1480"/>
      <c r="E299" s="1480"/>
      <c r="F299" s="1478"/>
      <c r="G299" s="1482" t="s">
        <v>3188</v>
      </c>
      <c r="H299" s="1482" t="s">
        <v>3189</v>
      </c>
      <c r="I299" s="455" t="s">
        <v>15283</v>
      </c>
      <c r="J299" s="1070">
        <f>2.324*0.75</f>
        <v>1.7429999999999999</v>
      </c>
      <c r="K299" s="450"/>
      <c r="L299" s="450"/>
      <c r="M299" s="2227"/>
      <c r="N299" s="2227"/>
      <c r="O299" s="2227"/>
      <c r="P299" s="2227"/>
      <c r="Q299" s="2227"/>
      <c r="R299" s="451"/>
      <c r="S299" s="452"/>
      <c r="T299" s="453"/>
      <c r="U299" s="453"/>
      <c r="V299" s="453"/>
      <c r="W299" s="451"/>
      <c r="X299" s="452"/>
      <c r="Y299" s="453"/>
      <c r="Z299" s="453"/>
      <c r="AA299" s="451"/>
      <c r="AB299" s="601"/>
      <c r="AC299" s="699"/>
      <c r="AD299" s="455"/>
      <c r="AE299" s="450"/>
      <c r="AF299" s="450"/>
      <c r="AG299" s="450"/>
    </row>
    <row r="300" spans="1:33" s="434" customFormat="1" ht="69.75" customHeight="1" x14ac:dyDescent="0.25">
      <c r="A300" s="1900"/>
      <c r="B300" s="1898"/>
      <c r="C300" s="1899"/>
      <c r="D300" s="1899"/>
      <c r="E300" s="1899"/>
      <c r="F300" s="1897"/>
      <c r="G300" s="1903" t="s">
        <v>15292</v>
      </c>
      <c r="H300" s="1903" t="s">
        <v>15293</v>
      </c>
      <c r="I300" s="455" t="s">
        <v>17031</v>
      </c>
      <c r="J300" s="1945">
        <f>0.12*0.9</f>
        <v>0.108</v>
      </c>
      <c r="K300" s="450"/>
      <c r="L300" s="450"/>
      <c r="M300" s="2227"/>
      <c r="N300" s="2227"/>
      <c r="O300" s="2227"/>
      <c r="P300" s="2227"/>
      <c r="Q300" s="2227"/>
      <c r="R300" s="451"/>
      <c r="S300" s="452"/>
      <c r="T300" s="453"/>
      <c r="U300" s="453"/>
      <c r="V300" s="453"/>
      <c r="W300" s="451"/>
      <c r="X300" s="452"/>
      <c r="Y300" s="453"/>
      <c r="Z300" s="453"/>
      <c r="AA300" s="451"/>
      <c r="AB300" s="601"/>
      <c r="AC300" s="699"/>
      <c r="AD300" s="455"/>
      <c r="AE300" s="450"/>
      <c r="AF300" s="450"/>
      <c r="AG300" s="450"/>
    </row>
    <row r="301" spans="1:33" s="434" customFormat="1" ht="69.75" customHeight="1" x14ac:dyDescent="0.25">
      <c r="A301" s="2078"/>
      <c r="B301" s="2079"/>
      <c r="C301" s="2080"/>
      <c r="D301" s="2080"/>
      <c r="E301" s="2080"/>
      <c r="F301" s="2089"/>
      <c r="G301" s="2611" t="s">
        <v>17005</v>
      </c>
      <c r="H301" s="2611"/>
      <c r="I301" s="2611"/>
      <c r="J301" s="2611"/>
      <c r="K301" s="2611"/>
      <c r="L301" s="2612"/>
      <c r="M301" s="2227"/>
      <c r="N301" s="2227"/>
      <c r="O301" s="2227"/>
      <c r="P301" s="2227"/>
      <c r="Q301" s="2227"/>
      <c r="R301" s="451"/>
      <c r="S301" s="452"/>
      <c r="T301" s="453"/>
      <c r="U301" s="453"/>
      <c r="V301" s="453"/>
      <c r="W301" s="451"/>
      <c r="X301" s="452"/>
      <c r="Y301" s="453"/>
      <c r="Z301" s="453"/>
      <c r="AA301" s="451"/>
      <c r="AB301" s="601"/>
      <c r="AC301" s="699"/>
      <c r="AD301" s="455"/>
      <c r="AE301" s="450"/>
      <c r="AF301" s="450"/>
      <c r="AG301" s="450"/>
    </row>
    <row r="302" spans="1:33" s="434" customFormat="1" ht="69.75" customHeight="1" x14ac:dyDescent="0.25">
      <c r="A302" s="2078"/>
      <c r="B302" s="2079"/>
      <c r="C302" s="2080"/>
      <c r="D302" s="2080"/>
      <c r="E302" s="2080"/>
      <c r="F302" s="2089"/>
      <c r="G302" s="699" t="s">
        <v>19870</v>
      </c>
      <c r="H302" s="699" t="s">
        <v>19871</v>
      </c>
      <c r="I302" s="455" t="s">
        <v>19872</v>
      </c>
      <c r="J302" s="1945">
        <f>0.42</f>
        <v>0.42</v>
      </c>
      <c r="K302" s="450"/>
      <c r="L302" s="450"/>
      <c r="M302" s="2227"/>
      <c r="N302" s="2227"/>
      <c r="O302" s="2227"/>
      <c r="P302" s="2227"/>
      <c r="Q302" s="2227"/>
      <c r="R302" s="451"/>
      <c r="S302" s="452"/>
      <c r="T302" s="453"/>
      <c r="U302" s="453"/>
      <c r="V302" s="453"/>
      <c r="W302" s="451"/>
      <c r="X302" s="452"/>
      <c r="Y302" s="453"/>
      <c r="Z302" s="453"/>
      <c r="AA302" s="451"/>
      <c r="AB302" s="601"/>
      <c r="AC302" s="699"/>
      <c r="AD302" s="455"/>
      <c r="AE302" s="450"/>
      <c r="AF302" s="450"/>
      <c r="AG302" s="450"/>
    </row>
    <row r="303" spans="1:33" ht="15.75" thickBot="1" x14ac:dyDescent="0.3">
      <c r="A303" s="525"/>
      <c r="B303" s="516"/>
      <c r="C303" s="503"/>
      <c r="D303" s="503"/>
      <c r="E303" s="503"/>
      <c r="F303" s="517"/>
      <c r="G303" s="2578" t="s">
        <v>1833</v>
      </c>
      <c r="H303" s="2578"/>
      <c r="I303" s="2579"/>
      <c r="J303" s="13">
        <f>SUM(J299:J302)</f>
        <v>2.2709999999999999</v>
      </c>
      <c r="K303" s="14">
        <v>0.92</v>
      </c>
      <c r="L303" s="13">
        <f>J303/K303</f>
        <v>2.4684782608695648</v>
      </c>
      <c r="M303" s="2577" t="s">
        <v>1834</v>
      </c>
      <c r="N303" s="2579"/>
      <c r="O303" s="13">
        <f>SUM(O287:O296)</f>
        <v>0.26149999999999995</v>
      </c>
      <c r="P303" s="14">
        <v>0.92</v>
      </c>
      <c r="Q303" s="13">
        <f>O303/P303</f>
        <v>0.28423913043478255</v>
      </c>
      <c r="R303" s="2738" t="s">
        <v>1835</v>
      </c>
      <c r="S303" s="2739"/>
      <c r="T303" s="30">
        <f>SUM(T289:T294)</f>
        <v>0</v>
      </c>
      <c r="U303" s="31">
        <v>0.8</v>
      </c>
      <c r="V303" s="30">
        <f>T303/U303</f>
        <v>0</v>
      </c>
      <c r="W303" s="2738" t="s">
        <v>1836</v>
      </c>
      <c r="X303" s="2739"/>
      <c r="Y303" s="30">
        <f>SUM(Y289:Y294)</f>
        <v>0</v>
      </c>
      <c r="Z303" s="31">
        <v>0.8</v>
      </c>
      <c r="AA303" s="32">
        <f>Y303/Z303</f>
        <v>0</v>
      </c>
      <c r="AB303" s="2577" t="s">
        <v>1833</v>
      </c>
      <c r="AC303" s="2578"/>
      <c r="AD303" s="2579"/>
      <c r="AE303" s="13">
        <f>SUM(AE290:AE302)</f>
        <v>0.3</v>
      </c>
      <c r="AF303" s="14">
        <v>0.92</v>
      </c>
      <c r="AG303" s="13">
        <f>AE303/AF303</f>
        <v>0.32608695652173908</v>
      </c>
    </row>
    <row r="304" spans="1:33" s="434" customFormat="1" ht="21" customHeight="1" thickBot="1" x14ac:dyDescent="0.3">
      <c r="A304" s="2693" t="str">
        <f>Итоговая!C201</f>
        <v xml:space="preserve">ПС 110/35/10 кВ  Радуга </v>
      </c>
      <c r="B304" s="2689">
        <f>Итоговая!D201</f>
        <v>40</v>
      </c>
      <c r="C304" s="2691" t="str">
        <f>Итоговая!E201</f>
        <v>+</v>
      </c>
      <c r="D304" s="2691">
        <f>Итоговая!F201</f>
        <v>25</v>
      </c>
      <c r="E304" s="508"/>
      <c r="F304" s="509"/>
      <c r="G304" s="2597" t="s">
        <v>1961</v>
      </c>
      <c r="H304" s="2597"/>
      <c r="I304" s="2597"/>
      <c r="J304" s="2597"/>
      <c r="K304" s="2597"/>
      <c r="L304" s="2598"/>
      <c r="M304" s="443" t="s">
        <v>584</v>
      </c>
      <c r="N304" s="443" t="s">
        <v>585</v>
      </c>
      <c r="O304" s="443">
        <v>0.02</v>
      </c>
      <c r="P304" s="443"/>
      <c r="Q304" s="443"/>
      <c r="R304" s="437"/>
      <c r="S304" s="438"/>
      <c r="T304" s="417"/>
      <c r="U304" s="417"/>
      <c r="V304" s="417"/>
      <c r="W304" s="437"/>
      <c r="X304" s="438"/>
      <c r="Y304" s="417"/>
      <c r="Z304" s="417"/>
      <c r="AA304" s="439"/>
      <c r="AB304" s="2710"/>
      <c r="AC304" s="2711"/>
      <c r="AD304" s="2711"/>
      <c r="AE304" s="2711"/>
      <c r="AF304" s="2711"/>
      <c r="AG304" s="2712"/>
    </row>
    <row r="305" spans="1:33" s="434" customFormat="1" ht="38.25" x14ac:dyDescent="0.25">
      <c r="A305" s="2694"/>
      <c r="B305" s="2690"/>
      <c r="C305" s="2692"/>
      <c r="D305" s="2692"/>
      <c r="E305" s="499"/>
      <c r="F305" s="510"/>
      <c r="G305" s="442" t="s">
        <v>566</v>
      </c>
      <c r="H305" s="443" t="s">
        <v>567</v>
      </c>
      <c r="I305" s="443" t="s">
        <v>568</v>
      </c>
      <c r="J305" s="443">
        <v>3.5000000000000003E-2</v>
      </c>
      <c r="K305" s="443"/>
      <c r="L305" s="443"/>
      <c r="M305" s="414" t="s">
        <v>574</v>
      </c>
      <c r="N305" s="414" t="s">
        <v>575</v>
      </c>
      <c r="O305" s="414">
        <v>0.9</v>
      </c>
      <c r="P305" s="443"/>
      <c r="Q305" s="443"/>
      <c r="R305" s="445"/>
      <c r="S305" s="445"/>
      <c r="T305" s="445"/>
      <c r="U305" s="445"/>
      <c r="V305" s="445"/>
      <c r="W305" s="445" t="s">
        <v>569</v>
      </c>
      <c r="X305" s="445" t="s">
        <v>570</v>
      </c>
      <c r="Y305" s="445">
        <v>0.06</v>
      </c>
      <c r="Z305" s="445"/>
      <c r="AA305" s="446"/>
      <c r="AB305" s="443"/>
      <c r="AC305" s="443"/>
      <c r="AD305" s="443"/>
      <c r="AE305" s="443"/>
      <c r="AF305" s="443"/>
      <c r="AG305" s="443"/>
    </row>
    <row r="306" spans="1:33" s="434" customFormat="1" ht="81.75" customHeight="1" x14ac:dyDescent="0.25">
      <c r="A306" s="535"/>
      <c r="B306" s="511"/>
      <c r="C306" s="499"/>
      <c r="D306" s="499"/>
      <c r="E306" s="499"/>
      <c r="F306" s="510"/>
      <c r="G306" s="495" t="s">
        <v>578</v>
      </c>
      <c r="H306" s="413" t="s">
        <v>579</v>
      </c>
      <c r="I306" s="414" t="s">
        <v>580</v>
      </c>
      <c r="J306" s="413">
        <v>6.5000000000000002E-2</v>
      </c>
      <c r="K306" s="443"/>
      <c r="L306" s="443"/>
      <c r="M306" s="414" t="s">
        <v>589</v>
      </c>
      <c r="N306" s="414" t="s">
        <v>590</v>
      </c>
      <c r="O306" s="414">
        <v>0.04</v>
      </c>
      <c r="P306" s="414"/>
      <c r="Q306" s="443"/>
      <c r="R306" s="418" t="s">
        <v>561</v>
      </c>
      <c r="S306" s="418" t="s">
        <v>583</v>
      </c>
      <c r="T306" s="418">
        <v>7.0000000000000007E-2</v>
      </c>
      <c r="U306" s="418"/>
      <c r="V306" s="418"/>
      <c r="W306" s="418"/>
      <c r="X306" s="418"/>
      <c r="Y306" s="418"/>
      <c r="Z306" s="418"/>
      <c r="AA306" s="433"/>
      <c r="AB306" s="413"/>
      <c r="AC306" s="413"/>
      <c r="AD306" s="414"/>
      <c r="AE306" s="413"/>
      <c r="AF306" s="443"/>
      <c r="AG306" s="443"/>
    </row>
    <row r="307" spans="1:33" s="434" customFormat="1" ht="21.75" customHeight="1" x14ac:dyDescent="0.25">
      <c r="A307" s="535"/>
      <c r="B307" s="511"/>
      <c r="C307" s="499"/>
      <c r="D307" s="499"/>
      <c r="E307" s="499"/>
      <c r="F307" s="510"/>
      <c r="G307" s="2611" t="s">
        <v>1959</v>
      </c>
      <c r="H307" s="2611"/>
      <c r="I307" s="2611"/>
      <c r="J307" s="2611"/>
      <c r="K307" s="2611"/>
      <c r="L307" s="2612"/>
      <c r="M307" s="414"/>
      <c r="N307" s="414"/>
      <c r="O307" s="414"/>
      <c r="P307" s="443"/>
      <c r="Q307" s="443"/>
      <c r="R307" s="418"/>
      <c r="S307" s="418"/>
      <c r="T307" s="418"/>
      <c r="U307" s="418"/>
      <c r="V307" s="418"/>
      <c r="W307" s="418"/>
      <c r="X307" s="418"/>
      <c r="Y307" s="418"/>
      <c r="Z307" s="418"/>
      <c r="AA307" s="433"/>
      <c r="AB307" s="2702"/>
      <c r="AC307" s="2703"/>
      <c r="AD307" s="2703"/>
      <c r="AE307" s="2703"/>
      <c r="AF307" s="2703"/>
      <c r="AG307" s="2704"/>
    </row>
    <row r="308" spans="1:33" s="434" customFormat="1" ht="51" x14ac:dyDescent="0.25">
      <c r="A308" s="535"/>
      <c r="B308" s="511"/>
      <c r="C308" s="499"/>
      <c r="D308" s="499"/>
      <c r="E308" s="499"/>
      <c r="F308" s="510"/>
      <c r="G308" s="448" t="s">
        <v>571</v>
      </c>
      <c r="H308" s="414" t="s">
        <v>572</v>
      </c>
      <c r="I308" s="414" t="s">
        <v>573</v>
      </c>
      <c r="J308" s="414">
        <v>0.04</v>
      </c>
      <c r="K308" s="443"/>
      <c r="L308" s="443"/>
      <c r="M308" s="414" t="s">
        <v>1439</v>
      </c>
      <c r="N308" s="414" t="s">
        <v>1440</v>
      </c>
      <c r="O308" s="414">
        <v>0.15</v>
      </c>
      <c r="P308" s="414"/>
      <c r="Q308" s="443"/>
      <c r="R308" s="418" t="s">
        <v>576</v>
      </c>
      <c r="S308" s="418" t="s">
        <v>577</v>
      </c>
      <c r="T308" s="418">
        <v>0.15</v>
      </c>
      <c r="U308" s="418"/>
      <c r="V308" s="418"/>
      <c r="W308" s="418"/>
      <c r="X308" s="418"/>
      <c r="Y308" s="418"/>
      <c r="Z308" s="418"/>
      <c r="AA308" s="433"/>
      <c r="AB308" s="414"/>
      <c r="AC308" s="414"/>
      <c r="AD308" s="414"/>
      <c r="AE308" s="414"/>
      <c r="AF308" s="443"/>
      <c r="AG308" s="443"/>
    </row>
    <row r="309" spans="1:33" s="434" customFormat="1" ht="30" x14ac:dyDescent="0.25">
      <c r="A309" s="535"/>
      <c r="B309" s="511"/>
      <c r="C309" s="499"/>
      <c r="D309" s="499"/>
      <c r="E309" s="499"/>
      <c r="F309" s="510"/>
      <c r="G309" s="448" t="s">
        <v>586</v>
      </c>
      <c r="H309" s="414" t="s">
        <v>587</v>
      </c>
      <c r="I309" s="414" t="s">
        <v>588</v>
      </c>
      <c r="J309" s="443">
        <v>0.35</v>
      </c>
      <c r="K309" s="443"/>
      <c r="L309" s="443"/>
      <c r="M309" s="414" t="s">
        <v>1441</v>
      </c>
      <c r="N309" s="414" t="s">
        <v>1442</v>
      </c>
      <c r="O309" s="414">
        <v>0.6</v>
      </c>
      <c r="P309" s="443"/>
      <c r="Q309" s="443"/>
      <c r="R309" s="418"/>
      <c r="S309" s="418"/>
      <c r="T309" s="418"/>
      <c r="U309" s="418"/>
      <c r="V309" s="418"/>
      <c r="W309" s="418"/>
      <c r="X309" s="418"/>
      <c r="Y309" s="418"/>
      <c r="Z309" s="418"/>
      <c r="AA309" s="433"/>
      <c r="AB309" s="414"/>
      <c r="AC309" s="414"/>
      <c r="AD309" s="414"/>
      <c r="AE309" s="443"/>
      <c r="AF309" s="443"/>
      <c r="AG309" s="443"/>
    </row>
    <row r="310" spans="1:33" s="434" customFormat="1" ht="45" x14ac:dyDescent="0.25">
      <c r="A310" s="535"/>
      <c r="B310" s="511"/>
      <c r="C310" s="499"/>
      <c r="D310" s="499"/>
      <c r="E310" s="499"/>
      <c r="F310" s="510"/>
      <c r="G310" s="448" t="s">
        <v>591</v>
      </c>
      <c r="H310" s="414" t="s">
        <v>592</v>
      </c>
      <c r="I310" s="414" t="s">
        <v>573</v>
      </c>
      <c r="J310" s="414">
        <v>0.04</v>
      </c>
      <c r="K310" s="443"/>
      <c r="L310" s="443"/>
      <c r="M310" s="414" t="s">
        <v>1443</v>
      </c>
      <c r="N310" s="414" t="s">
        <v>1440</v>
      </c>
      <c r="O310" s="414">
        <v>0.6</v>
      </c>
      <c r="P310" s="443"/>
      <c r="Q310" s="443"/>
      <c r="R310" s="418"/>
      <c r="S310" s="418"/>
      <c r="T310" s="418"/>
      <c r="U310" s="418"/>
      <c r="V310" s="418"/>
      <c r="W310" s="418"/>
      <c r="X310" s="418"/>
      <c r="Y310" s="418"/>
      <c r="Z310" s="418"/>
      <c r="AA310" s="433"/>
      <c r="AB310" s="414"/>
      <c r="AC310" s="414"/>
      <c r="AD310" s="414"/>
      <c r="AE310" s="414"/>
      <c r="AF310" s="443"/>
      <c r="AG310" s="443"/>
    </row>
    <row r="311" spans="1:33" s="434" customFormat="1" ht="60" x14ac:dyDescent="0.25">
      <c r="A311" s="535"/>
      <c r="B311" s="511"/>
      <c r="C311" s="499"/>
      <c r="D311" s="499"/>
      <c r="E311" s="499"/>
      <c r="F311" s="510"/>
      <c r="G311" s="448" t="s">
        <v>581</v>
      </c>
      <c r="H311" s="414" t="s">
        <v>582</v>
      </c>
      <c r="I311" s="480" t="s">
        <v>2306</v>
      </c>
      <c r="J311" s="443">
        <v>0.6</v>
      </c>
      <c r="K311" s="443"/>
      <c r="L311" s="443"/>
      <c r="M311" s="414" t="s">
        <v>1444</v>
      </c>
      <c r="N311" s="414" t="s">
        <v>1440</v>
      </c>
      <c r="O311" s="414">
        <v>0.6</v>
      </c>
      <c r="P311" s="443"/>
      <c r="Q311" s="443"/>
      <c r="R311" s="418"/>
      <c r="S311" s="418"/>
      <c r="T311" s="418"/>
      <c r="U311" s="418"/>
      <c r="V311" s="418"/>
      <c r="W311" s="418"/>
      <c r="X311" s="418"/>
      <c r="Y311" s="418"/>
      <c r="Z311" s="418"/>
      <c r="AA311" s="433"/>
      <c r="AB311" s="414"/>
      <c r="AC311" s="414"/>
      <c r="AD311" s="480"/>
      <c r="AE311" s="443"/>
      <c r="AF311" s="443"/>
      <c r="AG311" s="443"/>
    </row>
    <row r="312" spans="1:33" s="434" customFormat="1" ht="18" customHeight="1" x14ac:dyDescent="0.25">
      <c r="A312" s="535"/>
      <c r="B312" s="511"/>
      <c r="C312" s="499"/>
      <c r="D312" s="499"/>
      <c r="E312" s="499"/>
      <c r="F312" s="510"/>
      <c r="G312" s="2611" t="s">
        <v>2477</v>
      </c>
      <c r="H312" s="2611"/>
      <c r="I312" s="2611"/>
      <c r="J312" s="2611"/>
      <c r="K312" s="2611"/>
      <c r="L312" s="2612"/>
      <c r="M312" s="414" t="s">
        <v>1445</v>
      </c>
      <c r="N312" s="414" t="s">
        <v>1446</v>
      </c>
      <c r="O312" s="414">
        <v>0.25</v>
      </c>
      <c r="P312" s="443"/>
      <c r="Q312" s="443"/>
      <c r="R312" s="418"/>
      <c r="S312" s="418"/>
      <c r="T312" s="418"/>
      <c r="U312" s="418"/>
      <c r="V312" s="418"/>
      <c r="W312" s="418"/>
      <c r="X312" s="418"/>
      <c r="Y312" s="418"/>
      <c r="Z312" s="418"/>
      <c r="AA312" s="433"/>
      <c r="AB312" s="414"/>
      <c r="AC312" s="414"/>
      <c r="AD312" s="492"/>
      <c r="AE312" s="443"/>
      <c r="AF312" s="443"/>
      <c r="AG312" s="443"/>
    </row>
    <row r="313" spans="1:33" s="434" customFormat="1" ht="75" x14ac:dyDescent="0.25">
      <c r="A313" s="535"/>
      <c r="B313" s="511"/>
      <c r="C313" s="499"/>
      <c r="D313" s="499"/>
      <c r="E313" s="499"/>
      <c r="F313" s="510"/>
      <c r="G313" s="769" t="s">
        <v>2784</v>
      </c>
      <c r="H313" s="769" t="s">
        <v>2785</v>
      </c>
      <c r="I313" s="786" t="s">
        <v>2823</v>
      </c>
      <c r="J313" s="769">
        <v>0.1</v>
      </c>
      <c r="K313" s="443"/>
      <c r="L313" s="443"/>
      <c r="M313" s="414" t="s">
        <v>1447</v>
      </c>
      <c r="N313" s="414" t="s">
        <v>1440</v>
      </c>
      <c r="O313" s="414">
        <v>0.25</v>
      </c>
      <c r="P313" s="443"/>
      <c r="Q313" s="443"/>
      <c r="R313" s="418"/>
      <c r="S313" s="418"/>
      <c r="T313" s="418"/>
      <c r="U313" s="418"/>
      <c r="V313" s="418"/>
      <c r="W313" s="418"/>
      <c r="X313" s="418"/>
      <c r="Y313" s="418"/>
      <c r="Z313" s="418"/>
      <c r="AA313" s="433"/>
      <c r="AB313" s="414"/>
      <c r="AC313" s="414"/>
      <c r="AD313" s="492"/>
      <c r="AE313" s="443"/>
      <c r="AF313" s="443"/>
      <c r="AG313" s="443"/>
    </row>
    <row r="314" spans="1:33" s="434" customFormat="1" ht="30" x14ac:dyDescent="0.25">
      <c r="A314" s="535"/>
      <c r="B314" s="511"/>
      <c r="C314" s="499"/>
      <c r="D314" s="499"/>
      <c r="E314" s="499"/>
      <c r="F314" s="510"/>
      <c r="G314" s="2611" t="s">
        <v>3020</v>
      </c>
      <c r="H314" s="2611"/>
      <c r="I314" s="2611"/>
      <c r="J314" s="2611"/>
      <c r="K314" s="2611"/>
      <c r="L314" s="2612"/>
      <c r="M314" s="414" t="s">
        <v>1448</v>
      </c>
      <c r="N314" s="414" t="s">
        <v>1446</v>
      </c>
      <c r="O314" s="414">
        <v>0.25</v>
      </c>
      <c r="P314" s="443"/>
      <c r="Q314" s="443"/>
      <c r="R314" s="418"/>
      <c r="S314" s="418"/>
      <c r="T314" s="418"/>
      <c r="U314" s="418"/>
      <c r="V314" s="418"/>
      <c r="W314" s="418"/>
      <c r="X314" s="418"/>
      <c r="Y314" s="418"/>
      <c r="Z314" s="418"/>
      <c r="AA314" s="433"/>
      <c r="AB314" s="414"/>
      <c r="AC314" s="414"/>
      <c r="AD314" s="492"/>
      <c r="AE314" s="443"/>
      <c r="AF314" s="443"/>
      <c r="AG314" s="443"/>
    </row>
    <row r="315" spans="1:33" s="434" customFormat="1" ht="82.5" customHeight="1" x14ac:dyDescent="0.25">
      <c r="A315" s="535"/>
      <c r="B315" s="511"/>
      <c r="C315" s="499"/>
      <c r="D315" s="499"/>
      <c r="E315" s="499"/>
      <c r="F315" s="510"/>
      <c r="G315" s="1042"/>
      <c r="H315" s="1042"/>
      <c r="I315" s="786"/>
      <c r="J315" s="443"/>
      <c r="K315" s="443"/>
      <c r="L315" s="443"/>
      <c r="M315" s="414" t="s">
        <v>1449</v>
      </c>
      <c r="N315" s="414" t="s">
        <v>1440</v>
      </c>
      <c r="O315" s="414">
        <v>0.4</v>
      </c>
      <c r="P315" s="443"/>
      <c r="Q315" s="443"/>
      <c r="R315" s="418"/>
      <c r="S315" s="418"/>
      <c r="T315" s="418"/>
      <c r="U315" s="418"/>
      <c r="V315" s="418"/>
      <c r="W315" s="418"/>
      <c r="X315" s="418"/>
      <c r="Y315" s="418"/>
      <c r="Z315" s="418"/>
      <c r="AA315" s="433"/>
      <c r="AB315" s="2227" t="s">
        <v>3120</v>
      </c>
      <c r="AC315" s="2227" t="s">
        <v>3121</v>
      </c>
      <c r="AD315" s="786" t="s">
        <v>20047</v>
      </c>
      <c r="AE315" s="2224">
        <f>0.05*0.9</f>
        <v>4.5000000000000005E-2</v>
      </c>
      <c r="AF315" s="443"/>
      <c r="AG315" s="443"/>
    </row>
    <row r="316" spans="1:33" s="434" customFormat="1" ht="30" x14ac:dyDescent="0.25">
      <c r="A316" s="535"/>
      <c r="B316" s="511"/>
      <c r="C316" s="499"/>
      <c r="D316" s="499"/>
      <c r="E316" s="499"/>
      <c r="F316" s="510"/>
      <c r="G316" s="2624"/>
      <c r="H316" s="2599"/>
      <c r="I316" s="2600"/>
      <c r="J316" s="1922"/>
      <c r="K316" s="1922"/>
      <c r="L316" s="1922"/>
      <c r="M316" s="414" t="s">
        <v>1450</v>
      </c>
      <c r="N316" s="414" t="s">
        <v>1446</v>
      </c>
      <c r="O316" s="414">
        <v>0.4</v>
      </c>
      <c r="P316" s="443"/>
      <c r="Q316" s="443"/>
      <c r="R316" s="418"/>
      <c r="S316" s="418"/>
      <c r="T316" s="418"/>
      <c r="U316" s="418"/>
      <c r="V316" s="418"/>
      <c r="W316" s="418"/>
      <c r="X316" s="418"/>
      <c r="Y316" s="418"/>
      <c r="Z316" s="418"/>
      <c r="AA316" s="433"/>
      <c r="AB316" s="414"/>
      <c r="AC316" s="414"/>
      <c r="AD316" s="492"/>
      <c r="AE316" s="443"/>
      <c r="AF316" s="443"/>
      <c r="AG316" s="443"/>
    </row>
    <row r="317" spans="1:33" s="434" customFormat="1" ht="30" x14ac:dyDescent="0.25">
      <c r="A317" s="535"/>
      <c r="B317" s="511"/>
      <c r="C317" s="499"/>
      <c r="D317" s="499"/>
      <c r="E317" s="499"/>
      <c r="F317" s="510"/>
      <c r="G317" s="2611" t="s">
        <v>3447</v>
      </c>
      <c r="H317" s="2611"/>
      <c r="I317" s="2611"/>
      <c r="J317" s="2611"/>
      <c r="K317" s="2611"/>
      <c r="L317" s="2612"/>
      <c r="M317" s="414" t="s">
        <v>1451</v>
      </c>
      <c r="N317" s="414" t="s">
        <v>1446</v>
      </c>
      <c r="O317" s="414">
        <v>0.11</v>
      </c>
      <c r="P317" s="443"/>
      <c r="Q317" s="443"/>
      <c r="R317" s="418"/>
      <c r="S317" s="418"/>
      <c r="T317" s="418"/>
      <c r="U317" s="418"/>
      <c r="V317" s="418"/>
      <c r="W317" s="418"/>
      <c r="X317" s="418"/>
      <c r="Y317" s="418"/>
      <c r="Z317" s="418"/>
      <c r="AA317" s="433"/>
      <c r="AB317" s="414"/>
      <c r="AC317" s="414"/>
      <c r="AD317" s="492"/>
      <c r="AE317" s="443"/>
      <c r="AF317" s="443"/>
      <c r="AG317" s="443"/>
    </row>
    <row r="318" spans="1:33" s="434" customFormat="1" ht="195" x14ac:dyDescent="0.25">
      <c r="A318" s="535"/>
      <c r="B318" s="511"/>
      <c r="C318" s="499"/>
      <c r="D318" s="499"/>
      <c r="E318" s="499"/>
      <c r="F318" s="510"/>
      <c r="G318" s="1482" t="s">
        <v>3269</v>
      </c>
      <c r="H318" s="1482" t="s">
        <v>17064</v>
      </c>
      <c r="I318" s="492" t="s">
        <v>15275</v>
      </c>
      <c r="J318" s="443">
        <f>0.6*0.9</f>
        <v>0.54</v>
      </c>
      <c r="K318" s="443"/>
      <c r="L318" s="443"/>
      <c r="M318" s="414" t="s">
        <v>1452</v>
      </c>
      <c r="N318" s="414" t="s">
        <v>1446</v>
      </c>
      <c r="O318" s="414">
        <v>0.11</v>
      </c>
      <c r="P318" s="443"/>
      <c r="Q318" s="443"/>
      <c r="R318" s="418"/>
      <c r="S318" s="418"/>
      <c r="T318" s="418"/>
      <c r="U318" s="418"/>
      <c r="V318" s="418"/>
      <c r="W318" s="418"/>
      <c r="X318" s="418"/>
      <c r="Y318" s="418"/>
      <c r="Z318" s="418"/>
      <c r="AA318" s="433"/>
      <c r="AB318" s="414"/>
      <c r="AC318" s="414"/>
      <c r="AD318" s="492"/>
      <c r="AE318" s="443"/>
      <c r="AF318" s="443"/>
      <c r="AG318" s="443"/>
    </row>
    <row r="319" spans="1:33" s="434" customFormat="1" ht="150" x14ac:dyDescent="0.25">
      <c r="A319" s="535"/>
      <c r="B319" s="511"/>
      <c r="C319" s="499"/>
      <c r="D319" s="499"/>
      <c r="E319" s="499"/>
      <c r="F319" s="510"/>
      <c r="G319" s="1482" t="s">
        <v>3608</v>
      </c>
      <c r="H319" s="1482" t="s">
        <v>3609</v>
      </c>
      <c r="I319" s="492" t="s">
        <v>15284</v>
      </c>
      <c r="J319" s="443">
        <f>0.5*0.9</f>
        <v>0.45</v>
      </c>
      <c r="K319" s="443"/>
      <c r="L319" s="443"/>
      <c r="M319" s="414" t="s">
        <v>1453</v>
      </c>
      <c r="N319" s="414" t="s">
        <v>1446</v>
      </c>
      <c r="O319" s="414">
        <v>0.45</v>
      </c>
      <c r="P319" s="443"/>
      <c r="Q319" s="443"/>
      <c r="R319" s="418"/>
      <c r="S319" s="418"/>
      <c r="T319" s="418"/>
      <c r="U319" s="418"/>
      <c r="V319" s="418"/>
      <c r="W319" s="418"/>
      <c r="X319" s="418"/>
      <c r="Y319" s="418"/>
      <c r="Z319" s="418"/>
      <c r="AA319" s="433"/>
      <c r="AB319" s="414"/>
      <c r="AC319" s="414"/>
      <c r="AD319" s="492"/>
      <c r="AE319" s="443"/>
      <c r="AF319" s="443"/>
      <c r="AG319" s="443"/>
    </row>
    <row r="320" spans="1:33" s="434" customFormat="1" ht="30" x14ac:dyDescent="0.25">
      <c r="A320" s="535"/>
      <c r="B320" s="511"/>
      <c r="C320" s="499"/>
      <c r="D320" s="499"/>
      <c r="E320" s="499"/>
      <c r="F320" s="510"/>
      <c r="G320" s="2679" t="s">
        <v>3401</v>
      </c>
      <c r="H320" s="2680"/>
      <c r="I320" s="2681"/>
      <c r="J320" s="1209">
        <f>0.958*0.9</f>
        <v>0.86219999999999997</v>
      </c>
      <c r="K320" s="443"/>
      <c r="L320" s="443"/>
      <c r="M320" s="414" t="s">
        <v>1454</v>
      </c>
      <c r="N320" s="414" t="s">
        <v>1446</v>
      </c>
      <c r="O320" s="414">
        <v>0.3</v>
      </c>
      <c r="P320" s="443"/>
      <c r="Q320" s="443"/>
      <c r="R320" s="418"/>
      <c r="S320" s="418"/>
      <c r="T320" s="418"/>
      <c r="U320" s="418"/>
      <c r="V320" s="418"/>
      <c r="W320" s="418"/>
      <c r="X320" s="418"/>
      <c r="Y320" s="418"/>
      <c r="Z320" s="418"/>
      <c r="AA320" s="433"/>
      <c r="AB320" s="414"/>
      <c r="AC320" s="414"/>
      <c r="AD320" s="492"/>
      <c r="AE320" s="443"/>
      <c r="AF320" s="443"/>
      <c r="AG320" s="443"/>
    </row>
    <row r="321" spans="1:33" s="434" customFormat="1" ht="34.5" customHeight="1" x14ac:dyDescent="0.25">
      <c r="A321" s="742"/>
      <c r="B321" s="743"/>
      <c r="C321" s="744"/>
      <c r="D321" s="744"/>
      <c r="E321" s="744"/>
      <c r="F321" s="749"/>
      <c r="G321" s="2611" t="s">
        <v>17005</v>
      </c>
      <c r="H321" s="2611"/>
      <c r="I321" s="2611"/>
      <c r="J321" s="2611"/>
      <c r="K321" s="2611"/>
      <c r="L321" s="2612"/>
      <c r="M321" s="450" t="s">
        <v>2764</v>
      </c>
      <c r="N321" s="450" t="s">
        <v>2765</v>
      </c>
      <c r="O321" s="450">
        <v>0.4</v>
      </c>
      <c r="P321" s="450"/>
      <c r="Q321" s="450"/>
      <c r="R321" s="453"/>
      <c r="S321" s="453"/>
      <c r="T321" s="453"/>
      <c r="U321" s="453"/>
      <c r="V321" s="453"/>
      <c r="W321" s="453"/>
      <c r="X321" s="453"/>
      <c r="Y321" s="453"/>
      <c r="Z321" s="453"/>
      <c r="AA321" s="453"/>
      <c r="AB321" s="450"/>
      <c r="AC321" s="450"/>
      <c r="AD321" s="751"/>
      <c r="AE321" s="450"/>
      <c r="AF321" s="450"/>
      <c r="AG321" s="435"/>
    </row>
    <row r="322" spans="1:33" s="434" customFormat="1" ht="75" x14ac:dyDescent="0.25">
      <c r="A322" s="742"/>
      <c r="B322" s="743"/>
      <c r="C322" s="744"/>
      <c r="D322" s="744"/>
      <c r="E322" s="744"/>
      <c r="F322" s="749"/>
      <c r="G322" s="746" t="s">
        <v>17085</v>
      </c>
      <c r="H322" s="746" t="s">
        <v>17086</v>
      </c>
      <c r="I322" s="750" t="s">
        <v>17087</v>
      </c>
      <c r="J322" s="746">
        <f>0.3*0.75</f>
        <v>0.22499999999999998</v>
      </c>
      <c r="K322" s="746"/>
      <c r="L322" s="746"/>
      <c r="M322" s="1130"/>
      <c r="N322" s="1192"/>
      <c r="O322" s="1130"/>
      <c r="P322" s="746"/>
      <c r="Q322" s="746"/>
      <c r="R322" s="301"/>
      <c r="S322" s="301"/>
      <c r="T322" s="301"/>
      <c r="U322" s="301"/>
      <c r="V322" s="301"/>
      <c r="W322" s="301"/>
      <c r="X322" s="301"/>
      <c r="Y322" s="301"/>
      <c r="Z322" s="301"/>
      <c r="AA322" s="301"/>
      <c r="AB322" s="746"/>
      <c r="AC322" s="746"/>
      <c r="AD322" s="750"/>
      <c r="AE322" s="746"/>
      <c r="AF322" s="746"/>
      <c r="AG322" s="746"/>
    </row>
    <row r="323" spans="1:33" s="434" customFormat="1" ht="75" x14ac:dyDescent="0.25">
      <c r="A323" s="1129"/>
      <c r="B323" s="1127"/>
      <c r="C323" s="1128"/>
      <c r="D323" s="1128"/>
      <c r="E323" s="1128"/>
      <c r="F323" s="1126"/>
      <c r="G323" s="2679" t="s">
        <v>3401</v>
      </c>
      <c r="H323" s="2680"/>
      <c r="I323" s="2681"/>
      <c r="J323" s="1209">
        <f>0.547*0.9</f>
        <v>0.49230000000000007</v>
      </c>
      <c r="K323" s="450"/>
      <c r="L323" s="450"/>
      <c r="M323" s="1367" t="s">
        <v>3274</v>
      </c>
      <c r="N323" s="1516" t="s">
        <v>3275</v>
      </c>
      <c r="O323" s="1367">
        <v>1.5</v>
      </c>
      <c r="P323" s="1367"/>
      <c r="Q323" s="1367"/>
      <c r="R323" s="301"/>
      <c r="S323" s="301"/>
      <c r="T323" s="301"/>
      <c r="U323" s="301"/>
      <c r="V323" s="301"/>
      <c r="W323" s="301"/>
      <c r="X323" s="301"/>
      <c r="Y323" s="301"/>
      <c r="Z323" s="301"/>
      <c r="AA323" s="301"/>
      <c r="AB323" s="1367"/>
      <c r="AC323" s="1367"/>
      <c r="AD323" s="750"/>
      <c r="AE323" s="1367"/>
      <c r="AF323" s="1367"/>
      <c r="AG323" s="1367"/>
    </row>
    <row r="324" spans="1:33" s="434" customFormat="1" ht="105" x14ac:dyDescent="0.25">
      <c r="A324" s="1129"/>
      <c r="B324" s="1127"/>
      <c r="C324" s="1128"/>
      <c r="D324" s="1128"/>
      <c r="E324" s="1128"/>
      <c r="F324" s="1126"/>
      <c r="G324" s="601"/>
      <c r="H324" s="699"/>
      <c r="I324" s="1132"/>
      <c r="J324" s="450"/>
      <c r="K324" s="450"/>
      <c r="L324" s="450"/>
      <c r="M324" s="1367" t="s">
        <v>3286</v>
      </c>
      <c r="N324" s="1367" t="s">
        <v>3287</v>
      </c>
      <c r="O324" s="1367">
        <v>0.8</v>
      </c>
      <c r="P324" s="1367"/>
      <c r="Q324" s="1367"/>
      <c r="R324" s="301"/>
      <c r="S324" s="301"/>
      <c r="T324" s="301"/>
      <c r="U324" s="301"/>
      <c r="V324" s="301"/>
      <c r="W324" s="301"/>
      <c r="X324" s="301"/>
      <c r="Y324" s="301"/>
      <c r="Z324" s="301"/>
      <c r="AA324" s="301"/>
      <c r="AB324" s="1367"/>
      <c r="AC324" s="1367"/>
      <c r="AD324" s="750"/>
      <c r="AE324" s="1367"/>
      <c r="AF324" s="1367"/>
      <c r="AG324" s="1367"/>
    </row>
    <row r="325" spans="1:33" s="434" customFormat="1" x14ac:dyDescent="0.25">
      <c r="A325" s="1366"/>
      <c r="B325" s="1364"/>
      <c r="C325" s="1365"/>
      <c r="D325" s="1365"/>
      <c r="E325" s="1365"/>
      <c r="F325" s="1363"/>
      <c r="G325" s="601"/>
      <c r="H325" s="699"/>
      <c r="I325" s="1132"/>
      <c r="J325" s="450"/>
      <c r="K325" s="450"/>
      <c r="L325" s="450"/>
      <c r="M325" s="1367"/>
      <c r="N325" s="1367"/>
      <c r="O325" s="1367"/>
      <c r="P325" s="1367"/>
      <c r="Q325" s="1367"/>
      <c r="R325" s="301"/>
      <c r="S325" s="301"/>
      <c r="T325" s="301"/>
      <c r="U325" s="301"/>
      <c r="V325" s="301"/>
      <c r="W325" s="301"/>
      <c r="X325" s="301"/>
      <c r="Y325" s="301"/>
      <c r="Z325" s="301"/>
      <c r="AA325" s="301"/>
      <c r="AB325" s="1367"/>
      <c r="AC325" s="1367"/>
      <c r="AD325" s="750"/>
      <c r="AE325" s="1367"/>
      <c r="AF325" s="1367"/>
      <c r="AG325" s="1367"/>
    </row>
    <row r="326" spans="1:33" ht="15.75" thickBot="1" x14ac:dyDescent="0.3">
      <c r="A326" s="525"/>
      <c r="B326" s="516"/>
      <c r="C326" s="503"/>
      <c r="D326" s="503"/>
      <c r="E326" s="503"/>
      <c r="F326" s="517"/>
      <c r="G326" s="2577" t="s">
        <v>1833</v>
      </c>
      <c r="H326" s="2578"/>
      <c r="I326" s="2579"/>
      <c r="J326" s="13">
        <f>SUM(J318:J325)</f>
        <v>2.5695000000000001</v>
      </c>
      <c r="K326" s="14">
        <v>0.92</v>
      </c>
      <c r="L326" s="13">
        <f>J326/K326</f>
        <v>2.7929347826086959</v>
      </c>
      <c r="M326" s="2577" t="s">
        <v>1834</v>
      </c>
      <c r="N326" s="2579"/>
      <c r="O326" s="13">
        <f>SUM(O304:O325)</f>
        <v>8.1300000000000026</v>
      </c>
      <c r="P326" s="14">
        <v>0.92</v>
      </c>
      <c r="Q326" s="13">
        <f>O326/P326</f>
        <v>8.8369565217391326</v>
      </c>
      <c r="R326" s="2738" t="s">
        <v>1835</v>
      </c>
      <c r="S326" s="2739"/>
      <c r="T326" s="30">
        <f>SUM(T305:T320)</f>
        <v>0.22</v>
      </c>
      <c r="U326" s="31">
        <v>0.8</v>
      </c>
      <c r="V326" s="30">
        <f>T326/U326</f>
        <v>0.27499999999999997</v>
      </c>
      <c r="W326" s="2738" t="s">
        <v>1836</v>
      </c>
      <c r="X326" s="2739"/>
      <c r="Y326" s="30">
        <f>SUM(Y305:Y320)</f>
        <v>0.06</v>
      </c>
      <c r="Z326" s="31">
        <v>0.8</v>
      </c>
      <c r="AA326" s="32">
        <f>Y326/Z326</f>
        <v>7.4999999999999997E-2</v>
      </c>
      <c r="AB326" s="2577" t="s">
        <v>1833</v>
      </c>
      <c r="AC326" s="2578"/>
      <c r="AD326" s="2579"/>
      <c r="AE326" s="13">
        <f>SUM(AE308:AE320)</f>
        <v>4.5000000000000005E-2</v>
      </c>
      <c r="AF326" s="14">
        <v>0.92</v>
      </c>
      <c r="AG326" s="13">
        <f>AE326/AF326</f>
        <v>4.8913043478260872E-2</v>
      </c>
    </row>
    <row r="327" spans="1:33" s="434" customFormat="1" x14ac:dyDescent="0.25">
      <c r="A327" s="536"/>
      <c r="B327" s="527"/>
      <c r="C327" s="508"/>
      <c r="D327" s="508"/>
      <c r="E327" s="508"/>
      <c r="F327" s="509"/>
      <c r="G327" s="2712"/>
      <c r="H327" s="2731"/>
      <c r="I327" s="2731"/>
      <c r="J327" s="2731"/>
      <c r="K327" s="2731"/>
      <c r="L327" s="2731"/>
      <c r="M327" s="476"/>
      <c r="N327" s="477"/>
      <c r="O327" s="478"/>
      <c r="P327" s="478"/>
      <c r="Q327" s="478"/>
      <c r="R327" s="437"/>
      <c r="S327" s="487"/>
      <c r="T327" s="417"/>
      <c r="U327" s="417"/>
      <c r="V327" s="417"/>
      <c r="W327" s="437"/>
      <c r="X327" s="438"/>
      <c r="Y327" s="417"/>
      <c r="Z327" s="417"/>
      <c r="AA327" s="439"/>
      <c r="AB327" s="2707" t="s">
        <v>1963</v>
      </c>
      <c r="AC327" s="2708"/>
      <c r="AD327" s="2708"/>
      <c r="AE327" s="2708"/>
      <c r="AF327" s="2708"/>
      <c r="AG327" s="2709"/>
    </row>
    <row r="328" spans="1:33" s="434" customFormat="1" ht="73.5" customHeight="1" x14ac:dyDescent="0.25">
      <c r="A328" s="510"/>
      <c r="B328" s="499"/>
      <c r="C328" s="499"/>
      <c r="D328" s="499"/>
      <c r="E328" s="499"/>
      <c r="F328" s="510"/>
      <c r="G328" s="497"/>
      <c r="H328" s="488"/>
      <c r="I328" s="488"/>
      <c r="J328" s="488"/>
      <c r="K328" s="488"/>
      <c r="L328" s="488"/>
      <c r="M328" s="443" t="s">
        <v>1262</v>
      </c>
      <c r="N328" s="443" t="s">
        <v>1266</v>
      </c>
      <c r="O328" s="443">
        <v>0.45</v>
      </c>
      <c r="P328" s="443"/>
      <c r="Q328" s="443"/>
      <c r="R328" s="418"/>
      <c r="S328" s="418"/>
      <c r="T328" s="418"/>
      <c r="U328" s="418"/>
      <c r="V328" s="418"/>
      <c r="W328" s="418" t="s">
        <v>1267</v>
      </c>
      <c r="X328" s="418" t="s">
        <v>1268</v>
      </c>
      <c r="Y328" s="418">
        <v>4.4999999999999998E-2</v>
      </c>
      <c r="Z328" s="418"/>
      <c r="AA328" s="433"/>
      <c r="AB328" s="489" t="s">
        <v>1264</v>
      </c>
      <c r="AC328" s="489" t="s">
        <v>1265</v>
      </c>
      <c r="AD328" s="489" t="s">
        <v>2494</v>
      </c>
      <c r="AE328" s="491">
        <v>0.04</v>
      </c>
      <c r="AF328" s="491"/>
      <c r="AG328" s="491"/>
    </row>
    <row r="329" spans="1:33" s="434" customFormat="1" ht="30.75" thickBot="1" x14ac:dyDescent="0.3">
      <c r="A329" s="535"/>
      <c r="B329" s="511"/>
      <c r="C329" s="499"/>
      <c r="D329" s="499"/>
      <c r="E329" s="499"/>
      <c r="F329" s="510"/>
      <c r="G329" s="2611" t="s">
        <v>1960</v>
      </c>
      <c r="H329" s="2611"/>
      <c r="I329" s="2611"/>
      <c r="J329" s="2611"/>
      <c r="K329" s="2611"/>
      <c r="L329" s="2612"/>
      <c r="M329" s="443" t="s">
        <v>1262</v>
      </c>
      <c r="N329" s="443" t="s">
        <v>1263</v>
      </c>
      <c r="O329" s="443">
        <v>0.25</v>
      </c>
      <c r="P329" s="443"/>
      <c r="Q329" s="443"/>
      <c r="R329" s="418"/>
      <c r="S329" s="493"/>
      <c r="T329" s="418"/>
      <c r="U329" s="418"/>
      <c r="V329" s="418"/>
      <c r="W329" s="418"/>
      <c r="X329" s="418"/>
      <c r="Y329" s="418"/>
      <c r="Z329" s="418"/>
      <c r="AA329" s="433"/>
      <c r="AB329" s="2702"/>
      <c r="AC329" s="2703"/>
      <c r="AD329" s="2703"/>
      <c r="AE329" s="2703"/>
      <c r="AF329" s="2703"/>
      <c r="AG329" s="2704"/>
    </row>
    <row r="330" spans="1:33" s="434" customFormat="1" ht="45" x14ac:dyDescent="0.25">
      <c r="A330" s="535" t="str">
        <f>Итоговая!C204</f>
        <v xml:space="preserve">ПС 110/35/10 кВ Роща </v>
      </c>
      <c r="B330" s="511">
        <f>Итоговая!D204</f>
        <v>10</v>
      </c>
      <c r="C330" s="499" t="str">
        <f>Итоговая!E204</f>
        <v>+</v>
      </c>
      <c r="D330" s="499">
        <f>Итоговая!F204</f>
        <v>10</v>
      </c>
      <c r="E330" s="499"/>
      <c r="F330" s="510"/>
      <c r="G330" s="436" t="s">
        <v>1864</v>
      </c>
      <c r="H330" s="435" t="s">
        <v>1260</v>
      </c>
      <c r="I330" s="414" t="s">
        <v>1261</v>
      </c>
      <c r="J330" s="414">
        <v>0.11</v>
      </c>
      <c r="K330" s="414"/>
      <c r="L330" s="414"/>
      <c r="M330" s="443" t="s">
        <v>1272</v>
      </c>
      <c r="N330" s="443" t="s">
        <v>1273</v>
      </c>
      <c r="O330" s="443">
        <v>1</v>
      </c>
      <c r="P330" s="443"/>
      <c r="Q330" s="443"/>
      <c r="R330" s="445"/>
      <c r="S330" s="494"/>
      <c r="T330" s="445"/>
      <c r="U330" s="445"/>
      <c r="V330" s="445"/>
      <c r="W330" s="445"/>
      <c r="X330" s="445"/>
      <c r="Y330" s="445"/>
      <c r="Z330" s="445"/>
      <c r="AA330" s="446"/>
      <c r="AB330" s="435"/>
      <c r="AC330" s="435"/>
      <c r="AD330" s="414"/>
      <c r="AE330" s="414"/>
      <c r="AF330" s="414"/>
      <c r="AG330" s="414"/>
    </row>
    <row r="331" spans="1:33" s="434" customFormat="1" ht="55.5" customHeight="1" x14ac:dyDescent="0.25">
      <c r="A331" s="535"/>
      <c r="B331" s="511"/>
      <c r="C331" s="499"/>
      <c r="D331" s="499"/>
      <c r="E331" s="499"/>
      <c r="F331" s="510"/>
      <c r="G331" s="448" t="s">
        <v>1269</v>
      </c>
      <c r="H331" s="414" t="s">
        <v>1270</v>
      </c>
      <c r="I331" s="414" t="s">
        <v>1271</v>
      </c>
      <c r="J331" s="414">
        <v>0.6</v>
      </c>
      <c r="K331" s="414"/>
      <c r="L331" s="414"/>
      <c r="M331" s="414" t="s">
        <v>1399</v>
      </c>
      <c r="N331" s="414" t="s">
        <v>1400</v>
      </c>
      <c r="O331" s="443">
        <v>2.1000000000000001E-2</v>
      </c>
      <c r="P331" s="443"/>
      <c r="Q331" s="443"/>
      <c r="R331" s="418"/>
      <c r="S331" s="418"/>
      <c r="T331" s="418"/>
      <c r="U331" s="418"/>
      <c r="V331" s="418"/>
      <c r="W331" s="418" t="s">
        <v>1267</v>
      </c>
      <c r="X331" s="418" t="s">
        <v>1274</v>
      </c>
      <c r="Y331" s="418">
        <v>5.5E-2</v>
      </c>
      <c r="Z331" s="418"/>
      <c r="AA331" s="433"/>
      <c r="AB331" s="414"/>
      <c r="AC331" s="414"/>
      <c r="AD331" s="414"/>
      <c r="AE331" s="414"/>
      <c r="AF331" s="414"/>
      <c r="AG331" s="414"/>
    </row>
    <row r="332" spans="1:33" s="434" customFormat="1" ht="30" customHeight="1" x14ac:dyDescent="0.25">
      <c r="A332" s="535"/>
      <c r="B332" s="511"/>
      <c r="C332" s="499"/>
      <c r="D332" s="499"/>
      <c r="E332" s="499"/>
      <c r="F332" s="510"/>
      <c r="G332" s="2611" t="s">
        <v>2477</v>
      </c>
      <c r="H332" s="2611"/>
      <c r="I332" s="2611"/>
      <c r="J332" s="2611"/>
      <c r="K332" s="2611"/>
      <c r="L332" s="2612"/>
      <c r="M332" s="414" t="s">
        <v>1399</v>
      </c>
      <c r="N332" s="414" t="s">
        <v>1401</v>
      </c>
      <c r="O332" s="443">
        <v>0.11749999999999999</v>
      </c>
      <c r="P332" s="443"/>
      <c r="Q332" s="443"/>
      <c r="R332" s="301"/>
      <c r="S332" s="301"/>
      <c r="T332" s="301"/>
      <c r="U332" s="418"/>
      <c r="V332" s="418"/>
      <c r="W332" s="301"/>
      <c r="X332" s="301"/>
      <c r="Y332" s="301"/>
      <c r="Z332" s="418"/>
      <c r="AA332" s="433"/>
      <c r="AB332" s="443"/>
      <c r="AC332" s="443"/>
      <c r="AD332" s="443"/>
      <c r="AE332" s="443"/>
      <c r="AF332" s="443"/>
      <c r="AG332" s="443"/>
    </row>
    <row r="333" spans="1:33" s="434" customFormat="1" ht="75" x14ac:dyDescent="0.25">
      <c r="A333" s="535"/>
      <c r="B333" s="511"/>
      <c r="C333" s="499"/>
      <c r="D333" s="499"/>
      <c r="E333" s="499"/>
      <c r="F333" s="510"/>
      <c r="G333" s="694" t="s">
        <v>2560</v>
      </c>
      <c r="H333" s="694" t="s">
        <v>2679</v>
      </c>
      <c r="I333" s="693" t="s">
        <v>2680</v>
      </c>
      <c r="J333" s="694">
        <f>0.25</f>
        <v>0.25</v>
      </c>
      <c r="K333" s="443"/>
      <c r="L333" s="443"/>
      <c r="M333" s="414" t="s">
        <v>1402</v>
      </c>
      <c r="N333" s="414" t="s">
        <v>1403</v>
      </c>
      <c r="O333" s="424">
        <v>1.4999999999999999E-2</v>
      </c>
      <c r="P333" s="443"/>
      <c r="Q333" s="443"/>
      <c r="R333" s="418"/>
      <c r="S333" s="418"/>
      <c r="T333" s="418"/>
      <c r="U333" s="418"/>
      <c r="V333" s="418"/>
      <c r="W333" s="418"/>
      <c r="X333" s="418"/>
      <c r="Y333" s="418"/>
      <c r="Z333" s="418"/>
      <c r="AA333" s="433"/>
      <c r="AB333" s="443"/>
      <c r="AC333" s="443"/>
      <c r="AD333" s="443"/>
      <c r="AE333" s="443"/>
      <c r="AF333" s="443"/>
      <c r="AG333" s="443"/>
    </row>
    <row r="334" spans="1:33" s="434" customFormat="1" ht="30" x14ac:dyDescent="0.25">
      <c r="A334" s="535"/>
      <c r="B334" s="511"/>
      <c r="C334" s="499"/>
      <c r="D334" s="499"/>
      <c r="E334" s="499"/>
      <c r="F334" s="510"/>
      <c r="G334" s="2611" t="s">
        <v>17067</v>
      </c>
      <c r="H334" s="2611"/>
      <c r="I334" s="2611"/>
      <c r="J334" s="2611"/>
      <c r="K334" s="2611"/>
      <c r="L334" s="2612"/>
      <c r="M334" s="414" t="s">
        <v>1437</v>
      </c>
      <c r="N334" s="414" t="s">
        <v>1438</v>
      </c>
      <c r="O334" s="414">
        <v>3.5000000000000003E-2</v>
      </c>
      <c r="P334" s="443"/>
      <c r="Q334" s="443"/>
      <c r="R334" s="418"/>
      <c r="S334" s="418"/>
      <c r="T334" s="418"/>
      <c r="U334" s="418"/>
      <c r="V334" s="418"/>
      <c r="W334" s="418"/>
      <c r="X334" s="418"/>
      <c r="Y334" s="418"/>
      <c r="Z334" s="418"/>
      <c r="AA334" s="433"/>
      <c r="AB334" s="414"/>
      <c r="AC334" s="414"/>
      <c r="AD334" s="414"/>
      <c r="AE334" s="414"/>
      <c r="AF334" s="414"/>
      <c r="AG334" s="414"/>
    </row>
    <row r="335" spans="1:33" s="434" customFormat="1" ht="44.25" customHeight="1" x14ac:dyDescent="0.25">
      <c r="A335" s="615"/>
      <c r="B335" s="616"/>
      <c r="C335" s="611"/>
      <c r="D335" s="611"/>
      <c r="E335" s="611"/>
      <c r="F335" s="621"/>
      <c r="G335" s="2123" t="s">
        <v>20238</v>
      </c>
      <c r="H335" s="2124" t="s">
        <v>20239</v>
      </c>
      <c r="I335" s="314" t="s">
        <v>20240</v>
      </c>
      <c r="J335" s="1956">
        <f>0.05*0.75</f>
        <v>3.7500000000000006E-2</v>
      </c>
      <c r="K335" s="1956"/>
      <c r="L335" s="1956"/>
      <c r="M335" s="450" t="s">
        <v>2394</v>
      </c>
      <c r="N335" s="450" t="s">
        <v>2448</v>
      </c>
      <c r="O335" s="450">
        <v>1.6E-2</v>
      </c>
      <c r="P335" s="435"/>
      <c r="Q335" s="435"/>
      <c r="R335" s="437"/>
      <c r="S335" s="438"/>
      <c r="T335" s="417"/>
      <c r="U335" s="417"/>
      <c r="V335" s="417"/>
      <c r="W335" s="437"/>
      <c r="X335" s="438"/>
      <c r="Y335" s="417"/>
      <c r="Z335" s="417"/>
      <c r="AA335" s="439"/>
      <c r="AB335" s="435"/>
      <c r="AC335" s="613"/>
      <c r="AD335" s="613"/>
      <c r="AE335" s="613"/>
      <c r="AF335" s="613"/>
      <c r="AG335" s="613"/>
    </row>
    <row r="336" spans="1:33" s="434" customFormat="1" ht="150" x14ac:dyDescent="0.25">
      <c r="A336" s="615"/>
      <c r="B336" s="616"/>
      <c r="C336" s="611"/>
      <c r="D336" s="611"/>
      <c r="E336" s="611"/>
      <c r="F336" s="621"/>
      <c r="G336" s="612"/>
      <c r="H336" s="613"/>
      <c r="I336" s="613"/>
      <c r="J336" s="613"/>
      <c r="K336" s="613"/>
      <c r="L336" s="613"/>
      <c r="M336" s="614" t="s">
        <v>2437</v>
      </c>
      <c r="N336" s="663" t="s">
        <v>2627</v>
      </c>
      <c r="O336" s="614">
        <v>0.02</v>
      </c>
      <c r="P336" s="614"/>
      <c r="Q336" s="614"/>
      <c r="R336" s="301"/>
      <c r="S336" s="301"/>
      <c r="T336" s="301"/>
      <c r="U336" s="301"/>
      <c r="V336" s="301"/>
      <c r="W336" s="301"/>
      <c r="X336" s="301"/>
      <c r="Y336" s="301"/>
      <c r="Z336" s="301"/>
      <c r="AA336" s="301"/>
      <c r="AB336" s="614"/>
      <c r="AC336" s="613"/>
      <c r="AD336" s="613"/>
      <c r="AE336" s="613"/>
      <c r="AF336" s="613"/>
      <c r="AG336" s="613"/>
    </row>
    <row r="337" spans="1:33" s="434" customFormat="1" ht="75" x14ac:dyDescent="0.25">
      <c r="A337" s="626"/>
      <c r="B337" s="629"/>
      <c r="C337" s="635"/>
      <c r="D337" s="635"/>
      <c r="E337" s="635"/>
      <c r="F337" s="641"/>
      <c r="G337" s="632"/>
      <c r="H337" s="633"/>
      <c r="I337" s="633"/>
      <c r="J337" s="633"/>
      <c r="K337" s="633"/>
      <c r="L337" s="633"/>
      <c r="M337" s="630" t="s">
        <v>2533</v>
      </c>
      <c r="N337" s="630" t="s">
        <v>2534</v>
      </c>
      <c r="O337" s="630">
        <v>9.1999999999999998E-2</v>
      </c>
      <c r="P337" s="633"/>
      <c r="Q337" s="633"/>
      <c r="R337" s="437"/>
      <c r="S337" s="438"/>
      <c r="T337" s="417"/>
      <c r="U337" s="417"/>
      <c r="V337" s="417"/>
      <c r="W337" s="437"/>
      <c r="X337" s="438"/>
      <c r="Y337" s="417"/>
      <c r="Z337" s="417"/>
      <c r="AA337" s="437"/>
      <c r="AB337" s="633"/>
      <c r="AC337" s="633"/>
      <c r="AD337" s="633"/>
      <c r="AE337" s="633"/>
      <c r="AF337" s="633"/>
      <c r="AG337" s="633"/>
    </row>
    <row r="338" spans="1:33" s="434" customFormat="1" ht="50.25" customHeight="1" x14ac:dyDescent="0.25">
      <c r="A338" s="535"/>
      <c r="B338" s="511"/>
      <c r="C338" s="499"/>
      <c r="D338" s="499"/>
      <c r="E338" s="499"/>
      <c r="F338" s="510"/>
      <c r="G338" s="442"/>
      <c r="H338" s="443"/>
      <c r="I338" s="443"/>
      <c r="J338" s="443"/>
      <c r="K338" s="443"/>
      <c r="L338" s="443"/>
      <c r="M338" s="630"/>
      <c r="N338" s="663"/>
      <c r="O338" s="614"/>
      <c r="P338" s="613"/>
      <c r="Q338" s="613"/>
      <c r="R338" s="437"/>
      <c r="S338" s="438"/>
      <c r="T338" s="417"/>
      <c r="U338" s="417"/>
      <c r="V338" s="417"/>
      <c r="W338" s="437"/>
      <c r="X338" s="438"/>
      <c r="Y338" s="417"/>
      <c r="Z338" s="417"/>
      <c r="AA338" s="439"/>
      <c r="AB338" s="443"/>
      <c r="AC338" s="443"/>
      <c r="AD338" s="443"/>
      <c r="AE338" s="443"/>
      <c r="AF338" s="443"/>
      <c r="AG338" s="443"/>
    </row>
    <row r="339" spans="1:33" ht="15.75" thickBot="1" x14ac:dyDescent="0.3">
      <c r="A339" s="525"/>
      <c r="B339" s="516"/>
      <c r="C339" s="503"/>
      <c r="D339" s="503"/>
      <c r="E339" s="503"/>
      <c r="F339" s="517"/>
      <c r="G339" s="2578" t="s">
        <v>1833</v>
      </c>
      <c r="H339" s="2578"/>
      <c r="I339" s="2579"/>
      <c r="J339" s="13">
        <f>SUM(J335)</f>
        <v>3.7500000000000006E-2</v>
      </c>
      <c r="K339" s="14">
        <v>0.92</v>
      </c>
      <c r="L339" s="13">
        <f>J339/K339</f>
        <v>4.0760869565217399E-2</v>
      </c>
      <c r="M339" s="2577" t="s">
        <v>1834</v>
      </c>
      <c r="N339" s="2579"/>
      <c r="O339" s="13">
        <f>SUM(O328:O338)</f>
        <v>2.0164999999999997</v>
      </c>
      <c r="P339" s="14">
        <v>0.92</v>
      </c>
      <c r="Q339" s="13">
        <f>O339/P339</f>
        <v>2.1918478260869563</v>
      </c>
      <c r="R339" s="2738" t="s">
        <v>1835</v>
      </c>
      <c r="S339" s="2739"/>
      <c r="T339" s="30">
        <f>SUM(T329:T334)</f>
        <v>0</v>
      </c>
      <c r="U339" s="31">
        <v>0.8</v>
      </c>
      <c r="V339" s="30">
        <f>T339/U339</f>
        <v>0</v>
      </c>
      <c r="W339" s="2738" t="s">
        <v>1836</v>
      </c>
      <c r="X339" s="2739"/>
      <c r="Y339" s="30">
        <f>SUM(Y329:Y334)</f>
        <v>5.5E-2</v>
      </c>
      <c r="Z339" s="31">
        <v>0.8</v>
      </c>
      <c r="AA339" s="32">
        <f>Y339/Z339</f>
        <v>6.8749999999999992E-2</v>
      </c>
      <c r="AB339" s="2577" t="s">
        <v>1833</v>
      </c>
      <c r="AC339" s="2578"/>
      <c r="AD339" s="2579"/>
      <c r="AE339" s="13">
        <f>SUM(AE328)</f>
        <v>0.04</v>
      </c>
      <c r="AF339" s="14">
        <v>0.92</v>
      </c>
      <c r="AG339" s="13">
        <f>AE339/AF339</f>
        <v>4.3478260869565216E-2</v>
      </c>
    </row>
    <row r="340" spans="1:33" ht="19.5" thickBot="1" x14ac:dyDescent="0.3">
      <c r="A340" s="2756" t="s">
        <v>1962</v>
      </c>
      <c r="B340" s="2757"/>
      <c r="C340" s="498"/>
      <c r="D340" s="498"/>
      <c r="E340" s="498"/>
      <c r="F340" s="498"/>
      <c r="G340" s="190"/>
      <c r="H340" s="191"/>
      <c r="I340" s="191"/>
      <c r="J340" s="191">
        <f>J16+J42+J64+J80+J82+J93+J114+J116+J119+J125+J130+J141+J151+J160+J172+J188+J191+J193+J195+J209+J211+J213+J223+J226+J231+J233+J235+J250+J259+J265+J286+J303+J326+J339</f>
        <v>13.529549999999997</v>
      </c>
      <c r="K340" s="191"/>
      <c r="L340" s="191">
        <f>L16+L42+L64+L80+L82+L93+L114+L116+L119+L125+L130+L141+L151+L160+L172+L188+L191+L193+L195+L209+L211+L213+L223+L226+L231+L233+L235+L250+L259+L265+L286+L303+L326+L339</f>
        <v>14.675951086956522</v>
      </c>
      <c r="M340" s="191"/>
      <c r="N340" s="191"/>
      <c r="O340" s="191"/>
      <c r="P340" s="190"/>
      <c r="Q340" s="192"/>
      <c r="R340" s="100"/>
      <c r="S340" s="100"/>
      <c r="T340" s="100"/>
      <c r="U340" s="100"/>
      <c r="V340" s="100"/>
      <c r="W340" s="100"/>
      <c r="X340" s="100"/>
      <c r="Y340" s="100"/>
      <c r="Z340" s="100"/>
      <c r="AA340" s="100"/>
      <c r="AB340" s="88"/>
      <c r="AC340" s="88"/>
    </row>
    <row r="341" spans="1:33" x14ac:dyDescent="0.25">
      <c r="A341" s="86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88"/>
      <c r="AC341" s="88"/>
    </row>
    <row r="342" spans="1:33" x14ac:dyDescent="0.25">
      <c r="A342" s="86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88"/>
      <c r="AC342" s="88"/>
    </row>
    <row r="343" spans="1:33" x14ac:dyDescent="0.25">
      <c r="A343" s="86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88"/>
      <c r="AC343" s="88"/>
    </row>
    <row r="344" spans="1:33" x14ac:dyDescent="0.25">
      <c r="A344" s="86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88"/>
      <c r="AC344" s="88"/>
    </row>
    <row r="345" spans="1:33" x14ac:dyDescent="0.25">
      <c r="A345" s="86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88"/>
      <c r="AC345" s="88"/>
    </row>
    <row r="346" spans="1:33" x14ac:dyDescent="0.25">
      <c r="A346" s="86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88"/>
      <c r="AC346" s="88"/>
    </row>
    <row r="347" spans="1:33" x14ac:dyDescent="0.25">
      <c r="A347" s="86"/>
      <c r="B347" s="197"/>
      <c r="C347" s="197"/>
      <c r="D347" s="197"/>
      <c r="E347" s="197"/>
      <c r="F347" s="197"/>
      <c r="G347" s="197"/>
      <c r="H347" s="197"/>
      <c r="I347" s="197"/>
      <c r="J347" s="197"/>
      <c r="K347" s="197"/>
      <c r="L347" s="197"/>
      <c r="M347" s="197"/>
      <c r="N347" s="197"/>
      <c r="O347" s="197"/>
      <c r="P347" s="197"/>
      <c r="Q347" s="197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88"/>
      <c r="AC347" s="88"/>
    </row>
    <row r="348" spans="1:33" x14ac:dyDescent="0.25">
      <c r="A348" s="86"/>
      <c r="B348" s="197"/>
      <c r="C348" s="197"/>
      <c r="D348" s="197"/>
      <c r="E348" s="197"/>
      <c r="F348" s="197"/>
      <c r="G348" s="197"/>
      <c r="H348" s="197"/>
      <c r="I348" s="197"/>
      <c r="J348" s="197"/>
      <c r="K348" s="197"/>
      <c r="L348" s="197"/>
      <c r="M348" s="197"/>
      <c r="N348" s="197"/>
      <c r="O348" s="197"/>
      <c r="P348" s="197"/>
      <c r="Q348" s="197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88"/>
      <c r="AC348" s="88"/>
    </row>
    <row r="349" spans="1:33" x14ac:dyDescent="0.25">
      <c r="A349" s="86"/>
      <c r="B349" s="197"/>
      <c r="C349" s="197"/>
      <c r="D349" s="197"/>
      <c r="E349" s="197"/>
      <c r="F349" s="197"/>
      <c r="G349" s="197"/>
      <c r="H349" s="197"/>
      <c r="I349" s="197"/>
      <c r="J349" s="197"/>
      <c r="K349" s="197"/>
      <c r="L349" s="197"/>
      <c r="M349" s="197"/>
      <c r="N349" s="197"/>
      <c r="O349" s="197"/>
      <c r="P349" s="197"/>
      <c r="Q349" s="197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88"/>
      <c r="AC349" s="88"/>
    </row>
    <row r="350" spans="1:33" x14ac:dyDescent="0.25">
      <c r="A350" s="2752"/>
      <c r="B350" s="2752"/>
      <c r="C350" s="2752"/>
      <c r="D350" s="2752"/>
      <c r="E350" s="2752"/>
      <c r="F350" s="2752"/>
      <c r="G350" s="2752"/>
      <c r="H350" s="2752"/>
      <c r="I350" s="2752"/>
      <c r="J350" s="2752"/>
      <c r="K350" s="2752"/>
      <c r="L350" s="2752"/>
      <c r="M350" s="2752"/>
      <c r="N350" s="2752"/>
      <c r="O350" s="2752"/>
      <c r="P350" s="2752"/>
      <c r="Q350" s="2752"/>
      <c r="R350" s="2752"/>
      <c r="S350" s="2752"/>
      <c r="T350" s="2753"/>
      <c r="U350" s="2753"/>
      <c r="V350" s="2753"/>
      <c r="W350" s="2753"/>
      <c r="X350" s="2753"/>
      <c r="Y350" s="2753"/>
      <c r="Z350" s="2753"/>
      <c r="AA350" s="2753"/>
      <c r="AB350" s="88"/>
      <c r="AC350" s="88"/>
    </row>
    <row r="351" spans="1:33" x14ac:dyDescent="0.25">
      <c r="A351" s="86"/>
      <c r="B351" s="197"/>
      <c r="C351" s="197"/>
      <c r="D351" s="197"/>
      <c r="E351" s="197"/>
      <c r="F351" s="197"/>
      <c r="G351" s="197"/>
      <c r="H351" s="197"/>
      <c r="I351" s="197"/>
      <c r="J351" s="197"/>
      <c r="K351" s="197"/>
      <c r="L351" s="197"/>
      <c r="M351" s="197"/>
      <c r="N351" s="197"/>
      <c r="O351" s="197"/>
      <c r="P351" s="197"/>
      <c r="Q351" s="197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88"/>
      <c r="AC351" s="88"/>
    </row>
    <row r="352" spans="1:33" x14ac:dyDescent="0.25">
      <c r="A352" s="86"/>
      <c r="B352" s="197"/>
      <c r="C352" s="197"/>
      <c r="D352" s="197"/>
      <c r="E352" s="197"/>
      <c r="F352" s="197"/>
      <c r="G352" s="197"/>
      <c r="H352" s="197"/>
      <c r="I352" s="197"/>
      <c r="J352" s="197"/>
      <c r="K352" s="197"/>
      <c r="L352" s="197"/>
      <c r="M352" s="197"/>
      <c r="N352" s="197"/>
      <c r="O352" s="197"/>
      <c r="P352" s="197"/>
      <c r="Q352" s="197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88"/>
      <c r="AC352" s="88"/>
    </row>
    <row r="353" spans="1:29" x14ac:dyDescent="0.25">
      <c r="A353" s="86"/>
      <c r="B353" s="197"/>
      <c r="C353" s="197"/>
      <c r="D353" s="197"/>
      <c r="E353" s="197"/>
      <c r="F353" s="197"/>
      <c r="G353" s="197"/>
      <c r="H353" s="197"/>
      <c r="I353" s="197"/>
      <c r="J353" s="197"/>
      <c r="K353" s="197"/>
      <c r="L353" s="197"/>
      <c r="M353" s="197"/>
      <c r="N353" s="197"/>
      <c r="O353" s="197"/>
      <c r="P353" s="197"/>
      <c r="Q353" s="197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88"/>
      <c r="AC353" s="88"/>
    </row>
    <row r="354" spans="1:29" x14ac:dyDescent="0.25">
      <c r="A354" s="86"/>
      <c r="B354" s="197"/>
      <c r="C354" s="197"/>
      <c r="D354" s="197"/>
      <c r="E354" s="197"/>
      <c r="F354" s="197"/>
      <c r="G354" s="197"/>
      <c r="H354" s="197"/>
      <c r="I354" s="197"/>
      <c r="J354" s="197"/>
      <c r="K354" s="197"/>
      <c r="L354" s="197"/>
      <c r="M354" s="197"/>
      <c r="N354" s="197"/>
      <c r="O354" s="197"/>
      <c r="P354" s="197"/>
      <c r="Q354" s="197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88"/>
      <c r="AC354" s="88"/>
    </row>
    <row r="355" spans="1:29" x14ac:dyDescent="0.25">
      <c r="A355" s="86"/>
      <c r="B355" s="197"/>
      <c r="C355" s="197"/>
      <c r="D355" s="197"/>
      <c r="E355" s="197"/>
      <c r="F355" s="197"/>
      <c r="G355" s="197"/>
      <c r="H355" s="197"/>
      <c r="I355" s="197"/>
      <c r="J355" s="197"/>
      <c r="K355" s="197"/>
      <c r="L355" s="197"/>
      <c r="M355" s="197"/>
      <c r="N355" s="197"/>
      <c r="O355" s="197"/>
      <c r="P355" s="197"/>
      <c r="Q355" s="197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88"/>
      <c r="AC355" s="88"/>
    </row>
    <row r="356" spans="1:29" x14ac:dyDescent="0.25">
      <c r="A356" s="86"/>
      <c r="B356" s="197"/>
      <c r="C356" s="197"/>
      <c r="D356" s="197"/>
      <c r="E356" s="197"/>
      <c r="F356" s="197"/>
      <c r="G356" s="197"/>
      <c r="H356" s="197"/>
      <c r="I356" s="197"/>
      <c r="J356" s="197"/>
      <c r="K356" s="197"/>
      <c r="L356" s="197"/>
      <c r="M356" s="197"/>
      <c r="N356" s="197"/>
      <c r="O356" s="197"/>
      <c r="P356" s="197"/>
      <c r="Q356" s="197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88"/>
      <c r="AC356" s="88"/>
    </row>
    <row r="357" spans="1:29" x14ac:dyDescent="0.25">
      <c r="A357" s="86"/>
      <c r="B357" s="197"/>
      <c r="C357" s="197"/>
      <c r="D357" s="197"/>
      <c r="E357" s="197"/>
      <c r="F357" s="197"/>
      <c r="G357" s="197"/>
      <c r="H357" s="197"/>
      <c r="I357" s="197"/>
      <c r="J357" s="197"/>
      <c r="K357" s="197"/>
      <c r="L357" s="197"/>
      <c r="M357" s="197"/>
      <c r="N357" s="197"/>
      <c r="O357" s="197"/>
      <c r="P357" s="197"/>
      <c r="Q357" s="197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88"/>
      <c r="AC357" s="88"/>
    </row>
    <row r="358" spans="1:29" x14ac:dyDescent="0.25">
      <c r="A358" s="86"/>
      <c r="B358" s="197"/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88"/>
      <c r="AC358" s="88"/>
    </row>
    <row r="359" spans="1:29" x14ac:dyDescent="0.25">
      <c r="A359" s="86"/>
      <c r="B359" s="197"/>
      <c r="C359" s="197"/>
      <c r="D359" s="197"/>
      <c r="E359" s="197"/>
      <c r="F359" s="197"/>
      <c r="G359" s="197"/>
      <c r="H359" s="197"/>
      <c r="I359" s="197"/>
      <c r="J359" s="197"/>
      <c r="K359" s="197"/>
      <c r="L359" s="197"/>
      <c r="M359" s="197"/>
      <c r="N359" s="197"/>
      <c r="O359" s="197"/>
      <c r="P359" s="197"/>
      <c r="Q359" s="197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88"/>
      <c r="AC359" s="88"/>
    </row>
    <row r="360" spans="1:29" x14ac:dyDescent="0.25">
      <c r="A360" s="86"/>
      <c r="B360" s="197"/>
      <c r="C360" s="197"/>
      <c r="D360" s="197"/>
      <c r="E360" s="197"/>
      <c r="F360" s="197"/>
      <c r="G360" s="197"/>
      <c r="H360" s="197"/>
      <c r="I360" s="197"/>
      <c r="J360" s="197"/>
      <c r="K360" s="197"/>
      <c r="L360" s="197"/>
      <c r="M360" s="197"/>
      <c r="N360" s="197"/>
      <c r="O360" s="197"/>
      <c r="P360" s="197"/>
      <c r="Q360" s="197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88"/>
      <c r="AC360" s="88"/>
    </row>
    <row r="361" spans="1:29" x14ac:dyDescent="0.25">
      <c r="A361" s="86"/>
      <c r="B361" s="197"/>
      <c r="C361" s="197"/>
      <c r="D361" s="197"/>
      <c r="E361" s="197"/>
      <c r="F361" s="197"/>
      <c r="G361" s="197"/>
      <c r="H361" s="197"/>
      <c r="I361" s="197"/>
      <c r="J361" s="197"/>
      <c r="K361" s="197"/>
      <c r="L361" s="197"/>
      <c r="M361" s="197"/>
      <c r="N361" s="197"/>
      <c r="O361" s="197"/>
      <c r="P361" s="197"/>
      <c r="Q361" s="197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88"/>
      <c r="AC361" s="88"/>
    </row>
    <row r="362" spans="1:29" x14ac:dyDescent="0.25">
      <c r="A362" s="86"/>
      <c r="B362" s="197"/>
      <c r="C362" s="197"/>
      <c r="D362" s="197"/>
      <c r="E362" s="197"/>
      <c r="F362" s="197"/>
      <c r="G362" s="197"/>
      <c r="H362" s="197"/>
      <c r="I362" s="197"/>
      <c r="J362" s="197"/>
      <c r="K362" s="197"/>
      <c r="L362" s="197"/>
      <c r="M362" s="197"/>
      <c r="N362" s="197"/>
      <c r="O362" s="197"/>
      <c r="P362" s="197"/>
      <c r="Q362" s="197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88"/>
      <c r="AC362" s="88"/>
    </row>
    <row r="363" spans="1:29" x14ac:dyDescent="0.25">
      <c r="A363" s="86"/>
      <c r="B363" s="197"/>
      <c r="C363" s="197"/>
      <c r="D363" s="197"/>
      <c r="E363" s="197"/>
      <c r="F363" s="197"/>
      <c r="G363" s="197"/>
      <c r="H363" s="197"/>
      <c r="I363" s="197"/>
      <c r="J363" s="197"/>
      <c r="K363" s="197"/>
      <c r="L363" s="197"/>
      <c r="M363" s="197"/>
      <c r="N363" s="197"/>
      <c r="O363" s="197"/>
      <c r="P363" s="197"/>
      <c r="Q363" s="197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88"/>
      <c r="AC363" s="88"/>
    </row>
    <row r="364" spans="1:29" x14ac:dyDescent="0.25">
      <c r="A364" s="86"/>
      <c r="B364" s="197"/>
      <c r="C364" s="197"/>
      <c r="D364" s="197"/>
      <c r="E364" s="197"/>
      <c r="F364" s="197"/>
      <c r="G364" s="197"/>
      <c r="H364" s="197"/>
      <c r="I364" s="197"/>
      <c r="J364" s="197"/>
      <c r="K364" s="197"/>
      <c r="L364" s="197"/>
      <c r="M364" s="197"/>
      <c r="N364" s="197"/>
      <c r="O364" s="197"/>
      <c r="P364" s="197"/>
      <c r="Q364" s="197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88"/>
      <c r="AC364" s="88"/>
    </row>
    <row r="365" spans="1:29" x14ac:dyDescent="0.25">
      <c r="A365" s="86"/>
      <c r="B365" s="197"/>
      <c r="C365" s="197"/>
      <c r="D365" s="197"/>
      <c r="E365" s="197"/>
      <c r="F365" s="197"/>
      <c r="G365" s="197"/>
      <c r="H365" s="197"/>
      <c r="I365" s="197"/>
      <c r="J365" s="197"/>
      <c r="K365" s="197"/>
      <c r="L365" s="197"/>
      <c r="M365" s="197"/>
      <c r="N365" s="197"/>
      <c r="O365" s="197"/>
      <c r="P365" s="197"/>
      <c r="Q365" s="197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88"/>
      <c r="AC365" s="88"/>
    </row>
    <row r="366" spans="1:29" x14ac:dyDescent="0.25">
      <c r="A366" s="86"/>
      <c r="B366" s="197"/>
      <c r="C366" s="197"/>
      <c r="D366" s="197"/>
      <c r="E366" s="197"/>
      <c r="F366" s="197"/>
      <c r="G366" s="197"/>
      <c r="H366" s="197"/>
      <c r="I366" s="197"/>
      <c r="J366" s="197"/>
      <c r="K366" s="197"/>
      <c r="L366" s="197"/>
      <c r="M366" s="197"/>
      <c r="N366" s="197"/>
      <c r="O366" s="197"/>
      <c r="P366" s="197"/>
      <c r="Q366" s="197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88"/>
      <c r="AC366" s="88"/>
    </row>
    <row r="367" spans="1:29" x14ac:dyDescent="0.25">
      <c r="A367" s="86"/>
      <c r="B367" s="197"/>
      <c r="C367" s="197"/>
      <c r="D367" s="197"/>
      <c r="E367" s="197"/>
      <c r="F367" s="197"/>
      <c r="G367" s="197"/>
      <c r="H367" s="197"/>
      <c r="I367" s="197"/>
      <c r="J367" s="197"/>
      <c r="K367" s="197"/>
      <c r="L367" s="197"/>
      <c r="M367" s="197"/>
      <c r="N367" s="197"/>
      <c r="O367" s="197"/>
      <c r="P367" s="197"/>
      <c r="Q367" s="197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88"/>
      <c r="AC367" s="88"/>
    </row>
    <row r="368" spans="1:29" x14ac:dyDescent="0.25">
      <c r="A368" s="86"/>
      <c r="B368" s="197"/>
      <c r="C368" s="197"/>
      <c r="D368" s="197"/>
      <c r="E368" s="197"/>
      <c r="F368" s="197"/>
      <c r="G368" s="197"/>
      <c r="H368" s="197"/>
      <c r="I368" s="197"/>
      <c r="J368" s="197"/>
      <c r="K368" s="197"/>
      <c r="L368" s="197"/>
      <c r="M368" s="197"/>
      <c r="N368" s="197"/>
      <c r="O368" s="197"/>
      <c r="P368" s="197"/>
      <c r="Q368" s="197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88"/>
      <c r="AC368" s="88"/>
    </row>
    <row r="369" spans="1:29" x14ac:dyDescent="0.25">
      <c r="A369" s="86"/>
      <c r="B369" s="197"/>
      <c r="C369" s="197"/>
      <c r="D369" s="197"/>
      <c r="E369" s="197"/>
      <c r="F369" s="197"/>
      <c r="G369" s="197"/>
      <c r="H369" s="197"/>
      <c r="I369" s="197"/>
      <c r="J369" s="197"/>
      <c r="K369" s="197"/>
      <c r="L369" s="197"/>
      <c r="M369" s="197"/>
      <c r="N369" s="197"/>
      <c r="O369" s="197"/>
      <c r="P369" s="197"/>
      <c r="Q369" s="197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88"/>
      <c r="AC369" s="88"/>
    </row>
    <row r="370" spans="1:29" x14ac:dyDescent="0.25">
      <c r="A370" s="86"/>
      <c r="B370" s="197"/>
      <c r="C370" s="197"/>
      <c r="D370" s="197"/>
      <c r="E370" s="197"/>
      <c r="F370" s="197"/>
      <c r="G370" s="197"/>
      <c r="H370" s="197"/>
      <c r="I370" s="197"/>
      <c r="J370" s="197"/>
      <c r="K370" s="197"/>
      <c r="L370" s="197"/>
      <c r="M370" s="197"/>
      <c r="N370" s="197"/>
      <c r="O370" s="197"/>
      <c r="P370" s="197"/>
      <c r="Q370" s="197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88"/>
      <c r="AC370" s="88"/>
    </row>
    <row r="371" spans="1:29" x14ac:dyDescent="0.25">
      <c r="A371" s="86"/>
      <c r="B371" s="197"/>
      <c r="C371" s="197"/>
      <c r="D371" s="197"/>
      <c r="E371" s="197"/>
      <c r="F371" s="197"/>
      <c r="G371" s="197"/>
      <c r="H371" s="197"/>
      <c r="I371" s="197"/>
      <c r="J371" s="197"/>
      <c r="K371" s="197"/>
      <c r="L371" s="197"/>
      <c r="M371" s="197"/>
      <c r="N371" s="197"/>
      <c r="O371" s="197"/>
      <c r="P371" s="197"/>
      <c r="Q371" s="197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88"/>
      <c r="AC371" s="88"/>
    </row>
    <row r="372" spans="1:29" x14ac:dyDescent="0.25">
      <c r="A372" s="86"/>
      <c r="B372" s="197"/>
      <c r="C372" s="197"/>
      <c r="D372" s="197"/>
      <c r="E372" s="197"/>
      <c r="F372" s="197"/>
      <c r="G372" s="197"/>
      <c r="H372" s="197"/>
      <c r="I372" s="197"/>
      <c r="J372" s="197"/>
      <c r="K372" s="197"/>
      <c r="L372" s="197"/>
      <c r="M372" s="197"/>
      <c r="N372" s="197"/>
      <c r="O372" s="197"/>
      <c r="P372" s="197"/>
      <c r="Q372" s="197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88"/>
      <c r="AC372" s="88"/>
    </row>
    <row r="373" spans="1:29" x14ac:dyDescent="0.25">
      <c r="A373" s="86"/>
      <c r="B373" s="197"/>
      <c r="C373" s="197"/>
      <c r="D373" s="197"/>
      <c r="E373" s="197"/>
      <c r="F373" s="197"/>
      <c r="G373" s="197"/>
      <c r="H373" s="197"/>
      <c r="I373" s="197"/>
      <c r="J373" s="197"/>
      <c r="K373" s="197"/>
      <c r="L373" s="197"/>
      <c r="M373" s="197"/>
      <c r="N373" s="197"/>
      <c r="O373" s="197"/>
      <c r="P373" s="197"/>
      <c r="Q373" s="197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88"/>
      <c r="AC373" s="88"/>
    </row>
    <row r="374" spans="1:29" x14ac:dyDescent="0.25">
      <c r="A374" s="86"/>
      <c r="B374" s="197"/>
      <c r="C374" s="197"/>
      <c r="D374" s="197"/>
      <c r="E374" s="197"/>
      <c r="F374" s="197"/>
      <c r="G374" s="197"/>
      <c r="H374" s="197"/>
      <c r="I374" s="197"/>
      <c r="J374" s="197"/>
      <c r="K374" s="197"/>
      <c r="L374" s="197"/>
      <c r="M374" s="197"/>
      <c r="N374" s="197"/>
      <c r="O374" s="197"/>
      <c r="P374" s="197"/>
      <c r="Q374" s="197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88"/>
      <c r="AC374" s="88"/>
    </row>
    <row r="375" spans="1:29" x14ac:dyDescent="0.25">
      <c r="A375" s="86"/>
      <c r="B375" s="197"/>
      <c r="C375" s="197"/>
      <c r="D375" s="197"/>
      <c r="E375" s="197"/>
      <c r="F375" s="197"/>
      <c r="G375" s="197"/>
      <c r="H375" s="197"/>
      <c r="I375" s="197"/>
      <c r="J375" s="197"/>
      <c r="K375" s="197"/>
      <c r="L375" s="197"/>
      <c r="M375" s="197"/>
      <c r="N375" s="197"/>
      <c r="O375" s="197"/>
      <c r="P375" s="197"/>
      <c r="Q375" s="197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88"/>
      <c r="AC375" s="88"/>
    </row>
    <row r="376" spans="1:29" x14ac:dyDescent="0.25">
      <c r="A376" s="86"/>
      <c r="B376" s="197"/>
      <c r="C376" s="197"/>
      <c r="D376" s="197"/>
      <c r="E376" s="197"/>
      <c r="F376" s="197"/>
      <c r="G376" s="197"/>
      <c r="H376" s="197"/>
      <c r="I376" s="197"/>
      <c r="J376" s="197"/>
      <c r="K376" s="197"/>
      <c r="L376" s="197"/>
      <c r="M376" s="197"/>
      <c r="N376" s="197"/>
      <c r="O376" s="197"/>
      <c r="P376" s="197"/>
      <c r="Q376" s="197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88"/>
      <c r="AC376" s="88"/>
    </row>
    <row r="377" spans="1:29" x14ac:dyDescent="0.25">
      <c r="A377" s="86"/>
      <c r="B377" s="197"/>
      <c r="C377" s="197"/>
      <c r="D377" s="197"/>
      <c r="E377" s="197"/>
      <c r="F377" s="197"/>
      <c r="G377" s="197"/>
      <c r="H377" s="197"/>
      <c r="I377" s="197"/>
      <c r="J377" s="197"/>
      <c r="K377" s="197"/>
      <c r="L377" s="197"/>
      <c r="M377" s="197"/>
      <c r="N377" s="197"/>
      <c r="O377" s="197"/>
      <c r="P377" s="197"/>
      <c r="Q377" s="197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88"/>
      <c r="AC377" s="88"/>
    </row>
    <row r="378" spans="1:29" x14ac:dyDescent="0.25">
      <c r="A378" s="86"/>
      <c r="B378" s="197"/>
      <c r="C378" s="197"/>
      <c r="D378" s="197"/>
      <c r="E378" s="197"/>
      <c r="F378" s="197"/>
      <c r="G378" s="197"/>
      <c r="H378" s="197"/>
      <c r="I378" s="197"/>
      <c r="J378" s="197"/>
      <c r="K378" s="197"/>
      <c r="L378" s="197"/>
      <c r="M378" s="197"/>
      <c r="N378" s="197"/>
      <c r="O378" s="197"/>
      <c r="P378" s="197"/>
      <c r="Q378" s="197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88"/>
      <c r="AC378" s="88"/>
    </row>
    <row r="379" spans="1:29" x14ac:dyDescent="0.25">
      <c r="A379" s="86"/>
      <c r="B379" s="197"/>
      <c r="C379" s="197"/>
      <c r="D379" s="197"/>
      <c r="E379" s="197"/>
      <c r="F379" s="197"/>
      <c r="G379" s="197"/>
      <c r="H379" s="197"/>
      <c r="I379" s="197"/>
      <c r="J379" s="197"/>
      <c r="K379" s="197"/>
      <c r="L379" s="197"/>
      <c r="M379" s="197"/>
      <c r="N379" s="197"/>
      <c r="O379" s="197"/>
      <c r="P379" s="197"/>
      <c r="Q379" s="197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88"/>
      <c r="AC379" s="88"/>
    </row>
    <row r="380" spans="1:29" x14ac:dyDescent="0.25">
      <c r="A380" s="86"/>
      <c r="B380" s="197"/>
      <c r="C380" s="197"/>
      <c r="D380" s="197"/>
      <c r="E380" s="197"/>
      <c r="F380" s="197"/>
      <c r="G380" s="197"/>
      <c r="H380" s="197"/>
      <c r="I380" s="197"/>
      <c r="J380" s="197"/>
      <c r="K380" s="197"/>
      <c r="L380" s="197"/>
      <c r="M380" s="197"/>
      <c r="N380" s="197"/>
      <c r="O380" s="197"/>
      <c r="P380" s="197"/>
      <c r="Q380" s="197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88"/>
      <c r="AC380" s="88"/>
    </row>
    <row r="381" spans="1:29" x14ac:dyDescent="0.25">
      <c r="A381" s="86"/>
      <c r="B381" s="197"/>
      <c r="C381" s="197"/>
      <c r="D381" s="197"/>
      <c r="E381" s="197"/>
      <c r="F381" s="197"/>
      <c r="G381" s="197"/>
      <c r="H381" s="197"/>
      <c r="I381" s="197"/>
      <c r="J381" s="197"/>
      <c r="K381" s="197"/>
      <c r="L381" s="197"/>
      <c r="M381" s="197"/>
      <c r="N381" s="197"/>
      <c r="O381" s="197"/>
      <c r="P381" s="197"/>
      <c r="Q381" s="197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88"/>
      <c r="AC381" s="88"/>
    </row>
    <row r="382" spans="1:29" x14ac:dyDescent="0.25">
      <c r="A382" s="86"/>
      <c r="B382" s="197"/>
      <c r="C382" s="197"/>
      <c r="D382" s="197"/>
      <c r="E382" s="197"/>
      <c r="F382" s="197"/>
      <c r="G382" s="197"/>
      <c r="H382" s="197"/>
      <c r="I382" s="197"/>
      <c r="J382" s="197"/>
      <c r="K382" s="197"/>
      <c r="L382" s="197"/>
      <c r="M382" s="197"/>
      <c r="N382" s="197"/>
      <c r="O382" s="197"/>
      <c r="P382" s="197"/>
      <c r="Q382" s="197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88"/>
      <c r="AC382" s="88"/>
    </row>
    <row r="383" spans="1:29" x14ac:dyDescent="0.25">
      <c r="A383" s="86"/>
      <c r="B383" s="197"/>
      <c r="C383" s="197"/>
      <c r="D383" s="197"/>
      <c r="E383" s="197"/>
      <c r="F383" s="197"/>
      <c r="G383" s="197"/>
      <c r="H383" s="197"/>
      <c r="I383" s="197"/>
      <c r="J383" s="197"/>
      <c r="K383" s="197"/>
      <c r="L383" s="197"/>
      <c r="M383" s="197"/>
      <c r="N383" s="197"/>
      <c r="O383" s="197"/>
      <c r="P383" s="197"/>
      <c r="Q383" s="197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88"/>
      <c r="AC383" s="88"/>
    </row>
    <row r="384" spans="1:29" x14ac:dyDescent="0.25">
      <c r="A384" s="86"/>
      <c r="B384" s="197"/>
      <c r="C384" s="197"/>
      <c r="D384" s="197"/>
      <c r="E384" s="197"/>
      <c r="F384" s="197"/>
      <c r="G384" s="197"/>
      <c r="H384" s="197"/>
      <c r="I384" s="197"/>
      <c r="J384" s="197"/>
      <c r="K384" s="197"/>
      <c r="L384" s="197"/>
      <c r="M384" s="197"/>
      <c r="N384" s="197"/>
      <c r="O384" s="197"/>
      <c r="P384" s="197"/>
      <c r="Q384" s="197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88"/>
      <c r="AC384" s="88"/>
    </row>
    <row r="385" spans="1:29" x14ac:dyDescent="0.25">
      <c r="A385" s="86"/>
      <c r="B385" s="197"/>
      <c r="C385" s="197"/>
      <c r="D385" s="197"/>
      <c r="E385" s="197"/>
      <c r="F385" s="197"/>
      <c r="G385" s="197"/>
      <c r="H385" s="197"/>
      <c r="I385" s="197"/>
      <c r="J385" s="197"/>
      <c r="K385" s="197"/>
      <c r="L385" s="197"/>
      <c r="M385" s="197"/>
      <c r="N385" s="197"/>
      <c r="O385" s="197"/>
      <c r="P385" s="197"/>
      <c r="Q385" s="197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88"/>
      <c r="AC385" s="88"/>
    </row>
    <row r="386" spans="1:29" x14ac:dyDescent="0.25">
      <c r="A386" s="86"/>
      <c r="B386" s="197"/>
      <c r="C386" s="197"/>
      <c r="D386" s="197"/>
      <c r="E386" s="197"/>
      <c r="F386" s="197"/>
      <c r="G386" s="197"/>
      <c r="H386" s="197"/>
      <c r="I386" s="197"/>
      <c r="J386" s="197"/>
      <c r="K386" s="197"/>
      <c r="L386" s="197"/>
      <c r="M386" s="197"/>
      <c r="N386" s="197"/>
      <c r="O386" s="197"/>
      <c r="P386" s="197"/>
      <c r="Q386" s="197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88"/>
      <c r="AC386" s="88"/>
    </row>
    <row r="387" spans="1:29" x14ac:dyDescent="0.25">
      <c r="A387" s="86"/>
      <c r="B387" s="197"/>
      <c r="C387" s="197"/>
      <c r="D387" s="197"/>
      <c r="E387" s="197"/>
      <c r="F387" s="197"/>
      <c r="G387" s="197"/>
      <c r="H387" s="197"/>
      <c r="I387" s="197"/>
      <c r="J387" s="197"/>
      <c r="K387" s="197"/>
      <c r="L387" s="197"/>
      <c r="M387" s="197"/>
      <c r="N387" s="197"/>
      <c r="O387" s="197"/>
      <c r="P387" s="197"/>
      <c r="Q387" s="197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88"/>
      <c r="AC387" s="88"/>
    </row>
    <row r="388" spans="1:29" x14ac:dyDescent="0.25">
      <c r="A388" s="86"/>
      <c r="B388" s="197"/>
      <c r="C388" s="197"/>
      <c r="D388" s="197"/>
      <c r="E388" s="197"/>
      <c r="F388" s="197"/>
      <c r="G388" s="197"/>
      <c r="H388" s="197"/>
      <c r="I388" s="197"/>
      <c r="J388" s="197"/>
      <c r="K388" s="197"/>
      <c r="L388" s="197"/>
      <c r="M388" s="197"/>
      <c r="N388" s="197"/>
      <c r="O388" s="197"/>
      <c r="P388" s="197"/>
      <c r="Q388" s="197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88"/>
      <c r="AC388" s="88"/>
    </row>
    <row r="389" spans="1:29" x14ac:dyDescent="0.25">
      <c r="A389" s="86"/>
      <c r="B389" s="197"/>
      <c r="C389" s="197"/>
      <c r="D389" s="197"/>
      <c r="E389" s="197"/>
      <c r="F389" s="197"/>
      <c r="G389" s="197"/>
      <c r="H389" s="197"/>
      <c r="I389" s="197"/>
      <c r="J389" s="197"/>
      <c r="K389" s="197"/>
      <c r="L389" s="197"/>
      <c r="M389" s="197"/>
      <c r="N389" s="197"/>
      <c r="O389" s="197"/>
      <c r="P389" s="197"/>
      <c r="Q389" s="197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88"/>
      <c r="AC389" s="88"/>
    </row>
    <row r="390" spans="1:29" x14ac:dyDescent="0.25">
      <c r="A390" s="86"/>
      <c r="B390" s="197"/>
      <c r="C390" s="197"/>
      <c r="D390" s="197"/>
      <c r="E390" s="197"/>
      <c r="F390" s="197"/>
      <c r="G390" s="197"/>
      <c r="H390" s="197"/>
      <c r="I390" s="197"/>
      <c r="J390" s="197"/>
      <c r="K390" s="197"/>
      <c r="L390" s="197"/>
      <c r="M390" s="197"/>
      <c r="N390" s="197"/>
      <c r="O390" s="197"/>
      <c r="P390" s="197"/>
      <c r="Q390" s="197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88"/>
      <c r="AC390" s="88"/>
    </row>
    <row r="391" spans="1:29" x14ac:dyDescent="0.25">
      <c r="A391" s="86"/>
      <c r="B391" s="197"/>
      <c r="C391" s="197"/>
      <c r="D391" s="197"/>
      <c r="E391" s="197"/>
      <c r="F391" s="197"/>
      <c r="G391" s="197"/>
      <c r="H391" s="197"/>
      <c r="I391" s="197"/>
      <c r="J391" s="197"/>
      <c r="K391" s="197"/>
      <c r="L391" s="197"/>
      <c r="M391" s="197"/>
      <c r="N391" s="197"/>
      <c r="O391" s="197"/>
      <c r="P391" s="197"/>
      <c r="Q391" s="197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88"/>
      <c r="AC391" s="88"/>
    </row>
    <row r="392" spans="1:29" x14ac:dyDescent="0.25">
      <c r="A392" s="86"/>
      <c r="B392" s="197"/>
      <c r="C392" s="197"/>
      <c r="D392" s="197"/>
      <c r="E392" s="197"/>
      <c r="F392" s="197"/>
      <c r="G392" s="197"/>
      <c r="H392" s="197"/>
      <c r="I392" s="197"/>
      <c r="J392" s="197"/>
      <c r="K392" s="197"/>
      <c r="L392" s="197"/>
      <c r="M392" s="197"/>
      <c r="N392" s="197"/>
      <c r="O392" s="197"/>
      <c r="P392" s="197"/>
      <c r="Q392" s="197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88"/>
      <c r="AC392" s="88"/>
    </row>
    <row r="393" spans="1:29" x14ac:dyDescent="0.25">
      <c r="A393" s="86"/>
      <c r="B393" s="197"/>
      <c r="C393" s="197"/>
      <c r="D393" s="197"/>
      <c r="E393" s="197"/>
      <c r="F393" s="197"/>
      <c r="G393" s="197"/>
      <c r="H393" s="197"/>
      <c r="I393" s="197"/>
      <c r="J393" s="197"/>
      <c r="K393" s="197"/>
      <c r="L393" s="197"/>
      <c r="M393" s="197"/>
      <c r="N393" s="197"/>
      <c r="O393" s="197"/>
      <c r="P393" s="197"/>
      <c r="Q393" s="197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88"/>
      <c r="AC393" s="88"/>
    </row>
    <row r="394" spans="1:29" x14ac:dyDescent="0.25">
      <c r="A394" s="86"/>
      <c r="B394" s="197"/>
      <c r="C394" s="197"/>
      <c r="D394" s="197"/>
      <c r="E394" s="197"/>
      <c r="F394" s="197"/>
      <c r="G394" s="197"/>
      <c r="H394" s="197"/>
      <c r="I394" s="197"/>
      <c r="J394" s="197"/>
      <c r="K394" s="197"/>
      <c r="L394" s="197"/>
      <c r="M394" s="197"/>
      <c r="N394" s="197"/>
      <c r="O394" s="197"/>
      <c r="P394" s="197"/>
      <c r="Q394" s="197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88"/>
      <c r="AC394" s="88"/>
    </row>
    <row r="395" spans="1:29" x14ac:dyDescent="0.25">
      <c r="A395" s="86"/>
      <c r="B395" s="197"/>
      <c r="C395" s="197"/>
      <c r="D395" s="197"/>
      <c r="E395" s="197"/>
      <c r="F395" s="197"/>
      <c r="G395" s="197"/>
      <c r="H395" s="197"/>
      <c r="I395" s="197"/>
      <c r="J395" s="197"/>
      <c r="K395" s="197"/>
      <c r="L395" s="197"/>
      <c r="M395" s="197"/>
      <c r="N395" s="197"/>
      <c r="O395" s="197"/>
      <c r="P395" s="197"/>
      <c r="Q395" s="197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88"/>
      <c r="AC395" s="88"/>
    </row>
    <row r="396" spans="1:29" x14ac:dyDescent="0.25">
      <c r="A396" s="86"/>
      <c r="B396" s="197"/>
      <c r="C396" s="197"/>
      <c r="D396" s="197"/>
      <c r="E396" s="197"/>
      <c r="F396" s="197"/>
      <c r="G396" s="197"/>
      <c r="H396" s="197"/>
      <c r="I396" s="197"/>
      <c r="J396" s="197"/>
      <c r="K396" s="197"/>
      <c r="L396" s="197"/>
      <c r="M396" s="197"/>
      <c r="N396" s="197"/>
      <c r="O396" s="197"/>
      <c r="P396" s="197"/>
      <c r="Q396" s="197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88"/>
      <c r="AC396" s="88"/>
    </row>
    <row r="397" spans="1:29" x14ac:dyDescent="0.25">
      <c r="A397" s="86"/>
      <c r="B397" s="197"/>
      <c r="C397" s="197"/>
      <c r="D397" s="197"/>
      <c r="E397" s="197"/>
      <c r="F397" s="197"/>
      <c r="G397" s="197"/>
      <c r="H397" s="197"/>
      <c r="I397" s="197"/>
      <c r="J397" s="197"/>
      <c r="K397" s="197"/>
      <c r="L397" s="197"/>
      <c r="M397" s="197"/>
      <c r="N397" s="197"/>
      <c r="O397" s="197"/>
      <c r="P397" s="197"/>
      <c r="Q397" s="197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88"/>
      <c r="AC397" s="88"/>
    </row>
    <row r="398" spans="1:29" x14ac:dyDescent="0.25">
      <c r="A398" s="86"/>
      <c r="B398" s="197"/>
      <c r="C398" s="197"/>
      <c r="D398" s="197"/>
      <c r="E398" s="197"/>
      <c r="F398" s="197"/>
      <c r="G398" s="197"/>
      <c r="H398" s="197"/>
      <c r="I398" s="197"/>
      <c r="J398" s="197"/>
      <c r="K398" s="197"/>
      <c r="L398" s="197"/>
      <c r="M398" s="197"/>
      <c r="N398" s="197"/>
      <c r="O398" s="197"/>
      <c r="P398" s="197"/>
      <c r="Q398" s="197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88"/>
      <c r="AC398" s="88"/>
    </row>
    <row r="399" spans="1:29" x14ac:dyDescent="0.25">
      <c r="A399" s="86"/>
      <c r="B399" s="197"/>
      <c r="C399" s="197"/>
      <c r="D399" s="197"/>
      <c r="E399" s="197"/>
      <c r="F399" s="197"/>
      <c r="G399" s="197"/>
      <c r="H399" s="197"/>
      <c r="I399" s="197"/>
      <c r="J399" s="197"/>
      <c r="K399" s="197"/>
      <c r="L399" s="197"/>
      <c r="M399" s="197"/>
      <c r="N399" s="197"/>
      <c r="O399" s="197"/>
      <c r="P399" s="197"/>
      <c r="Q399" s="197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88"/>
      <c r="AC399" s="88"/>
    </row>
    <row r="400" spans="1:29" x14ac:dyDescent="0.25">
      <c r="A400" s="86"/>
      <c r="B400" s="197"/>
      <c r="C400" s="197"/>
      <c r="D400" s="197"/>
      <c r="E400" s="197"/>
      <c r="F400" s="197"/>
      <c r="G400" s="197"/>
      <c r="H400" s="197"/>
      <c r="I400" s="197"/>
      <c r="J400" s="197"/>
      <c r="K400" s="197"/>
      <c r="L400" s="197"/>
      <c r="M400" s="197"/>
      <c r="N400" s="197"/>
      <c r="O400" s="197"/>
      <c r="P400" s="197"/>
      <c r="Q400" s="197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88"/>
      <c r="AC400" s="88"/>
    </row>
    <row r="401" spans="1:29" x14ac:dyDescent="0.25">
      <c r="A401" s="86"/>
      <c r="B401" s="197"/>
      <c r="C401" s="197"/>
      <c r="D401" s="197"/>
      <c r="E401" s="197"/>
      <c r="F401" s="197"/>
      <c r="G401" s="197"/>
      <c r="H401" s="197"/>
      <c r="I401" s="197"/>
      <c r="J401" s="197"/>
      <c r="K401" s="197"/>
      <c r="L401" s="197"/>
      <c r="M401" s="197"/>
      <c r="N401" s="197"/>
      <c r="O401" s="197"/>
      <c r="P401" s="197"/>
      <c r="Q401" s="197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88"/>
      <c r="AC401" s="88"/>
    </row>
    <row r="402" spans="1:29" x14ac:dyDescent="0.25">
      <c r="A402" s="86"/>
      <c r="B402" s="197"/>
      <c r="C402" s="197"/>
      <c r="D402" s="197"/>
      <c r="E402" s="197"/>
      <c r="F402" s="197"/>
      <c r="G402" s="197"/>
      <c r="H402" s="197"/>
      <c r="I402" s="197"/>
      <c r="J402" s="197"/>
      <c r="K402" s="197"/>
      <c r="L402" s="197"/>
      <c r="M402" s="197"/>
      <c r="N402" s="197"/>
      <c r="O402" s="197"/>
      <c r="P402" s="197"/>
      <c r="Q402" s="197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88"/>
      <c r="AC402" s="88"/>
    </row>
    <row r="403" spans="1:29" x14ac:dyDescent="0.25">
      <c r="A403" s="86"/>
      <c r="B403" s="197"/>
      <c r="C403" s="197"/>
      <c r="D403" s="197"/>
      <c r="E403" s="197"/>
      <c r="F403" s="197"/>
      <c r="G403" s="197"/>
      <c r="H403" s="197"/>
      <c r="I403" s="197"/>
      <c r="J403" s="197"/>
      <c r="K403" s="197"/>
      <c r="L403" s="197"/>
      <c r="M403" s="197"/>
      <c r="N403" s="197"/>
      <c r="O403" s="197"/>
      <c r="P403" s="197"/>
      <c r="Q403" s="197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88"/>
      <c r="AC403" s="88"/>
    </row>
    <row r="404" spans="1:29" x14ac:dyDescent="0.25">
      <c r="A404" s="86"/>
      <c r="B404" s="197"/>
      <c r="C404" s="197"/>
      <c r="D404" s="197"/>
      <c r="E404" s="197"/>
      <c r="F404" s="197"/>
      <c r="G404" s="197"/>
      <c r="H404" s="197"/>
      <c r="I404" s="197"/>
      <c r="J404" s="197"/>
      <c r="K404" s="197"/>
      <c r="L404" s="197"/>
      <c r="M404" s="197"/>
      <c r="N404" s="197"/>
      <c r="O404" s="197"/>
      <c r="P404" s="197"/>
      <c r="Q404" s="197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88"/>
      <c r="AC404" s="88"/>
    </row>
    <row r="405" spans="1:29" x14ac:dyDescent="0.25">
      <c r="A405" s="86"/>
      <c r="B405" s="197"/>
      <c r="C405" s="197"/>
      <c r="D405" s="197"/>
      <c r="E405" s="197"/>
      <c r="F405" s="197"/>
      <c r="G405" s="197"/>
      <c r="H405" s="197"/>
      <c r="I405" s="197"/>
      <c r="J405" s="197"/>
      <c r="K405" s="197"/>
      <c r="L405" s="197"/>
      <c r="M405" s="197"/>
      <c r="N405" s="197"/>
      <c r="O405" s="197"/>
      <c r="P405" s="197"/>
      <c r="Q405" s="197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88"/>
      <c r="AC405" s="88"/>
    </row>
    <row r="406" spans="1:29" x14ac:dyDescent="0.25">
      <c r="A406" s="86"/>
      <c r="B406" s="197"/>
      <c r="C406" s="197"/>
      <c r="D406" s="197"/>
      <c r="E406" s="197"/>
      <c r="F406" s="197"/>
      <c r="G406" s="197"/>
      <c r="H406" s="197"/>
      <c r="I406" s="197"/>
      <c r="J406" s="197"/>
      <c r="K406" s="197"/>
      <c r="L406" s="197"/>
      <c r="M406" s="197"/>
      <c r="N406" s="197"/>
      <c r="O406" s="197"/>
      <c r="P406" s="197"/>
      <c r="Q406" s="197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88"/>
      <c r="AC406" s="88" t="s">
        <v>1275</v>
      </c>
    </row>
    <row r="407" spans="1:29" x14ac:dyDescent="0.25">
      <c r="A407" s="86"/>
      <c r="B407" s="197"/>
      <c r="C407" s="197"/>
      <c r="D407" s="197"/>
      <c r="E407" s="197"/>
      <c r="F407" s="197"/>
      <c r="G407" s="197"/>
      <c r="H407" s="197"/>
      <c r="I407" s="197"/>
      <c r="J407" s="197"/>
      <c r="K407" s="197"/>
      <c r="L407" s="197"/>
      <c r="M407" s="197"/>
      <c r="N407" s="197"/>
      <c r="O407" s="197"/>
      <c r="P407" s="197"/>
      <c r="Q407" s="197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88"/>
      <c r="AC407" s="88"/>
    </row>
    <row r="408" spans="1:29" x14ac:dyDescent="0.25">
      <c r="A408" s="86"/>
      <c r="B408" s="197"/>
      <c r="C408" s="197"/>
      <c r="D408" s="197"/>
      <c r="E408" s="197"/>
      <c r="F408" s="197"/>
      <c r="G408" s="197"/>
      <c r="H408" s="197"/>
      <c r="I408" s="197"/>
      <c r="J408" s="197"/>
      <c r="K408" s="197"/>
      <c r="L408" s="197"/>
      <c r="M408" s="197"/>
      <c r="N408" s="197"/>
      <c r="O408" s="197"/>
      <c r="P408" s="197"/>
      <c r="Q408" s="197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88"/>
      <c r="AC408" s="88"/>
    </row>
    <row r="409" spans="1:29" x14ac:dyDescent="0.25">
      <c r="A409" s="86"/>
      <c r="B409" s="197"/>
      <c r="C409" s="197"/>
      <c r="D409" s="197"/>
      <c r="E409" s="197"/>
      <c r="F409" s="197"/>
      <c r="G409" s="197"/>
      <c r="H409" s="197"/>
      <c r="I409" s="197"/>
      <c r="J409" s="197"/>
      <c r="K409" s="197"/>
      <c r="L409" s="197"/>
      <c r="M409" s="197"/>
      <c r="N409" s="197"/>
      <c r="O409" s="197"/>
      <c r="P409" s="197"/>
      <c r="Q409" s="197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88"/>
      <c r="AC409" s="88"/>
    </row>
    <row r="410" spans="1:29" x14ac:dyDescent="0.25">
      <c r="A410" s="86"/>
      <c r="B410" s="197"/>
      <c r="C410" s="197"/>
      <c r="D410" s="197"/>
      <c r="E410" s="197"/>
      <c r="F410" s="197"/>
      <c r="G410" s="197"/>
      <c r="H410" s="197"/>
      <c r="I410" s="197"/>
      <c r="J410" s="197"/>
      <c r="K410" s="197"/>
      <c r="L410" s="197"/>
      <c r="M410" s="197"/>
      <c r="N410" s="197"/>
      <c r="O410" s="197"/>
      <c r="P410" s="197"/>
      <c r="Q410" s="197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88"/>
      <c r="AC410" s="88"/>
    </row>
    <row r="411" spans="1:29" x14ac:dyDescent="0.25">
      <c r="A411" s="86"/>
      <c r="B411" s="197"/>
      <c r="C411" s="197"/>
      <c r="D411" s="197"/>
      <c r="E411" s="197"/>
      <c r="F411" s="197"/>
      <c r="G411" s="197"/>
      <c r="H411" s="197"/>
      <c r="I411" s="197"/>
      <c r="J411" s="197"/>
      <c r="K411" s="197"/>
      <c r="L411" s="197"/>
      <c r="M411" s="197"/>
      <c r="N411" s="197"/>
      <c r="O411" s="197"/>
      <c r="P411" s="197"/>
      <c r="Q411" s="197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88"/>
      <c r="AC411" s="88"/>
    </row>
    <row r="412" spans="1:29" x14ac:dyDescent="0.25">
      <c r="A412" s="86"/>
      <c r="B412" s="197"/>
      <c r="C412" s="197"/>
      <c r="D412" s="197"/>
      <c r="E412" s="197"/>
      <c r="F412" s="197"/>
      <c r="G412" s="197"/>
      <c r="H412" s="197"/>
      <c r="I412" s="197"/>
      <c r="J412" s="197"/>
      <c r="K412" s="197"/>
      <c r="L412" s="197"/>
      <c r="M412" s="197"/>
      <c r="N412" s="197"/>
      <c r="O412" s="197"/>
      <c r="P412" s="197"/>
      <c r="Q412" s="197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88"/>
      <c r="AC412" s="88"/>
    </row>
    <row r="413" spans="1:29" x14ac:dyDescent="0.25">
      <c r="A413" s="86"/>
      <c r="B413" s="197"/>
      <c r="C413" s="197"/>
      <c r="D413" s="197"/>
      <c r="E413" s="197"/>
      <c r="F413" s="197"/>
      <c r="G413" s="197"/>
      <c r="H413" s="197"/>
      <c r="I413" s="197"/>
      <c r="J413" s="197"/>
      <c r="K413" s="197"/>
      <c r="L413" s="197"/>
      <c r="M413" s="197"/>
      <c r="N413" s="197"/>
      <c r="O413" s="197"/>
      <c r="P413" s="197"/>
      <c r="Q413" s="197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88"/>
      <c r="AC413" s="88"/>
    </row>
    <row r="414" spans="1:29" x14ac:dyDescent="0.25">
      <c r="A414" s="86"/>
      <c r="B414" s="197"/>
      <c r="C414" s="197"/>
      <c r="D414" s="197"/>
      <c r="E414" s="197"/>
      <c r="F414" s="197"/>
      <c r="G414" s="197"/>
      <c r="H414" s="197"/>
      <c r="I414" s="197"/>
      <c r="J414" s="197"/>
      <c r="K414" s="197"/>
      <c r="L414" s="197"/>
      <c r="M414" s="197"/>
      <c r="N414" s="197"/>
      <c r="O414" s="197"/>
      <c r="P414" s="197"/>
      <c r="Q414" s="197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88"/>
      <c r="AC414" s="88"/>
    </row>
    <row r="415" spans="1:29" x14ac:dyDescent="0.25">
      <c r="A415" s="86"/>
      <c r="B415" s="197"/>
      <c r="C415" s="197"/>
      <c r="D415" s="197"/>
      <c r="E415" s="197"/>
      <c r="F415" s="197"/>
      <c r="G415" s="197"/>
      <c r="H415" s="197"/>
      <c r="I415" s="197"/>
      <c r="J415" s="197"/>
      <c r="K415" s="197"/>
      <c r="L415" s="197"/>
      <c r="M415" s="197"/>
      <c r="N415" s="197"/>
      <c r="O415" s="197"/>
      <c r="P415" s="197"/>
      <c r="Q415" s="197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88"/>
      <c r="AC415" s="88"/>
    </row>
    <row r="416" spans="1:29" x14ac:dyDescent="0.25">
      <c r="A416" s="86"/>
      <c r="B416" s="197"/>
      <c r="C416" s="197"/>
      <c r="D416" s="197"/>
      <c r="E416" s="197"/>
      <c r="F416" s="197"/>
      <c r="G416" s="197"/>
      <c r="H416" s="197"/>
      <c r="I416" s="197"/>
      <c r="J416" s="197"/>
      <c r="K416" s="197"/>
      <c r="L416" s="197"/>
      <c r="M416" s="197"/>
      <c r="N416" s="197"/>
      <c r="O416" s="197"/>
      <c r="P416" s="197"/>
      <c r="Q416" s="197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88"/>
      <c r="AC416" s="88"/>
    </row>
    <row r="417" spans="1:29" x14ac:dyDescent="0.25">
      <c r="A417" s="86"/>
      <c r="B417" s="197"/>
      <c r="C417" s="197"/>
      <c r="D417" s="197"/>
      <c r="E417" s="197"/>
      <c r="F417" s="197"/>
      <c r="G417" s="197"/>
      <c r="H417" s="197"/>
      <c r="I417" s="197"/>
      <c r="J417" s="197"/>
      <c r="K417" s="197"/>
      <c r="L417" s="197"/>
      <c r="M417" s="197"/>
      <c r="N417" s="197"/>
      <c r="O417" s="197"/>
      <c r="P417" s="197"/>
      <c r="Q417" s="197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88"/>
      <c r="AC417" s="88"/>
    </row>
    <row r="418" spans="1:29" x14ac:dyDescent="0.25">
      <c r="A418" s="86"/>
      <c r="B418" s="197"/>
      <c r="C418" s="197"/>
      <c r="D418" s="197"/>
      <c r="E418" s="197"/>
      <c r="F418" s="197"/>
      <c r="G418" s="197"/>
      <c r="H418" s="197"/>
      <c r="I418" s="197"/>
      <c r="J418" s="197"/>
      <c r="K418" s="197"/>
      <c r="L418" s="197"/>
      <c r="M418" s="197"/>
      <c r="N418" s="197"/>
      <c r="O418" s="197"/>
      <c r="P418" s="197"/>
      <c r="Q418" s="197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88"/>
      <c r="AC418" s="88"/>
    </row>
    <row r="419" spans="1:29" x14ac:dyDescent="0.25">
      <c r="A419" s="86"/>
      <c r="B419" s="197"/>
      <c r="C419" s="197"/>
      <c r="D419" s="197"/>
      <c r="E419" s="197"/>
      <c r="F419" s="197"/>
      <c r="G419" s="197"/>
      <c r="H419" s="197"/>
      <c r="I419" s="197"/>
      <c r="J419" s="197"/>
      <c r="K419" s="197"/>
      <c r="L419" s="197"/>
      <c r="M419" s="197"/>
      <c r="N419" s="197"/>
      <c r="O419" s="197"/>
      <c r="P419" s="197"/>
      <c r="Q419" s="197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88"/>
      <c r="AC419" s="88"/>
    </row>
    <row r="420" spans="1:29" x14ac:dyDescent="0.25">
      <c r="A420" s="86"/>
      <c r="B420" s="197"/>
      <c r="C420" s="197"/>
      <c r="D420" s="197"/>
      <c r="E420" s="197"/>
      <c r="F420" s="197"/>
      <c r="G420" s="197"/>
      <c r="H420" s="197"/>
      <c r="I420" s="197"/>
      <c r="J420" s="197"/>
      <c r="K420" s="197"/>
      <c r="L420" s="197"/>
      <c r="M420" s="197"/>
      <c r="N420" s="197"/>
      <c r="O420" s="197"/>
      <c r="P420" s="197"/>
      <c r="Q420" s="197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88"/>
      <c r="AC420" s="88"/>
    </row>
    <row r="421" spans="1:29" x14ac:dyDescent="0.25">
      <c r="A421" s="86"/>
      <c r="B421" s="197"/>
      <c r="C421" s="197"/>
      <c r="D421" s="197"/>
      <c r="E421" s="197"/>
      <c r="F421" s="197"/>
      <c r="G421" s="197"/>
      <c r="H421" s="197"/>
      <c r="I421" s="197"/>
      <c r="J421" s="197"/>
      <c r="K421" s="197"/>
      <c r="L421" s="197"/>
      <c r="M421" s="197"/>
      <c r="N421" s="197"/>
      <c r="O421" s="197"/>
      <c r="P421" s="197"/>
      <c r="Q421" s="197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88"/>
      <c r="AC421" s="88"/>
    </row>
    <row r="422" spans="1:29" x14ac:dyDescent="0.25">
      <c r="A422" s="86"/>
      <c r="B422" s="197"/>
      <c r="C422" s="197"/>
      <c r="D422" s="197"/>
      <c r="E422" s="197"/>
      <c r="F422" s="197"/>
      <c r="G422" s="197"/>
      <c r="H422" s="197"/>
      <c r="I422" s="197"/>
      <c r="J422" s="197"/>
      <c r="K422" s="197"/>
      <c r="L422" s="197"/>
      <c r="M422" s="197"/>
      <c r="N422" s="197"/>
      <c r="O422" s="197"/>
      <c r="P422" s="197"/>
      <c r="Q422" s="197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88"/>
      <c r="AC422" s="88"/>
    </row>
    <row r="423" spans="1:29" x14ac:dyDescent="0.25">
      <c r="A423" s="86"/>
      <c r="B423" s="197"/>
      <c r="C423" s="197"/>
      <c r="D423" s="197"/>
      <c r="E423" s="197"/>
      <c r="F423" s="197"/>
      <c r="G423" s="197"/>
      <c r="H423" s="197"/>
      <c r="I423" s="197"/>
      <c r="J423" s="197"/>
      <c r="K423" s="197"/>
      <c r="L423" s="197"/>
      <c r="M423" s="197"/>
      <c r="N423" s="197"/>
      <c r="O423" s="197"/>
      <c r="P423" s="197"/>
      <c r="Q423" s="197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88"/>
      <c r="AC423" s="88"/>
    </row>
    <row r="424" spans="1:29" x14ac:dyDescent="0.25">
      <c r="A424" s="86"/>
      <c r="B424" s="197"/>
      <c r="C424" s="197"/>
      <c r="D424" s="197"/>
      <c r="E424" s="197"/>
      <c r="F424" s="197"/>
      <c r="G424" s="197"/>
      <c r="H424" s="197"/>
      <c r="I424" s="197"/>
      <c r="J424" s="197"/>
      <c r="K424" s="197"/>
      <c r="L424" s="197"/>
      <c r="M424" s="197"/>
      <c r="N424" s="197"/>
      <c r="O424" s="197"/>
      <c r="P424" s="197"/>
      <c r="Q424" s="197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88"/>
      <c r="AC424" s="88"/>
    </row>
    <row r="425" spans="1:29" x14ac:dyDescent="0.25">
      <c r="A425" s="86"/>
      <c r="B425" s="197"/>
      <c r="C425" s="197"/>
      <c r="D425" s="197"/>
      <c r="E425" s="197"/>
      <c r="F425" s="197"/>
      <c r="G425" s="197"/>
      <c r="H425" s="197"/>
      <c r="I425" s="197"/>
      <c r="J425" s="197"/>
      <c r="K425" s="197"/>
      <c r="L425" s="197"/>
      <c r="M425" s="197"/>
      <c r="N425" s="197"/>
      <c r="O425" s="197"/>
      <c r="P425" s="197"/>
      <c r="Q425" s="197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88"/>
      <c r="AC425" s="88"/>
    </row>
    <row r="426" spans="1:29" x14ac:dyDescent="0.25">
      <c r="A426" s="86"/>
      <c r="B426" s="197"/>
      <c r="C426" s="197"/>
      <c r="D426" s="197"/>
      <c r="E426" s="197"/>
      <c r="F426" s="197"/>
      <c r="G426" s="197"/>
      <c r="H426" s="197"/>
      <c r="I426" s="197"/>
      <c r="J426" s="197"/>
      <c r="K426" s="197"/>
      <c r="L426" s="197"/>
      <c r="M426" s="197"/>
      <c r="N426" s="197"/>
      <c r="O426" s="197"/>
      <c r="P426" s="197"/>
      <c r="Q426" s="197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88"/>
      <c r="AC426" s="88"/>
    </row>
    <row r="427" spans="1:29" x14ac:dyDescent="0.25">
      <c r="A427" s="86"/>
      <c r="B427" s="197"/>
      <c r="C427" s="197"/>
      <c r="D427" s="197"/>
      <c r="E427" s="197"/>
      <c r="F427" s="197"/>
      <c r="G427" s="197"/>
      <c r="H427" s="197"/>
      <c r="I427" s="197"/>
      <c r="J427" s="197"/>
      <c r="K427" s="197"/>
      <c r="L427" s="197"/>
      <c r="M427" s="197"/>
      <c r="N427" s="197"/>
      <c r="O427" s="197"/>
      <c r="P427" s="197"/>
      <c r="Q427" s="197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88"/>
      <c r="AC427" s="88"/>
    </row>
    <row r="428" spans="1:29" x14ac:dyDescent="0.25">
      <c r="A428" s="86"/>
      <c r="B428" s="197"/>
      <c r="C428" s="197"/>
      <c r="D428" s="197"/>
      <c r="E428" s="197"/>
      <c r="F428" s="197"/>
      <c r="G428" s="197"/>
      <c r="H428" s="197"/>
      <c r="I428" s="197"/>
      <c r="J428" s="197"/>
      <c r="K428" s="197"/>
      <c r="L428" s="197"/>
      <c r="M428" s="197"/>
      <c r="N428" s="197"/>
      <c r="O428" s="197"/>
      <c r="P428" s="197"/>
      <c r="Q428" s="197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88"/>
      <c r="AC428" s="88"/>
    </row>
    <row r="429" spans="1:29" x14ac:dyDescent="0.25">
      <c r="A429" s="86"/>
      <c r="B429" s="197"/>
      <c r="C429" s="197"/>
      <c r="D429" s="197"/>
      <c r="E429" s="197"/>
      <c r="F429" s="197"/>
      <c r="G429" s="197"/>
      <c r="H429" s="197"/>
      <c r="I429" s="197"/>
      <c r="J429" s="197"/>
      <c r="K429" s="197"/>
      <c r="L429" s="197"/>
      <c r="M429" s="197"/>
      <c r="N429" s="197"/>
      <c r="O429" s="197"/>
      <c r="P429" s="197"/>
      <c r="Q429" s="197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88"/>
      <c r="AC429" s="88"/>
    </row>
    <row r="430" spans="1:29" x14ac:dyDescent="0.25">
      <c r="A430" s="86"/>
      <c r="B430" s="197"/>
      <c r="C430" s="197"/>
      <c r="D430" s="197"/>
      <c r="E430" s="197"/>
      <c r="F430" s="197"/>
      <c r="G430" s="197"/>
      <c r="H430" s="197"/>
      <c r="I430" s="197"/>
      <c r="J430" s="197"/>
      <c r="K430" s="197"/>
      <c r="L430" s="197"/>
      <c r="M430" s="197"/>
      <c r="N430" s="197"/>
      <c r="O430" s="197"/>
      <c r="P430" s="197"/>
      <c r="Q430" s="197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88"/>
      <c r="AC430" s="88"/>
    </row>
    <row r="431" spans="1:29" x14ac:dyDescent="0.25">
      <c r="A431" s="86"/>
      <c r="B431" s="197"/>
      <c r="C431" s="197"/>
      <c r="D431" s="197"/>
      <c r="E431" s="197"/>
      <c r="F431" s="197"/>
      <c r="G431" s="197"/>
      <c r="H431" s="197"/>
      <c r="I431" s="197"/>
      <c r="J431" s="197"/>
      <c r="K431" s="197"/>
      <c r="L431" s="197"/>
      <c r="M431" s="197"/>
      <c r="N431" s="197"/>
      <c r="O431" s="197"/>
      <c r="P431" s="197"/>
      <c r="Q431" s="197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88"/>
      <c r="AC431" s="88"/>
    </row>
    <row r="432" spans="1:29" x14ac:dyDescent="0.25">
      <c r="A432" s="86"/>
      <c r="B432" s="197"/>
      <c r="C432" s="197"/>
      <c r="D432" s="197"/>
      <c r="E432" s="197"/>
      <c r="F432" s="197"/>
      <c r="G432" s="197"/>
      <c r="H432" s="197"/>
      <c r="I432" s="197"/>
      <c r="J432" s="197"/>
      <c r="K432" s="197"/>
      <c r="L432" s="197"/>
      <c r="M432" s="197"/>
      <c r="N432" s="197"/>
      <c r="O432" s="197"/>
      <c r="P432" s="197"/>
      <c r="Q432" s="197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88"/>
      <c r="AC432" s="88"/>
    </row>
    <row r="433" spans="1:29" x14ac:dyDescent="0.25">
      <c r="A433" s="86"/>
      <c r="B433" s="197"/>
      <c r="C433" s="197"/>
      <c r="D433" s="197"/>
      <c r="E433" s="197"/>
      <c r="F433" s="197"/>
      <c r="G433" s="197"/>
      <c r="H433" s="197"/>
      <c r="I433" s="197"/>
      <c r="J433" s="197"/>
      <c r="K433" s="197"/>
      <c r="L433" s="197"/>
      <c r="M433" s="197"/>
      <c r="N433" s="197"/>
      <c r="O433" s="197"/>
      <c r="P433" s="197"/>
      <c r="Q433" s="197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88"/>
      <c r="AC433" s="88"/>
    </row>
    <row r="434" spans="1:29" x14ac:dyDescent="0.25">
      <c r="A434" s="86"/>
      <c r="B434" s="197"/>
      <c r="C434" s="197"/>
      <c r="D434" s="197"/>
      <c r="E434" s="197"/>
      <c r="F434" s="197"/>
      <c r="G434" s="197"/>
      <c r="H434" s="197"/>
      <c r="I434" s="197"/>
      <c r="J434" s="197"/>
      <c r="K434" s="197"/>
      <c r="L434" s="197"/>
      <c r="M434" s="197"/>
      <c r="N434" s="197"/>
      <c r="O434" s="197"/>
      <c r="P434" s="197"/>
      <c r="Q434" s="197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88"/>
      <c r="AC434" s="88"/>
    </row>
    <row r="435" spans="1:29" x14ac:dyDescent="0.25">
      <c r="A435" s="86"/>
      <c r="B435" s="197"/>
      <c r="C435" s="197"/>
      <c r="D435" s="197"/>
      <c r="E435" s="197"/>
      <c r="F435" s="197"/>
      <c r="G435" s="197"/>
      <c r="H435" s="197"/>
      <c r="I435" s="197"/>
      <c r="J435" s="197"/>
      <c r="K435" s="197"/>
      <c r="L435" s="197"/>
      <c r="M435" s="197"/>
      <c r="N435" s="197"/>
      <c r="O435" s="197"/>
      <c r="P435" s="197"/>
      <c r="Q435" s="197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88"/>
      <c r="AC435" s="88"/>
    </row>
    <row r="436" spans="1:29" x14ac:dyDescent="0.25">
      <c r="A436" s="86"/>
      <c r="B436" s="197"/>
      <c r="C436" s="197"/>
      <c r="D436" s="197"/>
      <c r="E436" s="197"/>
      <c r="F436" s="197"/>
      <c r="G436" s="197"/>
      <c r="H436" s="197"/>
      <c r="I436" s="197"/>
      <c r="J436" s="197"/>
      <c r="K436" s="197"/>
      <c r="L436" s="197"/>
      <c r="M436" s="197"/>
      <c r="N436" s="197"/>
      <c r="O436" s="197"/>
      <c r="P436" s="197"/>
      <c r="Q436" s="197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88"/>
      <c r="AC436" s="88"/>
    </row>
    <row r="437" spans="1:29" x14ac:dyDescent="0.25">
      <c r="A437" s="86"/>
      <c r="B437" s="197"/>
      <c r="C437" s="197"/>
      <c r="D437" s="197"/>
      <c r="E437" s="197"/>
      <c r="F437" s="197"/>
      <c r="G437" s="197"/>
      <c r="H437" s="197"/>
      <c r="I437" s="197"/>
      <c r="J437" s="197"/>
      <c r="K437" s="197"/>
      <c r="L437" s="197"/>
      <c r="M437" s="197"/>
      <c r="N437" s="197"/>
      <c r="O437" s="197"/>
      <c r="P437" s="197"/>
      <c r="Q437" s="197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88"/>
      <c r="AC437" s="88"/>
    </row>
    <row r="438" spans="1:29" x14ac:dyDescent="0.25">
      <c r="A438" s="86"/>
      <c r="B438" s="197"/>
      <c r="C438" s="197"/>
      <c r="D438" s="197"/>
      <c r="E438" s="197"/>
      <c r="F438" s="197"/>
      <c r="G438" s="197"/>
      <c r="H438" s="197"/>
      <c r="I438" s="197"/>
      <c r="J438" s="197"/>
      <c r="K438" s="197"/>
      <c r="L438" s="197"/>
      <c r="M438" s="197"/>
      <c r="N438" s="197"/>
      <c r="O438" s="197"/>
      <c r="P438" s="197"/>
      <c r="Q438" s="197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88"/>
      <c r="AC438" s="88"/>
    </row>
    <row r="439" spans="1:29" x14ac:dyDescent="0.25">
      <c r="A439" s="86"/>
      <c r="B439" s="197"/>
      <c r="C439" s="197"/>
      <c r="D439" s="197"/>
      <c r="E439" s="197"/>
      <c r="F439" s="197"/>
      <c r="G439" s="197"/>
      <c r="H439" s="197"/>
      <c r="I439" s="197"/>
      <c r="J439" s="197"/>
      <c r="K439" s="197"/>
      <c r="L439" s="197"/>
      <c r="M439" s="197"/>
      <c r="N439" s="197"/>
      <c r="O439" s="197"/>
      <c r="P439" s="197"/>
      <c r="Q439" s="197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88"/>
      <c r="AC439" s="88"/>
    </row>
    <row r="440" spans="1:29" x14ac:dyDescent="0.25">
      <c r="A440" s="86"/>
      <c r="B440" s="197"/>
      <c r="C440" s="197"/>
      <c r="D440" s="197"/>
      <c r="E440" s="197"/>
      <c r="F440" s="197"/>
      <c r="G440" s="197"/>
      <c r="H440" s="197"/>
      <c r="I440" s="197"/>
      <c r="J440" s="197"/>
      <c r="K440" s="197"/>
      <c r="L440" s="197"/>
      <c r="M440" s="197"/>
      <c r="N440" s="197"/>
      <c r="O440" s="197"/>
      <c r="P440" s="197"/>
      <c r="Q440" s="197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88"/>
      <c r="AC440" s="88"/>
    </row>
    <row r="441" spans="1:29" x14ac:dyDescent="0.25">
      <c r="A441" s="86"/>
      <c r="B441" s="197"/>
      <c r="C441" s="197"/>
      <c r="D441" s="197"/>
      <c r="E441" s="197"/>
      <c r="F441" s="197"/>
      <c r="G441" s="197"/>
      <c r="H441" s="197"/>
      <c r="I441" s="197"/>
      <c r="J441" s="197"/>
      <c r="K441" s="197"/>
      <c r="L441" s="197"/>
      <c r="M441" s="197"/>
      <c r="N441" s="197"/>
      <c r="O441" s="197"/>
      <c r="P441" s="197"/>
      <c r="Q441" s="197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88"/>
      <c r="AC441" s="88"/>
    </row>
    <row r="442" spans="1:29" x14ac:dyDescent="0.25">
      <c r="A442" s="86"/>
      <c r="B442" s="197"/>
      <c r="C442" s="197"/>
      <c r="D442" s="197"/>
      <c r="E442" s="197"/>
      <c r="F442" s="197"/>
      <c r="G442" s="197"/>
      <c r="H442" s="197"/>
      <c r="I442" s="197"/>
      <c r="J442" s="197"/>
      <c r="K442" s="197"/>
      <c r="L442" s="197"/>
      <c r="M442" s="197"/>
      <c r="N442" s="197"/>
      <c r="O442" s="197"/>
      <c r="P442" s="197"/>
      <c r="Q442" s="197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88"/>
      <c r="AC442" s="88" t="s">
        <v>1276</v>
      </c>
    </row>
    <row r="443" spans="1:29" x14ac:dyDescent="0.25">
      <c r="A443" s="86"/>
      <c r="B443" s="197"/>
      <c r="C443" s="197"/>
      <c r="D443" s="197"/>
      <c r="E443" s="197"/>
      <c r="F443" s="197"/>
      <c r="G443" s="197"/>
      <c r="H443" s="197"/>
      <c r="I443" s="197"/>
      <c r="J443" s="197"/>
      <c r="K443" s="197"/>
      <c r="L443" s="197"/>
      <c r="M443" s="197"/>
      <c r="N443" s="197"/>
      <c r="O443" s="197"/>
      <c r="P443" s="197"/>
      <c r="Q443" s="197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88"/>
      <c r="AC443" s="88"/>
    </row>
    <row r="444" spans="1:29" x14ac:dyDescent="0.25">
      <c r="A444" s="86"/>
      <c r="B444" s="197"/>
      <c r="C444" s="197"/>
      <c r="D444" s="197"/>
      <c r="E444" s="197"/>
      <c r="F444" s="197"/>
      <c r="G444" s="197"/>
      <c r="H444" s="197"/>
      <c r="I444" s="197"/>
      <c r="J444" s="197"/>
      <c r="K444" s="197"/>
      <c r="L444" s="197"/>
      <c r="M444" s="197"/>
      <c r="N444" s="197"/>
      <c r="O444" s="197"/>
      <c r="P444" s="197"/>
      <c r="Q444" s="197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88"/>
      <c r="AC444" s="88"/>
    </row>
    <row r="445" spans="1:29" x14ac:dyDescent="0.25">
      <c r="A445" s="86"/>
      <c r="B445" s="197"/>
      <c r="C445" s="197"/>
      <c r="D445" s="197"/>
      <c r="E445" s="197"/>
      <c r="F445" s="197"/>
      <c r="G445" s="197"/>
      <c r="H445" s="197"/>
      <c r="I445" s="197"/>
      <c r="J445" s="197"/>
      <c r="K445" s="197"/>
      <c r="L445" s="197"/>
      <c r="M445" s="197"/>
      <c r="N445" s="197"/>
      <c r="O445" s="197"/>
      <c r="P445" s="197"/>
      <c r="Q445" s="197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88"/>
      <c r="AC445" s="88"/>
    </row>
    <row r="446" spans="1:29" x14ac:dyDescent="0.25">
      <c r="A446" s="86"/>
      <c r="B446" s="197"/>
      <c r="C446" s="197"/>
      <c r="D446" s="197"/>
      <c r="E446" s="197"/>
      <c r="F446" s="197"/>
      <c r="G446" s="197"/>
      <c r="H446" s="197"/>
      <c r="I446" s="197"/>
      <c r="J446" s="197"/>
      <c r="K446" s="197"/>
      <c r="L446" s="197"/>
      <c r="M446" s="197"/>
      <c r="N446" s="197"/>
      <c r="O446" s="197"/>
      <c r="P446" s="197"/>
      <c r="Q446" s="197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88"/>
      <c r="AC446" s="88"/>
    </row>
    <row r="447" spans="1:29" x14ac:dyDescent="0.25">
      <c r="A447" s="86"/>
      <c r="B447" s="197"/>
      <c r="C447" s="197"/>
      <c r="D447" s="197"/>
      <c r="E447" s="197"/>
      <c r="F447" s="197"/>
      <c r="G447" s="197"/>
      <c r="H447" s="197"/>
      <c r="I447" s="197"/>
      <c r="J447" s="197"/>
      <c r="K447" s="197"/>
      <c r="L447" s="197"/>
      <c r="M447" s="197"/>
      <c r="N447" s="197"/>
      <c r="O447" s="197"/>
      <c r="P447" s="197"/>
      <c r="Q447" s="197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88"/>
      <c r="AC447" s="88"/>
    </row>
    <row r="448" spans="1:29" x14ac:dyDescent="0.25">
      <c r="A448" s="86"/>
      <c r="B448" s="197"/>
      <c r="C448" s="197"/>
      <c r="D448" s="197"/>
      <c r="E448" s="197"/>
      <c r="F448" s="197"/>
      <c r="G448" s="197"/>
      <c r="H448" s="197"/>
      <c r="I448" s="197"/>
      <c r="J448" s="197"/>
      <c r="K448" s="197"/>
      <c r="L448" s="197"/>
      <c r="M448" s="197"/>
      <c r="N448" s="197"/>
      <c r="O448" s="197"/>
      <c r="P448" s="197"/>
      <c r="Q448" s="197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88"/>
      <c r="AC448" s="88"/>
    </row>
    <row r="449" spans="1:29" x14ac:dyDescent="0.25">
      <c r="A449" s="86"/>
      <c r="B449" s="197"/>
      <c r="C449" s="197"/>
      <c r="D449" s="197"/>
      <c r="E449" s="197"/>
      <c r="F449" s="197"/>
      <c r="G449" s="197"/>
      <c r="H449" s="197"/>
      <c r="I449" s="197"/>
      <c r="J449" s="197"/>
      <c r="K449" s="197"/>
      <c r="L449" s="197"/>
      <c r="M449" s="197"/>
      <c r="N449" s="197"/>
      <c r="O449" s="197"/>
      <c r="P449" s="197"/>
      <c r="Q449" s="197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88"/>
      <c r="AC449" s="88"/>
    </row>
    <row r="450" spans="1:29" x14ac:dyDescent="0.25">
      <c r="A450" s="86"/>
      <c r="B450" s="197"/>
      <c r="C450" s="197"/>
      <c r="D450" s="197"/>
      <c r="E450" s="197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88"/>
      <c r="AC450" s="88"/>
    </row>
    <row r="451" spans="1:29" x14ac:dyDescent="0.25">
      <c r="A451" s="86"/>
      <c r="B451" s="197"/>
      <c r="C451" s="197"/>
      <c r="D451" s="197"/>
      <c r="E451" s="197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88"/>
      <c r="AC451" s="88"/>
    </row>
    <row r="452" spans="1:29" x14ac:dyDescent="0.25">
      <c r="A452" s="86"/>
      <c r="B452" s="197"/>
      <c r="C452" s="197"/>
      <c r="D452" s="197"/>
      <c r="E452" s="197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88"/>
      <c r="AC452" s="88"/>
    </row>
    <row r="453" spans="1:29" x14ac:dyDescent="0.25">
      <c r="A453" s="86"/>
      <c r="B453" s="197"/>
      <c r="C453" s="197"/>
      <c r="D453" s="197"/>
      <c r="E453" s="197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88"/>
      <c r="AC453" s="88"/>
    </row>
    <row r="454" spans="1:29" x14ac:dyDescent="0.25">
      <c r="A454" s="86"/>
      <c r="B454" s="197"/>
      <c r="C454" s="197"/>
      <c r="D454" s="197"/>
      <c r="E454" s="197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88"/>
      <c r="AC454" s="88"/>
    </row>
    <row r="455" spans="1:29" x14ac:dyDescent="0.25">
      <c r="A455" s="86"/>
      <c r="B455" s="197"/>
      <c r="C455" s="197"/>
      <c r="D455" s="197"/>
      <c r="E455" s="197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88"/>
      <c r="AC455" s="88"/>
    </row>
    <row r="456" spans="1:29" x14ac:dyDescent="0.25">
      <c r="A456" s="86"/>
      <c r="B456" s="197"/>
      <c r="C456" s="197"/>
      <c r="D456" s="197"/>
      <c r="E456" s="197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88"/>
      <c r="AC456" s="88"/>
    </row>
    <row r="457" spans="1:29" x14ac:dyDescent="0.25">
      <c r="A457" s="86"/>
      <c r="B457" s="197"/>
      <c r="C457" s="197"/>
      <c r="D457" s="197"/>
      <c r="E457" s="197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88"/>
      <c r="AC457" s="88"/>
    </row>
    <row r="458" spans="1:29" x14ac:dyDescent="0.25">
      <c r="A458" s="86"/>
      <c r="B458" s="197"/>
      <c r="C458" s="197"/>
      <c r="D458" s="197"/>
      <c r="E458" s="197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88"/>
      <c r="AC458" s="88"/>
    </row>
    <row r="459" spans="1:29" x14ac:dyDescent="0.25">
      <c r="A459" s="86"/>
      <c r="B459" s="197"/>
      <c r="C459" s="197"/>
      <c r="D459" s="197"/>
      <c r="E459" s="197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88"/>
      <c r="AC459" s="88"/>
    </row>
    <row r="460" spans="1:29" x14ac:dyDescent="0.25">
      <c r="A460" s="86"/>
      <c r="B460" s="197"/>
      <c r="C460" s="197"/>
      <c r="D460" s="197"/>
      <c r="E460" s="197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88"/>
      <c r="AC460" s="88" t="s">
        <v>1277</v>
      </c>
    </row>
    <row r="461" spans="1:29" x14ac:dyDescent="0.25">
      <c r="A461" s="2754"/>
      <c r="B461" s="2753"/>
      <c r="C461" s="2753"/>
      <c r="D461" s="2753"/>
      <c r="E461" s="2753"/>
      <c r="F461" s="2753"/>
      <c r="G461" s="2753"/>
      <c r="H461" s="2753"/>
      <c r="I461" s="2753"/>
      <c r="J461" s="2753"/>
      <c r="K461" s="2753"/>
      <c r="L461" s="2753"/>
      <c r="M461" s="2753"/>
      <c r="N461" s="2753"/>
      <c r="O461" s="2753"/>
      <c r="P461" s="2753"/>
      <c r="Q461" s="2753"/>
      <c r="R461" s="2753"/>
      <c r="S461" s="2753"/>
      <c r="T461" s="2753"/>
      <c r="U461" s="2753"/>
      <c r="V461" s="2753"/>
      <c r="W461" s="2753"/>
      <c r="X461" s="2753"/>
      <c r="Y461" s="2753"/>
      <c r="Z461" s="2753"/>
      <c r="AA461" s="2753"/>
      <c r="AB461" s="88"/>
      <c r="AC461" s="88"/>
    </row>
    <row r="462" spans="1:29" x14ac:dyDescent="0.25">
      <c r="A462" s="2752"/>
      <c r="B462" s="2752"/>
      <c r="C462" s="2752"/>
      <c r="D462" s="2752"/>
      <c r="E462" s="2752"/>
      <c r="F462" s="2752"/>
      <c r="G462" s="2752"/>
      <c r="H462" s="2752"/>
      <c r="I462" s="2752"/>
      <c r="J462" s="2752"/>
      <c r="K462" s="2752"/>
      <c r="L462" s="2752"/>
      <c r="M462" s="2752"/>
      <c r="N462" s="2752"/>
      <c r="O462" s="2752"/>
      <c r="P462" s="2752"/>
      <c r="Q462" s="2752"/>
      <c r="R462" s="2752"/>
      <c r="S462" s="2752"/>
      <c r="T462" s="2753"/>
      <c r="U462" s="2753"/>
      <c r="V462" s="2753"/>
      <c r="W462" s="2753"/>
      <c r="X462" s="2753"/>
      <c r="Y462" s="2753"/>
      <c r="Z462" s="2753"/>
      <c r="AA462" s="2753"/>
      <c r="AB462" s="88"/>
      <c r="AC462" s="88"/>
    </row>
    <row r="463" spans="1:29" x14ac:dyDescent="0.25">
      <c r="A463" s="86"/>
      <c r="B463" s="197"/>
      <c r="C463" s="197"/>
      <c r="D463" s="197"/>
      <c r="E463" s="197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88"/>
      <c r="AC463" s="88"/>
    </row>
    <row r="464" spans="1:29" x14ac:dyDescent="0.25">
      <c r="A464" s="86"/>
      <c r="B464" s="197"/>
      <c r="C464" s="197"/>
      <c r="D464" s="197"/>
      <c r="E464" s="197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88"/>
      <c r="AC464" s="88"/>
    </row>
    <row r="465" spans="1:29" x14ac:dyDescent="0.25">
      <c r="A465" s="86"/>
      <c r="B465" s="197"/>
      <c r="C465" s="197"/>
      <c r="D465" s="197"/>
      <c r="E465" s="197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88"/>
      <c r="AC465" s="88"/>
    </row>
    <row r="466" spans="1:29" x14ac:dyDescent="0.25">
      <c r="A466" s="86"/>
      <c r="B466" s="197"/>
      <c r="C466" s="197"/>
      <c r="D466" s="197"/>
      <c r="E466" s="197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88"/>
      <c r="AC466" s="88"/>
    </row>
    <row r="467" spans="1:29" x14ac:dyDescent="0.25">
      <c r="A467" s="86"/>
      <c r="B467" s="197"/>
      <c r="C467" s="197"/>
      <c r="D467" s="197"/>
      <c r="E467" s="197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88"/>
      <c r="AC467" s="88"/>
    </row>
    <row r="468" spans="1:29" x14ac:dyDescent="0.25">
      <c r="A468" s="86"/>
      <c r="B468" s="197"/>
      <c r="C468" s="197"/>
      <c r="D468" s="197"/>
      <c r="E468" s="197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88"/>
      <c r="AC468" s="88"/>
    </row>
    <row r="469" spans="1:29" x14ac:dyDescent="0.25">
      <c r="A469" s="86"/>
      <c r="B469" s="197"/>
      <c r="C469" s="197"/>
      <c r="D469" s="197"/>
      <c r="E469" s="197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88"/>
      <c r="AC469" s="88"/>
    </row>
    <row r="470" spans="1:29" x14ac:dyDescent="0.25">
      <c r="A470" s="86"/>
      <c r="B470" s="197"/>
      <c r="C470" s="197"/>
      <c r="D470" s="197"/>
      <c r="E470" s="197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88"/>
      <c r="AC470" s="88" t="s">
        <v>1278</v>
      </c>
    </row>
    <row r="471" spans="1:29" x14ac:dyDescent="0.25">
      <c r="A471" s="86"/>
      <c r="B471" s="197"/>
      <c r="C471" s="197"/>
      <c r="D471" s="197"/>
      <c r="E471" s="197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88"/>
      <c r="AC471" s="88"/>
    </row>
    <row r="472" spans="1:29" x14ac:dyDescent="0.25">
      <c r="A472" s="86"/>
      <c r="B472" s="197"/>
      <c r="C472" s="197"/>
      <c r="D472" s="197"/>
      <c r="E472" s="197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88"/>
      <c r="AC472" s="88"/>
    </row>
    <row r="473" spans="1:29" x14ac:dyDescent="0.25">
      <c r="A473" s="86"/>
      <c r="B473" s="197"/>
      <c r="C473" s="197"/>
      <c r="D473" s="197"/>
      <c r="E473" s="197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88"/>
      <c r="AC473" s="88"/>
    </row>
    <row r="474" spans="1:29" x14ac:dyDescent="0.25">
      <c r="A474" s="86"/>
      <c r="B474" s="197"/>
      <c r="C474" s="197"/>
      <c r="D474" s="197"/>
      <c r="E474" s="197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88"/>
      <c r="AC474" s="88"/>
    </row>
    <row r="475" spans="1:29" x14ac:dyDescent="0.25">
      <c r="A475" s="86"/>
      <c r="B475" s="197"/>
      <c r="C475" s="197"/>
      <c r="D475" s="197"/>
      <c r="E475" s="197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88"/>
      <c r="AC475" s="88"/>
    </row>
    <row r="476" spans="1:29" x14ac:dyDescent="0.25">
      <c r="A476" s="86"/>
      <c r="B476" s="197"/>
      <c r="C476" s="197"/>
      <c r="D476" s="197"/>
      <c r="E476" s="197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88"/>
      <c r="AC476" s="88"/>
    </row>
    <row r="477" spans="1:29" x14ac:dyDescent="0.25">
      <c r="A477" s="86"/>
      <c r="B477" s="197"/>
      <c r="C477" s="197"/>
      <c r="D477" s="197"/>
      <c r="E477" s="197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88"/>
      <c r="AC477" s="88"/>
    </row>
    <row r="478" spans="1:29" x14ac:dyDescent="0.25">
      <c r="A478" s="86"/>
      <c r="B478" s="197"/>
      <c r="C478" s="197"/>
      <c r="D478" s="197"/>
      <c r="E478" s="197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88"/>
      <c r="AC478" s="88"/>
    </row>
    <row r="479" spans="1:29" x14ac:dyDescent="0.25">
      <c r="A479" s="86"/>
      <c r="B479" s="197"/>
      <c r="C479" s="197"/>
      <c r="D479" s="197"/>
      <c r="E479" s="197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88"/>
      <c r="AC479" s="88" t="s">
        <v>1279</v>
      </c>
    </row>
    <row r="480" spans="1:29" x14ac:dyDescent="0.25">
      <c r="A480" s="86"/>
      <c r="B480" s="197"/>
      <c r="C480" s="197"/>
      <c r="D480" s="197"/>
      <c r="E480" s="197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88"/>
      <c r="AC480" s="88"/>
    </row>
    <row r="481" spans="1:29" x14ac:dyDescent="0.25">
      <c r="A481" s="86"/>
      <c r="B481" s="197"/>
      <c r="C481" s="197"/>
      <c r="D481" s="197"/>
      <c r="E481" s="197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88"/>
      <c r="AC481" s="88"/>
    </row>
    <row r="482" spans="1:29" x14ac:dyDescent="0.25">
      <c r="A482" s="86"/>
      <c r="B482" s="197"/>
      <c r="C482" s="197"/>
      <c r="D482" s="197"/>
      <c r="E482" s="197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88"/>
      <c r="AC482" s="88"/>
    </row>
    <row r="483" spans="1:29" x14ac:dyDescent="0.25">
      <c r="A483" s="86"/>
      <c r="B483" s="197"/>
      <c r="C483" s="197"/>
      <c r="D483" s="197"/>
      <c r="E483" s="197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88"/>
      <c r="AC483" s="88"/>
    </row>
    <row r="484" spans="1:29" x14ac:dyDescent="0.25">
      <c r="A484" s="86"/>
      <c r="B484" s="197"/>
      <c r="C484" s="197"/>
      <c r="D484" s="197"/>
      <c r="E484" s="197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88"/>
      <c r="AC484" s="88"/>
    </row>
    <row r="485" spans="1:29" x14ac:dyDescent="0.25">
      <c r="A485" s="86"/>
      <c r="B485" s="197"/>
      <c r="C485" s="197"/>
      <c r="D485" s="197"/>
      <c r="E485" s="197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88"/>
      <c r="AC485" s="88"/>
    </row>
    <row r="486" spans="1:29" x14ac:dyDescent="0.25">
      <c r="A486" s="86"/>
      <c r="B486" s="197"/>
      <c r="C486" s="197"/>
      <c r="D486" s="197"/>
      <c r="E486" s="197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88"/>
      <c r="AC486" s="88"/>
    </row>
    <row r="487" spans="1:29" x14ac:dyDescent="0.25">
      <c r="A487" s="86"/>
      <c r="B487" s="197"/>
      <c r="C487" s="197"/>
      <c r="D487" s="197"/>
      <c r="E487" s="197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88"/>
      <c r="AC487" s="88"/>
    </row>
    <row r="488" spans="1:29" x14ac:dyDescent="0.25">
      <c r="A488" s="86"/>
      <c r="B488" s="197"/>
      <c r="C488" s="197"/>
      <c r="D488" s="197"/>
      <c r="E488" s="197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88"/>
      <c r="AC488" s="88"/>
    </row>
    <row r="489" spans="1:29" x14ac:dyDescent="0.25">
      <c r="A489" s="86"/>
      <c r="B489" s="197"/>
      <c r="C489" s="197"/>
      <c r="D489" s="197"/>
      <c r="E489" s="197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88"/>
      <c r="AC489" s="88" t="s">
        <v>1280</v>
      </c>
    </row>
    <row r="490" spans="1:29" x14ac:dyDescent="0.25">
      <c r="A490" s="86"/>
      <c r="B490" s="197"/>
      <c r="C490" s="197"/>
      <c r="D490" s="197"/>
      <c r="E490" s="197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88"/>
      <c r="AC490" s="88"/>
    </row>
    <row r="491" spans="1:29" x14ac:dyDescent="0.25">
      <c r="A491" s="86"/>
      <c r="B491" s="197"/>
      <c r="C491" s="197"/>
      <c r="D491" s="197"/>
      <c r="E491" s="197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88"/>
      <c r="AC491" s="88"/>
    </row>
    <row r="492" spans="1:29" x14ac:dyDescent="0.25">
      <c r="A492" s="86"/>
      <c r="B492" s="197"/>
      <c r="C492" s="197"/>
      <c r="D492" s="197"/>
      <c r="E492" s="197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88"/>
      <c r="AC492" s="88"/>
    </row>
    <row r="493" spans="1:29" x14ac:dyDescent="0.25">
      <c r="A493" s="86"/>
      <c r="B493" s="197"/>
      <c r="C493" s="197"/>
      <c r="D493" s="197"/>
      <c r="E493" s="197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88"/>
      <c r="AC493" s="88"/>
    </row>
    <row r="494" spans="1:29" x14ac:dyDescent="0.25">
      <c r="A494" s="86"/>
      <c r="B494" s="197"/>
      <c r="C494" s="197"/>
      <c r="D494" s="197"/>
      <c r="E494" s="197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88"/>
      <c r="AC494" s="88"/>
    </row>
    <row r="495" spans="1:29" x14ac:dyDescent="0.25">
      <c r="A495" s="86"/>
      <c r="B495" s="197"/>
      <c r="C495" s="197"/>
      <c r="D495" s="197"/>
      <c r="E495" s="197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88"/>
      <c r="AC495" s="88"/>
    </row>
    <row r="496" spans="1:29" x14ac:dyDescent="0.25">
      <c r="A496" s="86"/>
      <c r="B496" s="197"/>
      <c r="C496" s="197"/>
      <c r="D496" s="197"/>
      <c r="E496" s="197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88"/>
      <c r="AC496" s="88"/>
    </row>
    <row r="497" spans="1:29" x14ac:dyDescent="0.25">
      <c r="A497" s="86"/>
      <c r="B497" s="197"/>
      <c r="C497" s="197"/>
      <c r="D497" s="197"/>
      <c r="E497" s="197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88"/>
      <c r="AC497" s="88"/>
    </row>
    <row r="498" spans="1:29" x14ac:dyDescent="0.25">
      <c r="A498" s="86"/>
      <c r="B498" s="197"/>
      <c r="C498" s="197"/>
      <c r="D498" s="197"/>
      <c r="E498" s="197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88"/>
      <c r="AC498" s="88"/>
    </row>
    <row r="499" spans="1:29" x14ac:dyDescent="0.25">
      <c r="A499" s="86"/>
      <c r="B499" s="197"/>
      <c r="C499" s="197"/>
      <c r="D499" s="197"/>
      <c r="E499" s="197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88"/>
      <c r="AC499" s="88"/>
    </row>
    <row r="500" spans="1:29" x14ac:dyDescent="0.25">
      <c r="A500" s="86"/>
      <c r="B500" s="197"/>
      <c r="C500" s="197"/>
      <c r="D500" s="197"/>
      <c r="E500" s="197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88"/>
      <c r="AC500" s="88"/>
    </row>
    <row r="501" spans="1:29" x14ac:dyDescent="0.25">
      <c r="A501" s="86"/>
      <c r="B501" s="197"/>
      <c r="C501" s="197"/>
      <c r="D501" s="197"/>
      <c r="E501" s="197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88"/>
      <c r="AC501" s="88"/>
    </row>
    <row r="502" spans="1:29" x14ac:dyDescent="0.25">
      <c r="A502" s="86"/>
      <c r="B502" s="197"/>
      <c r="C502" s="197"/>
      <c r="D502" s="197"/>
      <c r="E502" s="197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88"/>
      <c r="AC502" s="88"/>
    </row>
    <row r="503" spans="1:29" x14ac:dyDescent="0.25">
      <c r="A503" s="86"/>
      <c r="B503" s="197"/>
      <c r="C503" s="197"/>
      <c r="D503" s="197"/>
      <c r="E503" s="197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88"/>
      <c r="AC503" s="88"/>
    </row>
    <row r="504" spans="1:29" x14ac:dyDescent="0.25">
      <c r="A504" s="86"/>
      <c r="B504" s="197"/>
      <c r="C504" s="197"/>
      <c r="D504" s="197"/>
      <c r="E504" s="197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88"/>
      <c r="AC504" s="88"/>
    </row>
    <row r="505" spans="1:29" x14ac:dyDescent="0.25">
      <c r="A505" s="86"/>
      <c r="B505" s="197"/>
      <c r="C505" s="197"/>
      <c r="D505" s="197"/>
      <c r="E505" s="197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88"/>
      <c r="AC505" s="88"/>
    </row>
    <row r="506" spans="1:29" x14ac:dyDescent="0.25">
      <c r="A506" s="86"/>
      <c r="B506" s="197"/>
      <c r="C506" s="197"/>
      <c r="D506" s="197"/>
      <c r="E506" s="197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88"/>
      <c r="AC506" s="88"/>
    </row>
    <row r="507" spans="1:29" x14ac:dyDescent="0.25">
      <c r="A507" s="86"/>
      <c r="B507" s="197"/>
      <c r="C507" s="197"/>
      <c r="D507" s="197"/>
      <c r="E507" s="197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88"/>
      <c r="AC507" s="88"/>
    </row>
    <row r="508" spans="1:29" x14ac:dyDescent="0.25">
      <c r="A508" s="86"/>
      <c r="B508" s="197"/>
      <c r="C508" s="197"/>
      <c r="D508" s="197"/>
      <c r="E508" s="197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88"/>
      <c r="AC508" s="88"/>
    </row>
    <row r="509" spans="1:29" x14ac:dyDescent="0.25">
      <c r="A509" s="2754"/>
      <c r="B509" s="2755"/>
      <c r="C509" s="2755"/>
      <c r="D509" s="2755"/>
      <c r="E509" s="2755"/>
      <c r="F509" s="2755"/>
      <c r="G509" s="2755"/>
      <c r="H509" s="2755"/>
      <c r="I509" s="2755"/>
      <c r="J509" s="2755"/>
      <c r="K509" s="2755"/>
      <c r="L509" s="2755"/>
      <c r="M509" s="2755"/>
      <c r="N509" s="2755"/>
      <c r="O509" s="2755"/>
      <c r="P509" s="2755"/>
      <c r="Q509" s="2755"/>
      <c r="R509" s="2755"/>
      <c r="S509" s="2755"/>
      <c r="T509" s="2753"/>
      <c r="U509" s="2753"/>
      <c r="V509" s="2753"/>
      <c r="W509" s="2753"/>
      <c r="X509" s="2753"/>
      <c r="Y509" s="2753"/>
      <c r="Z509" s="2753"/>
      <c r="AA509" s="2753"/>
      <c r="AB509" s="88"/>
      <c r="AC509" s="88"/>
    </row>
    <row r="510" spans="1:29" x14ac:dyDescent="0.25">
      <c r="A510" s="2752"/>
      <c r="B510" s="2752"/>
      <c r="C510" s="2752"/>
      <c r="D510" s="2752"/>
      <c r="E510" s="2752"/>
      <c r="F510" s="2752"/>
      <c r="G510" s="2752"/>
      <c r="H510" s="2752"/>
      <c r="I510" s="2752"/>
      <c r="J510" s="2752"/>
      <c r="K510" s="2752"/>
      <c r="L510" s="2752"/>
      <c r="M510" s="2752"/>
      <c r="N510" s="2752"/>
      <c r="O510" s="2752"/>
      <c r="P510" s="2752"/>
      <c r="Q510" s="2752"/>
      <c r="R510" s="2752"/>
      <c r="S510" s="2752"/>
      <c r="T510" s="2753"/>
      <c r="U510" s="2753"/>
      <c r="V510" s="2753"/>
      <c r="W510" s="2753"/>
      <c r="X510" s="2753"/>
      <c r="Y510" s="2753"/>
      <c r="Z510" s="2753"/>
      <c r="AA510" s="2753"/>
      <c r="AB510" s="88"/>
      <c r="AC510" s="88"/>
    </row>
    <row r="511" spans="1:29" x14ac:dyDescent="0.25">
      <c r="A511" s="86"/>
      <c r="B511" s="197"/>
      <c r="C511" s="197"/>
      <c r="D511" s="197"/>
      <c r="E511" s="197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88"/>
      <c r="AC511" s="88"/>
    </row>
    <row r="512" spans="1:29" x14ac:dyDescent="0.25">
      <c r="A512" s="86"/>
      <c r="B512" s="197"/>
      <c r="C512" s="197"/>
      <c r="D512" s="197"/>
      <c r="E512" s="197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88"/>
      <c r="AC512" s="88"/>
    </row>
    <row r="513" spans="1:29" x14ac:dyDescent="0.25">
      <c r="A513" s="86"/>
      <c r="B513" s="197"/>
      <c r="C513" s="197"/>
      <c r="D513" s="197"/>
      <c r="E513" s="197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88"/>
      <c r="AC513" s="88"/>
    </row>
    <row r="514" spans="1:29" x14ac:dyDescent="0.25">
      <c r="A514" s="86"/>
      <c r="B514" s="197"/>
      <c r="C514" s="197"/>
      <c r="D514" s="197"/>
      <c r="E514" s="197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88"/>
      <c r="AC514" s="88"/>
    </row>
    <row r="515" spans="1:29" x14ac:dyDescent="0.25">
      <c r="A515" s="86"/>
      <c r="B515" s="197"/>
      <c r="C515" s="197"/>
      <c r="D515" s="197"/>
      <c r="E515" s="197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88"/>
      <c r="AC515" s="88"/>
    </row>
    <row r="516" spans="1:29" x14ac:dyDescent="0.25">
      <c r="A516" s="86"/>
      <c r="B516" s="197"/>
      <c r="C516" s="197"/>
      <c r="D516" s="197"/>
      <c r="E516" s="197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88"/>
      <c r="AC516" s="88"/>
    </row>
    <row r="517" spans="1:29" x14ac:dyDescent="0.25">
      <c r="A517" s="86"/>
      <c r="B517" s="197"/>
      <c r="C517" s="197"/>
      <c r="D517" s="197"/>
      <c r="E517" s="197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88"/>
      <c r="AC517" s="88"/>
    </row>
    <row r="518" spans="1:29" x14ac:dyDescent="0.25">
      <c r="A518" s="86"/>
      <c r="B518" s="197"/>
      <c r="C518" s="197"/>
      <c r="D518" s="197"/>
      <c r="E518" s="197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88"/>
      <c r="AC518" s="88"/>
    </row>
    <row r="519" spans="1:29" x14ac:dyDescent="0.25">
      <c r="A519" s="86"/>
      <c r="B519" s="197"/>
      <c r="C519" s="197"/>
      <c r="D519" s="197"/>
      <c r="E519" s="197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88"/>
      <c r="AC519" s="88"/>
    </row>
    <row r="520" spans="1:29" x14ac:dyDescent="0.25">
      <c r="A520" s="86"/>
      <c r="B520" s="197"/>
      <c r="C520" s="197"/>
      <c r="D520" s="197"/>
      <c r="E520" s="197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88"/>
      <c r="AC520" s="88"/>
    </row>
    <row r="521" spans="1:29" x14ac:dyDescent="0.25">
      <c r="A521" s="86"/>
      <c r="B521" s="197"/>
      <c r="C521" s="197"/>
      <c r="D521" s="197"/>
      <c r="E521" s="197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88"/>
      <c r="AC521" s="88"/>
    </row>
    <row r="522" spans="1:29" x14ac:dyDescent="0.25">
      <c r="A522" s="86"/>
      <c r="B522" s="197"/>
      <c r="C522" s="197"/>
      <c r="D522" s="197"/>
      <c r="E522" s="197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88"/>
      <c r="AC522" s="88"/>
    </row>
    <row r="523" spans="1:29" x14ac:dyDescent="0.25">
      <c r="A523" s="86"/>
      <c r="B523" s="197"/>
      <c r="C523" s="197"/>
      <c r="D523" s="197"/>
      <c r="E523" s="197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88"/>
      <c r="AC523" s="88"/>
    </row>
    <row r="524" spans="1:29" x14ac:dyDescent="0.25">
      <c r="A524" s="86"/>
      <c r="B524" s="197"/>
      <c r="C524" s="197"/>
      <c r="D524" s="197"/>
      <c r="E524" s="197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88"/>
      <c r="AC524" s="88"/>
    </row>
    <row r="525" spans="1:29" x14ac:dyDescent="0.25">
      <c r="A525" s="86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82"/>
    </row>
    <row r="526" spans="1:29" x14ac:dyDescent="0.25">
      <c r="A526" s="86"/>
      <c r="B526" s="197"/>
      <c r="C526" s="197"/>
      <c r="D526" s="197"/>
      <c r="E526" s="197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</row>
    <row r="527" spans="1:29" x14ac:dyDescent="0.25">
      <c r="A527" s="86"/>
      <c r="B527" s="197"/>
      <c r="C527" s="197"/>
      <c r="D527" s="197"/>
      <c r="E527" s="197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</row>
    <row r="528" spans="1:29" x14ac:dyDescent="0.25">
      <c r="A528" s="86"/>
      <c r="B528" s="197"/>
      <c r="C528" s="197"/>
      <c r="D528" s="197"/>
      <c r="E528" s="197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</row>
    <row r="529" spans="1:27" x14ac:dyDescent="0.25">
      <c r="A529" s="86"/>
      <c r="B529" s="197"/>
      <c r="C529" s="197"/>
      <c r="D529" s="197"/>
      <c r="E529" s="197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</row>
    <row r="530" spans="1:27" x14ac:dyDescent="0.25">
      <c r="A530" s="86"/>
      <c r="B530" s="197"/>
      <c r="C530" s="197"/>
      <c r="D530" s="197"/>
      <c r="E530" s="197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</row>
    <row r="531" spans="1:27" x14ac:dyDescent="0.25">
      <c r="A531" s="86"/>
      <c r="B531" s="197"/>
      <c r="C531" s="197"/>
      <c r="D531" s="197"/>
      <c r="E531" s="197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</row>
    <row r="532" spans="1:27" x14ac:dyDescent="0.25">
      <c r="A532" s="86"/>
      <c r="B532" s="197"/>
      <c r="C532" s="197"/>
      <c r="D532" s="197"/>
      <c r="E532" s="197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</row>
    <row r="533" spans="1:27" x14ac:dyDescent="0.25">
      <c r="A533" s="86"/>
      <c r="B533" s="197"/>
      <c r="C533" s="197"/>
      <c r="D533" s="197"/>
      <c r="E533" s="197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</row>
    <row r="534" spans="1:27" x14ac:dyDescent="0.25">
      <c r="A534" s="86"/>
      <c r="B534" s="197"/>
      <c r="C534" s="197"/>
      <c r="D534" s="197"/>
      <c r="E534" s="197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</row>
    <row r="535" spans="1:27" x14ac:dyDescent="0.25">
      <c r="A535" s="86"/>
      <c r="B535" s="197"/>
      <c r="C535" s="197"/>
      <c r="D535" s="197"/>
      <c r="E535" s="197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</row>
    <row r="536" spans="1:27" x14ac:dyDescent="0.25">
      <c r="A536" s="86"/>
      <c r="B536" s="197"/>
      <c r="C536" s="197"/>
      <c r="D536" s="197"/>
      <c r="E536" s="197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</row>
    <row r="537" spans="1:27" x14ac:dyDescent="0.25">
      <c r="A537" s="86"/>
      <c r="B537" s="197"/>
      <c r="C537" s="197"/>
      <c r="D537" s="197"/>
      <c r="E537" s="197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</row>
    <row r="538" spans="1:27" x14ac:dyDescent="0.25">
      <c r="A538" s="86"/>
      <c r="B538" s="197"/>
      <c r="C538" s="197"/>
      <c r="D538" s="197"/>
      <c r="E538" s="197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</row>
    <row r="539" spans="1:27" x14ac:dyDescent="0.25">
      <c r="A539" s="86"/>
      <c r="B539" s="197"/>
      <c r="C539" s="197"/>
      <c r="D539" s="197"/>
      <c r="E539" s="197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</row>
    <row r="540" spans="1:27" x14ac:dyDescent="0.25">
      <c r="A540" s="86"/>
      <c r="B540" s="197"/>
      <c r="C540" s="197"/>
      <c r="D540" s="197"/>
      <c r="E540" s="197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</row>
    <row r="541" spans="1:27" x14ac:dyDescent="0.25">
      <c r="A541" s="86"/>
      <c r="B541" s="197"/>
      <c r="C541" s="197"/>
      <c r="D541" s="197"/>
      <c r="E541" s="197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</row>
    <row r="542" spans="1:27" x14ac:dyDescent="0.25">
      <c r="A542" s="86"/>
      <c r="B542" s="197"/>
      <c r="C542" s="197"/>
      <c r="D542" s="197"/>
      <c r="E542" s="197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</row>
    <row r="543" spans="1:27" x14ac:dyDescent="0.25">
      <c r="A543" s="86"/>
      <c r="B543" s="197"/>
      <c r="C543" s="197"/>
      <c r="D543" s="197"/>
      <c r="E543" s="197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</row>
    <row r="544" spans="1:27" x14ac:dyDescent="0.25">
      <c r="A544" s="86"/>
      <c r="B544" s="197"/>
      <c r="C544" s="197"/>
      <c r="D544" s="197"/>
      <c r="E544" s="197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</row>
    <row r="545" spans="1:27" x14ac:dyDescent="0.25">
      <c r="A545" s="86"/>
      <c r="B545" s="197"/>
      <c r="C545" s="197"/>
      <c r="D545" s="197"/>
      <c r="E545" s="197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</row>
    <row r="546" spans="1:27" x14ac:dyDescent="0.25">
      <c r="A546" s="86"/>
      <c r="B546" s="197"/>
      <c r="C546" s="197"/>
      <c r="D546" s="197"/>
      <c r="E546" s="197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</row>
    <row r="547" spans="1:27" x14ac:dyDescent="0.25">
      <c r="A547" s="86"/>
      <c r="B547" s="197"/>
      <c r="C547" s="197"/>
      <c r="D547" s="197"/>
      <c r="E547" s="197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</row>
    <row r="548" spans="1:27" x14ac:dyDescent="0.25">
      <c r="A548" s="86"/>
      <c r="B548" s="197"/>
      <c r="C548" s="197"/>
      <c r="D548" s="197"/>
      <c r="E548" s="197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</row>
    <row r="549" spans="1:27" x14ac:dyDescent="0.25">
      <c r="A549" s="86"/>
      <c r="B549" s="197"/>
      <c r="C549" s="197"/>
      <c r="D549" s="197"/>
      <c r="E549" s="197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</row>
    <row r="550" spans="1:27" x14ac:dyDescent="0.25">
      <c r="A550" s="86"/>
      <c r="B550" s="197"/>
      <c r="C550" s="197"/>
      <c r="D550" s="197"/>
      <c r="E550" s="197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</row>
    <row r="551" spans="1:27" x14ac:dyDescent="0.25">
      <c r="A551" s="86"/>
      <c r="B551" s="197"/>
      <c r="C551" s="197"/>
      <c r="D551" s="197"/>
      <c r="E551" s="197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</row>
    <row r="552" spans="1:27" x14ac:dyDescent="0.25">
      <c r="A552" s="86"/>
      <c r="B552" s="197"/>
      <c r="C552" s="197"/>
      <c r="D552" s="197"/>
      <c r="E552" s="197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</row>
    <row r="553" spans="1:27" x14ac:dyDescent="0.25">
      <c r="A553" s="86"/>
      <c r="B553" s="197"/>
      <c r="C553" s="197"/>
      <c r="D553" s="197"/>
      <c r="E553" s="197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</row>
    <row r="554" spans="1:27" x14ac:dyDescent="0.25">
      <c r="A554" s="86"/>
      <c r="B554" s="197"/>
      <c r="C554" s="197"/>
      <c r="D554" s="197"/>
      <c r="E554" s="197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</row>
    <row r="555" spans="1:27" x14ac:dyDescent="0.25">
      <c r="A555" s="86"/>
      <c r="B555" s="197"/>
      <c r="C555" s="197"/>
      <c r="D555" s="197"/>
      <c r="E555" s="197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</row>
    <row r="556" spans="1:27" x14ac:dyDescent="0.25">
      <c r="A556" s="86"/>
      <c r="B556" s="197"/>
      <c r="C556" s="197"/>
      <c r="D556" s="197"/>
      <c r="E556" s="197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</row>
    <row r="557" spans="1:27" x14ac:dyDescent="0.25">
      <c r="A557" s="86"/>
      <c r="B557" s="197"/>
      <c r="C557" s="197"/>
      <c r="D557" s="197"/>
      <c r="E557" s="197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</row>
    <row r="558" spans="1:27" x14ac:dyDescent="0.25">
      <c r="A558" s="86"/>
      <c r="B558" s="197"/>
      <c r="C558" s="197"/>
      <c r="D558" s="197"/>
      <c r="E558" s="197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</row>
    <row r="559" spans="1:27" x14ac:dyDescent="0.25">
      <c r="A559" s="86"/>
      <c r="B559" s="197"/>
      <c r="C559" s="197"/>
      <c r="D559" s="197"/>
      <c r="E559" s="197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</row>
    <row r="560" spans="1:27" x14ac:dyDescent="0.25">
      <c r="A560" s="86"/>
      <c r="B560" s="197"/>
      <c r="C560" s="197"/>
      <c r="D560" s="197"/>
      <c r="E560" s="197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</row>
    <row r="561" spans="1:27" x14ac:dyDescent="0.25">
      <c r="A561" s="86"/>
      <c r="B561" s="197"/>
      <c r="C561" s="197"/>
      <c r="D561" s="197"/>
      <c r="E561" s="197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</row>
    <row r="562" spans="1:27" x14ac:dyDescent="0.25">
      <c r="A562" s="86"/>
      <c r="B562" s="197"/>
      <c r="C562" s="197"/>
      <c r="D562" s="197"/>
      <c r="E562" s="197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</row>
    <row r="563" spans="1:27" x14ac:dyDescent="0.25">
      <c r="A563" s="86"/>
      <c r="B563" s="197"/>
      <c r="C563" s="197"/>
      <c r="D563" s="197"/>
      <c r="E563" s="197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</row>
    <row r="564" spans="1:27" x14ac:dyDescent="0.25">
      <c r="A564" s="86"/>
      <c r="B564" s="197"/>
      <c r="C564" s="197"/>
      <c r="D564" s="197"/>
      <c r="E564" s="197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</row>
    <row r="565" spans="1:27" x14ac:dyDescent="0.25">
      <c r="A565" s="86"/>
      <c r="B565" s="197"/>
      <c r="C565" s="197"/>
      <c r="D565" s="197"/>
      <c r="E565" s="197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</row>
    <row r="566" spans="1:27" x14ac:dyDescent="0.25">
      <c r="A566" s="86"/>
      <c r="B566" s="197"/>
      <c r="C566" s="197"/>
      <c r="D566" s="197"/>
      <c r="E566" s="197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</row>
    <row r="567" spans="1:27" x14ac:dyDescent="0.25">
      <c r="A567" s="86"/>
      <c r="B567" s="197"/>
      <c r="C567" s="197"/>
      <c r="D567" s="197"/>
      <c r="E567" s="197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</row>
    <row r="568" spans="1:27" x14ac:dyDescent="0.25">
      <c r="A568" s="86"/>
      <c r="B568" s="197"/>
      <c r="C568" s="197"/>
      <c r="D568" s="197"/>
      <c r="E568" s="197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</row>
    <row r="569" spans="1:27" x14ac:dyDescent="0.25">
      <c r="A569" s="86"/>
      <c r="B569" s="197"/>
      <c r="C569" s="197"/>
      <c r="D569" s="197"/>
      <c r="E569" s="197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</row>
    <row r="570" spans="1:27" x14ac:dyDescent="0.25">
      <c r="A570" s="86"/>
      <c r="B570" s="197"/>
      <c r="C570" s="197"/>
      <c r="D570" s="197"/>
      <c r="E570" s="197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</row>
    <row r="571" spans="1:27" x14ac:dyDescent="0.25">
      <c r="A571" s="86"/>
      <c r="B571" s="197"/>
      <c r="C571" s="197"/>
      <c r="D571" s="197"/>
      <c r="E571" s="197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</row>
    <row r="572" spans="1:27" x14ac:dyDescent="0.25">
      <c r="A572" s="86"/>
      <c r="B572" s="197"/>
      <c r="C572" s="197"/>
      <c r="D572" s="197"/>
      <c r="E572" s="197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</row>
    <row r="573" spans="1:27" x14ac:dyDescent="0.25">
      <c r="A573" s="86"/>
      <c r="B573" s="197"/>
      <c r="C573" s="197"/>
      <c r="D573" s="197"/>
      <c r="E573" s="197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</row>
    <row r="574" spans="1:27" x14ac:dyDescent="0.25">
      <c r="A574" s="86"/>
      <c r="B574" s="197"/>
      <c r="C574" s="197"/>
      <c r="D574" s="197"/>
      <c r="E574" s="197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</row>
    <row r="575" spans="1:27" x14ac:dyDescent="0.25">
      <c r="A575" s="86"/>
      <c r="B575" s="197"/>
      <c r="C575" s="197"/>
      <c r="D575" s="197"/>
      <c r="E575" s="197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</row>
    <row r="576" spans="1:27" x14ac:dyDescent="0.25">
      <c r="A576" s="86"/>
      <c r="B576" s="197"/>
      <c r="C576" s="197"/>
      <c r="D576" s="197"/>
      <c r="E576" s="197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</row>
    <row r="577" spans="1:27" x14ac:dyDescent="0.25">
      <c r="A577" s="86"/>
      <c r="B577" s="197"/>
      <c r="C577" s="197"/>
      <c r="D577" s="197"/>
      <c r="E577" s="197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</row>
    <row r="578" spans="1:27" x14ac:dyDescent="0.25">
      <c r="A578" s="86"/>
      <c r="B578" s="197"/>
      <c r="C578" s="197"/>
      <c r="D578" s="197"/>
      <c r="E578" s="197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</row>
    <row r="579" spans="1:27" x14ac:dyDescent="0.25">
      <c r="A579" s="86"/>
      <c r="B579" s="197"/>
      <c r="C579" s="197"/>
      <c r="D579" s="197"/>
      <c r="E579" s="197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</row>
    <row r="580" spans="1:27" x14ac:dyDescent="0.25">
      <c r="A580" s="86"/>
      <c r="B580" s="197"/>
      <c r="C580" s="197"/>
      <c r="D580" s="197"/>
      <c r="E580" s="197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</row>
    <row r="581" spans="1:27" x14ac:dyDescent="0.25">
      <c r="A581" s="86"/>
      <c r="B581" s="197"/>
      <c r="C581" s="197"/>
      <c r="D581" s="197"/>
      <c r="E581" s="197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</row>
    <row r="582" spans="1:27" x14ac:dyDescent="0.25">
      <c r="A582" s="86"/>
      <c r="B582" s="197"/>
      <c r="C582" s="197"/>
      <c r="D582" s="197"/>
      <c r="E582" s="197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</row>
    <row r="583" spans="1:27" x14ac:dyDescent="0.25">
      <c r="A583" s="86"/>
      <c r="B583" s="197"/>
      <c r="C583" s="197"/>
      <c r="D583" s="197"/>
      <c r="E583" s="197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</row>
    <row r="584" spans="1:27" x14ac:dyDescent="0.25">
      <c r="A584" s="86"/>
      <c r="B584" s="197"/>
      <c r="C584" s="197"/>
      <c r="D584" s="197"/>
      <c r="E584" s="197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</row>
    <row r="585" spans="1:27" x14ac:dyDescent="0.25">
      <c r="A585" s="86"/>
      <c r="B585" s="197"/>
      <c r="C585" s="197"/>
      <c r="D585" s="197"/>
      <c r="E585" s="197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</row>
    <row r="586" spans="1:27" x14ac:dyDescent="0.25">
      <c r="A586" s="86"/>
      <c r="B586" s="197"/>
      <c r="C586" s="197"/>
      <c r="D586" s="197"/>
      <c r="E586" s="197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</row>
    <row r="587" spans="1:27" x14ac:dyDescent="0.25">
      <c r="A587" s="86"/>
      <c r="B587" s="197"/>
      <c r="C587" s="197"/>
      <c r="D587" s="197"/>
      <c r="E587" s="197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</row>
    <row r="588" spans="1:27" x14ac:dyDescent="0.25">
      <c r="A588" s="86"/>
      <c r="B588" s="197"/>
      <c r="C588" s="197"/>
      <c r="D588" s="197"/>
      <c r="E588" s="197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</row>
    <row r="589" spans="1:27" x14ac:dyDescent="0.25">
      <c r="A589" s="86"/>
      <c r="B589" s="197"/>
      <c r="C589" s="197"/>
      <c r="D589" s="197"/>
      <c r="E589" s="197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</row>
    <row r="590" spans="1:27" x14ac:dyDescent="0.25">
      <c r="A590" s="86"/>
      <c r="B590" s="197"/>
      <c r="C590" s="197"/>
      <c r="D590" s="197"/>
      <c r="E590" s="197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</row>
    <row r="591" spans="1:27" x14ac:dyDescent="0.25">
      <c r="A591" s="86"/>
      <c r="B591" s="197"/>
      <c r="C591" s="197"/>
      <c r="D591" s="197"/>
      <c r="E591" s="197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</row>
    <row r="592" spans="1:27" x14ac:dyDescent="0.25">
      <c r="A592" s="86"/>
      <c r="B592" s="197"/>
      <c r="C592" s="197"/>
      <c r="D592" s="197"/>
      <c r="E592" s="197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</row>
    <row r="593" spans="1:27" x14ac:dyDescent="0.25">
      <c r="A593" s="86"/>
      <c r="B593" s="197"/>
      <c r="C593" s="197"/>
      <c r="D593" s="197"/>
      <c r="E593" s="197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</row>
    <row r="594" spans="1:27" x14ac:dyDescent="0.25">
      <c r="A594" s="86"/>
      <c r="B594" s="197"/>
      <c r="C594" s="197"/>
      <c r="D594" s="197"/>
      <c r="E594" s="197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</row>
    <row r="595" spans="1:27" x14ac:dyDescent="0.25">
      <c r="A595" s="86"/>
      <c r="B595" s="197"/>
      <c r="C595" s="197"/>
      <c r="D595" s="197"/>
      <c r="E595" s="197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</row>
    <row r="596" spans="1:27" x14ac:dyDescent="0.25">
      <c r="A596" s="86"/>
      <c r="B596" s="197"/>
      <c r="C596" s="197"/>
      <c r="D596" s="197"/>
      <c r="E596" s="197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</row>
    <row r="597" spans="1:27" x14ac:dyDescent="0.25">
      <c r="A597" s="86"/>
      <c r="B597" s="197"/>
      <c r="C597" s="197"/>
      <c r="D597" s="197"/>
      <c r="E597" s="197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</row>
    <row r="598" spans="1:27" x14ac:dyDescent="0.25">
      <c r="A598" s="86"/>
      <c r="B598" s="197"/>
      <c r="C598" s="197"/>
      <c r="D598" s="197"/>
      <c r="E598" s="197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</row>
    <row r="599" spans="1:27" x14ac:dyDescent="0.25">
      <c r="A599" s="86"/>
      <c r="B599" s="197"/>
      <c r="C599" s="197"/>
      <c r="D599" s="197"/>
      <c r="E599" s="197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</row>
    <row r="600" spans="1:27" x14ac:dyDescent="0.25">
      <c r="A600" s="86"/>
      <c r="B600" s="197"/>
      <c r="C600" s="197"/>
      <c r="D600" s="197"/>
      <c r="E600" s="197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</row>
    <row r="601" spans="1:27" x14ac:dyDescent="0.25">
      <c r="A601" s="86"/>
      <c r="B601" s="197"/>
      <c r="C601" s="197"/>
      <c r="D601" s="197"/>
      <c r="E601" s="197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</row>
    <row r="602" spans="1:27" x14ac:dyDescent="0.25">
      <c r="A602" s="86"/>
      <c r="B602" s="197"/>
      <c r="C602" s="197"/>
      <c r="D602" s="197"/>
      <c r="E602" s="197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</row>
    <row r="603" spans="1:27" x14ac:dyDescent="0.25">
      <c r="A603" s="86"/>
      <c r="B603" s="197"/>
      <c r="C603" s="197"/>
      <c r="D603" s="197"/>
      <c r="E603" s="197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</row>
    <row r="604" spans="1:27" x14ac:dyDescent="0.25">
      <c r="A604" s="86"/>
      <c r="B604" s="197"/>
      <c r="C604" s="197"/>
      <c r="D604" s="197"/>
      <c r="E604" s="197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</row>
    <row r="605" spans="1:27" x14ac:dyDescent="0.25">
      <c r="A605" s="86"/>
      <c r="B605" s="197"/>
      <c r="C605" s="197"/>
      <c r="D605" s="197"/>
      <c r="E605" s="197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</row>
    <row r="606" spans="1:27" x14ac:dyDescent="0.25">
      <c r="A606" s="86"/>
      <c r="B606" s="197"/>
      <c r="C606" s="197"/>
      <c r="D606" s="197"/>
      <c r="E606" s="197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</row>
    <row r="607" spans="1:27" x14ac:dyDescent="0.25">
      <c r="A607" s="86"/>
      <c r="B607" s="197"/>
      <c r="C607" s="197"/>
      <c r="D607" s="197"/>
      <c r="E607" s="197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</row>
    <row r="608" spans="1:27" x14ac:dyDescent="0.25">
      <c r="A608" s="86"/>
      <c r="B608" s="197"/>
      <c r="C608" s="197"/>
      <c r="D608" s="197"/>
      <c r="E608" s="197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</row>
    <row r="609" spans="1:27" x14ac:dyDescent="0.25">
      <c r="A609" s="86"/>
      <c r="B609" s="197"/>
      <c r="C609" s="197"/>
      <c r="D609" s="197"/>
      <c r="E609" s="197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</row>
    <row r="610" spans="1:27" x14ac:dyDescent="0.25">
      <c r="A610" s="86"/>
      <c r="B610" s="197"/>
      <c r="C610" s="197"/>
      <c r="D610" s="197"/>
      <c r="E610" s="197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</row>
    <row r="611" spans="1:27" x14ac:dyDescent="0.25">
      <c r="A611" s="86"/>
      <c r="B611" s="197"/>
      <c r="C611" s="197"/>
      <c r="D611" s="197"/>
      <c r="E611" s="197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</row>
    <row r="612" spans="1:27" x14ac:dyDescent="0.25">
      <c r="A612" s="86"/>
      <c r="B612" s="197"/>
      <c r="C612" s="197"/>
      <c r="D612" s="197"/>
      <c r="E612" s="197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</row>
    <row r="613" spans="1:27" x14ac:dyDescent="0.25">
      <c r="A613" s="86"/>
      <c r="B613" s="197"/>
      <c r="C613" s="197"/>
      <c r="D613" s="197"/>
      <c r="E613" s="197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</row>
    <row r="614" spans="1:27" x14ac:dyDescent="0.25">
      <c r="A614" s="86"/>
      <c r="B614" s="197"/>
      <c r="C614" s="197"/>
      <c r="D614" s="197"/>
      <c r="E614" s="197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</row>
    <row r="615" spans="1:27" x14ac:dyDescent="0.25">
      <c r="A615" s="86"/>
      <c r="B615" s="197"/>
      <c r="C615" s="197"/>
      <c r="D615" s="197"/>
      <c r="E615" s="197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</row>
    <row r="616" spans="1:27" x14ac:dyDescent="0.25">
      <c r="A616" s="86"/>
      <c r="B616" s="197"/>
      <c r="C616" s="197"/>
      <c r="D616" s="197"/>
      <c r="E616" s="197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</row>
    <row r="617" spans="1:27" x14ac:dyDescent="0.25">
      <c r="A617" s="86"/>
      <c r="B617" s="197"/>
      <c r="C617" s="197"/>
      <c r="D617" s="197"/>
      <c r="E617" s="197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</row>
  </sheetData>
  <mergeCells count="418">
    <mergeCell ref="G15:I15"/>
    <mergeCell ref="G159:I159"/>
    <mergeCell ref="G170:L170"/>
    <mergeCell ref="G171:I171"/>
    <mergeCell ref="G323:I323"/>
    <mergeCell ref="G207:L207"/>
    <mergeCell ref="G208:I208"/>
    <mergeCell ref="G39:L39"/>
    <mergeCell ref="G40:I40"/>
    <mergeCell ref="G63:I63"/>
    <mergeCell ref="G249:I249"/>
    <mergeCell ref="G79:I79"/>
    <mergeCell ref="G91:L91"/>
    <mergeCell ref="G92:I92"/>
    <mergeCell ref="G284:L284"/>
    <mergeCell ref="G112:L112"/>
    <mergeCell ref="G77:L77"/>
    <mergeCell ref="G301:L301"/>
    <mergeCell ref="G138:L138"/>
    <mergeCell ref="G61:L61"/>
    <mergeCell ref="G157:L157"/>
    <mergeCell ref="G36:L36"/>
    <mergeCell ref="G37:I37"/>
    <mergeCell ref="G250:I250"/>
    <mergeCell ref="A510:AA510"/>
    <mergeCell ref="A509:AA509"/>
    <mergeCell ref="A304:A305"/>
    <mergeCell ref="G307:L307"/>
    <mergeCell ref="G293:L293"/>
    <mergeCell ref="A462:AA462"/>
    <mergeCell ref="A461:AA461"/>
    <mergeCell ref="G332:L332"/>
    <mergeCell ref="B304:B305"/>
    <mergeCell ref="D304:D305"/>
    <mergeCell ref="A340:B340"/>
    <mergeCell ref="A350:AA350"/>
    <mergeCell ref="W303:X303"/>
    <mergeCell ref="C304:C305"/>
    <mergeCell ref="M339:N339"/>
    <mergeCell ref="R303:S303"/>
    <mergeCell ref="W326:X326"/>
    <mergeCell ref="G314:L314"/>
    <mergeCell ref="G316:I316"/>
    <mergeCell ref="R339:S339"/>
    <mergeCell ref="W339:X339"/>
    <mergeCell ref="G339:I339"/>
    <mergeCell ref="G334:L334"/>
    <mergeCell ref="G304:L304"/>
    <mergeCell ref="W235:X235"/>
    <mergeCell ref="G329:L329"/>
    <mergeCell ref="G235:I235"/>
    <mergeCell ref="R235:S235"/>
    <mergeCell ref="G236:L236"/>
    <mergeCell ref="G327:L327"/>
    <mergeCell ref="M326:N326"/>
    <mergeCell ref="W286:X286"/>
    <mergeCell ref="G303:I303"/>
    <mergeCell ref="G268:L268"/>
    <mergeCell ref="G255:L255"/>
    <mergeCell ref="G256:I256"/>
    <mergeCell ref="G262:I262"/>
    <mergeCell ref="G240:L240"/>
    <mergeCell ref="G241:I241"/>
    <mergeCell ref="W250:X250"/>
    <mergeCell ref="R265:S265"/>
    <mergeCell ref="R326:S326"/>
    <mergeCell ref="G266:L266"/>
    <mergeCell ref="R286:S286"/>
    <mergeCell ref="G286:I286"/>
    <mergeCell ref="M286:N286"/>
    <mergeCell ref="G289:L289"/>
    <mergeCell ref="G274:L274"/>
    <mergeCell ref="M303:N303"/>
    <mergeCell ref="G295:L295"/>
    <mergeCell ref="G280:L280"/>
    <mergeCell ref="G321:L321"/>
    <mergeCell ref="G326:I326"/>
    <mergeCell ref="M223:N223"/>
    <mergeCell ref="G216:L216"/>
    <mergeCell ref="M265:N265"/>
    <mergeCell ref="M235:N235"/>
    <mergeCell ref="M226:N226"/>
    <mergeCell ref="M231:N231"/>
    <mergeCell ref="G259:I259"/>
    <mergeCell ref="G253:L253"/>
    <mergeCell ref="M233:N233"/>
    <mergeCell ref="G260:L260"/>
    <mergeCell ref="G238:L238"/>
    <mergeCell ref="G251:L251"/>
    <mergeCell ref="G227:L227"/>
    <mergeCell ref="G233:I233"/>
    <mergeCell ref="G231:I231"/>
    <mergeCell ref="G245:I245"/>
    <mergeCell ref="G263:L263"/>
    <mergeCell ref="G264:I264"/>
    <mergeCell ref="G247:L247"/>
    <mergeCell ref="M125:N125"/>
    <mergeCell ref="M160:N160"/>
    <mergeCell ref="G160:I160"/>
    <mergeCell ref="M119:N119"/>
    <mergeCell ref="M130:N130"/>
    <mergeCell ref="M141:N141"/>
    <mergeCell ref="M151:N151"/>
    <mergeCell ref="G130:I130"/>
    <mergeCell ref="G142:L142"/>
    <mergeCell ref="G135:L135"/>
    <mergeCell ref="G137:I137"/>
    <mergeCell ref="R130:S130"/>
    <mergeCell ref="W130:X130"/>
    <mergeCell ref="W193:X193"/>
    <mergeCell ref="W160:X160"/>
    <mergeCell ref="M188:N188"/>
    <mergeCell ref="W172:X172"/>
    <mergeCell ref="R191:S191"/>
    <mergeCell ref="M191:N191"/>
    <mergeCell ref="M193:N193"/>
    <mergeCell ref="R188:S188"/>
    <mergeCell ref="W191:X191"/>
    <mergeCell ref="W188:X188"/>
    <mergeCell ref="M172:N172"/>
    <mergeCell ref="W211:X211"/>
    <mergeCell ref="R213:S213"/>
    <mergeCell ref="R223:S223"/>
    <mergeCell ref="W231:X231"/>
    <mergeCell ref="R226:S226"/>
    <mergeCell ref="R193:S193"/>
    <mergeCell ref="W151:X151"/>
    <mergeCell ref="R151:S151"/>
    <mergeCell ref="W141:X141"/>
    <mergeCell ref="G69:L69"/>
    <mergeCell ref="G65:L65"/>
    <mergeCell ref="M114:N114"/>
    <mergeCell ref="W265:X265"/>
    <mergeCell ref="M259:N259"/>
    <mergeCell ref="W259:X259"/>
    <mergeCell ref="R259:S259"/>
    <mergeCell ref="M250:N250"/>
    <mergeCell ref="R250:S250"/>
    <mergeCell ref="M209:N209"/>
    <mergeCell ref="R211:S211"/>
    <mergeCell ref="W223:X223"/>
    <mergeCell ref="M211:N211"/>
    <mergeCell ref="M213:N213"/>
    <mergeCell ref="W209:X209"/>
    <mergeCell ref="R209:S209"/>
    <mergeCell ref="R195:S195"/>
    <mergeCell ref="W195:X195"/>
    <mergeCell ref="M195:N195"/>
    <mergeCell ref="W233:X233"/>
    <mergeCell ref="W213:X213"/>
    <mergeCell ref="W226:X226"/>
    <mergeCell ref="R231:S231"/>
    <mergeCell ref="R233:S233"/>
    <mergeCell ref="W64:X64"/>
    <mergeCell ref="R116:S116"/>
    <mergeCell ref="W82:X82"/>
    <mergeCell ref="W80:X80"/>
    <mergeCell ref="M82:N82"/>
    <mergeCell ref="R42:S42"/>
    <mergeCell ref="W42:X42"/>
    <mergeCell ref="M116:N116"/>
    <mergeCell ref="W116:X116"/>
    <mergeCell ref="W93:X93"/>
    <mergeCell ref="R114:S114"/>
    <mergeCell ref="R80:S80"/>
    <mergeCell ref="R64:S64"/>
    <mergeCell ref="M93:N93"/>
    <mergeCell ref="R82:S82"/>
    <mergeCell ref="R93:S93"/>
    <mergeCell ref="A43:A45"/>
    <mergeCell ref="B43:B45"/>
    <mergeCell ref="G43:L43"/>
    <mergeCell ref="G33:L33"/>
    <mergeCell ref="A94:A95"/>
    <mergeCell ref="R16:S16"/>
    <mergeCell ref="R2:V2"/>
    <mergeCell ref="W2:AA2"/>
    <mergeCell ref="G3:L4"/>
    <mergeCell ref="M3:Q4"/>
    <mergeCell ref="R3:V4"/>
    <mergeCell ref="W3:AA4"/>
    <mergeCell ref="W16:X16"/>
    <mergeCell ref="G7:L7"/>
    <mergeCell ref="M2:Q2"/>
    <mergeCell ref="G9:L9"/>
    <mergeCell ref="G10:I10"/>
    <mergeCell ref="M16:N16"/>
    <mergeCell ref="G17:L17"/>
    <mergeCell ref="G21:L21"/>
    <mergeCell ref="G80:I80"/>
    <mergeCell ref="M80:N80"/>
    <mergeCell ref="M42:N42"/>
    <mergeCell ref="M64:N64"/>
    <mergeCell ref="C236:C237"/>
    <mergeCell ref="G285:I285"/>
    <mergeCell ref="G198:L198"/>
    <mergeCell ref="G199:I199"/>
    <mergeCell ref="G183:L183"/>
    <mergeCell ref="A2:A5"/>
    <mergeCell ref="G2:L2"/>
    <mergeCell ref="G64:I64"/>
    <mergeCell ref="G29:L29"/>
    <mergeCell ref="G105:L105"/>
    <mergeCell ref="D17:D20"/>
    <mergeCell ref="C43:C45"/>
    <mergeCell ref="A65:A76"/>
    <mergeCell ref="B65:B76"/>
    <mergeCell ref="G83:L83"/>
    <mergeCell ref="A83:A84"/>
    <mergeCell ref="B83:B84"/>
    <mergeCell ref="G94:L94"/>
    <mergeCell ref="D65:D76"/>
    <mergeCell ref="C83:C84"/>
    <mergeCell ref="B94:B95"/>
    <mergeCell ref="G16:I16"/>
    <mergeCell ref="A17:A20"/>
    <mergeCell ref="B17:B20"/>
    <mergeCell ref="A287:A291"/>
    <mergeCell ref="B287:B291"/>
    <mergeCell ref="A266:A267"/>
    <mergeCell ref="B266:B267"/>
    <mergeCell ref="G287:L287"/>
    <mergeCell ref="G265:I265"/>
    <mergeCell ref="C287:C291"/>
    <mergeCell ref="D287:D291"/>
    <mergeCell ref="C266:C267"/>
    <mergeCell ref="D266:D267"/>
    <mergeCell ref="G271:L271"/>
    <mergeCell ref="AB99:AG99"/>
    <mergeCell ref="AB114:AD114"/>
    <mergeCell ref="AB116:AD116"/>
    <mergeCell ref="AB119:AD119"/>
    <mergeCell ref="AB120:AG120"/>
    <mergeCell ref="AB83:AG83"/>
    <mergeCell ref="AB93:AD93"/>
    <mergeCell ref="AB94:AG94"/>
    <mergeCell ref="B173:B174"/>
    <mergeCell ref="G161:L161"/>
    <mergeCell ref="G167:L167"/>
    <mergeCell ref="G169:I169"/>
    <mergeCell ref="W114:X114"/>
    <mergeCell ref="W119:X119"/>
    <mergeCell ref="W125:X125"/>
    <mergeCell ref="R141:S141"/>
    <mergeCell ref="R125:S125"/>
    <mergeCell ref="R172:S172"/>
    <mergeCell ref="R160:S160"/>
    <mergeCell ref="R119:S119"/>
    <mergeCell ref="G119:I119"/>
    <mergeCell ref="G122:L122"/>
    <mergeCell ref="G125:I125"/>
    <mergeCell ref="G120:L120"/>
    <mergeCell ref="AB64:AD64"/>
    <mergeCell ref="AB65:AG65"/>
    <mergeCell ref="AB67:AG67"/>
    <mergeCell ref="AB69:AG69"/>
    <mergeCell ref="AB80:AD80"/>
    <mergeCell ref="AB82:AD82"/>
    <mergeCell ref="AB2:AG2"/>
    <mergeCell ref="AB3:AG4"/>
    <mergeCell ref="AB7:AG7"/>
    <mergeCell ref="AB16:AD16"/>
    <mergeCell ref="AB17:AG17"/>
    <mergeCell ref="AB21:AG21"/>
    <mergeCell ref="AB42:AD42"/>
    <mergeCell ref="AB43:AG43"/>
    <mergeCell ref="AB46:AG46"/>
    <mergeCell ref="AB125:AD125"/>
    <mergeCell ref="AB253:AG253"/>
    <mergeCell ref="AB216:AG216"/>
    <mergeCell ref="AB142:AG142"/>
    <mergeCell ref="AB144:AG144"/>
    <mergeCell ref="AB151:AD151"/>
    <mergeCell ref="AB152:AG152"/>
    <mergeCell ref="AB160:AD160"/>
    <mergeCell ref="AB161:AG161"/>
    <mergeCell ref="AB141:AD141"/>
    <mergeCell ref="AB191:AD191"/>
    <mergeCell ref="AB193:AD193"/>
    <mergeCell ref="AB195:AD195"/>
    <mergeCell ref="AB196:AG196"/>
    <mergeCell ref="AB209:AD209"/>
    <mergeCell ref="AB211:AD211"/>
    <mergeCell ref="AB213:AD213"/>
    <mergeCell ref="AB214:AG214"/>
    <mergeCell ref="AB172:AD172"/>
    <mergeCell ref="AB173:AG173"/>
    <mergeCell ref="AB177:AG177"/>
    <mergeCell ref="AB188:AD188"/>
    <mergeCell ref="AB128:AG128"/>
    <mergeCell ref="AB130:AD130"/>
    <mergeCell ref="AB329:AG329"/>
    <mergeCell ref="AB339:AD339"/>
    <mergeCell ref="AB304:AG304"/>
    <mergeCell ref="A1:AG1"/>
    <mergeCell ref="AB286:AD286"/>
    <mergeCell ref="AB287:AG287"/>
    <mergeCell ref="AB236:AG236"/>
    <mergeCell ref="AB238:AG238"/>
    <mergeCell ref="AB250:AD250"/>
    <mergeCell ref="AB251:AG251"/>
    <mergeCell ref="B2:F5"/>
    <mergeCell ref="B6:F6"/>
    <mergeCell ref="C17:C20"/>
    <mergeCell ref="AB289:AG289"/>
    <mergeCell ref="AB293:AG293"/>
    <mergeCell ref="AB303:AD303"/>
    <mergeCell ref="AB259:AD259"/>
    <mergeCell ref="AB265:AD265"/>
    <mergeCell ref="AB266:AG266"/>
    <mergeCell ref="AB268:AG268"/>
    <mergeCell ref="AB271:AG271"/>
    <mergeCell ref="AB274:AG274"/>
    <mergeCell ref="D83:D84"/>
    <mergeCell ref="C94:C95"/>
    <mergeCell ref="AB307:AG307"/>
    <mergeCell ref="AB326:AD326"/>
    <mergeCell ref="AB327:AG327"/>
    <mergeCell ref="AB219:AG219"/>
    <mergeCell ref="AB223:AD223"/>
    <mergeCell ref="AB226:AD226"/>
    <mergeCell ref="AB231:AD231"/>
    <mergeCell ref="AB233:AD233"/>
    <mergeCell ref="AB235:AD235"/>
    <mergeCell ref="D43:D45"/>
    <mergeCell ref="D94:D95"/>
    <mergeCell ref="C173:C174"/>
    <mergeCell ref="D173:D174"/>
    <mergeCell ref="G49:L49"/>
    <mergeCell ref="G46:L46"/>
    <mergeCell ref="G54:L54"/>
    <mergeCell ref="G35:I35"/>
    <mergeCell ref="G73:L73"/>
    <mergeCell ref="G89:L89"/>
    <mergeCell ref="G90:I90"/>
    <mergeCell ref="G57:I57"/>
    <mergeCell ref="G155:I155"/>
    <mergeCell ref="G165:L165"/>
    <mergeCell ref="G163:L163"/>
    <mergeCell ref="G164:I164"/>
    <mergeCell ref="G128:L128"/>
    <mergeCell ref="G151:I151"/>
    <mergeCell ref="G144:L144"/>
    <mergeCell ref="G166:I166"/>
    <mergeCell ref="C65:C76"/>
    <mergeCell ref="G52:L52"/>
    <mergeCell ref="G117:L117"/>
    <mergeCell ref="G67:L67"/>
    <mergeCell ref="A131:A132"/>
    <mergeCell ref="B131:B132"/>
    <mergeCell ref="C131:C132"/>
    <mergeCell ref="D131:F132"/>
    <mergeCell ref="G131:L131"/>
    <mergeCell ref="C251:C252"/>
    <mergeCell ref="G173:L173"/>
    <mergeCell ref="G133:L133"/>
    <mergeCell ref="D236:D237"/>
    <mergeCell ref="A251:A252"/>
    <mergeCell ref="D251:D252"/>
    <mergeCell ref="A236:A237"/>
    <mergeCell ref="B236:B237"/>
    <mergeCell ref="G219:L219"/>
    <mergeCell ref="G211:I211"/>
    <mergeCell ref="G200:L200"/>
    <mergeCell ref="A173:A174"/>
    <mergeCell ref="B251:B252"/>
    <mergeCell ref="G213:I213"/>
    <mergeCell ref="G209:I209"/>
    <mergeCell ref="G214:L214"/>
    <mergeCell ref="G147:L147"/>
    <mergeCell ref="G148:I148"/>
    <mergeCell ref="G154:L154"/>
    <mergeCell ref="G27:L27"/>
    <mergeCell ref="G42:I42"/>
    <mergeCell ref="G82:I82"/>
    <mergeCell ref="G110:L110"/>
    <mergeCell ref="G11:L11"/>
    <mergeCell ref="G229:L229"/>
    <mergeCell ref="G58:L58"/>
    <mergeCell ref="G317:L317"/>
    <mergeCell ref="G242:L242"/>
    <mergeCell ref="G298:L298"/>
    <mergeCell ref="G205:L205"/>
    <mergeCell ref="G60:I60"/>
    <mergeCell ref="G226:I226"/>
    <mergeCell ref="G195:I195"/>
    <mergeCell ref="G193:I193"/>
    <mergeCell ref="G177:L177"/>
    <mergeCell ref="G180:L180"/>
    <mergeCell ref="G99:L99"/>
    <mergeCell ref="G114:I114"/>
    <mergeCell ref="G108:L108"/>
    <mergeCell ref="G109:I109"/>
    <mergeCell ref="G172:I172"/>
    <mergeCell ref="G196:L196"/>
    <mergeCell ref="G13:L13"/>
    <mergeCell ref="G320:I320"/>
    <mergeCell ref="G188:I188"/>
    <mergeCell ref="G191:I191"/>
    <mergeCell ref="G141:I141"/>
    <mergeCell ref="G185:I185"/>
    <mergeCell ref="G224:L224"/>
    <mergeCell ref="G93:I93"/>
    <mergeCell ref="G312:L312"/>
    <mergeCell ref="G189:L189"/>
    <mergeCell ref="G204:I204"/>
    <mergeCell ref="G221:L221"/>
    <mergeCell ref="G222:I222"/>
    <mergeCell ref="G126:L126"/>
    <mergeCell ref="G74:I74"/>
    <mergeCell ref="G85:L85"/>
    <mergeCell ref="G97:L97"/>
    <mergeCell ref="G87:L87"/>
    <mergeCell ref="G88:I88"/>
    <mergeCell ref="G75:L75"/>
    <mergeCell ref="G116:I116"/>
    <mergeCell ref="G152:L152"/>
    <mergeCell ref="G223:I223"/>
  </mergeCells>
  <phoneticPr fontId="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Итоговая</vt:lpstr>
      <vt:lpstr>Интерактивная карта</vt:lpstr>
      <vt:lpstr>Информация ТП</vt:lpstr>
      <vt:lpstr>СводТекДефицитЗимаЛето</vt:lpstr>
      <vt:lpstr>СводТекущийДефицит III квартал</vt:lpstr>
      <vt:lpstr>Приоритет</vt:lpstr>
      <vt:lpstr>'СводТекущийДефицит III квартал'!Область_печати</vt:lpstr>
    </vt:vector>
  </TitlesOfParts>
  <Company>mrsk-1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Rybnikov_DA</dc:creator>
  <cp:lastModifiedBy>Глухов Алексей Анатольевич</cp:lastModifiedBy>
  <cp:lastPrinted>2014-07-01T12:15:52Z</cp:lastPrinted>
  <dcterms:created xsi:type="dcterms:W3CDTF">2008-10-03T08:18:33Z</dcterms:created>
  <dcterms:modified xsi:type="dcterms:W3CDTF">2014-12-18T06:28:00Z</dcterms:modified>
</cp:coreProperties>
</file>